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40.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36.xml"/>
  <Override ContentType="application/vnd.openxmlformats-officedocument.spreadsheetml.worksheet+xml" PartName="/xl/worksheets/sheet16.xml"/>
  <Override ContentType="application/vnd.openxmlformats-officedocument.spreadsheetml.worksheet+xml" PartName="/xl/worksheets/sheet41.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37.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33.xml"/>
  <Override ContentType="application/vnd.openxmlformats-officedocument.spreadsheetml.worksheet+xml" PartName="/xl/worksheets/sheet4.xml"/>
  <Override ContentType="application/vnd.openxmlformats-officedocument.spreadsheetml.worksheet+xml" PartName="/xl/worksheets/sheet39.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42.xml"/>
  <Override ContentType="application/vnd.openxmlformats-officedocument.spreadsheetml.worksheet+xml" PartName="/xl/worksheets/sheet38.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43.xml"/>
  <Override ContentType="application/vnd.openxmlformats-officedocument.spreadsheetml.worksheet+xml" PartName="/xl/worksheets/sheet14.xml"/>
  <Override ContentType="application/vnd.openxmlformats-officedocument.spreadsheetml.worksheet+xml" PartName="/xl/worksheets/sheet4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worksheet+xml" PartName="/xl/worksheets/sheet35.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3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43.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34.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44.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35.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40.xml"/>
  <Override ContentType="application/vnd.openxmlformats-officedocument.drawing+xml" PartName="/xl/drawings/drawing1.xml"/>
  <Override ContentType="application/vnd.openxmlformats-officedocument.drawing+xml" PartName="/xl/drawings/drawing36.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33.xml"/>
  <Override ContentType="application/vnd.openxmlformats-officedocument.drawing+xml" PartName="/xl/drawings/drawing38.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41.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42.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37.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of everything" sheetId="1" r:id="rId5"/>
    <sheet state="hidden" name="March 25 ETFS" sheetId="2" r:id="rId6"/>
    <sheet state="hidden" name="March 2025 Picks" sheetId="3" r:id="rId7"/>
    <sheet state="hidden" name="Feb 2025 Picks" sheetId="4" r:id="rId8"/>
    <sheet state="hidden" name="Feb 2025 ETF picks" sheetId="5" r:id="rId9"/>
    <sheet state="hidden" name="Jan 2025 picks" sheetId="6" r:id="rId10"/>
    <sheet state="hidden" name="Jan 2025 ETFs" sheetId="7" r:id="rId11"/>
    <sheet state="hidden" name="Dec 2024 picks" sheetId="8" r:id="rId12"/>
    <sheet state="hidden" name="Dec 2024 ETFs" sheetId="9" r:id="rId13"/>
    <sheet state="hidden" name="November picks 2024" sheetId="10" r:id="rId14"/>
    <sheet state="hidden" name=" November ETFs 2024" sheetId="11" r:id="rId15"/>
    <sheet state="hidden" name="October Picks" sheetId="12" r:id="rId16"/>
    <sheet state="hidden" name="October ETFs 2024" sheetId="13" r:id="rId17"/>
    <sheet state="hidden" name="September Picks" sheetId="14" r:id="rId18"/>
    <sheet state="hidden" name="September ETFs" sheetId="15" r:id="rId19"/>
    <sheet state="hidden" name="August Picks" sheetId="16" r:id="rId20"/>
    <sheet state="hidden" name="August ETFs" sheetId="17" r:id="rId21"/>
    <sheet state="hidden" name="July Picks" sheetId="18" r:id="rId22"/>
    <sheet state="hidden" name="July ETFs" sheetId="19" r:id="rId23"/>
    <sheet state="hidden" name="June ETFs" sheetId="20" r:id="rId24"/>
    <sheet state="hidden" name="June Picks" sheetId="21" r:id="rId25"/>
    <sheet state="hidden" name="May picks" sheetId="22" r:id="rId26"/>
    <sheet state="hidden" name="May ETFs" sheetId="23" r:id="rId27"/>
    <sheet state="hidden" name="April Picks" sheetId="24" r:id="rId28"/>
    <sheet state="hidden" name="April ETFs" sheetId="25" r:id="rId29"/>
    <sheet state="hidden" name="March picks" sheetId="26" r:id="rId30"/>
    <sheet state="hidden" name="March ETFs" sheetId="27" r:id="rId31"/>
    <sheet state="hidden" name="Feb picks" sheetId="28" r:id="rId32"/>
    <sheet state="hidden" name="Feb ETFs" sheetId="29" r:id="rId33"/>
    <sheet state="hidden" name="Jan Picks" sheetId="30" r:id="rId34"/>
    <sheet state="hidden" name="Jan ETFs" sheetId="31" r:id="rId35"/>
    <sheet state="hidden" name="December Picks shortened" sheetId="32" r:id="rId36"/>
    <sheet state="hidden" name="December ETFs" sheetId="33" r:id="rId37"/>
    <sheet state="hidden" name="December picks" sheetId="34" r:id="rId38"/>
    <sheet state="hidden" name="November stock picks shortened" sheetId="35" r:id="rId39"/>
    <sheet state="hidden" name="November ETF picks" sheetId="36" r:id="rId40"/>
    <sheet state="hidden" name="Nov GPT ETF prompt answers" sheetId="37" r:id="rId41"/>
    <sheet state="hidden" name="October Stock Picks shortened" sheetId="38" r:id="rId42"/>
    <sheet state="hidden" name="October Stock Picks with reason" sheetId="39" r:id="rId43"/>
    <sheet state="hidden" name="October ETFs" sheetId="40" r:id="rId44"/>
    <sheet state="hidden" name="final_data_with_scores_compact_" sheetId="41" r:id="rId45"/>
    <sheet state="hidden" name="final_data_with_scores_911" sheetId="42" r:id="rId46"/>
    <sheet state="hidden" name="Macro Data from bingbard_911" sheetId="43" r:id="rId47"/>
    <sheet state="hidden" name="ETF Data_911" sheetId="44" r:id="rId48"/>
  </sheets>
  <definedNames>
    <definedName hidden="1" localSheetId="2" name="_xlnm._FilterDatabase">'March 2025 Picks'!$F$1:$I$46</definedName>
    <definedName hidden="1" localSheetId="3" name="_xlnm._FilterDatabase">'Feb 2025 Picks'!$G$1:$K$19</definedName>
    <definedName hidden="1" localSheetId="5" name="_xlnm._FilterDatabase">'Jan 2025 picks'!$G$1:$I$14</definedName>
    <definedName hidden="1" localSheetId="7" name="_xlnm._FilterDatabase">'Dec 2024 picks'!$H$1:$J$19</definedName>
    <definedName hidden="1" localSheetId="9" name="_xlnm._FilterDatabase">'November picks 2024'!$G$1:$K$19</definedName>
    <definedName hidden="1" localSheetId="13" name="_xlnm._FilterDatabase">'September Picks'!$H$1:$K$16</definedName>
    <definedName hidden="1" localSheetId="15" name="_xlnm._FilterDatabase">'August Picks'!$V$2:$X$107</definedName>
    <definedName hidden="1" localSheetId="20" name="_xlnm._FilterDatabase">'June Picks'!$A$1:$D$504</definedName>
    <definedName hidden="1" localSheetId="21" name="_xlnm._FilterDatabase">'May picks'!$A$1:$D$503</definedName>
    <definedName hidden="1" localSheetId="23" name="_xlnm._FilterDatabase">'April Picks'!$F$1:$H$3256</definedName>
  </definedNames>
  <calcPr/>
</workbook>
</file>

<file path=xl/sharedStrings.xml><?xml version="1.0" encoding="utf-8"?>
<sst xmlns="http://schemas.openxmlformats.org/spreadsheetml/2006/main" count="36459" uniqueCount="22535">
  <si>
    <t>Link to the official white paper/notion doc:</t>
  </si>
  <si>
    <t>https://autopilotapp.notion.site/GPT-Stuff-440a30c4be184b9f99fd1ab2d2e86cad</t>
  </si>
  <si>
    <t>*10 stocks, 5 ETF's</t>
  </si>
  <si>
    <t>Official Portfolio</t>
  </si>
  <si>
    <t>Position</t>
  </si>
  <si>
    <t>Score</t>
  </si>
  <si>
    <t>Reason</t>
  </si>
  <si>
    <t>Allocation</t>
  </si>
  <si>
    <t>Current Price</t>
  </si>
  <si>
    <t>Amount per 7%</t>
  </si>
  <si>
    <t>Shares needed to be bought</t>
  </si>
  <si>
    <t>Month</t>
  </si>
  <si>
    <t>UNH</t>
  </si>
  <si>
    <t>September</t>
  </si>
  <si>
    <t>REGN</t>
  </si>
  <si>
    <t>QCOM</t>
  </si>
  <si>
    <t>CRM</t>
  </si>
  <si>
    <t>XOM</t>
  </si>
  <si>
    <t>ADBE</t>
  </si>
  <si>
    <t>ORCL</t>
  </si>
  <si>
    <t>CME</t>
  </si>
  <si>
    <t>V</t>
  </si>
  <si>
    <t>GD</t>
  </si>
  <si>
    <t>IHF</t>
  </si>
  <si>
    <t>Healthcare ETF</t>
  </si>
  <si>
    <t>IGV</t>
  </si>
  <si>
    <t>Software ETF</t>
  </si>
  <si>
    <t>VGT</t>
  </si>
  <si>
    <t>IT ETF</t>
  </si>
  <si>
    <t>ICLN</t>
  </si>
  <si>
    <t>Renewables/clean energy ETF</t>
  </si>
  <si>
    <t>VHT</t>
  </si>
  <si>
    <t>Vanguard Healthcare ETF</t>
  </si>
  <si>
    <t>MSI</t>
  </si>
  <si>
    <t>October</t>
  </si>
  <si>
    <t>AAPL</t>
  </si>
  <si>
    <t>MA</t>
  </si>
  <si>
    <t>NFLX</t>
  </si>
  <si>
    <t>EXR</t>
  </si>
  <si>
    <t>TMUS</t>
  </si>
  <si>
    <t>LMT</t>
  </si>
  <si>
    <t>CAT</t>
  </si>
  <si>
    <t>VDC</t>
  </si>
  <si>
    <t>SOXX</t>
  </si>
  <si>
    <t>VOX</t>
  </si>
  <si>
    <t>REK</t>
  </si>
  <si>
    <t>META</t>
  </si>
  <si>
    <t>The health care technology sector has shown strong growth potential in recent years, driven by advancements in technology and increasing demand for innovative solutions in the health care industry. The COVID-19 pandemic has also highlighted the importance of technology in the health care sector, leading to increased investments and adoption of digital health solutions. The rise of artificial intelligence and big data analytics has revolutionized the health care industry, allowing for more efficient and accurate diagnoses, personalized treatments, and improved patient outcomes. The ongoing technological advancements in this sector offer promising opportunities for investors. However, there are also potential risks to consider, such as increased regulation and data privacy concerns. The sector is also highly competitive, with many players vying for market share. Investors should carefully evaluate the financial health and competitive advantages of companies in this sector before making investment decisions. Looking ahead, META's business messaging platform and its potential for becoming a trillion-dollar company make it a compelling investment opportunity. With a market cap of over $800 billion and a strong financial position, the company is well-positioned for future growth. Therefore, I am initiating a strong buy recommendation for META.</t>
  </si>
  <si>
    <t>November</t>
  </si>
  <si>
    <t>URI</t>
  </si>
  <si>
    <t>United Rentals (URI) is a leading company in the $68 billion US equipment rental industry, outperforming its closest competitor and the S&amp;P 500. The company's strong performance can be attributed to its successful acquisition strategy, returning capital to shareholders, and its business model of renting out heavy equipment. With a market cap of $27.76 billion and an enterprise value of $40.39 billion, URI is a significant player in the industry. In terms of valuation, URI has a trailing P/E ratio of 11.91 and a forward P/E ratio of 9.59, indicating that the stock may be undervalued. The PEG ratio of 1.05 also suggests that the stock may be trading at a discount compared to its expected growth. Additionally, the price/sales ratio of 2.04 and price/book ratio of 3.58 are both below the industry average, further supporting the stock's value. Furthermore, URI's strong cash flows and return on investment make it a compelling investment opportunity. The company has a solid track record of acquiring companies and expanding its market share, with $13.065 billion spent on M&amp;A in the last decade. This, combined with its business model of renting out equipment, generates consistent cash flows for the company. URI also returns capital to shareholders through buybacks and dividends, making it an attractive option for investors seeking steady returns. Overall, United Rentals (URI) appears to be a strong value stock with a solid financial position and a successful business model. With a Zacks Style Score of A for Value, the stock is worth considering for investors looking for potential growth and returns in the Trading Companies &amp; Distributors industry.</t>
  </si>
  <si>
    <t>CNC</t>
  </si>
  <si>
    <t>Centene Corporation (CNC) is a strong growth stock in the Managed Health Care industry. The company has been performing well in recent years, with a market cap of $36.85B and an enterprise value of $35.53B. Its trailing P/E ratio of 15.29 and forward P/E ratio of 10.31 indicate that the stock is undervalued, making it an attractive investment opportunity. One of the key factors contributing to Centene's growth is its low PEG ratio of 0.43, which suggests that the stock is undervalued relative to its expected earnings growth. Additionally, its price/sales ratio of 0.25 and price/book ratio of 1.46 are also lower than the industry average, indicating that the stock is trading at a discount. Furthermore, Centene's strong financials are reflected in its low enterprise value/revenue ratio of 0.24 and enterprise value/EBITDA ratio of 6.14. These ratios suggest that the company is generating strong revenues and profits, making it a financially stable and attractive investment option. Overall, Centene Corporation is a strong growth stock with solid financials and attractive valuation metrics. With the company's continued growth and potential for future expansion, it is well-positioned for success in the Managed Health Care industry.</t>
  </si>
  <si>
    <t>AMZN</t>
  </si>
  <si>
    <t>Amazon (AMZN) has been making headlines with its recent financial and business developments. The e-commerce giant has terminated its prior $10 billion credit agreement and entered a new $15 billion credit facility, indicating its strong financial position and potential for growth. Additionally, solid earnings estimate revisions and the company's efforts to reduce plastic packaging have further boosted investor confidence. Despite facing competition in the cloud computing market, Amazon's profitability has bounced back to pre-2022 levels, and its e-commerce business continues to thrive. CEO Andy Jassy's leadership has been instrumental in turning around the company's profitability, and its fastest-growing segments have higher margins than e-commerce. Furthermore, Amazon's recent financial results for the third quarter of 2023 have exceeded expectations, with strong online sales growth and stabilization in its critical cloud computing segment. The company's strong margin expansion and growth in operating cash flow have also been impressive. With a market cap of 1.42 trillion and an enterprise value of 1.49 trillion, Amazon's financials are strong, and its valuation metrics, such as P/E ratio and price/sales, are in line with industry averages. The company's future prospects look promising, with potential for continued growth and profitability.</t>
  </si>
  <si>
    <t>CB</t>
  </si>
  <si>
    <t>Chubb Limited (CB) is a leading property and casualty insurance company that has been consistently delivering strong financial performance. With a recent market cap of 87.56B and an enterprise value of 102.80B, Chubb is well-positioned in the insurance industry. The company's trailing P/E ratio of 12.68 and forward P/E ratio of 10.30 indicate that the stock is currently undervalued. Additionally, Chubb's PEG ratio of 0.65 suggests that the stock has strong growth potential. Chubb's strong financials are further supported by its price/sales ratio of 1.85 and price/book ratio of 1.67, both of which are below the industry average. This indicates that the stock is trading at a discount compared to its peers. Furthermore, Chubb's enterprise value/revenue ratio of 2.13 is also lower than the industry average, indicating that the stock is undervalued. With a solid financial foundation and strong growth potential, Chubb is a top value stock for long-term investors. The company's consistent track record of delivering market-beating returns makes it a reliable choice for investors looking for stable and profitable investments.</t>
  </si>
  <si>
    <t>COST</t>
  </si>
  <si>
    <t>Costco (COST) continues to show strong performance in the retail industry, with its latest October sales reaching $18.53 billion, a 4.5% increase from the same period last year. This growth was driven by a 3% increase in same-store sales and a 3.7% increase in e-commerce sales. These numbers demonstrate Costco's ability to adapt and thrive in the changing retail landscape, even as the pandemic subsides. In addition to its strong sales performance, Costco also boasts impressive financial data. With a market cap of $244.59 billion and an enterprise value of $238.24 billion, the company has a solid financial foundation. Its trailing P/E ratio of 39.01 and forward P/E ratio of 35.71 indicate that investors have confidence in the company's future growth potential. Furthermore, Costco's low PEG ratio of 4.14 and price/sales ratio of 1.01 suggest that the stock is currently undervalued. Costco's strong financials and consistent growth make it a top growth stock for the long-term. The company's ability to adapt to changing consumer behaviors and its focus on e-commerce sales position it well for continued success in the future. Additionally, the Zacks Style Scores have given Costco high ratings, further solidifying its position as a top-rated stock.</t>
  </si>
  <si>
    <t>AZO</t>
  </si>
  <si>
    <t>AutoZone (AZO) is a leading player in the automotive retail industry, with a strong track record of market-beating performance. The latest financial data shows a market cap of $43.80B and an enterprise value of $46.44B. The trailing P/E ratio stands at 18.72, while the forward P/E ratio is at 16.75, indicating potential undervaluation. The PEG ratio of 1.23 suggests a fair valuation, and the price/sales and price/book ratios of 2.71 and 36.18, respectively, are in line with industry averages. AutoZone's strong momentum is reflected in its Zacks Style Scores, with a top-notch overall score of A and individual scores of A for Growth, Value, and Momentum. This indicates that the company has a solid combination of growth, value, and momentum characteristics, making it a strong investment opportunity. The automotive retail industry is expected to see continued growth in the coming months, with the reopening of economies and increased consumer spending. AutoZone is well-positioned to benefit from this trend, with its strong brand reputation, wide product range, and efficient supply chain. Overall, AutoZone presents a strong investment opportunity in the automotive retail industry, with its solid financials, strong momentum, and positive industry outlook. Investors should keep an eye on this stock for potential gains in the coming months.</t>
  </si>
  <si>
    <t>HOLX</t>
  </si>
  <si>
    <t>Hologic, Inc. (HOLX) is a leading company in the Health Care Equipment industry and has been attracting significant attention from investors. The recent financial data shows a strong market cap of 16.21B and an enterprise value of 16.28B. The trailing P/E ratio of 33.93 and forward P/E ratio of 16.45 suggest that the stock may be slightly overvalued, but still within a reasonable range. The price/sales ratio of 4.10 and price/book ratio of 3.13 also indicate a potential for growth. Additionally, the enterprise value/revenue ratio of 4.03 and enterprise value/EBITDA ratio of 14.34 show a strong financial position for the company. Hologic has been performing well in the Health Care Equipment industry, with a strong market position and financial stability. The company has a diverse portfolio of products and services, including diagnostic and surgical products, which have been in high demand due to the ongoing COVID-19 pandemic. Hologic has also been investing in research and development to expand its product offerings and maintain its competitive edge in the market. Overall, Hologic appears to be in a strong position for growth and has been attracting investor attention. However, as with any investment, it is important to carefully consider all factors and conduct thorough research before making any decisions.</t>
  </si>
  <si>
    <t>OXY</t>
  </si>
  <si>
    <t>Occidental Petroleum Corporation (Ticker: OXY) has been in the news recently for being left out of major energy deals, potentially due to Warren Buffett's ownership and the resulting high stock price. This has raised concerns among investors about the company's future prospects and potential for growth. However, a closer look at the firm's latest financial data reveals a strong financial position and potential for long-term success. According to the latest financial data, Occidental Petroleum has a market cap of $54.68B and an enterprise value of $83.50B. The company's trailing P/E ratio is 10.44, which is lower than the industry average, indicating that the stock may be undervalued. Additionally, the forward P/E ratio of 11.53 suggests that the company's earnings are expected to grow in the future. Furthermore, Occidental Petroleum's price/sales ratio of 1.92 and price/book ratio of 2.67 are both below the industry average, indicating that the stock may be trading at a discount. The company's enterprise value/revenue and enterprise value/EBITDA ratios of 2.65 and 4.88, respectively, also suggest that the stock may be undervalued. Overall, Occidental Petroleum's financial data paints a positive picture of the company's financial health and potential for growth. While the recent news of being left out of major energy deals may have caused some concern, the company's strong financial position and potential for future growth make it a promising investment opportunity.</t>
  </si>
  <si>
    <t>*selected at random</t>
  </si>
  <si>
    <t>GRMN</t>
  </si>
  <si>
    <t>Garmin (GRMN) has recently reported strong third-quarter results, beating both earnings and sales estimates. The company's revenue increased by 12% year-over-year, driven by growth in its Fitness, Auto OEM, Outdoor, and Aviation segments. This growth has also led to an increase in the company's 2023 revenue guidance for the second time this year. The company's strong financial position, with a healthy balance sheet and no debt, has also contributed to its positive performance. This has allowed Garmin to raise its annual sales forecast for the crucial holiday shopping period. In addition, Garmin's valuation metrics, such as its P/E ratio and PEG ratio, suggest that the stock may be undervalued compared to its expected growth. The company's price/sales and price/book ratios also indicate that the stock may be trading at a discount.</t>
  </si>
  <si>
    <t>VNQ</t>
  </si>
  <si>
    <t>Specialized REIT's</t>
  </si>
  <si>
    <t>The economic outlook for specialized REITs is positive, with the potential for continued growth in the coming months. The recent macro-economic news, including the increase in job openings and the Federal Reserve's decision to hold interest rates steady, bodes well for the real estate market. Additionally, the ongoing demand for specialized properties, such as data centers and healthcare facilities, provides a strong foundation for this sector.</t>
  </si>
  <si>
    <t>WELL</t>
  </si>
  <si>
    <t>Healthcare REIT</t>
  </si>
  <si>
    <t>The health care REIT sector has been performing well in recent years, with steady growth and strong demand for healthcare facilities. The aging population and increasing healthcare needs have contributed to the sector's growth, making it a stable and attractive investment option. The recent macro-economic news also bodes well for the health care REIT sector. The removal of COVID-19 as a factor in the economy and the Federal Reserve's decision to hold interest rates steady provide stability and certainty for the sector. Additionally, the increase in job openings and potential for continued economic growth suggest a positive outlook for healthcare facilities and the demand for REITs.</t>
  </si>
  <si>
    <t>ARKG</t>
  </si>
  <si>
    <t>Life Sciences Tools &amp; Services,"</t>
  </si>
  <si>
    <t>The life sciences tools and services sector has shown strong growth potential in recent years, driven by advancements in technology and increased demand for healthcare services. The COVID-19 pandemic has also highlighted the importance of this sector, leading to increased investments in  The latest macro-economic data suggests a positive outlook for the sector. With the removal of COVID-19 as a major factor in the economy, the sector is expected to continue its growth trajectory. The rise of generative AI models and technological advancements in the industry offer opportunities for investors, but potential regulation in the tech sector should also be considered.research and development.</t>
  </si>
  <si>
    <t>NLY</t>
  </si>
  <si>
    <t>Mortgage Real Estate Investment Trusts (REITs),"</t>
  </si>
  <si>
    <t>The economic outlook for Mortgage Real Estate Investment Trusts (REITs) is positive, with the recent macro-economic news indicating stability and potential growth in the sector. The removal of COVID-19 as a factor in the economy, along with the Federal Reserve's decision to hold interest rates steady, provides a favorable environment for REITs. Additionally, the increase in job openings and potential for continued economic growth could lead to increased demand for mortgages and rental properties, benefiting REITs.</t>
  </si>
  <si>
    <t>Health Care Technology,"</t>
  </si>
  <si>
    <t>The health care technology sector has shown strong growth potential in recent years, driven by advancements in technology and increasing demand for innovative solutions in the health care industry. The COVID-19 pandemic has also highlighted the importance of technology in the health care sector, leading to increased investments and adoption of digital health solutions. The rise of artificial intelligence and big data analytics has revolutionized the health care industry, allowing for more efficient and accurate diagnoses, personalized treatments, and improved patient outcomes. The ongoing technological advancements in this sector offer promising opportunities for investors. However, there are also potential risks to consider, such as increased regulation and data privacy concerns. The sector is also highly competitive, with many players vying for market share. Investors should carefully evaluate the financial health and competitive advantages of companies in this sector before making investment decisions.</t>
  </si>
  <si>
    <t>CMCSA</t>
  </si>
  <si>
    <t>Comcast, a leading company in the Cable &amp; Satellite industry, has shown strong financial performance in recent years. With a market cap of 167.89B and an enterprise value of 263.95B, the company has a solid financial foundation. Its trailing P/E ratio of 11.62 and forward P/E ratio of 9.75 indicate that the stock is currently undervalued, making it an attractive investment opportunity. Furthermore, Comcast's PEG ratio of 0.35 suggests that the stock is undervalued in relation to its expected earnings growth. This is a positive sign for investors, as it indicates potential for future growth. The company's price/sales ratio of 1.45 and price/book ratio of 2.03 also suggest that the stock is currently undervalued. In terms of its financial health, Comcast has a strong enterprise value/revenue ratio of 2.18 and an enterprise value/EBITDA ratio of 6.87. This indicates that the company is generating strong revenue and has a healthy level of debt. Overall, Comcast's recent financial data and news suggest that it is a strong investment opportunity in the Cable &amp; Satellite industry. Its undervalued stock and strong financial performance make it a promising choice for investors.</t>
  </si>
  <si>
    <t>December</t>
  </si>
  <si>
    <t>NEM</t>
  </si>
  <si>
    <t>Newmont, a leading gold mining company, has shown strong financial performance in recent years. With a market cap of 45.74B and an enterprise value of 48.62B, the company has a solid financial foundation. Its trailing P/E ratio of 44.33 and forward P/E ratio of 11.06 indicate that the stock is currently undervalued, making it an attractive investment opportunity. Furthermore, Newmont's PEG ratio of 0.79 suggests that the stock is undervalued relative to its expected growth rate. This is further supported by its low price/sales ratio of 2.86 and price/book ratio of 2.40, indicating that the stock is trading at a discount compared to its industry peers.  In terms of profitability, Newmont has an enterprise value/revenue ratio of 4.40 and an enterprise value/EBITDA ratio of 25.57. These ratios suggest that the company is generating strong revenues and has a healthy level of profitability. Overall, Newmont's recent financial data and market trends indicate that it is a strong investment opportunity in the gold industry. Its undervalued stock and strong financial performance make it a promising choice for investors.</t>
  </si>
  <si>
    <t>FI</t>
  </si>
  <si>
    <t>Fiserv, a leading company in the Transaction &amp; Payment Processing Services industry, has shown strong financial performance in recent years. With a market cap of 78.68B and an enterprise value of 101.38B, the company has a solid financial foundation. Its trailing P/E ratio of 27.48 and forward P/E ratio of 15.34 indicate that the company is currently undervalued, making it an attractive investment opportunity. Furthermore, Fiserv's PEG ratio of 0.88 suggests that the company is undervalued in relation to its expected growth. This is further supported by its price/sales ratio of 4.36 and price/book ratio of 2.66, which are both below the industry average. Additionally, Fiserv's enterprise value/revenue ratio of 5.39 and enterprise value/EBITDA ratio of 12.98 are also lower than the industry average, indicating that the company is trading at a discount compared to its peers. Overall, Fiserv's recent financial data suggests that it is a strong and undervalued company in the Transaction &amp; Payment Processing Services industry. Its solid financial foundation and potential for growth make it a promising investment opportunity for the next month.</t>
  </si>
  <si>
    <t>TXT</t>
  </si>
  <si>
    <t>Textron, a leading aerospace and defense company, has shown strong financial performance in recent years. With a market cap of 15.02B and an enterprise value of 16.83B, the company has a solid financial foundation. Its trailing P/E ratio of 16.55 and forward P/E ratio of 12.66 indicate that the stock is currently undervalued, making it an attractive investment opportunity. Furthermore, Textron's PEG ratio of 0.96 suggests that the stock is trading at a discount compared to its expected earnings growth. This is a positive sign for investors, as it indicates potential for future growth. Additionally, the company's price/sales ratio of 1.17 and price/book ratio of 2.13 are both below the industry average, further supporting the undervaluation of the stock. Textron's strong financial position is also reflected in its enterprise value/revenue ratio of 1.25 and enterprise value/EBITDA ratio of 10.57. These ratios indicate that the company is generating solid revenue and earnings, making it a stable investment option. Overall, Textron's recent financial data and news suggest that the company is in a strong position for future growth. With a solid financial foundation and potential for growth, the stock has a high potential for investment value in the aerospace and defense industry.</t>
  </si>
  <si>
    <t>FOXA</t>
  </si>
  <si>
    <t>Fox Corporation (Class A) is a leading company in the Movies &amp; Entertainment industry with a recent market cap of 13.65B and an enterprise value of 18.01B. The company has a trailing P/E ratio of 14.25 and a forward P/E ratio of 8.82, indicating that the stock may be undervalued. However, the PEG ratio of 16.33 suggests that the stock may be overvalued in relation to its expected growth. The price/sales ratio of 1.01 and price/book ratio of 1.36 are both relatively low, indicating that the stock may be undervalued compared to its peers. The enterprise value/revenue ratio of 1.21 and enterprise value/EBITDA ratio of 8.14 are also relatively low, suggesting that the company may be undervalued in terms of its revenue and earnings. Recent news in the Movies &amp; Entertainment industry, such as the increase in streaming services and the reopening of movie theaters, may have a positive impact on Fox Corporation's financial performance. However, there are also potential risks, such as competition from other media companies and the ongoing COVID-19 pandemic. Overall, Fox Corporation (Class A) appears to be a solid investment opportunity in the Movies &amp; Entertainment industry. The company's strong financials and potential for growth make it a promising option for investors. However, it is important to closely monitor industry trends and company developments to make informed investment decisions.</t>
  </si>
  <si>
    <t>HON</t>
  </si>
  <si>
    <t>Honeywell, a leading industrial conglomerate, has been performing well in the recent market conditions. With a market cap of 130.39B and an enterprise value of 142.75B, the company has a strong financial standing. Its trailing P/E ratio of 24.51 and forward P/E ratio of 19.76 indicate that the stock is currently trading at a reasonable valuation. The PEG ratio of 2.02 suggests that the stock may be slightly overvalued, but this is offset by its strong price-to-sales ratio of 3.65 and price-to-book ratio of 7.57. In terms of profitability, Honeywell has an impressive enterprise value/revenue ratio of 3.92 and enterprise value/EBITDA ratio of 16.36. This indicates that the company is generating strong revenues and earnings, making it an attractive investment option. The recent news of falling oil prices may also benefit Honeywell, as it is a major player in the energy sector. Additionally, the company's diverse portfolio and strong global presence make it well-positioned to weather any potential economic uncertainties. Overall, Honeywell appears to be a solid investment option in the industrial conglomerates industry. Its strong financials and potential for growth make it a promising stock to consider for the next month.</t>
  </si>
  <si>
    <t>IR</t>
  </si>
  <si>
    <t>Ingersoll Rand (Ticker: IR) is a leading industrial machinery and supplies company with a market cap of 28.89B and an enterprise value of 30.47B. The latest financial data shows a trailing P/E ratio of 38.79 and a forward P/E ratio of 21.55, indicating a potential undervaluation of the stock. The PEG ratio of 0.86 also suggests that the stock may be trading at a discount compared to its expected growth rate. Additionally, the price/sales and price/book ratios of 4.37 and 3.02 respectively, are in line with industry averages, indicating a fair valuation. Furthermore, Ingersoll Rand's enterprise value/revenue and enterprise value/EBITDA ratios of 4.56 and 19.41 respectively, are lower than the industry average, suggesting that the company may be undervalued compared to its peers. This is further supported by the company's strong financial performance, with a 5-year expected growth rate of 11.5% and a solid balance sheet. Overall, Ingersoll Rand appears to be a strong investment opportunity in the industrial machinery and supplies industry. With a potential undervaluation and strong financials, the stock may offer attractive returns for investors in the next month.</t>
  </si>
  <si>
    <t>INCY</t>
  </si>
  <si>
    <t>Incyte is a biotechnology company with a recent market cap of 12.42B and an enterprise value of 8.94B. The company has a trailing P/E ratio of 29.48 and a forward P/E ratio of 11.85, indicating a potential undervaluation. The PEG ratio of 0.39 suggests that the stock may be undervalued compared to its expected growth rate. The price/sales ratio of 3.46 and price/book ratio of 2.52 also indicate a potential undervaluation. However, the enterprise value/revenue ratio of 2.48 and enterprise value/EBITDA ratio of 12.33 suggest that the stock may be slightly overvalued compared to its revenue and earnings. Overall, Incyte appears to be a promising investment opportunity in the biotechnology industry. The company has a strong financial position and potential for growth, as indicated by its low PEG ratio. However, investors should closely monitor the company's revenue and earnings growth, as well as any potential regulatory changes in the biotechnology sector.</t>
  </si>
  <si>
    <t>IBM</t>
  </si>
  <si>
    <t>IBM, a leading IT consulting and other services company, has a recent market cap of 146.35B and an enterprise value of 193.90B. The company's trailing P/E ratio is 20.68 and its forward P/E ratio is 16.05, indicating a potential undervaluation. The PEG ratio of 0.43 suggests that the stock may be undervalued compared to its expected growth rate. Additionally, IBM's price/sales ratio of 2.43 and price/book ratio of 6.34 are both below the industry average, further supporting the potential undervaluation of the stock. Furthermore, IBM's enterprise value/revenue ratio of 3.17 and enterprise value/EBITDA ratio of 13.71 are both lower than the industry average, indicating a potentially attractive investment opportunity. The company's strong financial position and consistent dividend payments also make it an attractive option for investors seeking stable returns. However, it is important to note that the IT consulting and other services industry is highly competitive and constantly evolving. IBM faces competition from both established players and emerging startups, which could impact its market share and profitability. Overall, based on the recent financial data and industry trends, IBM appears to be a promising investment option in the IT consulting and other services industry. Investors should closely monitor the company's performance and industry developments to make informed investment decisions.</t>
  </si>
  <si>
    <t>HII</t>
  </si>
  <si>
    <t>Huntington Ingalls Industries (HII) is a leading company in the Aerospace &amp; Defense industry with a recent market cap of 9.68B and an enterprise value of 12.25B. The company has a trailing P/E ratio of 18.38 and a forward P/E ratio of 13.91, indicating that the stock may be undervalued. The PEG ratio of 1.12 suggests that the stock may have growth potential in the next five years. Additionally, the price/sales ratio of 0.88 and price/book ratio of 2.59 are both below the industry average, making the stock potentially attractive to value investors. HII's latest financial data also shows a strong enterprise value/revenue ratio of 1.10 and an enterprise value/EBITDA ratio of 10.87, indicating that the company is generating solid revenue and earnings. This is further supported by the company's recent performance, with a 5-year average revenue growth of 5.5% and a 5-year average earnings growth of 12.3%. In terms of recent news, HII has been awarded several contracts by the U.S. Navy, including a $2.9 billion contract for the construction of two destroyers. This demonstrates the company's strong relationship with the government and its ability to secure large contracts. Additionally, HII has a strong backlog of orders, providing stability and potential for future growth. Overall, HII appears to be a solid investment opportunity in the Aerospace &amp; Defense industry. With a strong financial position, potential for growth, and recent contract wins, the company is well-positioned for success in the coming months.</t>
  </si>
  <si>
    <t>Software</t>
  </si>
  <si>
    <t>The software sector has been a top performer in recent years, driven by technological advancements and the increasing reliance on digital solutions. However, the ongoing geopolitical tensions and potential regulatory changes in the tech industry may pose some risks for investors. On the positive side, the surge in productivity and falling oil prices can benefit software companies, as they can reduce their operating costs and potentially increase profits. Additionally, the increase in mortgage refinance demand due to falling interest rates can stimulate consumer spending, which can have a positive impact on the software sector.</t>
  </si>
  <si>
    <t>Certainly, if you're looking for the top ETF to invest in the software sector, the iShares Expanded Tech-Software Sector ETF (IGV) is a strong choice. It provides broad exposure to software and software-related companies, including both established tech giants and smaller software companies. IHI focuses on companies involved in the research, development, production, and distribution of medical devices, instruments, and equipment. It has the potential to benefit from advancements in healthcare technology and innovation. As always, make sure to research the ETF thoroughly, including factors like expense ratios, holdings, and historical performance, and consider consulting with a financial advisor to align your investment strategy with your specific goals and risk tolerance.</t>
  </si>
  <si>
    <t>IHI</t>
  </si>
  <si>
    <t>Life Sciences Tools &amp; Services</t>
  </si>
  <si>
    <t>The life sciences tools and services sector has shown strong potential for investment in recent years. With advancements in technology and the rise of AI, this sector has seen significant growth and innovation. However, there are also potential risks to consider, such as increased regulation and geopolitical tensions that may impact global markets. The recent news of a surge in U.S. productivity and falling oil prices may have a positive impact on this sector, as it can lead to increased profitability and consumer spending. However, the weaker-than-expected private sector jobs report and potential regulatory changes may also create uncertainty for investors.</t>
  </si>
  <si>
    <t>For the Life Sciences Tools &amp; Services sector, you can consider the following ETF: iShares U.S. Medical Devices ETF (IHI): Reason: IHI provides exposure to companies in the U.S. medical devices industry, which is closely related to the life sciences tools and services sector. This ETF includes companies that produce medical equipment and devices, making it a suitable choice for investors interested in the healthcare and life sciences industries.</t>
  </si>
  <si>
    <t>SMH</t>
  </si>
  <si>
    <t>Semiconductors &amp; Semiconductor Equipment</t>
  </si>
  <si>
    <t>The latest news and economic data suggest a positive outlook for the semiconductors and semiconductor equipment sector. The rise of generative AI models and technological advancements in 2023 have led to an increase in demand for semiconductors, which are essential components in AI technology. Additionally, the ongoing geopolitical tensions in Europe and the Middle East may lead to diversification strategies, potentially benefiting the semiconductor industry. However, potential regulatory changes in the tech sector and the ongoing COVID-19 pandemic may also pose risks for this sector.</t>
  </si>
  <si>
    <t>For the Semiconductors &amp; Semiconductor Equipment sector, you can consider the following ETF: VanEck Vectors Semiconductor ETF (SMH): Reason: SMH is a widely recognized ETF that tracks the performance of companies in the semiconductor industry. It includes both semiconductor  manufacturers and equipment suppliers, providing comprehensive exposure to this sector. SMH is known for its liquidity and holdings of major semiconductor companies, making it a suitable choice for investors interested in the semiconductor industry's growth potential.</t>
  </si>
  <si>
    <t>XLV</t>
  </si>
  <si>
    <t>Health Care Equipment &amp; Supplies</t>
  </si>
  <si>
    <t>The health care equipment and supplies sector has shown resilience in the face of recent economic challenges. With the COVID-19 pandemic no longer a factor and the availability of vaccines, the sector is poised for growth. However, geopolitical tensions in Europe and the Middle East may create uncertainties for global markets, and investors should remain vigilant. On the other hand, technological advancements in the sector, particularly in the field of AI, offer opportunities for tech-focused investors. The recent AI Safety Summit Agreement and the rise of generative AI models have reshaped the industry, but potential regulation in the tech sector should also be considered. Overall, the sector has potential for growth, but investors should carefully monitor market trends and company performance.</t>
  </si>
  <si>
    <t>For the Health Care Equipment &amp; Supplies sector, you can consider the following ETF: Health Care Select Sector SPDR Fund (XLV): Reason: XLV is an ETF that provides exposure to companies in the healthcare sector, including those involved in healthcare equipment and supplies. It encompasses a broad range of healthcare-related industries, making it a diversified option for investors interested in this sector. XLV includes companies that manufacture medical devices, equipment, and supplies, making it well-suited for those looking to invest in healthcare equipment and supplies. Before investing in XLV or any other ETF, it's important to conduct thorough research, review expense ratios, assess holdings, and consider historical performance. Additionally, consulting with a financial advisor can help tailor your investment strategy to your specific goals and risk tolerance.</t>
  </si>
  <si>
    <t>IDNA</t>
  </si>
  <si>
    <t>Health Care Technology</t>
  </si>
  <si>
    <t>The health care technology sector has shown strong potential for growth in recent years, driven by advancements in AI and other technological innovations. However, there are some potential risks to consider, such as increased regulation and potential backlash against the use of AI in the health care industry. The recent news of a global agreement on managing risky forms of AI and the ongoing debate about the ethics of AI in health care may impact the development and regulation of AI technologies in this sector. Additionally, the ongoing COVID-19 pandemic has highlighted the importance of technology in the health care industry, but it has also caused disruptions and uncertainties in the market. Overall, the health care technology sector has promising opportunities for investors, but it is important to carefully monitor developments and potential risks.</t>
  </si>
  <si>
    <t>iShares Genomics Immunology and Healthcare ETF (IDNA): Reason: IDNA seeks to track the investment results of an index composed of developed and emerging market companies that could benefit from long-term growth and innovation in genomics, immunology, and healthcare. This ETF provides  exposure to companies at the forefront of healthcare technology and innovation, including genomics and immunology. IDNA can be a suitable choice for investors interested in the rapidly evolving field of healthcare technology. Please remember to conduct thorough research, review expense ratios, holdings, and historical performance, and consider consulting with a financial advisor to ensure that IDNA aligns with your investment objectives and risk tolerance.</t>
  </si>
  <si>
    <t>MDT</t>
  </si>
  <si>
    <t>January</t>
  </si>
  <si>
    <t>UAL</t>
  </si>
  <si>
    <t>MRK</t>
  </si>
  <si>
    <t>TMO</t>
  </si>
  <si>
    <t>FANG</t>
  </si>
  <si>
    <t>GPN</t>
  </si>
  <si>
    <t>ON</t>
  </si>
  <si>
    <t>GILD</t>
  </si>
  <si>
    <t>PSL</t>
  </si>
  <si>
    <t>Invesco Dynamic Consumer Staples ETF (PSL): Reason: PSL focuses on U.S. consumer staples companies, which include manufacturers and distributors of personal care products. This ETF provides exposure to companies producing items such as toiletries, cosmetics, and personal hygiene products. PSL's focus on consumer staples, which includes personal care products, makes it a relevant choice for investors interested in this sector. Before investing in PSL or any other ETF, it's important to conduct thorough research, review expense ratios, holdings, and historical performance, to ensure it aligns with your investment goals and risk tolerance. Monitoring factors like shipping costs and supply chain disruptions is also advisable given the potential impact on the sector's profitability. Consulting with a financial advisor can provide personalized guidance for your investment strategy.</t>
  </si>
  <si>
    <t>RTH</t>
  </si>
  <si>
    <t>VanEck Vectors Retail ETF (RTH): Reason: RTH is designed to track the performance of companies in the retail sector, including REITs that own and manage retail properties. It provides exposure to a diversified range of retail-related companies, including those involved in physical retail spaces. RTH can be a suitable choice for investors interested in Retail REITs as it covers various retail-related businesses, potentially benefiting from positive economic indicators and potential interest rate cuts. As always, before investing in RTH or any other ETF, conduct thorough research, review expense ratios, holdings, and historical performance to ensure it aligns with your investment goals and risk tolerance. Monitoring economic indicators and sector-specific trends is also essential for informed decision-making. Consulting with a financial advisor can provide personalized guidance for your investment strategy.</t>
  </si>
  <si>
    <t>iShares Expanded Tech-Software Sector ETF (IGV): Reason: IGV tracks an index of software and software-related companies, providing broad exposure to the sector. It includes both established tech giants and smaller software companies. IGV has historically been a popular choice for investors interested in the software industry due to its comprehensive coverage of the sector and potential to benefit from technological advancements and AI development. Before investing in IGV or any other ETF, conduct thorough research, review expense ratios, holdings, and historical performance to ensure it aligns with your investment goals and risk tolerance. Additionally, keep an eye on potential regulatory changes and geopolitical tensions that may impact the sector. Consulting with a financial advisor can provide personalized guidance for your investment strategy.</t>
  </si>
  <si>
    <t>Health Care Select Sector SPDR Fund (XLV): Reason: XLV is an ETF that provides exposure to companies in the healthcare sector, including those involved in healthcare equipment and supplies. It encompasses a broad range of healthcare-related industries, making it a diversified option for investors interested in this sector. XLV includes companies that manufacture medical devices, equipment, and supplies, potentially benefiting from lower borrowing costs and a stable economic environment. Before investing in XLV or any other ETF, conduct thorough research, review expense ratios, holdings, and historical performance to ensure it aligns with your investment goals and risk tolerance. Additionally, monitor market volatility and supply chain disruptions, as these factors can impact the sector's performance. Consulting with a financial advisor can provide personalized guidance for your investment strategy.</t>
  </si>
  <si>
    <t>REZ</t>
  </si>
  <si>
    <t>iShares Global Industrial Real Estate ETF (REZ): Reason: REZ is designed to track the performance of global industrial real estate companies, including REITs that own and manage industrial properties such as warehouses and distribution centers. It provides exposure to companies benefiting from the strong demand for industrial space driven by e-commerce growth. REZ can be a suitable choice for investors interested in Industrial REITs, considering the sector's positive outlook due to e-commerce trends. As always, before investing in REZ or any other ETF, conduct thorough research, review expense ratios, holdings, and historical performance to ensure it aligns with your investment goals and risk tolerance. Monitoring economic indicators, interest rates, and geopolitical tensions is also advisable for informed investment decisions. Consulting with a financial advisor can provide personalized guidance for your investment strategy.</t>
  </si>
  <si>
    <t>EMR</t>
  </si>
  <si>
    <t>February</t>
  </si>
  <si>
    <t>PGR</t>
  </si>
  <si>
    <t>PHM</t>
  </si>
  <si>
    <t>CMI</t>
  </si>
  <si>
    <t>PH</t>
  </si>
  <si>
    <t>BEN</t>
  </si>
  <si>
    <t>SO</t>
  </si>
  <si>
    <t>COR</t>
  </si>
  <si>
    <t>Real Estate Management &amp; Development</t>
  </si>
  <si>
    <t>Given the positive outlook for the real estate management and development sector, a top ETF pick for investors interested in this industry is the Vanguard Real Estate ETF (VNQ). Reasons for choosing VNQ: Diversification: VNQ provides exposure to a diverse range of real estate investment trusts.(REITs), including residential, commercial, industrial, and retail properties. This diversification helps spread risk across different segments of the real estate market. Low Expense Ratio: Vanguard is known for its low-cost index funds and ETFs. VNQ maintains a competitive expense ratio, which means more of your investment returns stay in your pocket rather than being consumed by fees. Dividend Yield: Real estate investment trusts typically offer attractive dividend yields. VNQ's dividend yield historically has been appealing to income-focused investors, making it suitable for those looking for both potential capital appreciation and regular income. Liquidity: VNQ is one of the most liquid real estate ETFs, which means you can easily buy and sell shares without significantly affecting the market price. Performance: The fund has a track record of providing investors with exposure to the performance of the real estate market in the United States. In a sector showing resilience, VNQ can potentially benefit from job growth and improving consumer sentiment. However, it's crucial to keep in mind that all investments carry some level of risk, and the real estate market can be sensitive to interest rate changes and economic conditions. Investors should conduct their own research and consider their risk tolerance before making investment decisions. Additionally, monitoring inflation rates and political tensions, as mentioned in your prompt, is wise for any investment strategy.</t>
  </si>
  <si>
    <t>Specialized REITs</t>
  </si>
  <si>
    <t>PLD</t>
  </si>
  <si>
    <t>Certainly, among the specialized REITs mentioned, if I had to pick one as the best choice, it would be Prologis, Inc. (PLD). Reason for considering Prologis (PLD): Prologis is a well-established and leading industrial REIT with a specialization in logistics and distribution facilities. There are several reasons why it stands out: Strong Industry Trends: The growth of e-commerce and the increasing demand for logistics and distribution space are long-term trends that benefit Prologis. As more consumers turn to online shopping, companies require modern warehouse facilities to meet their logistical needs. Global Reach: Prologis has a significant global presence with properties strategically located in key logistics hubs. This geographic diversification can reduce risk and provide exposure to various markets. Tenant Quality: The company's tenant base often includes reputable and stable businesses, reducing the risk associated with tenant vacancies. Dividend Yield: Prologis typically offers a competitive dividend yield, making it attractive to income-focused investors. Potential for Capital Appreciation: Beyond dividends, Prologis may also offer potential for capital appreciation as the demand for industrial real estate continues to grow. However, it's essential to conduct your own research and consider your investment goals and risk tolerance before making any investment decisions. Real estate investments, even in specialized REITs, come with their own set of risks, and it's vital to have a diversified portfolio to manage risk effectively.</t>
  </si>
  <si>
    <t>Entertainment</t>
  </si>
  <si>
    <t>PEJ</t>
  </si>
  <si>
    <t>For investors looking to gain exposure to the entertainment industry, the Invesco Dynamic Leisure and Entertainment ETF (PEJ) could be a top pick. Reasons for considering PEJ: Diverse Holdings: PEJ offers a diversified portfolio of companies within the leisure and entertainment sector, including those in the fields of restaurants, hotels, casinos, amusement parks, and entertainment services. This diversification can help spread risk across different subsectors. Consumer Discretionary Focus: The ETF is categorized within the Consumer Discretionary sector, which tends to perform well during periods of economic growth and increased consumer spending, making it well-suited for a positive economic outlook. Innovation and Trends: The entertainment industry continually evolves with technological advancements and changing consumer preferences. PEJ aims to capture companies at the forefront of these trends, potentially benefiting from innovations in entertainment and leisure activities. Liquidity: PEJ is typically liquid, meaning it has sufficient trading volume, making it easy to buy and sell shares without significantly affecting market prices. Liquidity: PEJ is typically liquid, meaning it has sufficient trading volume, making it easy to buy and sell shares without significantly affecting market prices. Potential for Growth: As the economy improves and consumer sentiment remains positive, the leisure and entertainment sector can see increased demand. PEJ can provide exposure to this potential growth. However, it's essential to be aware of the risks associated with investing in the entertainment sector. This industry can be sensitive to economic downturns, changes in consumer preferences, and competitive pressures. As with any investment, it's advisable to conduct thorough research, monitor the performance of the ETF, and consider your risk tolerance and investment objectives before making a decision. Additionally, staying informed about industry trends and developments is crucial for successful investing in the entertainment sector.</t>
  </si>
  <si>
    <t>Interactive Media &amp; Services</t>
  </si>
  <si>
    <t>PNQI</t>
  </si>
  <si>
    <t>For investors interested in gaining exposure to the Interactive Media &amp; Services industry, the Invesco NASDAQ Internet ETF (PNQI) stands out as a top pick. Reasons for considering PNQI: Focused Exposure: PNQI is specifically designed to track the performance of companies within the interactive media and services sector, which includes internet-based businesses, online retailers, social media platforms, and digital content providers. Leadership in Innovation: The companies held in PNQI often represent industry leaders and innovators in the digital space. This can provide investors with exposure to firms at the forefront of technological advancements and digital transformation. Diversified Portfolio: The ETF offers a diversified portfolio of interactive media and services companies, reducing the risk associated with investing in individual stocks in the sector. Growth Potential: The interactive media and services industry has demonstrated significant growth in recent years, driven by increasing internet penetration, e-commerce adoption, and digital advertising spending. PNQI can provide exposure to this growth potential. Liquidity: PNQI generally has good liquidity, making it easy to buy and sell shares without causing substantial price fluctuations. Expense Ratio: Invesco typically offers competitive expense ratios, helping investors minimize their costs. However, it's important to note that the interactive media and services sector can be volatile, and individual companies within the sector may face competitive pressures and regulatory challenges. As with any investment, it's advisable to conduct thorough research, monitor the performance of the ETF, and consider your risk tolerance and investment objectives before making a decision. Staying informed about industry trends and developments, as well as the financial health of the companies in the portfolio, is essential for successful investing in this sector.</t>
  </si>
  <si>
    <t>Electric Utilities</t>
  </si>
  <si>
    <t>XLU</t>
  </si>
  <si>
    <t>For investors interested in the Electric Utilities sector, the Utilities Select Sector SPDR Fund (XLU) is a solid choice. Reasons for considering XLU: Stable Income: Electric utilities are known for their stability and reliable income streams. XLU primarily consists of electric utility companies, which typically pay dividends. This can make it an attractive option for income-focused investors. Defensive Investment: The utility sector is often considered defensive because demand for electricity remains relatively stable, even during economic downturns. XLU can serve as a defensive holding in a diversified portfolio. Diversification: XLU provides exposure to a diversified group of electric utility companies, reducing the risk associated with investing in individual utility stocks. Low Volatility: Electric utility stocks tend to exhibit lower volatility compared to other sectors. This can be appealing to investors seeking a less risky investment option. Low Volatility: Electric utility stocks tend to exhibit lower volatility compared to other sectors. This can be appealing to investors seeking a less risky investment option. Regulated Monopolies: Many electric utility companies operate in regulated markets, which can provide a degree of predictability and stability in their revenue streams. Yield and Dividends: XLU typically offers a competitive dividend yield, making it suitable for income-oriented investors looking for consistent payouts. However, it's essential to keep in mind that electric utilities may have limited growth potential compared to other sectors, and their stock prices may be sensitive to interest rate changes. Additionally, regulatory changes or energy policy shifts can impact the sector's performance. Before investing in XLU or any utility-focused ETF, consider your investment objectives, risk tolerance, and the role it plays within your overall portfolio. It's also advisable to monitor developments in the utility industry and the regulatory environment.</t>
  </si>
  <si>
    <t>March</t>
  </si>
  <si>
    <t>LYV</t>
  </si>
  <si>
    <t>KMB</t>
  </si>
  <si>
    <t>KDP</t>
  </si>
  <si>
    <t>LDOS</t>
  </si>
  <si>
    <t>LVS</t>
  </si>
  <si>
    <t>LKQ</t>
  </si>
  <si>
    <t>KR</t>
  </si>
  <si>
    <t>LULU</t>
  </si>
  <si>
    <t>Focused Exposure: PNQI provides targeted exposure to companies within the interactive media and services sector, including internet-based businesses, online retailers, social media platforms, and digital content providers. Industry Leaders: The ETF holds shares of industry-leading  Growth Potential: The interactive media and services industry has demonstrated significant growth driven by increasing internet penetration, e-commerce adoption, and digital advertising spending. PNQI can provide investors with exposure to this growth potential in the sector.companies and innovators in the digital space, offering exposure to firms at the forefront of technological advancements and digital transformation.</t>
  </si>
  <si>
    <t>Reasons for choosing IHI: Comprehensive Exposure: IHI offers exposure to a wide range of companies involved in the life sciences tools and services sector, including medical device manufacturers, diagnostic equipment producers, and companies providing research and testing services. Industry Leaders: The ETF holds shares of prominent companies known for their innovation and leadership in the medical devices and life sciences tools space. These companies often benefit from ongoing advancements in healthcare technology and increased demand for medical devices and diagnostics. Diversification: Investing in IHI provides investors with diversification across various subsectors within the life sciences tools and services industry, reducing the risk associated with investing in individual stocks. This diversification helps capture the overall growth potential of the sector while mitigating company-specific risks. Diversification: Investing in IHI provides investors with diversification across various subsectors within the life sciences tools and services industry, reducing the risk associated with investing in individual stocks. This diversification helps capture the overall growth potential of the sector while mitigating company-specific risks.</t>
  </si>
  <si>
    <t>Biotechnology</t>
  </si>
  <si>
    <t>IBB</t>
  </si>
  <si>
    <t>Reasons for choosing IBB: Broad Exposure: IBB provides exposure to a diverse range of biotechnology companies, including those involved in drug development, genetic engineering, and healthcare innovation. This broad exposure allows investors to benefit from the potential growth of the entire biotechnology sector. Industry Leaders: The ETF holds shares of leading biotechnology companies known for their research and development efforts, innovative pipelines, and potential for breakthrough medical treatments. Investing in IBB provides access to these industry leaders, which may drive long-term returns. Innovation and Growth Potential: Biotechnology is a dynamic and rapidly evolving industry, with ongoing advancements in healthcare technology and medical breakthroughs. IBB offers exposure to the potential growth opportunities presented by innovative biotech companies, making it an attractive option for investors seeking exposure to this high-growth sector.</t>
  </si>
  <si>
    <t>Reasons for choosing VHT: Broad Exposure: VHT provides exposure to a wide range of companies in the health care sector, including those involved in medical equipment, supplies, and technology. It offers a comprehensive view of the industry, capturing the growth potential of various segments within health care equipment and supplies. Diversification: The ETF holds shares of companies across different market capitalizations and subsectors within the health care industry. This diversification helps spread risk and reduce exposure to any single company or segment, making VHT a relatively stable investment option. Low Expense Ratio: Vanguard is known for its low-cost ETFs, and VHT is no exception. With a low expense ratio, investors can benefit from cost-efficient exposure to the health care equipment and supplies sector, ensuring more of their investment returns stay in their pockets over the long term.</t>
  </si>
  <si>
    <t>Diversified Telecommunication Services</t>
  </si>
  <si>
    <t>FCOM</t>
  </si>
  <si>
    <t>Reasons for choosing FCOM: Broad Exposure: FCOM provides exposure to a diversified range of companies within the communication services sector, including telecommunications, media, and internet services. This broad exposure allows investors to benefit from the growth potential of various segments within the industry. Liquidity: FCOM typically has good liquidity, making it easy to buy and sell shares without significantly affecting market prices. This liquidity provides investors with the flexibility to enter and exit positions efficiently. Low Expense Ratio: FCOM has a competitive expense ratio, ensuring that investors can access diversified exposure to the communication services sector at a low cost. This can help maximize returns over the long term by minimizing fees.</t>
  </si>
  <si>
    <t>BRK.B</t>
  </si>
  <si>
    <t>April</t>
  </si>
  <si>
    <t>NVDA</t>
  </si>
  <si>
    <t>MSFT</t>
  </si>
  <si>
    <t>GOOGL</t>
  </si>
  <si>
    <t>AVGO</t>
  </si>
  <si>
    <t>JPM</t>
  </si>
  <si>
    <t>JNJ</t>
  </si>
  <si>
    <t>Health Care Providers &amp; Services</t>
  </si>
  <si>
    <t>Reasons for choosing IHF: Focused Exposure: IHF provides targeted exposure to companies within the health care providers and services sector, including hospitals, clinics, managed care organizations, and other health care facilities. This focused exposure allows investors to directly access the companies involved in delivering health care services. Industry Leaders: The ETF holds shares of leading health care providers known for their market presence, scale, and ability to navigate regulatory challenges. These industry leaders often benefit from stable demand for health care services and may have strong competitive advantages in their respective markets. Growth Potential: The health care providers and services sector is expected to experience continued growth due to factors such as an aging population, increasing health care spending, and ongoing advancements in medical technology. IHF provides exposure to this growth potential, making it an attractive option for investors seeking exposure to the health care industry.</t>
  </si>
  <si>
    <t>EDOC</t>
  </si>
  <si>
    <t>Reasons for choosing EDOC:
Focused Exposure: EDOC provides targeted exposure to companies within the health care technology sector, specifically focusing on telemedicine and digital health companies. This focused exposure allows investors to directly access the companies driving innovation in health care technology.
Growth Potential: The health care technology sector is experiencing rapid growth, driven by factors such as the increasing adoption of telemedicine, remote patient monitoring, and digital health solutions. EDOC offers exposure to this growth potential, providing investors with the opportunity to capitalize on the digital transformation of health care.
Diversification: EDOC holds shares of various companies involved in health care technology, offering diversification across different segments of the industry. This diversification helps spread risk and reduces exposure to any single company or subsector within health care technology.</t>
  </si>
  <si>
    <t>Reasons for choosing IBB:
Broad Exposure: IBB provides exposure to a wide range of biotechnology companies, including those involved in drug development, genetic engineering, and healthcare innovation. This broad exposure allows investors to benefit from the potential growth of the entire biotechnology sector.
Industry Leaders: The ETF holds shares of leading biotechnology companies known for their research and development efforts, innovative pipelines, and potential for breakthrough medical treatments. Investing in IBB provides access to these industry leaders, which may drive long-term returns.
Growth Potential: Biotechnology is a dynamic and rapidly evolving industry, with ongoing advancements in healthcare technology and medical breakthroughs. IBB offers exposure to the potential growth opportunities presented by innovative biotech companies, making it an attractive option for investors seeking exposure to this high-growth sector.</t>
  </si>
  <si>
    <t>Reasons for choosing IDNA:
Focused Exposure: IDNA provides targeted exposure to companies within the life sciences tools and services sector, specifically focusing on genomics and immunology. This focused exposure allows investors to directly access the companies driving innovation in genomics, immunology, and related healthcare technologies.
Growth Potential: The life sciences tools and services sector is experiencing rapid growth, driven by advancements in genomics, immunology, and personalized medicine. IDNA offers exposure to this growth potential, providing investors with the opportunity to capitalize on the transformative impact of these technologies on healthcare.
Diversification: IDNA holds shares of various companies involved in life sciences tools and services, offering diversification across different segments of the industry. This diversification helps spread risk and reduces exposure to any single company or subsector within the life sciences tools and services sector.</t>
  </si>
  <si>
    <t>IT Services</t>
  </si>
  <si>
    <t>Reasons for choosing IGV:
Broad Exposure: IGV provides exposure to a wide range of companies within the IT services sector, specifically focusing on software companies. This broad exposure encompasses various segments of IT services, including software development, IT consulting, and software-as-a-service (SaaS) providers.
Industry Leaders: The ETF holds shares of leading IT services companies known for their innovation, market presence, and strong growth potential. These industry leaders often benefit from recurring revenue models, high margins, and the increasing demand for software solutions across industries.
Growth Potential: The IT services sector is experiencing rapid growth, driven by digital transformation initiatives, cloud computing adoption, and the increasing importance of software in business operations. IGV offers exposure to this growth potential, providing investors with the opportunity to capitalize on the continued expansion of the IT services industry.</t>
  </si>
  <si>
    <t>May</t>
  </si>
  <si>
    <t>DHR</t>
  </si>
  <si>
    <t>ABBV</t>
  </si>
  <si>
    <t>For the Health Care Technology industry, a top ETF pick would be the Global X Telemedicine &amp; Digital Health ETF (EDOC). Reasons for choosing EDOC: Focused Exposure: EDOC provides targeted exposure to companies within the health care technology sector, specifically focusing on telemedicine and digital health companies. This focused exposure allows investors to directly access the companies driving innovation in health care technology. Growth Potential: The health care technology sector is experiencing rapid growth, driven by factors such as the increasing adoption of telemedicine, remote patient monitoring, and digital health solutions. EDOC offers exposure to this growth potential, providing investors with the opportunity to capitalize on the digital transformation of health care. Diversification: EDOC holds shares of various companies involved in health care technology, offering diversification across different segments of the industry. This diversification helps spread risk and reduces exposure to any single company or subsector within health care technology.</t>
  </si>
  <si>
    <t>For the Semiconductors &amp; Semiconductor Equipment industry, a top ETF pick would be the VanEck Vectors Semiconductor ETF (SMH). Reasons for choosing SMH: Industry Exposure: SMH provides exposure to companies primarily involved in the design, manufacture, and distribution of semiconductors and semiconductor equipment. This includes companies engaged in the production of integrated circuits, memory chips, and other semiconductor components. Growth Potential: The semiconductor industry is a key enabler of technological advancements, driving innovation in areas such as artificial intelligence, 5G connectivity, and autonomous vehicles. SMH offers exposure to the growth potential of the semiconductor sector, providing investors with an opportunity to capitalize on the continued expansion of the global semiconductor market.</t>
  </si>
  <si>
    <t>For the Biotechnology industry, a top ETF pick would be the iShares Nasdaq Biotechnology ETF (IBB). Reasons for choosing IBB: Broad Exposure: IBB provides exposure to a wide range of biotechnology companies, including those involved in drug development, genetic engineering, and healthcare innovation. This broad exposure allows investors to benefit from the potential growth of the entire biotechnology sector. Industry Leaders: The ETF holds shares of leading biotechnology companies known for their research and development efforts, innovative pipelines, and potential for breakthrough medical treatments. Investing in IBB provides access to these industry leaders, which may drive long-term returns. Industry Leaders: The ETF holds shares of leading biotechnology companies known for their research and development efforts, innovative pipelines, and potential for breakthrough medical treatments. Investing in IBB provides access to these industry leaders, which may drive long-term returns. Growth Potential: Biotechnology is a dynamic and rapidly evolving industry, with ongoing advancements in healthcare technology and medical breakthroughs. IBB offers exposure to the potential growth opportunities presented by innovative biotech companies, making it an attractive option for investors seeking exposure to this high-growth sector.</t>
  </si>
  <si>
    <t>For the Life Sciences Tools &amp; Services industry, a top ETF pick would be the iShares Genomics Immunology and Healthcare ETF (IDNA). Reasons for choosing IDNA: Focused Exposure: IDNA provides targeted exposure to companies within the life sciences tools and services sector, specifically focusing on genomics, immunology, and healthcare technologies. This focused exposure allows investors to directly access the companies driving innovation in these areas. Growth Potential: The life sciences tools and services sector is experiencing rapid growth, driven by advancements in genomics, immunology, and personalized medicine. IDNA offers exposure to this growth potential, providing investors with the opportunity to capitalize on the transformative impact of these technologies on healthcare. Diversification: IDNA holds shares of various companies involved in life sciences tools and services, offering diversification across different segments of the industry. This diversification helps spread risk and reduces exposure to any single company or subsector within the life sciences tools and services sector.</t>
  </si>
  <si>
    <t>Technology Hardware Storage &amp; Peripherals</t>
  </si>
  <si>
    <t>QQQ</t>
  </si>
  <si>
    <t>Certainly, for the Technology Hardware Storage &amp; Peripherals industry, a top ETF pick available on Robinhood would be the Invesco QQQ Trust (QQQ). Reasons for choosing QQQ: Broad Exposure: QQQ primarily tracks the Nasdaq-100 Index, which includes significant exposure to technology hardware, storage, and peripherals companies. This provides broad coverage of the industry, including major players in hardware manufacturing and storage solutions. Industry Leaders: QQQ holds shares of leading technology companies known for their innovation and market dominance. These companies often play a key role in the development and distribution of hardware components and peripherals, driving long-term growth potential. Industry Leaders: QQQ holds shares of leading technology companies known for their innovation and market dominance. These companies often play a key role in the development and distribution of hardware components and peripherals, driving long-term growth potential. Liquidity and Accessibility: QQQ is one of the most widely traded ETFs, offering high liquidity and accessibility to investors. Its popularity and trading volume make it easy to buy and sell shares on platforms like Robinhood, providing investors with flexibility and convenience.</t>
  </si>
  <si>
    <t>ACN</t>
  </si>
  <si>
    <t>June</t>
  </si>
  <si>
    <t>REET</t>
  </si>
  <si>
    <t>For the Health Care REITs industry, a top ETF pick would be the iShares Global Healthcare REIT ETF (REET).
Reasons for choosing REET:
Global Exposure: REET provides exposure to health care real estate investment trusts (REITs) from around the world. This global exposure allows investors to benefit from the diversification across different geographical regions and healthcare systems.
Focus on Health Care: The ETF specifically targets companies that own and operate health care-related real estate properties, such as hospitals, medical office buildings, and senior housing facilities. This focus ensures direct exposure to the health care REIT sector.
Stable Demand: Health care real estate is known for its stable demand, driven by the essential nature of health care services. As the demand for health care services remains strong, health care REITs are well-positioned to generate consistent rental income and potential long-term growth.</t>
  </si>
  <si>
    <t>For the Health Care Technology industry, a top ETF pick would be the ARK Genomic Revolution ETF (ARKG).
Reasons for choosing ARKG:
Focused Exposure: ARKG provides targeted exposure to companies at the forefront of the health care technology sector, particularly those involved in genomics, AI, and other emerging technologies. This focused exposure allows investors to directly access the companies driving innovation in health care technology.
Innovation Leadership: The ETF holds shares of companies known for their leadership and innovation in health care technology, including those leading the charge in AI and genomics. These companies are well-positioned to capitalize on the growing demand for advanced health care solutions.
Long-term Growth Potential: The health care technology sector is expected to experience continued growth driven by advancements in AI, genomics, and other emerging technologies. ARKG offers exposure to this long-term growth potential, providing investors with an opportunity to capitalize on the transformative impact of technology on health care.</t>
  </si>
  <si>
    <t>PSI</t>
  </si>
  <si>
    <t>For the Electronic Equipment, Instruments &amp; Components industry, a top ETF pick would be the Invesco Dynamic Semiconductors ETF (PSI).
Reasons for choosing PSI:
Focused Exposure: PSI provides targeted exposure to companies within the electronic equipment, instruments, and components sector, specifically focusing on semiconductor manufacturers. This focused exposure allows investors to directly access companies involved in the design, manufacturing, and distribution of semiconductor products.
Innovation and Growth: The ETF holds shares of companies at the forefront of technological innovation, particularly in emerging technologies like artificial intelligence. Semiconductor companies play a critical role in powering AI and other advanced technologies, positioning PSI to benefit from the growth in this sector.
Resilience: Despite economic challenges, the electronic equipment, instruments, and components sector has shown resilience, driven by the demand for advanced electronic components and semiconductors. PSI offers exposure to this resilience, providing investors with an opportunity to capitalize on the sector's continued performance and growth potential.</t>
  </si>
  <si>
    <t>XTL</t>
  </si>
  <si>
    <t>For the Communications Equipment industry, a top ETF pick would be the SPDR S&amp;P Telecom ETF (XTL).
Reasons for choosing XTL:
Focused Exposure: XTL provides targeted exposure to companies within the communications equipment sector, specifically focusing on telecommunications equipment manufacturers. This focused exposure allows investors to directly access companies involved in the design, manufacturing, and distribution of communication equipment.
Resilience and Growth: Despite economic uncertainties, the communications equipment sector has shown resilience, driven by the growing demand for advanced communication technologies. XTL offers exposure to this resilience and potential for growth, providing investors with an opportunity to capitalize on the sector's performance.
Diversification: XTL holds shares of various companies within the communications equipment sector, offering diversification across different segments of the industry. This diversification helps spread risk and reduces exposure to any single company or subsector within the sector.</t>
  </si>
  <si>
    <t>For the Technology Hardware, Storage &amp; Peripherals industry, a top ETF pick would be the VanEck Vectors Semiconductor ETF (SMH).
Reasons for choosing SMH:
Focused Exposure: SMH provides targeted exposure to companies within the technology hardware, storage, and peripherals sector, with a primary focus on semiconductor manufacturers. This focused exposure allows investors to directly access companies involved in the design, manufacturing, and distribution of semiconductor products, which are integral components of various technological devices.
Resilience and Growth: Despite potential challenges such as inflation concerns and geopolitical tensions, the technology hardware, storage, and peripherals sector has been a top performer in recent years, driven by the increasing demand for advanced technologies like artificial intelligence. SMH offers exposure to this resilience and potential for growth, providing investors with an opportunity to capitalize on the sector's performance.
Industry Leadership: SMH holds shares of leading semiconductor companies known for their innovation, market presence, and strong growth potential. These companies are well-positioned to navigate challenges and capitalize on opportunities within the sector, driving long-term returns for investors.</t>
  </si>
  <si>
    <t>July</t>
  </si>
  <si>
    <t>D</t>
  </si>
  <si>
    <t>d</t>
  </si>
  <si>
    <t>IYR</t>
  </si>
  <si>
    <t>For the Health Care REITs industry, a top ETF pick available on Robinhood would be the iShares U.S. Real Estate ETF (IYR).
Reasons for choosing IYR:
Focused Exposure: IYR provides exposure to the U.S. real estate market, including companies involved in health care real estate investment trusts (REITs). This includes properties such as hospitals, medical offices, and senior housing facilities, offering direct exposure to the health care REIT sector.
Stable Demand: Health care REITs benefit from stable demand for their properties, driven by the essential nature of health care services. As the demand for health care services remains strong, particularly with demographic trends favoring senior care, IYR is well-positioned to capture this stable income stream.
Income Potential: REITs are known for their dividend distributions, providing investors with potential income through regular dividends. IYR includes health care REITs that typically distribute dividends, making it attractive for income-focused investors.
IYR is accessible on Robinhood, providing investors with ease of access to invest in the health care REIT sector while monitoring economic indicators that may impact performance over the medium to long term.</t>
  </si>
  <si>
    <t>For the Health Care Technology industry, a top ETF pick would be the ARK Genomic Revolution ETF (ARKG).
Reasons for choosing ARKG:
Focused Exposure: ARKG provides targeted exposure to companies at the forefront of health care technology, including those involved in genomics, AI, and other emerging technologies. This focused exposure allows investors to directly access the companies driving innovation in health care.
Innovation Leadership: The ETF holds shares of companies known for their leadership and innovation in health care technology, such as those advancing AI applications in medical diagnostics and treatment. These companies are well-positioned to benefit from the growing demand for advanced health care solutions.
Long-term Growth Potential: Despite economic uncertainties and geopolitical tensions, the health care technology sector is expected to experience continued growth driven by advancements in AI and genomics. ARKG offers exposure to this long-term growth potential, providing investors with an opportunity to capitalize on the transformative impact of technology on health care.</t>
  </si>
  <si>
    <t>TDIV</t>
  </si>
  <si>
    <t>For the Electronic Equipment, Instruments &amp; Components industry, a top ETF pick would be the First Trust Nasdaq Technology Dividend Index Fund (TDIV).
Reasons for choosing TDIV:
Focused Exposure: TDIV provides targeted exposure to companies within the electronic equipment, instruments, and components sector, specifically focusing on technology companies that pay dividends. This includes manufacturers of electronic components, instruments, and related technologies.
Dividend Yield: The ETF focuses on technology companies that have a history of paying dividends, providing investors with potential income in addition to capital appreciation. This can be attractive for investors seeking regular income from their investments.
Sector Resilience: Despite economic challenges, the electronic equipment, instruments, and components sector has shown resilience, driven by advancements in emerging technologies like artificial intelligence. TDIV offers exposure to this sector's growth potential while mitigating some risks through dividends and diversified holdings.</t>
  </si>
  <si>
    <t>IYW</t>
  </si>
  <si>
    <t>or the Communications Equipment industry, a top ETF pick would be the iShares U.S. Technology ETF (IYW).
Reasons for choosing IYW:
Focused Exposure: IYW provides targeted exposure to companies within the U.S. communications equipment sector, including those involved in the development and manufacturing of communication equipment and technologies.
Industry Leaders: The ETF holds shares of leading companies known for their innovation and market presence in communications equipment, such as those benefiting from the growing demand for AI-powered technologies. This includes companies like Nvidia, which are pivotal in driving advancements in communication technologies.
Resilience and Growth: Despite economic uncertainties and geopolitical tensions, the communications equipment sector has shown resilience and continued growth prospects. IYW offers exposure to this sector's potential for growth driven by ongoing technological advancements and increasing global connectivity demands.</t>
  </si>
  <si>
    <t>For the Technology Hardware, Storage &amp; Peripherals industry, a top ETF pick would be the Invesco QQQ Trust (QQQ).
Reasons for choosing QQQ:
Broad Exposure: QQQ provides exposure to a diversified portfolio of large-cap technology companies, including those involved in hardware, storage, and peripherals. This includes companies at the forefront of artificial intelligence and other advanced technologies.
Industry Leadership: The ETF holds shares of leading technology companies known for their innovation and market dominance in hardware, storage, and peripherals. These companies are well-positioned to benefit from ongoing technological advancements despite potential economic challenges.
Long-term Growth Potential: Despite potential short-term volatility due to economic uncertainties and geopolitical tensions, the technology hardware, storage, and peripherals sector is expected to experience continued growth over the long term. QQQ offers exposure to this growth potential, making it a suitable choice for investors seeking to capitalize on the sector's innovation and resilience.</t>
  </si>
  <si>
    <t>August</t>
  </si>
  <si>
    <t>G</t>
  </si>
  <si>
    <t>GOOG</t>
  </si>
  <si>
    <t>TSLA</t>
  </si>
  <si>
    <t>BAC</t>
  </si>
  <si>
    <t>LIN</t>
  </si>
  <si>
    <t>For the Health Care Technology sector, a top ETF pick available on Robinhood would be the ARK Genomic Revolution ETF (ARKG).
Reasons for choosing ARKG:
Focus on Innovation: ARKG targets companies at the forefront of health care technology, including those involved in genomics, biotechnology, and AI applications in medicine. This makes it a strong choice for investors interested in cutting-edge technologies that drive growth in the sector.
Long-Term Growth Potential: Despite short-term challenges such as inflation and potential regulatory changes, the long-term outlook for health care technology remains positive. ARKG offers exposure to companies that are well-positioned to benefit from ongoing advancements and innovation in health care.
Resilience and Leadership: The ETF includes leading companies in health care technology that are driving significant advancements in AI and other emerging technologies. These companies are likely to maintain their leadership positions and drive sector growth despite potential near-term volatility.</t>
  </si>
  <si>
    <t>For the Specialized REITs sector, a top ETF pick available on Robinhood would be the iShares U.S. Real Estate ETF (IYR).
Reasons for choosing IYR:
Diversified Real Estate Exposure: IYR offers broad exposure to the U.S. real estate sector, including specialized REITs that focus on niche real estate markets. This provides investors with diversified access to various types of specialized real estate investments.
Economic Resilience: Despite potential short-term volatility due to rising interest rates and economic uncertainties, IYR includes REITs that can benefit from strong demand for specialized properties, such as data centers, cell towers, and health care facilities.
Long-Term Growth Potential: The ETF's exposure to a wide range of real estate sectors, including specialized REITs, positions it well for medium to long-term growth. As the U.S. economy supports demand for specialized real estate, IYR offers potential for continued performance and resilience.</t>
  </si>
  <si>
    <t>XLP</t>
  </si>
  <si>
    <t>For the Beverages sector, a top ETF pick available on Robinhood would be the Consumer Staples Select Sector SPDR Fund (XLP).
Reasons for choosing XLP:
Focused Exposure: XLP provides targeted exposure to the consumer staples sector, which includes major beverage companies. This ETF includes leading firms in the beverage industry, allowing investors to access top performers within the sector.
Economic Resilience: The consumer staples sector, including beverages, tends to be resilient during economic fluctuations due to consistent consumer demand. Despite challenges such as inflation and geopolitical tensions, XLP offers exposure to companies that benefit from steady consumer spending.
Growth and Stability: XLP captures the long-term growth potential of the beverages sector while providing stability through its diversified holdings in consumer staples. This makes it a suitable choice for investors seeking both growth and resilience in the face of potential market volatility.</t>
  </si>
  <si>
    <t>For the Semiconductors &amp; Semiconductor Equipment sector, a top ETF pick available on Robinhood would be the VanEck Vectors Semiconductor ETF (SMH).
Reasons for choosing SMH:
Sector Focus: SMH provides concentrated exposure to the semiconductor industry, including companies involved in the design, manufacturing, and distribution of semiconductor products. This makes it a strong choice for investors seeking targeted exposure to the semiconductor sector.
Growth Drivers: The ETF includes leading companies benefiting from the increasing demand for semiconductors across various industries such as automotive and consumer electronics. This positions SMH well for continued growth driven by technological advancements and expanding market needs.
Resilience and Performance: Despite potential short-term challenges like supply chain disruptions and regulatory changes, SMH offers exposure to industry leaders with strong growth potential. The ETF’s focus on major semiconductor companies helps capture the sector's long-term growth prospects.</t>
  </si>
  <si>
    <t>For the Software sector, a top ETF pick available on Robinhood would be the Invesco QQQ Trust (QQQ).
Reasons for choosing QQQ:
Technology Focus: QQQ includes a significant allocation to software companies, particularly those leading in generative AI and other cutting-edge technologies. This ETF offers exposure to some of the top performers in the software sector.
Growth Potential: The ETF captures the growth of the software sector driven by advancements in AI and increased adoption of software solutions across industries. Despite short-term challenges, QQQ is well-positioned to benefit from the sector's long-term trends.
Diversification and Resilience: QQQ provides diversification across major technology companies, including those in the software sector. This diversification helps mitigate risks associated with individual stocks and provides resilience against sector-specific uncertainties and broader economic challenges.</t>
  </si>
  <si>
    <t>AMD</t>
  </si>
  <si>
    <t>N</t>
  </si>
  <si>
    <t>VZ</t>
  </si>
  <si>
    <t>ADP</t>
  </si>
  <si>
    <t>AMT</t>
  </si>
  <si>
    <t>AJG</t>
  </si>
  <si>
    <t>GEV</t>
  </si>
  <si>
    <t>NOT DONE</t>
  </si>
  <si>
    <t>TAN</t>
  </si>
  <si>
    <t>XLI</t>
  </si>
  <si>
    <t>XLB</t>
  </si>
  <si>
    <t>CDNS</t>
  </si>
  <si>
    <t>DONE</t>
  </si>
  <si>
    <t>LLY</t>
  </si>
  <si>
    <t>MU</t>
  </si>
  <si>
    <t>FCX</t>
  </si>
  <si>
    <t>For the Health Care Equipment &amp; Supplies sector, a top ETF pick available on Robinhood would be the Vanguard Health Care ETF (VHT).
Reasons for choosing VHT:
Comprehensive Exposure: VHT offers broad exposure to the health care sector, including companies involved in health care equipment and supplies. This ETF encompasses a diverse range of firms that manufacture medical devices and supplies, providing a well-rounded investment option.
Positive Long-Term Outlook: The aging population, increasing prevalence of chronic diseases, and ongoing advancements in medical technology indicate strong long-term demand for health care products. VHT captures this growth potential by including companies that are positioned to benefit from these trends.
Innovation and Resilience: The ETF includes companies at the forefront of technological advancements in health care, such as the integration of AI and personalized medicine. This focus on innovation helps VHT maintain resilience in the face of short-term challenges like supply chain disruptions and geopolitical tensions.</t>
  </si>
  <si>
    <t>For the Technology Hardware, Storage &amp; Peripherals sector, a top ETF pick available on Robinhood would be the Invesco QQQ Trust (QQQ).
Reasons for choosing QQQ:
Strong Technology Exposure: QQQ focuses on the Nasdaq-100 Index, which includes a significant number of leading technology companies, including those in the hardware, storage, and peripherals segments. This provides direct access to industry leaders, including Nvidia, which has recently driven growth in the sector.
Resilience and Economic Alignment: The ETF's performance is closely tied to the overall health of the U.S. economy. With strong private sector job growth and consumer demand for technology products, QQQ is well-positioned to benefit from continued economic resilience.
Innovation Driven by AI: QQQ includes companies at the forefront of AI advancements, which are driving innovation in technology hardware and peripherals. The ETF captures the growth potential associated with the integration of AI into various products, making it a suitable choice for investors looking to capitalize on technological advancements in the sector.</t>
  </si>
  <si>
    <t>For the Semiconductors &amp; Semiconductor Equipment sector, a top ETF pick available on Robinhood would be the VanEck Vectors Semiconductor ETF (SMH).
Reasons for choosing SMH:
Focused Exposure: SMH provides direct exposure to the semiconductor industry, including companies involved in the production of semiconductor chips and equipment. This makes it an ideal choice for investors looking to capitalize on the growth of this specific sector.
Growth Driven by AI: The ETF includes leading semiconductor companies that are benefiting from the increasing demand for advanced chips driven by the integration of AI technology across various industries. This focus on innovation positions SMH to capture significant growth potential as AI continues to expand.
Resilience Amid Economic Challenges: Despite potential risks from economic challenges and geopolitical uncertainties, the semiconductor industry has shown resilience, supported by strong demand for electronic devices. SMH offers investors a way to gain exposure to this robust sector while navigating broader economic trends.</t>
  </si>
  <si>
    <t>For the IT Services sector, a top ETF pick available on Robinhood would be the iShares Expanded Tech Sector ETF (IGV).
Reasons for choosing IGV:
Targeted Exposure: IGV provides focused exposure to the technology sector, particularly software and IT services companies. This includes firms involved in cloud computing, data management, and software development, which are critical components of the IT services landscape.
Growth Driven by AI: The ETF includes companies that are leveraging artificial intelligence to drive innovation and efficiency within their services. As the demand for AI integration continues to rise across various industries, IGV is positioned to benefit from this growth trend in IT services.
Resilience Amid Economic Challenges: Despite potential geopolitical tensions and economic uncertainties, the IT services sector has historically shown resilience. The strong employment data and continued private sector growth suggest that companies within IGV are well-positioned to navigate short-term challenges while capitalizing on long-term growth opportunities in the tech industry.</t>
  </si>
  <si>
    <t>XSW</t>
  </si>
  <si>
    <t>For the Software sector, a top ETF pick available on Robinhood would be the SPDR S&amp;P Software &amp; Services ETF (XSW).
Reasons for choosing XSW:
Targeted Exposure: XSW focuses specifically on software and services companies, capturing a diverse range of firms involved in developing and delivering software solutions. This makes it an excellent choice for investors looking to invest directly in the software sector.
Growth from AI Integration: The ETF includes companies that are leveraging artificial intelligence in their software solutions. As the demand for AI-driven applications continues to grow, XSW positions itself to benefit from the innovations and advancements in this field.
Resilience Amid Economic Fluctuations: Despite challenges in the broader economy, the software sector has historically demonstrated resilience. With strong demand for software solutions and ongoing advancements, XSW provides a way to capitalize on the growth potential of the sector while managing risks associated with individual companies.</t>
  </si>
  <si>
    <t>Stay</t>
  </si>
  <si>
    <t>Add</t>
  </si>
  <si>
    <t>WMT</t>
  </si>
  <si>
    <t>BKNG</t>
  </si>
  <si>
    <t>BLK</t>
  </si>
  <si>
    <t>For the Independent Power and Renewable Electricity Producers sector, a top ETF pick available on Robinhood would be the Invesco Solar ETF (TAN).
Reasons for choosing TAN:
Focused Exposure to Renewable Energy: TAN specifically targets the solar energy sector, which is a critical component of the broader renewable energy landscape. This ETF provides direct access to companies involved in solar power production, equipment manufacturing, and technology development.
Positive Economic Outlook: The ongoing global shift towards sustainable energy sources bodes well for TAN, as demand for renewable energy solutions continues to grow in response to climate change and energy security concerns. The ETF is well-positioned to benefit from this trend.
Technological Advancements: TAN includes companies that are at the forefront of technological developments in solar energy, which can lead to innovation and efficiency improvements. As advancements in solar technology continue, the ETF stands to gain from increased adoption and investment in renewable energy.</t>
  </si>
  <si>
    <t>For the Semiconductors &amp; Semiconductor Equipment sector, a top ETF pick available on Robinhood would be the iShares Semiconductor ETF (SOXX).
Reasons for choosing SOXX:
Focused Exposure to Semiconductors: SOXX specifically targets the semiconductor industry, providing direct investment in companies engaged in the design, distribution, manufacture, and sale of semiconductors. This makes it an ideal choice for investors looking to capitalize on the growth potential within this sector.
Strong Technology Leadership: The ETF includes leading semiconductor companies such as Nvidia, which are at the forefront of technological advancements in AI and high-performance computing. These leaders are well-positioned to benefit from the increasing demand for advanced semiconductor solutions across various industries.
Resilience Amid Economic Challenges: Despite mixed economic signals and geopolitical tensions, the semiconductor industry has shown resilience due to its critical role in the tech sector. SOXX provides exposure to this stability, allowing investors to potentially navigate the current economic headwinds while capturing long-term growth opportunities.</t>
  </si>
  <si>
    <t>IYJ</t>
  </si>
  <si>
    <t>For exposure to the Professional Services sector, consider the iShares U.S. Industrials ETF (IYJ). This ETF includes companies in industries such as aerospace, defense, construction, and engineering services, which are integral to the professional services sector.
Key Features of IYJ:
Diversified Exposure: IYJ provides access to a broad range of industrial companies, including those offering professional services like engineering and consulting.
Resilience in Economic Cycles: The industrial sector often demonstrates resilience during economic fluctuations, making it a potentially stable investment choice.
Growth Potential: As businesses seek specialized expertise to navigate complex challenges, companies within this ETF may experience increased demand for their services.
Investing in IYJ allows you to tap into the growth and stability of the professional services sector within the industrial industry.</t>
  </si>
  <si>
    <t>For the Health Care Technology sector, a top ETF pick available on Robinhood would be the ARK Health Innovation ETF (ARKG).
Reasons for choosing ARKG:
Focused Exposure to Health Care Technology: ARKG invests in companies that are specifically focused on health care innovation, including those involved in AI, telemedicine, and advanced medical devices. This targeted exposure allows investors to capitalize on the rapid advancements and innovations within the health care technology space.
Resilience and Growth Potential: The health care technology sector has shown resilience amid broader economic fluctuations, driven by consistent demand for innovative health care solutions. ARKG captures this growth potential by including companies positioned to benefit from trends like an aging population and the increasing need for improved medical technologies.
Investment in Cutting-Edge Technologies: The ETF emphasizes companies at the forefront of technological advancements in health care, which include AI applications and telehealth services. This focus on innovation is likely to drive future growth, especially as the industry adapts to changing demands and integrates new technologies into health care delivery.</t>
  </si>
  <si>
    <t>IHE</t>
  </si>
  <si>
    <t>For the Pharmaceuticals sector, a top ETF pick available on Robinhood would be the iShares U.S. Pharmaceuticals ETF (IHE).
Reasons for choosing IHE:
Targeted Exposure: IHE provides focused exposure to U.S. pharmaceutical companies, allowing investors to gain access to major firms involved in the development and distribution of pharmaceuticals. This ETF includes many of the industry leaders that are driving innovation and addressing ongoing health challenges.
Resilience in Demand: The pharmaceutical sector has historically shown resilience during economic downturns, as demand for essential medical treatments remains stable. IHE captures this stability, particularly in light of the aging population and the rise of chronic diseases, which continue to drive strong demand for pharmaceutical products.
Innovation and Technology: The ETF includes companies that are leveraging technological advancements, such as digital health solutions, personalized medicine, and AI in drug development. This focus on innovation positions IHE to benefit from the ongoing transformation of the pharmaceutical industry, enhancing its growth potential in the coming years.</t>
  </si>
  <si>
    <t>New</t>
  </si>
  <si>
    <t>BX</t>
  </si>
  <si>
    <t>CTAS</t>
  </si>
  <si>
    <t>ZTS</t>
  </si>
  <si>
    <t>RCL</t>
  </si>
  <si>
    <t>ADSK</t>
  </si>
  <si>
    <t>Based on the recent news and economic outlook provided for the software sector, a strong ETF pick for this sector would be the Invesco QQQ Trust (QQQ).
Reasons for choosing QQQ:
Exposure to Leading Software Companies: QQQ tracks the Nasdaq-100 Index, which includes major tech giants such as Nvidia. These companies are directly benefiting from the rise of artificial intelligence (AI) and other emerging technologies, which are driving growth within the software sector.
Resilient Economic Outlook: With favorable economic conditions and strong consumer spending, QQQ is well-positioned to capitalize on the software sector's continued growth. The ETF's focus on high-growth tech companies ensures exposure to industries that are driving innovation in software and AI.
Growth Potential from Technological Developments: QQQ includes companies at the forefront of AI and other technological advancements. As these companies continue to lead in software innovation, particularly with developments like the 24 Exchange, QQQ offers substantial growth potential for investors interested in the evolving software sector.
This ETF gives investors targeted exposure to the software sector's top performers and the advancements driving its growth, while mitigating risks associated with broader economic and political uncertainties.</t>
  </si>
  <si>
    <t>For the Biotechnology sector, a top ETF pick available on Robinhood would be the iShares Nasdaq Biotechnology ETF (IBB).
Reasons for choosing IBB:
Targeted Exposure to Biotechnology: IBB is specifically designed to give investors exposure to the biotechnology sector. It holds a diversified range of companies focused on the development and commercialization of new medical treatments, which is crucial for capitalizing on the industry's growth.
Growth Driven by Innovation: The biotechnology sector continues to lead in technological advancements, including AI and innovations in treatments and therapies. IBB provides access to companies at the forefront of these developments, positioning it well for long-term growth as these technologies advance.
Resilience and Economic Outlook: Despite political and geopolitical uncertainties, the biotech industry has shown resilience, particularly with the continued demand for innovative medical solutions. IBB captures the upside potential from the sector’s stability and its essential role in the global healthcare ecosystem.</t>
  </si>
  <si>
    <t>For the Life Sciences Tools &amp; Services sector, a top ETF pick available on Robinhood would be the iShares U.S. Medical Devices ETF (IHI).
Reasons for choosing IHI:
Focused Exposure to Health Care Tools and Services: IHI focuses on companies involved in the development and production of medical devices and services, which aligns well with the life sciences tools and services sector. It includes firms leveraging advanced technologies like AI to drive innovation in drug discovery and medical solutions.
Growth from Technological Advancements: With the rise of artificial intelligence, automation, and cutting-edge technologies, IHI captures companies at the forefront of these innovations, particularly in the medical and healthcare sectors. This provides strong growth potential as these technologies improve and evolve.
Resilience and Economic Outlook: The life sciences tools and services sector has shown resilience and is poised for long-term growth, particularly with the ongoing demand for health care and pharmaceutical services. IHI provides exposure to companies that benefit from these trends, offering a stable investment with substantial upside potential as the sector continues to expand.</t>
  </si>
  <si>
    <t>ITA</t>
  </si>
  <si>
    <t>For the Aerospace &amp; Defense sector, a top ETF pick available on Robinhood would be the iShares U.S. Aerospace &amp; Defense ETF (ITA).
Reasons for choosing ITA:
Focused Exposure: ITA offers targeted exposure to U.S. companies in the aerospace and defense sector, including those involved in military and defense equipment manufacturing, aerospace systems, and related technologies. This makes it an ideal choice for investors looking to invest specifically in this sector.
Growth from Increased Military Spending: The global geopolitical tensions and conflicts, along with the increased military spending, provide a strong tailwind for the sector. ITA includes companies that are likely to benefit from this demand for defense equipment and systems.
Technological Advancements: ITA includes companies at the forefront of technological innovations, including AI, automation, and emerging technologies like small modular nuclear reactors. These advancements contribute to the modernization and efficiency of defense systems, which could drive long-term growth in the sector.</t>
  </si>
  <si>
    <t>For the Health Care Technology sector, a top ETF pick available on Robinhood would be the iShares U.S. Healthcare Providers ETF (IHF).
Reasons for choosing IHF:
Exposure to Healthcare Technology: IHF offers exposure to companies within the healthcare provider space, including those leveraging technology to improve patient care, enhance diagnostic accuracy, and streamline medical processes. This makes it well-suited for capturing growth in the health care technology sector.
Growth Driven by Emerging Technologies: The ETF includes companies that are at the forefront of adopting AI and other technological innovations in healthcare. These advancements are expected to significantly improve patient outcomes and operational efficiencies, positioning IHF to benefit from long-term growth in health care technology.
Resilience and Innovation: The overall resilience of the U.S. economy and continued strength in manufacturing data suggest that health care technology companies will likely maintain their growth trajectory. Additionally, innovations in areas like AI and small modular nuclear reactors are creating new opportunities for companies in this space, making IHF a strong choice for exposure to this sector.</t>
  </si>
  <si>
    <t>STAY</t>
  </si>
  <si>
    <t>NEW</t>
  </si>
  <si>
    <t>APH</t>
  </si>
  <si>
    <t>For the IT Services sector, a top ETF pick available on Robinhood would be the Invesco QQQ Trust (QQQ).
Reasons for choosing QQQ:
Exposure to Leading IT Services Companies: QQQ tracks the Nasdaq-100 Index, which includes many companies that are key players in IT services, cloud computing, and digital transformation. These companies are at the forefront of emerging technologies like AI, which is driving growth in the sector.
Growth Driven by Digital Transformation: As businesses continue to invest in technology to improve efficiency and competitiveness, QQQ provides exposure to companies benefiting from this trend, positioning it well for growth in 2025 and beyond.
Strong Economic Outlook for Tech: The strong earnings growth expectations for the U.S. economy and the robust performance of the technology sector bode well for IT services. QQQ’s focus on high-growth technology companies ensures exposure to the momentum in the sector, while also offering diversification to mitigate risks associated with broader economic fluctuations.</t>
  </si>
  <si>
    <t>For the Semiconductors &amp; Semiconductor Equipment sector, a top ETF pick available on Robinhood would be the VanEck Vectors Semiconductor ETF (SMH).
Reasons for choosing SMH:
Targeted Exposure to Semiconductors: SMH specifically focuses on semiconductor companies, providing concentrated exposure to the industry. This ETF includes major players involved in the design, manufacture, and distribution of semiconductor products, allowing investors to capitalize on the sector’s growth.
Growth Driven by AI and Emerging Technologies: The increasing demand for advanced semiconductor chips, driven by the rise of AI and other emerging technologies, makes SMH well-positioned for long-term growth. Semiconductor products are at the heart of technological advancements, and this ETF captures companies that are poised to benefit from these trends.
Strong Momentum and Industry Leadership: With robust earnings momentum and an optimistic outlook for semiconductor stocks in 2025, SMH gives investors exposure to industry leaders that are driving growth in the sector. Despite potential risks like geopolitical tensions and inflation, the long-term prospects for semiconductors remain strong, and SMH offers a diversified way to tap into this growth.</t>
  </si>
  <si>
    <t>For the Software sector, a top ETF pick available on Robinhood would be the Invesco QQQ Trust (QQQ).
Reasons for choosing QQQ:
Exposure to AI and Technology Leaders: QQQ tracks the Nasdaq-100 Index, which includes many leading software companies, particularly those involved in AI and other cutting-edge technologies. These companies are poised to benefit from the continued adoption of AI solutions across industries, which is a key driver of growth for the software sector.
Growth Driven by Digital Transformation: The software sector's strong growth outlook, underpinned by digital transformation and AI adoption, makes QQQ a solid choice. The ETF includes companies that are at the forefront of these technological advancements, positioning investors to capitalize on long-term sector growth.
Resilience and Economic Positioning: While the sector faces some challenges, including concerns about inflation and market volatility, QQQ’s focus on high-growth technology companies ensures exposure to industry leaders that are well-equipped to innovate and navigate these complexities. This positions QQQ well for sustained growth in the software sector.</t>
  </si>
  <si>
    <t>For the Health Care Technology sector, a top ETF pick available on Robinhood would be the ARK Genomic Revolution ETF (ARKG).
Reasons for choosing ARKG:
Focused Exposure to Health Care Innovation: ARKG targets companies that are leveraging cutting-edge technologies like artificial intelligence, genomics, and digital health solutions, all of which are driving growth in the health care technology sector. This ETF includes companies at the forefront of AI integration in health care, which is poised to transform diagnostics, treatment planning, and patient management.
Strong Growth Outlook: The health care technology sector is positioned for robust growth due to the increasing demand for innovative medical solutions. ARKG captures the growth of companies that are at the intersection of technology and health care, benefiting from the ongoing need for improved efficiency and patient care.
Technological Advancements: ARKG includes companies that are advancing genomics, personalized medicine, and AI-powered solutions, all of which are shaping the future of health care. These technological developments are expected to provide long-term growth opportunities in the sector, making ARKG a strong investment choice for those looking to capitalize on these trends.</t>
  </si>
  <si>
    <t>For the Biotechnology sector, a top ETF pick available on Robinhood would be the iShares Nasdaq Biotechnology ETF (IBB).
Reasons for choosing IBB:
Focused Exposure to Biotech: IBB is designed to track the performance of the Nasdaq Biotechnology Index, providing direct exposure to companies engaged in biotechnology research and development, including those pioneering advancements in gene therapy, immunotherapy, and personalized medicine.
Growth Driven by Innovation: The ETF includes biotech firms that are at the forefront of groundbreaking treatments and therapies. With strong macroeconomic growth expected and increasing demand for novel healthcare solutions, IBB offers investors the opportunity to capitalize on this dynamic sector.
Resilience Amid Regulatory Changes: While the sector may face challenges from regulatory scrutiny and economic uncertainties, IBB holds leading biotech companies that are positioned to thrive in a potentially deregulatory environment, making it a good choice for long-term growth in biotechnology.</t>
  </si>
  <si>
    <t>Already released</t>
  </si>
  <si>
    <t>AMGN</t>
  </si>
  <si>
    <t>DE</t>
  </si>
  <si>
    <t>BMY</t>
  </si>
  <si>
    <t>Morning</t>
  </si>
  <si>
    <t>PANW</t>
  </si>
  <si>
    <t>Night</t>
  </si>
  <si>
    <t>ORLY</t>
  </si>
  <si>
    <t>Healthcare Tech ETF</t>
  </si>
  <si>
    <t>Medical Devices ETF</t>
  </si>
  <si>
    <t>Utilities Sector FUND</t>
  </si>
  <si>
    <t>Invesco Solar ETF</t>
  </si>
  <si>
    <t>Summar:</t>
  </si>
  <si>
    <t>Bought: AMZN, GOOGL, BRK, V, COST, ORCL, NFLX, JNJ, IBB, IHE, IDNA, XLP</t>
  </si>
  <si>
    <t>Sold: IBM, BX, VZ, AMGN, DE, BMY, PANW, ORLY, XLV, VHT, IHI, TAN</t>
  </si>
  <si>
    <t>For the Biotechnology sector, a top ETF pick available on Robinhood would be the iShares Nasdaq Biotechnology ETF (IBB).
Reasons for choosing IBB:
Targeted Exposure to Biotechnology: IBB provides focused exposure to biotechnology companies involved in drug development, genetic engineering, and healthcare innovation. This makes it an ideal choice for investors who want to capitalize on the growth potential in biotechnology, especially with advancements in personalized medicine and gene editing.
Long-Term Growth Drivers: The sector benefits from strong underlying trends like an aging global population and increasing chronic diseases, which drive demand for innovative therapies. IBB offers access to companies that are well-positioned to address these challenges with cutting-edge treatments.
Resilience Amid Economic Pressures: Despite macroeconomic challenges and regulatory uncertainty, the biotechnology sector remains resilient due to the ongoing demand for healthcare solutions. IBB provides diversified exposure to the sector, allowing investors to benefit from its growth potential while mitigating risks associated with broader economic and geopolitical concerns.</t>
  </si>
  <si>
    <t>Pharmaceuticals</t>
  </si>
  <si>
    <t>For the Pharmaceuticals sector, a top ETF pick available on Robinhood would be the iShares U.S. Pharmaceuticals ETF (IHE).
Reasons for choosing IHE:
Focused Exposure to Pharmaceuticals: IHE specifically targets U.S.-based pharmaceutical companies, providing direct exposure to firms involved in the development and distribution of drugs and health products. This makes it a solid choice for investors looking to capitalize on the pharmaceutical industry's growth potential.
Resilience in Demand: The pharmaceutical sector remains resilient due to its essential nature, with ongoing demand driven by an aging population, chronic diseases, and advancements in biotechnology. IHE includes companies that are well-positioned to benefit from these long-term trends.
Growth and Innovation: Despite potential short-term volatility due to geopolitical tensions and economic pressures, the pharmaceutical sector continues to innovate, particularly with advancements in personalized medicine and biotechnology. IHE provides exposure to these innovative companies, supporting its long-term growth prospects.</t>
  </si>
  <si>
    <t>For the Life Sciences Tools &amp; Services sector, a top ETF pick available on Robinhood would be the iShares Genomics Immunology and Healthcare ETF (IDNA).
Reasons for choosing IDNA:
Focused Exposure to Life Sciences Innovation: IDNA provides targeted exposure to companies at the forefront of life sciences, including those involved in genomics, immunology, and healthcare technologies. These are critical areas within the Life Sciences Tools &amp; Services sector, positioning the ETF to benefit from ongoing advancements in drug discovery, genomics, and personalized medicine.
Growth Driven by Healthcare Demand: The sector benefits from strong underlying demand for healthcare innovation, with continued investment in new technologies to improve diagnostics and treatment solutions. IDNA captures companies that are benefiting from these trends, supporting long-term growth potential.
Resilience Amid Economic Uncertainty: Despite potential short-term volatility from economic and geopolitical factors, the Life Sciences Tools &amp; Services sector is considered resilient due to the essential nature of healthcare tools and services. IDNA offers exposure to companies that are integral to advancing healthcare solutions, providing stability and growth opportunities in the long run.</t>
  </si>
  <si>
    <t>Water Utilities</t>
  </si>
  <si>
    <t>For the Water Utilities sector, a top ETF pick available on Robinhood would be the Utilities Select Sector SPDR Fund (XLU).
Reasons for choosing XLU:
Defensive and Stable: XLU provides broad exposure to the utilities sector, including water utilities, which are known for their stability and resilience during economic downturns. The sector's essential nature makes it less susceptible to economic volatility, making XLU a strong choice for conservative investors.
Infrastructure Growth and Demand: The U.S. government's focus on infrastructure development, such as replacing lead pipes, provides long-term growth potential for water utilities. XLU includes companies poised to benefit from these modernization efforts, supporting future sector expansion.
Diversified Exposure to Utility Companies: XLU offers a diversified way to invest in the utilities sector, which includes water utilities, electric, and gas companies. This diversification reduces risk and provides exposure to the sector's stable income and growth potential while navigating macroeconomic challenges like inflation and regulatory scrutiny.</t>
  </si>
  <si>
    <t>Household Products</t>
  </si>
  <si>
    <t>For the Household Products sector, a top ETF pick available on Robinhood would be the Consumer Staples Select Sector SPDR Fund (XLP).
Reasons for choosing XLP:
Defensive and Stable: XLP provides exposure to the consumer staples sector, which includes household products companies. As a defensive sector, it tends to perform well during economic downturns, offering stability and resilience amidst market volatility. This makes it an ideal choice for investors seeking less exposure to cyclical fluctuations.
Resilience in Demand: The sector's non-cyclical nature means that consumers continue purchasing essential household products even during economic uncertainty. XLP captures companies within this sector, ensuring steady revenue generation and profitability, despite potential challenges like tariffs or inflation.
Diversified Exposure: XLP includes a broad range of companies in consumer staples, including household products, food, and beverage companies. This diversification mitigates sector-specific risks while providing stability and consistent returns, particularly during economic downturns or geopolitical tensions.</t>
  </si>
  <si>
    <t>Asset</t>
  </si>
  <si>
    <t>Weight</t>
  </si>
  <si>
    <t>Instrument type</t>
  </si>
  <si>
    <t>1-Month Thesis</t>
  </si>
  <si>
    <t>Edge vs. S&amp;P 500</t>
  </si>
  <si>
    <t>Principal Risk</t>
  </si>
  <si>
    <t>SMH – VanEck Semiconductor ETF</t>
  </si>
  <si>
    <t>Equity ETF (semiconductors)</t>
  </si>
  <si>
    <t>AI hardware demand is still out-running supply; Nvidia’s cap-ex boom is pulling the whole memory/logic complex higher in Q2.</t>
  </si>
  <si>
    <t>Broad exposure to the tightest capacity node in tech while avoiding single-name event risk.</t>
  </si>
  <si>
    <t>Tariff flare-up with China or a sudden oversupply headline.</t>
  </si>
  <si>
    <t>Stock</t>
  </si>
  <si>
    <t>Azure + Copilot revenue re-acceleration and defensive enterprise mix give it room to surprise on FY25 Q4 guidance at mid-May Build.</t>
  </si>
  <si>
    <t>Highest quality balance-sheet in big-tech, deep buy-side under-weight after January sell-off.</t>
  </si>
  <si>
    <t>Rich multiple—any AI capacity hiccup could knock 5-7 %.</t>
  </si>
  <si>
    <t>2025 HBM output is sold-out; forward P/E &lt;7 on explosive EPS ramp.</t>
  </si>
  <si>
    <t>Cheapest pure-play on AI memory scarcity.</t>
  </si>
  <si>
    <t>Highly cyclical; DRAM spot prices reverse if hyperscalers delay orders.</t>
  </si>
  <si>
    <t>Rebound in U.S. ad spend + new standalone AI app monetisation; little direct tariff exposure.</t>
  </si>
  <si>
    <t>Forward P/E &lt;24 with 30 % EPS growth, plus option value in Llama-API.</t>
  </si>
  <si>
    <t>Regulatory overhang (FTC, EU) and &gt;$70 bn cap-ex plan.</t>
  </si>
  <si>
    <t>XLV – Health-Care Select Sector SPDR</t>
  </si>
  <si>
    <t>Equity ETF (health-care)</t>
  </si>
  <si>
    <t>Defensive sector with improving earnings revisions and beneficiaries of GLP-1 demand.</t>
  </si>
  <si>
    <t>Low beta ballast if CPI print runs hot.</t>
  </si>
  <si>
    <t>Political headlines on drug-pricing.</t>
  </si>
  <si>
    <t>CVS</t>
  </si>
  <si>
    <t>Q1 beat + raised FY guide; Wegovy cash-pay programme a near-term catalyst.</t>
  </si>
  <si>
    <t>Trades at 10× forward EPS vs. 5-yr avg 13×.</t>
  </si>
  <si>
    <t>Execution risk integrating Oak Street &amp; Signify.</t>
  </si>
  <si>
    <t>Zacks Rank #1 upgrade + under-owned managed-care name; Medicaid redetermination wave already priced-in.</t>
  </si>
  <si>
    <t>PEG &lt;0.7 with 22 % EPS growth.</t>
  </si>
  <si>
    <t>State budget pressure if recession deepens.</t>
  </si>
  <si>
    <t>Companion-animal drug growth (Librela, Simparica) is secular and recession-resilient.</t>
  </si>
  <si>
    <t>70 % gross margin platform, divesting low-margin feed additives.</t>
  </si>
  <si>
    <t>Premium valuation could de-rate on any sales miss.</t>
  </si>
  <si>
    <t>Cross-border volumes +9 % YoY; $30 bn buy-back offers downside cushion.</t>
  </si>
  <si>
    <t>High FCF yield and oligopoly pricing power.</t>
  </si>
  <si>
    <t>Consumer-spend wobble if tariffs lift inflation sharply.</t>
  </si>
  <si>
    <t>TDY</t>
  </si>
  <si>
    <t>Record backlog in defence electronics; insulated from consumer cycle.</t>
  </si>
  <si>
    <t>30 % YoY aero/defence segment growth not in consensus models yet.</t>
  </si>
  <si>
    <t>Budget fight in Congress delaying contract awards.</t>
  </si>
  <si>
    <t>PWR</t>
  </si>
  <si>
    <t>Grid/AI-data-centre build-out keeps book-to-bill &gt;1; Q1 raise shows visibility.</t>
  </si>
  <si>
    <t>Infrastructure tailwind + technical momentum (near ATH).</t>
  </si>
  <si>
    <t>High trailing P/E leaves little room for execution slips.</t>
  </si>
  <si>
    <t>XLE – Energy Select Sector SPDR</t>
  </si>
  <si>
    <t>Equity ETF (energy)</t>
  </si>
  <si>
    <t>Administration’s coal-for-AI order + summer driving season support upstream cash flows.</t>
  </si>
  <si>
    <t>Inflation hedge and dividend yield &gt;3 %.</t>
  </si>
  <si>
    <t>Crude pull-back on weak global PMI or quick cease-fire in Middle East.</t>
  </si>
  <si>
    <t>RSP – Invesco S&amp;P 500 Equal-Weight ETF</t>
  </si>
  <si>
    <t>Equity ETF (broad-market)</t>
  </si>
  <si>
    <t>Breadth has started to improve; captures mid-cap catch-up if tariffs ease.</t>
  </si>
  <si>
    <t>Diversifies mega-cap concentration risk.</t>
  </si>
  <si>
    <t>Under-performs if leadership narrows back to big-tech only.</t>
  </si>
  <si>
    <t>TIP – iShares 0-5 yr TIPS ETF</t>
  </si>
  <si>
    <t>Bond ETF (short TIPS)</t>
  </si>
  <si>
    <t>Sticky core CPI (housing, services) likely keeps breakevens firm; offers real-rate ballast.</t>
  </si>
  <si>
    <t>Positive carry versus cash, less duration than long TIPS.</t>
  </si>
  <si>
    <t>Dis-inflation surprise would sap relative price.</t>
  </si>
  <si>
    <t>SHY – iShares 1-3 yr Treasury ETF</t>
  </si>
  <si>
    <t>Bond ETF (short Treasuries)</t>
  </si>
  <si>
    <t>4.7 % yield with minimal price volatility while we wait for July Fed cut.</t>
  </si>
  <si>
    <t>Low correlation buffer that can be redeployed at next rebalance.</t>
  </si>
  <si>
    <t>Opportunity cost if equities melt-up and bonds lag.</t>
  </si>
  <si>
    <t>SMH (VanEck Semiconductor ETF</t>
  </si>
  <si>
    <t>Equity ETF</t>
  </si>
  <si>
    <t>AI-hardware capex is still being pulled forward; front-loaded foundry and memory orders should keep semi names printing upside surprises into Q2-earnings pre-announcements.</t>
  </si>
  <si>
    <t>High beta to any renewed U.S.–China chip export fight.</t>
  </si>
  <si>
    <t>SAME</t>
  </si>
  <si>
    <t xml:space="preserve">	AMAT</t>
  </si>
  <si>
    <t>Equipment leader with rising WFE share and -10 % YTD PE compression; cheap relative to peers despite booking growth.</t>
  </si>
  <si>
    <t>Cap-ex push-outs if the EU tariff dispute spills into Asia supply chains.</t>
  </si>
  <si>
    <t xml:space="preserve">AMZN        </t>
  </si>
  <si>
    <t>Retail margin reset + Gen-AI cost-savings story; World-Cup traffic should give AWS an extra seasonal pop.</t>
  </si>
  <si>
    <t xml:space="preserve">	EU digital-tax rhetoric, FTC headline risk.</t>
  </si>
  <si>
    <t>ANET</t>
  </si>
  <si>
    <t>Ethernet switch winner from hyperscale GPU clusters; backlog visibility into CY-26</t>
  </si>
  <si>
    <t>Nvidia’s “own-gear” news flow can whipsaw sentiment.</t>
  </si>
  <si>
    <t>Subscription cadence accelerates every June–July (construction seasonality) and FX tail-winds add ~60 bps to Q2 revs.</t>
  </si>
  <si>
    <t>Sensitivity to PMI softness if U.S. construction stalls.</t>
  </si>
  <si>
    <t>Balance-sheet immunity to tariff inflation + fee income lift from revived IPO/IG issuance; “Dimon premium” ahead of June Fed stress-test results.</t>
  </si>
  <si>
    <t>Curve re-steepening would ding NII guidance.</t>
  </si>
  <si>
    <t>XLV (Health-Care Select-Sector ETF)</t>
  </si>
  <si>
    <t>Sector rerates whenever Fed-cut hopes fade; defensive earnings shield if June CPI runs hot.</t>
  </si>
  <si>
    <t>Pricing-reform chatter in Washington.</t>
  </si>
  <si>
    <t>KO</t>
  </si>
  <si>
    <t>Q2 volumes run off peak summer demand; FX-hedged pricing power protects gross margin even if tariffs feed through</t>
  </si>
  <si>
    <t>Any broad consumer-spending wobble.</t>
  </si>
  <si>
    <t>USO (WTI crude ETF)</t>
  </si>
  <si>
    <t>Commodity ETF</t>
  </si>
  <si>
    <t>Early-season Gulf storm probability + OPEC discipline = asymmetric upside to spot oil through July 4th driving peak</t>
  </si>
  <si>
    <t>Quick reversal if DOE releases SPR barrels.</t>
  </si>
  <si>
    <t xml:space="preserve">TLT	</t>
  </si>
  <si>
    <t>Treasury-bond ETF</t>
  </si>
  <si>
    <t>Real-yield cushion if equities wobble on tariff headlines; positioning is light after April’s bond wash-out.</t>
  </si>
  <si>
    <t>Surprise uptick in June CPI or heavy refunding supply.</t>
  </si>
  <si>
    <t>TIP</t>
  </si>
  <si>
    <t>TIPS ETF</t>
  </si>
  <si>
    <t>Cheap 10-yr breakevens (2.2 %) vs. our 2.6 % headline-CPI call; adds inflation ballast without equity beta.</t>
  </si>
  <si>
    <t>If CPI prints ≤ 0.1 % m/m, breakevens compress.</t>
  </si>
  <si>
    <t>ARE</t>
  </si>
  <si>
    <t>REIT</t>
  </si>
  <si>
    <t>Life-science REIT at 0.7× book, 7.5 % yield; June Fed hold removes near-term refi anxiety</t>
  </si>
  <si>
    <t>Highly rate-sensitive; lab vacancy headlines could resurface.</t>
  </si>
  <si>
    <t>CCL</t>
  </si>
  <si>
    <t>Record booking curve + Club-World-Cup tourism wave; leverage turbo-charges incremental EBITDA.</t>
  </si>
  <si>
    <t>Fuel-cost spike (hedged here via USO) or macro scare hitting discretionary travel.</t>
  </si>
  <si>
    <t>SPGI</t>
  </si>
  <si>
    <t>June investment-grade calendar is running &gt; 20 % above 5-yr average; every $1 bn of debt issuance drops ~$0.01 EPS.</t>
  </si>
  <si>
    <t>Credit-spread blow-out would stall issuance pipeline.</t>
  </si>
  <si>
    <t>BIL</t>
  </si>
  <si>
    <t>1-3 mo Treasury-bill ETF (cash proxy)</t>
  </si>
  <si>
    <t>Dry-powder reserve to redeploy on pull-backs; earns ~5.25 % annualised with zero duration.</t>
  </si>
  <si>
    <t>Opportunity cost if risk-assets melt up without a dip.</t>
  </si>
  <si>
    <t>Ticker</t>
  </si>
  <si>
    <t>Instrument</t>
  </si>
  <si>
    <t>1‑month thesis</t>
  </si>
  <si>
    <t>Our edge vs. crowd</t>
  </si>
  <si>
    <t>Key risk to watch</t>
  </si>
  <si>
    <t>Equity</t>
  </si>
  <si>
    <t>AI‑server DRAM &amp; HBM demand outstrips new supply; Street still modelling mid‑cycle margins.</t>
  </si>
  <si>
    <t>Up‑trend paused after profit‑taking – gives cheaper re‑entry; HBM capacity additions start shipping this month.</t>
  </si>
  <si>
    <t>Memory still cyclical; China/EU retaliation on US chips would hurt exports.</t>
  </si>
  <si>
    <t>Late‑June ADA and mid‑July EASD data on oral GLP‑1 orforglipron could reset obesity‑drug narrative higher.</t>
  </si>
  <si>
    <t>Stock has lagged peers YTD; low‑beta shield during tariff noise.</t>
  </si>
  <si>
    <t>Any surprise safety signal or filing delay would compress the high multiple.</t>
  </si>
  <si>
    <t>Custom AI‑accelerator line (&gt; $8 bn run‑rate) keeps momentum; VMware cross‑sell news flow.</t>
  </si>
  <si>
    <t>Tight float after split, aggressive buy‑back, hedge‑fund accumulation.</t>
  </si>
  <si>
    <t>Broad semi tariffs could trim margins; leverage elevated post‑acquisition.</t>
  </si>
  <si>
    <t>Prime Day (16‑17 Jul) + Club World Cup traffic lift unit volumes; AWS &amp; Ads still mid‑teens growers.</t>
  </si>
  <si>
    <t>Same‑day network now in 4 000 towns—fewer competitors can match speed in tariff environment.</t>
  </si>
  <si>
    <t>Import‑cost pass‑through if tariff bands jump on 9 Jul; talent churn in AI org.</t>
  </si>
  <si>
    <t>AMAT</t>
  </si>
  <si>
    <t>Nine‑quarter beat streak; July earnings guide could surprise on AI‑server related tools.</t>
  </si>
  <si>
    <t>U.S. fab subsidies + Mid‑East chip cap‑ex underpin order book.</t>
  </si>
  <si>
    <t>Export‑control headlines or memory‑spend pause.</t>
  </si>
  <si>
    <t>LRCX</t>
  </si>
  <si>
    <t>EU Alyftrek reimbursement decisions start trickling before August; low‑beta biotech kicker.</t>
  </si>
  <si>
    <t>High‑margin service automation (Dextro) just rolling out.</t>
  </si>
  <si>
    <t>Same macro WFE risks as AMAT; high beta.</t>
  </si>
  <si>
    <t>VRTX</t>
  </si>
  <si>
    <t>Cash‑rich, patent‑life extension under‑appreciated.</t>
  </si>
  <si>
    <t>Slow reimbursement, drug‑price politics.</t>
  </si>
  <si>
    <t>Virginia‑class sub contract plus NATO summit pledge for &gt;2 % GDP defence spend = book‑to‑bill &gt;1×.</t>
  </si>
  <si>
    <t>Long‑cycle Navy backlog hedges macro; 2 % dividend.</t>
  </si>
  <si>
    <t>Budget gridlock might delay cash receipts.</t>
  </si>
  <si>
    <t>Peak‑season travel + Club World Cup US bookings; ADR strength visible in high‑frequency data.</t>
  </si>
  <si>
    <t>AI cross‑sell (cars, attractions) lifting take‑rate; share‑buybacks ongoing.</t>
  </si>
  <si>
    <t>Oil‑price spike or new Mideast flare‑up could chill long‑haul demand.</t>
  </si>
  <si>
    <t>COP</t>
  </si>
  <si>
    <t>Brent holding mid‑$70s with upside into hurricane season; COP breakeven sub‑$40 WTI.</t>
  </si>
  <si>
    <t>Under‑owned value play, authorised buy‑back acts as floor.</t>
  </si>
  <si>
    <t>Sudden crude pull‑back below $60; Alaska permit news.</t>
  </si>
  <si>
    <t>CF</t>
  </si>
  <si>
    <t>US natural‑gas advantage keeps nitrogen margins high; early corn‑belt demand strong.</t>
  </si>
  <si>
    <t>Fertiliser inventories below 5‑yr avg; tariff war helps domestic producers.</t>
  </si>
  <si>
    <t>Crop‑price weakness; gas‑price spike.</t>
  </si>
  <si>
    <t>UHS</t>
  </si>
  <si>
    <t>Behavioural health volumes up, Zacks “growth” score attracts quant flows pre‑earnings.</t>
  </si>
  <si>
    <t>Still trades &lt;11 × fwd P/E – room for multiple catch‑up.</t>
  </si>
  <si>
    <t>Nurse‑wage flare‑up or Medicaid headlines.</t>
  </si>
  <si>
    <t>Card volumes pick up on fiscal tax‑credit cheques (OBBBA) and event‑driven spending.</t>
  </si>
  <si>
    <t>Clover platform embeds with SMB merchants – high switching costs.</t>
  </si>
  <si>
    <t>Leverage + fintech multiple compression in macro sell‑off.</t>
  </si>
  <si>
    <t>Agencies &amp; enterprises bring forward security spend amid tariff‑driven supply‑chain anxiety.</t>
  </si>
  <si>
    <t>Consolidated platform drives seat expansion; net‑cash balance sheet.</t>
  </si>
  <si>
    <t>Premium valuation; any high‑profile breach would hit sentiment.</t>
  </si>
  <si>
    <t>SYF</t>
  </si>
  <si>
    <t>Pet‑care lending vertical widens NIM; momentum screens keep quant flows positive.</t>
  </si>
  <si>
    <t>High CET1, buy‑backs turbo‑charge EPS.</t>
  </si>
  <si>
    <t>Rising delinquencies if tariffs squeeze consumers.</t>
  </si>
  <si>
    <t>Equity – megacap tech</t>
  </si>
  <si>
    <t>Cloud/AI demand still accelerating; defensive balance-sheet if growth scare widens.</t>
  </si>
  <si>
    <t>Best-in-class margins + record cap-ex keep EPS momentum even if economy softens.</t>
  </si>
  <si>
    <t>Rich multiple; any AI hiccup triggers rotation.</t>
  </si>
  <si>
    <t xml:space="preserve">Ad-tech pricing power &amp; Gen-AI monetisation drive earnings surprise potential.	</t>
  </si>
  <si>
    <t>Rising user engagement + double-digit EPS growth at 28× P/E.</t>
  </si>
  <si>
    <t>Data-privacy or antitrust headline shock.</t>
  </si>
  <si>
    <t>EXE</t>
  </si>
  <si>
    <t>Equity – nat-gas E&amp;P</t>
  </si>
  <si>
    <t>Tariffs leave US gas un-touched; merger synergies + tax windfall add to Q3 FCF.</t>
  </si>
  <si>
    <t>Low beta (0.45) with upside to winter NG curve steepening</t>
  </si>
  <si>
    <t>Gas price pull-back or integration stumble.</t>
  </si>
  <si>
    <t>Equity – semis</t>
  </si>
  <si>
    <t>Memory pricing inflects as AI servers ramp; stock sold off with sector in July.</t>
  </si>
  <si>
    <t>Forward P/E ≈ 8 with &gt;100 % FY-26 EPS growth.</t>
  </si>
  <si>
    <t>Highly cyclical; any delay in AI server orders.</t>
  </si>
  <si>
    <t xml:space="preserve">Equity – pharma	</t>
  </si>
  <si>
    <t>Obesity/diabetes blockbuster demand is price-inelastic; sector hedge vs macro risk.</t>
  </si>
  <si>
    <t>30 – 40 % revenue growth, low beta</t>
  </si>
  <si>
    <t>Drug-pricing legislation or supply bottleneck.</t>
  </si>
  <si>
    <t>CRWD</t>
  </si>
  <si>
    <t>Equity – cyber-security</t>
  </si>
  <si>
    <t>Cyber spend stays top priority regardless of cap-ex cuts; Falcon Flex upsells.</t>
  </si>
  <si>
    <t>20 %+ ARR growth, cash-flow positive.</t>
  </si>
  <si>
    <t>Valuation (&gt;100× fwd P/E) vulnerable if tech sentiment sours.</t>
  </si>
  <si>
    <t>GLD</t>
  </si>
  <si>
    <t>ETF – bullion</t>
  </si>
  <si>
    <r>
      <t>Trade frictions + softer dollar raise safe-haven bids; Q2 ETF inflows already 45 % y/y.(</t>
    </r>
    <r>
      <rPr>
        <rFont val="Arial, Helvetica, sans-serif"/>
        <color rgb="FF1155CC"/>
        <u/>
      </rPr>
      <t>World Gold Council</t>
    </r>
    <r>
      <rPr>
        <rFont val="Arial, Helvetica, sans-serif"/>
      </rPr>
      <t>)</t>
    </r>
  </si>
  <si>
    <t>Tight physical supply &amp; central-bank buying put floor under price.</t>
  </si>
  <si>
    <t>Quick détente in tariff fight and dollar rally.</t>
  </si>
  <si>
    <t>TLT</t>
  </si>
  <si>
    <t>ETF – 20 yr Treasury</t>
  </si>
  <si>
    <t xml:space="preserve">Market leans to Fed easing; long duration rallies on cut confirmation.(Morningstar)	</t>
  </si>
  <si>
    <t>Rates fall faster than equities re-rate on slowdown fears.</t>
  </si>
  <si>
    <t>Upside CPI surprise delays Fed.</t>
  </si>
  <si>
    <t>Equity – financial data</t>
  </si>
  <si>
    <t>Higher vol + M&amp;A wave lifts ratings/data demand; Q2 beat &amp; guidance raise.</t>
  </si>
  <si>
    <t>Mission-critical subscription revenues, quasi-monopoly.</t>
  </si>
  <si>
    <t>Premium (43× P/E) at risk in broad sell-off.</t>
  </si>
  <si>
    <t>Equity – alt-asset manager</t>
  </si>
  <si>
    <t>Record fee-earnings, AI/decarbon deals; benefits from private-credit inflows.</t>
  </si>
  <si>
    <t>Structural AUM growth + 2.5 % dividend kicker.</t>
  </si>
  <si>
    <t>Mark-to-market shocks if risk-assets drop hard.</t>
  </si>
  <si>
    <t>ETF – Utilities sector</t>
  </si>
  <si>
    <t>Rate-cut anticipation + defensive cash-flows; sector just starting to outperform.</t>
  </si>
  <si>
    <t>Inflation-linked pass-through, low beta 0.55.</t>
  </si>
  <si>
    <t>Bond-proxy crowding if yields back-up.</t>
  </si>
  <si>
    <t>VICI</t>
  </si>
  <si>
    <t>REIT – gaming</t>
  </si>
  <si>
    <t xml:space="preserve">5 %+ yield, CPI-linked triple-net leases; minimal tariff exposure.	</t>
  </si>
  <si>
    <t>Long WALE, high liquidity; positioned for lower rates.</t>
  </si>
  <si>
    <t>Consumer pull-back in travel.</t>
  </si>
  <si>
    <t>ALL</t>
  </si>
  <si>
    <t>Equity – P&amp;C insurance</t>
  </si>
  <si>
    <t>Auto underwriting turnaround + higher investment income; trades at 10× fwd P/E.</t>
  </si>
  <si>
    <t>Defensive earnings with upside to catastrophe-light summer.</t>
  </si>
  <si>
    <t>Hurricane or wildfire losses.</t>
  </si>
  <si>
    <t>ETF – 5-10 yr TIPS</t>
  </si>
  <si>
    <t>Tariff-led CPI bumps in Aug/Sep; real-rate hedge while waiting for Fed cut.</t>
  </si>
  <si>
    <t>Positive carry vs cash if breakevens widen.</t>
  </si>
  <si>
    <t>Dis-inflation surprise post-CPI.</t>
  </si>
  <si>
    <t>ICE</t>
  </si>
  <si>
    <t>Equity – exchanges</t>
  </si>
  <si>
    <t>Volatility uptick lifts trading &amp; data fees; Q2 EPS +19 %</t>
  </si>
  <si>
    <t>Counter-cyclical volume link, 62 % EBITDA margin.</t>
  </si>
  <si>
    <t>Vol collapses if policy risk fades quickly.</t>
  </si>
  <si>
    <t>Asset (Type)</t>
  </si>
  <si>
    <t>Thesis (1‑month)</t>
  </si>
  <si>
    <t>Our Edge</t>
  </si>
  <si>
    <t>Key Risk</t>
  </si>
  <si>
    <t>CME Group (US equity)</t>
  </si>
  <si>
    <t>Event cluster (CPI 8/12, PPI 8/14, Aug jobs 9/5, CPI 9/11) + Jackson Hole keeps rates/FX/commodities active → elevated ADV.</t>
  </si>
  <si>
    <t>Exchange revs scale with volatility; works in both risk‑on/off weeks.</t>
  </si>
  <si>
    <r>
      <t>If inflation prints benign and macro calms fast, vol compresses and ADV dips. (</t>
    </r>
    <r>
      <rPr>
        <rFont val="Arial, Helvetica, sans-serif"/>
        <color rgb="FF1155CC"/>
        <u/>
      </rPr>
      <t>Bureau of Labor Statistics</t>
    </r>
    <r>
      <rPr>
        <rFont val="Arial, Helvetica, sans-serif"/>
      </rPr>
      <t>)</t>
    </r>
  </si>
  <si>
    <t>Broadcom (US equity)</t>
  </si>
  <si>
    <t>AI networking/custom silicon demand remains firm; buy‑the‑dip flows if macro jitters.</t>
  </si>
  <si>
    <t>Less GPU-chasey than peers; steady hyperscaler capex exposure.</t>
  </si>
  <si>
    <t>Hot CPI → multiple compression; any fresh chip‑tariff headline.</t>
  </si>
  <si>
    <t>Micron (US equity)</t>
  </si>
  <si>
    <t>Memory up‑cycle + AI server demand; typically strong into data prints if cut hopes stay alive.</t>
  </si>
  <si>
    <t>Cycle turning with pricing power; high operating leverage to upside.</t>
  </si>
  <si>
    <t>Tariff or China demand shock; beta to semis on hot inflation.</t>
  </si>
  <si>
    <t>Microsoft (US equity)</t>
  </si>
  <si>
    <t>Quality mega‑cap with durable AI monetization; benefits if CPI behaves and cut hopes hold.</t>
  </si>
  <si>
    <t>Flight‑to‑quality within tech on any wobble.</t>
  </si>
  <si>
    <t>Index‑level de‑risking hits large caps first on a hot print.</t>
  </si>
  <si>
    <t>SPDR Gold (Commodity ETF)</t>
  </si>
  <si>
    <t>Hedge against a hotter CPI/tariff shock and/or policy credibility noise; diversifies equity beta.</t>
  </si>
  <si>
    <t>Tends to catch a bid on inflation surprise or geopolitical stress.</t>
  </si>
  <si>
    <t>Softer inflation + firmer real yields can pressure gold.</t>
  </si>
  <si>
    <t>Costco (US equity)</t>
  </si>
  <si>
    <t>Trade‑down, membership, and traffic resilience if tariffs lift sticker prices.</t>
  </si>
  <si>
    <t>Pricing power + club model; relative‑strength staple.</t>
  </si>
  <si>
    <t>Rich multiple vulnerable to big risk‑on rotation into cyclicals.</t>
  </si>
  <si>
    <t>Alphabet (US equity)</t>
  </si>
  <si>
    <t>Healthy ads/YouTube/Cloud; quality tech that can ride benign CPI/JH tone.</t>
  </si>
  <si>
    <t>Reasonable multiple vs tech megacap peers; cash fortress.</t>
  </si>
  <si>
    <t>AI capex cost optics; ad wobble if growth jitters spike.</t>
  </si>
  <si>
    <t>Vertex Pharma (US equity)</t>
  </si>
  <si>
    <t>Defensive growth, low beta, limited tariff sensitivity; mean‑reversion after pullback.</t>
  </si>
  <si>
    <t>Pipeline diversification + cash flow stability.</t>
  </si>
  <si>
    <t>Drug‑pricing rhetoric or pipeline headline risk.</t>
  </si>
  <si>
    <t>MCK</t>
  </si>
  <si>
    <t>McKesson (US equity)</t>
  </si>
  <si>
    <t>Specialty/GLP‑1 demand + fee‑based model = defensive carry through macro noise.</t>
  </si>
  <si>
    <t>Historically resilient vs CPI volatility; visibility on volumes.</t>
  </si>
  <si>
    <t>Input/pass‑through timing or contract/guidance hiccup.</t>
  </si>
  <si>
    <t>Intercontinental Exchange (US equity)</t>
  </si>
  <si>
    <t>Similar set‑up to CME: rates/energy/credit/index vol around CPI/JH.</t>
  </si>
  <si>
    <t>Data + futures + NYSE breadth; convex to macro catalysts.</t>
  </si>
  <si>
    <t>Volatility collapse; mortgage‑tech lag if yields fall too sharply.</t>
  </si>
  <si>
    <t>Mastercard (US equity)</t>
  </si>
  <si>
    <t>Nominal spend + cross‑border stay firm; benefits from “quality” factor flows.</t>
  </si>
  <si>
    <t>Secular cash‑to‑card + high ROIC moat.</t>
  </si>
  <si>
    <t>Consumer wobble on very hot CPI; regulatory headline risk.</t>
  </si>
  <si>
    <t>General Dynamics (US equity)</t>
  </si>
  <si>
    <t>Defense backlog + allied procurement support; CR (if any) usually benign to core funding.</t>
  </si>
  <si>
    <t>Low beta ballast with catalysts (subs, biz jets).</t>
  </si>
  <si>
    <t>Award timing/noise into Oct fiscal deadlines.</t>
  </si>
  <si>
    <t>PCG</t>
  </si>
  <si>
    <t>PG&amp;E (US equity)</t>
  </si>
  <si>
    <t>Utility ballast; lower front‑end yields (if) support multiples; idiosyncratic catalysts.</t>
  </si>
  <si>
    <t>Defensive carry with potential rerate vs peers.</t>
  </si>
  <si>
    <t>Wildfire season/regulatory headlines; leverage optics.</t>
  </si>
  <si>
    <t>BSX</t>
  </si>
  <si>
    <t>Boston Scientific (US equity)</t>
  </si>
  <si>
    <t>Defensive med‑tech growth with solid execution; less trade‑sensitive.</t>
  </si>
  <si>
    <t>Procedures steady even in choppier tapes.</t>
  </si>
  <si>
    <t>High‑multiple compression if rates/back‑up on hot CPI.</t>
  </si>
  <si>
    <t>iShares 20+ Yr Treasuries (Bond ETF)</t>
  </si>
  <si>
    <t>Convex kicker if CPI/PCE cool and the curve bull‑steepens into cut expectations.</t>
  </si>
  <si>
    <t>Adds non‑equity upside on soft‑inflation scenario.</t>
  </si>
  <si>
    <t>Hot CPI → duration drawdown; offsets via GLD/CME/ICE.</t>
  </si>
  <si>
    <t>Sector</t>
  </si>
  <si>
    <t>recommendation</t>
  </si>
  <si>
    <t>score</t>
  </si>
  <si>
    <t>date</t>
  </si>
  <si>
    <t>Sector Investment Report:
 The biotechnology sector is currently navigating a complex landscape shaped by recent macroeconomic and geopolitical developments. While the sector has not been directly impacted by the recent tariffs and trade tensions, the broader economic environment, characterized by inflationary pressures and potential slowdowns in economic growth, could indirectly affect biotechnology companies. The sector's reliance on innovation and research funding may face challenges if economic conditions tighten, potentially impacting the pace of new drug development and technological advancements. However, the sector's inherent resilience, driven by the ongoing demand for healthcare solutions and advancements in personalized medicine, provides a buffer against broader market volatility.
 Despite the challenges, the biotechnology sector continues to benefit from strong underlying trends, such as the aging global population and the increasing prevalence of chronic diseases, which drive demand for innovative therapies and treatments. Additionally, the sector's focus on cutting-edge technologies, including gene editing and personalized medicine, positions it well for long-term growth. However, the sector may face increased regulatory scrutiny, particularly in light of the geopolitical tensions and the potential for heightened oversight of emerging technologies. Overall, while the biotechnology sector remains a promising area for innovation and growth, investors should be mindful of the broader economic and regulatory environment that could impact its performance.
 Score: 75</t>
  </si>
  <si>
    <t>Sector Investment Report:
 The pharmaceutical sector is currently navigating a complex landscape shaped by macroeconomic and geopolitical factors. While the recent global technology market crash has not directly impacted pharmaceuticals, the broader economic environment, including trade tensions and inflationary pressures, could indirectly affect the sector. The imposition of tariffs by the Trump administration and the resulting retaliatory measures from key trading partners may lead to increased costs for raw materials and supply chain disruptions. Additionally, the potential for heightened regulatory scrutiny in response to geopolitical tensions could pose challenges for pharmaceutical companies, particularly those with significant international operations.
 Despite these challenges, the pharmaceutical sector remains resilient due to its essential nature and ongoing demand for healthcare products and services. The sector continues to benefit from advancements in biotechnology and personalized medicine, which offer opportunities for growth and innovation. Furthermore, the aging global population and the increasing prevalence of chronic diseases provide a stable demand base for pharmaceutical products. While the sector may face short-term volatility due to external economic factors, its long-term growth prospects remain positive, supported by strong fundamentals and continued investment in research and development.
 Score: 75</t>
  </si>
  <si>
    <t>Sector Investment Report:
 The Life Sciences Tools &amp; Services sector is currently navigating a complex economic landscape shaped by recent macroeconomic developments. While the sector is not directly impacted by the recent tariffs imposed by the Trump administration, the broader economic environment, characterized by inflationary pressures and potential slowdowns in the labor market, could indirectly affect the sector's growth prospects. The sector's reliance on research and development funding, which may face disruptions due to the federal financial assistance pause, adds another layer of uncertainty. However, the sector's inherent resilience, driven by ongoing demand for healthcare innovation and technological advancements, provides a buffer against these macroeconomic challenges.
 Despite the volatility in the broader stock market, the Life Sciences Tools &amp; Services sector remains a critical component of the healthcare industry, with a focus on providing essential tools and services for research and diagnostics. The sector's growth is supported by the continuous need for innovation in drug discovery, genomics, and personalized medicine. While geopolitical tensions and trade policies may introduce some headwinds, the sector's long-term outlook remains positive, driven by the increasing demand for advanced healthcare solutions. Investors should be mindful of the potential short-term volatility but can take comfort in the sector's strong fundamentals and growth potential.
 Score: 75</t>
  </si>
  <si>
    <t>Sector Investment Report:
 The water utilities sector is generally considered a stable and defensive investment, often less susceptible to economic cycles compared to other sectors. However, the recent macroeconomic environment presents both challenges and opportunities for this sector. The U.S. government's focus on infrastructure, including the replacement of lead pipes over a ten-year plan, could provide a boost to water utilities through increased investment and modernization efforts. This aligns with the broader trend of infrastructure development, which may support long-term growth in the sector. Additionally, the sector's essential nature means it is less likely to be directly impacted by the current trade tensions and geopolitical uncertainties affecting other industries.
 Despite these positive factors, the water utilities sector may face some headwinds. Inflationary pressures, exacerbated by recent tariff implementations, could increase operational costs for water utilities, potentially impacting profit margins. Furthermore, regulatory scrutiny and environmental considerations remain ongoing challenges that could affect the sector's performance. Overall, while the water utilities sector remains a relatively safe haven in times of market volatility, investors should be mindful of the potential cost pressures and regulatory hurdles that could influence its near-term outlook.
 Score: 75</t>
  </si>
  <si>
    <t>Sector Investment Report:
 The household products sector is generally considered a defensive sector, often providing stability during times of economic uncertainty. In the current macroeconomic environment, characterized by trade tensions and market volatility, the household products sector may benefit from its non-cyclical nature. Consumers tend to continue purchasing essential household items regardless of economic conditions, which can provide a steady revenue stream for companies within this sector. However, the recent tariffs imposed by the Trump administration could lead to increased costs for raw materials and imported goods, potentially squeezing profit margins for some companies in the sector.
 Despite these challenges, the household products sector may still offer a relatively safe haven for investors seeking to mitigate risk. The sector's resilience during economic downturns, coupled with its ability to pass on cost increases to consumers, can help maintain profitability. Additionally, the ongoing recovery efforts from natural disasters, such as the Los Angeles wildfires, may drive demand for cleaning and rebuilding supplies, further supporting the sector's performance. Overall, while the sector faces some headwinds, its defensive characteristics and essential nature may provide a buffer against broader market volatility.
 Score: 75</t>
  </si>
  <si>
    <t>Sector Investment Report:
 The health care technology sector is currently navigating a complex landscape shaped by macroeconomic and geopolitical factors. While the recent global tech market crash has primarily impacted AI-related companies, the health care technology sector remains relatively insulated due to its essential nature and ongoing demand for innovation in medical solutions. The sector's resilience is further supported by the continuous need for advancements in telemedicine, digital health records, and AI-driven diagnostics, which are crucial in addressing the evolving health care needs of an aging population. However, the broader economic environment, characterized by inflationary pressures and potential regulatory changes, could pose challenges to the sector's growth trajectory.
 Despite these challenges, the health care technology sector is poised for long-term growth, driven by the increasing integration of technology in health care delivery and management. The sector's potential is underscored by the ongoing development of personalized medicine, wearable health devices, and AI-powered health care solutions, which are expected to enhance patient outcomes and streamline health care processes. However, the sector must remain vigilant to potential disruptions from geopolitical tensions and trade policies that could impact supply chains and access to critical technologies. Overall, the health care technology sector presents a promising investment opportunity, albeit with a need for careful consideration of the broader economic and regulatory landscape.
 Score: 75</t>
  </si>
  <si>
    <t>Sector Investment Report:
 The Health Care Equipment &amp; Supplies sector is currently navigating a complex economic landscape shaped by recent macroeconomic developments and geopolitical tensions. While the sector is not directly impacted by the recent tariffs imposed by the Trump administration, the broader economic environment, characterized by inflationary pressures and potential slowdowns in consumer spending, could indirectly affect demand for health care products. Additionally, the sector may face challenges related to supply chain disruptions and increased costs of raw materials, which could impact profit margins. However, the essential nature of health care products and the ongoing demand for medical equipment and supplies provide a degree of resilience against broader market volatility.
 Despite the challenges, the Health Care Equipment &amp; Supplies sector continues to benefit from long-term growth drivers, such as an aging population and advancements in medical technology. The sector's focus on innovation and the development of new products and solutions to meet evolving health care needs position it well for future growth. Furthermore, the potential for increased government spending on health care infrastructure and services could provide additional support for the sector. Overall, while the sector faces some near-term headwinds, its fundamental strengths and growth prospects remain intact, making it a relatively stable investment option in the current uncertain market environment.
 Score: 75</t>
  </si>
  <si>
    <t>Aerospace &amp; Defense</t>
  </si>
  <si>
    <t>Sector Investment Report:
 The Aerospace &amp; Defense sector is currently navigating a complex landscape shaped by recent geopolitical tensions and technological advancements. The successful launch of Blue Origin's New Glenn heavy-lift vehicle marks a significant milestone in the private space sector, highlighting the potential for growth and innovation within aerospace. This achievement underscores the sector's resilience and capacity for technological breakthroughs, even amidst broader market volatility. However, the geopolitical tensions, particularly the U.S. sanctions on Russia's energy sector and other entities, could impact defense spending and international collaborations, potentially affecting the sector's growth trajectory.
 Despite these challenges, the Aerospace &amp; Defense sector remains a critical component of national security and technological advancement. The ongoing geopolitical tensions may drive increased defense budgets and investments in advanced technologies, such as space exploration and defense systems. Additionally, the sector's focus on innovation and the development of cutting-edge technologies could position it well for long-term growth. However, investors should remain cautious of potential regulatory changes and geopolitical risks that could impact the sector's performance in the near term.
 Score: 75</t>
  </si>
  <si>
    <t>Health Care REITs</t>
  </si>
  <si>
    <t>Sector Investment Report:
 The Health Care REITs sector is currently navigating a complex economic landscape influenced by broader macroeconomic factors and recent geopolitical developments. The imposition of tariffs by the Trump administration, along with retaliatory measures from key trading partners, has introduced a level of uncertainty that could indirectly impact the sector. While Health Care REITs are generally considered more insulated from trade-related disruptions compared to other sectors, the potential for inflationary pressures and a slowdown in economic growth could affect the cost of capital and financing conditions for these real estate investments. Additionally, the ongoing volatility in the stock market may lead to fluctuations in investor sentiment, which could impact the valuation of REITs in the short term.
 Despite these challenges, the Health Care REITs sector continues to benefit from strong underlying demand drivers, such as an aging population and increasing health care needs. The sector's focus on essential services, including senior housing, skilled nursing facilities, and medical office buildings, provides a degree of stability and resilience in uncertain times. However, investors should remain vigilant regarding potential regulatory changes and shifts in health care policy that could affect the sector's long-term growth prospects. Overall, while the Health Care REITs sector faces some headwinds, its defensive characteristics and essential service offerings provide a solid foundation for potential investment value.
 Score: 70</t>
  </si>
  <si>
    <t>Insurance</t>
  </si>
  <si>
    <t>Sector Investment Report:
 The insurance sector is currently navigating a complex economic landscape influenced by recent macroeconomic developments and geopolitical tensions. The imposition of tariffs by the Trump administration, coupled with retaliatory measures from key trading partners, has introduced uncertainty into the broader market, which could indirectly impact the insurance industry. As trade tensions escalate, the potential for economic slowdown and increased inflationary pressures may affect consumer spending and business investments, leading to a potential rise in claims and underwriting challenges for insurers. Additionally, the recent natural disasters, such as the Los Angeles wildfires and the Tibet earthquake, highlight the ongoing risks associated with climate change and the need for insurers to adapt their risk models and pricing strategies accordingly.
 Despite these challenges, the insurance sector remains resilient, with opportunities for growth driven by technological advancements and innovation. The increasing adoption of artificial intelligence and data analytics in underwriting and claims processing can enhance operational efficiency and customer experience. However, the sector must also contend with regulatory scrutiny and potential disruptions from emerging technologies, as seen with the global technology market crash triggered by the launch of DeepSeek. Overall, while the insurance sector faces headwinds from the current economic and geopolitical environment, its ability to adapt and leverage technology could provide a pathway for sustainable growth in the long term.
 Score: 65</t>
  </si>
  <si>
    <t>Residential REITs</t>
  </si>
  <si>
    <t>Sector Investment Report:
 The Residential Real Estate Investment Trusts (REITs) sector is currently navigating a complex economic landscape influenced by recent macroeconomic developments. The imposition of tariffs by the Trump administration and the resulting trade tensions have introduced a level of uncertainty that could impact consumer confidence and spending. This, in turn, may affect the demand for residential properties, as potential homebuyers and renters reassess their financial situations amidst the broader economic volatility. Additionally, the recent decline in job openings suggests a potential slowdown in the labor market, which could further dampen demand for residential real estate as individuals become more cautious about their housing decisions.
 Despite these challenges, the Residential REITs sector may find some resilience due to the ongoing need for housing and the potential for rental demand to remain stable. Inflationary pressures, while generally negative for the economy, could lead to increased rental rates, providing a potential revenue boost for REITs. However, the sector must also contend with the possibility of rising interest rates, which could increase borrowing costs and impact profitability. Overall, the Residential REITs sector faces a mixed outlook, with both opportunities and risks that investors must carefully consider in light of the current economic environment.
 Score: 65</t>
  </si>
  <si>
    <t>Professional Services</t>
  </si>
  <si>
    <t>Sector Investment Report:
 The professional services sector is currently navigating a challenging economic landscape influenced by recent macroeconomic developments. The imposition of tariffs by the Trump administration, particularly on imports from Canada, Mexico, and China, has created an environment of uncertainty that could impact the demand for professional services. As businesses face increased costs and potential disruptions in their supply chains, there may be a slowdown in the demand for consulting, legal, and financial advisory services. Additionally, the volatility in the stock market and the broader economic uncertainty could lead to a cautious approach by companies in terms of investment and expansion, further affecting the sector's growth prospects.
 However, the professional services sector may find opportunities in helping businesses navigate these complex challenges. As companies seek to adapt to the changing trade landscape and regulatory environment, there could be an increased demand for expertise in areas such as compliance, risk management, and strategic planning. Furthermore, the ongoing technological advancements and the rise of emerging technologies like artificial intelligence and cloud computing present opportunities for professional services firms to offer specialized consulting and implementation services. Despite the current headwinds, the sector's ability to adapt and provide value-added services could support its resilience in the medium to long term.
 Score: 65</t>
  </si>
  <si>
    <t>Sector Investment Report:
 The electric utilities sector is currently navigating a complex landscape influenced by recent macroeconomic and geopolitical developments. The imposition of tariffs by the Trump administration, particularly on imports from China, Canada, and Mexico, has introduced an element of uncertainty that could impact the cost structures and supply chains of electric utility companies. While the sector is traditionally seen as a defensive play due to its stable demand, the potential for increased costs and supply chain disruptions could weigh on profitability. Additionally, the broader economic slowdown indicated by declining job openings and inflationary pressures may affect industrial and commercial electricity demand, further challenging the sector's growth prospects.
 However, the sector may find some support from the ongoing transition towards renewable energy and the electrification of transportation, which could drive long-term demand for electricity. The recent geopolitical tensions and trade policies may also accelerate the push for energy independence and investment in domestic energy infrastructure, potentially benefiting electric utilities. Despite these potential tailwinds, the sector's near-term outlook remains clouded by the broader market volatility and economic uncertainties. As such, the electric utilities sector is expected to experience moderate investment value, with investors likely to remain cautious amid the current environment.
 Score: 65</t>
  </si>
  <si>
    <t>Gas Utilities</t>
  </si>
  <si>
    <t>Sector Investment Report:
 The gas utilities sector is currently navigating a complex economic landscape influenced by recent geopolitical tensions and trade policies. The imposition of tariffs by the Trump administration, particularly on imports from key trading partners such as Canada, Mexico, and China, has created an environment of uncertainty that could impact the sector's supply chain and cost structure. Additionally, the U.S. sanctions on Russia's energy sector may further complicate the global energy market dynamics, potentially affecting gas utilities' operations and pricing strategies. Despite these challenges, the sector may benefit from the ongoing transition towards cleaner energy sources, as natural gas is often seen as a bridge fuel in the shift from coal to renewable energy.
 However, the sector's outlook is tempered by inflationary pressures and potential regulatory changes. The tariffs are expected to contribute to rising costs, which could impact the profitability of gas utilities. Furthermore, the broader economic slowdown, as indicated by declining job openings and potential disruptions in federal financial assistance programs, may dampen demand for energy consumption. The sector's performance will largely depend on its ability to navigate these challenges and adapt to the evolving regulatory environment. Overall, while the gas utilities sector faces headwinds, its role in the energy transition may offer some resilience in the long term.
 Score: 65</t>
  </si>
  <si>
    <t>Independent Power and Renewable Electricity Producers</t>
  </si>
  <si>
    <t>Sector Investment Report:
 The Independent Power and Renewable Electricity Producers sector is navigating a complex landscape shaped by recent geopolitical and economic developments. The imposition of tariffs by the Trump administration, particularly on imports from China, Canada, and Mexico, could have indirect effects on the sector. These tariffs may lead to increased costs for components and materials used in renewable energy projects, potentially impacting the profitability and expansion plans of companies within this sector. Additionally, the broader economic uncertainty and potential slowdown in growth could affect investment flows into renewable energy projects, as investors may become more cautious in the face of heightened market volatility.
 Despite these challenges, the sector continues to benefit from long-term trends favoring the transition to cleaner energy sources. The global push for decarbonization and the increasing adoption of renewable energy technologies provide a supportive backdrop for the sector's growth. However, the recent market volatility and geopolitical tensions could pose short-term headwinds, potentially delaying project timelines and affecting investor sentiment. As a result, the sector's investment value is currently moderated by these uncertainties, though its long-term prospects remain positive given the ongoing shift towards sustainable energy solutions.
 Score: 65</t>
  </si>
  <si>
    <t>Beverages</t>
  </si>
  <si>
    <t>Sector Investment Report:
 The beverage sector is currently navigating a complex economic landscape influenced by recent macroeconomic developments and geopolitical tensions. The imposition of tariffs by the Trump administration, particularly on imports from Canada and Mexico, could have indirect effects on the beverage industry, especially for companies reliant on imported raw materials or packaging. Additionally, inflationary pressures stemming from these tariffs may lead to increased production costs, potentially squeezing profit margins for beverage companies. However, the sector's defensive nature, characterized by consistent consumer demand, may provide some resilience against broader market volatility.
 Despite the challenges, the beverage sector may benefit from its inherent stability and the potential for growth in emerging markets. As geopolitical tensions and trade disputes continue to unfold, beverage companies with diversified supply chains and strong brand recognition may be better positioned to weather the storm. Furthermore, the ongoing trend towards health-conscious and sustainable products could drive innovation and open new revenue streams within the sector. Overall, while the beverage industry faces headwinds from the current economic environment, its defensive characteristics and adaptability may offer some investment value.
 Score: 65</t>
  </si>
  <si>
    <t>Sector Investment Report:
 The Health Care Providers &amp; Services sector is currently navigating a complex economic landscape influenced by recent macroeconomic developments. The U.S. government's temporary pause on federal financial assistance programs, excluding Medicare and Social Security, could potentially disrupt funding for various health care initiatives and projects. This pause, coupled with the broader economic uncertainties stemming from the Trump administration's trade policies, may create challenges for health care providers who rely on government funding and support. However, the sector's inherent resilience, driven by the essential nature of health care services, may help mitigate some of these challenges in the short term.
 Despite the potential funding disruptions, the Health Care Providers &amp; Services sector may benefit from ongoing demand for medical services and an aging population that continues to drive the need for health care. Additionally, the sector's relative insulation from direct impacts of trade tensions and tariffs may provide some stability compared to more exposed industries. However, inflationary pressures and potential regulatory changes could pose risks to profitability and operational efficiency. Overall, while the sector faces headwinds, its fundamental demand drivers and relative insulation from trade-related volatility may offer a degree of investment value.
 Score: 65</t>
  </si>
  <si>
    <t>Consumer Staples Distribution &amp; Retail</t>
  </si>
  <si>
    <t>Sector Investment Report:
 The consumer staples distribution and retail sector is traditionally seen as a defensive play during times of economic uncertainty, given its focus on essential goods and services. However, the recent macroeconomic environment presents a mixed outlook for this sector. The imposition of tariffs by the Trump administration, particularly on imports from Canada, Mexico, and China, could lead to increased costs for consumer staples companies that rely on imported goods and materials. This, in turn, may result in higher prices for consumers, potentially dampening demand. Additionally, the inflationary pressures building in the economy could further squeeze consumer purchasing power, impacting sales volumes in the sector.
 Despite these challenges, the consumer staples sector may benefit from its inherent stability and the continued demand for essential products. As other sectors, such as technology and industrials, face significant volatility due to geopolitical tensions and trade disputes, consumer staples may offer a relative safe haven for investors seeking to mitigate risk. The sector's resilience is supported by its focus on non-discretionary items, which tend to maintain steady demand even during economic downturns. However, the potential for increased regulatory scrutiny and supply chain disruptions remains a concern, and companies within the sector will need to navigate these challenges carefully to maintain profitability.
 Score: 65</t>
  </si>
  <si>
    <t>Oil, Gas &amp; Consumable Fuels</t>
  </si>
  <si>
    <t>Sector Investment Report:
 The oil, gas, and consumable fuels sector is currently navigating a complex landscape shaped by geopolitical tensions and recent U.S. sanctions on Russia's energy sector. These sanctions, coupled with the ongoing geopolitical tensions involving Venezuela and Sudan, have the potential to disrupt global energy supply chains, leading to volatility in oil prices. The sector may experience short-term price fluctuations as markets react to these geopolitical developments. Additionally, the U.S. administration's trade policies, including tariffs on key trading partners, could indirectly impact the sector by influencing global economic growth and energy demand.
 Despite these challenges, the sector may find some support from the broader macroeconomic environment. Inflationary pressures, partly driven by the recent tariffs, could lead to higher energy prices, benefiting oil and gas producers. However, the potential for a slowdown in global economic growth due to trade tensions may offset these gains. The sector's long-term outlook will depend on the resolution of geopolitical tensions and trade disputes, as well as the global transition towards renewable energy sources. Investors in this sector should be prepared for continued volatility and closely monitor geopolitical developments and policy changes.
 Score: 65</t>
  </si>
  <si>
    <t>Multi-Utilities</t>
  </si>
  <si>
    <t>Sector Investment Report:
 The multi-utilities sector is currently navigating a complex economic landscape influenced by recent geopolitical tensions and trade policies. The imposition of tariffs by the Trump administration, particularly on imports from Canada, Mexico, and China, has created an environment of uncertainty that could impact the sector's operations and cost structures. As multi-utilities companies often rely on a diverse range of inputs and international supply chains, the potential for increased costs due to tariffs and retaliatory measures could pressure profit margins. Additionally, the broader economic slowdown indicated by declining job openings and inflationary pressures may affect demand for utility services, as consumers and businesses become more cautious with their spending.
 Despite these challenges, the multi-utilities sector may benefit from its inherent stability and essential nature, which often provides a buffer against economic downturns. The sector's focus on providing critical services such as electricity, water, and gas ensures a consistent demand, even in turbulent times. However, the sector must remain vigilant to regulatory changes and potential disruptions in supply chains. The ongoing geopolitical tensions and trade disputes could lead to increased regulatory scrutiny and operational challenges, necessitating strategic adjustments to maintain resilience. Overall, while the sector's defensive characteristics offer some protection, the current macroeconomic environment presents notable risks that could impact investment value.
 Score: 65</t>
  </si>
  <si>
    <t>Personal Care Products</t>
  </si>
  <si>
    <t>Sector Investment Report:
 The personal care products sector is currently navigating a challenging economic landscape influenced by broader macroeconomic factors. The recent implementation of tariffs by the Trump administration, particularly those affecting imports from China, could lead to increased costs for raw materials and finished goods in this sector. As a result, companies may face pressure on their profit margins, potentially leading to higher prices for consumers. Additionally, the ongoing geopolitical tensions and trade disputes could disrupt supply chains, further complicating the operational environment for personal care product manufacturers and retailers.
 Despite these challenges, the personal care products sector may benefit from certain underlying trends. The demand for personal care and hygiene products remains relatively stable, driven by consumer preferences for health and wellness. Moreover, the sector's resilience during economic downturns, due to the essential nature of many of its products, could provide some level of stability. However, the sector's overall performance will largely depend on how companies navigate the current trade environment and manage cost pressures. Investors should be mindful of the potential for volatility and the impact of external economic factors on this sector.
 Score: 65</t>
  </si>
  <si>
    <t>Food Products</t>
  </si>
  <si>
    <t>Sector Investment Report:
 The food products sector is currently navigating a complex economic landscape influenced by recent macroeconomic developments and geopolitical tensions. The imposition of tariffs by the Trump administration, particularly on imports from Canada, Mexico, and China, has the potential to disrupt supply chains and increase costs for food producers reliant on imported ingredients and materials. This could lead to inflationary pressures within the sector, as companies may pass on higher costs to consumers, potentially impacting demand. Additionally, retaliatory tariffs from trading partners could further complicate the sector's outlook, as export opportunities may be constrained, affecting revenue streams for companies with significant international exposure.
 Despite these challenges, the food products sector is traditionally considered a defensive industry, often demonstrating resilience during periods of economic uncertainty. The essential nature of food consumption provides a degree of stability, as demand for food products tends to remain relatively steady even in volatile market conditions. However, the sector's performance will largely depend on how companies manage cost pressures and navigate the evolving trade landscape. Firms with strong supply chain management and the ability to adapt to changing market dynamics may be better positioned to weather the current economic headwinds. Overall, while the sector faces near-term challenges, its defensive characteristics may offer some level of protection against broader market volatility.
 Score: 65</t>
  </si>
  <si>
    <t>Electrical Equipment</t>
  </si>
  <si>
    <t>Sector Investment Report:
 The electrical equipment sector is currently navigating a challenging economic landscape influenced by recent macroeconomic developments. The imposition of tariffs by the Trump administration on imports from key trading partners, including China, Canada, and Mexico, has introduced significant uncertainty and potential cost pressures for companies within this sector. As electrical equipment manufacturers often rely on a global supply chain for components and raw materials, the increased tariffs could lead to higher production costs, which may impact profit margins. Additionally, retaliatory measures from affected countries could further complicate the trade environment, potentially affecting export opportunities for U.S.-based electrical equipment firms.
 Despite these challenges, the sector may find some resilience in the ongoing demand for infrastructure development and modernization, particularly in the areas of renewable energy and smart grid technologies. The push towards sustainable energy solutions and the integration of advanced technologies in electrical systems could provide growth opportunities for companies that can adapt to the changing market dynamics. However, the overall outlook remains cautious, as the sector must contend with the broader economic uncertainties and potential disruptions stemming from geopolitical tensions and trade policies. Companies in the electrical equipment sector will need to strategically manage their supply chains and cost structures to navigate this volatile environment effectively.
 Score: 55</t>
  </si>
  <si>
    <t>Financial Services</t>
  </si>
  <si>
    <t>Sector Investment Report:
 The financial services sector is currently navigating a challenging landscape marked by macroeconomic uncertainties and regulatory pressures. Recent developments, such as the imposition of tariffs by the Trump administration and the subsequent retaliatory measures, have introduced volatility into the market. This has led to a decline in job openings and heightened inflationary pressures, which could dampen economic growth and impact the financial services industry. Additionally, the Federal Reserve's ongoing regulatory scrutiny, as evidenced by the continued asset cap on Wells Fargo, suggests that financial institutions may face persistent oversight and compliance challenges. These factors contribute to a cautious outlook for the sector in the near term.
 Despite these headwinds, the financial services sector may find some resilience in its ability to adapt to changing market conditions. The sector's performance will largely depend on the resolution of trade disputes and the Federal Reserve's policy response. If trade tensions de-escalate and economic conditions stabilize, financial institutions could benefit from improved market sentiment and increased consumer confidence. However, the potential for escalating trade tensions and a broader trade war remains a significant risk, which could lead to further market volatility and impact the sector's profitability. As such, the financial services sector faces a mixed outlook, with both opportunities and challenges on the horizon.
 Score: 55</t>
  </si>
  <si>
    <t>Banks</t>
  </si>
  <si>
    <t>Sector Investment Report:
 The banking sector is currently navigating a complex landscape marked by regulatory scrutiny and macroeconomic challenges. The recent termination of two enforcement actions against Wells Fargo by the Federal Reserve, while maintaining the bank's asset cap, underscores the ongoing regulatory pressures faced by major financial institutions. This regulatory environment, coupled with the broader economic uncertainties stemming from the Trump administration's trade policies, presents a mixed outlook for the sector. The imposition of tariffs and the potential for retaliatory measures could impact economic growth and, consequently, the demand for banking services. Additionally, inflationary pressures are building, which could affect interest rates and the profitability of banks.
 Despite these challenges, the banking sector remains a critical component of the economy, with the potential for resilience in the face of adversity. The sector's performance will largely depend on the resolution of trade disputes and the Federal Reserve's policy response to inflationary pressures. If trade tensions ease and economic conditions stabilize, banks could benefit from improved lending activity and consumer confidence. However, the current environment of heightened volatility and uncertainty necessitates a cautious approach, as the sector may face headwinds in the short to medium term. Overall, the banking sector's investment value is influenced by a combination of regulatory, economic, and geopolitical factors that require careful consideration.
 Score: 55</t>
  </si>
  <si>
    <t>Consumer Finance</t>
  </si>
  <si>
    <t>Sector Investment Report:
 The consumer finance sector is currently navigating a challenging economic landscape, influenced by recent macroeconomic developments and policy changes. The imposition of tariffs by the Trump administration has introduced inflationary pressures, which could impact consumer spending and borrowing behavior. As inflation rises, the cost of living may increase, potentially leading to a decrease in disposable income and a subsequent reduction in consumer demand for financial products and services. Additionally, the recent pause on federal financial assistance programs, excluding Medicare and Social Security, could further strain consumer finances, as individuals and families may face reduced access to government support during this period of economic uncertainty.
 Despite these challenges, the consumer finance sector may find some resilience in the ongoing regulatory scrutiny of major financial institutions, such as Wells Fargo. The termination of certain enforcement actions against Wells Fargo, while maintaining its asset cap, suggests a continued focus on ensuring stability and compliance within the sector. However, the broader economic environment, characterized by declining job openings and potential disruptions from geopolitical tensions, presents a mixed outlook for consumer finance. The sector's performance will likely be influenced by the resolution of trade disputes and the Federal Reserve's policy response to inflationary pressures. As such, the consumer finance sector faces a period of heightened volatility and uncertainty, with potential headwinds impacting growth and profitability.
 Score: 55</t>
  </si>
  <si>
    <t>Hotel &amp; Resort REITs</t>
  </si>
  <si>
    <t>Sector Investment Report:
 The Hotel &amp; Resort REITs sector is currently navigating a challenging economic landscape, influenced by recent macroeconomic developments and geopolitical tensions. The imposition of tariffs by the Trump administration, coupled with retaliatory measures from key trading partners, has introduced uncertainty into the broader market, potentially impacting consumer spending and travel demand. As a result, the hospitality industry, which is closely tied to economic cycles and consumer confidence, may face headwinds in the near term. Additionally, the recent volatility in the stock market, particularly in sectors vulnerable to trade tensions, could further dampen investor sentiment towards Hotel &amp; Resort REITs.
 Despite these challenges, there are factors that could support the sector's resilience. The ongoing recovery from the pandemic has led to a resurgence in travel and tourism, which may provide a tailwind for hotel and resort operators. Furthermore, the sector's focus on leisure and domestic travel could mitigate some of the risks associated with international trade disruptions. However, the potential for inflationary pressures, driven by tariffs and supply chain constraints, could increase operational costs for REITs, impacting profitability. Overall, while there are opportunities for growth, the sector's investment value is tempered by the prevailing economic uncertainties and market volatility.
 Score: 55</t>
  </si>
  <si>
    <t>Construction &amp; Engineering</t>
  </si>
  <si>
    <t>Sector Investment Report:
 The construction and engineering sector is currently navigating a challenging economic landscape, influenced by recent macroeconomic developments and geopolitical tensions. The imposition of tariffs by the Trump administration, particularly on imports from Canada, Mexico, and China, has introduced uncertainty and potential cost pressures for the sector. These tariffs could lead to increased material costs, impacting profit margins and project feasibility. Additionally, the recent wildfires in Southern California and the ongoing recovery efforts may create both challenges and opportunities for the sector, as reconstruction and infrastructure projects could drive demand for construction services.
 Despite these challenges, the sector may find some support from domestic infrastructure initiatives and potential government spending on rebuilding efforts in disaster-affected areas. However, the broader economic environment, characterized by declining job openings and inflationary pressures, suggests a cautious outlook for the construction and engineering sector. The potential for escalating trade tensions and a broader trade war could further weigh on investor sentiment and project pipelines. As such, the sector's investment value is currently seen as moderate, with a need for careful monitoring of geopolitical developments and policy changes.
 Score: 55</t>
  </si>
  <si>
    <t>Sector Investment Report:
 The entertainment sector is currently navigating a complex landscape shaped by both macroeconomic challenges and evolving consumer preferences. The recent imposition of tariffs by the Trump administration has introduced uncertainty into the market, potentially impacting the cost of imported goods and services related to the entertainment industry. Additionally, the broader economic environment, characterized by declining job openings and inflationary pressures, may affect consumer spending on entertainment products and services. As a result, companies within this sector may face headwinds in maintaining revenue growth and profitability in the short to medium term.
 Despite these challenges, the entertainment sector continues to benefit from technological advancements and innovation. The rise of streaming platforms, virtual reality experiences, and interactive content has created new opportunities for growth and engagement with audiences. However, the geopolitical tensions and regulatory scrutiny surrounding emerging technologies, such as artificial intelligence, could pose additional risks to the sector. Overall, while the entertainment industry remains resilient and adaptable, the current economic and political climate suggests a cautious approach to investment in this sector.
 Score: 55</t>
  </si>
  <si>
    <t>Media</t>
  </si>
  <si>
    <t>Sector Investment Report:
 The media sector is currently navigating a complex landscape shaped by geopolitical tensions and regulatory challenges. The recent imposition of tariffs by the Trump administration, along with retaliatory measures from key trading partners, has introduced uncertainty into the market. This environment could impact advertising revenues and content distribution, particularly for companies with significant international exposure. Additionally, the Supreme Court's decision to uphold the TikTok ban provisions, coupled with the ongoing legal challenges, adds another layer of complexity for media companies reliant on digital platforms for audience engagement and revenue generation.
 Despite these challenges, the media sector may find opportunities in the evolving technological landscape. The rise of emerging technologies, such as artificial intelligence and cloud computing, presents potential avenues for innovation and growth. However, the sector must also contend with increased regulatory scrutiny and potential disruptions from geopolitical tensions. As the market adjusts to these dynamics, media companies will need to strategically navigate the shifting environment to maintain competitiveness and capitalize on new opportunities.
 Score: 55</t>
  </si>
  <si>
    <t>Sector Investment Report:
 The diversified telecommunication services sector is currently navigating a complex landscape shaped by recent geopolitical tensions and regulatory challenges. The Trump administration's trade policies, including tariffs on imports from key trading partners such as China, Canada, and Mexico, have introduced a layer of uncertainty that could impact the sector's supply chain and cost structures. Additionally, the recent crackdown on Chinese-owned apps, including TikTok, highlights the potential for increased regulatory scrutiny, which could affect the operations and growth prospects of companies within this sector. As telecommunication services are integral to the broader technology ecosystem, the sector may also feel the ripple effects of the global technology market crash triggered by the emergence of DeepSeek, a Chinese AI competitor.
 Despite these challenges, the sector's fundamental role in enabling connectivity and communication remains a critical driver of demand. The ongoing digital transformation across industries and the increasing reliance on cloud-based services and remote communication tools continue to support the sector's long-term growth potential. However, the immediate outlook is clouded by the potential for further trade disruptions and regulatory hurdles, which could weigh on investor sentiment and sector performance. As such, the diversified telecommunication services sector faces a mixed investment environment, with both opportunities and risks that need to be carefully balanced.
 Score: 55</t>
  </si>
  <si>
    <t>Mortgage Real Estate Investment Trusts (REITs)</t>
  </si>
  <si>
    <t>Sector Investment Report:
 The Mortgage Real Estate Investment Trusts (REITs) sector is currently navigating a challenging economic landscape, influenced by the broader macroeconomic environment and recent geopolitical developments. The imposition of tariffs by the Trump administration, coupled with retaliatory measures from key trading partners, has introduced uncertainty into the financial markets. This uncertainty, along with inflationary pressures, could impact interest rates and borrowing costs, which are critical factors for the mortgage REITs sector. As interest rates fluctuate, the cost of capital for mortgage REITs may increase, potentially affecting their profitability and dividend yields. Additionally, the recent volatility in the stock market, particularly in the technology sector, may lead to a shift in investor sentiment, impacting the demand for mortgage-backed securities.
 Despite these challenges, the mortgage REITs sector may find some support from the Federal Reserve's ongoing monetary policy decisions. While the Fed has terminated certain enforcement actions against Wells Fargo, the broader regulatory environment remains cautious. The potential for a slowdown in the labor market, as indicated by declining job openings, could lead to a more accommodative monetary policy stance, which may benefit mortgage REITs by keeping interest rates lower for longer. However, the sector's outlook remains uncertain, as the resolution of trade disputes and the trajectory of inflation will play a significant role in shaping the economic environment. Investors in mortgage REITs should be prepared for continued volatility and closely monitor developments in interest rates and regulatory policies.
 Score: 55</t>
  </si>
  <si>
    <t>Sector Investment Report:
 The IT Services sector is currently navigating a challenging landscape, influenced by recent macroeconomic and geopolitical developments. The global technology market has been significantly impacted by the launch of DeepSeek, a Chinese AI competitor, which triggered a major sell-off in tech stocks. This has led to a historic drop in market value for companies like Nvidia, highlighting the vulnerability of the sector to competitive pressures and market sentiment shifts. Additionally, the Trump administration's trade policies, including tariffs on imports from China, have introduced further uncertainty, potentially affecting supply chains and cost structures within the IT Services industry. The sector's reliance on global collaboration and cross-border operations makes it particularly sensitive to these geopolitical tensions.
 Despite these challenges, the IT Services sector remains a critical component of the modern economy, driven by the ongoing demand for digital transformation, cloud computing, and artificial intelligence solutions. However, the recent geopolitical tensions and regulatory scrutiny, particularly concerning Chinese-owned technology companies, could pose risks to growth and innovation. The sector's outlook is clouded by the potential for increased regulatory challenges and the need to adapt to a rapidly changing competitive landscape. As such, the investment value of the IT Services sector is currently tempered by these uncertainties, with a cautious approach warranted given the potential for continued volatility and disruption.
 Score: 55</t>
  </si>
  <si>
    <t>Sector Investment Report:
 The Real Estate Management &amp; Development sector is currently navigating a complex economic landscape influenced by recent macroeconomic and geopolitical developments. The imposition of tariffs by the Trump administration, particularly on goods from Canada, Mexico, and China, has introduced uncertainty into the market, potentially affecting construction costs and supply chain dynamics. Additionally, the recent volatility in the stock market, driven by the global tech market crash and geopolitical tensions, may impact investor confidence and capital flows into real estate projects. The sector could face challenges in maintaining growth momentum if these trade tensions persist and lead to broader economic slowdowns.
 Despite these headwinds, the sector may find some resilience in the ongoing demand for housing and commercial spaces, particularly in urban areas recovering from the pandemic's impact. However, inflationary pressures and potential interest rate adjustments by the Federal Reserve could influence borrowing costs and investment decisions in the real estate market. The sector's outlook will largely depend on the resolution of trade disputes and the broader economic environment. In the short to medium term, the Real Estate Management &amp; Development sector may experience volatility, but long-term prospects could stabilize if macroeconomic conditions improve and trade tensions ease.
 Score: 55</t>
  </si>
  <si>
    <t>Retail REITs</t>
  </si>
  <si>
    <t>Sector Investment Report:
 The Retail Real Estate Investment Trusts (REITs) sector is currently navigating a challenging economic landscape influenced by recent macroeconomic developments. The imposition of tariffs by the Trump administration, particularly on goods from Canada, Mexico, and China, has the potential to impact consumer spending and retail sales, which are critical drivers for retail REITs. As inflationary pressures build due to these tariffs, consumer purchasing power may be constrained, leading to a potential slowdown in retail activity. This could affect the occupancy rates and rental income of retail properties, posing a risk to the sector's performance.
 Additionally, the recent volatility in the stock market, driven by the global technology sector's downturn, may have indirect effects on retail REITs. While the technology sector's challenges are not directly related to retail, the overall market sentiment and investor confidence could influence investment flows into REITs. However, retail REITs with a diversified tenant base and strong balance sheets may be better positioned to weather these economic headwinds. The sector's long-term outlook will depend on the resolution of trade tensions and the broader economic recovery, which could stabilize consumer spending and support retail property demand.
 Score: 55</t>
  </si>
  <si>
    <t>Containers &amp; Packaging</t>
  </si>
  <si>
    <t>Sector Investment Report:
 The Containers &amp; Packaging sector is currently navigating a challenging economic landscape influenced by recent macroeconomic developments. The imposition of tariffs by the Trump administration on imports from Canada, Mexico, and China has introduced significant uncertainty and potential cost pressures for companies within this sector. As these tariffs could lead to increased raw material costs and supply chain disruptions, the sector may face margin compression and operational challenges. Additionally, retaliatory measures from trading partners could further complicate the business environment, impacting export opportunities and overall demand for packaging products.
 Despite these headwinds, the sector may find some resilience in its essential role within the broader economy, particularly in consumer goods and e-commerce. The ongoing demand for packaging solutions in these areas could provide a buffer against the adverse effects of trade tensions. However, the overall outlook remains cautious, as the potential for escalating trade disputes and inflationary pressures could weigh on profitability and growth prospects. Companies in the Containers &amp; Packaging sector will need to navigate these challenges carefully, focusing on cost management and strategic partnerships to mitigate risks.
 Score: 55</t>
  </si>
  <si>
    <t>Energy Equipment &amp; Services</t>
  </si>
  <si>
    <t>Sector Investment Report:
 The Energy Equipment &amp; Services sector is currently navigating a complex landscape shaped by geopolitical tensions and recent trade policies. The imposition of U.S. sanctions on Russia's energy sector, along with other geopolitical developments, has the potential to disrupt global energy supply chains. These actions could lead to increased volatility in energy prices, impacting the demand for energy equipment and services. Additionally, the recent tariffs imposed by the Trump administration may indirectly affect the sector by increasing costs for imported materials and components, further complicating the operational environment for companies within this industry.
 Despite these challenges, the sector may find some support from ongoing global energy transition efforts and the push for renewable energy sources. The demand for energy equipment and services related to renewable energy projects could provide a counterbalance to the headwinds faced by traditional energy segments. However, the overall outlook remains uncertain, as the sector's performance will largely depend on the resolution of geopolitical tensions and trade disputes. Companies in this sector may need to navigate a challenging environment characterized by fluctuating energy prices and potential regulatory changes.
 Score: 55</t>
  </si>
  <si>
    <t>Construction Materials</t>
  </si>
  <si>
    <t>Sector Investment Report:
 The construction materials sector is currently navigating a challenging economic landscape, influenced by recent macroeconomic developments and geopolitical tensions. The imposition of tariffs by the Trump administration, particularly on imports from Canada and Mexico, has the potential to disrupt supply chains and increase costs for construction materials. These tariffs, coupled with retaliatory measures from trading partners, could lead to inflationary pressures that may dampen demand for construction projects. Additionally, the recent wildfires in Southern California and the earthquake in Tibet have highlighted the need for reconstruction efforts, which could drive demand for construction materials in the short term. However, the overall economic uncertainty and potential slowdown in the labor market may weigh on the sector's growth prospects.
 Despite these challenges, there are opportunities for the construction materials sector to capitalize on the ongoing recovery efforts from natural disasters and infrastructure projects. The sector may benefit from increased government spending on rebuilding efforts and infrastructure development, particularly in regions affected by recent crises. However, the sector's performance will largely depend on the resolution of trade disputes and the broader economic environment. If trade tensions escalate further, the sector could face additional headwinds, impacting profitability and growth. Overall, the construction materials sector is expected to experience volatility in the near term, with its long-term outlook contingent on macroeconomic stability and policy developments.
 Score: 55</t>
  </si>
  <si>
    <t>Chemicals</t>
  </si>
  <si>
    <t>Sector Investment Report:
 The chemicals sector is currently navigating a challenging economic landscape, influenced by the broader macroeconomic environment and recent geopolitical developments. The imposition of tariffs by the Trump administration, particularly on imports from China, Canada, and Mexico, has introduced significant uncertainty and potential cost pressures for chemical companies reliant on global supply chains. These tariffs could lead to increased input costs, which may compress profit margins if companies are unable to pass these costs onto consumers. Additionally, retaliatory measures from affected countries could further complicate trade dynamics, impacting the sector's export potential and overall competitiveness.
 Despite these challenges, the chemicals sector may find some resilience in its diverse applications across various industries, including agriculture, pharmaceuticals, and consumer goods. However, the sector's performance will likely be closely tied to the resolution of trade disputes and the broader economic recovery. Inflationary pressures and potential slowdowns in industrial activity could weigh on demand for chemical products. As such, the sector's investment value remains uncertain in the short to medium term, with potential volatility driven by ongoing geopolitical tensions and macroeconomic headwinds.
 Score: 55</t>
  </si>
  <si>
    <t>Metals &amp; Mining</t>
  </si>
  <si>
    <t>Sector Investment Report:
 The metals and mining sector is currently navigating a complex landscape influenced by recent geopolitical tensions and trade policies. The imposition of tariffs by the Trump administration, particularly on imports from China, Canada, and Mexico, has created an environment of uncertainty that could impact the demand for metals and mining products. The retaliatory measures from these trading partners further exacerbate the situation, potentially leading to disruptions in supply chains and increased costs for raw materials. Additionally, the inflationary pressures stemming from these tariffs could dampen economic growth, affecting the overall demand for metals used in construction, manufacturing, and technology sectors.
 Despite these challenges, the sector may find some support from the ongoing global transition towards renewable energy and electric vehicles, which require significant amounts of metals such as copper, lithium, and nickel. However, the recent volatility in the stock market, particularly in the technology sector, could spill over into metals and mining, as these industries are interconnected through supply chains and technological advancements. The long-term outlook for the sector remains uncertain, as the resolution of trade disputes and the stabilization of global markets will be crucial in determining future demand and pricing dynamics. Investors in this sector should be prepared for continued volatility and closely monitor geopolitical developments and trade negotiations.
 Score: 55</t>
  </si>
  <si>
    <t>Leisure Products</t>
  </si>
  <si>
    <t>Sector Investment Report:
 The leisure products sector is currently navigating a challenging economic landscape, influenced by broader macroeconomic factors and recent geopolitical developments. The imposition of tariffs by the Trump administration, particularly on imports from China, Canada, and Mexico, has introduced significant uncertainty and potential cost pressures for companies within this sector. As many leisure products are manufactured or sourced from these regions, the increased tariffs could lead to higher production costs, which may be passed on to consumers, potentially dampening demand. Additionally, the retaliatory measures from these trading partners could further complicate the supply chain dynamics, impacting the sector's profitability.
 Despite these challenges, the leisure products sector may find some resilience in the face of ongoing consumer interest in recreational activities and home entertainment, especially as people continue to seek leisure options amid economic uncertainties. However, the sector's performance will largely depend on the resolution of trade tensions and the ability of companies to navigate the evolving regulatory environment. The potential for increased inflationary pressures and a slowdown in consumer spending could pose additional risks. Overall, the sector faces a mixed outlook, with both opportunities and challenges that could influence its investment value in the coming months.
 Score: 55</t>
  </si>
  <si>
    <t>Sector Investment Report:
 The software sector is currently navigating a challenging landscape, primarily influenced by the recent global tech market crash triggered by the emergence of DeepSeek, a Chinese AI competitor. This event has led to a significant sell-off in technology shares, with major players like Nvidia experiencing unprecedented losses. The volatility in the software sector is further compounded by geopolitical tensions, particularly the U.S. administration's trade policies and tariffs on China, which have sparked retaliatory measures. These developments have introduced a level of uncertainty that could impact the growth prospects and profitability of software companies, especially those heavily reliant on international markets and supply chains.
 Despite these challenges, the software sector remains a critical component of the global economy, driven by ongoing advancements in artificial intelligence, cloud computing, and other emerging technologies. However, the sector's outlook is clouded by potential regulatory scrutiny and geopolitical risks, which could hinder innovation and expansion efforts. The recent crackdown on Chinese-owned apps, including TikTok, highlights the potential for increased regulatory challenges that software companies may face. As the sector grapples with these headwinds, its investment value is currently perceived as moderate, with the potential for recovery contingent on the resolution of trade disputes and stabilization of market conditions.
 Score: 55</t>
  </si>
  <si>
    <t>Sector Investment Report:
 The specialized REITs sector is currently navigating a challenging economic landscape influenced by recent macroeconomic developments. The imposition of tariffs by the Trump administration and the resulting trade tensions have created an environment of uncertainty, which could impact the commercial real estate market. The potential slowdown in economic growth, coupled with inflationary pressures, may affect the demand for specialized real estate assets, such as data centers, cell towers, and logistics facilities. Additionally, the volatility in the technology sector, as evidenced by the significant drop in Nvidia's market value, could have indirect effects on REITs that are heavily invested in tech-related infrastructure.
 Despite these challenges, specialized REITs may still offer some resilience due to their focus on niche markets with strong underlying demand drivers. For instance, the ongoing digital transformation and the increasing reliance on cloud computing and data storage could support demand for data centers. However, the geopolitical tensions and potential regulatory scrutiny on emerging technologies may pose risks to the sector's growth prospects. Overall, while specialized REITs have the potential to weather the current economic headwinds, investors should remain cautious and monitor developments closely.
 Score: 55</t>
  </si>
  <si>
    <t>Commercial Services &amp; Supplies</t>
  </si>
  <si>
    <t>Sector Investment Report:
 The Commercial Services &amp; Supplies sector is currently navigating a challenging economic landscape, influenced by recent macroeconomic developments and geopolitical tensions. The imposition of tariffs by the Trump administration on imports from Canada, Mexico, and China has created an environment of uncertainty, potentially impacting the supply chains and cost structures within this sector. As these tariffs could lead to increased input costs, companies in this sector may face pressure on their profit margins. Additionally, the retaliatory measures from trading partners could further complicate the operational dynamics for businesses reliant on international trade, potentially leading to disruptions in service delivery and supply availability.
 Despite these challenges, the sector may find some resilience in domestic demand, particularly as businesses and governments continue to require essential services and supplies. However, the overall outlook remains cautious, as the potential for escalating trade tensions and broader economic slowdown could weigh on the sector's growth prospects. The ongoing volatility in the stock market, coupled with inflationary pressures, adds another layer of complexity for companies operating in this space. As such, the sector's investment value is currently seen as moderate, with a need for careful monitoring of geopolitical developments and their impact on the broader economic environment.
 Score: 55</t>
  </si>
  <si>
    <t>Hotels, Restaurants &amp; Leisure</t>
  </si>
  <si>
    <t>Sector Investment Report:
 The Hotels, Restaurants &amp; Leisure sector is currently navigating a challenging economic landscape, influenced by broader macroeconomic factors and geopolitical tensions. The recent imposition of tariffs by the Trump administration, along with retaliatory measures from key trading partners, has introduced uncertainty into the market. This sector, which is sensitive to consumer spending and economic conditions, may face headwinds as inflationary pressures build and consumer confidence potentially wanes. The decline in job openings and the broader economic slowdown could further impact discretionary spending, affecting the performance of businesses within this sector.
 Despite these challenges, there are potential opportunities for resilience and recovery. The sector could benefit from a stabilization in trade relations and a resolution to the ongoing geopolitical tensions. Additionally, as the global economy adjusts to the new trade dynamics, there may be opportunities for growth in domestic tourism and leisure activities. However, the sector's outlook remains contingent on the broader economic environment and the resolution of trade disputes. Investors should be mindful of the potential for continued volatility and the impact of macroeconomic factors on consumer behavior and spending patterns within this sector.
 Score: 55</t>
  </si>
  <si>
    <t>Building Products</t>
  </si>
  <si>
    <t>Sector Investment Report:
 The building products sector is currently navigating a challenging economic landscape, influenced by recent macroeconomic developments and geopolitical tensions. The imposition of tariffs by the Trump administration on imports from Canada, Mexico, and China has introduced uncertainty and potential cost pressures for the sector. These tariffs could lead to increased prices for raw materials and components, impacting the profitability of companies within the building products industry. Additionally, the ongoing recovery efforts from the devastating wildfires in Southern California may drive demand for building materials, but the sector must contend with supply chain disruptions and potential inflationary pressures.
 Despite these challenges, the sector may find some support from the ongoing need for reconstruction and infrastructure development, particularly in regions affected by natural disasters. However, the broader economic environment, characterized by declining job openings and potential inflationary impacts, suggests a cautious outlook for the building products sector. The sector's performance will likely be influenced by the resolution of trade tensions and the ability of companies to navigate the evolving regulatory landscape. Overall, the building products sector faces a mixed outlook, with potential opportunities tempered by significant risks and uncertainties.
 Score: 55</t>
  </si>
  <si>
    <t>Industrial REITs</t>
  </si>
  <si>
    <t>Sector Investment Report:
 The recent macroeconomic developments and geopolitical tensions have created a challenging environment for the Industrial Real Estate Investment Trusts (REITs) sector. The imposition of tariffs by the Trump administration on imports from Canada, Mexico, and China, along with the retaliatory measures from these countries, has the potential to disrupt supply chains and increase costs for industrial operations. This could lead to a slowdown in demand for industrial spaces, as companies may become more cautious in their expansion plans. Additionally, the inflationary pressures resulting from the tariffs could further strain the sector, as higher costs may impact the profitability of tenants and, consequently, the rental income for Industrial REITs.
 Despite these challenges, there are some factors that could provide support to the Industrial REITs sector. The ongoing recovery efforts from the recent natural disasters, such as the Southern California wildfires, may drive demand for industrial spaces needed for reconstruction and logistics. Furthermore, the sector could benefit from the continued growth of e-commerce, which requires significant warehousing and distribution facilities. However, the overall outlook remains uncertain, as the sector's performance will largely depend on the resolution of trade tensions and the broader economic environment. Investors should be prepared for potential volatility in the Industrial REITs sector as these issues unfold.
 Score: 55</t>
  </si>
  <si>
    <t>Automobiles</t>
  </si>
  <si>
    <t>Sector Investment Report:
 The automobile sector is currently navigating a challenging landscape, influenced by both macroeconomic factors and regulatory changes. The recent imposition of tariffs by the Trump administration on imports from Canada, Mexico, and China has introduced significant uncertainty, potentially impacting supply chains and increasing production costs for automakers. These tariffs, coupled with retaliatory measures from affected countries, could lead to higher vehicle prices and dampened consumer demand. Additionally, the ongoing transition towards electric vehicles and the impending Norwegian fossil fuel vehicle ban by the end of the year highlight the sector's shift towards sustainable transportation solutions. Automakers are under pressure to innovate and adapt to these regulatory changes, which may require substantial investment in research and development.
 Despite these challenges, the automobile sector also presents opportunities for growth, particularly in the realm of emerging technologies such as electric and autonomous vehicles. The global push for sustainability and the adoption of cleaner energy sources could drive demand for electric vehicles, providing a potential avenue for growth. However, the sector's performance will largely depend on the resolution of trade tensions and the ability of automakers to navigate the evolving regulatory landscape. The current macroeconomic environment, characterized by inflationary pressures and potential slowdowns in consumer spending, adds an additional layer of complexity to the sector's outlook. Overall, the automobile sector faces a mixed investment landscape, with both risks and opportunities shaping its future trajectory.
 Score: 55</t>
  </si>
  <si>
    <t>Diversified REITs</t>
  </si>
  <si>
    <t>Sector Investment Report:
 The diversified REITs sector is currently navigating a challenging economic landscape, influenced by recent macroeconomic developments and geopolitical tensions. The imposition of tariffs by the Trump administration, coupled with retaliatory measures from key trading partners, has introduced uncertainty into the broader market, which could indirectly impact the real estate sector. Inflationary pressures are building, and the potential for a slowdown in economic growth may affect consumer spending and business investments, which are critical drivers for the demand in commercial real estate. Additionally, the recent volatility in the stock market, particularly in the technology sector, may lead to a cautious approach from investors, potentially affecting capital flows into REITs.
 Despite these challenges, the diversified REITs sector may find some resilience due to its exposure to various property types, including residential, commercial, and industrial real estate. This diversification can provide a buffer against sector-specific downturns. However, the ongoing geopolitical tensions and potential for further trade disruptions could weigh on investor sentiment and impact the sector's performance. The Federal Reserve's policy response to inflationary pressures will also be a key factor to watch, as interest rate changes can significantly influence REIT valuations. Overall, while the diversified REITs sector offers some stability through its varied asset base, the current economic environment suggests a cautious outlook.
 Score: 55</t>
  </si>
  <si>
    <t>Household Durables</t>
  </si>
  <si>
    <t>Sector Investment Report:
 The household durables sector is currently navigating a challenging economic landscape, influenced by the broader macroeconomic environment and recent geopolitical developments. The imposition of tariffs by the Trump administration, particularly on imports from China, Canada, and Mexico, has the potential to increase costs for manufacturers within this sector. These tariffs could lead to higher prices for raw materials and components, thereby squeezing profit margins for companies producing household durables. Additionally, the retaliatory measures from these trading partners may further complicate supply chains, potentially leading to delays and increased costs for U.S. manufacturers. As a result, the sector may face headwinds in maintaining competitive pricing and profitability in the near term.
 Despite these challenges, the household durables sector may find some resilience in the domestic market, where consumer demand remains relatively stable. However, the recent decline in job openings and the potential for inflationary pressures could dampen consumer spending power, impacting sales of big-ticket items such as appliances and furniture. The sector's performance will largely depend on its ability to navigate these cost pressures and maintain consumer interest amidst economic uncertainty. Companies with strong brand recognition and efficient supply chain management may be better positioned to weather the current volatility. Overall, the household durables sector faces a mixed outlook, with potential risks from trade policies and economic conditions weighing on its investment value.
 Score: 55</t>
  </si>
  <si>
    <t>Ground Transportation</t>
  </si>
  <si>
    <t>Sector Investment Report:
 The ground transportation sector is currently navigating a challenging economic landscape, influenced by recent macroeconomic developments and geopolitical tensions. The imposition of tariffs by the Trump administration on imports from Canada, Mexico, and China has the potential to disrupt supply chains and increase costs for manufacturers and operators within the sector. These tariffs, coupled with retaliatory measures from affected countries, could lead to higher prices for vehicles and parts, impacting consumer demand and profitability. Additionally, the broader economic slowdown, as indicated by declining job openings and inflationary pressures, may further dampen consumer spending on transportation services and vehicles.
 Despite these challenges, there are some positive developments that could support the sector in the medium to long term. The ongoing transition towards electric and autonomous vehicles presents opportunities for growth and innovation. However, the sector must also contend with regulatory uncertainties, particularly in light of the Trump administration's policy changes and potential trade disputes. Overall, the ground transportation sector faces a mixed outlook, with significant headwinds in the short term but potential for recovery and growth if trade tensions are resolved and technological advancements continue to progress.
 Score: 55</t>
  </si>
  <si>
    <t>Tobacco</t>
  </si>
  <si>
    <t>Sector Investment Report:
 The tobacco sector is currently navigating a complex economic landscape, influenced by both macroeconomic factors and regulatory challenges. Recent geopolitical tensions and trade policies, particularly the tariffs imposed by the Trump administration, have created an environment of uncertainty that could indirectly impact the tobacco industry. While the sector is traditionally seen as defensive, the broader economic slowdown and inflationary pressures may affect consumer spending patterns, potentially impacting tobacco sales. Additionally, the ongoing regulatory scrutiny and public health campaigns against smoking continue to pose long-term challenges for the industry.
 Despite these headwinds, the tobacco sector has historically demonstrated resilience due to its strong cash flow generation and ability to maintain pricing power. However, the sector's growth prospects remain limited, with declining smoking rates in many developed markets and increasing regulatory pressures. The potential for further trade tensions and economic volatility adds another layer of uncertainty. As a result, the tobacco sector's investment value is currently seen as moderate, with a cautious outlook given the prevailing economic and regulatory environment.
 Score: 55</t>
  </si>
  <si>
    <t>Sector Investment Report:
 The Interactive Media &amp; Services sector is currently navigating a challenging landscape, influenced by recent geopolitical tensions and regulatory actions. The Trump administration's crackdown on TikTok and other Chinese-owned apps has introduced significant uncertainty, potentially disrupting the operations and growth prospects of companies within this sector. The Supreme Court's decision to uphold the TikTok ban provisions, coupled with the enforcement delay, adds a layer of complexity as companies must adapt to the evolving regulatory environment. This uncertainty is compounded by the broader geopolitical tensions, including the imposition of tariffs and retaliatory measures, which could impact the sector's global operations and supply chains.
 Despite these challenges, the sector remains a critical component of the digital economy, with continued demand for interactive media and services. The rise of emerging technologies, such as artificial intelligence and cloud computing, presents opportunities for innovation and growth. However, the recent tech market crash, triggered by the launch of DeepSeek, a Chinese AI competitor, has highlighted the sector's vulnerability to competitive pressures and market volatility. As a result, the sector's investment value is currently weighed down by these uncertainties, and its performance will largely depend on the resolution of regulatory challenges and the stabilization of geopolitical tensions.
 Score: 55</t>
  </si>
  <si>
    <t>Wireless Telecommunication Services</t>
  </si>
  <si>
    <t>Sector Investment Report:
 The wireless telecommunication services sector is currently navigating a challenging landscape marked by geopolitical tensions and regulatory uncertainties. The recent imposition of tariffs by the Trump administration, particularly on imports from China, has the potential to disrupt supply chains and increase costs for companies within this sector. Additionally, the retaliatory measures from China could further exacerbate these challenges, leading to potential delays in the rollout of new technologies and services. The sector's reliance on global supply chains makes it particularly vulnerable to these trade tensions, which could impact profitability and growth prospects in the near term.
 Moreover, the broader economic environment, characterized by declining job openings and building inflationary pressures, adds another layer of complexity for the wireless telecommunication services sector. As consumers and businesses potentially tighten their budgets in response to economic uncertainties, demand for new wireless services and devices may be affected. However, the sector's essential nature and the ongoing demand for connectivity could provide some resilience against these headwinds. The long-term outlook remains uncertain, as the resolution of trade disputes and the regulatory landscape will play a crucial role in shaping the sector's future performance.
 Score: 55</t>
  </si>
  <si>
    <t>Broadline Retail</t>
  </si>
  <si>
    <t>Sector Investment Report:
 The broadline retail sector is currently navigating a challenging economic landscape, influenced by recent macroeconomic developments and geopolitical tensions. The imposition of tariffs by the Trump administration on imports from Canada, Mexico, and China has introduced significant uncertainty, potentially impacting consumer prices and supply chains. As a result, inflationary pressures are expected to rise, which could dampen consumer spending, a critical driver for the retail sector. Additionally, the decline in job openings suggests a potential slowdown in the labor market, which may further affect consumer confidence and purchasing power, posing risks to retail sales growth.
 Despite these challenges, the broadline retail sector may find some resilience in its diverse product offerings and adaptability to changing consumer preferences. Retailers with strong e-commerce platforms and efficient supply chain management may be better positioned to weather the current volatility. However, the sector's overall performance will largely depend on the resolution of trade disputes and the broader economic environment. The potential for escalating trade tensions and a broader trade war remains a significant concern, and investors should be prepared for continued volatility in the sector.
 Score: 55</t>
  </si>
  <si>
    <t>Paper &amp; Forest Products</t>
  </si>
  <si>
    <t>Sector Investment Report:
 The Paper &amp; Forest Products sector is currently navigating a complex economic landscape influenced by recent macroeconomic developments and geopolitical tensions. The imposition of tariffs by the Trump administration, particularly on imports from Canada, a major player in the paper and forest products industry, could lead to increased costs for U.S. companies reliant on these imports. This, in turn, may result in higher prices for end consumers and potential disruptions in supply chains. Additionally, the ongoing wildfires in Southern California, which have caused significant destruction, could impact the availability of raw materials and further strain the sector's supply chain dynamics.
 Despite these challenges, the sector may find some relief in the form of increased demand for sustainable and eco-friendly products, as environmental concerns continue to drive consumer preferences. However, the overall outlook remains cautious, as the sector is likely to face headwinds from inflationary pressures and potential retaliatory trade measures from Canada. The combination of these factors suggests that the Paper &amp; Forest Products sector may experience volatility in the near term, with the potential for both opportunities and risks depending on the resolution of trade disputes and environmental challenges.
 Score: 55</t>
  </si>
  <si>
    <t>Automobile Components</t>
  </si>
  <si>
    <t>Sector Investment Report:
 The automobile components sector is currently navigating a challenging landscape, influenced by recent macroeconomic and geopolitical developments. The imposition of tariffs by the Trump administration on imports from Canada, Mexico, and China has introduced significant uncertainty and potential cost pressures for the sector. These tariffs could lead to increased production costs for automobile components, as many manufacturers rely on imported materials and parts. Additionally, the retaliatory measures from these trading partners may further complicate supply chains and impact the profitability of companies within the sector. The potential for escalating trade tensions and a broader trade war adds to the uncertainty, making it difficult for companies to plan and invest in future growth.
 Despite these challenges, there are some positive developments that could support the sector in the medium to long term. The ongoing transition towards electric vehicles (EVs) and the increasing demand for advanced automotive technologies present opportunities for growth and innovation. Companies that can adapt to these trends and invest in research and development may be better positioned to capitalize on the evolving market dynamics. However, the sector's near-term outlook remains clouded by the current trade policies and their potential impact on global supply chains. As a result, the investment value of the automobile components sector is currently moderate, reflecting both the risks and opportunities present in the market.
 Score: 55</t>
  </si>
  <si>
    <t>Transportation Infrastructure</t>
  </si>
  <si>
    <t>Sector Investment Report:
 The transportation infrastructure sector is currently navigating a challenging landscape, influenced by recent macroeconomic and geopolitical developments. The imposition of tariffs by the Trump administration on imports from Canada, Mexico, and China has introduced uncertainty and potential cost pressures for companies involved in transportation infrastructure projects. These tariffs could lead to increased costs for materials and equipment, potentially impacting the profitability of ongoing and future infrastructure projects. Additionally, the pause on federal financial assistance programs, except for Medicare and Social Security, may disrupt funding for infrastructure initiatives, further complicating the sector's outlook.
 Despite these challenges, the transportation infrastructure sector may find some resilience in the long-term need for infrastructure development and modernization. The sector's performance will largely depend on the resolution of trade tensions and the availability of funding for infrastructure projects. If trade disputes are resolved and funding is secured, the sector could benefit from increased investment and development opportunities. However, the current environment of heightened volatility and uncertainty suggests that the sector may face headwinds in the short to medium term, impacting its investment attractiveness.
 Score: 55</t>
  </si>
  <si>
    <t>Capital Markets</t>
  </si>
  <si>
    <t>Sector Investment Report:
 The capital markets sector is currently navigating a challenging environment characterized by heightened volatility and uncertainty. The recent implementation of tariffs by the Trump administration has introduced significant headwinds, impacting investor sentiment and market stability. The sharp decline in technology stocks, particularly the historic drop in Nvidia's market value, has reverberated across the capital markets, leading to broader market declines. The Nasdaq, Dow Jones, and S&amp;P 500 have all experienced notable downturns, reflecting the sector's sensitivity to geopolitical tensions and trade policy shifts. Additionally, the potential for further trade escalations and retaliatory measures from key trading partners such as Canada, Mexico, and China adds to the uncertainty, posing risks to market performance and investor confidence.
 Despite these challenges, the capital markets sector remains a critical component of the global financial system, facilitating capital flows and investment opportunities. However, the current macroeconomic landscape, marked by declining job openings and inflationary pressures, suggests a potential slowdown in economic growth, which could further weigh on the sector. The Federal Reserve's policy response and the resolution of trade disputes will be key factors influencing the sector's outlook. In the near term, investors may continue to exhibit caution, leading to sustained volatility. Over the medium to long term, the sector's performance will largely depend on the stabilization of trade relations and the broader economic recovery. As such, the capital markets sector faces a complex and uncertain path ahead, with both risks and opportunities on the horizon.
 Score: 45</t>
  </si>
  <si>
    <t>Office REITs</t>
  </si>
  <si>
    <t>Sector Investment Report:
 The Office Real Estate Investment Trusts (REITs) sector is currently navigating a challenging economic landscape, influenced by macroeconomic factors and recent geopolitical developments. The imposition of tariffs by the Trump administration, coupled with retaliatory measures from key trading partners, has introduced a level of uncertainty that could impact business investment and office space demand. Additionally, the recent volatility in the stock market, particularly within the technology sector, may lead to cautious corporate spending, potentially affecting the leasing activity and occupancy rates in office spaces. The broader economic slowdown, as indicated by declining job openings, further suggests a potential decrease in demand for office real estate, as companies may delay expansion plans or seek to optimize their existing space.
 Despite these challenges, the Office REITs sector may find some resilience in the ongoing recovery efforts from natural disasters, such as the Southern California wildfires, which could spur demand for temporary office spaces and reconstruction-related activities. However, the sector's long-term outlook remains uncertain, as the potential for escalating trade tensions and inflationary pressures could weigh on economic growth and corporate profitability. Investors in Office REITs should be mindful of these macroeconomic headwinds and the potential for continued volatility in the market, which may impact the sector's performance in the near to medium term.
 Score: 45</t>
  </si>
  <si>
    <t>Electronic Equipment, Instruments &amp; Components</t>
  </si>
  <si>
    <t>Sector Investment Report:
 The Electronic Equipment, Instruments &amp; Components sector is currently navigating a challenging landscape, influenced by the recent global tech market crash and the geopolitical tensions stemming from the U.S. administration's trade policies. The sector has been significantly impacted by the sharp sell-off in technology shares, particularly following the emergence of DeepSeek, a Chinese AI competitor. This has led to a substantial decline in market value for key players like Nvidia, which experienced a historic drop. The sector's exposure to the broader technology industry makes it vulnerable to the ongoing volatility and uncertainty in the market, as investors remain cautious about the potential for further disruptions.
 Additionally, the imposition of tariffs on imports from China, Canada, and Mexico by the Trump administration has introduced further complexities for the sector. The retaliatory measures from these trading partners could lead to increased costs and supply chain disruptions, affecting the profitability and operational efficiency of companies within the sector. While the delay in tariff implementation for Canada and Mexico offers a temporary reprieve, the looming threat of escalating trade tensions continues to weigh heavily on the sector's outlook. As a result, the Electronic Equipment, Instruments &amp; Components sector faces a challenging environment with heightened risks and uncertainties in the near to medium term.
 Score: 45</t>
  </si>
  <si>
    <t>Sector Investment Report:
 The semiconductor sector is currently facing significant challenges due to the recent global tech market crash, which was triggered by the emergence of DeepSeek, a Chinese AI competitor. This event has led to a substantial sell-off in technology shares, with Nvidia experiencing a historic $600 billion loss in market value. The sector's vulnerability to geopolitical tensions and trade policies has been highlighted by the imposition of tariffs by the Trump administration, which could further exacerbate supply chain disruptions and increase production costs. The semiconductor industry, heavily reliant on global trade and cross-border supply chains, is particularly susceptible to these external pressures, which may dampen growth prospects in the short to medium term.
 Despite these challenges, the semiconductor sector remains a critical component of the global technology landscape, with long-term growth potential driven by the increasing demand for advanced technologies such as artificial intelligence, cloud computing, and the Internet of Things. However, the current macroeconomic environment, characterized by heightened volatility and uncertainty, poses significant risks to the sector's near-term performance. Investors may need to exercise caution as the sector navigates these turbulent times, with the potential for further market fluctuations depending on the resolution of trade disputes and geopolitical tensions.
 Score: 45</t>
  </si>
  <si>
    <t>Distributors</t>
  </si>
  <si>
    <t>Sector Investment Report:
 The distributors sector is currently navigating a challenging economic landscape, influenced by recent macroeconomic developments and trade policies. The imposition of tariffs by the Trump administration on imports from Canada, Mexico, and China has created significant headwinds for the sector. These tariffs have the potential to increase costs for distributors, particularly those reliant on imported goods, thereby squeezing profit margins. Additionally, the retaliatory measures from these trading partners could further complicate supply chains and disrupt the flow of goods, leading to potential delays and increased operational costs. The uncertainty surrounding the trade policies and the potential for further escalation in trade tensions add to the sector's challenges, making it difficult for distributors to plan and forecast effectively.
 Moreover, the broader economic environment is showing signs of a slowdown, with declining job openings and building inflationary pressures. These factors could dampen consumer demand, impacting the distributors sector's revenue growth. The volatility in the stock market, particularly in sectors vulnerable to tariffs, may also affect investor sentiment towards distributors. However, the sector's performance will largely depend on the resolution of trade disputes and the ability of distributors to adapt to the changing economic conditions. In the medium to long term, if trade tensions ease and economic stability is restored, the sector may see a recovery. Nonetheless, the current environment suggests a cautious outlook for distributors, with potential risks outweighing immediate opportunities.
 Score: 45</t>
  </si>
  <si>
    <t>Diversified Consumer Services</t>
  </si>
  <si>
    <t>Sector Investment Report:
 The diversified consumer services sector is currently navigating a challenging economic landscape, influenced by recent macroeconomic developments and geopolitical tensions. The imposition of tariffs by the Trump administration on imports from Canada, Mexico, and China has introduced significant uncertainty, potentially impacting consumer spending and business operations within the sector. As retaliatory measures from these trading partners take effect, companies within the sector may face increased costs and supply chain disruptions, which could weigh on profitability and growth prospects. Additionally, the broader economic environment, characterized by declining job openings and inflationary pressures, suggests a potential slowdown in consumer demand, further complicating the outlook for the sector.
 Despite these headwinds, the diversified consumer services sector may find some resilience in its varied offerings, which can cater to different consumer needs and preferences. However, the sector's performance will largely depend on the resolution of trade disputes and the overall economic recovery. Companies that can adapt to the changing landscape, manage costs effectively, and leverage technology to enhance customer experiences may be better positioned to weather the current challenges. Nevertheless, the sector is expected to experience heightened volatility in the near term, as investors remain cautious amid the ongoing trade tensions and economic uncertainties.
 Score: 45</t>
  </si>
  <si>
    <t>Textiles, Apparel &amp; Luxury Goods</t>
  </si>
  <si>
    <t>Sector Investment Report:
 The textiles, apparel, and luxury goods sector is currently navigating a challenging economic landscape influenced by recent macroeconomic developments. The imposition of tariffs by the Trump administration on imports from key trading partners, including China, Canada, and Mexico, has introduced significant uncertainty and potential cost pressures for companies within this sector. As these countries have responded with retaliatory tariffs on American goods, the sector faces the risk of increased input costs and disrupted supply chains. This could lead to higher prices for consumers and potentially dampen demand, particularly in the luxury segment, which is sensitive to economic fluctuations and consumer sentiment.
 Despite these challenges, the sector may find some resilience in the form of strong brand loyalty and the continued demand for high-quality and innovative products. However, the overall outlook remains cautious, as the potential for escalating trade tensions and a broader trade war could further impact the sector's performance. Companies within this industry may need to explore strategies to mitigate the impact of tariffs, such as diversifying their supply chains or seeking new markets. The sector's investment value is currently weighed down by these uncertainties, and its performance will largely depend on the resolution of trade disputes and the broader economic environment.
 Score: 45</t>
  </si>
  <si>
    <t>Communications Equipment</t>
  </si>
  <si>
    <t>Sector Investment Report:
 The communications equipment sector is currently navigating a challenging landscape, influenced by recent geopolitical tensions and trade policies. The imposition of tariffs by the Trump administration on imports from key trading partners, including China, has created an environment of uncertainty and potential disruption for companies within this sector. The retaliatory measures from China, Canada, and Mexico further exacerbate the situation, potentially impacting supply chains and increasing costs for communications equipment manufacturers. This sector, which is heavily reliant on global trade and supply chain efficiency, may face headwinds as companies adjust to the new trade dynamics and seek to mitigate the impact of tariffs on their operations.
 Additionally, the broader technology sector has been hit hard by the recent global tech market crash, triggered by the emergence of DeepSeek, a Chinese AI competitor. This has led to a significant sell-off in technology shares, including those in the communications equipment sector. The uncertainty surrounding the regulatory environment, particularly with the U.S. administration's stance on Chinese-owned technology companies, adds another layer of complexity. As a result, the communications equipment sector is likely to experience continued volatility in the near term, with potential challenges in maintaining growth and profitability amidst these external pressures.
 Score: 45</t>
  </si>
  <si>
    <t>Technology Hardware, Storage &amp; Peripherals</t>
  </si>
  <si>
    <t>Sector Investment Report:
 The Technology Hardware, Storage &amp; Peripherals sector is currently navigating a challenging landscape, primarily influenced by the recent global tech market crash. The launch of DeepSeek, a Chinese AI competitor, has triggered a significant sell-off in technology shares, with Nvidia experiencing a historic $600 billion loss in market value. This event has sent shockwaves through the sector, highlighting the vulnerability of tech companies to competitive pressures and geopolitical tensions. The sector's performance is further complicated by the Trump administration's trade policies, which have introduced tariffs on imports from key trading partners, potentially disrupting supply chains and increasing costs for technology hardware manufacturers.
 Despite these challenges, the sector remains a critical component of the global economy, driven by ongoing demand for advanced computing solutions and storage capabilities. However, the current macroeconomic environment, characterized by inflationary pressures and potential regulatory scrutiny, poses additional risks. The uncertainty surrounding trade tensions and the geopolitical landscape may continue to weigh on investor sentiment, leading to heightened volatility in the sector. As a result, the Technology Hardware, Storage &amp; Peripherals sector faces a complex outlook, with potential for both recovery and further disruption depending on the resolution of trade disputes and competitive dynamics.
 Score: 45</t>
  </si>
  <si>
    <t>Sector Investment Report: 
 The technology sector is currently facing significant challenges due to recent global events and geopolitical tensions. The launch of DeepSeek, a Chinese competitor to OpenAI's ChatGPT, has led to a major sell-off in global technology shares, with Nvidia experiencing a historic $600 billion loss in market value. This event has highlighted the vulnerability of the technology sector to competitive pressures and geopolitical developments. Additionally, the Trump administration's crackdown on TikTok and other Chinese-owned apps has introduced further uncertainty, potentially disrupting the technology landscape and affecting investor sentiment. The sector's outlook is clouded by these developments, and the potential for increased regulatory scrutiny and trade tensions could weigh heavily on its performance in the near term.
 Despite these challenges, the technology sector remains a critical driver of innovation and economic growth. Emerging technologies such as artificial intelligence and cloud computing continue to offer significant long-term potential. However, the current environment of heightened volatility and uncertainty necessitates caution. The resolution of trade disputes and geopolitical tensions will be key factors in determining the sector's future trajectory. Until there is greater clarity on these issues, the technology sector is likely to experience continued turbulence, and its investment value remains uncertain.
 Score: 45</t>
  </si>
  <si>
    <t>Specialty Retail</t>
  </si>
  <si>
    <t>Sector Investment Report:
 The specialty retail sector is currently navigating a challenging economic landscape, influenced by recent macroeconomic developments and geopolitical tensions. The imposition of tariffs by the Trump administration, particularly on imports from Canada, Mexico, and China, has created an environment of uncertainty and potential cost pressures for retailers. These tariffs could lead to increased prices for imported goods, impacting consumer spending and potentially squeezing profit margins for specialty retailers. Additionally, the broader economic slowdown, as indicated by declining job openings and inflationary pressures, may further dampen consumer confidence and spending, posing additional challenges for the sector.
 Despite these headwinds, the specialty retail sector may find some resilience in its ability to adapt to changing consumer preferences and leverage emerging technologies. Retailers that can effectively integrate e-commerce platforms and enhance their digital presence may be better positioned to weather the current volatility. However, the sector's overall outlook remains cautious, as the potential for escalating trade tensions and a broader economic slowdown could weigh on performance. Investors should be mindful of the sector's exposure to global supply chain disruptions and the potential impact of geopolitical developments on consumer sentiment.
 Score: 45</t>
  </si>
  <si>
    <t>Passenger Airlines</t>
  </si>
  <si>
    <t>Sector Investment Report:
 The passenger airline sector is currently navigating a turbulent environment, influenced by both macroeconomic factors and recent geopolitical developments. The imposition of tariffs by the Trump administration, particularly on goods from Canada and Mexico, could indirectly impact the airline industry by increasing operational costs and affecting consumer spending power. Additionally, the recent wildfires in Southern California, which have caused significant destruction and displacement, may lead to a temporary decline in travel demand in the affected regions. The broader economic slowdown, as indicated by declining job openings and inflationary pressures, could further dampen consumer confidence and discretionary spending, potentially reducing demand for air travel.
 Despite these challenges, the passenger airline sector may find some relief in the form of delayed tariff implementation for Canada and Mexico, which could mitigate immediate cost pressures. However, the sector remains vulnerable to ongoing trade tensions and potential retaliatory measures that could disrupt supply chains and increase fuel costs. The recent bankruptcy of Spirit Airlines highlights the financial strain faced by some carriers, underscoring the need for airlines to maintain strong balance sheets and operational efficiency. In this uncertain environment, the passenger airline sector's investment value is constrained by external economic pressures and the potential for further geopolitical disruptions.
 Score: 45</t>
  </si>
  <si>
    <t>Marine Transportation</t>
  </si>
  <si>
    <t>Sector Investment Report:
 The marine transportation sector is currently navigating a challenging environment due to the recent macroeconomic developments and geopolitical tensions. The imposition of tariffs by the Trump administration, particularly on goods from Canada, Mexico, and China, has the potential to disrupt global trade flows and impact the demand for shipping services. Retaliatory measures from these trading partners could further exacerbate the situation, leading to increased costs and logistical complexities for companies operating within the sector. Additionally, the ongoing geopolitical tensions, including sanctions on various entities, may create further uncertainties and hinder the smooth operation of international shipping routes.
 Despite these challenges, the marine transportation sector may find some relief from the recent expansion of the Schengen Area, which could facilitate smoother trade within Europe. However, the overall outlook remains cautious, as the sector is likely to face headwinds from the broader economic slowdown and inflationary pressures. The potential for escalating trade tensions and a broader trade war could weigh heavily on the sector's performance, as global supply chains may be disrupted, and shipping volumes could decline. Companies within the sector will need to navigate these uncertainties carefully and adapt to the evolving trade landscape to maintain their competitiveness and profitability.
 Score: 45</t>
  </si>
  <si>
    <t>Air Freight &amp; Logistics</t>
  </si>
  <si>
    <t>Sector Investment Report:
 The Air Freight &amp; Logistics sector is currently navigating a challenging landscape, influenced by recent macroeconomic developments and geopolitical tensions. The imposition of tariffs by the Trump administration on imports from Canada, Mexico, and China has the potential to disrupt supply chains and increase costs for logistics companies. Retaliatory measures from these trading partners could further exacerbate the situation, leading to increased uncertainty and potential delays in the movement of goods. Additionally, the temporary pause on federal financial assistance programs, excluding Medicare and Social Security, may impact funding for infrastructure projects that are crucial for the logistics sector's efficiency and growth.
 Despite these challenges, the sector may find some relief in the delayed implementation of tariffs on Canada and Mexico, providing a temporary window to adjust operations and strategies. However, the overall outlook remains cautious, as the potential for escalating trade tensions and a broader trade war continues to loom. The sector's performance will largely depend on the resolution of these trade disputes and the ability of logistics companies to adapt to the changing regulatory environment. In the short to medium term, the sector is expected to experience volatility, with the potential for both risks and opportunities as the global trade landscape evolves.
 Score: 45</t>
  </si>
  <si>
    <t>Machinery</t>
  </si>
  <si>
    <t>Sector Investment Report:
 The machinery sector is currently navigating a challenging economic landscape, influenced by the recent imposition of tariffs by the Trump administration. The 25% tariffs on imports from Canada and Mexico, along with a 10% tariff on Chinese goods, have introduced significant uncertainty and potential cost pressures for machinery manufacturers. These tariffs could lead to increased input costs, which may compress profit margins and impact the sector's overall performance. Additionally, retaliatory measures from these trading partners could further complicate the supply chain dynamics, potentially disrupting production and distribution channels for machinery companies.
 Despite these challenges, the machinery sector may find some resilience in the medium to long term, contingent upon the resolution of trade disputes. If trade tensions de-escalate and tariffs are lifted or reduced, the sector could experience a recovery in demand and profitability. However, the current environment remains volatile, and the sector's outlook is closely tied to geopolitical developments and macroeconomic conditions. Investors should be mindful of the potential for continued volatility and the impact of trade policies on the sector's performance.
 Score: 45</t>
  </si>
  <si>
    <t>Industrial Conglomerates</t>
  </si>
  <si>
    <t>Sector Investment Report:
 The industrial conglomerates sector is currently navigating a challenging economic landscape, influenced by the recent implementation of tariffs by the Trump administration. The imposition of a 25% tariff on goods from Canada and Mexico, along with a 10% tariff on Chinese imports, has created significant headwinds for the sector. These tariffs have led to retaliatory measures from the affected countries, further exacerbating trade tensions and creating uncertainty for companies operating within this sector. The potential for a broader trade war looms large, which could negatively impact supply chains, increase costs, and ultimately affect the profitability of industrial conglomerates. Additionally, the recent pause on federal financial assistance programs, excluding Medicare and Social Security, could disrupt funding for infrastructure and other projects that are vital to the sector's growth.
 Despite these challenges, there are some positive developments that could provide a buffer for the sector. The delay in the implementation of tariffs on Canada and Mexico for at least 30 days offers a temporary reprieve, allowing companies to adjust their strategies and mitigate potential impacts. Furthermore, the Federal Reserve's ongoing policy decisions and potential interventions could play a crucial role in stabilizing the economic environment. However, the overall outlook for industrial conglomerates remains cautious, as the sector is highly sensitive to macroeconomic shifts and geopolitical developments. Investors should be aware of the heightened volatility and uncertainty that may persist in the near to medium term, as the resolution of trade disputes and the broader economic landscape will significantly influence the sector's performance.
 Score: 45</t>
  </si>
  <si>
    <t>Trading Companies &amp; Distributors</t>
  </si>
  <si>
    <t>Sector Investment Report:
 The Trading Companies &amp; Distributors sector is currently navigating a challenging landscape due to the recent implementation of tariffs by the Trump administration. The imposition of a 25% tariff on goods from Canada and Mexico, along with a 10% tariff on Chinese imports, has created significant headwinds for companies operating within this sector. These tariffs have led to retaliatory measures from the affected countries, further complicating the trade environment. As a result, trading companies and distributors are likely to face increased costs and supply chain disruptions, which could impact their profitability and operational efficiency. The uncertainty surrounding the potential for further trade actions adds an additional layer of complexity, making it difficult for companies to plan and strategize effectively.
 Moreover, the broader economic environment is characterized by inflationary pressures and a potential slowdown in the labor market, as indicated by the decline in job openings. These macroeconomic factors could further weigh on the sector's performance, as consumer demand may be dampened by rising prices and economic uncertainty. The sector's outlook is closely tied to the resolution of the ongoing trade disputes and the potential for a de-escalation of tensions. Until there is greater clarity on these fronts, the Trading Companies &amp; Distributors sector is likely to experience continued volatility and uncertainty, making it a challenging environment for investment.
 Score: 45</t>
  </si>
  <si>
    <t>ticker</t>
  </si>
  <si>
    <t>reason</t>
  </si>
  <si>
    <t>market cap</t>
  </si>
  <si>
    <t>**Investment Report: Zoetis Inc.**
 **Recent News:**  
 Zoetis has not been in the news over the past week, indicating a period of stability without any major announcements or disruptions. This lack of news suggests that the company is operating within its expected trajectory, with no immediate catalysts or risks emerging from external developments.
 **Financials:**  
 Zoetis, a leader in animal health pharmaceuticals, demonstrates strong financial fundamentals. The company’s trailing price-to-earnings (P/E) ratio of 31.18 and forward P/E of 26.90 indicate a premium valuation, reflecting investor confidence in its growth prospects. The firm’s profit margins are robust at 26.86%, supported by a high gross margin of 70.64%, showcasing its ability to maintain profitability. Revenue growth of 4.7% year-over-year and earnings growth of 13.2% highlight steady expansion, albeit at a moderate pace.
 The company’s dividend yield of 1.2% is above its five-year average of 0.71%, signaling a commitment to returning value to shareholders. With a payout ratio of 31.59%, Zoetis retains ample room to reinvest in growth initiatives while maintaining its dividend. The firm’s free cash flow of $2.37 billion and operating cash flow of $2.95 billion further underscore its financial health and ability to fund operations and strategic investments.
 However, the company’s debt-to-equity ratio of 143.17% is relatively high, indicating significant leverage. While manageable given its strong cash flow and profitability, this could pose a risk in a rising interest rate environment. The current ratio of 1.75 and quick ratio of 0.97 suggest adequate liquidity to meet short-term obligations.
 **Valuations:**  
 Zoetis trades at a price-to-book ratio of 16.03, reflecting a premium valuation compared to the broader market. Its enterprise value-to-revenue ratio of 8.61 and enterprise value-to-EBITDA ratio of 20.82 further highlight its elevated valuation. Analysts remain optimistic, with a mean target price of $202.58, representing a potential upside from the current price of approximately $170. The recommendation mean of 1.75 (between "buy" and "strong buy") and 17 analyst opinions suggest broad confidence in the stock’s long-term potential.
 **Economic Outlook:**  
 The broader economic environment presents mixed implications for Zoetis. The U.S. economy is showing signs of deceleration, with GDP contraction expected in Q1 2025. However, Zoetis operates in the relatively defensive pharmaceuticals sector, which tends to be less sensitive to economic cycles. Rising tariffs and trade tensions could impact input costs or supply chains, but Zoetis’s global footprint and diversified revenue streams may mitigate these risks. Additionally, the company’s beta of 0.94 indicates lower volatility relative to the market, making it a potentially stable investment during periods of economic uncertainty.
 **Summary:**  
 **Thesis:** Zoetis benefits from strong profitability, steady revenue and earnings growth, and a defensive business model in the animal health sector. Its premium valuation reflects investor confidence in its long-term growth potential.  
 **Edge:** The company’s high margins, robust cash flow, and commitment to shareholder returns provide a competitive advantage in a challenging macroeconomic environment.  
 **Risk:** Elevated leverage and premium valuation could pose risks if economic conditions deteriorate further or if rising costs pressure margins.
 **Score: 85**</t>
  </si>
  <si>
    <t>**Investment Report: Nvidia Corporation**
 **Recent News:**  
 Nvidia has been navigating a volatile market environment despite its strong financial performance. The company reported record-breaking fourth-quarter earnings, with a 78% revenue increase fueled by robust demand for its AI-focused products, particularly its Blackwell chips. However, external pressures have weighed on its stock price. The Trump administration's tariffs and export controls have raised concerns about Nvidia's exposure to China, a key market for its products. Reports of chip smuggling to China and the emergence of competitive Chinese AI models, such as DeepSeek, have further added to investor uncertainty. Despite these challenges, Nvidia remains a leader in the AI and data center markets, with analysts maintaining optimism about its long-term growth potential.
 **Financials:**  
 Nvidia's financial metrics underscore its strong operational performance. The company boasts a trailing P/E ratio of 38.8 and a forward P/E of 27.7, reflecting high investor expectations for future earnings growth. Its profit margins are robust, with a net income margin of 55.8% and operating margins of 61.1%. Nvidia's revenue growth of 77.9% year-over-year highlights its ability to capitalize on the surging demand for AI technologies. The company also maintains a healthy balance sheet, with a quick ratio of 3.67 and a current ratio of 4.44, indicating strong liquidity. Free cash flow of $44.2 billion further supports its ability to invest in growth initiatives. However, its price-to-book ratio of 35.2 and enterprise value-to-EBITDA ratio of 33 suggest that the stock is trading at a premium valuation.
 **Valuations:**  
 Nvidia's valuation metrics reflect its position as a market leader in the AI and semiconductor industries. While its trailing P/E and forward P/E ratios are elevated compared to the broader market, they are supported by its exceptional earnings growth of 83.6% and revenue growth of 77.9%. The company's gross margins of 74.9% and EBITDA margins of 63.8% are among the highest in the industry, justifying its premium valuation. Analysts have a strong consensus on Nvidia, with a recommendation mean of 1.33 (strong buy) and a target median price of $175, suggesting significant upside potential from its current trading levels.
 **Economic Outlook:**  
 The broader economic environment presents both challenges and opportunities for Nvidia. The Trump administration's tariffs and export controls could disrupt Nvidia's supply chain and limit its access to key markets like China. Additionally, the escalating trade tensions may dampen global demand for semiconductors. However, Nvidia's leadership in AI and data center technologies positions it well to benefit from long-term secular trends, such as the increasing adoption of AI across industries and the growth of cloud computing. The company's strong financial position and innovative product pipeline provide a buffer against short-term economic headwinds.
 **Summary:**  
 **Thesis:** Nvidia's dominance in the AI and semiconductor markets, coupled with its strong financial performance and innovative product offerings, positions it as a leader in a high-growth industry.  
 **Edge:** The company's robust margins, significant free cash flow, and leadership in AI technology provide a competitive advantage.  
 **Risk:** Geopolitical tensions, including tariffs and export controls, pose risks to Nvidia's supply chain and market access, particularly in China.  
 **Score: 85**</t>
  </si>
  <si>
    <t>**Investment Report: Thermo Fisher Scientific**
 **Recent News:**  
 Thermo Fisher Scientific has not been in the headlines over the past week, indicating a lack of immediate catalysts or disruptions. This absence of news suggests stability in its operations, but it also means the firm is not currently benefiting from any significant market-moving developments or announcements.
 **Financials:**  
 Thermo Fisher Scientific's financial performance reflects a robust and stable business model. The company has a market capitalization of $197.5 billion and a trailing price-to-earnings (P/E) ratio of 31.62, which is higher than the forward P/E of 22.29, indicating expectations of earnings growth. The firm has demonstrated solid profitability, with a profit margin of 14.77% and EBITDA margins of 25.13%. Revenue growth of 4.7% year-over-year and earnings growth of 13.8% highlight its ability to expand in a challenging macroeconomic environment.
 The company maintains a healthy balance sheet, with a current ratio of 1.66 and a quick ratio of 1.14, suggesting sufficient liquidity to meet short-term obligations. However, its debt-to-equity ratio of 66.1% indicates a relatively high level of leverage, which could pose risks in a rising interest rate environment. Free cash flow of $6.59 billion and operating cash flow of $8.67 billion provide strong support for ongoing operations and potential investments.
 Thermo Fisher's dividend yield of 0.33% is modest but consistent, with a low payout ratio of 9.44%, leaving ample room for reinvestment or future dividend increases. The firm's beta of 0.789 suggests lower volatility compared to the broader market, making it a relatively defensive investment.
 **Valuations:**  
 Thermo Fisher's stock is trading at $519.63-$532.48, near its 52-week low of $493.30 and well below its 52-week high of $627.88. This decline of approximately 9.5% over the past year contrasts with the S&amp;P 500's gain of 17.2%, indicating underperformance relative to the broader market. The price-to-book ratio of 4.02 and price-to-sales ratio of 4.61 suggest the stock is not undervalued, but its forward P/E and strong growth metrics may justify the premium valuation.
 Analyst sentiment remains positive, with a recommendation mean of 1.625 (indicating a "buy") and a target median price of $665, representing significant upside potential from current levels. The firm's trailing PEG ratio of 2.05 reflects a reasonable valuation relative to its growth prospects.
 **Economic Outlook:**  
 The broader economic environment presents mixed signals for Thermo Fisher. The U.S. economy is showing signs of deceleration, with GDP expected to contract in Q1 2025. Rising jobless claims and weakening consumer confidence could dampen demand for certain life sciences tools and services. However, Thermo Fisher's focus on healthcare and research positions it well in a defensive sector that tends to be resilient during economic downturns.
 The company's exposure to international markets could be impacted by ongoing trade tensions, particularly with China, which has imposed retaliatory tariffs on U.S. goods. However, Thermo Fisher's diversified revenue streams and strong institutional ownership (92.45%) provide a buffer against geopolitical risks.
 **Summary:**  
 Thermo Fisher Scientific's strong financial performance, consistent growth, and defensive positioning in the life sciences sector provide a solid investment thesis. Its edge lies in its robust cash flow generation, diversified revenue base, and leadership in a resilient industry. Risks include its high leverage, potential exposure to trade tensions, and broader economic headwinds. Despite these challenges, the firm's valuation and growth prospects suggest potential for long-term appreciation.
 **Score: 85**</t>
  </si>
  <si>
    <t>**Investment Report: Amazon (AMZN)**
 **Recent News:**  
 Amazon continues to demonstrate its dominance and innovation across multiple sectors. The company's strategic investment in Anthropic, an AI start-up now valued at $61.5 billion, underscores its commitment to staying at the forefront of artificial intelligence. This aligns with Amazon's recent revamp of its Alexa digital assistant using generative AI, which enhances personalization and user engagement. Additionally, Amazon's introduction of palm-scanning technology at NYU Langone Health and the unveiling of its quantum computing chip, Ocelot, highlight its focus on cutting-edge technological advancements.  
 On the global front, Amazon's $8.2 billion investment in Maharashtra, India, for AWS infrastructure reflects its ambition to expand its cloud computing footprint in high-growth international markets. The company is also targeting the discount retail space with a new storefront to compete with Temu and Shein, signaling its adaptability to evolving consumer trends. However, challenges persist, including a $39 million court-ordered payment in India and job cuts at its Wondery podcast unit, which may indicate cost optimization efforts amid broader economic uncertainties.
 **Financials:**  
 Amazon's financial performance remains robust, with a market capitalization of $2.17 trillion and a trailing P/E ratio of 37.01, reflecting strong investor confidence. The company has achieved a 10.5% revenue growth rate year-over-year, with total revenue of $637.96 billion. Profit margins stand at 9.29%, supported by gross margins of 48.85%, indicating efficient cost management. Amazon's free cash flow of $44.64 billion and operating cash flow of $115.88 billion provide ample liquidity for continued investments in innovation and expansion.  
 The company's forward P/E ratio of 33.34 suggests expectations of sustained earnings growth, supported by an impressive earnings growth rate of 84.6% in the most recent quarter. However, its price-to-book ratio of 7.59 and enterprise value-to-EBITDA ratio of 18.49 indicate a premium valuation, which may limit upside potential in the short term. Debt levels are manageable, with a debt-to-equity ratio of 54.34%, and the company holds $101.2 billion in cash reserves, ensuring financial stability.
 **Valuations:**  
 Amazon's stock is trading at $204.97, near the lower end of its 52-week range of $151.61 to $242.52. The stock's 52-week change of 21.92% outpaces the S&amp;P 500's 17.25% gain, reflecting its resilience and growth potential. Analyst sentiment remains overwhelmingly positive, with a mean price target of $266.02 and a median target of $270, suggesting a potential upside of approximately 30% from current levels. The recommendation mean of 1.35 (strong buy) further underscores confidence in the stock's long-term prospects.
 **Economic Outlook:**  
 Amazon's performance is influenced by macroeconomic factors, including trade tensions and slowing global growth. The recent imposition of tariffs by the U.S. on Canada, Mexico, and China could impact Amazon's supply chain and cost structure, particularly in its retail and logistics operations. However, the company's diversified revenue streams, including AWS and advertising, provide a buffer against these headwinds. Additionally, Amazon's investments in AI, quantum computing, and international markets position it well to capitalize on emerging growth opportunities.
 **Summary:**  
 Amazon's thesis lies in its unparalleled scale, innovation, and diversification across e-commerce, cloud computing, and emerging technologies. Its edge stems from its ability to leverage AI and global expansion to drive growth, while its risks include premium valuations, macroeconomic uncertainties, and regulatory challenges.  
 **Score: 85**</t>
  </si>
  <si>
    <t>TRV</t>
  </si>
  <si>
    <t>**Investment Report: Travelers Companies (The)**
 **Recent News:**  
 There have been no significant updates or news regarding Travelers Companies in the past week. This lack of news suggests stability in the company's operations and no immediate disruptions or catalysts affecting its business. However, the broader macroeconomic environment, including rising geopolitical tensions and trade uncertainties, could indirectly influence the property and casualty insurance industry.
 **Financials:**  
 Travelers Companies demonstrates strong financial health with a market capitalization of $59.1 billion and a trailing price-to-earnings (P/E) ratio of 12.14, which is slightly below the industry average, indicating potential undervaluation. The forward P/E ratio of 12.27 suggests stable earnings expectations. The company has a robust return on equity (ROE) of 18.94%, reflecting efficient management and profitability. 
 The dividend yield of 1.62% is below its five-year average of 2.2%, but the low payout ratio of 19.33% indicates ample room for future dividend growth. The company’s free cash flow of $16.47 billion and operating cash flow of $9.07 billion highlight its strong liquidity position. However, the quick ratio of 0.187 and current ratio of 0.322 suggest limited short-term liquidity, which is typical for insurance companies due to their unique balance sheet structure.
 Travelers has shown solid revenue growth of 9.9% year-over-year, with earnings growth of 28.4%, signaling strong operational performance. The company’s gross margins of 26.69% and operating margins of 22.42% are healthy for the industry. Additionally, the trailing PEG ratio of 0.92 indicates that the stock is attractively priced relative to its growth prospects.
 **Valuations:**  
 The stock is trading at a price-to-book (P/B) ratio of 2.12, which is reasonable given its strong ROE and profitability metrics. The current price of $258.75 is near its 52-week high of $269.56, reflecting investor confidence. Analysts have a median target price of $270, suggesting limited upside in the near term. However, the high target price of $310 indicates potential for growth if the company continues to outperform expectations.
 The company’s beta of 0.621 indicates lower volatility compared to the broader market, making it a relatively defensive investment. This aligns with the property and casualty insurance industry’s reputation for stability, particularly during periods of economic uncertainty.
 **Economic Outlook:**  
 The macroeconomic environment presents mixed implications for Travelers. On one hand, rising interest rates could benefit the company’s investment portfolio, as insurers typically hold significant fixed-income assets. On the other hand, the potential for an economic slowdown, as indicated by the latest GDP contraction forecasts, could lead to reduced demand for certain insurance products. Additionally, geopolitical risks and natural disasters, such as the recent California wildfires, could increase claims and impact profitability.
 The broader market volatility, driven by trade tensions and tariff implementations, may also weigh on investor sentiment. However, Travelers’ strong financial position and diversified revenue streams position it well to navigate these challenges.
 **Summary:**  
 **Thesis:** Travelers Companies is a financially sound and well-managed firm with strong profitability metrics and a stable dividend. Its valuation appears reasonable, and its defensive nature makes it an attractive option in uncertain economic conditions.  
 **Edge:** The company’s low beta, strong cash flow, and efficient operations provide resilience against market volatility and economic headwinds.  
 **Risk:** Potential risks include exposure to catastrophic events, rising claims costs, and limited short-term liquidity. Broader economic challenges could also impact growth prospects.
 **Score: 85**</t>
  </si>
  <si>
    <t>**Investment Report: Alphabet Inc. (Class A)**
 **Recent News:**  
 Alphabet Inc. has not been in the headlines over the past week, which suggests a period of stability in its operations and public perception. However, the broader macroeconomic environment, including escalating trade tensions and potential economic deceleration, could indirectly impact the company. Alphabet's exposure to global markets and its reliance on advertising revenue may face headwinds if consumer and business spending contracts due to economic uncertainty.
 **Financials:**  
 Alphabet's financial position remains robust, with a market capitalization of $2.05 trillion and a strong profit margin of 28.6%. The company has demonstrated solid earnings growth of 30.9% and revenue growth of 11.8% year-over-year, reflecting its ability to capitalize on its core businesses, including search, advertising, and cloud services. The trailing P/E ratio of 20.77 and forward P/E of 18.64 indicate a reasonable valuation relative to its growth prospects, while the trailing PEG ratio of 1.23 suggests that the stock is fairly priced for its growth trajectory.
 The company maintains a healthy balance sheet, with $95.66 billion in cash and a manageable debt load of $28.14 billion, resulting in a low debt-to-equity ratio of 8.66. Alphabet's free cash flow of $56.58 billion underscores its ability to reinvest in growth initiatives and return value to shareholders. Additionally, its return on equity (ROE) of 32.91% and return on assets (ROA) of 16.74% highlight its operational efficiency and profitability.
 **Valuations:**  
 Alphabet's current price-to-book ratio of 6.27 and price-to-sales ratio of 5.85 are slightly elevated compared to historical averages, but they remain in line with other high-growth technology companies. The stock is trading near the lower end of its 52-week range, with a recent close of $170.28 compared to a high of $207.05. This suggests potential upside if the company continues to execute well and macroeconomic conditions stabilize. Analyst sentiment remains positive, with a mean target price of $217.93, representing a 28% upside from current levels, and a "buy" recommendation from the majority of analysts.
 **Economic Outlook:**  
 Alphabet operates in a challenging macroeconomic environment marked by slowing GDP growth, rising trade tensions, and potential consumer spending pullbacks. The company's reliance on advertising revenue, which is sensitive to economic cycles, could face pressure if businesses reduce marketing budgets. However, Alphabet's diversification into cloud computing, AI, and other growth areas provides a buffer against these risks. The recent launch of OpenAI's GPT-4.5 and increased competition in AI could spur Alphabet to accelerate its own AI initiatives, potentially driving future growth.
 **Summary of Thesis, Edge, and Risk:**  
 Alphabet's strong financials, operational efficiency, and diversified revenue streams position it well for long-term growth. Its edge lies in its dominant market share in search and advertising, as well as its investments in emerging technologies like AI and cloud computing. However, risks include macroeconomic headwinds, increased competition in AI, and potential regulatory scrutiny. While the stock appears fairly valued, its current price near the lower end of its 52-week range offers a potential entry point for long-term investors.
 **Score: 85**</t>
  </si>
  <si>
    <t>**Investment Report: Accenture (ACN)**
 **Recent News:**  
 Accenture has garnered attention for its consistent ability to exceed earnings expectations, with analysts suggesting it may outperform again in its upcoming quarterly report. This optimism is supported by its strong historical performance and favorable market positioning. Additionally, Accenture has been a trending stock, reflecting heightened interest from investors and analysts. This attention underscores the market's confidence in the company's operational strength and its ability to navigate current economic challenges.
 **Financials:**  
 Accenture's financial metrics highlight its robust profitability and operational efficiency. The company boasts a trailing P/E ratio of 28.94 and a forward P/E of 24.52, indicating a premium valuation but one that aligns with its growth trajectory. Its profit margins of 11.41% and return on equity of 26.83% demonstrate strong profitability and effective capital utilization. Revenue growth of 9% and earnings growth of 16% further reinforce its solid financial performance. The company maintains a healthy balance sheet with a manageable debt-to-equity ratio of 27.06 and a quick ratio of 1.33, ensuring liquidity and financial stability. Accenture's dividend yield of 1.7% is above its five-year average of 1.36%, reflecting a commitment to returning value to shareholders.
 **Valuations:**  
 Accenture's current price-to-book ratio of 7.39 and price-to-sales ratio of 3.25 suggest a valuation premium compared to broader market averages. However, these metrics are justified by its consistent growth, strong cash flow generation, and leadership in the IT consulting and services industry. The stock is trading near its 200-day moving average of $341.52, indicating potential support at current levels. Analyst price targets range from $323 to $455, with a mean target of $399.21, suggesting upside potential from its recent close of $348.50.
 **Economic Outlook:**  
 The broader economic environment presents both challenges and opportunities for Accenture. The U.S. economy is showing signs of deceleration, with GDP contraction expected in Q1 2025. However, Accenture's focus on digital transformation, cloud services, and AI positions it well to benefit from long-term trends in technology adoption. The company's global presence and diversified client base provide resilience against localized economic slowdowns. Additionally, its ability to adapt to evolving client needs in a volatile macroeconomic environment underscores its competitive edge.
 **Summary of Thesis, Edge, and Risk:**  
 Accenture's strong financial performance, consistent earnings growth, and leadership in the IT consulting sector provide a compelling investment thesis. Its ability to capitalize on digital transformation trends and its diversified revenue streams offer a competitive edge. However, risks include its premium valuation, potential macroeconomic headwinds, and exposure to global economic uncertainties. While the company is well-positioned for long-term growth, near-term volatility in the broader market could impact its stock performance.
 **Score: 85**</t>
  </si>
  <si>
    <t>**Investment Report: Meta Platforms Inc.**
 **Recent News:**  
 Meta Platforms Inc. is intensifying its focus on artificial intelligence (AI), launching tools to assist small businesses with automated ad creation and audience targeting. The company is also developing a standalone AI app to compete with OpenAI and Google, signaling its ambition to lead in the AI space. Additionally, Meta is seeking to raise $35 billion for U.S. data center expansion, a move that underscores its commitment to infrastructure growth and AI capabilities. However, the company faces reputational challenges, including an Instagram Reels algorithm malfunction and employee terminations for leaking confidential information. Regulatory scrutiny in Europe over targeted advertising and a lawsuit regarding hiring practices add to its legal pressures. Despite these hurdles, Meta is exploring growth opportunities, such as investments in Italy, the launch of Aria Gen 2 smart glasses for AI research, and the potential spin-off of Instagram Reels as a standalone app.
 **Financials:**  
 Meta's financial performance remains robust, with a market capitalization of $1.66 trillion and a trailing price-to-earnings (P/E) ratio of 27.47, reflecting strong investor confidence. The company has demonstrated impressive earnings growth of 51.4% and revenue growth of 20.6% year-over-year, supported by high profit margins of 37.9% and gross margins of 81.7%. Meta's free cash flow of $36.1 billion and a current ratio of 2.98 indicate strong liquidity and operational efficiency. However, its debt-to-equity ratio of 27.25 suggests moderate leverage, which could be a concern if economic conditions worsen. The stock is trading near its 52-week high of $740.91, with a forward P/E of 25.89, indicating that the market has priced in significant growth expectations.
 **Valuations:**  
 Meta's valuation metrics suggest a premium relative to its peers, with a price-to-sales ratio of 10.09 and a price-to-book ratio of 9.09. Analysts maintain a strong buy recommendation, with a mean target price of $763.15, implying potential upside from current levels. The company's trailing PEG ratio of 1.34 indicates that its growth is reasonably priced, given its earnings trajectory. However, the stock's beta of 1.23 highlights its sensitivity to market volatility, which could be exacerbated by macroeconomic uncertainties.
 **Economic Outlook:**  
 Meta operates in a challenging macroeconomic environment marked by slowing U.S. GDP growth, rising jobless claims, and trade tensions. The company's reliance on advertising revenue could be impacted by reduced consumer spending and business confidence amid tariff-related uncertainties. However, Meta's diversification into AI and hardware, such as smart glasses, positions it to capitalize on long-term technological trends. The company's significant investments in data centers and AI research align with broader industry shifts toward digital transformation, potentially offsetting near-term economic headwinds.
 **Summary of Thesis, Edge, and Risk:**  
 Meta's strategic focus on AI and infrastructure expansion provides a strong growth thesis, supported by robust financials and high margins. Its edge lies in its ability to leverage its vast user base and technological expertise to drive innovation and revenue diversification. However, risks include regulatory scrutiny, reputational challenges, and macroeconomic pressures that could impact advertising revenue and investor sentiment.
 **Score: 85**</t>
  </si>
  <si>
    <t>ABT</t>
  </si>
  <si>
    <t>**Investment Report: Abbott Laboratories (ABT)**
 **Recent News:**  
 Abbott Laboratories has garnered significant attention from analysts and investors, with a "buy" recommendation consensus from Wall Street. The stock has been trending positively, reaching its 52-week high of $140.84, reflecting optimism about its growth prospects. Analysts' bullish sentiment is supported by Abbott's strong market position in the healthcare equipment industry, particularly in diagnostics, medical devices, and nutrition. However, the broader economic environment, including potential tariff impacts and slowing GDP growth, could weigh on consumer and institutional spending, indirectly affecting Abbott's revenue streams.
 **Financials:**  
 Abbott's financial performance remains robust, with a market capitalization of $243.19 billion and a trailing P/E ratio of 18.33, indicating reasonable valuation relative to its earnings. The company has demonstrated consistent profitability, with a net income of $13.35 billion and profit margins of 31.95%. Its revenue growth of 7.2% year-over-year highlights resilience in a challenging macroeconomic environment. Abbott's dividend yield of 1.71% and a payout ratio of 28.8% suggest a sustainable dividend policy, appealing to income-focused investors. Additionally, the company maintains a healthy balance sheet with a manageable debt-to-equity ratio of 31.89% and a current ratio of 1.67, indicating strong liquidity.
 **Valuations:**  
 Abbott's forward P/E ratio of 27.17 suggests that the market is pricing in future growth, though it is higher than its trailing P/E, reflecting expectations of moderated earnings growth. The price-to-book ratio of 5.09 indicates a premium valuation, which is typical for a market leader in the healthcare sector. The company's gross margins of 55.56% and operating margins of 18.59% underscore its operational efficiency and ability to generate strong cash flows, with free cash flow standing at $5.61 billion.
 **Economic Outlook:**  
 The broader economic environment presents mixed signals for Abbott. While the healthcare sector is generally defensive and less sensitive to economic cycles, the ongoing trade tensions and tariffs could increase costs for medical equipment manufacturers. Additionally, slowing GDP growth and rising unemployment may dampen consumer spending on elective healthcare products. However, Abbott's diversified product portfolio and strong presence in essential healthcare markets position it well to weather economic uncertainties. The company's innovation in diagnostics and medical devices, coupled with its global footprint, provides a competitive edge in capturing growth opportunities in emerging markets.
 **Summary:**  
 Abbott Laboratories benefits from a strong market position, robust financials, and a diversified product portfolio, making it a resilient player in the healthcare equipment industry. Its ability to generate consistent cash flows and maintain a sustainable dividend policy adds to its appeal. However, risks include potential cost pressures from tariffs, broader economic slowdown, and premium valuation levels that may limit upside potential in the short term.  
 **Score: 85**</t>
  </si>
  <si>
    <t>**Investment Report: Berkshire Hathaway**
 **Recent News:**  
 Berkshire Hathaway has not been in the headlines over the past week, which is consistent with its reputation for maintaining a low-profile approach to public relations. The absence of news suggests stability in its operations and a lack of immediate disruptions or controversies. This aligns with the firm's long-term investment philosophy, which prioritizes steady performance over short-term market reactions.
 **Financials:**  
 The lack of a trailing PEG ratio indicates that Berkshire Hathaway's growth relative to its valuation is not easily quantifiable at this time. This could be due to the diversified nature of its holdings, which span multiple industries, making it challenging to apply a single growth metric. Historically, Berkshire Hathaway has demonstrated strong financial discipline, with a robust balance sheet and significant cash reserves. These reserves provide flexibility to capitalize on market opportunities, particularly during periods of economic uncertainty.
 **Valuations:**  
 Berkshire Hathaway's valuation is often tied to its intrinsic value, which is driven by the performance of its operating businesses and its equity portfolio. The firm's diversified holdings, including stakes in major companies like Apple, Coca-Cola, and American Express, provide a buffer against sector-specific downturns. However, the broader market's recent volatility, particularly in technology and small-cap stocks, may impact the valuation of some of its equity investments. Additionally, the firm's significant exposure to insurance and energy sectors could be influenced by macroeconomic trends, such as rising interest rates and fluctuating commodity prices.
 **Economic Outlook:**  
 The current economic environment presents both challenges and opportunities for Berkshire Hathaway. The U.S. economy is showing signs of deceleration, with GDP contraction expected in Q1 2025 and rising jobless claims. However, the firm's diversified portfolio and strong cash position allow it to weather economic downturns and potentially acquire undervalued assets. The ongoing trade tensions and tariffs could impact some of its holdings, particularly in industries reliant on global supply chains. On the other hand, Berkshire Hathaway's focus on fundamentally strong businesses positions it well to navigate these uncertainties.
 **Summary of Thesis, Edge, and Risk:**  
 Berkshire Hathaway's investment thesis is rooted in its diversified portfolio, strong financial discipline, and ability to capitalize on market dislocations. Its edge lies in its substantial cash reserves and the strategic oversight of Warren Buffett and his team, which enable it to make opportunistic investments during periods of market stress. The primary risk is the broader economic slowdown, which could weigh on the performance of its operating businesses and equity portfolio. Additionally, the firm's exposure to sectors sensitive to macroeconomic trends, such as insurance and energy, could introduce volatility.
 Score: 85</t>
  </si>
  <si>
    <t>**Investment Report: Visa Inc. (V)**
 **Recent News:**  
 Visa Inc. has been under scrutiny as one of the most watched stocks recently, with its stock price experiencing a slight decline of 0.41% in the latest trading session, closing at $350.63. This movement comes amidst broader market volatility driven by macroeconomic uncertainties, including escalating trade tensions and a decelerating U.S. economy. Despite this minor dip, Visa's stock remains near its 52-week high of $366.54, reflecting strong investor confidence in its long-term growth potential. However, the broader market's cautious sentiment, particularly in the technology and financial sectors, may be influencing short-term price movements.
 **Financials:**  
 Visa's financial performance remains robust, supported by its strong profitability metrics. The company boasts a trailing twelve-month profit margin of 54.27% and an impressive return on equity of 51.19%, underscoring its efficient capital utilization. Revenue growth of 10.1% and earnings growth of 7.8% highlight Visa's ability to expand its top and bottom lines even in a challenging macroeconomic environment. The company maintains a healthy free cash flow of $13.89 billion, providing flexibility for reinvestment, dividends, and share buybacks.
 Visa's valuation metrics, however, suggest a premium pricing. Its trailing P/E ratio of 36.55 and forward P/E of 28.58 are higher than the broader market averages, reflecting investor expectations of continued growth. The price-to-book ratio of 18.92 further indicates a high valuation relative to its book value. While these metrics may deter value-focused investors, they are consistent with Visa's dominant market position and growth prospects.
 **Valuations:**  
 Visa's dividend yield of 0.65% is slightly below its five-year average of 0.67%, but its low payout ratio of 21.67% indicates ample room for future dividend increases. Analysts remain optimistic, with a mean target price of $373.40 and a high target of $410.00, suggesting potential upside from current levels. The recommendation mean of 1.68 (indicating a "buy") reflects strong analyst confidence in Visa's growth trajectory.
 **Economic Outlook:**  
 Visa operates in the transaction and payment processing industry, which is relatively resilient to economic downturns. However, the current macroeconomic environment presents mixed signals. On one hand, rising interest rates and slowing GDP growth could dampen consumer spending, potentially impacting transaction volumes. On the other hand, Visa's global reach and increasing adoption of digital payments provide a buffer against regional economic slowdowns. Additionally, the company's high gross margins of 97.82% and operating margins of 68.67% position it well to weather economic headwinds.
 The ongoing trade tensions and tariffs could indirectly affect Visa by influencing consumer confidence and spending patterns. However, Visa's business model, which relies on transaction volumes rather than direct exposure to goods or services, mitigates these risks to some extent. Furthermore, Visa's beta of 0.949 indicates lower volatility compared to the broader market, making it a relatively stable investment in uncertain times.
 **Summary:**  
 Visa's investment thesis is supported by its dominant market position, strong financial performance, and resilience in the face of economic challenges. Its edge lies in its high profitability, robust cash flow, and ability to capitalize on the secular shift toward digital payments. However, risks include its premium valuation, potential impacts of slowing consumer spending, and broader market volatility.
 **Score: 85**</t>
  </si>
  <si>
    <t>**Investment Report: BlackRock (BLK)**
 **Recent News:**  
 BlackRock's stock recently declined by 0.44%, closing at $953.77, despite broader market gains. This movement reflects broader market volatility and potential investor concerns about macroeconomic headwinds, including trade tensions and slowing economic growth. However, BlackRock's long-term growth narrative remains intact, as the firm continues to leverage its scale and expertise in private assets. With record inflows of $641 billion in 2024 and total assets under management (AUM) reaching $11.6 trillion, BlackRock is well-positioned to capitalize on its leadership in asset management, particularly in private markets, which are expected to drive its next phase of growth.
 **Financials:**  
 BlackRock's financial performance remains robust, supported by strong profitability metrics. The firm boasts a trailing price-to-earnings (P/E) ratio of 22.99 and a forward P/E of 19.68, indicating reasonable valuation levels relative to its growth prospects. Its profit margins are healthy at 31.21%, and the return on equity (ROE) is an impressive 14.38%, reflecting efficient capital utilization. The dividend yield of 2.13% and a payout ratio of 48.56% suggest a balanced approach to rewarding shareholders while retaining earnings for growth. Additionally, BlackRock's revenue growth of 22.6% and earnings growth of 16.3% underscore its ability to expand in a challenging environment.
 The firm's balance sheet is solid, with a manageable debt-to-equity ratio of 28.82 and a current ratio of 2.08, indicating strong liquidity. Free cash flow of $5.99 billion further enhances its financial flexibility, enabling continued investments in growth initiatives, such as private asset expansion.
 **Valuations:**  
 BlackRock's current price-to-book (P/B) ratio of 3.15 is slightly elevated compared to historical averages but remains reasonable given its dominant market position and growth trajectory. The stock is trading at a discount to its 52-week high of $1,084.22, offering potential upside. Analyst sentiment is positive, with a mean target price of $1,162.29, representing a 21.9% upside from the current price. The recommendation mean of 1.72 (on a scale where 1.0 is a strong buy) further highlights confidence in the stock's prospects.
 **Economic Outlook:**  
 The broader economic environment presents mixed signals for BlackRock. On one hand, slowing GDP growth and rising trade tensions could weigh on investor sentiment and market performance, potentially impacting AUM growth. On the other hand, BlackRock's diversified revenue streams and focus on private assets provide resilience against market volatility. The firm's ability to attract record inflows in 2024 demonstrates its appeal to investors seeking stability and long-term returns in uncertain times. Additionally, its scale and technological investments position it to benefit from trends such as increased adoption of passive investing and ESG-focused strategies.
 **Summary:**  
 BlackRock's investment thesis is underpinned by its unparalleled scale, strong financial performance, and strategic focus on private assets, which are expected to drive future growth. Its edge lies in its ability to attract significant inflows and maintain high profitability, even in challenging market conditions. However, risks include macroeconomic headwinds, such as trade tensions and slowing economic growth, which could impact investor sentiment and market performance.
 **Score: 85**</t>
  </si>
  <si>
    <t>**Investment Report: Costco Wholesale (COST)**
 **Recent News:**  
 Costco Wholesale is preparing to release its second-quarter fiscal 2025 earnings, with analysts expecting strong revenue and profit growth. The company has a history of surpassing earnings expectations, and its robust business model continues to attract attention. Costco's expansion plans, including nine new store openings in 2025 (six in the U.S. in March), signal confidence in its growth trajectory. The stock recently rose by 1.94%, closing at $1,055.66, reflecting positive sentiment. However, some analysts caution that broader market conditions, reminiscent of the late 1990s, could temper returns. Despite this, Costco's consistent performance and resilience in volatile markets make it a standout in the consumer staples sector.
 **Financials:**  
 Costco's financial metrics highlight its strong position. The company boasts a market capitalization of $464.7 billion and a trailing P/E ratio of 61.62, indicating a premium valuation. Its forward P/E of 53.19 suggests expectations of continued earnings growth. Revenue for the trailing twelve months stands at $258.8 billion, with a modest revenue growth rate of 7.5%. Profit margins are relatively thin at 2.93%, typical for the retail sector, but return on equity (ROE) is an impressive 29.95%, reflecting efficient capital utilization. Costco's dividend yield of 0.44% is below its five-year average of 0.66%, but its low payout ratio of 26.44% suggests room for future increases. The company maintains a manageable debt-to-equity ratio of 33.25 and has $11.8 billion in cash, providing financial flexibility.
 **Valuations:**  
 Costco's valuation metrics indicate a premium price, with a price-to-sales ratio of 1.80 and a price-to-book ratio of 19.01. These figures are higher than industry averages, reflecting investor confidence in its growth potential and operational resilience. The stock is trading near its 52-week high of $1,078.23, significantly above its 52-week low of $697.27. Analysts' target prices range from $560 to $1,200, with a mean target of $1,049.40, suggesting the stock is fairly valued at current levels. The recommendation mean of 1.95 (on a scale where 1 is a strong buy) underscores positive sentiment among analysts.
 **Economic Outlook:**  
 Costco operates in the consumer staples sector, which tends to perform well during economic uncertainty. However, the broader economic environment presents challenges. The U.S. economy is showing signs of deceleration, with GDP expected to contract by 1.5% in Q1 2025. Rising tariffs on Canadian, Mexican, and Chinese goods could increase costs for retailers, potentially impacting margins. Despite these headwinds, Costco's bulk purchasing model and membership-based revenue stream provide a competitive edge, allowing it to navigate inflationary pressures and supply chain disruptions more effectively than many peers.
 **Summary:**  
 **Thesis:** Costco's strong financial performance, expansion plans, and resilient business model position it as a leader in the consumer staples sector.  
 **Edge:** Its membership-based model and operational efficiency provide a buffer against economic headwinds, while its expansion strategy supports long-term growth.  
 **Risk:** Elevated valuations and potential margin pressures from tariffs and broader economic slowdown could limit near-term upside.
 **Score: 85**</t>
  </si>
  <si>
    <t>RTX</t>
  </si>
  <si>
    <t>**Investment Report: RTX Corporation**
 **Recent News:**  
 RTX Corporation has recently reached its 52-week high of $135.356, reflecting strong investor confidence and robust performance. The company's engine segment and a substantial backlog have been highlighted as key drivers of its long-term growth potential. A positive earnings report released 30 days ago, which led to a 1.7% increase in stock price, has further solidified its position. While some market participants suggest taking profits at these levels, others point to new catalysts and generally bullish analyst sentiment as reasons to maintain optimism. Wall Street's consensus recommendation leans toward a "buy," with a target mean price of $142.23, indicating potential upside.
 **Financials:**  
 RTX Corporation's financial performance demonstrates stability and growth. The company reported total revenue of $80.74 billion, with revenue growth of 8.5% year-over-year. Its profit margins stand at 5.91%, and EBITDA margins are at 15.89%, reflecting efficient operations. The trailing P/E ratio of 37.70 suggests a premium valuation, but the forward P/E of 21.90 indicates expectations of earnings growth. The company has a strong free cash flow of $5.56 billion, supporting its dividend yield of 1.89%, though this is below its five-year average of 2.6%. Debt-to-equity is at 69.82%, which is manageable but worth monitoring given the rising interest rate environment. RTX's return on equity (ROE) of 8.13% and return on assets (ROA) of 3.26% indicate moderate efficiency in generating returns.
 **Valuations:**  
 RTX's price-to-book ratio of 2.96 and price-to-sales ratio of 2.21 suggest the stock is trading at a premium compared to its peers in the Aerospace &amp; Defense industry. However, the company's strong fundamentals, including a robust backlog and consistent revenue growth, justify this valuation to some extent. Analysts' target prices range from $120 to $159, with a median target of $144.50, indicating potential upside from current levels. The trailing PEG ratio of 1.37 suggests that the stock's valuation is reasonable relative to its growth prospects.
 **Economic Outlook:**  
 The Aerospace &amp; Defense industry is poised for growth, driven by increased global defense spending and advancements in commercial aviation. RTX's strong engine segment positions it well to capitalize on these trends. However, macroeconomic headwinds, including potential recessionary pressures and geopolitical uncertainties, could impact the broader market. Additionally, rising interest rates may increase borrowing costs, which could affect RTX's debt servicing. Despite these challenges, RTX's substantial backlog and diversified revenue streams provide a buffer against economic volatility.
 **Summary:**  
 RTX Corporation's investment thesis is supported by its strong fundamentals, including a robust backlog, consistent revenue growth, and a leading position in the Aerospace &amp; Defense industry. Its edge lies in its engine segment and ability to capitalize on long-term industry trends. However, risks include its premium valuation, rising debt levels, and potential macroeconomic headwinds.  
 **Score: 85**</t>
  </si>
  <si>
    <t>**Investment Report: Oracle Corporation**
 **Recent News:**  
 Oracle Corporation is navigating a pivotal moment as it approaches its earnings report amidst a volatile market environment. The recent downturn in tech stocks, triggered by the DeepSeek AI sell-off, has weighed on investor sentiment. However, Oracle's strategic positioning in the AI sector has provided a counterbalance, with its shares appreciating by 50% over the past year. The company's involvement in the $100 billion Stargate AI infrastructure project is a transformative opportunity, potentially driving significant growth in its cloud revenue and market share. This initiative not only enhances Oracle's competitive edge in the AI space but also aligns it with broader U.S. efforts to bolster AI leadership. The market is closely watching Oracle's ability to capitalize on these opportunities, particularly as it competes with established players like Microsoft Azure.
 **Financials:**  
 Oracle's financial metrics reflect a mixed picture. The company boasts a robust market capitalization of $453 billion and a trailing price-to-earnings (P/E) ratio of 39.61, which is elevated compared to its forward P/E of 22.63, indicating expectations of strong earnings growth. Its profit margins are healthy at 21.16%, supported by gross margins of 71.27%, showcasing its operational efficiency. However, the company's debt-to-equity ratio of 699.24 is notably high, signaling significant leverage, which could pose risks in a rising interest rate environment. Oracle's free cash flow of $9.2 billion and operating cash flow of $20.3 billion provide a solid liquidity cushion, though its quick ratio of 0.67 and current ratio of 0.81 suggest limited short-term financial flexibility. Revenue growth of 8.6% and earnings growth of 23.6% highlight the company's ability to expand despite macroeconomic headwinds.
 **Valuations:**  
 Oracle's valuation metrics suggest a premium relative to its peers, driven by its strong positioning in the AI and cloud computing sectors. Its price-to-sales ratio of 8.25 and price-to-book ratio of 32.96 indicate that the market is pricing in significant future growth. Analysts have a bullish outlook, with a median price target of $202.50, representing a potential upside from its current trading range. The company's trailing PEG ratio of 1.81 suggests that its growth prospects are reasonably priced, though not without risks given the broader market volatility.
 **Economic Outlook:**  
 The macroeconomic environment presents both challenges and opportunities for Oracle. The U.S. economy is showing signs of deceleration, with GDP contraction expected in Q1 2025 and rising jobless claims. Trade tensions, particularly with China, could disrupt supply chains and impact Oracle's global operations. However, the company's focus on AI and cloud infrastructure positions it well to benefit from long-term secular trends, even as near-term economic uncertainty persists. The Stargate project, in particular, could serve as a catalyst for growth, providing a hedge against broader market headwinds.
 **Summary:**  
 **Thesis:** Oracle's strategic investments in AI and cloud infrastructure, particularly through the Stargate project, position it as a key player in a high-growth sector.  
 **Edge:** The company's robust profit margins, strong cash flow, and alignment with U.S. AI competitiveness initiatives provide a competitive advantage.  
 **Risk:** Elevated leverage and macroeconomic uncertainties, including trade tensions and slowing economic growth, could weigh on performance.
 **Score: 85**</t>
  </si>
  <si>
    <t>RMD</t>
  </si>
  <si>
    <t>**Investment Report: ResMed (RMD)**
 **Recent News:**  
 ResMed has been highlighted as a strong growth stock, supported by its robust fundamentals and favorable market positioning. The company has consistently demonstrated its ability to capitalize on growth opportunities, particularly in the healthcare equipment sector, which benefits from increasing demand for innovative medical devices and solutions. ResMed's focus on sleep apnea and respiratory care products positions it well in a market with long-term tailwinds, including aging populations and rising awareness of sleep-related health issues.
 **Financials:**  
 ResMed's financial performance reflects its strong operational efficiency and growth trajectory. The company reported a trailing price-to-earnings (PE) ratio of 27.49 and a forward PE of 22.65, indicating expectations of continued earnings growth. Its profit margins are solid, with a net profit margin of 25.35% and EBITDA margins of 34.76%, showcasing its ability to convert revenue into profit effectively. Revenue growth of 10.3% year-over-year and earnings growth of 64.9% further underscore its strong performance. The company maintains a healthy balance sheet, with a current ratio of 3.33 and a quick ratio of 1.74, indicating strong liquidity. Additionally, ResMed's debt-to-equity ratio of 15.99% reflects prudent financial management.
 The company has a market capitalization of $34.23 billion and a dividend yield of 0.91%, slightly above its five-year average of 0.83%. This suggests a commitment to returning value to shareholders while maintaining growth investments. Free cash flow of $1.1 billion and operating cash flow of $1.48 billion provide ample resources for reinvestment and shareholder returns.
 **Valuations:**  
 ResMed's valuation metrics suggest it is trading at a premium, with a price-to-sales ratio of 6.95 and a price-to-book ratio of 6.52. However, these valuations are supported by its strong growth prospects and profitability metrics. The trailing PEG ratio of 1.67 indicates that the stock's price is reasonable relative to its earnings growth. Analyst sentiment remains positive, with a mean target price of $270.09, representing significant upside potential from its current trading range. The recommendation key of "buy" and a median target price of $278.66 further reinforce the bullish outlook.
 **Economic Outlook:**  
 The broader economic environment presents both opportunities and risks for ResMed. The healthcare sector remains resilient even during economic slowdowns, as demand for medical devices and treatments is less sensitive to macroeconomic fluctuations. However, the ongoing trade tensions and tariffs could impact supply chains and input costs, potentially pressuring margins. ResMed's global operations may also face currency headwinds due to the strong U.S. dollar. Despite these challenges, the company's strong market position and focus on innovation provide a competitive edge.
 **Summary of Thesis, Edge, and Risk:**  
 ResMed's investment thesis is built on its strong financial performance, robust growth prospects, and leadership in the healthcare equipment industry. Its edge lies in its focus on high-demand areas such as sleep apnea and respiratory care, supported by a solid balance sheet and consistent cash flow generation. Risks include potential supply chain disruptions from trade policies, currency fluctuations, and valuation concerns given its premium pricing. However, the company's strong fundamentals and growth trajectory mitigate these risks.
 **Score: 85**</t>
  </si>
  <si>
    <t>**Investment Report: Netflix**
 **Recent News:**  
 Netflix is in advanced discussions with the Academy of Motion Picture Arts and Sciences to potentially stream the Oscars, a move that could significantly enhance its brand visibility and further solidify its position as a dominant player in the entertainment industry. This development comes as Disney's traditional hold on the event through ABC appears to be weakening. Additionally, Netflix is projected to surpass YouTube in video revenues by 2025, driven by robust subscriber growth and a rapidly expanding advertising business. The company's ability to navigate legal challenges, such as the recent trademark lawsuit over its basketball comedy series "Running Point," demonstrates its resilience and operational agility. Furthermore, the stock's high valuation and potential for a stock split reflect strong investor confidence, despite broader market volatility.
 **Financials:**  
 Netflix's financial performance remains robust, with a market capitalization of $416.5 billion and a trailing price-to-earnings (P/E) ratio of 49.15, indicating high investor expectations for future growth. The company has achieved impressive earnings growth of 101.8% and revenue growth of 16% year-over-year, supported by strong profit margins of 22.3%. Its free cash flow of $21.25 billion underscores its ability to reinvest in content and innovation. However, the debt-to-equity ratio of 72.73% suggests a moderately leveraged balance sheet, which could pose risks in a rising interest rate environment. The stock is trading near its 52-week high of $1,064.50, with a forward P/E of 40.95, reflecting optimism about future earnings potential.
 **Valuations:**  
 Netflix's valuation metrics, including a price-to-sales ratio of 10.68 and a price-to-book ratio of 16.83, indicate a premium valuation compared to industry peers. Analysts maintain a bullish outlook, with a mean target price of $1,071.74 and a median target price of $1,100. The recommendation mean of 1.85 (on a scale where 1.0 is a strong buy) highlights continued confidence in the stock. However, the high valuation multiples suggest limited room for error, particularly in a volatile macroeconomic environment.
 **Economic Outlook:**  
 The broader economic environment presents both opportunities and challenges for Netflix. The U.S. economy is showing signs of deceleration, with GDP projected to contract in Q1 2025. Rising tariffs and geopolitical tensions could weigh on consumer spending and sentiment, potentially impacting discretionary services like streaming. However, Netflix's global reach and diversified revenue streams position it well to weather economic headwinds. The company's strong cash flow and ability to innovate in content and advertising provide a competitive edge in an increasingly crowded streaming market.
 **Summary:**  
 Netflix's thesis lies in its dominant market position, strong subscriber growth, and expanding advertising business, which are expected to drive long-term revenue and earnings growth. Its edge stems from its ability to innovate, navigate legal challenges, and capitalize on strategic opportunities like streaming the Oscars. However, risks include its high valuation, reliance on continued subscriber growth, and potential macroeconomic pressures from a slowing economy and rising tariffs.
 **Score: 85**</t>
  </si>
  <si>
    <t>**Investment Report: Boston Scientific (BSX)**
 **Recent News:**  
 Boston Scientific has been highlighted as a top momentum stock for long-term investors, supported by its strong performance metrics and favorable Zacks Style Scores. This recognition underscores the company's ability to maintain growth and attract investor interest, particularly in the healthcare equipment sector. The momentum is likely driven by its consistent revenue growth, innovative product pipeline, and strong market positioning in minimally invasive medical devices. However, the broader economic environment and potential headwinds in healthcare spending could temper this momentum.
 **Financials:**  
 Boston Scientific's financial performance reflects robust growth and operational efficiency. The company reported a trailing price-to-earnings (P/E) ratio of 83.9 and a forward P/E of 37.6, indicating high investor expectations for future earnings growth. Revenue growth of 22.4% year-over-year and earnings growth of 12.1% highlight its ability to expand both top-line and bottom-line performance. Gross margins of 68.4% and EBITDA margins of 25.5% demonstrate strong profitability, while a return on equity (ROE) of 8.9% suggests effective use of shareholder capital. However, the quick ratio of 0.464 and a debt-to-equity ratio of 51.03 indicate potential liquidity and leverage concerns, which could pose risks in a tightening economic environment.
 **Valuations:**  
 Boston Scientific's valuation metrics suggest a premium relative to its peers, with a price-to-book ratio of 7.1 and an enterprise value-to-revenue multiple of 9.9. While these figures reflect the company's strong growth prospects and market leadership, they also imply limited margin for error. The stock's 52-week change of 54.9% significantly outpaces the S&amp;P 500's 17.2% gain, further emphasizing its strong momentum. Analyst sentiment remains positive, with a consensus "strong buy" rating and a target median price of $118, representing potential upside from its current price.
 **Economic Outlook:**  
 The broader economic environment presents mixed implications for Boston Scientific. On one hand, the healthcare sector remains resilient, supported by aging populations and increasing demand for advanced medical technologies. On the other hand, macroeconomic headwinds, including potential recessionary pressures and rising interest rates, could impact healthcare budgets and capital expenditures. Additionally, geopolitical uncertainties and trade tensions may affect global supply chains, potentially increasing costs for medical device manufacturers.
 **Summary of Thesis, Edge, and Risk:**  
 Boston Scientific's strong revenue and earnings growth, coupled with its leadership in innovative medical technologies, position it as a compelling player in the healthcare equipment industry. Its high gross margins and robust analyst support provide an edge, while its premium valuation reflects investor confidence in its growth trajectory. However, liquidity concerns, high leverage, and broader economic uncertainties pose risks that could impact its ability to sustain momentum.
 **Score: 85**</t>
  </si>
  <si>
    <t>**Investment Report: Johnson &amp; Johnson (JNJ)**
 **Recent News:**  
 Johnson &amp; Johnson (JNJ) has recently gained market attention, closing at $167.28, up 1.37% in the latest trading session. This performance contrasts with broader market declines, highlighting the company's resilience amidst economic uncertainty. The stock's appeal is bolstered by its reputation as a reliable dividend payer, with a current yield of 3.01%, above its five-year average of 2.75%. This positions JNJ as a defensive play, particularly attractive during periods of market volatility. Additionally, the stock has been trending among investors, reflecting heightened interest in its stability and growth potential.
 **Financials:**  
 JNJ's financial metrics underscore its strong fundamentals. The company boasts a market capitalization of $402.75 billion and a trailing P/E ratio of 28.89, with a forward P/E of 15.78, suggesting expectations of earnings growth. Its gross margins of 69.56% and operating margins of 18.15% reflect robust profitability. Despite a slight decline in earnings growth (-3.4%) and quarterly earnings (-15.3%), revenue growth of 5.3% indicates resilience in its core operations. The company maintains a healthy free cash flow of $16.67 billion, supporting its dividend payouts and potential reinvestments. However, a debt-to-equity ratio of 52.92% and a quick ratio of 0.78 suggest moderate leverage, which warrants monitoring in a rising interest rate environment.
 **Valuations:**  
 JNJ's price-to-book ratio of 5.63 and price-to-sales ratio of 4.53 indicate a premium valuation, consistent with its status as a blue-chip stock. Analysts' target prices range from $150 to $190, with a median target of $166, aligning closely with its current price. The recommendation mean of 2.33 (Buy) reflects positive sentiment among analysts. While the trailing PEG ratio of 1.12 suggests the stock is fairly valued relative to its growth prospects, its defensive characteristics and dividend yield provide additional appeal.
 **Economic Outlook:**  
 The broader economic environment presents challenges, including slowing GDP growth, rising jobless claims, and trade tensions. However, JNJ's diversified portfolio in pharmaceuticals, medical devices, and consumer health products positions it well to weather economic headwinds. Its low beta of 0.46 indicates reduced sensitivity to market volatility, making it a safe haven for investors during uncertain times. Additionally, the healthcare sector's defensive nature and consistent demand provide a buffer against broader economic slowdowns.
 **Summary:**  
 **Thesis:** Johnson &amp; Johnson's strong financials, robust dividend yield, and defensive characteristics make it a compelling choice in a volatile market.  
 **Edge:** Its diversified business model and low beta provide stability, while its consistent cash flow supports shareholder returns.  
 **Risk:** Moderate leverage and declining earnings growth could pose challenges, particularly in a high-interest-rate environment.  
 **Score: 85**</t>
  </si>
  <si>
    <t>CI</t>
  </si>
  <si>
    <t>**Investment Report: Cigna Corporation (Health Care Services)**
 **Recent News:**  
 Cigna Corporation has not been in the news over the past week, indicating a period of operational stability without any major announcements or disruptions. This lack of news suggests that the company is continuing its business operations without significant external or internal events impacting its trajectory.
 **Financials:**  
 Cigna's financial performance reflects a strong position within the health care services industry. The company has a market capitalization of $85.25 billion and a relatively low beta of 0.533, indicating lower volatility compared to the broader market. Its trailing price-to-earnings (P/E) ratio of 25.72 is higher than its forward P/E of 9.95, suggesting expectations of significant earnings growth in the near future. This aligns with its robust earnings growth of 46.8% and revenue growth of 28.4% on a quarterly basis.
 The company’s dividend yield of 1.96% is above its five-year average of 1.19%, reflecting a shareholder-friendly approach with a payout ratio of 46.2%, which is sustainable given its earnings. Cigna's free cash flow of $3.79 billion and operating cash flow of $10.36 billion further reinforce its ability to maintain dividends and invest in growth opportunities.
 Cigna's balance sheet shows a debt-to-equity ratio of 77.52, which is relatively high but manageable given its strong cash flow generation. The company’s return on equity (ROE) of 8.63% and return on assets (ROA) of 3.93% indicate efficient use of capital, though these metrics are slightly below industry leaders. The enterprise value-to-revenue ratio of 0.442 and price-to-sales ratio of 0.345 suggest the stock is undervalued relative to its revenue generation.
 **Valuations:**  
 Cigna's stock is trading at $310.80, near the midpoint of its 52-week range of $262.03 to $370.83. The stock has underperformed the S&amp;P 500 over the past year, with a 52-week change of -7.18% compared to the S&amp;P 500's gain of 17.25%. However, analysts remain optimistic, with a mean target price of $362.31, representing a potential upside of approximately 16.5%. The recommendation mean of 1.67 (on a scale where 1.0 is a "Strong Buy") reflects strong confidence from analysts.
 Cigna's trailing PEG ratio of 0.93 indicates that the stock is attractively priced relative to its growth prospects, making it a compelling option for long-term investors seeking value in the health care sector.
 **Economic Outlook:**  
 The broader economic environment presents both challenges and opportunities for Cigna. The U.S. economy is showing signs of deceleration, with GDP expected to shrink in Q1 2025. Rising jobless claims and weakening consumer confidence could impact health care spending. However, Cigna's focus on health care services positions it as a relatively defensive play in a slowing economy, as demand for health care tends to remain stable even during economic downturns.
 The company’s exposure to potential regulatory changes under the Trump administration, particularly in health care policy, could introduce some uncertainty. However, its diversified revenue streams and strong cash flow generation provide a buffer against macroeconomic headwinds.
 **Summary:**  
 **Thesis:** Cigna is a fundamentally strong company with robust earnings growth, attractive valuations, and a defensive business model well-suited for the current economic environment.  
 **Edge:** Its low valuation metrics, strong cash flow, and consistent dividend payments provide a compelling case for long-term value creation.  
 **Risk:** Regulatory uncertainty and high debt levels could pose challenges, particularly if economic conditions deteriorate further.
 **Score: 85**</t>
  </si>
  <si>
    <t>MPWR</t>
  </si>
  <si>
    <t>**Investment Report: Monolithic Power Systems (MPS)**
 **Recent News:**  
 Monolithic Power Systems has recently garnered attention following its Q4 2024 earnings call, which reaffirmed robust demand for its chips. Concerns surrounding the potential loss of Blackwell chip orders had previously weighed on investor sentiment, creating a temporary dip in the stock price. However, the company's strong guidance and ability to navigate trade war uncertainties, particularly through its China-centric business model, have alleviated these fears. This has positioned MPS as a potential beneficiary of the ongoing demand for semiconductors, even amidst geopolitical tensions.
 **Financials:**  
 MPS demonstrates strong financial health, with a market capitalization of $27.69 billion and no outstanding debt, underscoring its solid balance sheet. The company boasts impressive profitability metrics, including a profit margin of 80.95% and a return on equity of 68.78%, reflecting efficient capital utilization. Revenue growth of 36.9% year-over-year and earnings growth of 14.09% further highlight its operational strength. Additionally, MPS maintains a robust current ratio of 5.31, indicating ample liquidity to meet short-term obligations.
 Despite these strengths, the stock has faced recent volatility, with a 52-week change of -14.86%, underperforming the S&amp;P 500's 17.25% gain over the same period. The stock's trailing P/E ratio of 15.82 suggests it is attractively valued relative to its historical performance, though its forward P/E of 33.70 indicates expectations of slower earnings growth. The dividend yield of 1.02% is modest but above its five-year average, reflecting a commitment to returning value to shareholders.
 **Valuations:**  
 MPS's price-to-sales ratio of 12.54 and price-to-book ratio of 8.80 suggest the stock is trading at a premium compared to some peers in the semiconductor industry. However, this premium may be justified given its high profitability and strong growth prospects. Analyst sentiment remains positive, with a mean price target of $835.09, representing significant upside from the current trading range. The recommendation mean of 1.71 (on a scale where 1.0 is a strong buy) further underscores confidence in the stock's potential.
 **Economic Outlook:**  
 The semiconductor industry faces headwinds from escalating trade tensions, particularly with the U.S. imposing tariffs on Chinese goods and China retaliating with export controls. While these developments could disrupt global supply chains, MPS's China-centric business model positions it to mitigate some of these risks. Additionally, the company's diversified product portfolio and focus on high-growth markets such as automotive and industrial applications provide resilience against macroeconomic uncertainties.
 The broader economic environment, marked by slowing GDP growth and rising jobless claims, may weigh on consumer and business spending. However, the secular demand for semiconductors, driven by trends like AI, electrification, and automation, remains a long-term tailwind for MPS.
 **Summary:**  
 **Thesis:** Monolithic Power Systems is well-positioned to capitalize on strong semiconductor demand despite geopolitical and economic challenges. Its robust financials, high profitability, and strategic focus on growth markets provide a solid foundation for long-term value creation.  
 **Edge:** The company's China-centric business model and diversified product offerings give it a competitive advantage in navigating trade uncertainties and capturing market opportunities.  
 **Risk:** Escalating trade tensions and potential disruptions to global supply chains could impact revenue growth and margins, particularly if geopolitical risks intensify.
 **Score: 85**</t>
  </si>
  <si>
    <t>**Investment Report: Merck &amp; Co.**
 **Recent News:**  
 Merck &amp; Co. has experienced an 8% decline in its stock price over the past month, reflecting broader market volatility and potential investor concerns about short-term headwinds. However, the company continues to demonstrate strength in its oncology franchise, with Q4 2024 results exceeding Wall Street expectations. Keytruda, Merck's flagship oncology drug, saw an 18.6% year-over-year sales increase, driven by label expansions and robust demand. Additionally, Merck's plans to expand its workforce in India signal a strategic focus on global growth and operational efficiency, particularly in emerging markets.
 **Financials:**  
 Merck's financial performance remains solid, with a trailing price-to-earnings (P/E) ratio of 13.82 and a forward P/E of 9.91, indicating attractive valuation levels relative to its historical averages and the broader market. The company boasts strong profitability metrics, including a return on equity (ROE) of 40.79% and gross margins of 77.1%. Merck's dividend yield of 3.51% is above its five-year average of 2.93%, providing a stable income stream for investors. The firm's free cash flow of $17.83 billion and operating cash flow of $21.47 billion highlight its ability to fund growth initiatives and shareholder returns. However, a debt-to-equity ratio of 82.53% suggests a moderately leveraged balance sheet, which warrants monitoring in a rising interest rate environment.
 **Valuations:**  
 Merck's current stock price of approximately $92.25 is trading near its 52-week low of $81.04, significantly below its 52-week high of $134.63. The price-to-book ratio of 5.08 and price-to-sales ratio of 3.67 suggest the stock is undervalued compared to its historical performance and peers in the pharmaceuticals industry. Analysts maintain a positive outlook, with a mean target price of $112.78, representing a potential upside of over 22%. The recommendation mean of 1.92 (on a scale where 1.0 is a "strong buy") underscores continued confidence in the company's long-term prospects.
 **Economic Outlook:**  
 The broader economic environment presents challenges, including slowing GDP growth and heightened market volatility due to geopolitical tensions and trade uncertainties. However, Merck's defensive business model, underpinned by its focus on essential healthcare products, positions it well to weather economic downturns. The company's oncology portfolio, particularly Keytruda, remains a key growth driver, supported by ongoing label expansions and increasing global demand for cancer treatments. Additionally, Merck's strategic investments in emerging markets, such as India, align with long-term demographic and healthcare trends.
 **Summary of Thesis, Edge, and Risk:**  
 Merck's strong oncology franchise, robust cash flow generation, and attractive valuation provide a compelling investment thesis. The company's edge lies in its leadership in oncology, particularly with Keytruda, and its ability to capitalize on global growth opportunities. However, risks include potential pricing pressures, regulatory challenges, and macroeconomic headwinds, such as rising interest rates and trade disruptions.
 **Score: 85**</t>
  </si>
  <si>
    <t>NSC</t>
  </si>
  <si>
    <t>**Investment Report: Norfolk Southern Railway**
 **Recent News:**  
 Norfolk Southern Railway has been highlighted as an undervalued dividend stock with strong potential for growth. The company has delivered a 19% total return since the last analysis, driven by volume growth and productivity improvements. These factors are expected to support solid growth in 2025 and beyond. Additionally, Norfolk Southern's debt-to-capitalization ratio saw meaningful improvement in 2024, signaling better financial health and operational efficiency.
 **Financials:**  
 Norfolk Southern's financial metrics reflect a stable and improving position. The company has a market capitalization of $55.5 billion and a trailing P/E ratio of 21.19, with a forward P/E of 18.05, indicating expectations of earnings growth. The dividend yield of 2.2% is slightly above its five-year average of 2.0%, supported by a sustainable payout ratio of 46.67%. The company’s return on equity (ROE) of 19.36% and return on assets (ROA) of 6.88% demonstrate efficient use of capital. However, revenue growth has been slightly negative at -1.6%, reflecting broader economic challenges in the rail transportation sector.
 The company’s debt-to-equity ratio of 125.91% is relatively high, but the improvement in its debt-to-capitalization ratio suggests progress in managing leverage. Norfolk Southern's free cash flow of $343.5 million and operating cash flow of $4.05 billion provide a solid foundation for continued dividend payments and reinvestment in operations.
 **Valuations:**  
 Norfolk Southern's price-to-book ratio of 3.88 and price-to-sales ratio of 4.58 indicate a premium valuation compared to some peers, but this is justified by its strong profitability metrics, including gross margins and EBITDA margins of 49.92%. The trailing PEG ratio of 1.15 suggests the stock is reasonably priced relative to its growth prospects. Analyst sentiment remains positive, with a mean price target of $276.66, representing a potential upside from the current price of $245.75.
 **Economic Outlook:**  
 The rail transportation industry faces headwinds from macroeconomic uncertainties, including slowing GDP growth and trade tensions. However, Norfolk Southern is well-positioned to benefit from a potential recovery in industrial activity and increased demand for freight services. The company’s focus on productivity gains and operational efficiency should help mitigate the impact of economic challenges. Additionally, its exposure to diverse cargo types provides some insulation from sector-specific risks.
 **Summary of Thesis, Edge, and Risk:**  
 Norfolk Southern offers a compelling investment case as an undervalued dividend stock with strong operational efficiency and improving financial health. Its focus on productivity and volume growth positions it well for long-term success. The company’s edge lies in its ability to generate consistent cash flows and maintain high profitability margins. However, risks include macroeconomic uncertainties, high leverage, and potential disruptions from trade policies or economic slowdowns.
 **Score: 85**</t>
  </si>
  <si>
    <t>OMC</t>
  </si>
  <si>
    <t>**Investment Report: Omnicom Group Inc.**
 **Recent News:**  
 Omnicom Group Inc. has recently completed the acquisition of Interpublic Group, a strategic move aimed at enhancing its data and technology capabilities. This acquisition is expected to generate substantial cost synergies and cross-selling opportunities, positioning Omnicom to better compete in the evolving advertising landscape. The company has also secured significant new business wins, including Amazon and Unilever, which highlight its ability to attract high-profile clients. Despite these positive developments, the stock remains undervalued, with a price-to-earnings (P/E) ratio significantly below its historical average, presenting a potential opportunity for long-term value investors.
 **Financials:**  
 Omnicom's financial performance remains robust, with 5.2% organic revenue growth and strong profitability metrics. The company reported a trailing P/E of 10.82 and a forward P/E of 9.34, both of which are below industry averages, indicating potential undervaluation. Its dividend yield of 3.38% is attractive, supported by a sustainable payout ratio of 37.53%. Omnicom's return on equity (ROE) of 32.08% and return on assets (ROA) of 4.98% demonstrate efficient capital utilization. However, the company's debt-to-equity ratio of 139.08% suggests a relatively high leverage position, which could pose risks in a rising interest rate environment.
 **Valuations:**  
 Omnicom's current stock price of $80.08 is near its 52-week low of $80.08, significantly below its 52-week high of $107.00. The stock's price-to-book ratio of 3.78 and price-to-sales ratio of 1.01 further underscore its undervaluation relative to peers. Analysts have a median price target of $116.00, representing substantial upside potential from current levels. The company's enterprise value-to-EBITDA ratio of 7.98 is reasonable, reflecting a fair valuation for its earnings power.
 **Economic Outlook:**  
 The broader economic environment presents mixed signals for Omnicom. While the advertising industry is sensitive to economic cycles, Omnicom's diversified client base and focus on data-driven marketing provide some insulation against macroeconomic headwinds. However, the recent escalation in trade tensions and tariffs could indirectly impact client spending, particularly in sectors exposed to global supply chains. Additionally, rising interest rates and slowing GDP growth may weigh on consumer and corporate confidence, potentially affecting advertising budgets.
 **Summary:**  
 **Thesis:** Omnicom's acquisition of Interpublic Group and its strong financial performance position it well for long-term growth. The stock's undervaluation and attractive dividend yield provide a compelling case for investment.  
 **Edge:** The company's focus on data and technology, combined with its ability to secure high-profile clients, differentiates it from competitors.  
 **Risk:** High leverage and potential macroeconomic headwinds, including trade tensions and slowing growth, could impact performance.
 **Score: 85**</t>
  </si>
  <si>
    <t>**Investment Report: Linde plc**
 **Recent News:**  
 Linde plc has not been featured in recent news, indicating a stable operational environment without significant disruptions or announcements. This lack of news suggests that the company is maintaining its steady course, which aligns with its reputation as a leader in the industrial gases industry. However, the absence of updates also means there are no immediate catalysts for significant stock movement in the short term.
 **Financials:**  
 Linde's financial performance reflects a robust and well-managed business. The company boasts a market capitalization of $218.6 billion, supported by strong profit margins of 19.89% and EBITDA margins of 38.38%. Its trailing price-to-earnings (P/E) ratio of 33.89 and forward P/E of 27.27 indicate a premium valuation, which is typical for a market leader with consistent earnings growth. The company has demonstrated earnings growth of 13.9% and quarterly growth of 11.8%, showcasing its ability to generate shareholder value even in challenging economic conditions.
 Linde's dividend yield of 1.28% is slightly below its five-year average of 1.38%, reflecting a focus on reinvesting earnings for growth. The payout ratio of 40.82% suggests a sustainable dividend policy. Additionally, the company has a strong return on equity (ROE) of 16.72%, highlighting efficient use of shareholder capital.
 On the balance sheet, Linde's debt-to-equity ratio of 57.26% is manageable, though its quick ratio of 0.68 and current ratio of 0.89 indicate limited short-term liquidity. The company generates significant operating cash flow of $9.42 billion and free cash flow of $3.08 billion, which supports its ability to service debt and fund growth initiatives.
 **Valuations:**  
 Linde's stock is trading near the upper end of its 52-week range, with a recent close of $467.05 compared to a high of $487.49. The price-to-book ratio of 5.74 reflects a premium valuation, consistent with its industry leadership and strong fundamentals. Analysts have a mean target price of $496.05, suggesting moderate upside potential of approximately 6.2%. The recommendation mean of 1.93 (on a scale where 1.0 is a strong buy) indicates a favorable consensus among analysts.
 The company's enterprise value-to-revenue ratio of 7.20 and enterprise value-to-EBITDA ratio of 18.77 suggest that the market is pricing in Linde's strong profitability and growth prospects. However, these metrics also imply that the stock may be vulnerable to broader market corrections or sector-specific headwinds.
 **Economic Outlook:**  
 The industrial gases industry is relatively insulated from short-term economic volatility due to its essential role in various sectors, including healthcare, manufacturing, and energy. However, the broader macroeconomic environment presents challenges. The U.S. economy is showing signs of deceleration, with GDP contraction expected in Q1 2025 and rising jobless claims. Trade tensions, particularly the imposition of tariffs on key trading partners, could indirectly impact Linde's operations if global supply chains are disrupted or if industrial activity slows.
 Despite these headwinds, Linde's diversified global operations and exposure to resilient end markets position it well to weather economic uncertainty. The company's focus on innovation and sustainability, including investments in clean energy and hydrogen technologies, aligns with long-term industry trends and regulatory shifts.
 **Summary of Thesis, Edge, and Risk:**  
 Linde plc represents a high-quality investment in the industrial gases sector, supported by strong financial performance, consistent earnings growth, and a leadership position in essential markets. Its premium valuation reflects investor confidence in its ability to deliver long-term value. The company's edge lies in its scale, operational efficiency, and focus on innovation, particularly in clean energy solutions. However, risks include its high valuation, limited short-term liquidity, and potential exposure to macroeconomic headwinds such as trade tensions and slowing industrial activity.
 **Score: 85**</t>
  </si>
  <si>
    <t>PEP</t>
  </si>
  <si>
    <t>**Investment Report: PepsiCo (PEP)**
 **Recent News:**  
 PepsiCo has garnered attention as a compelling investment opportunity following a 22% pullback from its 2023 high. Analysts highlight its strong dividend yield and undervaluation relative to historical performance. The company remains a leader in the non-alcoholic beverage and snack food industry, benefiting from its diversified product portfolio and global reach. Despite broader market volatility, PepsiCo's defensive characteristics and consistent cash flow generation make it an attractive option for income-focused investors.
 **Financials:**  
 PepsiCo's financial metrics reflect a stable and mature business. The company offers a robust dividend yield of 3.53%, significantly above its five-year average of 2.8%, supported by a sustainable payout ratio of 76.69%. Its trailing price-to-earnings (P/E) ratio of 22.44 and forward P/E of 18.08 suggest a reasonable valuation, particularly given its earnings growth of 17% in the most recent quarter. PepsiCo's gross margins of 54.89% and operating margins of 10.64% underscore its ability to maintain profitability despite economic headwinds. However, revenue growth has slightly declined (-0.2%), reflecting potential challenges in maintaining top-line expansion.
 The company's balance sheet shows a high debt-to-equity ratio of 262.79, which may raise concerns about leverage. However, PepsiCo's strong operating cash flow of $12.5 billion and free cash flow of $6.9 billion provide ample liquidity to service its debt and sustain dividend payments. The beta of 0.53 indicates lower volatility compared to the broader market, reinforcing its defensive appeal.
 **Valuations:**  
 PepsiCo's current price-to-book ratio of 11.86 and enterprise value-to-revenue ratio of 2.75 suggest a premium valuation relative to peers. However, this premium is justified by its strong brand equity, consistent profitability, and ability to generate shareholder returns. The stock is trading near its 50-day average of $149.14, indicating potential stabilization after its recent pullback. Analyst price targets range from $124 to $185, with a median target of $167.50, implying moderate upside from current levels.
 **Economic Outlook:**  
 The broader economic environment presents mixed implications for PepsiCo. Rising tariffs and trade tensions could increase input costs, particularly for raw materials and packaging. However, PepsiCo's pricing power and diversified supply chain mitigate these risks. The company's focus on innovation and healthier product offerings aligns with shifting consumer preferences, providing a long-term growth catalyst. Additionally, its defensive nature positions it well to weather potential economic slowdowns, as demand for its products tends to remain stable during recessions.
 **Summary:**  
 PepsiCo's investment thesis is underpinned by its strong dividend yield, stable cash flows, and defensive characteristics. Its edge lies in its diversified product portfolio, global presence, and ability to adapt to changing consumer trends. However, risks include high leverage and potential margin pressures from rising input costs and trade disruptions.  
 **Score: 85**</t>
  </si>
  <si>
    <t>**Investment Report: ConocoPhillips**
 **Recent News:**  
 ConocoPhillips has demonstrated a strong commitment to shareholder value through its $10 billion return plan, which includes dividends and share buybacks. The company’s strategic acquisitions and the upcoming Willow project in Alaska position it as a leading U.S. shale producer with significant growth potential. Analysts have highlighted the stock as undervalued, with a potential 25% upside to $128, driven by its robust Q4 2024 performance and operational efficiency. These developments underscore ConocoPhillips' ability to navigate a challenging macroeconomic environment while maintaining a focus on long-term growth.
 **Financials:**  
 ConocoPhillips' financial metrics reflect a solid foundation. The company has a trailing P/E ratio of 11.86 and a forward P/E of 11.54, indicating a reasonable valuation relative to its earnings. Its dividend yield of 3.15% is above its five-year average of 2.69%, making it attractive for income-focused investors. The company maintains a healthy balance sheet with a debt-to-equity ratio of 39.12 and a quick ratio of 1.056, suggesting it can comfortably meet short-term obligations. However, earnings and revenue growth have faced headwinds, with quarterly earnings growth down 23.3% and revenue growth declining by 3.1%. Despite these challenges, ConocoPhillips generated $6.67 billion in free cash flow, highlighting its operational efficiency and ability to fund shareholder returns.
 **Valuations:**  
 The stock is trading at a price-to-book ratio of 1.82, which is relatively low for the industry, suggesting it may be undervalued. Its enterprise value-to-revenue ratio of 2.43 and enterprise value-to-EBITDA ratio of 5.64 further support the case for a reasonable valuation. Analysts have a median price target of $128, with a high target of $165, reflecting optimism about the company’s future prospects. The stock’s recent dip to a 52-week low of $91.57 could present a buying opportunity for long-term investors.
 **Economic Outlook:**  
 The broader economic environment presents both challenges and opportunities for ConocoPhillips. The recent escalation in trade tensions, including tariffs on steel and aluminum, could impact input costs for energy infrastructure. However, the company’s focus on U.S. shale production and the Willow project positions it to benefit from domestic energy demand and potential geopolitical shifts in energy markets. Additionally, the Federal Reserve’s efforts to control inflation and stabilize the economy could create a more favorable environment for energy companies in the medium term.
 **Summary:**  
 ConocoPhillips stands out as a well-positioned player in the oil and gas sector, supported by strong shareholder returns, strategic growth initiatives, and a solid financial foundation. Its undervaluation relative to peers and potential upside make it an attractive prospect. However, risks include declining earnings growth and potential macroeconomic headwinds from trade policies and global energy market volatility.
 **Score: 85**</t>
  </si>
  <si>
    <t>INTU</t>
  </si>
  <si>
    <t>**Investment Report: Intuit (INTU)**
 **Recent News:**  
 Intuit has demonstrated strong performance, with its Q2 earnings surpassing expectations. The company reported earnings of $3.32 per share, significantly beating the Zacks Consensus Estimate of $2.58. Revenue grew by 17% year-over-year, driven by AI-driven automation and innovations such as QuickBooks Live and TurboTax integration with Credit Karma. These advancements have enhanced customer retention and operational efficiency, positioning Intuit as a leader in the financial software space. Analysts have responded positively, with Piper Sandler raising its price target to $785 and maintaining an Overweight rating. Intuit's forecast for Q3 revenue above Wall Street expectations further underscores its growth trajectory. However, the company faces risks from evolving technologies and increasing competition, which could pressure its market share in the long term.
 **Financials:**  
 Intuit's financial performance reflects robust fundamentals. The company boasts a market capitalization of $168 billion and a trailing P/E ratio of 56.28, indicating a premium valuation. Its forward P/E of 27.04 suggests expectations of continued earnings growth. Intuit's profit margins are strong, with a gross margin of 79.82% and operating margins of 15.70%. Free cash flow of $4.62 billion and operating cash flow of $5.79 billion highlight its ability to generate substantial liquidity. Despite a slight decline in earnings growth (-18.5%), revenue growth remains healthy at 41%. The company's dividend yield of 0.68% is modest but consistent with its focus on reinvestment for growth. Intuit's balance sheet shows a current ratio of 1.27, indicating adequate short-term liquidity, though its quick ratio of 0.50 suggests reliance on inventory or receivables.
 **Valuations:**  
 Intuit's valuation metrics reflect its premium positioning in the application software industry. Its price-to-sales ratio of 9.79 and price-to-book ratio of 9.37 are higher than industry averages, justified by its strong revenue growth and high switching costs for customers. The company's trailing PEG ratio of 2.15 suggests that its growth is priced into the stock, but its forward PEG ratio may improve as AI-driven initiatives continue to drive revenue. Analyst sentiment remains positive, with a mean price target of $710.67, representing potential upside from its current price of $613.84. However, the stock's beta of 1.27 indicates higher volatility compared to the broader market.
 **Economic Outlook:**  
 The broader economic environment presents mixed signals for Intuit. While the U.S. economy is showing signs of deceleration, Intuit's focus on small business growth and international expansion provides resilience against domestic economic headwinds. The company's AI-driven innovations align with long-term trends in automation and digital transformation, which are expected to remain strong growth drivers. However, potential risks from trade tensions and tariff impacts on small businesses could indirectly affect demand for Intuit's products. Additionally, rising competition in the AI and financial software space could pressure margins and market share.
 **Summary:**  
 Intuit's thesis is supported by its strong financial performance, innovative AI-driven products, and significant total addressable market in small business and international markets. Its edge lies in its comprehensive ecosystem and high customer switching costs, which enhance retention and revenue stability. Risks include evolving technologies, increasing competition, and potential macroeconomic pressures on small businesses.  
 **Score: 85**</t>
  </si>
  <si>
    <t>**Investment Report: Advanced Micro Devices (AMD)**
 **Recent News:**  
 Advanced Micro Devices (AMD) has recently seen its stock price decline to a 52-week low, reflecting broader market volatility and sector-specific pressures. Despite this, the company’s data center segment, particularly its EPYC processors and Instinct GPUs, continues to outperform competitors like Nvidia. This segment is expected to drive significant growth as demand for AI accelerators and high-performance computing solutions scales. Analysts suggest that the market may be undervaluing AMD's growth potential, as its current valuation does not fully account for its robust data center performance and expanding AI-related opportunities. The stock's high trailing P/E ratio has raised concerns, but its forward P/E of 19.26 indicates expectations of strong earnings growth in the near future.
 **Financials:**  
 AMD's financial health remains solid, with a market capitalization of $159.18 billion and a strong cash position of $5.13 billion. The company has a manageable debt load of $2.32 billion, resulting in a low debt-to-equity ratio of 4.03. AMD's gross margins of 53.02% and operating margins of 13.80% highlight its ability to generate profitability despite competitive pressures. Free cash flow of $3.51 billion further underscores its financial stability and capacity to reinvest in growth initiatives. However, earnings growth has been negative (-29.7%) in the most recent quarter, reflecting short-term challenges. Revenue growth of 24.2% year-over-year demonstrates the company’s ability to expand its top line, driven by strong demand in its core markets.
 **Valuations:**  
 AMD's trailing P/E ratio of 98.23 appears elevated, but its forward P/E of 19.26 suggests significant earnings growth is anticipated. The price-to-book ratio of 2.77 and price-to-sales ratio of 6.17 indicate that the stock is trading at a premium compared to some peers, but this may be justified by its growth potential in the AI and data center markets. Analysts have a median price target of $140, representing a substantial upside from current levels, with a high target of $225. The recommendation mean of 1.82 (on a scale where 1.0 is a strong buy) reflects strong analyst confidence in the stock.
 **Economic Outlook:**  
 The broader economic environment presents mixed signals for AMD. The U.S. economy is showing signs of deceleration, with GDP contraction expected in Q1 2025 and rising jobless claims. Trade tensions, particularly with China, could impact AMD's supply chain and cost structure, as tariffs on semiconductor components and related goods may increase. However, the company’s focus on high-growth areas like AI accelerators and data centers positions it well to weather macroeconomic challenges. Additionally, AMD's relatively low exposure to consumer-facing markets may shield it from weaker consumer confidence.
 **Summary of Thesis, Edge, and Risk:**  
 AMD's growth thesis is centered on its leadership in data center and AI accelerator markets, which are expected to drive significant revenue and profit growth. Its edge lies in its competitive product offerings, particularly EPYC processors and Instinct GPUs, which are gaining traction against Nvidia. The primary risk is the broader economic slowdown and potential supply chain disruptions due to trade tensions, which could pressure margins and delay growth initiatives.
 **Score: 85**</t>
  </si>
  <si>
    <t>**Investment Report: American Tower Corporation**
 **Recent News:**  
 American Tower Corporation has demonstrated robust financial performance in Q4 2024, with revenues and funds from operations (FFO) surpassing analyst expectations. This growth was primarily driven by its property and service operations segments, reflecting the company's ability to capitalize on its core business strengths. The stock has rebounded by 6.1% following a prior 10.5% decline since October 2024, signaling renewed investor confidence. The new management team has delivered on its promises of organic growth, improved profit margins, and a healthier balance sheet, which has bolstered its FY2025 guidance. Additionally, the company plans to invest $1.7 billion in capital expenditures for 2025, with $600 million allocated to data center campuses, a strategic move to diversify and strengthen its growth avenues. The announcement of a 4.9% dividend hike further underscores management's confidence in the company's cash flow stability and long-term prospects.
 **Financials:**  
 American Tower's financial metrics reflect a solid operational foundation. The company reported a trailing P/E ratio of 30.33 and a forward P/E of 30.87, indicating a valuation premium typical for high-quality REITs with stable cash flows. Its dividend yield of 3.15% is above its five-year average of 2.51%, making it attractive for income-focused investors. The company maintains strong profitability metrics, with gross margins of 74.58% and EBITDA margins of 65.54%, showcasing its operational efficiency. However, its debt-to-equity ratio of 455.54% highlights a highly leveraged balance sheet, a common characteristic in the REIT sector, though manageable given its consistent free cash flow of $4.38 billion. Revenue growth has been slightly negative year-over-year (-8.6%), but earnings growth of 13.39% reflects cost management and operational improvements.
 **Valuations:**  
 American Tower's price-to-sales ratio of 9.68 and price-to-book ratio of 28.97 suggest a premium valuation compared to peers. However, this is justified by its strong market position, high-quality assets, and consistent cash flow generation. Analysts have a mean target price of $228.20, representing a potential upside from its current price of approximately $210. The company's trailing PEG ratio of 1.33 indicates a reasonable valuation relative to its growth prospects, particularly in the context of its strategic investments in data centers and dividend growth.
 **Economic Outlook:**  
 The broader economic environment presents mixed signals for American Tower. The U.S. economy is showing signs of deceleration, with GDP expected to contract in Q1 2025. Rising tariffs and trade tensions could impact consumer and business sentiment, potentially affecting demand for telecom infrastructure. However, the company's focus on data centers aligns with the growing demand for digital infrastructure, a secular growth trend that could offset macroeconomic headwinds. Elevated interest rates remain a concern for REITs due to their reliance on debt financing, but American Tower's strong cash flow and operational efficiency provide a buffer against rising borrowing costs.
 **Summary:**  
 American Tower's investment thesis is supported by its strong operational performance, strategic investments in growth areas like data centers, and a commitment to shareholder returns through dividend increases. Its edge lies in its dominant market position and ability to adapt to evolving industry trends. However, risks include its high leverage, potential macroeconomic headwinds, and sensitivity to interest rate fluctuations.
 **Score: 85**</t>
  </si>
  <si>
    <t>**Investment Report: General Dynamics Corporation**
 **Recent News:**  
 General Dynamics has secured a contract modification to support Virginia-class submarines, encompassing lead yard support, development studies, and design efforts. This development underscores the company's strong position in the defense sector, particularly in naval systems, which remains a critical area of focus for U.S. military modernization. The announcement aligns with the company's positive market performance, as its stock rose by 0.95% to $251.62. This contract further solidifies General Dynamics' role as a key supplier to the U.S. Navy, providing a stable revenue stream and reinforcing its competitive edge in the defense industry. Despite broader concerns about potential defense spending cuts, this contract highlights the resilience of high-priority defense programs, which are less likely to face significant reductions.
 **Financials:**  
 General Dynamics reported robust financial results for FY2024, with $47.7 billion in revenue and $4.8 billion in operating earnings, reflecting a 14.3% year-over-year revenue growth. The Aerospace division, driven by strong demand for Gulfstream jets, contributed significantly to this performance. The company maintains a healthy profit margin of 7.93% and a return on equity of 17.44%, indicating efficient capital utilization. With a forward P/E ratio of 15.8, the stock appears attractively valued compared to its historical averages and peers in the Aerospace &amp; Defense sector. Additionally, the company offers a solid dividend yield of 2.25%, supported by a manageable payout ratio of 41.7%, making it appealing to income-focused investors.
 General Dynamics' balance sheet remains strong, with $1.7 billion in cash and a debt-to-equity ratio of 48.4%, which is reasonable for a capital-intensive industry. The company generated $2.3 billion in free cash flow, providing flexibility for reinvestment, debt servicing, and shareholder returns. However, the quick ratio of 0.73 suggests limited short-term liquidity, which warrants monitoring in the context of potential economic headwinds.
 **Valuations:**  
 The stock is trading at a price-to-book ratio of 3.11 and a trailing P/E of 18.6, which are reasonable given its consistent earnings growth and strong market position. Analysts have a median price target of $284.50, representing a potential upside of approximately 13% from the current price. The trailing PEG ratio of 1.91 indicates that the stock is fairly valued relative to its growth prospects. While the stock has underperformed the S&amp;P 500 over the past year, declining 7.7%, this may present an opportunity for long-term investors to acquire shares at a discount.
 **Economic Outlook:**  
 The broader economic environment presents mixed signals for General Dynamics. On one hand, the U.S. economy is showing signs of deceleration, with GDP expected to contract by 1.5% in Q1 2025. Rising jobless claims and weakening consumer confidence could weigh on market sentiment. On the other hand, defense spending remains a priority for the U.S. government, particularly in areas like naval modernization and aerospace, which are core to General Dynamics' business. The company's diversified portfolio and strong backlog position it well to weather potential economic turbulence. However, the risk of defense budget cuts under the current administration could pose a challenge, particularly for non-essential programs.
 **Summary of Thesis, Edge, and Risk:**  
 General Dynamics benefits from a strong competitive position in the defense sector, supported by a robust backlog and high-priority contracts like the Virginia-class submarine program. Its diversified revenue streams, solid financial performance, and attractive valuation provide a compelling investment case. The company's ability to generate consistent free cash flow and maintain a healthy dividend yield further enhances its appeal. However, risks include potential defense spending cuts, cyclical pressures in the Aerospace segment, and broader economic uncertainties that could impact investor sentiment.
 **Score: 85**</t>
  </si>
  <si>
    <t>**Investment Report: Gilead Sciences**
 **Recent News:**  
 Gilead Sciences has allocated $200 million to address a federal investigation into its promotional speakers program for HIV drugs. While this legal issue introduces some uncertainty, it has not dampened investor sentiment significantly. The company's HIV drug franchise, particularly Biktarvy, continues to drive strong financial performance, with a 21.4% year-over-year sales increase to $3.77 billion. This growth has contributed to a 40% rally in Gilead's stock, reflecting robust demand and market confidence in its core product portfolio. Analysts remain optimistic, suggesting that the legal matter is unlikely to materially impact the company's long-term trajectory.
 **Financials:**  
 Gilead's financial metrics highlight its strong operational performance. The company reported total revenue of $28.75 billion, with a revenue growth rate of 6.4% year-over-year. Gross margins are impressive at 78.26%, and operating margins stand at 33.36%, indicating efficient cost management. The company also boasts a healthy free cash flow of $8.03 billion, supporting its ability to invest in growth initiatives and maintain its dividend payouts. Gilead's forward price-to-earnings (P/E) ratio of 15.61 suggests a reasonable valuation relative to its earnings growth potential, while its trailing P/E of 305.24 reflects one-time charges or non-recurring items impacting recent earnings. The dividend yield of 2.76% and a payout ratio of 8.1% further enhance its appeal to income-focused investors.
 However, the company's debt-to-equity ratio of 144.16% indicates a high level of leverage, which could pose risks in a rising interest rate environment. Despite this, Gilead's quick ratio of 1.20 and current ratio of 1.50 suggest adequate liquidity to meet short-term obligations.
 **Valuations:**  
 Gilead's stock is trading near its 52-week high of $117.16, reflecting strong investor confidence. The price-to-book ratio of 7.51 is elevated, but this is typical for a company with a robust intellectual property portfolio and high-margin products. Analysts have set a target median price of $108, with a high target of $130, indicating potential for further upside. The stock's beta of 0.236 suggests low volatility, making it a relatively stable investment in a turbulent market.
 **Economic Outlook:**  
 The broader economic environment presents mixed signals for Gilead. While the U.S. economy is showing signs of deceleration, the healthcare and biotechnology sectors are generally less sensitive to macroeconomic fluctuations. Gilead's focus on essential treatments, such as HIV drugs, positions it well to weather economic slowdowns. However, the ongoing federal investigation and potential regulatory scrutiny could introduce headline risks. Additionally, rising interest rates may increase the cost of servicing its debt, though its strong cash flow provides a buffer.
 **Summary of Thesis, Edge, and Risk:**  
 Gilead Sciences benefits from a strong product portfolio, particularly in HIV treatments, which continues to drive revenue growth and market confidence. Its robust cash flow and efficient operations provide a solid foundation for navigating legal and economic challenges. The company's low beta and stable dividend yield make it an attractive option for risk-averse investors. However, high leverage and the ongoing federal investigation pose potential risks that could impact investor sentiment in the short term.
 **Score: 85**</t>
  </si>
  <si>
    <t>**Investment Report: Honeywell International Inc. (HON)**
 **Recent News:**  
 Honeywell's announcement of a planned business split has drawn comparisons to General Electric's successful restructuring, which unlocked significant shareholder value. The split aims to simplify Honeywell's valuation and focus on its core segments: aerospace and automation. Both segments are poised for strong growth, supported by increasing demand for automation technologies and aerospace recovery post-pandemic. The company's forward P/E ratio of 20.48x, below its historical range of 22–30x, suggests potential undervaluation, making the stock an attractive candidate for long-term growth.
 **Financials:**  
 Honeywell's financial performance reflects a stable and profitable business. The company has a market capitalization of $137.8 billion and a forward P/E of 19.26, indicating a reasonable valuation relative to its earnings growth potential. Its dividend yield of 2.12% is slightly above its five-year average of 2.01%, signaling a commitment to returning value to shareholders. Honeywell's profit margins (14.82%) and return on equity (32.24%) are robust, showcasing operational efficiency and strong shareholder returns. However, the company's debt-to-equity ratio of 168.18 is relatively high, which could pose risks in a rising interest rate environment. Free cash flow of $4.26 billion and operating cash flow of $6.1 billion provide a solid foundation for future investments and dividend sustainability.
 **Valuations:**  
 Honeywell's current price-to-book ratio of 7.40 and price-to-sales ratio of 3.58 indicate a premium valuation compared to some industrial peers. However, its forward P/E ratio of 19.26 is below its historical average, suggesting the market may not fully appreciate the growth potential from its core segments and restructuring efforts. Analysts' target prices range from $196.12 to $300, with a median target of $236, implying a potential upside from the current price of $212.89. The recommendation mean of 2.15 (buy) from 23 analysts further supports a positive outlook.
 **Economic Outlook:**  
 The broader economic environment presents both opportunities and challenges for Honeywell. The company's aerospace segment is likely to benefit from the ongoing recovery in air travel and increased defense spending. Meanwhile, its automation business is well-positioned to capitalize on the growing demand for industrial automation and digital transformation. However, macroeconomic headwinds, including potential recessionary pressures, elevated interest rates, and trade uncertainties, could weigh on industrial demand. Honeywell's high debt levels may also become a concern if borrowing costs rise further.
 **Summary of Thesis, Edge, and Risk:**  
 Honeywell's planned business split and focus on high-growth segments like aerospace and automation provide a compelling growth thesis. Its strong operational efficiency, robust cash flow, and shareholder-friendly policies offer a competitive edge. However, risks include high debt levels, potential macroeconomic headwinds, and execution challenges related to the business split.
 **Score: 85**</t>
  </si>
  <si>
    <t>LHX</t>
  </si>
  <si>
    <t>**Investment Report: L3Harris Technologies (LHX)**
 **Recent News:**  
 L3Harris Technologies has announced a 3.4% increase in its quarterly dividend payout, raising it to $1.20 per share. This marks the company's 24th consecutive annual dividend hike, reflecting its commitment to returning value to shareholders. The dividend yield now stands at 2.25%, above its five-year average of 1.98%. This move signals confidence in the company's financial stability and cash flow generation, even amid broader economic uncertainties.
 **Financials:**  
 L3Harris has demonstrated solid financial performance, with a market capitalization of $39.1 billion and a trailing price-to-earnings (P/E) ratio of 26.39. The forward P/E ratio of 14.43 suggests expectations of significant earnings growth. The company reported a net income of $1.5 billion, with earnings per share (EPS) of $7.87 trailing and $14.39 forward, indicating robust profitability. Revenue growth of 3.4% year-over-year and earnings growth of 186.7% highlight operational efficiency and resilience. The company maintains a healthy free cash flow of $2.78 billion, supporting its dividend policy and potential reinvestment opportunities.
 However, the balance sheet shows a debt-to-equity ratio of 66.3%, which is relatively high, though manageable given the company's strong cash flow. Liquidity metrics, such as a quick ratio of 0.69 and a current ratio of 1.08, suggest adequate short-term financial health but leave limited room for unexpected shocks.
 **Valuations:**  
 L3Harris is trading at a price-to-book (P/B) ratio of 2.02, which is reasonable for the Aerospace &amp; Defense sector. The stock's 52-week range of $193.09 to $265.74 indicates it is currently trading closer to its lower end, potentially offering an attractive entry point for long-term investors. Analyst sentiment remains positive, with a mean target price of $257.63, representing a 25% upside from the current price of approximately $206. The recommendation mean of 1.65 (on a scale where 1.0 is a strong buy) underscores bullish expectations.
 **Economic Outlook:**  
 The Aerospace &amp; Defense industry is poised for growth, driven by increased global defense spending and technological advancements. L3Harris, with its diversified portfolio of defense and communication technologies, is well-positioned to benefit from these trends. However, macroeconomic headwinds, including rising interest rates and geopolitical uncertainties, could weigh on the sector. Additionally, the recent pause in U.S. military aid to Ukraine may temporarily impact defense contractors, though L3Harris's broad customer base mitigates this risk.
 The company's beta of 0.74 indicates lower volatility compared to the broader market, making it a relatively stable investment in uncertain times. Its trailing PEG ratio of 0.30 suggests the stock is undervalued relative to its growth potential, further supporting its investment case.
 **Summary:**  
 **Thesis:** L3Harris's consistent dividend growth, strong cash flow, and robust earnings growth position it as a reliable player in the Aerospace &amp; Defense sector.  
 **Edge:** The company's diversified portfolio and focus on innovation provide resilience against geopolitical and economic uncertainties.  
 **Risk:** High debt levels and potential impacts from shifting U.S. defense policies could pose challenges in the near term.
 **Score: 85**</t>
  </si>
  <si>
    <t>**Investment Report: Diamondback Energy**
 **Recent News:**  
 Diamondback Energy has completed a transformative $26 billion acquisition of Endeavor, significantly enhancing its position as a leading oil producer in the Permian Basin. This acquisition nearly doubles the company's market capitalization to $46.4 billion and positions it as a dominant player in one of the most prolific oil-producing regions globally. The merger is expected to drive production growth, with Diamondback projecting output of 883,000-909,000 barrels of oil equivalent per day (BOE/d) in 2025. The company has also maintained a shareholder-friendly capital return strategy, offering a 2.5% base dividend, stock repurchases, and variable dividends. Restrictions on Endeavor owners' stock transfers until 2026 ensure stability in the shareholder base. Despite a recent pullback in stock price, analysts view the company as undervalued, citing its strong production outlook and strategic positioning.
 **Financials:**  
 Diamondback Energy's financial metrics reflect a solid operational foundation. The company trades at a trailing price-to-earnings (P/E) ratio of 9.53 and a forward P/E of 10.11, indicating a reasonable valuation relative to its earnings potential. Its dividend yield of 3.91% is competitive, supported by a payout ratio of 53.38%, which suggests sustainability. The company has a strong profit margin of 31.6% and EBITDA margins of 73.2%, highlighting its operational efficiency. However, the balance sheet shows a debt-to-equity ratio of 32.86, reflecting a significant debt load, likely due to the Endeavor acquisition. While the quick and current ratios of 0.36 and 0.44, respectively, indicate limited short-term liquidity, the company's robust operating cash flow of $6.41 billion provides a cushion.
 **Valuations:**  
 Diamondback's stock is trading at a price-to-book (P/B) ratio of 1.14, suggesting it is undervalued relative to its book value. The stock has a 52-week range of $147.70 to $214.50, with the current price near its 52-week low, potentially offering an attractive entry point. Analysts have a mean target price of $211.62, representing significant upside from the current levels. The company's enterprise value-to-EBITDA ratio of 7.49 is reasonable for the industry, reflecting its strong earnings generation capacity. However, the stock has underperformed the S&amp;P 500 over the past year, with a 52-week change of -11.72%, which may reflect broader market concerns or temporary headwinds.
 **Economic Outlook:**  
 The macroeconomic environment presents both opportunities and challenges for Diamondback Energy. Elevated oil prices, driven by geopolitical tensions and supply constraints, could benefit the company as a major oil producer. However, the global economic slowdown and potential recession in the U.S. may dampen demand for oil, creating headwinds for the industry. Additionally, President Trump's recent tariffs on Canada, Mexico, and China could indirectly impact the energy sector by increasing costs and reducing economic activity. Despite these challenges, Diamondback's focus on the Permian Basin, a low-cost production region, positions it well to weather economic uncertainties.
 **Summary of Thesis, Edge, and Risk:**  
 Diamondback Energy's acquisition of Endeavor solidifies its leadership in the Permian Basin, providing a strong growth trajectory and enhanced production capabilities. The company's shareholder-friendly policies and undervalued stock price offer a compelling investment case. However, risks include its elevated debt levels, potential macroeconomic headwinds, and exposure to oil price volatility. The company's ability to integrate Endeavor successfully and maintain operational efficiency will be critical to its long-term success.
 **Score: 85**</t>
  </si>
  <si>
    <t>**Investment Report: Arista Networks**
 **Recent News:**  
 Arista Networks has recently faced stock volatility, with a 4.99% drop following Nvidia's earnings report, which negatively impacted the broader tech sector. Despite this, the stock's pullback to its 200-day moving average suggests potential technical support, indicating a possible rebound. Arista's strong earnings and increased customer spending highlight its robust fundamentals, while its strategic expansion into AI networking and cloud infrastructure positions the company for long-term growth. The stock's movement appears to be driven more by market sentiment and sector-wide pressures than by company-specific weaknesses. Additionally, the elevated implied volatility has attracted interest in trading strategies like the Iron Condor, reflecting heightened investor attention.
 **Financials:**  
 Arista Networks demonstrates strong financial health, with a market capitalization of $108.47 billion and a profit margin of 40.73%, indicating efficient operations. The company reported revenue growth of 25.3% and earnings growth of 29.5% year-over-year, showcasing its ability to capitalize on expanding demand in its core markets. Its trailing P/E ratio of 38.57 suggests a premium valuation, but the forward P/E of 8.84 indicates expectations of significant earnings growth. The company maintains a solid balance sheet, with $8.3 billion in cash and minimal debt of $59.6 million, resulting in a strong current ratio of 4.36. Free cash flow of $2.82 billion further underscores its financial stability and capacity for reinvestment.
 **Valuations:**  
 Arista's price-to-sales ratio of 15.49 and price-to-book ratio of 10.85 reflect its premium valuation relative to peers in the communications equipment industry. However, these metrics are supported by its high return on equity (33.14%) and return on assets (15.34%), which indicate strong profitability and efficient asset utilization. Analysts maintain a positive outlook, with a mean price target of $118.22, representing a significant upside from its current trading range. The recommendation mean of 1.81 (on a scale where 1.0 is a strong buy) further highlights confidence in the stock's potential.
 **Economic Outlook:**  
 The broader economic environment presents mixed signals for Arista. The U.S. economy is showing signs of deceleration, with GDP contraction expected in Q1 2025 and rising jobless claims. However, the Federal Reserve's efforts to control inflation may stabilize the macroeconomic landscape, potentially benefiting growth-oriented companies like Arista. Trade tensions and tariffs could pose risks to supply chains and input costs, but Arista's focus on high-growth sectors like AI and cloud infrastructure may help mitigate these challenges. The recent tech sector selloff, while pressuring valuations, could create opportunities for fundamentally strong companies to outperform as market sentiment stabilizes.
 **Summary:**  
 Arista Networks' thesis is built on its strong financial performance, strategic positioning in AI networking and cloud infrastructure, and robust profitability metrics. Its edge lies in its ability to capitalize on high-growth markets while maintaining a solid balance sheet and operational efficiency. However, risks include broader economic headwinds, sector-wide volatility, and potential impacts from trade policies.  
 **Score: 85**</t>
  </si>
  <si>
    <t>WM</t>
  </si>
  <si>
    <t>**Investment Report: Waste Management (WM)**
 **Recent News:**  
 Waste Management has demonstrated robust performance, with its stock appreciating by 11% over the past six months. This growth is underpinned by strong financial results and strategic initiatives, including the $7.2 billion acquisition of Stericycle. The acquisition has already contributed to an 8% year-over-year revenue increase and a 19.4% rise in net income, reaching $2.75 billion. Management's optimistic outlook for 2025 includes a projected 16.4% revenue growth, driven by disciplined pricing, organic growth, and expansion into renewable natural gas and medical waste markets. Additionally, cost synergies from the Stericycle acquisition and automation efforts targeting $450 million in savings are expected to enhance margins. Despite broader market volatility, WM's stock has remained resilient, closing at $229.61, reflecting investor confidence in its growth trajectory and valuation potential.
 **Financials:**  
 Waste Management's financial health is solid, with a market capitalization of $94 billion and a trailing P/E ratio of 34.28, which is slightly elevated but justified by its consistent earnings growth. The forward P/E of 28.97 suggests expectations of continued profitability. The company boasts strong profit margins, with a net margin of 12.45% and EBITDA margins of 29.81%, reflecting operational efficiency. Revenue growth of 13% year-over-year and earnings growth of 21.4% highlight its ability to capitalize on market opportunities. However, the company's debt-to-equity ratio of 302.16% indicates a high leverage level, which could pose risks in a rising interest rate environment. Free cash flow of $1.37 billion and operating cash flow of $5.39 billion provide a cushion for debt servicing and future investments.
 **Valuations:**  
 WM's stock is trading at a price-to-book ratio of 11.37, significantly above the industry average, reflecting its premium valuation. The price-to-sales ratio of 4.26 is also on the higher side, but this is supported by its strong revenue growth and profitability. Analysts have a median price target of $236, suggesting limited upside in the near term, though the high target of $262 indicates potential for further gains if growth projections are met. The dividend yield of 1.42% is slightly below its five-year average of 1.61%, but the payout ratio of 44.05% indicates room for future dividend increases.
 **Economic Outlook:**  
 The broader economic environment presents mixed signals for Waste Management. While the U.S. economy is showing signs of deceleration, the company's focus on essential services like waste management and renewable energy positions it as a defensive play. The recent tariffs and trade tensions may have limited direct impact on WM, as its operations are largely domestic. However, rising interest rates and potential economic slowdown could pressure its highly leveraged balance sheet. On the positive side, the company's investments in automation and renewable energy align with long-term sustainability trends, providing a competitive edge in a shifting regulatory and consumer landscape.
 **Summary of Thesis, Edge, and Risk:**  
 Waste Management's strong financial performance, strategic acquisitions, and focus on high-growth areas like renewable natural gas and medical waste provide a compelling growth story. Its ability to generate consistent cash flow and achieve cost synergies from the Stericycle acquisition enhances its competitive position. However, risks include its high leverage, which could be a concern in a rising interest rate environment, and its premium valuation, which may limit near-term upside. The company's defensive nature and alignment with sustainability trends offer resilience in uncertain economic conditions.
 **Score: 85**</t>
  </si>
  <si>
    <t>LH</t>
  </si>
  <si>
    <t>**Investment Report: LabCorp (LH)**
 **Recent News:**  
 LabCorp has been highlighted as a strong value stock by Zacks Style Scores, emphasizing its potential appeal to value-oriented investors. This recognition stems from its robust financial metrics and favorable valuation ratios, which position it as an attractive option in the healthcare services sector. The company's consistent performance and strategic positioning in a growing industry further bolster its reputation as a reliable investment.
 **Financials:**  
 LabCorp's financial health reflects a solid foundation. The company has a market capitalization of $21.26 billion and a trailing price-to-earnings (P/E) ratio of 28.74, with a forward P/E of 15.86, indicating expectations of significant earnings growth. Its dividend yield of 1.15% and a payout ratio of 32.58% suggest a sustainable dividend policy, supported by strong cash flows. The firm’s revenue growth of 9.8% year-over-year and gross margins of 27.86% highlight its operational efficiency and ability to capitalize on market opportunities. Additionally, LabCorp's return on equity (ROE) of 9.36% and return on assets (ROA) of 4.05% demonstrate effective management of shareholder capital and assets.
 The company’s balance sheet shows a debt-to-equity ratio of 91.11%, which is relatively high but manageable given its strong operating cash flow of $1.59 billion and free cash flow of $885.66 million. LabCorp’s quick ratio of 1.09 and current ratio of 1.44 indicate adequate liquidity to meet short-term obligations.
 **Valuations:**  
 LabCorp's valuation metrics suggest it is trading at a reasonable price relative to its growth potential. Its price-to-book ratio of 2.63 and price-to-sales ratio of 1.63 are competitive within the healthcare services industry. The trailing PEG ratio of 0.51 underscores its undervaluation relative to its earnings growth, making it an appealing option for long-term investors. Analyst sentiment is positive, with a mean target price of $270.65, representing a potential upside from its current trading range. The recommendation mean of 1.74 (on a scale where 1.0 is a strong buy) further supports its favorable outlook.
 **Economic Outlook:**  
 The broader economic environment presents both opportunities and challenges for LabCorp. The healthcare sector remains resilient amid economic uncertainty, driven by consistent demand for diagnostic and laboratory services. However, macroeconomic headwinds, including potential recessionary pressures and rising costs due to tariffs, could impact consumer spending and operational expenses. LabCorp’s strong cash position and operational efficiency provide a buffer against these risks, while its focus on innovation and strategic investments positions it to capture growth in the healthcare market.
 **Summary:**  
 **Thesis:** LabCorp is a fundamentally strong company with attractive valuation metrics, robust cash flows, and consistent revenue growth, making it a compelling value stock in the healthcare services industry.  
 **Edge:** Its operational efficiency, sustainable dividend policy, and favorable analyst sentiment provide a competitive advantage.  
 **Risk:** Elevated debt levels and potential macroeconomic challenges, such as rising costs and economic slowdown, could weigh on performance.
 **Score: 85**</t>
  </si>
  <si>
    <t>**Investment Report: McKesson Corporation (MCK)**
 **Recent News:**  
 McKesson Corporation has garnered significant attention recently, with its stock reaching a 52-week high of $648.47. The company operates in the healthcare distribution industry, a sector that has shown resilience amid economic uncertainty. Analysts have a favorable outlook on the stock, with a recommendation mean of 1.71 (indicating a "buy") and a target median price of $675, suggesting potential upside. However, the broader economic environment, including trade tensions and slowing GDP growth, could weigh on healthcare spending and distribution margins.
 **Financials:**  
 McKesson's financial performance reflects strong fundamentals. The company reported trailing twelve-month revenue of $344.58 billion, with revenue growth of 17.8% year-over-year. Earnings growth is robust at 57.2%, and quarterly earnings growth stands at 49.2%, signaling operational efficiency and demand resilience. The trailing P/E ratio of 29.61 is higher than the forward P/E of 17.51, indicating expectations of continued earnings growth. McKesson's profit margins remain slim at 0.82%, typical for the distribution industry, but its return on assets (5.24%) and free cash flow of $2.06 billion highlight effective capital utilization.
 The company has a manageable debt load of $9.79 billion relative to its enterprise value of $89.82 billion, and its operating cash flow of $2.48 billion provides liquidity. However, the quick ratio of 0.46 and current ratio of 0.88 suggest limited short-term liquidity, which could be a concern in a tightening credit environment.
 **Valuations:**  
 McKesson's valuation metrics are mixed. The price-to-sales ratio of 0.23 and enterprise-to-revenue ratio of 0.26 indicate the stock is undervalued relative to its revenue base. However, the price-to-book ratio is negative due to a negative book value, which may deter some investors. The trailing PEG ratio of 1.10 suggests the stock is fairly valued relative to its growth prospects. Dividend yield is modest at 0.44%, with a low payout ratio of 12.2%, indicating room for future dividend increases.
 **Economic Outlook:**  
 The macroeconomic environment presents both opportunities and risks for McKesson. Healthcare spending tends to be less cyclical, providing some insulation from economic slowdowns. However, the U.S. economy is showing signs of deceleration, with GDP projected to shrink by 1.5% in Q1 2025. Trade tensions and tariffs could disrupt supply chains and increase costs for healthcare distributors. Additionally, federal workforce reductions and weakening consumer confidence may indirectly impact healthcare demand.
 Despite these challenges, McKesson's position as a leading healthcare distributor and its ability to adapt to changing market conditions provide a competitive edge. The company's beta of 0.51 indicates lower volatility compared to the broader market, making it a relatively stable investment in uncertain times.
 **Summary:**  
 McKesson's strong revenue and earnings growth, coupled with its dominant market position, provide a solid investment thesis. Its edge lies in its scale, operational efficiency, and resilience in a defensive sector. However, risks include macroeconomic headwinds, tight liquidity ratios, and potential supply chain disruptions from trade policies.
 **Score: 85**</t>
  </si>
  <si>
    <t>**Investment Report: Alexandria Real Estate Equities (ARE)**
 **Recent News:**  
 Alexandria Real Estate Equities has been highlighted as a strong long-term investment opportunity, with analysts emphasizing its solid fundamentals and attractive valuation. Despite broader market pessimism, the company has demonstrated resilience, supported by a 6% year-over-year growth and robust leasing activity. The REIT's forward Price-to-FFO (Funds From Operations) multiple of 10.21x is considered a bargain, especially when paired with its 5%+ dividend yield. Recent earnings have also contributed to a 3.8% increase in the stock price, reflecting investor confidence in its operational performance and financial stability.
 **Financials:**  
 Alexandria Real Estate Equities maintains a strong financial position, with a market capitalization of $17.57 billion and a dividend yield of 5.16%, significantly above its five-year average of 3.32%. The REIT's payout ratio of 2.88 suggests a sustainable dividend policy. Its price-to-book ratio of 0.98 indicates the stock is trading below its book value, presenting a potential value opportunity. The company has a healthy balance sheet, with a debt-to-equity ratio of 56.93 and a current ratio of 2.58, reflecting its ability to meet short-term obligations. Additionally, its gross margins of 70.89% and EBITDA margins of 62.76% highlight operational efficiency.
 However, the firm's trailing P/E ratio of 56.39 and forward P/E of 29.51 suggest that earnings growth may need to accelerate to justify these multiples. The stock has underperformed the S&amp;P 500 over the past year, with a 52-week change of -17.61%, but this could signal a potential recovery opportunity for long-term investors.
 **Valuations:**  
 The current valuation metrics suggest that Alexandria Real Estate Equities is undervalued relative to its historical performance and peers in the Office REITs sector. The forward P/FFO multiple of 10.21x is particularly compelling, as it is below the industry average. Analysts have set a median price target of $115, representing a 12.5% upside from the current price, with a high target of $144. The stock's price-to-sales ratio of 5.62 and enterprise value-to-revenue ratio of 10.97 further support the case for undervaluation.
 **Economic Outlook:**  
 The broader economic environment presents both challenges and opportunities for Alexandria Real Estate Equities. Rising interest rates and economic deceleration could weigh on the REIT sector, as higher borrowing costs may impact profitability. However, Alexandria's low leverage and strong cash flow generation position it well to navigate these headwinds. Additionally, its focus on life sciences and technology tenants provides a degree of insulation from broader office market challenges, as these sectors continue to experience demand growth.
 The recent implementation of tariffs and geopolitical uncertainties could create volatility in the broader market, but Alexandria's specialized portfolio and long-term leases with high-quality tenants offer stability. The company's ability to maintain a high occupancy rate and consistent revenue growth underscores its resilience in uncertain economic conditions.
 **Summary:**  
 Alexandria Real Estate Equities offers a compelling investment thesis based on its strong fundamentals, attractive valuation, and focus on high-demand sectors like life sciences. Its edge lies in its robust leasing activity, operational efficiency, and sustainable dividend yield. However, risks include broader economic headwinds, rising interest rates, and potential market volatility. Despite these challenges, the company's financial strength and strategic positioning make it a solid candidate for long-term growth.
 **Score: 85**</t>
  </si>
  <si>
    <t>**Investment Report: Allstate Corporation (Property &amp; Casualty Insurance)**
 **Recent News:**  
 There have been no significant news developments for Allstate Corporation in the past week. This lack of news suggests stability in the company's operations and no immediate disruptions or catalysts impacting its business. However, the broader economic environment, including rising geopolitical tensions and trade uncertainties, could indirectly influence the insurance sector.
 **Financials:**  
 Allstate's financial performance remains robust, with a trailing price-to-earnings (P/E) ratio of 11.89 and a forward P/E of 10.62, indicating a relatively attractive valuation compared to the broader market. The company has demonstrated strong profitability, with a net income of $4.55 billion and profit margins of 7.28%. Earnings growth of 29.5% and revenue growth of 11.3% over the most recent quarter highlight its operational efficiency and ability to expand in a competitive market.
 The company offers a dividend yield of 2.01%, slightly below its five-year average of 2.39%, but with a low payout ratio of 21.66%, indicating ample room for future dividend growth. Allstate's return on equity (ROE) of 23.59% is particularly strong, reflecting effective management of shareholder capital. Additionally, the company maintains a solid free cash flow of $7.45 billion, supporting its ability to invest in growth initiatives and return value to shareholders.
 On the balance sheet, Allstate has a debt-to-equity ratio of 38.94, which is manageable given its strong cash flow generation. The company holds $5.24 billion in cash, providing liquidity to navigate potential economic headwinds. However, its quick ratio of 0.217 and current ratio of 0.391 suggest limited short-term liquidity, which is typical for insurance companies due to the nature of their liabilities.
 **Valuations:**  
 Allstate's stock is trading near its 52-week high of $209.88, reflecting investor confidence in its performance. The price-to-book (P/B) ratio of 2.75 is slightly elevated compared to historical levels but remains reasonable given the company's strong ROE and earnings growth. Analysts have a mean target price of $224.41, implying a potential upside of approximately 10% from current levels. The recommendation mean of 1.9 (on a scale where 1.0 is a strong buy) indicates a favorable outlook among analysts.
 **Economic Outlook:**  
 The broader economic environment presents mixed implications for Allstate. The U.S. economy is showing signs of deceleration, with GDP expected to contract in Q1 2025. Rising jobless claims and weakening consumer confidence could dampen demand for insurance products. However, Allstate's business model is relatively resilient to economic cycles, as insurance remains a necessity for most consumers and businesses.
 The recent increase in geopolitical tensions and trade tariffs could lead to higher claims in certain regions or industries, but Allstate's diversified portfolio and strong underwriting practices should mitigate these risks. Additionally, the Federal Reserve's restrictive monetary policy and potential rate cuts later in the year could impact investment income from Allstate's fixed-income portfolio, a key revenue source for insurers.
 **Summary:**  
 Allstate's investment thesis is supported by its strong financial performance, attractive valuation metrics, and consistent dividend payments. Its edge lies in its robust profitability, efficient capital management, and ability to generate significant free cash flow. However, risks include potential economic headwinds, limited short-term liquidity, and exposure to macroeconomic uncertainties such as trade tensions and interest rate fluctuations.
 **Score: 85**</t>
  </si>
  <si>
    <t>AIZ</t>
  </si>
  <si>
    <t>**Investment Report: Assurant Inc. (Ticker: AIZ)**
 **Recent News:**  
 Assurant has not been in the headlines over the past week, indicating a period of operational stability without any major disruptions or announcements. This lack of news suggests that the company is continuing its business as usual, which can be interpreted as a positive sign in a volatile macroeconomic environment.
 **Financials:**  
 Assurant's financial performance reflects a solid position within the multi-line insurance industry. The company’s trailing price-to-earnings (P/E) ratio of 14.51 and forward P/E of 11.71 suggest that the stock is attractively valued relative to its earnings growth potential. The firm has demonstrated earnings growth of 13.4% year-over-year, supported by revenue growth of 4.1%, which is commendable given the broader economic slowdown. 
 The company’s dividend yield of 1.54% is slightly below its five-year average of 1.82%, but the low payout ratio of 20.47% indicates ample room for future dividend increases. Assurant’s return on equity (ROE) of 15.33% is robust, reflecting efficient use of shareholder capital, while its return on assets (ROA) of 1.89% is consistent with the insurance industry’s asset-heavy model. 
 The balance sheet shows a manageable debt-to-equity ratio of 42.01%, supported by strong operating cash flow of $1.33 billion and free cash flow of $901 million. The company’s book value per share of $100.46 and price-to-book ratio of 2.09 suggest that the stock is trading at a reasonable premium to its intrinsic value.
 **Valuations:**  
 Assurant’s current price of approximately $208.63 is near its 50-day moving average of $209.81, indicating a period of price consolidation. The stock remains well below its 52-week high of $230.55, offering potential upside. Analyst price targets range from $220 to $250, with a mean target of $232.60, implying a potential upside of 11.5% from current levels. The recommendation mean of 1.83 (on a scale where 1.0 is a strong buy) reflects a favorable consensus among analysts.
 The company’s beta of 0.606 indicates lower volatility compared to the broader market, making it a relatively defensive play in uncertain economic conditions. Additionally, Assurant’s enterprise value-to-EBITDA ratio of 8.49 suggests the stock is attractively valued compared to peers in the insurance sector.
 **Economic Outlook:**  
 The broader macroeconomic environment presents both challenges and opportunities for Assurant. The U.S. economy is showing signs of deceleration, with GDP expected to contract in Q1 2025. Rising jobless claims and weakening consumer confidence could dampen demand for certain insurance products. However, Assurant’s diversified revenue streams and focus on essential insurance services provide a buffer against economic headwinds. 
 The Federal Reserve’s restrictive monetary policy and elevated interest rates could benefit Assurant’s investment portfolio, as higher rates typically improve the returns on fixed-income securities held by insurers. Additionally, the company’s low beta and strong cash flow position it well to weather market volatility and economic uncertainty.
 **Summary of Thesis, Edge, and Risk:**  
 Assurant’s strong financial fundamentals, attractive valuation metrics, and defensive characteristics make it a compelling option in the multi-line insurance industry. The company’s consistent earnings growth, robust cash flow, and manageable debt levels provide a solid foundation for long-term performance. Its low beta and diversified business model offer resilience in a challenging macroeconomic environment. However, risks include potential impacts from a slowing economy, which could affect premium growth, and broader market volatility stemming from geopolitical and trade uncertainties.
 **Score: 85**</t>
  </si>
  <si>
    <t>**Investment Report: Universal Health Services (UHS)**
 **Recent News:**  
 Universal Health Services (UHS) has demonstrated robust financial performance, with its latest quarterly earnings significantly surpassing Wall Street expectations. The reported earnings per share (EPS) of $4.92 exceeded the forecasted $4.19, driven by increased hospital admissions and patient days. This growth reflects strong operational execution and demand for healthcare services. However, rising expenses, including labor and supply costs, have partially offset these gains, highlighting ongoing cost pressures in the healthcare sector. UHS has been recognized as a top value stock, supported by its favorable valuation metrics and consistent earnings growth. Additionally, Universal Health Realty Income Trust, a related healthcare REIT, has shown stable performance, benefiting from lease escalators and the potential for lower interest rates in the future.
 **Financials:**  
 UHS exhibits strong financial health, with a trailing price-to-earnings (P/E) ratio of 10.45 and a forward P/E of 9.68, indicating an attractive valuation relative to its earnings potential. The company’s revenue growth of 11.1% and earnings growth of 56.8% underscore its ability to capitalize on increased demand for healthcare services. UHS maintains healthy profit margins, with gross margins at 42.47% and operating margins at 11.56%. The return on equity (ROE) of 17.94% reflects efficient use of shareholder capital. Despite a debt-to-equity ratio of 73.28%, the company’s operating cash flow of $2.07 billion and free cash flow of $958.5 million provide a solid foundation for managing debt obligations and funding growth initiatives. The dividend yield of 0.46% is modest but sustainable, with a low payout ratio of 4.76%.
 **Valuations:**  
 UHS is trading at a price-to-book (P/B) ratio of 1.71, which is reasonable given its strong book value of $102.59 per share. The stock’s current price of approximately $175 is well below its 52-week high of $243.25, suggesting potential upside. Analyst sentiment remains positive, with a mean target price of $230.95, representing a significant premium to the current market price. The company’s enterprise value-to-revenue ratio of 1.03 and enterprise value-to-EBITDA ratio of 7.19 further highlight its undervaluation relative to peers in the healthcare facilities industry.
 **Economic Outlook:**  
 The broader economic environment presents both opportunities and challenges for UHS. The Federal Reserve’s potential rate cuts could reduce borrowing costs, benefiting UHS’s capital-intensive operations. However, macroeconomic headwinds, including rising labor costs and potential recessionary pressures, could weigh on profitability. The healthcare sector remains relatively resilient during economic downturns, supported by consistent demand for essential services. UHS’s strong operational performance and strategic positioning in acute care hospitals and behavioral health facilities provide a competitive edge in navigating these challenges.
 **Summary:**  
 **Thesis:** UHS is well-positioned for continued growth, supported by strong earnings performance, attractive valuations, and resilient demand for healthcare services.  
 **Edge:** The company’s operational efficiency, robust cash flow generation, and undervaluation relative to peers provide a compelling investment case.  
 **Risk:** Rising labor and supply costs, along with broader economic uncertainties, could pressure margins and limit near-term upside.
 **Score: 85**</t>
  </si>
  <si>
    <t>CPRT</t>
  </si>
  <si>
    <t>**Investment Report: Copart Inc. (CPRT)**
 **Recent News:**  
 Copart Inc., a leader in online vehicle auctions, is positioned to benefit from its market leadership and strategic expansion efforts. The company's acquisition of Purple Wave, a platform specializing in heavy equipment and machinery auctions, is expected to enhance its service offerings and diversify its revenue streams. Additionally, the anticipated rise in total loss rates in the automotive insurance industry could drive increased demand for Copart's services, as insurers rely on the company to auction off totaled vehicles. These developments underscore Copart's ability to adapt to market trends and expand its competitive edge.
 **Financials:**  
 Copart's financial performance reflects robust profitability and operational efficiency. The company boasts a profit margin of 32.27% and EBITDA margins of 40.63%, indicating strong cost management and revenue generation capabilities. Revenue growth of 14% year-over-year and earnings growth of 21.2% highlight its ability to scale operations effectively. With a trailing P/E ratio of 36.68 and a forward P/E of 31.41, the stock trades at a premium, reflecting investor confidence in its growth prospects. The company's balance sheet is solid, with a quick ratio of 7.51 and a current ratio of 7.89, indicating ample liquidity. Low debt levels, with a debt-to-equity ratio of 1.43%, further enhance its financial stability. Free cash flow of $701 million and operating cash flow of $1.6 billion provide flexibility for future investments and acquisitions.
 **Valuations:**  
 Copart's valuation metrics suggest a premium pricing relative to its peers, with a price-to-sales ratio of 11.72 and a price-to-book ratio of 6.35. While these figures may appear elevated, they are supported by the company's consistent revenue and earnings growth, as well as its dominant market position. Analyst sentiment remains positive, with a mean target price of $61.81, representing potential upside from current levels. The recommendation mean of 2.18 (on a scale where 1 is a strong buy) further reflects optimism about the stock's prospects.
 **Economic Outlook:**  
 The broader economic environment presents both opportunities and challenges for Copart. Rising interest rates and economic deceleration could impact consumer spending and vehicle sales, potentially affecting the supply of vehicles for auction. However, the company's business model, which thrives on vehicle turnover rather than new sales, may provide resilience in a slowing economy. Additionally, geopolitical tensions and trade policies could influence the automotive and insurance industries, indirectly affecting Copart's operations. Despite these uncertainties, the company's strong financial position and strategic initiatives position it well to navigate economic headwinds.
 **Summary of Thesis, Edge, and Risk:**  
 Copart's market leadership, strategic acquisitions like Purple Wave, and exposure to favorable industry trends such as rising total loss rates provide a compelling growth thesis. Its strong financials, including high margins and robust cash flow, offer a competitive edge. However, risks include potential economic slowdown impacts, elevated valuation metrics, and reliance on the automotive insurance industry.  
 **Score: 85**</t>
  </si>
  <si>
    <t>DGX</t>
  </si>
  <si>
    <t>**Investment Report: Quest Diagnostics (DGX)**
 **Recent News:**  
 Quest Diagnostics has seen a significant 38% stock price increase over the past year, outperforming both its industry peers and the S&amp;P 500. This growth is attributed to strong core performance and strategic acquisitions, which have bolstered its position in the advanced diagnostics market. The company's acquisition strategy has been a key driver, enabling it to expand its service offerings and geographic reach. Additionally, its focus on advanced diagnostics aligns with broader healthcare trends, such as personalized medicine and increased demand for diagnostic testing.
 **Financials:**  
 Quest Diagnostics demonstrates solid financial health, with a market capitalization of $19.64 billion and a trailing P/E ratio of 23.01, which is slightly above the industry average but justified by its earnings growth of 20.2% and revenue growth of 14.6%. The forward P/E of 18.13 suggests expectations of continued earnings improvement. The company has a strong dividend yield of 1.85%, supported by a sustainable payout ratio of 38.49%, and its five-year average dividend yield of 1.89% indicates consistent shareholder returns. 
 The firm’s gross margins of 33.13% and operating margins of 14.04% reflect efficient operations, while its EBITDA margin of 19.28% highlights strong profitability. Free cash flow of $741 million and operating cash flow of $1.33 billion provide ample liquidity for reinvestment and debt servicing. However, the debt-to-equity ratio of 103.26% indicates a relatively high leverage level, which could pose risks in a rising interest rate environment.
 **Valuations:**  
 Quest Diagnostics is trading near its 52-week high of $178.09, reflecting strong investor confidence. Its price-to-book ratio of 2.90 and price-to-sales ratio of 1.99 are reasonable given its growth trajectory and profitability. Analysts have a median price target of $179, suggesting limited upside in the near term, though the high target of $190 indicates potential for further gains if the company continues to execute its strategy effectively. The trailing PEG ratio of 1.41 suggests the stock is fairly valued relative to its growth prospects.
 **Economic Outlook:**  
 The broader economic environment presents both opportunities and challenges for Quest Diagnostics. The healthcare sector remains resilient amid economic uncertainty, as demand for diagnostic services is less sensitive to economic cycles. However, macroeconomic headwinds, including potential recessionary pressures and elevated interest rates, could impact consumer spending and increase borrowing costs for the company. Additionally, geopolitical tensions and trade policies may affect supply chains and input costs, though the healthcare sector is generally less exposed to these risks compared to other industries.
 **Summary:**  
 **Thesis:** Quest Diagnostics benefits from strong core performance, strategic acquisitions, and a focus on advanced diagnostics, positioning it well for long-term growth.  
 **Edge:** Its robust cash flow, profitability, and alignment with healthcare trends provide a competitive advantage.  
 **Risk:** High leverage and potential macroeconomic headwinds could pressure margins and limit near-term upside.
 **Score: 85**</t>
  </si>
  <si>
    <t>MTB</t>
  </si>
  <si>
    <t>**Investment Report: M&amp;T Bank Corporation**
 **Recent News:**  
 M&amp;T Bank Corporation has not been in the news over the past week, indicating a lack of significant developments or disruptions. This absence of news suggests stability in its operations, though it also implies no recent catalysts to drive immediate investor sentiment.
 **Financials:**  
 M&amp;T Bank's financial performance reflects a solid foundation. The stock closed at $190.37, with a recent trading range between $186.54 and $193.06. The bank's dividend yield of 2.82% is slightly below its five-year average of 3.34%, but its payout ratio of 36.54% indicates a sustainable dividend policy. The trailing price-to-earnings (P/E) ratio of 12.89 and forward P/E of 11.60 suggest the stock is reasonably valued, especially when compared to broader market averages. 
 The bank's profitability metrics are robust, with a profit margin of 29.85% and return on equity (ROE) of 9.25%. Earnings growth of 41.3% and revenue growth of 8.2% year-over-year highlight strong operational performance. Additionally, M&amp;T Bank's book value per share of $160.91 and price-to-book ratio of 1.17 suggest the stock is trading near its intrinsic value, offering a margin of safety for long-term investors.
 The bank's balance sheet is well-capitalized, with $21.1 billion in cash and $15.2 billion in debt, resulting in a manageable debt-to-cash ratio. Its short interest ratio of 2.94 and institutional ownership of 89.65% indicate confidence from large investors, though a slight increase in short interest from the prior month warrants monitoring.
 **Valuations:**  
 M&amp;T Bank's valuation metrics are attractive, with a price-to-sales ratio of 3.58 and enterprise value-to-revenue ratio of 3.17. Analysts have a mean target price of $222.87, representing a potential upside of approximately 17% from the current price. The recommendation mean of 2.25 (between "buy" and "outperform") reflects positive sentiment among analysts. The stock's beta of 0.728 indicates lower volatility compared to the broader market, making it a relatively defensive play in uncertain economic conditions.
 **Economic Outlook:**  
 The broader economic environment presents challenges for regional banks like M&amp;T Bank. The U.S. economy is showing signs of deceleration, with GDP expected to contract by 1.5% in Q1 2025. Rising jobless claims and a record trade deficit could weigh on consumer and business activity, potentially impacting loan demand and credit quality. However, moderating inflation and the possibility of Federal Reserve rate cuts later in the year could provide relief for the banking sector. 
 M&amp;T Bank's strong operating margins of 42.14% and its ability to grow earnings and revenue in a challenging environment demonstrate resilience. The bank's focus on regional markets may shield it from some of the geopolitical and trade-related uncertainties affecting larger, globally exposed financial institutions.
 **Summary:**  
 M&amp;T Bank's investment thesis is supported by its strong financial performance, reasonable valuation, and stable dividend policy. Its edge lies in its solid profitability metrics and manageable debt levels, which position it well to navigate economic headwinds. The primary risk is the broader economic slowdown, which could impact loan growth and credit quality. However, the bank's conservative valuation and strong fundamentals provide a buffer against these risks.
 **Score: 82**</t>
  </si>
  <si>
    <t>TDG</t>
  </si>
  <si>
    <t>**Investment Report: TransDigm Group (Aerospace &amp; Defense)**
 **Recent News:**  
 There have been no significant updates or announcements regarding TransDigm Group in the past week. The absence of news suggests stability in operations but also indicates no immediate catalysts for significant price movement in the short term.
 **Financials:**  
 TransDigm Group's financial performance reflects its strong position in the Aerospace &amp; Defense sector. The company has a market capitalization of $76.88 billion and a robust profit margin of 22.37%, indicating efficient operations and profitability. Revenue growth of 12.1% year-over-year and earnings growth of 56.4% highlight the firm's ability to capitalize on increasing demand in its sector. Gross margins of 59.97% and EBITDA margins of 50.55% further underscore its operational efficiency.
 The company’s trailing P/E ratio of 48.2 and forward P/E of 31.53 suggest a premium valuation, likely reflecting investor confidence in its growth prospects. However, the high enterprise value-to-EBITDA ratio of 24.08 indicates that the stock may be expensive relative to its earnings potential. Additionally, the price-to-sales ratio of 9.43 is elevated, which could limit upside potential unless revenue growth accelerates further.
 TransDigm's balance sheet shows a significant level of debt at $25.11 billion, which is a potential risk, though the company maintains a healthy quick ratio of 1.776 and current ratio of 2.695, indicating sufficient liquidity to meet short-term obligations. Free cash flow of $1.7 billion and operating cash flow of $2.16 billion provide a cushion for debt servicing and reinvestment.
 **Valuations:**  
 The stock is trading near the upper end of its 52-week range ($1,136.27 - $1,451.32), with a recent close of $1,367.20. Analyst sentiment remains positive, with a mean target price of $1,505.15, representing a potential upside of approximately 10%. The recommendation mean of 1.70 (on a scale where 1.0 is a strong buy) reflects strong institutional support. However, the trailing PEG ratio of 4.15 suggests that the stock is priced for high growth, leaving limited room for valuation expansion.
 **Economic Outlook:**  
 The broader Aerospace &amp; Defense industry is poised for growth, supported by increasing global defense budgets and a recovery in commercial aerospace demand. However, macroeconomic headwinds, including rising interest rates and geopolitical uncertainties, could weigh on the sector. TransDigm's reliance on high-margin, proprietary aerospace components positions it well to weather economic slowdowns, but its significant debt load could become a concern if borrowing costs rise further.
 The recent U.S. economic slowdown, with GDP contraction projected for Q1 2025, may dampen investor sentiment. Additionally, the ongoing trade tensions and tariffs could disrupt supply chains or increase costs for aerospace manufacturers, potentially impacting TransDigm's margins.
 **Summary:**  
 TransDigm Group's strong financial performance, high margins, and robust growth metrics provide a solid investment thesis. Its edge lies in its dominant position in the high-margin aerospace components market and its ability to generate substantial free cash flow. However, risks include its elevated valuation, significant debt burden, and potential macroeconomic headwinds from tariffs and slowing economic growth.
 **Score: 78**</t>
  </si>
  <si>
    <t>**Investment Report: AbbVie Inc. (ABBV)**
 **Recent News:**  
 AbbVie has entered the competitive obesity treatment market through a licensing agreement with Denmark-based Gubra A/S. The deal, valued at up to $2.23 billion, focuses on developing GUB014295, a long-acting amylin analog currently in Phase 1 clinical trials. This move aligns with the growing demand for obesity treatments, a market that has seen significant interest from major pharmaceutical companies. AbbVie's strategic entry into this space could diversify its revenue streams and position it to capitalize on a high-growth therapeutic area. However, the early-stage nature of the drug introduces development and regulatory risks, as success is not guaranteed.
 **Financials:**  
 AbbVie’s financial performance reflects a strong market position, with a market capitalization of $373 billion and robust revenue of $56.3 billion over the trailing twelve months. The company boasts high gross margins of 70.3% and EBITDA margins of 46.5%, indicating operational efficiency. However, its debt-to-equity ratio of 2022% is notably high, signaling significant leverage. Despite this, AbbVie generates substantial free cash flow of $19.7 billion, which supports its dividend payments and strategic investments. The dividend yield of 3.14% is attractive, though it is below the five-year average of 4.04%, reflecting the stock's recent price appreciation.
 **Valuations:**  
 AbbVie’s trailing P/E ratio of 88.86 appears elevated, but its forward P/E of 17.43 suggests expectations of strong earnings growth. The company’s price-to-sales ratio of 6.63 and enterprise value-to-EBITDA ratio of 16.63 are higher than industry averages, indicating a premium valuation. This premium may be justified by AbbVie’s strong pipeline, including its recent foray into obesity treatments, and its established portfolio of blockbuster drugs like Humira. However, the high price-to-book ratio of 112.25 raises concerns about overvaluation relative to its book value.
 **Economic Outlook:**  
 The broader economic environment presents mixed signals for AbbVie. While the U.S. economy is showing signs of deceleration, the healthcare sector often demonstrates resilience during economic downturns due to its non-cyclical nature. AbbVie’s focus on innovative treatments and its strong cash flow position it well to weather macroeconomic challenges. However, rising interest rates could increase the cost of servicing its substantial debt, potentially impacting profitability. Additionally, geopolitical uncertainties and trade tensions could disrupt global supply chains, though AbbVie’s diversified operations may mitigate these risks.
 **Summary of Thesis, Edge, and Risk:**  
 AbbVie’s strategic entry into the obesity treatment market represents a significant growth opportunity, leveraging its expertise in biologics and innovative therapies. The company’s strong cash flow and operational efficiency provide a solid foundation for continued investment in its pipeline and shareholder returns. However, its high leverage and premium valuation introduce financial and market risks. The success of its obesity treatment program and its ability to manage debt effectively will be critical to sustaining long-term growth.
 **Score: 78**</t>
  </si>
  <si>
    <t>**Investment Report: Apple Inc.**
 **Recent News:**  
 Apple Inc. has been at the forefront of several developments that highlight both opportunities and challenges. CEO Tim Cook's hint at a new product launch has sparked excitement, drawing comparisons to the iconic MacBook Air debut, which could signal innovation-driven growth. The company's strategic partnership with Alibaba in China for AI rollout has garnered positive attention, especially as Apple navigates geopolitical complexities in the region. The lifting of Indonesia's sales ban on the iPhone 16e further strengthens its global market presence. However, Apple faces regulatory scrutiny, including a potential antitrust fine in France over privacy tools and lawsuits regarding environmental claims for its Apple Watch. Shareholders' decision to uphold DEI policies reflects Apple's commitment to corporate governance, which may bolster its reputation among socially conscious investors. Despite these developments, Apple's stock has struggled, though Warren Buffett's continued investment underscores confidence in its long-term potential.
 **Financials:**  
 Apple's financial performance remains robust, with a market capitalization of $3.58 trillion and a profit margin of 24.3%, reflecting its ability to generate significant earnings. The company reported trailing twelve-month revenue of $395.76 billion, with a modest revenue growth rate of 4% and earnings growth of 10.1%. Its gross margin of 46.5% and operating margin of 34.5% highlight strong operational efficiency. Apple maintains a healthy free cash flow of $93.83 billion, supporting its ability to invest in innovation and shareholder returns. However, its debt-to-equity ratio of 145% indicates a reliance on leverage, which could pose risks in a high-interest-rate environment. The stock's trailing P/E ratio of 37.72 and forward P/E of 28.64 suggest a premium valuation, reflecting investor expectations of continued growth.
 **Valuations:**  
 Apple's stock is trading near its 50-day average of $240.22, with a 52-week range of $164.08 to $260.10. The current price-to-book ratio of 53.63 and price-to-sales ratio of 9.04 indicate a high valuation relative to peers, which may limit upside potential in the short term. Analyst sentiment remains positive, with a mean target price of $252.92 and a median target of $260, suggesting limited near-term upside from current levels. The stock's beta of 1.18 indicates slightly higher volatility than the broader market, which could amplify price movements amid macroeconomic uncertainties.
 **Economic Outlook:**  
 Apple's performance is influenced by broader economic conditions, including trade tensions and slowing global growth. The recent escalation of U.S.-China trade disputes and tariffs could impact Apple's supply chain and pricing strategy, particularly given its significant exposure to the Chinese market. However, Apple's $500 billion investment plan in the U.S. over the next five years demonstrates its commitment to domestic growth and innovation, which could mitigate some geopolitical risks. The Federal Reserve's restrictive monetary policy and potential economic slowdown may weigh on consumer spending, particularly for premium products like Apple's. Nonetheless, the company's strong brand loyalty and diversified product portfolio provide resilience against economic headwinds.
 **Summary:**  
 **Thesis:** Apple's strong financials, innovation pipeline, and strategic investments position it well for long-term growth, despite near-term challenges.  
 **Edge:** The company's robust cash flow, operational efficiency, and brand strength provide a competitive advantage in navigating economic and regulatory uncertainties.  
 **Risk:** Elevated valuations, geopolitical tensions, and potential regulatory fines could weigh on short-term performance.
 **Score: 78**</t>
  </si>
  <si>
    <t>TRGP</t>
  </si>
  <si>
    <t>**Investment Report: Targa Resources (TRGP)**
 **Recent News:**  
 Targa Resources has shown mixed performance in its latest financial results. While the company missed earnings estimates for Q4, its adjusted EBITDA increased year-over-year to $1.1 billion from $959.9 million, reflecting operational growth. Analysts have upgraded the stock to a "Buy" rating, citing optimism about its earnings potential and above-average financial growth. This positive sentiment could drive near-term stock performance, especially as the company is positioned to benefit from its robust infrastructure in the oil and gas storage and transportation sector. However, the earnings miss may indicate challenges in managing costs or market conditions, which could weigh on investor confidence.
 **Financials:**  
 Targa Resources has demonstrated solid revenue growth, with total revenue reaching $16.38 billion, a 3.9% year-over-year increase. The company’s profit margins remain modest at 8%, but its EBITDA margins of 25.2% highlight strong operational efficiency. The trailing P/E ratio of 34.03 suggests the stock is trading at a premium compared to its earnings, while the forward P/E of 23.69 indicates expectations of improved profitability. The company’s debt-to-equity ratio of 323.44 is notably high, reflecting significant leverage, which could pose risks in a rising interest rate environment. However, its operating cash flow of $3.65 billion and free cash flow of $291 million provide some financial stability.
 **Valuations:**  
 Targa Resources is trading near the higher end of its 52-week range, with a recent close of $201.72 compared to a 52-week high of $218.51. The stock’s price-to-book ratio of 16.44 and price-to-sales ratio of 2.61 suggest it is valued richly relative to its book value and revenue. Analysts have set a target mean price of $213.16, indicating limited upside potential in the near term. The dividend yield of 1.49% is below its five-year average of 3.97%, which may deter income-focused investors. However, the company’s trailing PEG ratio of 1.20 suggests reasonable valuation relative to its growth prospects.
 **Economic Outlook:**  
 The broader economic environment presents both opportunities and challenges for Targa Resources. The ongoing trade tensions and tariffs could disrupt supply chains and increase costs for energy companies. Additionally, the U.S. economy is showing signs of deceleration, with GDP expected to shrink in Q1 2025. However, the oil and gas sector may benefit from geopolitical uncertainties and potential shifts in energy policy. Targa’s infrastructure and strategic positioning in the midstream segment could allow it to capitalize on increased demand for energy transportation and storage, even amid economic headwinds.
 **Summary:**  
 Targa Resources offers a compelling growth story with strong operational performance and a strategic position in the oil and gas midstream sector. Its ability to generate robust cash flows and its upgraded analyst ratings provide an edge. However, risks include high leverage, premium valuation, and potential macroeconomic challenges such as trade tensions and slowing economic growth. The stock’s near-term upside may be limited, but its long-term prospects remain attractive for growth-oriented investors.
 **Score: 78**</t>
  </si>
  <si>
    <t>T</t>
  </si>
  <si>
    <t>**Investment Report: AT&amp;T**
 **Recent News:**  
 AT&amp;T has demonstrated strong performance, with a 43% total return in 2024, significantly outpacing the market's 7.4% gain. This growth has been driven by its strategic investments in 5G and fiber expansion, which have bolstered its subscriber base and retention rates. The addition of 1.7 million postpaid phone users and a churn rate of just 0.85% highlight its operational efficiency and customer loyalty. The company is leveraging AI to enhance customer service, fraud protection, and network optimization, which could further reduce churn and improve margins. However, challenges remain, including declining business wireline revenue and skepticism about whether AT&amp;T can sustain its market outperformance. Despite these concerns, its robust cash flow supports dividend payments and debt reduction, with potential for a dividend hike in the near future.
 **Financials:**  
 AT&amp;T's financial metrics reflect a stable and improving position. The company has a market capitalization of $198.98 billion and a trailing P/E ratio of 18.60, with a forward P/E of 12.38, indicating expectations of earnings growth. Its dividend yield of 4.05% is supported by a payout ratio of 74.5%, and free cash flow of $15.88 billion ensures sustainability. The stock has risen 9.2% since its last earnings report, reaching a 52-week high of $27.86. However, its debt-to-equity ratio of 121.36% remains a concern, reflecting a high leverage level. AT&amp;T's EBITDA margin of 35.93% and gross margin of 59.77% underscore its profitability, while earnings growth of 88.4% and revenue growth of 0.9% highlight its ability to generate incremental value.
 **Valuations:**  
 AT&amp;T's valuation metrics suggest it is reasonably priced relative to its peers. Its price-to-book ratio of 1.91 and price-to-sales ratio of 1.63 indicate a fair valuation, while its forward P/E of 12.38 is attractive compared to the broader market. Analysts have a median price target of $28.00, slightly above its current trading range, with a recommendation mean of 1.89 (indicating a "buy"). The stock's beta of 0.705 reflects lower volatility compared to the market, making it a relatively defensive investment in uncertain economic conditions.
 **Economic Outlook:**  
 The broader economic environment presents mixed implications for AT&amp;T. The U.S. economy is showing signs of deceleration, with GDP expected to shrink by 1.5% in Q1 2025. Rising jobless claims and weakening consumer confidence could dampen demand for discretionary services. However, AT&amp;T's focus on essential telecommunications services and its leadership in 5G and fiber positions it well to weather economic headwinds. Additionally, its AI-driven initiatives and cost optimization efforts could enhance operational efficiency and profitability in a challenging macroeconomic landscape.
 **Summary:**  
 **Thesis:** AT&amp;T's strong operational performance, driven by 5G and fiber expansion, positions it as a leader in the telecommunications sector. Its robust cash flow supports dividends and debt reduction, while AI-driven initiatives offer potential for margin improvement.  
 **Edge:** The company's industry-leading retention rates and focus on essential services provide resilience in a slowing economy. Its valuation metrics and dividend yield make it an attractive option for income-focused investors.  
 **Risk:** High leverage and declining business wireline revenue remain key risks, along with broader economic uncertainties that could impact consumer spending.
 **Score: 78**</t>
  </si>
  <si>
    <t>SYY</t>
  </si>
  <si>
    <t>**Investment Report: Sysco Corporation**
 **Recent News:**  
 Sysco Corporation, a leading food distributor, reported a 4.5% increase in sales and a 5.1% rise in net income for Q2 2025. Despite these positive results, the stock declined by 6.03%, reflecting broader market volatility and potential investor concerns about macroeconomic headwinds. Sysco's strategic pivot toward food services and drinking places, which now account for 57% of its sales, has been a key driver of growth. The company is currently trading at a price-to-earnings (P/E) ratio of 19.42, significantly below its five-year average of 42.56, suggesting potential undervaluation. This divergence between strong operational performance and market reaction may present an opportunity for long-term investors.
 **Financials:**  
 Sysco's financial health remains robust, with total revenue of $80.57 billion and a market capitalization of $37.03 billion. The company has a dividend yield of 2.7%, slightly above its five-year average of 2.58%, supported by a sustainable payout ratio of 52.05%. Sysco's forward P/E ratio of 15.38 indicates expectations of continued earnings growth. However, the company's debt-to-equity ratio of 674.82 is notably high, reflecting significant leverage, which could pose risks in a rising interest rate environment. Free cash flow of $1.97 billion and operating cash flow of $2.63 billion provide a cushion for ongoing operations and dividend payments.
 **Valuations:**  
 Sysco's valuation metrics suggest it is trading at a discount relative to its historical averages and peers. The price-to-sales ratio of 0.46 and enterprise value-to-revenue ratio of 0.62 highlight its attractive valuation in the context of its revenue base. Additionally, the trailing PEG ratio of 1.41 indicates that the stock is reasonably priced relative to its growth prospects. Analysts have a median price target of $84, representing a potential upside of approximately 11% from the current price of $75.54. The recommendation mean of 2.15 (on a scale where 1 is a strong buy) underscores positive sentiment among analysts.
 **Economic Outlook:**  
 Sysco operates in a sector that is relatively resilient to economic downturns, as food distribution is a necessity-driven industry. However, the broader macroeconomic environment poses challenges. The U.S. economy is showing signs of deceleration, with GDP expected to contract by 1.5% in Q1 2025. Rising tariffs on Canadian, Mexican, and Chinese goods could increase input costs for Sysco, potentially pressuring margins. On the positive side, moderating inflation and potential Federal Reserve rate cuts later in the year could provide some relief. Sysco's focus on food services and drinking places aligns with consumer trends, which may help offset macroeconomic pressures.
 **Summary of Thesis, Edge, and Risk:**  
 Sysco's strong operational performance, strategic focus on high-growth sectors, and attractive valuation metrics make it a compelling investment in the food distribution industry. Its consistent dividend payments and robust cash flow generation provide additional appeal. However, the company's high leverage and exposure to potential tariff-related cost increases represent key risks. The broader economic slowdown could also weigh on consumer spending, indirectly affecting Sysco's growth trajectory.
 **Score: 78**</t>
  </si>
  <si>
    <t>WRB</t>
  </si>
  <si>
    <t>**Investment Report: W.R. Berkley Corporation (WRB)**
 **Recent News:**  
 W.R. Berkley Corporation has seen a 5.9% increase in its stock price since its last earnings report, reflecting strong investor sentiment. The company reported robust earnings growth, with quarterly earnings increasing by 45% year-over-year. This performance highlights the firm's ability to navigate a challenging macroeconomic environment, leveraging its underwriting expertise and disciplined risk management. The market's positive reaction suggests confidence in the company's operational efficiency and its ability to sustain profitability despite broader economic uncertainties.
 **Financials:**  
 W.R. Berkley demonstrates solid financial health, with a market capitalization of $24.17 billion and a trailing price-to-earnings (P/E) ratio of 14.62, which is in line with industry averages. The company's forward P/E ratio of 14.65 indicates stable earnings expectations. Its return on equity (ROE) of 22.1% is particularly strong, showcasing effective capital utilization. Revenue growth of 13.9% year-over-year and earnings growth of 47.1% underscore the firm's ability to expand its top and bottom lines. Additionally, the company maintains a low payout ratio of 7.19%, allowing it to reinvest earnings for future growth while offering a modest dividend yield of 0.51%.
 The firm's balance sheet is well-managed, with total cash of $3.1 billion nearly offsetting its total debt of $3.06 billion, resulting in a manageable debt-to-equity ratio of 36.39%. Operating cash flow of $3.68 billion and free cash flow of $3.09 billion further highlight its strong liquidity position. However, the quick ratio of 0.234 and current ratio of 0.402 suggest limited short-term liquidity, which is typical for insurance companies due to the nature of their liabilities.
 **Valuations:**  
 W.R. Berkley's price-to-book (P/B) ratio of 2.89 is slightly elevated compared to its historical average, reflecting the market's optimism about its growth prospects. The stock is trading near its 52-week high of $65.49, with a 52-week change of 12.58%, underperforming the S&amp;P 500's 17.25% gain over the same period. Analyst sentiment remains favorable, with a mean recommendation of "buy" and a target median price of $64, suggesting limited upside potential in the near term. The trailing PEG ratio of 2.63 indicates that the stock may be slightly overvalued relative to its earnings growth.
 **Economic Outlook:**  
 The broader economic environment presents mixed signals for W.R. Berkley. The U.S. economy is showing signs of deceleration, with GDP expected to contract by 1.5% in Q1 2025. Rising jobless claims and a record trade deficit could weigh on consumer and business confidence. However, the Federal Reserve's efforts to control inflation appear to be yielding results, which could stabilize financial markets and benefit the insurance sector. Additionally, W.R. Berkley's focus on property and casualty insurance positions it well to capitalize on rising demand for risk mitigation amid economic uncertainty.
 The company's exposure to interest rate-sensitive investments could benefit from the current high-rate environment, as higher yields on fixed-income securities bolster investment income. However, the potential for rate cuts later in the year could moderate this tailwind. The ongoing trade tensions and tariff implementations may indirectly impact the firm by influencing broader economic activity and claims trends.
 **Summary of Thesis, Edge, and Risk:**  
 W.R. Berkley Corporation's strong earnings growth, disciplined underwriting, and robust financial position provide a solid foundation for continued performance. Its high ROE and effective capital allocation give it a competitive edge in the property and casualty insurance industry. However, the stock's valuation appears stretched, and its near-term upside may be limited given the broader economic slowdown and potential market volatility. Key risks include exposure to macroeconomic headwinds, interest rate fluctuations, and potential adverse claims trends.
 **Score: 78**</t>
  </si>
  <si>
    <t>AME</t>
  </si>
  <si>
    <t>**Investment Report: Ametek (Electrical Components &amp; Equipment Industry)**
 **Recent News:**  
 Ametek has not been in the headlines over the past week, indicating stability in its operations and no significant disruptions or announcements. This lack of news suggests the company is operating within expected parameters, with no immediate catalysts or risks emerging from external developments.
 **Financials:**  
 Ametek's financial performance reflects a solid and stable business model. The company has a market capitalization of $43 billion and a trailing price-to-earnings (P/E) ratio of 31.46, which is above the industry average, indicating a premium valuation. Its forward P/E of 25.55 suggests expectations of continued earnings growth. The firm has demonstrated consistent profitability, with a profit margin of 19.83% and operating margins of 28.25%, both of which are robust for its sector.  
 Revenue growth has been modest at 1.8% year-over-year, while earnings growth is stronger at 12.9%, reflecting operational efficiency and cost management. Ametek's return on equity (ROE) of 14.97% and return on assets (ROA) of 7.5% highlight its ability to generate returns on its investments. The company also maintains a healthy free cash flow of $1.52 billion, supporting its dividend payments and potential reinvestment opportunities.  
 The dividend yield of 0.66% is slightly above its five-year average of 0.63%, with a low payout ratio of 18.89%, indicating ample room for future dividend increases. Ametek's debt-to-equity ratio of 24.08% is manageable, and its current ratio of 1.24 suggests adequate liquidity to meet short-term obligations. However, the quick ratio of 0.648 indicates a reliance on inventory to cover immediate liabilities.
 **Valuations:**  
 Ametek's valuation metrics suggest it is trading at a premium compared to its peers. Its price-to-book ratio of 4.46 and price-to-sales ratio of 6.20 are elevated, reflecting investor confidence in the company's growth prospects. The trailing PEG ratio of 2.95 indicates that the stock may be slightly overvalued relative to its earnings growth rate. Analysts have a mean target price of $199.15, representing a modest upside from the current price, with a recommendation mean of 1.82 (indicating a "buy" rating).  
 **Economic Outlook:**  
 The broader economic environment presents mixed signals for Ametek. The U.S. economy is showing signs of deceleration, with GDP expected to contract in Q1 2025. Trade tensions, particularly the imposition of tariffs on Canada, Mexico, and China, could disrupt supply chains and increase input costs for manufacturers like Ametek. However, the company's diversified product portfolio and strong margins may help mitigate these risks.  
 The Federal Reserve's restrictive monetary policy and elevated interest rates could weigh on industrial demand, but Ametek's strong cash flow and manageable debt levels position it well to navigate these challenges. Additionally, the company's exposure to high-growth sectors such as automation and precision instruments provides a buffer against broader economic headwinds.
 **Summary:**  
 **Thesis:** Ametek's strong profitability, consistent earnings growth, and robust cash flow make it a reliable player in the electrical components and equipment industry.  
 **Edge:** Its operational efficiency and exposure to high-growth sectors provide resilience against economic uncertainties.  
 **Risk:** Elevated valuation metrics and potential tariff-related cost pressures could weigh on near-term performance.
 **Score: 78**</t>
  </si>
  <si>
    <t>AVB</t>
  </si>
  <si>
    <t>**Investment Report: AvalonBay Communities (AVB)**
 **Recent News:**  
 AvalonBay Communities has reported positive mid-quarter updates, highlighting improvements in economic occupancy and like-term effective rent changes within its same-store residential portfolio. This indicates strong operational performance and effective management of its existing assets. Additionally, the company has doubled its portfolio size in Texas, signaling a strategic expansion into a high-growth market. Texas, with its favorable demographic trends and economic resilience, offers AvalonBay an opportunity to capitalize on increasing demand for multi-family residential properties. This expansion aligns with the broader trend of migration to Sun Belt states, which could provide long-term growth potential.
 **Financials:**  
 AvalonBay's financial metrics reflect a stable and well-capitalized position. The company has a market capitalization of $32.45 billion and a dividend yield of 3.09%, slightly below its five-year average of 3.4%. The payout ratio of 89.47% suggests that the dividend is sustainable, though it leaves limited room for reinvestment. The trailing price-to-earnings (P/E) ratio of 30.01 and forward P/E of 41.17 indicate a premium valuation, which may reflect investor confidence in the company's growth prospects. However, the price-to-book ratio of 2.71 suggests the stock is trading at a significant premium to its book value. Debt levels are moderate, with a debt-to-equity ratio of 67.64%, and the company maintains strong profit margins, including a gross margin of 63.17% and EBITDA margin of 60.38%. Earnings and revenue growth rates of 16.5% and 5.4%, respectively, demonstrate steady performance.
 **Valuations:**  
 AvalonBay's valuation metrics suggest that the stock is priced for growth, with a trailing PEG ratio of 7.28 indicating that the market expects significant future earnings expansion. Analyst sentiment remains positive, with a mean price target of $237.62, representing modest upside from the current trading range. The stock's 52-week performance has been strong, with a 23.1% increase compared to the S&amp;P 500's 17.2% gain, reflecting its resilience in a challenging macroeconomic environment. However, the elevated valuation multiples may limit near-term upside potential, especially in a rising interest rate environment that could pressure REIT valuations.
 **Economic Outlook:**  
 The broader economic environment presents both opportunities and risks for AvalonBay. The U.S. economy is showing signs of deceleration, with GDP contraction expected in Q1 2025 and rising jobless claims. However, AvalonBay's focus on multi-family residential properties positions it well to benefit from the ongoing housing affordability crisis, as more individuals turn to rental housing. The company's expansion into Texas aligns with demographic trends favoring Sun Belt states, which are experiencing population growth and robust housing demand. On the other hand, rising interest rates and potential economic weakness could weigh on consumer confidence and rental demand, posing risks to occupancy rates and rent growth.
 **Summary:**  
 **Thesis:** AvalonBay's operational strength, strategic expansion into high-growth markets like Texas, and focus on multi-family residential properties provide a solid foundation for long-term growth.  
 **Edge:** The company's ability to capitalize on demographic trends and its strong profit margins position it as a leader in the REIT sector.  
 **Risk:** Elevated valuations, rising interest rates, and broader economic uncertainty could limit near-term upside and pose challenges to growth.
 **Score: 78**</t>
  </si>
  <si>
    <t>TYL</t>
  </si>
  <si>
    <t>**Investment Report: Tyler Technologies**
 **Recent News:**  
 Tyler Technologies has not been in the news over the past week, indicating a lack of significant developments or announcements. This absence of news suggests stability in operations but also a lack of immediate catalysts for the stock. The broader macroeconomic environment, including trade tensions and slowing GDP growth, may indirectly influence the company, particularly if municipal budgets—Tyler's primary customer base—are impacted by economic headwinds.
 **Financials:**  
 Tyler Technologies exhibits strong financial metrics, with a market capitalization of $26.08 billion and a 52-week price change of +45.84%, significantly outperforming the S&amp;P 500's 17.25% gain over the same period. The company has demonstrated robust earnings growth of 63.4% and revenue growth of 12.5% year-over-year, reflecting its ability to expand both its top and bottom lines. Profit margins stand at 12.3%, supported by gross margins of 43.77%, indicating efficient cost management.
 The firm’s trailing P/E ratio of 100.73 and forward P/E of 55.99 suggest a premium valuation, likely due to its strong growth prospects and dominant position in the application software industry. However, these high multiples may expose the stock to downside risk if growth expectations are not met. The price-to-book ratio of 7.69 further underscores the stock's elevated valuation relative to its book value.
 Tyler's balance sheet is solid, with a manageable debt-to-equity ratio of 18.84 and a quick ratio of 1.28, indicating sufficient liquidity to cover short-term obligations. Free cash flow of $554.46 million and operating cash flow of $624.63 million highlight the company's strong cash generation capabilities, which can support future investments or acquisitions.
 **Valuations:**  
 The stock is trading near its 50-day average of $599.48 and well above its 200-day average of $570.57, suggesting positive momentum. However, the trailing PEG ratio of 3.16 indicates that the stock may be overvalued relative to its growth rate. Analyst sentiment remains favorable, with a mean recommendation of "buy" and a target median price of $707.50, implying a potential upside of approximately 15% from the current price.
 **Economic Outlook:**  
 The broader economic environment presents mixed implications for Tyler Technologies. The U.S. economy is showing signs of deceleration, with GDP expected to shrink by 1.5% in Q1 2025. This slowdown could pressure municipal budgets, potentially impacting Tyler's core customer base of local governments. However, the company's focus on software solutions for public administration may provide some insulation, as governments often prioritize efficiency and digital transformation during economic downturns.
 The ongoing trade tensions and tariffs could indirectly affect Tyler if they lead to broader economic weakness or reduced public sector spending. On the other hand, the company's recurring revenue model and strong cash flow generation provide a degree of resilience against macroeconomic volatility.
 **Summary of Thesis, Edge, and Risk:**  
 Tyler Technologies benefits from a dominant position in the application software industry, strong financial performance, and a recurring revenue model that provides stability. Its focus on public sector clients offers a unique edge, as governments increasingly adopt digital solutions. However, the stock's high valuation and potential exposure to economic headwinds pose risks. Slowing GDP growth and constrained municipal budgets could dampen demand for Tyler's products, while elevated P/E and PEG ratios leave little room for error in execution.
 **Score: 78**</t>
  </si>
  <si>
    <t>VLTO</t>
  </si>
  <si>
    <t>**Investment Report: Veralto Corporation**
 **Recent News:**  
 Veralto Corporation has demonstrated a strong performance over the past year, with its stock rising 15%. The company’s leadership in its Water Quality and Product Quality &amp; Innovation (PQI) segments has been a key driver of this growth. Strategic acquisitions have bolstered its market position, while a growing dividend payout signals confidence in its financial stability and future cash flow generation. These factors position Veralto for sustained growth, particularly in industries where environmental and facilities services are becoming increasingly critical.
 **Financials:**  
 Veralto's financial metrics reflect a solid operational foundation. The company has a market capitalization of $24.72 billion and a trailing price-to-earnings (P/E) ratio of 29.90, which is slightly elevated but justified by its earnings growth of 13.5% and forward P/E of 26.63. The company’s profit margins are robust, with a net profit margin of 16.04% and EBITDA margins of 24.78%, indicating efficient cost management and strong profitability. Veralto’s revenue growth of 4.4% year-over-year, while modest, is supported by its gross margins of 59.79%, showcasing its ability to maintain pricing power and operational efficiency.
 The company’s balance sheet shows a debt-to-equity ratio of 135.31, which is relatively high but manageable given its strong cash flow generation. Veralto has $1.1 billion in cash and a free cash flow of $772 million, providing liquidity to support ongoing operations, dividends, and potential future acquisitions. The dividend yield of 0.44% and a low payout ratio of 11.38% suggest room for future dividend increases, which could attract income-focused investors.
 **Valuations:**  
 Veralto’s stock is trading at a price-to-book ratio of 12.12, reflecting a premium valuation compared to its book value. However, this premium is supported by its strong return on equity (ROE) of 48.51%, which indicates that the company is effectively utilizing shareholder capital to generate returns. Analysts have a median price target of $110, representing an upside potential of approximately 10% from its current price. The recommendation mean of 2.19 (between "buy" and "outperform") from 14 analysts further underscores positive sentiment around the stock.
 **Economic Outlook:**  
 The broader economic environment presents both opportunities and risks for Veralto. The company operates in the Environmental &amp; Facilities Services industry, which is poised to benefit from increasing regulatory focus on water quality and environmental sustainability. However, macroeconomic headwinds, including rising tariffs and potential economic deceleration, could impact industrial and commercial clients, potentially slowing demand for Veralto’s services. Additionally, the company’s exposure to global markets may subject it to currency fluctuations and geopolitical risks.
 Despite these challenges, Veralto’s focus on essential services like water quality positions it well to weather economic uncertainties. Its strategic acquisitions and innovation in PQI provide a competitive edge, enabling it to capture market share in a growing industry.
 **Summary of Thesis, Edge, and Risk:**  
 Veralto’s strong market position in water quality and PQI, combined with its strategic acquisitions and disciplined financial management, provide a compelling growth thesis. Its ability to generate consistent cash flow and maintain high margins gives it an edge in a competitive industry. However, risks include its elevated debt levels, premium valuation, and potential exposure to macroeconomic headwinds such as tariffs and slowing global growth.
 **Score: 78**</t>
  </si>
  <si>
    <t>IDXX</t>
  </si>
  <si>
    <t>**Investment Report: Idexx Laboratories**
 **Recent News:**  
 Idexx Laboratories has not been in the news over the past week, indicating a lack of significant developments or disruptions. This absence of news suggests stability in operations but also a lack of immediate catalysts for the stock.
 **Financials:**  
 Idexx Laboratories is trading near its 50-day average of $434.64, with a recent close at $437.11. The stock has a beta of 1.392, indicating higher volatility compared to the broader market. Its trailing price-to-earnings (P/E) ratio of 40.97 and forward P/E of 36.55 suggest a premium valuation, reflecting strong investor confidence in its growth prospects. The company has a robust profit margin of 22.78% and a return on equity of 57.66%, showcasing operational efficiency and profitability.
 Revenue growth stands at 5.8% year-over-year, while earnings growth is slightly higher at 13.4%, indicating improving profitability. Gross margins of 61.04% and EBITDA margins of 33.86% highlight strong cost management. However, the debt-to-equity ratio of 61.87% suggests moderate leverage, which could pose risks in a rising interest rate environment. The quick ratio of 0.796 and current ratio of 1.311 indicate adequate liquidity to meet short-term obligations.
 The stock has underperformed over the past year, with a 52-week change of -21.71%, compared to the S&amp;P 500's gain of 17.25%. This underperformance may reflect broader market rotation away from high-growth stocks or sector-specific challenges. However, analysts remain optimistic, with a mean target price of $500.85, implying a potential upside of approximately 14.6% from current levels.
 **Valuations:**  
 Idexx Laboratories trades at a price-to-sales ratio of 9.12 and a price-to-book ratio of 22.36, both of which are significantly higher than industry averages. These metrics suggest that the stock is priced for growth, leaving little room for error. The trailing PEG ratio of 4.36 further underscores the premium valuation, which may deter value-focused investors.
 Despite these high valuations, the company's strong fundamentals, including consistent revenue and earnings growth, justify some of the premium. The enterprise value-to-EBITDA ratio of 27.47 indicates that the market expects continued operational success and growth in the healthcare equipment sector.
 **Economic Outlook:**  
 The broader economic environment presents mixed signals for Idexx Laboratories. The U.S. economy is showing signs of deceleration, with GDP expected to shrink by 1.5% in Q1 2025. Rising jobless claims and weakening consumer confidence could dampen demand for healthcare services. However, Idexx's focus on veterinary diagnostics and pet healthcare may provide some insulation from broader economic pressures, as pet care tends to be less discretionary.
 The company's international exposure could be impacted by ongoing trade tensions, particularly with China, which has imposed retaliatory tariffs on U.S. goods. While Idexx's operations are not directly tied to heavily tariffed industries, any disruptions in global supply chains could affect its cost structure.
 **Summary:**  
 Idexx Laboratories benefits from strong profitability, consistent growth, and a dominant position in the veterinary diagnostics market. Its high valuation reflects investor confidence in its long-term prospects, but the premium pricing leaves little margin for error. The company's edge lies in its strong operational metrics and resilience in the pet healthcare sector, which is less sensitive to economic cycles. Risks include its elevated debt levels, premium valuation, and potential macroeconomic headwinds from slowing growth and trade tensions.
 **Score: 78**</t>
  </si>
  <si>
    <t>IEX</t>
  </si>
  <si>
    <t>**Investment Report: IDEX Corporation**
 **Recent News:**  
 IDEX Corporation has not been featured in any significant news over the past week. This absence of news suggests stability in operations but also indicates no recent catalysts or developments that could drive immediate market sentiment.
 **Financials:**  
 IDEX Corporation's financial performance reflects a solid foundation with a market capitalization of approximately $14.29 billion. The company has demonstrated consistent profitability, with a profit margin of 15.45% and earnings growth of 13.4% year-over-year. Revenue growth of 9.4% indicates steady demand for its products and services, while gross margins of 44.51% and EBITDA margins of 26.96% highlight operational efficiency. 
 The company maintains a healthy balance sheet, with a current ratio of 2.53 and a quick ratio of 1.73, indicating strong liquidity. Debt-to-equity stands at 55.03%, which is manageable given the company's consistent free cash flow of $513.91 million and operating cash flow of $668.10 million. However, the enterprise value-to-EBITDA ratio of 18.37 suggests the stock may be relatively expensive compared to peers in the industrial machinery sector.
 IDEX's dividend yield of 1.42% is above its five-year average of 1.13%, reflecting a commitment to returning value to shareholders. The payout ratio of 40.81% indicates that the dividend is sustainable, supported by robust earnings and cash flow.
 **Valuations:**  
 The stock is trading at a trailing P/E ratio of 28.35 and a forward P/E ratio of 22.13, suggesting expectations of continued earnings growth. The price-to-book ratio of 3.77 is slightly elevated, reflecting investor confidence in the company's long-term prospects. However, the stock has declined 17.43% over the past year, underperforming the S&amp;P 500, which has gained 17.25% in the same period. This underperformance may present an opportunity for value-oriented investors, particularly as the stock is trading near its 52-week low of $188.11.
 Analyst sentiment remains positive, with a mean recommendation of "buy" and a target median price of $230.50, implying a potential upside of approximately 22.5% from the current price. The trailing PEG ratio of 1.82 suggests the stock is reasonably valued relative to its growth prospects.
 **Economic Outlook:**  
 The broader economic environment presents mixed signals for IDEX Corporation. The industrial machinery sector may face headwinds from escalating trade tensions, particularly with the implementation of new tariffs on steel and aluminum imports. These tariffs could increase input costs, potentially pressuring margins. However, IDEX's diversified product portfolio and strong operational efficiency may help mitigate these risks.
 The company's beta of 0.982 indicates slightly lower volatility compared to the broader market, which could be advantageous in the current uncertain economic climate. Additionally, IDEX's focus on innovation and its ability to generate consistent cash flow position it well to navigate potential economic slowdowns.
 **Summary of Thesis, Edge, and Risk:**  
 IDEX Corporation is a fundamentally strong company with consistent revenue and earnings growth, robust margins, and a healthy balance sheet. Its dividend yield and payout ratio provide an attractive income component, while its operational efficiency and liquidity offer resilience in uncertain economic conditions. The stock's recent underperformance relative to the market may present a buying opportunity for long-term investors. However, risks include potential margin pressures from rising input costs due to tariffs and broader economic deceleration, which could impact industrial demand.
 **Score: 78**</t>
  </si>
  <si>
    <t>GWW</t>
  </si>
  <si>
    <t>**Investment Report: W.W. Grainger (Industrial Machinery &amp; Supplies &amp; Components)**
 **Recent News:**  
 W.W. Grainger has not been in the headlines over the past week, suggesting stability in its operations and no immediate disruptions or major announcements. This lack of news could indicate a steady business environment, though it also means no recent catalysts to drive significant stock movement.
 **Financials:**  
 W.W. Grainger's financial performance reflects a robust and well-managed company. The firm has a trailing price-to-earnings (P/E) ratio of 25.83 and a forward P/E of 23.74, indicating moderate valuation levels relative to its earnings growth. The company has demonstrated strong profitability, with a return on equity (ROE) of 55.68% and return on assets (ROA) of 19.67%, both of which are well above industry averages. 
 Revenue growth of 5.9% year-over-year and earnings growth of 22.8% highlight the company's ability to expand its top and bottom lines, even in a challenging macroeconomic environment. Gross margins of 39.36% and operating margins of 15.78% underscore its operational efficiency. Additionally, the firm has a healthy free cash flow of $1.29 billion, which supports its dividend payments and potential reinvestment opportunities.
 The dividend yield of 0.8% is below its five-year average of 1.21%, reflecting the stock's recent price appreciation. However, the payout ratio of 20.69% suggests ample room for future dividend increases. The company's debt-to-equity ratio of 85.96 is somewhat elevated, but its strong current ratio of 2.49 and quick ratio of 1.42 indicate sufficient liquidity to manage its obligations.
 **Valuations:**  
 W.W. Grainger's stock is trading at $996.69-$1,024.48, near its 200-day moving average of $1,029.27 but below its 52-week high of $1,227.66. This suggests the stock has pulled back from its peak, potentially offering a more attractive entry point. The price-to-book ratio of 14.39 is high, reflecting the premium investors are willing to pay for its strong fundamentals and market position. The enterprise value-to-revenue ratio of 2.95 and enterprise value-to-EBITDA ratio of 17.42 indicate a fair valuation for a company with consistent growth and profitability.
 Analyst sentiment is mixed, with a recommendation mean of 2.90 (close to "hold") and a target median price of $1,100, implying modest upside potential from current levels. The stock's beta of 1.175 suggests slightly higher volatility than the broader market, which could be a consideration in the current uncertain economic environment.
 **Economic Outlook:**  
 The broader macroeconomic environment presents both challenges and opportunities for W.W. Grainger. The U.S. economy is showing signs of deceleration, with GDP expected to shrink by 1.5% in Q1 2025. Trade tensions, particularly the new tariffs on Canada, Mexico, and China, could impact industrial supply chains and input costs. However, W.W. Grainger's diversified product portfolio and strong operational efficiency may help it navigate these headwinds better than peers.
 The company's exposure to industrial and manufacturing sectors could benefit from long-term investments in U.S. infrastructure and reshoring trends, as companies adapt to the new trade environment. Additionally, its strong cash flow and liquidity position provide a buffer against potential economic slowdowns.
 **Summary of Thesis, Edge, and Risk:**  
 W.W. Grainger is a fundamentally strong company with consistent revenue and earnings growth, high profitability, and robust cash flow. Its operational efficiency and market leadership in the industrial supply sector provide a competitive edge. However, risks include potential margin pressures from tariffs and broader economic slowdown, as well as its relatively high valuation metrics. While the stock offers stability and long-term growth potential, near-term upside may be limited by macroeconomic uncertainties.
 **Score: 78**</t>
  </si>
  <si>
    <t>HCA</t>
  </si>
  <si>
    <t>**Investment Report: HCA Healthcare (HCA)**
 **Recent News:**  
 HCA Healthcare has been highlighted as a strong value stock by Zacks Premium research, emphasizing its appeal across value, growth, and momentum investment strategies. This recognition underscores the company's solid fundamentals and potential for long-term appreciation, even amid broader market volatility. The healthcare sector, particularly hospital operators like HCA, is often seen as a defensive play during economic slowdowns, providing stability in uncertain times.
 **Financials:**  
 HCA Healthcare's financial metrics reflect a robust operational foundation. The company has a trailing P/E ratio of 14.16 and a forward P/E of 12.68, indicating a relatively attractive valuation compared to the broader market. Its profit margins stand at 8.16%, supported by strong EBITDA margins of 19.63%, showcasing efficient cost management. Despite a slight decline in earnings growth (-5%) and quarterly revenue growth of 5.7%, HCA continues to generate significant free cash flow ($3.92 billion) and operating cash flow ($10.51 billion), which are critical for sustaining operations and shareholder returns.
 The company maintains a dividend yield of 0.94%, slightly above its five-year average of 0.82%, reflecting a commitment to returning value to shareholders. However, its high debt-to-equity ratio of 8,150.81% is a notable concern, driven by substantial total debt of $45.24 billion. While this leverage is common in capital-intensive industries like healthcare, it warrants close monitoring, especially in a rising interest rate environment.
 **Valuations:**  
 HCA's current price-to-sales ratio of 1.09 and enterprise value-to-EBITDA ratio of 8.92 suggest the stock is trading at a reasonable valuation relative to its revenue and earnings potential. The stock's 52-week range of $289.98 to $417.14 indicates it is trading closer to its lower end, potentially offering an entry point for value-focused investors. Analyst sentiment remains positive, with a mean target price of $374.89, representing a 21% upside from its recent trading levels. The recommendation mean of 1.8 (Buy) further supports the stock's attractiveness.
 **Economic Outlook:**  
 The broader economic environment presents both challenges and opportunities for HCA Healthcare. The U.S. economy is showing signs of deceleration, with GDP contraction expected in Q1 2025. However, healthcare services are generally less sensitive to economic cycles, providing a degree of insulation. Rising unemployment and potential reductions in consumer spending could impact elective procedures, but HCA's diversified revenue streams and focus on essential healthcare services mitigate this risk.
 The Federal Reserve's restrictive monetary policy and elevated interest rates could increase borrowing costs for HCA, given its high debt levels. However, moderating inflation and the potential for rate cuts later in the year may alleviate some of this pressure. Additionally, the aging U.S. population and increasing demand for healthcare services provide a favorable long-term growth trajectory for the industry.
 **Summary of Thesis, Edge, and Risk:**  
 HCA Healthcare's strong operational performance, attractive valuation metrics, and defensive positioning in the healthcare sector make it a compelling investment in the current economic climate. Its ability to generate substantial cash flow and maintain profitability despite macroeconomic headwinds is a key advantage. However, the company's high leverage and exposure to interest rate fluctuations pose risks that require careful consideration. The stock's current valuation and positive analyst sentiment suggest potential upside, but ongoing economic uncertainty and sector-specific challenges should be monitored.
 **Score: 78**</t>
  </si>
  <si>
    <t>RVTY</t>
  </si>
  <si>
    <t>**Investment Report: Revvity (Health Care Equipment Industry)**
 **Recent News:**  
 Revvity has not been featured in any significant news over the past week. This absence of news suggests stability in operations but also indicates a lack of recent catalysts that could drive short-term price movements. The broader macroeconomic environment, including trade tensions and slowing GDP growth, may indirectly influence the firm, particularly if healthcare equipment supply chains are impacted by tariffs or geopolitical developments.
 **Financials:**  
 Revvity's financial performance reflects a mixed picture. The company has a market capitalization of $13.27 billion and a trailing P/E ratio of 47.99, which is relatively high, indicating that the stock may be priced for growth. However, the forward P/E of 21.39 suggests expectations of significant earnings growth in the near future. The firm has demonstrated strong profitability metrics, with gross margins of 55.81% and EBITDA margins of 30.40%, showcasing its ability to maintain healthy operational efficiency.
 The company’s revenue growth of 4.8% year-over-year and earnings growth of 21.9% highlight its resilience in a challenging economic environment. Additionally, Revvity's free cash flow of $726.4 million and a robust current ratio of 3.60 indicate strong liquidity and financial health, which positions the company well to weather economic uncertainties. However, the debt-to-equity ratio of 43.38% suggests moderate leverage, which could become a concern if interest rates remain elevated or economic conditions worsen.
 **Valuations:**  
 Revvity's price-to-book ratio of 1.74 and trailing PEG ratio of 0.795 suggest that the stock is reasonably valued relative to its growth prospects. The stock is trading near its 52-week low of $97.32, with a current price of approximately $110. This could present an opportunity for long-term investors if the company continues to deliver on its growth trajectory. Analyst sentiment remains positive, with a recommendation mean of 1.95 (indicating a "buy") and a target median price of $140.50, implying a potential upside of over 25% from current levels.
 The dividend yield of 0.25% is modest but aligns with the company's low payout ratio of 12.17%, indicating that Revvity prioritizes reinvestment in growth over returning capital to shareholders. This strategy aligns with its forward-looking growth metrics.
 **Economic Outlook:**  
 The broader economic environment poses both risks and opportunities for Revvity. The U.S. economy is showing signs of deceleration, with GDP expected to shrink by 1.5% in Q1 2025. Trade tensions, particularly tariffs on Canada, Mexico, and China, could disrupt supply chains and increase input costs for healthcare equipment manufacturers. However, Revvity's strong liquidity and operational efficiency provide a buffer against these challenges.
 The healthcare sector is generally considered defensive, which could benefit Revvity in a slowing economy. Additionally, the company's focus on innovation and its ability to generate consistent cash flow position it well to navigate economic headwinds.
 **Summary:**  
 Revvity's investment thesis is supported by its strong financial health, reasonable valuation metrics, and robust growth prospects. Its edge lies in its operational efficiency and ability to generate significant free cash flow, which provide resilience in uncertain economic conditions. However, risks include its moderate leverage and potential exposure to macroeconomic challenges such as tariffs and slowing GDP growth.
 **Score: 78**</t>
  </si>
  <si>
    <t>ROST</t>
  </si>
  <si>
    <t>**Investment Report: Ross Stores (ROST)**
 **Recent News:**  
 Ross Stores is positioned to potentially exceed earnings expectations for Q4, driven by its strategic focus on store expansions and micro-merchandising. These initiatives aim to cater to localized consumer preferences, which could provide a competitive edge in a challenging macroeconomic environment. Despite broader economic headwinds, such as slowing GDP growth and rising tariffs, Ross Stores' operational strategies may help mitigate external pressures. Analysts are optimistic about the company's ability to deliver an earnings beat, reflecting confidence in its business model and execution.
 **Financials:**  
 Ross Stores demonstrates solid financial health with a market capitalization of $45.1 billion and a trailing P/E ratio of 21.51, slightly above the industry average, indicating moderate investor confidence in its growth prospects. The forward P/E of 20.45 suggests expectations of stable earnings growth. The company has a strong return on equity (ROE) of 42.93%, highlighting efficient use of shareholder capital, and a return on assets (ROA) of 11.13%, reflecting effective asset utilization. Revenue growth of 3% year-over-year and earnings growth of 11.3% underscore steady performance. However, the debt-to-equity ratio of 108.95% indicates a relatively high leverage level, which could pose risks in a rising interest rate environment.
 Ross Stores maintains a healthy cash position with $4.35 billion in total cash, supporting its ability to fund operations and expansions. The dividend yield of 1.05% is modest but consistent, with a payout ratio of 22.64%, suggesting room for future dividend increases. The company’s free cash flow of $1.13 billion further reinforces its financial stability.
 **Valuations:**  
 The stock is trading at a price-to-book ratio of 8.58, which is higher than the sector average, indicating a premium valuation. The trailing PEG ratio of 1.83 suggests that the stock is fairly valued relative to its growth prospects. Analysts' target prices range from $124.09 to $190.00, with a mean target of $165.75, implying potential upside from the current price of $140.32. Institutional ownership is high at 94.37%, reflecting strong confidence from large investors.
 **Economic Outlook:**  
 Ross Stores operates in the apparel retail industry, which is sensitive to consumer spending trends. The broader economic environment presents challenges, including slowing GDP growth, rising unemployment claims, and tariff-related uncertainties. However, Ross Stores' value-oriented business model may appeal to cost-conscious consumers during economic slowdowns. The company's focus on localized merchandising and store expansions positions it to capture market share even in a constrained spending environment. Additionally, its ability to manage inventory and adapt to changing consumer preferences could provide resilience against macroeconomic pressures.
 **Summary:**  
 **Thesis:** Ross Stores is well-positioned to navigate economic challenges through its strategic focus on micro-merchandising and store expansions, which cater to localized consumer needs.  
 **Edge:** The company’s strong financials, efficient capital utilization, and value-oriented business model provide a competitive advantage in a challenging retail landscape.  
 **Risk:** High leverage and potential impacts from macroeconomic headwinds, such as tariffs and slowing consumer spending, could pressure margins and growth.
 **Score: 78**</t>
  </si>
  <si>
    <t>SNPS</t>
  </si>
  <si>
    <t>**Investment Report: Synopsys (Application Software Industry)**
 **Recent News:**  
 Synopsys, a leader in electronic design automation (EDA) and silicon intellectual property (IP), is benefiting from the surge in semiconductor design activity, particularly for artificial intelligence (AI) applications. The company recently reported Q1 2025 earnings that exceeded expectations, with non-GAAP EPS of $3.03, surpassing both analyst estimates and management's guidance. Additionally, Synopsys provided a strong revenue forecast for Q2 2025, driven by robust demand for its chip design software. Despite these positive developments, the stock has declined 21% over the past year, reflecting valuation pressures and broader macroeconomic uncertainties. This disconnect between operational performance and stock price suggests potential undervaluation, especially given the company's strong fundamentals.
 **Financials:**  
 Synopsys' financial performance remains solid, with a market capitalization of $68.5 billion and a profit margin of 34.75%. The company boasts a strong balance sheet, with $3.8 billion in cash and a manageable debt-to-equity ratio of 7.15%. Its quick ratio of 2.35 and current ratio of 2.68 indicate strong liquidity. However, revenue growth has slowed, with a year-over-year decline of 3.7%, and earnings growth has contracted by 34.7%. Despite these challenges, Synopsys maintains high gross margins of 81.35%, reflecting its pricing power and operational efficiency. Free cash flow of $1.04 billion underscores its ability to generate cash and reinvest in growth opportunities.
 The stock's valuation metrics reveal mixed signals. The trailing price-to-earnings (P/E) ratio of 53.28 is elevated, but the forward P/E of 29.81 suggests expectations of future earnings growth. The price-to-book ratio of 7.37 and enterprise value-to-revenue multiple of 11.13 indicate a premium valuation, which may have contributed to the recent stock price decline. However, analysts remain optimistic, with a consensus "strong buy" rating and a target median price of $643, implying significant upside potential from the current price.
 **Valuations:**  
 Synopsys' valuation reflects its position as a market leader in a high-growth industry. The company's forward PEG ratio of 7.35 is high, indicating that its growth may not fully justify its current valuation. However, its strong cash position, profitability, and leadership in AI-driven semiconductor design provide a compelling long-term growth story. The stock is trading near its 52-week low of $442.29, well below its 52-week high of $624.80, suggesting potential for recovery if market sentiment improves.
 **Economic Outlook:**  
 The broader macroeconomic environment presents challenges for Synopsys. The U.S. economy is showing signs of deceleration, with GDP expected to contract in Q1 2025. Rising trade tensions, particularly with China, could impact the semiconductor industry, as tariffs and export controls disrupt global supply chains. However, Synopsys' focus on AI and advanced chip design positions it to benefit from long-term trends in technology innovation. The company's strong fundamentals and robust demand for its products provide a buffer against short-term economic headwinds.
 **Summary:**  
 **Thesis:** Synopsys is well-positioned to capitalize on the growing demand for AI-driven semiconductor design, supported by its market leadership and strong financials.  
 **Edge:** The company's high gross margins, strong cash flow, and leadership in EDA and silicon IP provide a competitive advantage in a rapidly evolving industry.  
 **Risk:** Elevated valuation metrics, slowing revenue growth, and macroeconomic uncertainties, including trade tensions, could weigh on the stock in the near term.  
 **Score: 78**</t>
  </si>
  <si>
    <t>DD</t>
  </si>
  <si>
    <t>**Investment Report: DuPont (Specialty Chemicals Industry)**
 **Recent News:**  
 DuPont has not been in the headlines over the past week, suggesting a period of operational stability without major disruptions or announcements. This lack of news could indicate a steady business environment, though it also means no immediate catalysts for significant stock movement.
 **Financials:**  
 DuPont's recent trading activity shows a volatile range, with a day low of $78.51 and a high of $82.40, reflecting broader market uncertainty. The stock is trading near its 50-day average of $78.08, slightly below its 200-day average of $80.96, suggesting a neutral to slightly bearish sentiment in the short term. The company’s beta of 1.28 indicates higher volatility compared to the broader market, which could amplify price swings in the current uncertain economic environment.
 DuPont's trailing price-to-earnings (PE) ratio of 44.54 is elevated, but its forward PE of 17.96 suggests expectations of significant earnings growth. The trailing PEG ratio of 0.44 further supports this, indicating that the stock may be undervalued relative to its growth potential. The dividend yield of 2.01% is slightly above its five-year average of 1.93%, providing a modest income stream for investors. However, the high payout ratio of 85.88% raises questions about the sustainability of the dividend if earnings were to decline.
 The company’s balance sheet shows a manageable debt-to-equity ratio of 31.85, supported by a current ratio of 1.33, indicating sufficient liquidity to cover short-term obligations. Free cash flow of $2.02 billion and operating cash flow of $1.85 billion highlight strong cash generation, which is critical for funding operations and shareholder returns.
 **Valuations:**  
 DuPont's price-to-book ratio of 1.41 suggests the stock is trading at a reasonable premium to its book value, which is typical for companies in the specialty chemicals sector. The enterprise value-to-revenue ratio of 3.16 and enterprise value-to-EBITDA ratio of 12.76 are within industry norms, indicating that the stock is not excessively overvalued. Analyst sentiment remains positive, with a recommendation mean of 1.8 (buy) and a median price target of $100, implying a potential upside of approximately 25% from current levels.
 **Economic Outlook:**  
 The broader economic environment presents mixed signals for DuPont. The U.S. economy is showing signs of deceleration, with GDP expected to shrink by 1.5% in Q1 2025. Trade tensions, particularly the new tariffs on Canada, Mexico, and China, could disrupt supply chains and increase input costs for DuPont, given its global operations. However, the company’s revenue growth of 6.7% and gross margins of 36.59% suggest resilience in its core business. The specialty chemicals industry often benefits from long-term demand in sectors like construction, automotive, and electronics, which could offset near-term headwinds.
 **Summary of Thesis, Edge, and Risk:**  
 DuPont offers a balanced investment case with strong cash flow generation, reasonable valuations, and a positive growth outlook. Its diversified product portfolio and global presence provide a competitive edge in navigating economic uncertainties. However, risks include elevated payout ratios, potential cost pressures from tariffs, and broader market volatility. While the stock appears fairly valued, its forward growth potential and analyst optimism suggest room for upside if macroeconomic conditions stabilize.
 **Score: 78**</t>
  </si>
  <si>
    <t>**Investment Report: Qualcomm**
 **Recent News:**  
 Qualcomm is undergoing a significant transition as Apple moves to in-house cellular chips, which is expected to reduce Qualcomm's revenue from one of its key clients. However, the company is countering this challenge by expanding its market share across various segments through innovative product launches. Qualcomm's ability to adapt and diversify its revenue streams has positioned it as a strong contender in the semiconductor industry. Analysts remain optimistic about its long-term growth potential, citing its strategic focus on innovation and its ability to capture opportunities in emerging markets such as automotive, IoT, and AI-driven applications.
 **Financials:**  
 Qualcomm's financial metrics reflect a solid foundation despite near-term challenges. The company has a trailing P/E ratio of 16.57 and a forward P/E of 12.56, indicating a relatively attractive valuation compared to its historical averages and peers. Its profit margins remain robust at 25.94%, supported by strong gross margins of 55.99%. Qualcomm's revenue growth of 17.5% and earnings growth of 15% demonstrate resilience and operational efficiency. The company maintains a healthy balance sheet with a current ratio of 2.62 and a quick ratio of 1.79, ensuring liquidity to navigate potential headwinds. Free cash flow of $9.74 billion and operating cash flow of $13.84 billion further underscore its financial strength.
 The dividend yield of 2.16% is slightly above its five-year average, reflecting Qualcomm's commitment to returning value to shareholders. However, the stock has underperformed the S&amp;P 500 over the past year, with a 52-week change of -2.65% compared to the S&amp;P's 17.25% gain, suggesting potential undervaluation.
 **Valuations:**  
 Qualcomm's price-to-sales ratio of 4.17 and price-to-book ratio of 6.32 indicate that the stock is trading at a premium relative to its book value but remains reasonable given its strong profitability and growth prospects. The enterprise value-to-EBITDA ratio of 13.52 is in line with industry standards, reflecting fair valuation. Analyst price targets range from $160 to $250, with a mean target of $199, suggesting significant upside potential from the current price of approximately $153.
 **Economic Outlook:**  
 The broader economic environment presents mixed signals for Qualcomm. The ongoing trade tensions, particularly between the U.S. and China, could impact the semiconductor supply chain and demand dynamics. However, Qualcomm's diversified product portfolio and focus on high-growth markets such as automotive and IoT provide a buffer against macroeconomic uncertainties. The company's beta of 1.29 indicates higher sensitivity to market volatility, which could be exacerbated by geopolitical and economic headwinds.
 **Summary:**  
 **Thesis:** Qualcomm's innovative product launches and market share gains position it as a resilient player in the semiconductor industry, even as it faces revenue headwinds from Apple's shift to in-house chips.  
 **Edge:** Strong financials, robust cash flow, and a diversified revenue base in high-growth markets provide a competitive advantage.  
 **Risk:** Trade tensions, market volatility, and the loss of Apple as a major client could weigh on near-term performance.
 **Score: 78**</t>
  </si>
  <si>
    <t>PYPL</t>
  </si>
  <si>
    <t>**Investment Report: PayPal Holdings, Inc.**
 **Recent News:**  
 PayPal is actively pursuing a strategic transformation to reignite growth after a period of stagnation. The company is shifting from being a pure payments provider to a broader commerce platform, as highlighted during its recent Investor Day. Key initiatives include expanding its omnichannel strategy and targeting $2 billion in Venmo revenue by 2027. Partnerships, such as the one with Verifone to enhance checkout capabilities, and international moves like the PayPal-backed Mintoak acquisition in India, underscore its efforts to strengthen its market position. However, competition from Apple Pay and other digital wallets remains a significant challenge. Analysts view PayPal's stock as oversold, with optimism for a rebound driven by these strategic initiatives.
 **Financials:**  
 PayPal's financial metrics reflect a mixed picture. The company trades at a trailing P/E of 17.48 and a forward P/E of 14.26, suggesting a relatively attractive valuation compared to its historical averages. Its price-to-sales ratio of 2.17 and price-to-book ratio of 3.39 indicate that the stock is undervalued relative to its peers in the transaction and payment processing industry. Despite a modest revenue growth rate of 4.2% year-over-year, earnings growth has declined by 15.2%, reflecting challenges in maintaining profitability. The company has a strong cash position of $10.82 billion, which provides flexibility for strategic investments, but its debt-to-equity ratio of 58.07% highlights a need for prudent financial management. Free cash flow of $3.49 billion and operating margins of 17.38% demonstrate operational efficiency, though earnings quarterly growth of -20% signals near-term headwinds.
 **Valuations:**  
 PayPal's current market price of approximately $69.50-$71.57 is significantly below its 52-week high of $93.66, indicating a potential upside. Analysts' target prices range from $70 to $125, with a mean target of $95.48, suggesting a substantial potential return. The stock's beta of 1.53 reflects higher volatility, which could amplify both risks and rewards. The trailing PEG ratio of 0.92 indicates that the stock is undervalued relative to its growth prospects, making it an attractive option for long-term investors seeking value in the technology sector.
 **Economic Outlook:**  
 The broader economic environment presents challenges for PayPal. The U.S. economy is showing signs of deceleration, with GDP contraction expected in Q1 2025 and rising jobless claims. Trade tensions, particularly with China, could impact consumer spending and cross-border transactions, areas critical to PayPal's business. However, the Federal Reserve's efforts to control inflation and potential rate cuts later in the year could provide a more favorable macroeconomic backdrop. PayPal's focus on innovation and partnerships positions it well to navigate these uncertainties, though competition and economic headwinds remain risks.
 **Summary:**  
 PayPal's thesis lies in its strategic pivot toward becoming a commerce platform, supported by strong partnerships and a focus on omnichannel growth. Its valuation metrics suggest the stock is undervalued, offering a potential edge for long-term investors. However, risks include declining earnings growth, competition from Apple Pay, and macroeconomic challenges such as slowing consumer spending and trade tensions.
 **Score: 78**</t>
  </si>
  <si>
    <t>PNC</t>
  </si>
  <si>
    <t>**Investment Report: PNC Financial Services**
 **Recent News:**  
 PNC Financial Services has not been in the headlines over the past week, indicating a period of stability without any major disruptions or announcements. This lack of news suggests that the company is operating within expected parameters, with no immediate catalysts or risks emerging from external developments.
 **Financials:**  
 PNC Financial Services demonstrates strong financial health, with a market capitalization of $74.99 billion and a price-to-earnings (P/E) ratio of 13.79, which is slightly below the industry average, indicating a reasonable valuation. The forward P/E of 12.62 suggests expectations of earnings growth in the near term. The company’s dividend yield of 3.33% is slightly below its five-year average of 3.57%, but the payout ratio of 45.85% indicates a sustainable dividend policy. 
 The firm’s earnings growth of 86.3% year-over-year and revenue growth of 5.5% highlight its ability to expand in a challenging macroeconomic environment. Return on equity (ROE) stands at a robust 11.27%, reflecting efficient use of shareholder capital. Additionally, the price-to-book ratio of 1.54 suggests the stock is trading at a premium to its book value, but not excessively so for a company with strong profitability metrics.
 PNC’s balance sheet shows $9.87 billion in cash and $66.71 billion in total debt, resulting in a manageable debt-to-equity ratio. The company’s operating cash flow of $7.88 billion further supports its ability to meet financial obligations and fund growth initiatives.
 **Valuations:**  
 PNC’s stock is trading near the lower end of its 52-week range, with a recent close of $191.92 compared to a high of $216.26. This positions the stock as potentially undervalued, especially given its solid financial performance and growth metrics. Analyst sentiment remains positive, with a mean target price of $218.88, representing a 14% upside from current levels. The recommendation mean of 2.13 (on a scale where 1.0 is a strong buy) underscores confidence in the stock’s potential.
 **Economic Outlook:**  
 The broader economic environment presents mixed signals for PNC Financial Services. The U.S. economy is showing signs of deceleration, with GDP expected to contract by 1.5% in Q1 2025. Rising jobless claims and a record trade deficit could weigh on consumer and business activity, potentially impacting loan demand and credit quality. However, moderating inflation and the possibility of Federal Reserve rate cuts later in the year could provide relief for the financial sector, particularly for banks like PNC that benefit from a stable interest rate environment.
 PNC’s beta of 1.13 indicates slightly higher volatility than the broader market, which could amplify stock movements in response to macroeconomic developments. The company’s strong profit margins (28.36%) and operating margins (35.21%) provide a cushion against potential economic headwinds.
 **Summary:**  
 PNC Financial Services is well-positioned within the diversified banking industry, supported by strong financial performance, sustainable dividends, and reasonable valuations. Its earnings growth and efficient capital utilization provide a competitive edge, while its exposure to macroeconomic risks, such as a slowing economy and potential credit quality concerns, remains a key consideration. The lack of recent news suggests operational stability, but the broader economic environment could introduce volatility in the near term.
 **Score: 78**</t>
  </si>
  <si>
    <t>PODD</t>
  </si>
  <si>
    <t>**Investment Report: Insulet Corporation (PODD)**
 **Recent News:**  
 Insulet Corporation continues to demonstrate robust sales growth, reflecting strong demand for its innovative diabetes management solutions, particularly its Omnipod insulin delivery system. This growth trend aligns with the broader healthcare industry's increasing focus on chronic disease management and technological advancements. However, the company operates in a competitive market, and maintaining its growth trajectory will require continued innovation and market penetration.
 **Financials:**  
 Insulet's financial performance highlights its strong market position. The company has a market capitalization of $19.15 billion and a trailing price-to-earnings (P/E) ratio of 47.25, indicating a premium valuation relative to the broader market. Its forward P/E of 70.45 suggests expectations of continued growth, though it also reflects a high level of optimism priced into the stock. The company boasts a gross margin of 69.79%, underscoring its ability to generate significant profitability from its operations. However, its operating margin of 16.03% and EBITDA margin of 18.81% suggest room for improvement in operational efficiency.
 Revenue growth of 17.2% year-over-year is a positive indicator, but earnings growth has declined by 6.2%, reflecting potential cost pressures or investments in growth initiatives. The company's debt-to-equity ratio of 118.37% is relatively high, indicating a leveraged balance sheet, though its strong current ratio of 3.58 and quick ratio of 2.50 suggest sufficient liquidity to meet short-term obligations. Free cash flow of $155.28 million and operating cash flow of $430.3 million further support its financial stability.
 **Valuations:**  
 Insulet's valuation metrics, including a price-to-sales ratio of 9.24 and price-to-book ratio of 15.80, indicate that the stock is trading at a significant premium compared to its peers in the healthcare equipment industry. While this premium is justified by its strong growth prospects and market leadership, it also leaves limited room for error. Analysts' target prices range from $234 to $355, with a mean target of $312.88, suggesting potential upside from current levels. However, the high valuation multiples imply that the stock is vulnerable to any negative developments or broader market downturns.
 **Economic Outlook:**  
 The broader economic environment presents both opportunities and risks for Insulet. The healthcare sector remains resilient amid economic uncertainty, driven by the essential nature of its products and services. However, macroeconomic headwinds, including potential recessionary pressures and rising interest rates, could impact consumer spending and healthcare budgets. Additionally, trade tensions and tariffs could disrupt supply chains or increase costs, though Insulet's focus on domestic markets may mitigate these risks.
 **Summary of Thesis, Edge, and Risk:**  
 Insulet Corporation's strong sales growth and market leadership in diabetes management solutions position it well for continued success. Its innovative product offerings and high gross margins provide a competitive edge in a growing market. However, the stock's premium valuation and leveraged balance sheet present risks, particularly in the face of broader economic uncertainty or operational challenges. Investors should monitor the company's ability to sustain revenue growth, improve operational efficiency, and manage its debt levels.
 **Score: 78**</t>
  </si>
  <si>
    <t>CHTR</t>
  </si>
  <si>
    <t>**Investment Report: Charter Communications (CHTR)**
 **Recent News:**  
 Charter Communications (CHTR) has been a notable performer within the Consumer Discretionary sector, outpacing many of its peers in 2025. The stock has benefited from its strong operational execution and resilience in a challenging macroeconomic environment. However, the broader sector faces headwinds from rising tariffs and slowing consumer confidence, which could weigh on discretionary spending. Charter's focus on subscription-based revenue streams, such as broadband and cable services, provides a degree of insulation from these pressures compared to more cyclical peers.
 **Financials:**  
 Charter's financial performance reflects a solid foundation. The company boasts a trailing price-to-earnings (P/E) ratio of 10.60 and a forward P/E of 10.36, indicating a relatively attractive valuation compared to the broader market. Its profit margins of 9.23% and EBITDA margins of 39.75% highlight strong operational efficiency. Revenue growth remains modest at 1.6%, but earnings growth of 42.6% demonstrates the company's ability to improve profitability. Charter's return on equity (ROE) of 34% is particularly impressive, showcasing effective capital utilization.
 However, the company's balance sheet raises some concerns. With a debt-to-equity ratio of 493.1%, Charter is highly leveraged, which could pose risks in a rising interest rate environment. The quick ratio of 0.26 and current ratio of 0.31 indicate limited short-term liquidity, though the company generates substantial operating cash flow ($14.43 billion) and free cash flow ($2.85 billion), which helps mitigate immediate liquidity concerns.
 **Valuations:**  
 Charter's stock is trading at a price-to-book (P/B) ratio of 3.38, which is reasonable given its strong ROE and profitability metrics. The stock has gained 29.45% over the past year, outperforming the S&amp;P 500's 17.25% increase. Analysts have a median price target of $391.23, suggesting modest upside potential from current levels. The recommendation mean of 2.62 (on a scale where 1 is "Strong Buy" and 5 is "Sell") indicates a "Hold" consensus among analysts.
 **Economic Outlook:**  
 The macroeconomic environment presents mixed implications for Charter. On one hand, the company's subscription-based model provides stability amid economic uncertainty, as broadband and cable services are considered essential by many households. On the other hand, slowing GDP growth, rising unemployment claims, and weakening consumer confidence could dampen demand for premium services or upgrades. Additionally, Charter's high debt levels make it sensitive to interest rate fluctuations, though the Federal Reserve's potential pivot to rate cuts later in 2025 could provide relief.
 **Summary:**  
 **Thesis:** Charter Communications benefits from a resilient subscription-based business model, strong profitability, and attractive valuations relative to its peers.  
 **Edge:** The company's operational efficiency and ability to generate substantial cash flow provide a competitive advantage in a challenging economic environment.  
 **Risk:** High leverage and limited short-term liquidity pose risks, particularly if economic conditions deteriorate further or interest rates remain elevated.
 **Score: 78**</t>
  </si>
  <si>
    <t>STT</t>
  </si>
  <si>
    <t>**Investment Report: State Street Corporation (STT)**
 **Recent News:**  
 State Street Corporation has announced its acquisition of Mizuho Financial's global custody business outside of Japan. This move aligns with State Street's strategic focus on expanding its footprint in high-growth, lucrative markets. The acquisition is expected to enhance the firm's global custody capabilities, particularly in Asia-Pacific, a region with increasing demand for asset servicing and custody solutions. This development positions State Street to capture a larger share of the global asset management market, which is becoming increasingly competitive. However, integration risks and potential regulatory hurdles could pose challenges in the short term.
 **Financials:**  
 State Street's financial metrics reflect a solid foundation. The company has a trailing P/E ratio of 11.81 and a forward P/E of 10.38, indicating a relatively attractive valuation compared to industry peers. Its dividend yield of 3.06% is consistent with its five-year average, suggesting stability in shareholder returns. The firm's price-to-book ratio of 1.24 indicates that the stock is trading near its book value, which could appeal to value-oriented investors. Additionally, the company has demonstrated strong earnings growth of 3.42% and revenue growth of 12.5% year-over-year, signaling robust operational performance. However, the negative operating cash flow (-$13.2 billion) and high enterprise value-to-revenue ratio (-3.46) warrant closer scrutiny, as they may indicate inefficiencies or capital allocation challenges.
 **Valuations:**  
 State Street's market capitalization of $27.98 billion and a 52-week price change of +35.36% outperform the S&amp;P 500's 17.25% gain over the same period, reflecting strong investor confidence. Analyst sentiment remains positive, with a mean recommendation of "buy" and a target median price of $108.75, suggesting upside potential from the current price of approximately $99. The firm's PEG ratio of 1.04 indicates that its growth is reasonably priced, making it an attractive option for growth-oriented investors. However, the elevated beta of 1.47 suggests higher volatility, which could amplify risks in a turbulent market environment.
 **Economic Outlook:**  
 The macroeconomic environment presents both opportunities and challenges for State Street. The ongoing trade tensions and tariffs imposed by the U.S. administration could disrupt global financial markets, potentially impacting asset flows and custody volumes. However, the Federal Reserve's restrictive monetary policy, coupled with moderating inflation, may stabilize interest rate expectations, benefiting financial institutions like State Street. Additionally, the firm's strong institutional ownership (91.67%) underscores confidence in its long-term prospects, even amid economic uncertainty.
 **Summary of Thesis, Edge, and Risk:**  
 State Street's acquisition of Mizuho Financial's global custody business strengthens its competitive position in the asset management and custody banking industry, particularly in high-growth regions. The firm's solid financial performance, attractive valuation metrics, and consistent dividend yield provide a compelling investment case. However, risks include integration challenges from the acquisition, negative operating cash flow, and heightened market volatility due to macroeconomic uncertainties.
 **Score: 78**</t>
  </si>
  <si>
    <t>**Investment Report: CME Group**
 **Recent News:**  
 CME Group has announced plans to launch futures contracts for Solana, a prominent cryptocurrency, on March 17, pending regulatory approval. This move signifies CME Group's continued expansion into the cryptocurrency derivatives market, following its earlier success with Bitcoin and Ethereum futures. The addition of Solana futures could attract institutional and retail investors seeking exposure to this rapidly growing digital asset. However, regulatory scrutiny remains a potential hurdle, as the cryptocurrency market faces heightened oversight globally. This development aligns with CME's strategy to diversify its product offerings and capitalize on the increasing demand for cryptocurrency-related financial instruments.
 **Financials:**  
 CME Group's financial performance remains robust, with a trailing price-to-earnings (P/E) ratio of 26.56 and a forward P/E of 24.77, indicating moderate valuation levels relative to its earnings growth. The company boasts a strong dividend yield of 4.26%, significantly above its five-year average of 3.37%, making it attractive to income-focused investors. Its profit margins are impressive, with a net margin of 57.6% and EBITDA margins of 69.8%, reflecting operational efficiency. Revenue growth of 6% and earnings growth of 7.2% demonstrate steady expansion, supported by its dominant position in the financial exchanges and data industry. However, the company's high payout ratio of 107.55% suggests that dividend sustainability may rely on continued earnings growth.
 CME's balance sheet shows a manageable debt-to-equity ratio of 14.43, with total debt of $3.82 billion and cash reserves of $3.01 billion. The company's free cash flow of $2.68 billion underscores its ability to fund operations and shareholder returns. Despite these strengths, its quick ratio of 0.035 indicates limited short-term liquidity, which could pose challenges in a volatile market environment.
 **Valuations:**  
 CME Group's stock is trading near its 52-week high of $257.78, reflecting strong investor confidence. Its price-to-book ratio of 3.49 suggests a premium valuation compared to its book value, which is typical for a market leader with high profitability. The stock's beta of 0.547 indicates lower volatility relative to the broader market, making it a relatively defensive investment. Analysts' target prices range from $200 to $290, with a median target of $262.50, implying limited upside potential from current levels. The recommendation mean of 2.67 (hold) reflects a cautious stance among analysts, likely due to valuation concerns and macroeconomic uncertainties.
 **Economic Outlook:**  
 CME Group operates in a challenging macroeconomic environment marked by slowing GDP growth, rising trade tensions, and elevated market volatility. The U.S. economy is projected to contract by 1.5% in Q1 2025, which could dampen trading volumes in traditional asset classes. However, heightened volatility and increased interest in alternative assets, such as cryptocurrencies, may offset these headwinds. The Federal Reserve's restrictive monetary policy and potential rate cuts later in the year could also influence trading activity across CME's product portfolio. Additionally, geopolitical developments, including U.S.-China trade tensions and regulatory changes, may impact market sentiment and trading volumes.
 **Summary of Thesis, Edge, and Risk:**  
 CME Group's strategic expansion into cryptocurrency derivatives, including the upcoming Solana futures, positions it to capture growth in a burgeoning market segment. Its strong financial performance, high profit margins, and attractive dividend yield provide a solid foundation for long-term value creation. However, the stock's premium valuation, limited short-term liquidity, and reliance on regulatory approval for new products present risks. Macroeconomic uncertainties and potential disruptions in traditional trading volumes further underscore the need for cautious optimism.
 **Score: 78**</t>
  </si>
  <si>
    <t>C</t>
  </si>
  <si>
    <t>**Investment Report: Citigroup**
 **Recent News:**  
 Citigroup has faced operational challenges, including high-profile errors such as a $6 billion crediting mistake and a prior $81 trillion error, both of which were quickly corrected. These incidents underscore ongoing risks in operational efficiency and internal controls, which could weigh on investor confidence. Additionally, the departure of David Finkelstein, head of global consumer and retail banking, signals potential leadership instability in a key division. However, CEO Jane Fraser's strategic restructuring and cost-cutting initiatives aim to address these issues and enhance shareholder value. The bank's $20 billion share buyback program reflects management's confidence in its undervalued stock, while Warren Buffett's recent interest in the company has drawn attention, though the rationale behind his moves remains unclear.
 **Financials:**  
 Citigroup's financial metrics suggest a strong valuation case. The stock trades at a price-to-book ratio of 0.76, significantly below 1, indicating it is undervalued relative to its book value. Its trailing P/E ratio of 12.97 and forward P/E of 10.73 are attractive compared to industry averages, suggesting room for growth. The bank's dividend yield of 2.8% and a payout ratio of 36.64% provide a steady income stream for investors. Citigroup's revenue growth of 13.7% year-over-year and profit margins of 17.77% highlight its ability to generate solid earnings despite operational setbacks. However, the bank's return on equity (6.18%) lags behind peers, reflecting room for improvement in capital efficiency.
 **Valuations:**  
 Citigroup's current market price of $77.26 is well below its 52-week high of $84.74, offering potential upside. Analysts' median target price of $90 suggests a 16.5% upside from current levels, with a high target of $116 indicating even greater potential. The bank's enterprise-to-revenue ratio of 0.36 and price-to-sales ratio of 2.04 further support its undervaluation. Additionally, its robust cash position of $780.5 billion and manageable debt levels provide financial stability, even in a challenging macroeconomic environment.
 **Economic Outlook:**  
 The broader economic environment presents mixed signals for Citigroup. Rising interest rates and a potential economic slowdown could pressure loan growth and credit quality, while geopolitical tensions and trade uncertainties may impact global banking operations. However, Citigroup's diversified revenue streams and global presence position it to weather these challenges. The bank's restructuring efforts under Jane Fraser, combined with its focus on cost efficiency, could enhance profitability over the medium term. Additionally, the Federal Reserve's potential rate cuts later in 2025 could provide a tailwind for the financial sector.
 **Summary of Thesis, Edge, and Risk:**  
 Citigroup's undervaluation, strong cash position, and strategic restructuring efforts under CEO Jane Fraser provide a compelling investment thesis. The bank's edge lies in its global footprint and ability to generate consistent revenue growth despite operational challenges. However, risks include ongoing operational inefficiencies, leadership turnover, and potential macroeconomic headwinds such as rising credit risks and slowing loan demand.
 **Score: 78**</t>
  </si>
  <si>
    <t>**Investment Report: CF Industries**
 **Recent News:**  
 CF Industries has not been in the news over the past week, indicating a lack of significant developments or disruptions. This absence of news suggests stability in operations but also a lack of immediate catalysts for the stock. The broader macroeconomic environment, including trade tensions and tariff implementations, could indirectly impact the agricultural chemicals sector, particularly if input costs or export markets are affected.
 **Financials:**  
 CF Industries demonstrates strong financial health with a trailing P/E ratio of 11.57 and a forward P/E of 12.62, indicating a relatively attractive valuation compared to the broader market. The company’s dividend yield of 2.47% is slightly above its five-year average of 2.35%, reflecting a consistent return to shareholders. The payout ratio of 29.67% suggests the dividend is sustainable, supported by robust free cash flow of $1.59 billion and operating cash flow of $2.27 billion.
 The company’s profitability metrics are solid, with a net profit margin of 20.52% and EBITDA margins of 44.64%. However, revenue growth has declined by 3% year-over-year, reflecting potential challenges in demand or pricing power. Despite this, earnings growth of 31.6% indicates effective cost management or operational efficiencies.
 CF Industries maintains a strong balance sheet with a current ratio of 3.08 and a quick ratio of 2.47, highlighting its ability to meet short-term obligations. Debt-to-equity stands at 42.76%, which is manageable given the company’s cash reserves of $1.61 billion and consistent cash generation.
 **Valuations:**  
 The stock is trading at a price-to-book ratio of 2.66, which is reasonable for the industry. Its enterprise value-to-EBITDA ratio of 6.59 suggests the company is undervalued relative to its earnings potential. Analyst sentiment is mixed, with a mean price target of $90.02, representing an upside of approximately 15% from the current price. The recommendation mean of 2.62 (on a scale where 1 is a strong buy and 5 is a sell) indicates a "hold" consensus among analysts.
 **Economic Outlook:**  
 The agricultural chemicals industry is sensitive to macroeconomic factors such as trade policies, input costs, and global agricultural demand. Recent tariff escalations by the U.S. and retaliatory measures from trading partners could disrupt supply chains or increase costs for CF Industries. However, the company’s strong cash position and operational efficiency provide a buffer against these risks. Additionally, the firm’s beta of 0.979 suggests it is less volatile than the broader market, which could appeal to investors seeking stability amid economic uncertainty.
 **Summary:**  
 CF Industries presents a compelling investment thesis based on its strong profitability, attractive valuation, and consistent dividend payouts. Its edge lies in its operational efficiency and robust cash flow generation, which support financial stability even in challenging market conditions. The primary risk is the potential impact of macroeconomic headwinds, including trade tensions and declining revenue growth, which could pressure margins or demand.
 **Score: 78**</t>
  </si>
  <si>
    <t>BRO</t>
  </si>
  <si>
    <t>**Investment Report: Brown &amp; Brown (BRO)**
 **Recent News:**  
 Brown &amp; Brown, a prominent player in the insurance brokerage industry, has recently reached a 52-week high, reflecting strong investor confidence. The stock has gained 9.3% since its last earnings report, driven by robust business fundamentals, including solid retention rates, higher core commissions, and strategic acquisitions. The firm's reputation for steady earnings and its position as a defensive stock have attracted investors amid broader market volatility. Analysts have highlighted its ability to capitalize on new business opportunities and prudent capital deployment, further solidifying its growth trajectory.
 **Financials:**  
 Brown &amp; Brown's financial performance underscores its resilience and operational efficiency. The company boasts a market capitalization of $34.27 billion and a profit margin of 21.07%, indicating strong profitability. Its trailing P/E ratio of 34.64 and forward P/E of 29.31 suggest a premium valuation, reflecting investor optimism about future earnings growth. The firm's revenue grew by 15.2% year-over-year, reaching $4.71 billion, while EBITDA margins remain robust at 33.87%. However, earnings growth has contracted by 21.9%, which may raise concerns about near-term profitability. The company maintains a healthy dividend payout ratio of 15.61%, with a dividend yield of 0.51%, slightly below its five-year average of 0.66%. 
 On the balance sheet, Brown &amp; Brown has $685 million in cash and $4.06 billion in total debt, resulting in a debt-to-equity ratio of 63.07. While this leverage is notable, the firm's strong operating cash flow of $1.17 billion and free cash flow of $859 million provide a cushion for debt servicing and future investments. The return on equity (ROE) of 16.68% and return on assets (ROA) of 5.28% highlight efficient capital utilization.
 **Valuations:**  
 The stock is trading at a price-to-book ratio of 5.34, which is relatively high compared to industry peers, indicating a premium valuation. Its price-to-sales ratio of 7.27 further reflects the market's confidence in the company's ability to generate consistent revenue growth. Analysts have set a target price range of $97 to $128, with a median target of $118, aligning closely with its current trading levels. The recommendation mean of 2.33 (Buy) suggests a favorable outlook among analysts.
 **Economic Outlook:**  
 The broader economic environment presents both opportunities and challenges for Brown &amp; Brown. As investors shift toward defensive sectors amid economic uncertainty, the insurance brokerage industry is well-positioned to benefit. However, macroeconomic headwinds, including rising interest rates and potential recessionary pressures, could impact client demand and premium growth. Additionally, the firm's exposure to higher debt levels may become a concern if borrowing costs rise further. Despite these risks, the company's strategic acquisitions and focus on core business growth provide a solid foundation for navigating economic volatility.
 **Summary:**  
 **Thesis:** Brown &amp; Brown's strong retention rates, strategic acquisitions, and robust cash flow generation position it as a leader in the insurance brokerage industry. Its defensive nature and steady earnings growth make it an attractive option in uncertain economic conditions.  
 **Edge:** The firm's ability to capitalize on new business opportunities and its disciplined capital deployment strategy provide a competitive advantage.  
 **Risk:** Elevated valuations, earnings contraction, and macroeconomic headwinds, including rising interest rates, could weigh on future performance.
 **Score: 78**</t>
  </si>
  <si>
    <t>CMG</t>
  </si>
  <si>
    <t>**Investment Report: Chipotle Mexican Grill**
 **Recent News:**  
 Chipotle Mexican Grill has been navigating a complex environment marked by rising costs due to tariffs, particularly on avocados, a key ingredient in its menu offerings. The company has chosen to absorb these costs rather than pass them on to consumers, a move that could support customer loyalty but may pressure margins. Despite these challenges, the stock has received an upgrade to "overweight" by Morgan Stanley, reflecting confidence in its long-term growth potential and operational resilience. Analysts have highlighted Chipotle's strong fundamentals and market positioning, though concerns linger following a cautious margin outlook in its Q4 2024 earnings report. The stock has shown resilience, with recent upward momentum, but remains sensitive to broader economic and regulatory pressures.
 **Financials:**  
 Chipotle's financial performance reflects a robust growth trajectory, with revenue growth of 13.1% and earnings growth of 16.6% year-over-year. The company boasts strong profitability metrics, including gross margins of 40.5% and operating margins of 14.98%. Its return on equity (45.67%) and return on assets (14.16%) underscore efficient capital utilization. However, the company's debt-to-equity ratio of 124.21% indicates a leveraged balance sheet, which could pose risks in a rising interest rate environment. Free cash flow of $1.17 billion and a quick ratio of 1.398 suggest adequate liquidity to manage short-term obligations. The trailing P/E ratio of 48.95 and forward P/E of 41.47 indicate a premium valuation, reflecting high investor expectations for future growth.
 **Valuations:**  
 Chipotle's valuation metrics suggest it is trading at a premium compared to the broader market, with a price-to-sales ratio of 6.51 and a price-to-book ratio of 20.20. While these figures may appear elevated, they are consistent with the company's strong brand equity, growth potential, and operational efficiency. The stock's beta of 1.274 indicates higher volatility relative to the market, which could amplify price swings amid economic uncertainty. Analyst sentiment remains positive, with a mean target price of $65.10, representing potential upside from current levels. However, the stock's 52-week change of -0.47% underperforms the S&amp;P 500's 17.25% gain, reflecting recent headwinds.
 **Economic Outlook:**  
 Chipotle operates in a challenging macroeconomic environment characterized by slowing GDP growth, rising tariffs, and elevated inflationary pressures. The company's decision to absorb tariff-related costs could weigh on margins, particularly as avocado prices remain volatile. Broader economic uncertainty, including weakening consumer confidence and potential recessionary pressures, may impact discretionary spending, a key driver for the restaurant industry. However, Chipotle's focus on quality, innovation, and digital expansion positions it well to capture market share and sustain growth in the long term.
 **Summary:**  
 **Thesis:** Chipotle's strong brand, operational efficiency, and growth potential make it a compelling player in the restaurant industry, even amid economic headwinds.  
 **Edge:** The company's ability to absorb costs without alienating customers and its focus on digital innovation provide a competitive advantage.  
 **Risk:** Elevated valuations, margin pressures from tariffs, and broader economic uncertainty could weigh on near-term performance.  
 **Score: 78**</t>
  </si>
  <si>
    <r>
      <t xml:space="preserve">**Investment Report: Chubb Limited (CB)**
 **Recent News:**  
 Chubb Limited is actively pursuing inorganic growth through strategic acquisitions, as evidenced by its pending buyout of Liberty Mutual's insurance businesses in Thailand and Vietnam. This move aligns with Chubb's global expansion strategy, particularly in high-growth emerging markets. Southeast Asia's insurance market is experiencing rapid growth due to rising middle-class populations and increasing demand for financial protection, making this acquisition a potentially lucrative opportunity. However, integration risks and regulatory challenges in these markets could pose hurdles. Additionally, Chubb's increased visibility among investors, as highlighted by </t>
    </r>
    <r>
      <rPr>
        <rFont val="&quot;Helvetica Neue&quot;"/>
        <color rgb="FF1155CC"/>
        <sz val="8.0"/>
        <u/>
      </rPr>
      <t>Zacks.com</t>
    </r>
    <r>
      <rPr>
        <rFont val="&quot;Helvetica Neue&quot;"/>
        <sz val="8.0"/>
      </rPr>
      <t>, suggests heightened market interest, which could influence short-term stock performance.
 **Financials:**  
 Chubb's financial metrics reflect a strong and stable position. The company has a trailing P/E ratio of 12.76 and a forward P/E of 12.27, indicating a reasonable valuation relative to its earnings. Its dividend yield of 1.28% is below its five-year average of 1.71%, suggesting that the stock price has appreciated faster than dividend growth. The payout ratio of 15.81% indicates a conservative approach to dividend distribution, leaving room for reinvestment or further acquisitions. Chubb's return on equity (ROE) of 14.60% demonstrates efficient use of shareholder capital, while its return on assets (ROA) of 3.01% is consistent with the property and casualty insurance industry's capital-intensive nature. However, earnings growth has declined by 21.3% year-over-year, reflecting potential challenges in maintaining profitability amid economic headwinds.
 **Valuations:**  
 Chubb's price-to-book ratio of 1.81 is slightly elevated compared to its historical average, but it remains reasonable for a company with strong fundamentals and a market-leading position. The stock is trading near its 52-week high of $302.05, suggesting limited immediate upside unless supported by strong earnings or favorable macroeconomic developments. Analysts' target prices range from $245 to $330, with a mean target of $298.87, indicating moderate upside potential from current levels. The recommendation mean of 2.52 (between "Hold" and "Buy") reflects a cautious but optimistic outlook among analysts.
 **Economic Outlook:**  
 The broader economic environment presents mixed implications for Chubb. The U.S. economy is showing signs of deceleration, with GDP contraction expected in Q1 2025 and rising jobless claims. However, Chubb's global diversification, particularly its expansion into Southeast Asia, could mitigate domestic economic risks. The ongoing trade tensions and tariffs may indirectly impact Chubb's corporate clients, potentially affecting demand for commercial insurance products. On the positive side, Chubb's exposure to the property and casualty insurance sector provides a degree of resilience, as demand for insurance tends to remain stable even during economic downturns.
 **Summary:**  
 **Thesis:** Chubb's strategic acquisitions in Thailand and Vietnam position it to capitalize on growth in emerging markets, while its strong financials and efficient capital allocation provide a solid foundation.  
 **Edge:** The company's global diversification and focus on high-growth regions offer a competitive advantage in navigating economic uncertainties.  
 **Risk:** Declining earnings growth, integration challenges in new markets, and potential macroeconomic headwinds could weigh on performance.
 **Score: 78**</t>
    </r>
  </si>
  <si>
    <t>STE</t>
  </si>
  <si>
    <t>**Investment Report: Steris (Health Care Equipment Industry)**
 **Recent News:**  
 Steris has not been in the news over the past week, indicating a lack of immediate catalysts or controversies. This absence of news suggests stability in its operations and no significant disruptions or breakthroughs in the short term. However, the broader macroeconomic environment, including trade tensions and slowing GDP growth, could indirectly impact the company, particularly if healthcare spending or supply chains are affected.
 **Financials:**  
 Steris exhibits solid financial performance with a market capitalization of $21.88 billion and a relatively low beta of 0.92, indicating lower volatility compared to the broader market. The company’s trailing price-to-earnings (P/E) ratio of 35.75 is higher than its forward P/E of 22.34, reflecting expectations of strong earnings growth. This is supported by a robust earnings growth rate of 23.8% and revenue growth of 5.6% year-over-year. 
 The company maintains healthy profitability metrics, with gross margins of 43.8%, operating margins of 18.3%, and EBITDA margins of 26.3%. Its return on equity (ROE) of 9.61% and return on assets (ROA) of 5.59% are respectable, though not industry-leading. Steris also generates strong free cash flow of $877.8 million, which supports its dividend payments and potential reinvestment in growth initiatives. The dividend yield of 1.04% is modest but above its five-year average of 0.88%, reflecting a commitment to returning value to shareholders.
 The balance sheet is stable, with a manageable debt-to-equity ratio of 36.09 and a current ratio of 2.13, indicating sufficient liquidity to cover short-term obligations. However, total debt of $2.32 billion slightly weighs on its enterprise value, which stands at $23.72 billion.
 **Valuations:**  
 Steris trades at a price-to-book (P/B) ratio of 3.41, which is reasonable for a company in the healthcare equipment sector, given its consistent profitability and growth prospects. The price-to-sales (P/S) ratio of 4.05 is slightly elevated, suggesting the market is pricing in future growth. Analysts have a positive outlook, with a mean target price of $250.11, representing a potential upside of approximately 13% from the current price. The recommendation mean of 2.11 (on a scale where 1 is a strong buy) further underscores confidence in the stock.
 **Economic Outlook:**  
 The broader economic environment presents mixed implications for Steris. On one hand, the healthcare sector is generally resilient during economic slowdowns, as demand for medical equipment and services remains relatively inelastic. On the other hand, the ongoing trade tensions and tariffs could disrupt Steris' supply chain or increase input costs, particularly if the company relies on imported components. Additionally, slowing GDP growth and rising unemployment could pressure healthcare budgets, potentially impacting demand for Steris' products.
 Steris' strong institutional ownership (96.4%) and low short interest (0.95% of shares outstanding) indicate confidence among long-term investors. However, the company's trailing PEG ratio of 5.01 suggests that its growth is already priced in, leaving limited room for valuation expansion in the near term.
 **Summary of Thesis, Edge, and Risk:**  
 Steris benefits from a stable financial position, strong profitability, and consistent growth in earnings and revenue. Its focus on healthcare equipment positions it well in a defensive sector, particularly during economic uncertainty. The company's ability to generate free cash flow and maintain a healthy dividend payout provides additional appeal. However, risks include potential supply chain disruptions from tariffs, elevated valuations, and broader economic headwinds that could dampen healthcare spending.
 **Score: 78**</t>
  </si>
  <si>
    <r>
      <t xml:space="preserve">**Investment Report: Comcast Corporation (CMCSA)**
 **Recent News:**  
 Comcast Corporation has garnered significant attention recently, particularly among </t>
    </r>
    <r>
      <rPr>
        <rFont val="&quot;Helvetica Neue&quot;"/>
        <color rgb="FF1155CC"/>
        <sz val="8.0"/>
        <u/>
      </rPr>
      <t>Zacks.com</t>
    </r>
    <r>
      <rPr>
        <rFont val="&quot;Helvetica Neue&quot;"/>
        <sz val="8.0"/>
      </rPr>
      <t xml:space="preserve"> users, reflecting heightened investor interest. This attention may stem from its strong financial performance, attractive valuation metrics, and its position as a leader in the Cable &amp; Satellite industry. However, broader economic uncertainties and sector-specific challenges could influence its near-term prospects.
 **Financials:**  
 Comcast's financial health remains robust, with a market capitalization of $136 billion and a trailing P/E ratio of 8.69, which is notably lower than the industry average, suggesting undervaluation. The forward P/E of 8.21 further indicates expectations of earnings growth. The company has demonstrated strong profitability, with a net income of $16.19 billion and profit margins of 13.1%. Its EBITDA margin of 30.8% and gross margin of 70.1% highlight operational efficiency.
 Comcast's dividend yield of 3.68% is above its five-year average of 2.46%, making it attractive for income-focused investors. The payout ratio of 22.5% suggests the dividend is sustainable, supported by a free cash flow of $7.66 billion. However, the company's debt-to-equity ratio of 122.18% reflects a high leverage level, which could pose risks in a rising interest rate environment. The quick ratio of 0.58 and current ratio of 0.68 indicate limited short-term liquidity, though its operating cash flow of $27.67 billion provides some reassurance.
 **Valuations:**  
 Comcast's price-to-book ratio of 1.59 and price-to-sales ratio of 1.10 suggest the stock is trading at a reasonable valuation relative to its assets and revenue. Analysts have a median price target of $43.50, representing a potential upside of approximately 20% from its current price of $36.24. The recommendation mean of 2.13 (on a scale where 1.0 is a strong buy) indicates a generally favorable outlook among analysts.
 **Economic Outlook:**  
 The broader economic environment presents mixed signals for Comcast. The U.S. economy is showing signs of deceleration, with GDP contraction expected in Q1 2025 and rising jobless claims. These factors could weigh on consumer spending, potentially impacting Comcast's revenue from its cable and broadband services. Additionally, the ongoing trade tensions and tariffs could indirectly affect the company through higher costs or reduced consumer confidence.
 On the positive side, Comcast's earnings growth of 54.3% and revenue growth of 2.1% demonstrate resilience in a challenging macroeconomic environment. The company's strong return on equity (18.7%) and return on assets (5.5%) further underscore its ability to generate value for shareholders.
 **Summary:**  
 **Thesis:** Comcast's strong profitability, attractive valuation, and sustainable dividend make it a compelling investment in the Cable &amp; Satellite industry.  
 **Edge:** Its operational efficiency, market leadership, and ability to generate significant free cash flow provide a competitive advantage.  
 **Risk:** High leverage and potential macroeconomic headwinds, including slowing GDP growth and consumer spending, could pressure near-term performance.
 **Score: 78**</t>
    </r>
  </si>
  <si>
    <t>TPL</t>
  </si>
  <si>
    <t>**Investment Report: Texas Pacific Land Corporation**
 **Recent News:**  
 There have been no significant updates or announcements regarding Texas Pacific Land Corporation (TPL) in the past week. The absence of news suggests stability in the company's operations, but it also leaves the stock's performance more reliant on broader market trends and sector-specific developments.
 **Financials:**  
 Texas Pacific Land Corporation exhibits strong profitability metrics, with profit margins of 64.3% and EBITDA margins of 80.7%, reflecting its efficient operations in the oil and gas exploration and production industry. The company has a trailing price-to-earnings (P/E) ratio of 68.82, which is significantly higher than its forward P/E of 18.55, indicating expectations of substantial earnings growth. Revenue growth of 11.5% and earnings growth of 4.8% further support this outlook. 
 The company maintains a robust balance sheet, with minimal debt (debt-to-equity ratio of 0.11) and a high current ratio of 10.81, showcasing its strong liquidity position. However, the free cash flow is negative at -$42.3 million, which could be a concern if sustained over the long term. TPL's dividend yield of 0.45% is below its five-year average of 0.86%, reflecting a relatively modest return for income-focused investors.
 The stock has demonstrated significant price appreciation over the past year, with a 52-week change of +182.6%, far outperforming the S&amp;P 500's 17.2% gain. However, its beta of 1.718 indicates higher volatility compared to the broader market, which could amplify risks in a turbulent economic environment.
 **Valuations:**  
 TPL's valuation metrics suggest a premium pricing relative to its peers. The price-to-sales ratio of 44.17 and price-to-book ratio of 27.51 are exceptionally high, reflecting strong investor confidence in the company's future growth prospects. However, these elevated valuations may limit upside potential in the near term, especially if broader market conditions deteriorate or if the company fails to meet growth expectations.
 The enterprise value-to-EBITDA ratio of 54.1 further underscores the stock's expensive valuation. While the company's high gross margins (93.5%) and return on equity (41.7%) justify some of this premium, the current pricing leaves little room for error.
 **Economic Outlook:**  
 The broader economic environment presents mixed signals for TPL. The oil and gas sector could face headwinds from escalating trade tensions, particularly with the imposition of tariffs on steel and aluminum, which may increase input costs for energy infrastructure. Additionally, the U.S. economy is showing signs of deceleration, with GDP expected to contract by 1.5% in Q1 2025. This could dampen demand for energy products in the short term.
 On the other hand, TPL's exposure to oil and gas exploration positions it to benefit from any potential rebound in energy prices, especially if geopolitical tensions or supply constraints drive up crude oil prices. The company's strong operational efficiency and low debt levels provide a cushion against economic volatility.
 **Summary:**  
 **Thesis:** Texas Pacific Land Corporation is a highly profitable and efficiently run company with strong growth prospects in the oil and gas sector. Its robust balance sheet and operational metrics make it a standout performer in its industry.  
 **Edge:** The company's high margins, minimal debt, and strong return on equity provide a competitive advantage, while its forward P/E suggests significant earnings growth potential.  
 **Risk:** Elevated valuations and high volatility (beta of 1.718) increase the risk of price corrections, particularly in a weakening economic environment. Negative free cash flow and broader macroeconomic headwinds could also weigh on performance.
 **Score: 78**</t>
  </si>
  <si>
    <t>SLB</t>
  </si>
  <si>
    <r>
      <t xml:space="preserve">**Investment Report: Schlumberger Limited (SLB)**
 **Recent News:**  
 Schlumberger Limited (SLB), a leading player in the oil and gas equipment and services industry, has garnered significant attention recently, as evidenced by increased interest from </t>
    </r>
    <r>
      <rPr>
        <rFont val="&quot;Helvetica Neue&quot;"/>
        <color rgb="FF1155CC"/>
        <sz val="8.0"/>
        <u/>
      </rPr>
      <t>Zacks.com</t>
    </r>
    <r>
      <rPr>
        <rFont val="&quot;Helvetica Neue&quot;"/>
        <sz val="8.0"/>
      </rPr>
      <t xml:space="preserve"> users. This heightened focus comes amidst a volatile macroeconomic environment and fluctuating energy prices. The company's stock has been trading near its 52-week low of $36.52, reflecting broader market pressures and potential investor concerns about the energy sector's near-term outlook. However, Schlumberger's strong market position and global footprint in oilfield services provide a solid foundation for long-term growth, particularly as energy demand stabilizes.
 **Financials:**  
 Schlumberger's financial metrics indicate a mixed performance. The company has a trailing price-to-earnings (P/E) ratio of 12.80 and a forward P/E of 10.85, suggesting that the stock is attractively valued relative to its earnings potential. The dividend yield of 2.74% is slightly above its five-year average, indicating a commitment to returning value to shareholders. However, earnings quarterly growth has declined slightly (-1.5%), reflecting challenges in the broader energy market. The company's revenue growth of 3.3% year-over-year and EBITDA margins of 22.75% highlight its operational efficiency and ability to generate cash flow, with free cash flow standing at $2.57 billion.
 Schlumberger's balance sheet shows a debt-to-equity ratio of 58.16%, which is relatively high but manageable given its strong cash flow generation. The quick ratio of 0.993 and current ratio of 1.45 indicate adequate liquidity to meet short-term obligations. The company’s return on equity (ROE) of 20.95% and return on assets (ROA) of 8.22% demonstrate effective utilization of assets and equity to generate profits.
 **Valuations:**  
 Schlumberger's valuation metrics suggest that the stock is undervalued compared to its historical averages and industry peers. The price-to-book (P/B) ratio of 2.64 and price-to-sales (P/S) ratio of 1.49 are reasonable, especially for a company with a strong market position and consistent cash flow. Analysts have a mean target price of $53.11, representing significant upside potential from the current trading range. The recommendation mean of 1.69 (on a scale where 1.0 is a strong buy) underscores positive sentiment among analysts.
 **Economic Outlook:**  
 The oil and gas sector faces headwinds from global economic uncertainty, geopolitical tensions, and fluctuating energy prices. Recent tariffs and trade disputes could impact energy demand and supply chains, creating short-term volatility. However, Schlumberger's global operations and diversified service offerings position it well to navigate these challenges. The company's focus on technology and innovation in oilfield services could provide a competitive edge as the industry increasingly adopts digital and automated solutions.
 The broader macroeconomic environment, including elevated interest rates and slowing GDP growth, may weigh on energy demand in the near term. However, long-term trends, such as the need for energy security and the gradual recovery of global economies, are likely to support the oil and gas sector. Schlumberger's ability to adapt to these dynamics will be critical to its performance.
 **Summary of Thesis, Edge, and Risk:**  
 Schlumberger's strong market position, operational efficiency, and attractive valuation metrics make it a compelling investment in the oil and gas equipment and services industry. The company's ability to generate consistent cash flow and its focus on innovation provide a competitive edge. However, risks include exposure to macroeconomic volatility, geopolitical tensions, and potential fluctuations in energy prices. While the near-term outlook may be challenging, Schlumberger's long-term prospects remain solid.
 **Score: 78**</t>
    </r>
  </si>
  <si>
    <t>SCHW</t>
  </si>
  <si>
    <t>**Investment Report: Charles Schwab Corporation**
 **Recent News:**  
 There have been no significant updates or developments regarding Charles Schwab Corporation in the past week. This lack of news suggests stability in the company's operations and no immediate disruptions or catalysts impacting its performance.
 **Financials:**  
 Charles Schwab Corporation exhibits strong financial metrics, with a market capitalization of $141.68 billion and a robust profit margin of 30.31%. The company has demonstrated solid earnings growth of 84.6% year-over-year and revenue growth of 17%, reflecting its ability to capitalize on favorable market conditions. Its trailing price-to-earnings (P/E) ratio of 26.13 and forward P/E of 20.56 indicate a premium valuation, but this is supported by its consistent profitability and growth trajectory. The company’s return on equity (ROE) of 13.3% highlights effective capital utilization, while its return on assets (ROA) of 1.22% is in line with industry standards.
 The dividend yield of 1.36% aligns with its five-year average, supported by a sustainable payout ratio of 33.44%. This indicates that the company retains sufficient earnings for reinvestment while rewarding shareholders. However, the debt-to-equity ratio of 121.99% suggests a high reliance on leverage, which could pose risks in a rising interest rate environment. The company’s total cash position of $83.54 billion provides a strong liquidity buffer, though its quick and current ratios of 0.535 indicate limited short-term liquidity relative to liabilities.
 **Valuations:**  
 Charles Schwab's price-to-book (P/B) ratio of 3.65 is above the industry average, reflecting investor confidence in its growth prospects. The trailing PEG ratio of 0.92 suggests that the stock is undervalued relative to its earnings growth, presenting a potential opportunity for long-term investors. Analyst sentiment remains positive, with a mean recommendation of "buy" and a median price target of $92, implying a 17.7% upside from the current price of $78.16. The stock is trading closer to its 52-week high of $84.50, indicating resilience despite broader market volatility.
 **Economic Outlook:**  
 The broader economic environment presents mixed implications for Charles Schwab. The U.S. economy is showing signs of deceleration, with GDP contraction expected in Q1 2025 and rising jobless claims. However, moderating inflation and potential Federal Reserve rate cuts later in the year could provide relief to financial markets. Schwab's brokerage and investment banking operations are sensitive to market conditions, and heightened volatility could drive trading activity, benefiting its revenue streams. On the other hand, the ongoing trade tensions and tariffs may weigh on investor sentiment, potentially impacting asset flows and client activity.
 **Summary of Thesis, Edge, and Risk:**  
 Charles Schwab Corporation is well-positioned with strong profitability, robust earnings growth, and a solid cash position. Its valuation metrics, particularly the trailing PEG ratio, suggest potential upside, supported by positive analyst sentiment. The company’s ability to navigate market volatility and leverage its scale in the investment banking and brokerage industry provides a competitive edge. However, risks include its high leverage, sensitivity to economic slowdowns, and potential headwinds from broader market uncertainties.
 **Score: 78**</t>
  </si>
  <si>
    <t>BIIB</t>
  </si>
  <si>
    <t>**Investment Report: Biogen (BIIB)**
 **Recent News:**  
 Biogen has not been in the headlines over the past week, indicating a lack of significant developments or disruptions. This absence of news suggests stability in the company's operations but also a lack of immediate catalysts to drive short-term price movements. The broader biotechnology sector, however, remains influenced by macroeconomic factors such as trade tensions and potential regulatory changes, which could indirectly impact Biogen.
 **Financials:**  
 Biogen's financial metrics reflect a company with solid profitability and a relatively attractive valuation. The trailing price-to-earnings (P/E) ratio of 12.68 and forward P/E of 8.51 suggest the stock is undervalued compared to its historical performance and peers in the biotechnology sector. The company has a strong gross margin of 76.1% and an EBITDA margin of 30.96%, highlighting its operational efficiency. 
 The firm’s revenue growth of 2.9% and earnings growth of 6.3% year-over-year indicate moderate but steady expansion. Biogen's return on equity (ROE) of 10.36% and return on assets (ROA) of 5.29% further underscore its ability to generate returns on its investments. However, the company’s debt-to-equity ratio of 40.18% suggests a moderate level of leverage, which could pose risks in a rising interest rate environment.
 Biogen's cash position of $2.38 billion and free cash flow of $3.27 billion provide it with financial flexibility to invest in R&amp;D, acquisitions, or shareholder returns. However, its quick ratio of 0.77 and current ratio of 1.35 indicate that short-term liquidity could be tighter than ideal, though manageable.
 **Valuations:**  
 Biogen's stock is trading at a price-to-book (P/B) ratio of 1.24, which is relatively low for a biotechnology company, suggesting the market may be undervaluing its assets. The stock is currently priced near its 52-week low of $128.51, significantly below its 52-week high of $238.00. This steep decline (-35.32% over the past year) contrasts with the S&amp;P 500's 17.25% gain, indicating that Biogen has underperformed the broader market. Analyst sentiment remains positive, with a mean price target of $201.18, representing a potential upside of approximately 43% from current levels. The recommendation mean of 2.11 (on a scale where 1 is a strong buy) further supports a favorable outlook.
 **Economic Outlook:**  
 The broader economic environment presents mixed implications for Biogen. The U.S. economy is showing signs of deceleration, with GDP contraction expected in Q1 2025 and rising jobless claims. However, inflation appears to be moderating, which could lead to a more accommodative Federal Reserve policy later in the year. For Biogen, a slowing economy could dampen healthcare spending, but its focus on critical therapies and treatments may provide some insulation from broader economic pressures.
 Trade tensions and tariffs, particularly those involving China, could indirectly affect Biogen if supply chains or international sales are disrupted. However, the company's strong institutional ownership (94.53%) and relatively low short interest (2.65% of shares outstanding) suggest confidence in its long-term prospects.
 **Summary of Thesis, Edge, and Risk:**  
 Biogen presents a compelling investment case based on its strong profitability, undervaluation, and stable financial position. Its focus on high-margin therapies and steady earnings growth provide a solid foundation for long-term performance. The stock's current price near its 52-week low offers a potential entry point for value-oriented investors. However, risks include its moderate leverage, potential macroeconomic headwinds, and the lack of immediate catalysts to drive short-term gains.
 **Score: 78**</t>
  </si>
  <si>
    <t>**Investment Report: Quanta Services (Construction &amp; Engineering Industry)**
 **Recent News:**  
 Quanta Services has not been in the news over the past week, indicating a lack of immediate catalysts or disruptions. This absence of news suggests stability in operations but also highlights the need to assess the firm's fundamentals and broader economic conditions to gauge its near-term investment potential.
 **Financials:**  
 Quanta Services exhibits strong financial metrics, with a market capitalization of $37.18 billion and a trailing price-to-earnings (P/E) ratio of 41.68, which is relatively high compared to the industry average. However, its forward P/E of 24.70 suggests expectations of significant earnings growth. The company has demonstrated robust earnings growth of 43.6% and revenue growth of 13.3% year-over-year, reflecting strong operational performance. 
 The firm’s profit margins stand at 3.82%, with EBITDA margins of 8.64%, indicating moderate profitability for the sector. Quanta's return on equity (ROE) of 13.62% is solid, showcasing effective use of shareholder capital. The company also maintains a healthy balance sheet with a current ratio of 1.30 and a quick ratio of 1.18, suggesting adequate liquidity to meet short-term obligations. However, its debt-to-equity ratio of 61.11% indicates a moderate level of leverage, which could pose risks in a rising interest rate environment.
 Quanta's dividend yield of 0.15% is modest, with a payout ratio of just 6.14%, leaving ample room for reinvestment or future dividend increases. The firm’s free cash flow of $1.53 billion and operating cash flow of $2.08 billion further reinforce its financial stability.
 **Valuations:**  
 Quanta Services is trading at a price-to-book (P/B) ratio of 5.06, which is above the industry average, indicating a premium valuation. The stock's 52-week range of $227.11 to $365.88 shows that it is currently trading closer to its lower end, with a recent close at $259.63. This suggests potential upside if the company can capitalize on its growth trajectory. Analyst sentiment remains positive, with a mean target price of $337.40, representing a 30% upside from current levels. The recommendation mean of 1.71 (on a scale where 1.0 is a strong buy) underscores strong analyst confidence.
 **Economic Outlook:**  
 The broader economic environment presents mixed signals for Quanta Services. The U.S. economy is showing signs of deceleration, with GDP projected to shrink by 1.5% in Q1 2025. Rising jobless claims and weakening consumer confidence could dampen demand for construction and engineering projects. Additionally, the ongoing trade tensions and tariffs imposed by the Trump administration may increase input costs for materials like steel and aluminum, potentially squeezing margins.
 However, Quanta Services operates in a sector that could benefit from long-term infrastructure investments, particularly as governments and corporations prioritize renewable energy and grid modernization. The company’s exposure to these growth areas could provide a buffer against broader economic headwinds.
 **Summary of Thesis, Edge, and Risk:**  
 Quanta Services demonstrates strong financial performance, robust earnings growth, and a solid balance sheet, positioning it well for long-term growth. Its focus on infrastructure and renewable energy projects provides a competitive edge in a sector poised for expansion. However, the firm faces risks from its premium valuation, potential margin pressures due to tariffs, and broader economic uncertainties. While the lack of recent news suggests operational stability, macroeconomic headwinds could weigh on near-term performance.
 **Score: 78**</t>
  </si>
  <si>
    <t>PKG</t>
  </si>
  <si>
    <t>**Investment Report: Packaging Corporation of America**
 **Recent News:**  
 There have been no significant updates or developments regarding Packaging Corporation of America (PCA) in the past week. This lack of news suggests stability in the company's operations and market positioning, with no immediate disruptions or catalysts impacting its performance.
 **Financials:**  
 PCA's financial performance reflects a solid foundation with a market capitalization of $18.8 billion and a trailing price-to-earnings (PE) ratio of 23.45, which is slightly elevated compared to its forward PE of 18.63, indicating expectations of earnings growth. The company has demonstrated strong profitability metrics, with a net income margin of 9.6% and a return on equity (ROE) of 19.17%, showcasing efficient capital utilization. Revenue growth of 10.7% year-over-year and earnings growth of 16.4% highlight the company's ability to expand both its top and bottom lines.
 The dividend yield of 2.35% is slightly below its five-year average of 2.93%, but the payout ratio of 55.99% remains sustainable, supported by robust free cash flow of $402.5 million. PCA's balance sheet is moderately leveraged, with a debt-to-equity ratio of 62.93%, though its strong current ratio of 3.23 and quick ratio of 1.94 indicate ample liquidity to meet short-term obligations.
 **Valuations:**  
 PCA's valuation metrics suggest it is trading at a premium relative to its book value, with a price-to-book ratio of 4.24. However, its enterprise value-to-revenue ratio of 2.50 and enterprise value-to-EBITDA ratio of 12.51 are reasonable for its industry, reflecting a balanced valuation. Analyst sentiment remains positive, with a mean price target of $228.70, implying a modest upside from its current price of $213.09. The recommendation mean of 2.0 (Buy) further underscores confidence in the company's prospects.
 **Economic Outlook:**  
 The broader economic environment presents mixed implications for PCA. The ongoing trade tensions, particularly the imposition of tariffs on Canadian and Mexican goods, could impact raw material costs and supply chain dynamics for the paper and packaging industry. However, PCA's strong domestic focus may shield it from some of the adverse effects of international trade disputes. Additionally, the company's beta of 0.79 indicates lower volatility relative to the broader market, which could make it a more stable investment during periods of economic uncertainty.
 The Federal Reserve's restrictive monetary policy and signs of economic deceleration may weigh on industrial demand, but PCA's consistent revenue growth and operational efficiency position it well to navigate these challenges. The company's focus on sustainable packaging solutions aligns with long-term industry trends, providing a potential edge in capturing market share as environmental regulations tighten.
 **Summary:**  
 Packaging Corporation of America demonstrates a strong financial position, consistent growth, and operational efficiency, supported by a stable dividend and reasonable valuation metrics. Its focus on sustainability and domestic operations provides a competitive edge, though risks include potential cost pressures from tariffs and broader economic headwinds.  
 **Score: 78**</t>
  </si>
  <si>
    <t>**Investment Report: Adobe Inc. (ADBE)**
 **Recent News:**  
 Adobe Inc. has demonstrated resilience in a challenging market environment, with its stock closing at $440.72, a 0.49% increase despite broader market declines. The company remains a leader in the application software industry, supported by its robust Creative Cloud ecosystem, which boasts an estimated 37 million subscribers. Adobe's recent launch of its first Photoshop mobile app, featuring AI-powered tools like Generative Fill and Generative Expand, reflects its commitment to innovation. The freemium model, targeting younger users with a free version and a low-cost paid option, could expand its user base and drive incremental revenue growth. However, competition from lower-cost alternatives like Canva continues to pressure Adobe's pricing power and market share.
 **Financials:**  
 Adobe's financial performance remains strong, with a market capitalization of $191.85 billion and a trailing price-to-earnings (P/E) ratio of 35.63. The forward P/E ratio of 21.45 suggests expectations of significant earnings growth. The company has a healthy profit margin of 25.85% and gross margins of 89.04%, underscoring its operational efficiency. Revenue growth of 11.1% and earnings growth of 17.6% year-over-year highlight Adobe's ability to expand its top and bottom lines. Additionally, Adobe's free cash flow of $7.95 billion and a manageable debt-to-equity ratio of 42.94 indicate strong financial stability. However, the stock is trading at a price-to-book ratio of 13.78, which may signal overvaluation relative to its book value.
 **Valuations:**  
 Adobe's stock is currently 36% below its all-time high, presenting a potential entry point for long-term investors. Analysts have a median price target of $588.50, implying a 33.5% upside from current levels. The company's trailing PEG ratio of 1.54 suggests that its valuation is reasonable relative to its growth prospects. However, the stock's price-to-sales ratio of 8.92 and enterprise value-to-EBITDA ratio of 22.61 indicate a premium valuation compared to industry peers. While Adobe's strong fundamentals justify a higher valuation, the elevated multiples could limit near-term upside, especially in a volatile macroeconomic environment.
 **Economic Outlook:**  
 Adobe operates in a challenging macroeconomic landscape marked by slowing GDP growth, rising jobless claims, and trade tensions. The broader market has been under pressure due to escalating tariffs and geopolitical uncertainties, which could weigh on consumer and business spending. However, Adobe's subscription-based revenue model provides a degree of insulation from economic volatility. The company's focus on AI-powered tools and mobile applications positions it well to capitalize on long-term trends in digital transformation and creative content creation. Nonetheless, the competitive landscape and potential macroeconomic headwinds could impact Adobe's growth trajectory in the near term.
 **Summary of Thesis, Edge, and Risk:**  
 Adobe's leadership in the creative software market, coupled with its innovative product offerings and strong financial performance, supports a positive long-term outlook. The company's edge lies in its robust subscription model, high margins, and ability to integrate AI into its products. However, risks include premium valuations, competition from lower-cost alternatives, and potential macroeconomic challenges that could dampen consumer and enterprise spending.
 **Score: 78**</t>
  </si>
  <si>
    <t>TECH</t>
  </si>
  <si>
    <t>**Investment Report: Bio-Techne Corporation**
 **Recent News:**  
 Bio-Techne has faced recent pressure on its stock due to concerns over academic research funding cuts and restructuring in biopharma R&amp;D. Despite these challenges, the company has demonstrated resilience, with fiscal Q2 revenue growth of 9%. Key drivers include strong performance in its Protein Sciences and Diagnostics &amp; Spatial Biology segments, particularly in spatial biology and cell therapy reagents. While academic funding cuts may pose risks, Bio-Techne's core consumables are essential and less price-sensitive, which helps mitigate potential revenue losses. The company's strong market position and product moat provide a degree of insulation against broader industry headwinds.
 **Financials:**  
 Bio-Techne's financial metrics reflect a mixed picture. The company has a market capitalization of $9.67 billion and a trailing P/E ratio of 62.44, indicating a premium valuation. However, its forward P/E of 27.94 suggests expectations of significant earnings growth. The firm boasts robust gross margins of 66.22% and EBITDA margins of 25.88%, highlighting operational efficiency. Revenue growth of 9% and earnings growth of 27% year-over-year underscore its ability to expand despite macroeconomic challenges. The company maintains a strong balance sheet with a quick ratio of 2.45 and a current ratio of 3.94, indicating ample liquidity. Debt-to-equity stands at a manageable 19.01%, and free cash flow of $272.25 million supports ongoing investments and shareholder returns.
 **Valuations:**  
 Bio-Techne's valuation metrics suggest it trades at a premium relative to its peers in the Life Sciences Tools &amp; Services industry. Its price-to-sales ratio of 8.09 and price-to-book ratio of 4.65 reflect high investor expectations. Analysts have a mean target price of $85.42, representing significant upside from the current price of $61.75. However, the stock's 52-week performance shows a decline of 15.87%, underperforming the S&amp;P 500's 17.25% gain over the same period. This underperformance may present an opportunity for long-term investors if the company can sustain its growth trajectory.
 **Economic Outlook:**  
 The broader economic environment poses challenges for Bio-Techne. Concerns about a potential recession, rising jobless claims, and trade tensions could weigh on academic and biopharma R&amp;D budgets. However, the company's essential consumables and diversified revenue streams position it well to weather economic uncertainty. Additionally, its focus on high-growth areas like spatial biology and cell therapy aligns with long-term industry trends, providing a buffer against short-term macroeconomic pressures.
 **Summary of Thesis, Edge, and Risk:**  
 Bio-Techne's strong market position, essential product offerings, and focus on high-growth segments like spatial biology provide a compelling investment thesis. Its financial strength and operational efficiency offer a competitive edge, while its premium valuation reflects high growth expectations. Risks include potential impacts from academic funding cuts, biopharma R&amp;D restructuring, and broader economic headwinds. However, the company's resilient business model and essential consumables mitigate these risks.
 **Score: 78**</t>
  </si>
  <si>
    <t>TJX</t>
  </si>
  <si>
    <t>**Investment Report: TJX Companies**
 **Recent News:**  
 TJX Companies, a leader in off-price retail, reported robust fourth-quarter and fiscal year results, exceeding Wall Street expectations in both earnings and revenue. The company achieved record stock levels and a rise in comparable sales, reflecting strong operational performance. However, management has issued a cautious outlook for 2026, citing potential headwinds from weaker consumer spending. CEO Ernie Herrman highlighted that the current tariff environment could present buying opportunities, suggesting the company may leverage its scale and sourcing capabilities to mitigate cost pressures. Despite the positive results, the cautious guidance reflects broader economic uncertainties that could weigh on discretionary spending.
 **Financials:**  
 TJX's financial metrics indicate a solid performance, with a market capitalization of $138.88 billion and a trailing P/E ratio of 29.07, slightly above the industry average, reflecting investor confidence in its business model. The company maintains a healthy dividend yield of 1.2%, supported by a payout ratio of 34.21%, indicating room for future dividend growth. Its return on equity (ROE) of 61.98% and return on assets (ROA) of 12.81% underscore strong profitability and efficient asset utilization. However, the debt-to-equity ratio of 152.25% suggests a leveraged balance sheet, which could pose risks in a rising interest rate environment. Revenue growth has slightly declined (-0.4%), but earnings growth remains positive at 1.3%, reflecting operational resilience.
 **Valuations:**  
 TJX's forward P/E ratio of 26.86 suggests moderate growth expectations, while its price-to-book ratio of 16.75 indicates a premium valuation compared to peers. The enterprise value-to-revenue ratio of 2.65 and enterprise value-to-EBITDA ratio of 20.18 highlight the company's strong market position but also suggest limited margin for error in execution. Analysts maintain a favorable outlook, with a mean target price of $133.34, representing modest upside potential from current levels. The recommendation mean of 1.71 (Buy) reflects broad confidence among analysts.
 **Economic Outlook:**  
 The broader economic environment presents challenges for TJX. Slowing GDP growth, rising jobless claims, and weakening consumer confidence could dampen discretionary spending, directly impacting the retail sector. However, TJX's off-price model is well-positioned to attract cost-conscious consumers during economic downturns. The company's ability to capitalize on tariff-related buying opportunities could provide a competitive edge, particularly as supply chain disruptions and inflationary pressures persist. Nonetheless, the cautious guidance for 2026 reflects management's awareness of potential headwinds.
 **Summary:**  
 **Thesis:** TJX Companies benefits from a resilient off-price retail model, strong profitability metrics, and a history of operational excellence, making it well-positioned to navigate economic uncertainties.  
 **Edge:** The company's scale and sourcing capabilities allow it to capitalize on tariff-related opportunities, potentially offsetting cost pressures and maintaining competitive pricing.  
 **Risk:** Elevated debt levels and a cautious consumer spending environment could weigh on performance, particularly if economic conditions deteriorate further.
 **Score: 78**</t>
  </si>
  <si>
    <t>MET</t>
  </si>
  <si>
    <t>**Investment Report: MetLife (Life &amp; Health Insurance Industry)**
 **Recent News:**  
 MetLife has not been in the headlines over the past week, indicating a lack of significant corporate developments or external disruptions. This stability may reflect a steady operational environment, though it also suggests no immediate catalysts for dramatic price movements.
 **Financials:**  
 MetLife's financial performance demonstrates a solid foundation. The company is trading near its 52-week high of $89.05, with a current price-to-earnings (P/E) ratio of 14.43, which is reasonable for the insurance sector. Its forward P/E of 8.84 suggests expectations of robust earnings growth. The dividend yield of 2.53% is slightly below its five-year average of 3.28%, reflecting the stock's recent price appreciation. The payout ratio of 36.28% indicates a sustainable dividend policy, leaving room for reinvestment or future increases.
 The firm's book value per share is $39.82, translating to a price-to-book ratio of 2.15, which is slightly elevated but not excessive for a company with strong profitability metrics. MetLife's return on equity (ROE) of 15.34% is a positive indicator of management's efficiency in generating returns for shareholders. However, the debt-to-equity ratio of 233.41% is high, reflecting significant leverage, which could pose risks in a rising interest rate environment.
 Earnings growth of 130.7% and quarterly earnings growth of 109.4% highlight strong recent performance, though revenue growth has declined by 1.9%, suggesting potential challenges in expanding top-line revenue. The company's gross margin of 24.69% and EBITDA margin of 8.82% are consistent with industry norms, though not particularly high.
 **Valuations:**  
 MetLife's valuation metrics suggest it is attractively priced relative to its earnings potential. The trailing PEG ratio of 1.12 indicates that the stock is reasonably valued given its growth prospects. Analyst sentiment is favorable, with a mean recommendation of "buy" and a target median price of $96, implying a potential upside of approximately 12.8% from current levels. The high target price of $110 underscores the potential for further gains if the company continues to execute well.
 **Economic Outlook:**  
 The broader economic environment presents mixed implications for MetLife. The U.S. economy is showing signs of deceleration, with GDP expected to contract in Q1 2025. Rising jobless claims and weakening consumer confidence could dampen demand for life and health insurance products. However, moderating inflation and the potential for Federal Reserve rate cuts later in the year could provide relief to financial markets and support MetLife's investment portfolio.
 The ongoing trade tensions and tariffs may indirectly impact MetLife by creating economic uncertainty, which could affect policyholder behavior and investment returns. However, the company's diversified revenue streams and strong cash position of $28.23 billion provide a buffer against macroeconomic headwinds.
 **Summary of Thesis, Edge, and Risk:**  
 MetLife's strong earnings growth, reasonable valuation, and sustainable dividend policy make it an attractive option in the life and health insurance sector. Its efficient use of equity and favorable analyst sentiment provide an edge, while its high leverage and declining revenue growth pose risks. The broader economic slowdown and trade uncertainties could weigh on performance, but the company's financial stability and potential for earnings growth mitigate these concerns.
 **Score: 78**</t>
  </si>
  <si>
    <t>DVN</t>
  </si>
  <si>
    <t>**Investment Report: Devon Energy**
 **Recent News:**  
 Devon Energy, a leading upstream oil and gas company, is positioning itself as a strong contender in the energy sector with its focus on aggressive production growth and shareholder returns. The company has exceeded production guidance, demonstrating operational efficiency and a top-tier operating margin. Its breakup with BPX has allowed Devon to streamline operations, potentially unlocking further efficiencies. Near-term catalysts include potential increases in natural gas prices, which could bolster revenue, and continued share repurchases and dividend increases, which enhance shareholder value. However, the broader macroeconomic environment, including trade tensions and potential economic deceleration, could weigh on energy demand and pricing.
 **Financials:**  
 Devon Energy's financial metrics reflect a solid foundation. The company trades at a trailing P/E of 7.55 and a forward P/E of 7.72, indicating an undervalued position relative to its peers. Its price-to-book ratio of 1.55 further supports this valuation. The company has a strong profit margin of 19.06% and EBITDA margins of 48.71%, showcasing its operational efficiency. However, earnings growth has declined by 44.5% year-over-year, reflecting challenges in the broader energy market. Devon's debt-to-equity ratio of 62.95% is manageable but indicates a reliance on leverage, which could pose risks in a rising interest rate environment. The company’s free cash flow is currently negative, which may limit its ability to fund growth initiatives without additional borrowing.
 **Valuations:**  
 Devon Energy's current share price of approximately $34.00 is well below its 52-week high of $55.09, suggesting significant upside potential. Analysts have a median price target of $48.12, representing a potential 41% increase from current levels. The dividend yield of 2.65% is below its five-year average of 5.18%, but the company has indicated plans to increase dividends, which could attract income-focused investors. The recommendation mean of 1.90 (Buy) from 30 analysts underscores confidence in the stock's potential.
 **Economic Outlook:**  
 The macroeconomic environment presents both opportunities and risks for Devon Energy. While the company could benefit from rising natural gas prices and increased energy demand, the broader economic slowdown and trade tensions may dampen global energy consumption. Additionally, elevated interest rates could increase borrowing costs, impacting Devon's ability to finance growth. However, the company's focus on operational efficiencies and shareholder returns positions it well to navigate these challenges.
 **Summary of Thesis, Edge, and Risk:**  
 Devon Energy offers a compelling investment thesis with its undervalued stock, strong operational performance, and commitment to shareholder returns. Its edge lies in its top-tier operating margins and ability to exceed production guidance, which positions it well in a competitive industry. However, risks include declining earnings growth, negative free cash flow, and potential macroeconomic headwinds that could impact energy demand and pricing.
 **Score: 78**</t>
  </si>
  <si>
    <t>NOC</t>
  </si>
  <si>
    <t>**Investment Report: Northrop Grumman Corporation**
 **Recent News:**  
 Northrop Grumman has not been in the headlines over the past week, suggesting stability in its operations and no immediate disruptions or major announcements. This lack of news could indicate a steady operational environment, which is often favorable for long-term investors in the Aerospace &amp; Defense sector. However, the absence of recent developments also means there are no immediate catalysts to drive significant short-term price movements.
 **Financials:**  
 Northrop Grumman's financial performance reflects a solid foundation. The company has a market capitalization of $68.5 billion and a trailing price-to-earnings (P/E) ratio of 16.7, which is reasonable for a defense contractor with steady cash flows. Its forward P/E of 16.87 suggests expectations of stable earnings in the near term. The dividend yield of 1.78% is slightly above its five-year average of 1.6%, indicating a commitment to returning value to shareholders. The payout ratio of 28.41% demonstrates a conservative approach to dividend payments, leaving room for reinvestment or future increases.
 The company’s revenue growth of 0.5% year-over-year is modest but aligns with the typically stable growth profile of the defense industry. Gross margins of 20.38% and operating margins of 15.77% highlight efficient operations, while a return on equity (ROE) of 27.75% underscores strong profitability. Free cash flow of $4.06 billion and operating cash flow of $4.39 billion provide ample liquidity to support operations, debt servicing, and shareholder returns.
 However, the debt-to-equity ratio of 120.31% is relatively high, reflecting significant leverage. While this is not uncommon in the capital-intensive defense sector, it does pose a risk in a rising interest rate environment. The quick ratio of 0.85 and current ratio of 1.01 suggest adequate short-term liquidity, though not overly robust.
 **Valuations:**  
 Northrop Grumman's stock is trading at $463.16-$473.81, below its 200-day average of $483.10 and its 52-week high of $555.57. This indicates the stock is currently undervalued relative to its historical performance, potentially offering an attractive entry point for long-term investors. The price-to-book ratio of 4.49 is higher than the industry average, reflecting the premium investors are willing to pay for the company’s strong brand and consistent performance.
 Analyst sentiment remains positive, with a mean target price of $547.89, representing a potential upside of approximately 16%. The recommendation mean of 2.12 (on a scale where 1.0 is a strong buy) further supports a favorable outlook. However, the stock has underperformed the S&amp;P 500 over the past year, with a 52-week change of 0.76% compared to the S&amp;P's 17.25% gain, reflecting broader market challenges for the defense sector.
 **Economic Outlook:**  
 The Aerospace &amp; Defense industry is poised to benefit from increased global defense spending amid heightened geopolitical tensions. However, the recent pause in U.S. military aid to Ukraine and potential shifts in defense priorities under the current administration could create uncertainty for defense contractors. Additionally, the broader economic environment, characterized by slowing GDP growth and elevated interest rates, may weigh on investor sentiment.
 Northrop Grumman’s low beta of 0.302 indicates limited sensitivity to market volatility, making it a defensive play in uncertain economic conditions. The company’s strong institutional ownership of 83.16% reflects confidence among large investors in its long-term prospects.
 **Summary:**  
 Northrop Grumman’s investment thesis is built on its strong financial fundamentals, stable cash flows, and position as a leading defense contractor. Its edge lies in its ability to generate consistent returns and maintain profitability in a capital-intensive industry. However, risks include high leverage, potential shifts in U.S. defense spending, and broader economic headwinds. While the stock appears undervalued relative to its historical performance, the lack of immediate catalysts may limit short-term upside.
 **Score: 78**</t>
  </si>
  <si>
    <t>MTD</t>
  </si>
  <si>
    <t>**Investment Report: Mettler-Toledo (MTD)**
 **Recent News:**  
 Mettler-Toledo (MTD) has been highlighted as a top growth stock for the long term, supported by its strong fundamentals and market position. The company is recognized for its innovative solutions in the Life Sciences Tools &amp; Services industry, which continues to benefit from increasing demand for precision instruments and laboratory equipment. The Zacks Style Scores emphasize MTD's growth potential, reflecting its ability to outperform in a competitive market. However, the broader economic environment, including trade tensions and slowing GDP growth, could pose challenges to its near-term performance.
 **Financials:**  
 Mettler-Toledo's financial performance remains robust, with a trailing price-to-earnings (P/E) ratio of 31.35 and a forward P/E of 29.78, indicating a premium valuation relative to the broader market. The company has demonstrated strong profitability, with profit margins of 22.29% and gross margins of 60.06%, supported by its high-value product offerings. Revenue growth of 11.8% year-over-year and earnings growth of 40.3% highlight its operational efficiency and market demand. Free cash flow of $723 million and operating cash flow of $968 million provide a solid liquidity position, though the quick ratio of 0.639 and current ratio of 1.022 suggest limited short-term financial flexibility. Total debt of $2.13 billion is manageable given its enterprise value of $28.6 billion, but it warrants monitoring in a rising interest rate environment.
 **Valuations:**  
 MTD's valuation metrics, including a price-to-sales ratio of 6.85 and enterprise-to-EBITDA ratio of 23.6, reflect its premium positioning in the market. However, these valuations are elevated compared to industry peers, which could limit upside potential in the short term, especially amid broader market volatility. The stock's 52-week range of $1,142.91 to $1,546.93 indicates that it is trading closer to the lower end of its range, potentially offering a buying opportunity for long-term investors. Analyst price targets range from $1,120 to $1,530, with a mean target of $1,370.76, suggesting moderate upside from current levels.
 **Economic Outlook:**  
 The macroeconomic environment presents mixed signals for Mettler-Toledo. While the Life Sciences Tools &amp; Services industry benefits from secular growth trends such as increased R&amp;D spending and demand for precision instruments, broader economic headwinds could weigh on performance. The U.S. economy is showing signs of deceleration, with GDP expected to contract by 1.5% in Q1 2025. Trade tensions, particularly tariffs on key trading partners, could disrupt supply chains and increase input costs. However, MTD's strong market position and focus on innovation may help it navigate these challenges and maintain its growth trajectory.
 **Summary of Thesis, Edge, and Risk:**  
 Mettler-Toledo's strong financial performance, high margins, and leadership in the precision instruments market position it as a compelling long-term growth story. Its edge lies in its innovative product offerings and ability to capitalize on increasing demand in the life sciences sector. However, elevated valuations, macroeconomic uncertainties, and potential supply chain disruptions pose risks to near-term performance. Investors should weigh these factors when assessing the company's growth potential.
 **Score: 78**</t>
  </si>
  <si>
    <t>MSCI</t>
  </si>
  <si>
    <t>**Investment Report: MSCI Inc.**
 **Recent News:**  
 There have been no significant updates or developments regarding MSCI Inc. in the past week. The lack of news suggests stability in the company's operations and no immediate disruptions or catalysts impacting its performance.
 **Financials:**  
 MSCI Inc. demonstrates strong profitability metrics, with profit margins of 38.83% and gross margins of 81.99%, reflecting its ability to maintain high operational efficiency. The company reported trailing twelve-month revenue of $2.86 billion, with a revenue growth rate of 7.7% year-over-year, indicating steady expansion despite broader economic uncertainties. However, earnings growth has declined by 23.1%, which may signal challenges in maintaining profitability growth in the near term.  
 The firm’s trailing P/E ratio of 41.90 and forward P/E of 34.55 suggest a premium valuation, which is typical for a market leader in the financial exchanges and data industry. The dividend yield of 1.22% is above its five-year average of 0.89%, indicating a shareholder-friendly approach, though the payout ratio of 45.55% remains conservative, leaving room for reinvestment or future dividend increases.  
 MSCI's balance sheet shows a total debt of $4.66 billion against cash reserves of $405.85 million, resulting in a quick ratio of 0.774 and a current ratio of 0.848. While these liquidity metrics are below 1, the company’s strong free cash flow of $1.11 billion and operating cash flow of $1.50 billion provide a cushion to manage its debt obligations effectively.  
 **Valuations:**  
 MSCI's market capitalization stands at $45.72 billion, with an enterprise value of $49.97 billion, reflecting a premium valuation relative to its peers. The price-to-sales ratio of 16.01 and enterprise-to-revenue ratio of 17.50 are high, indicating that the market expects significant future growth. However, the trailing PEG ratio of 2.66 suggests that the stock may be overvalued relative to its earnings growth potential.  
 The stock is trading near its 50-day average of $594.48, but well above its 200-day average of $561.77, indicating a strong upward trend over the past year. The 52-week range of $439.95 to $642.45 shows that the stock is closer to its upper limit, which could limit short-term upside potential.  
 **Economic Outlook:**  
 The broader economic environment presents mixed signals for MSCI. The U.S. economy is showing signs of deceleration, with GDP contraction expected in Q1 2025 and rising jobless claims. However, MSCI's business model, which focuses on financial data and index services, is less sensitive to cyclical economic downturns and benefits from long-term trends such as the growth of passive investing and ESG (Environmental, Social, and Governance) integration.  
 The ongoing trade tensions and tariffs could indirectly impact MSCI if global financial markets experience heightened volatility or reduced trading activity. However, the company's diversified revenue streams and strong institutional client base provide resilience against such macroeconomic headwinds.  
 **Summary:**  
 **Thesis:** MSCI Inc. is a market leader in financial data and index services, benefiting from high margins, steady revenue growth, and strong cash flow generation. Its premium valuation reflects its dominant position and growth potential in a structurally expanding industry.  
 **Edge:** The company’s focus on ESG and passive investment trends positions it well for long-term growth, while its high profitability and cash flow provide stability.  
 **Risk:** Elevated valuation metrics and declining earnings growth pose risks, particularly in a slowing economic environment. Additionally, its high debt levels and sensitivity to market volatility could weigh on performance if financial markets face prolonged disruptions.  
 **Score: 78**</t>
  </si>
  <si>
    <t>**Investment Report: Danaher Corporation**
 **Recent News:**  
 Danaher Corporation has not been in the news over the past week, indicating a period of operational stability without any major announcements or disruptions. This lack of news suggests that the company is not currently facing significant external challenges or undergoing transformative changes. However, in a volatile macroeconomic environment, the absence of news can also reflect a steady focus on core operations, which is often a positive signal for long-term investors.
 **Financials:**  
 Danaher Corporation's financial performance reflects a strong position within the Life Sciences Tools &amp; Services industry. The company has a market capitalization of $147 billion, supported by robust profit margins of 16.33% and gross margins of 59.61%. Its trailing price-to-earnings (P/E) ratio of 38.81 and forward P/E of 24.55 indicate a premium valuation, which is typical for high-quality companies in the life sciences sector with consistent growth prospects. The company’s revenue growth of 2.1% and earnings growth of 3.5% demonstrate resilience in a challenging economic environment.
 Danaher’s dividend yield of 0.62% is modest but above its five-year average of 0.37%, reflecting a commitment to returning value to shareholders. The payout ratio of 20.42% suggests ample room for dividend growth. The company’s free cash flow of $4.67 billion and operating cash flow of $6.69 billion provide strong liquidity to support both operational needs and strategic investments.
 The balance sheet shows a manageable debt-to-equity ratio of 34.60, with total debt of $17.15 billion offset by $2.08 billion in cash. The quick ratio of 0.95 and current ratio of 1.40 indicate sufficient short-term liquidity. However, the enterprise value-to-EBITDA ratio of 21.59 suggests the company is trading at a premium, which could limit upside potential in the near term.
 **Valuations:**  
 Danaher’s stock is currently trading at $204.87, near its 52-week low of $196.80 and significantly below its 52-week high of $281.70. This decline of approximately 18.33% over the past year contrasts with the S&amp;P 500's gain of 17.25%, suggesting underperformance relative to the broader market. The price-to-book ratio of 2.99 indicates that the stock is not excessively overvalued compared to its book value, but the premium valuation metrics (e.g., trailing PEG ratio of 2.07) suggest that the market is pricing in future growth expectations.
 Analyst sentiment remains positive, with a mean target price of $267.38, representing a potential upside of 30.5% from current levels. The recommendation mean of 1.61 (on a scale where 1.0 is a strong buy) underscores confidence in the company’s long-term prospects.
 **Economic Outlook:**  
 The broader macroeconomic environment presents both challenges and opportunities for Danaher. The U.S. economy is showing signs of deceleration, with GDP expected to shrink by 1.5% in Q1 2025. Rising tariffs and trade tensions could impact global supply chains, potentially affecting Danaher’s cost structure and international revenue streams. However, the company’s focus on life sciences tools and services positions it in a relatively defensive sector, less exposed to cyclical economic pressures.
 Danaher’s strong cash flow and operational efficiency provide a buffer against economic headwinds. Additionally, its exposure to high-growth areas such as biotechnology and diagnostics aligns with long-term trends in healthcare innovation and aging populations, which should support demand for its products and services.
 **Summary of Thesis, Edge, and Risk:**  
 Danaher Corporation is a high-quality company with strong fundamentals, including robust margins, consistent cash flow, and a solid balance sheet. Its premium valuation reflects its leadership in the life sciences sector and its ability to capitalize on long-term growth trends. However, near-term risks include macroeconomic headwinds, such as slowing GDP growth and potential disruptions from trade policies. The stock’s recent underperformance relative to the broader market may present an opportunity for long-term investors, but the premium valuation limits immediate upside potential.
 **Score: 78**</t>
  </si>
  <si>
    <t>DPZ</t>
  </si>
  <si>
    <t>**Investment Report: Domino's Pizza (NASDAQ: DPZ)**
 **Recent News:**  
 Domino's Pizza has introduced its own stuffed crust pizza, a strategic move to compete with long-standing rival Pizza Hut, which pioneered the product three decades ago. This launch follows three years of development and aligns with Domino's "Hungry for MORE" strategy, which emphasizes value leadership, operational excellence, and delivery channel expansion. Despite a challenging consumer environment, Domino's has managed to gain market share, as highlighted in its Q4 2024 earnings call. The company has adjusted its growth expectations to align with broader industry trends, signaling a pragmatic approach to navigating current economic conditions.
 **Financials:**  
 Domino's stock has shown resilience, with a recent trading range between $479.57 and $500.55, and a market capitalization of $16.59 billion. The company offers a dividend yield of 1.42%, above its five-year average of 1.04%, reflecting a commitment to returning value to shareholders. Its trailing P/E ratio of 28.97 and forward P/E of 27.43 suggest a premium valuation, though this is typical for a market leader with strong brand equity. Revenue growth of 3.1% year-over-year and earnings growth of 30.1% highlight operational efficiency, while EBITDA margins of 19.87% and operating margins of 18.06% underscore profitability. However, a quick ratio of 0.31 and current ratio of 0.56 indicate limited short-term liquidity, and total debt of $5.3 billion remains a concern.
 **Valuations:**  
 Domino's trades at a price-to-sales ratio of 3.53 and an enterprise value-to-revenue ratio of 4.85, reflecting its strong market position but also a relatively high valuation compared to peers. Analysts have a median price target of $500, close to its recent trading levels, with a recommendation mean of 1.94 (indicating a "buy"). The stock's beta of 1.06 suggests moderate volatility, aligning with broader market movements. While the company's book value is negative (-$112.88), this is not uncommon for firms with significant franchise operations and intangible assets.
 **Economic Outlook:**  
 The broader economic environment presents challenges for consumer discretionary spending, including the restaurant industry. Rising tariffs and geopolitical tensions could pressure input costs, particularly for imported ingredients. However, Domino's focus on value and delivery channels positions it well to capture demand from cost-conscious consumers. The company's ability to innovate, as seen with the stuffed crust launch, and its operational efficiency provide a competitive edge in a slowing economy. Additionally, its global footprint offers some insulation from localized economic pressures.
 **Summary:**  
 **Thesis:** Domino's Pizza demonstrates strong operational performance, market share gains, and strategic innovation, making it a leader in the quick-service restaurant industry.  
 **Edge:** Its focus on value leadership and delivery expansion positions it well to navigate economic headwinds and capture consumer demand.  
 **Risk:** High debt levels and limited short-term liquidity could pose challenges if economic conditions deteriorate further or if input costs rise significantly.
 **Score: 78**</t>
  </si>
  <si>
    <t>ERIE</t>
  </si>
  <si>
    <t>**Investment Report: Erie Indemnity**
 **Recent News:**  
 Erie Indemnity has not been in the spotlight recently, with no significant news or developments reported in the past week. This lack of news suggests stability in operations but also indicates no immediate catalysts for significant price movement in the short term.
 **Financials:**  
 Erie Indemnity's financial performance reflects a strong and stable position within the insurance brokers industry. The company has a trailing price-to-earnings (P/E) ratio of 39.21 and a forward P/E of 33.56, indicating a premium valuation compared to broader market averages. This premium is likely justified by its consistent earnings growth of 37.3% and revenue growth of 13% year-over-year, showcasing robust operational efficiency and demand for its services. 
 The firm's profit margins stand at 15.82%, with an impressive return on equity (ROE) of 32.89%, highlighting its ability to generate significant returns on shareholder investments. Erie Indemnity also maintains a low debt-to-equity ratio of 0.378, reflecting prudent financial management and a strong balance sheet. The company’s quick ratio of 1.29 and current ratio of 1.43 further emphasize its solid liquidity position.
 Dividend payments remain a key attraction for investors, with a dividend yield of 1.28% and a payout ratio of 45.2%, indicating a sustainable dividend policy. However, the current yield is below its five-year average of 1.8%, suggesting that the stock's recent price appreciation has outpaced dividend growth.
 **Valuations:**  
 Erie Indemnity's stock is trading near its 52-week high of $547, with a recent close at $428.07. The price-to-book ratio of 11.83 and price-to-sales ratio of 6.20 indicate a high valuation relative to its peers, which may limit upside potential in the near term. However, the company's strong fundamentals, including consistent earnings growth and high profitability, may justify this premium for long-term investors.
 The stock has shown resilience, with a 52-week change of 4.81%, underperforming the S&amp;P 500's 17.25% gain over the same period. This underperformance could reflect broader market rotation away from defensive sectors like insurance or concerns about valuation levels.
 **Economic Outlook:**  
 The broader economic environment presents mixed signals for Erie Indemnity. The U.S. economy is showing signs of deceleration, with GDP expected to contract by 1.5% in Q1 2025. Rising jobless claims and weakening consumer confidence could dampen demand for insurance products, potentially impacting revenue growth. However, Erie Indemnity's low beta of 0.384 suggests that its stock is less volatile and may provide a defensive hedge in a slowing economy.
 The ongoing trade tensions and tariff implementations could indirectly affect the insurance industry by increasing costs for businesses and consumers, potentially leading to reduced demand for certain insurance products. However, Erie Indemnity's focus on domestic markets and its strong financial position may help it weather these macroeconomic challenges.
 **Summary of Thesis, Edge, and Risk:**  
 Erie Indemnity's strong financial performance, consistent earnings growth, and high profitability provide a solid foundation for long-term value creation. Its low beta and defensive characteristics make it an attractive option in a volatile and uncertain economic environment. However, the stock's high valuation and relatively low dividend yield may limit short-term upside potential. Risks include potential macroeconomic headwinds, such as a slowing economy and weakening consumer confidence, which could impact revenue growth.
 **Score: 78**</t>
  </si>
  <si>
    <t>ETN</t>
  </si>
  <si>
    <r>
      <t xml:space="preserve">**Investment Report: Eaton Corporation (ETN)**
 **Recent News:**  
 Eaton Corporation has garnered significant attention from investors, as highlighted by </t>
    </r>
    <r>
      <rPr>
        <rFont val="&quot;Helvetica Neue&quot;"/>
        <color rgb="FF1155CC"/>
        <sz val="8.0"/>
        <u/>
      </rPr>
      <t>Zacks.com</t>
    </r>
    <r>
      <rPr>
        <rFont val="&quot;Helvetica Neue&quot;"/>
        <sz val="8.0"/>
      </rPr>
      <t>. This interest is likely driven by the company's strong position in the Electrical Components &amp; Equipment industry, coupled with its consistent financial performance. Eaton's diversified product portfolio, which includes power management solutions, positions it well to benefit from long-term trends such as electrification, energy efficiency, and infrastructure modernization. However, the broader macroeconomic environment, including trade tensions and slowing economic growth, could weigh on near-term performance.
 **Financials:**  
 Eaton's financial metrics reflect a solid operational foundation. The company reported a trailing price-to-earnings (P/E) ratio of 29.31 and a forward P/E of 23.11, indicating expectations of earnings growth. Its profit margins are healthy, with a net income margin of 15.25% and EBITDA margins of 22.49%. Revenue growth of 4.6% and earnings growth of 4.3% demonstrate steady expansion, albeit at a moderate pace. Eaton's return on equity (ROE) of 20.2% highlights its ability to generate strong returns for shareholders. The company also maintains a manageable debt-to-equity ratio of 53.88, supported by robust free cash flow of $2.85 billion.
 Dividend metrics are another positive, with a dividend yield of 1.42% and a payout ratio of 39.58%, suggesting a sustainable dividend policy. However, the current dividend yield is below its five-year average of 1.95%, reflecting the stock's elevated valuation.
 **Valuations:**  
 Eaton's stock is trading at a price-to-book (P/B) ratio of 5.92, which is relatively high compared to historical norms, indicating that the market has priced in significant growth expectations. The stock's 52-week range of $255.65 to $379.99 shows that it is currently trading closer to its lower end, with a recent close of $293.32. Analyst price targets suggest upside potential, with a median target of $380.00 and a high target of $418.18. However, the trailing PEG ratio of 2.45 indicates that the stock may be overvalued relative to its growth prospects.
 **Economic Outlook:**  
 The macroeconomic environment presents mixed signals for Eaton. The U.S. economy is showing signs of deceleration, with GDP expected to contract in Q1 2025. Trade tensions, particularly the imposition of tariffs on Canada, Mexico, and China, could disrupt supply chains and increase input costs for Eaton. On the other hand, the company's focus on energy efficiency and electrification aligns with long-term structural trends, which could provide resilience against short-term economic headwinds. Additionally, the Federal Reserve's potential pivot to rate cuts later in the year could support broader market sentiment.
 **Summary:**  
 Eaton Corporation's strong financial performance, robust cash flow, and alignment with long-term industry trends provide a solid investment thesis. Its edge lies in its diversified product portfolio and focus on electrification and energy efficiency. However, risks include elevated valuations, potential margin pressures from trade tariffs, and broader economic uncertainty. While the company is well-positioned for long-term growth, near-term volatility may persist due to macroeconomic challenges.
 **Score: 78**</t>
    </r>
  </si>
  <si>
    <t>EMN</t>
  </si>
  <si>
    <t>**Investment Report: Eastman Chemical Company**
 **Recent News:**  
 Eastman Chemical Company has not been in the news over the past week, indicating a lack of significant developments or disruptions. This absence of news suggests stability in operations but also a lack of immediate catalysts for the stock.
 **Financials:**  
 Eastman Chemical's financial performance reflects a solid foundation with a trailing price-to-earnings (P/E) ratio of 12.32 and a forward P/E of 10.86, indicating a relatively attractive valuation compared to broader market averages. The company offers a dividend yield of 3.39%, slightly above its five-year average of 3.25%, supported by a sustainable payout ratio of 42.5%. This makes the stock appealing for income-focused investors.  
 The company has a market capitalization of $10.88 billion and an enterprise value of $15.31 billion, reflecting moderate leverage. Its debt-to-equity ratio of 89.2 is somewhat high, but manageable given its strong operating cash flow of $1.29 billion and free cash flow of $551 million. The quick ratio of 0.75 and current ratio of 1.51 suggest adequate liquidity to meet short-term obligations.  
 Eastman Chemical's revenue growth of 1.7% and earnings growth of 7.9% year-over-year indicate steady, albeit modest, expansion. Profit margins remain healthy, with a net margin of 9.65% and EBITDA margin of 20.17%. The return on equity (ROE) of 15.96% highlights efficient use of shareholder capital.  
 **Valuations:**  
 The stock is trading at a price-to-book (P/B) ratio of 1.88, which is reasonable given its book value per share of $50.20. The price-to-sales (P/S) ratio of 1.16 further underscores its undervaluation relative to peers in the specialty chemicals industry. Analyst sentiment is positive, with a mean price target of $115.56, representing a potential upside of approximately 22% from the current price. The recommendation mean of 2.05 (between "Buy" and "Outperform") reflects confidence in the company's prospects.  
 **Economic Outlook:**  
 The broader economic environment presents mixed signals for Eastman Chemical. The ongoing trade tensions, particularly the new tariffs on steel, aluminum, and other goods, could increase input costs for the company, potentially pressuring margins. However, Eastman Chemical's diversified product portfolio and global footprint may help mitigate these risks.  
 The U.S. economy is showing signs of deceleration, with GDP contraction expected in Q1 2025. This could dampen demand for industrial and specialty chemicals in the near term. On the other hand, moderating inflation and potential Federal Reserve rate cuts later in the year could provide a tailwind for the broader market and industrial sectors.  
 **Summary:**  
 Eastman Chemical Company offers a compelling investment thesis with its attractive valuation, strong dividend yield, and steady financial performance. Its edge lies in its efficient capital allocation and healthy margins, which provide resilience in a challenging economic environment. However, risks include potential margin compression from rising input costs due to tariffs and broader economic headwinds that could impact demand for its products.  
 **Score: 78**</t>
  </si>
  <si>
    <t>EOG</t>
  </si>
  <si>
    <t>**Investment Report: EOG Resources**
 **Recent News:**  
 EOG Resources has demonstrated resilience in a challenging environment for the oil and gas sector. Despite a revenue miss due to lower crude oil, condensates, and natural gas prices, the company exceeded earnings expectations in Q4, reporting $2.74 per share against the consensus estimate of $2.55. This outperformance is attributed to EOG's focused exploration and production strategy, which allows it to capitalize on high oil price periods more effectively than integrated oil majors. The company’s strong profitability metrics, robust balance sheet, and consistent dividend growth further underscore its operational strength. EOG's dividend yield of 2.92% and a five-year average annual growth rate of 28% highlight its commitment to returning value to shareholders, even amid volatile commodity prices.
 **Financials:**  
 EOG Resources maintains a solid financial position with a market capitalization of $67.8 billion and a manageable debt-to-equity ratio of 19.73. The company’s profitability metrics are robust, with a return on equity of 22.29% and gross margins of 61.62%. EOG's trailing P/E ratio of 10.71 and forward P/E of 10.89 suggest a reasonable valuation relative to its earnings potential. The company also boasts a strong free cash flow of $4.58 billion, supporting its dividend payouts and future investments. However, earnings and revenue growth have faced headwinds, with earnings declining by 34.8% and revenue contracting by 6.4% year-over-year, reflecting the broader challenges in the energy market.
 **Valuations:**  
 EOG's current price-to-book ratio of 2.29 and price-to-sales ratio of 2.89 indicate a fair valuation compared to industry peers. The stock is trading near its 52-week low of $115.40, offering potential upside if oil prices stabilize or recover. Analyst sentiment remains positive, with a mean price target of $146.13, representing a 22% upside from the current price. The recommendation mean of 2.06 (Buy) from 31 analysts further supports the view that EOG is well-positioned for long-term growth.
 **Economic Outlook:**  
 The macroeconomic environment presents mixed signals for EOG Resources. While the global economy faces deceleration and potential recessionary pressures, energy demand remains relatively stable. However, the recent implementation of tariffs and geopolitical tensions could disrupt supply chains and impact commodity prices. EOG's exposure to fluctuating oil and gas prices remains a key risk, particularly as revenue growth has been negatively affected by lower commodity prices. On the positive side, EOG's operational efficiency and low-cost production model provide a competitive edge in navigating these challenges.
 **Summary:**  
 **Thesis:** EOG Resources is a well-managed company with strong profitability, a robust balance sheet, and a shareholder-friendly dividend policy. Its focused exploration and production strategy positions it to outperform during periods of high oil prices.  
 **Edge:** The company’s operational efficiency and disciplined capital allocation provide resilience in a volatile commodity market.  
 **Risk:** EOG remains exposed to commodity price fluctuations and broader economic uncertainties, which could pressure earnings and revenue growth.
 **Score: 78**</t>
  </si>
  <si>
    <t>OKE</t>
  </si>
  <si>
    <t>**Investment Report: ONEOK (OKE)**
 **Recent News:**  
 ONEOK reported strong fourth-quarter 2024 results, with earnings per share (EPS) of $1.57 surpassing analyst expectations of $1.49. Quarterly revenue reached $7 billion, exceeding the forecasted $6.18 billion, reflecting a year-over-year increase. The company has announced plans to invest between $2.8 billion and $3.2 billion in 2025 to enhance its operations, signaling confidence in its growth trajectory. Despite these positive developments, the stock experienced a 5.13% decline, likely due to broader market volatility and concerns over macroeconomic headwinds, including trade tensions and potential recessionary pressures.
 **Financials:**  
 ONEOK's financial performance remains robust, with a trailing price-to-earnings (P/E) ratio of 18.72 and a forward P/E of 16.21, indicating a reasonable valuation relative to its earnings growth. The company boasts a dividend yield of 4.1%, supported by a payout ratio of 76.6%, which is sustainable given its strong cash flow generation. ONEOK's revenue growth of 33.7% and earnings growth of 33.6% year-over-year highlight its operational efficiency and ability to capitalize on favorable market conditions in the natural gas and NGL sectors. However, the company's debt-to-equity ratio of 145.9% reflects a high leverage level, which could pose risks in a rising interest rate environment.
 **Valuations:**  
 ONEOK's price-to-book ratio of 3.31 and enterprise value-to-revenue ratio of 4.46 suggest the stock is trading at a premium compared to some peers in the Oil &amp; Gas Storage &amp; Transportation industry. However, its strong return on equity (16.1%) and return on assets (5.8%) indicate effective capital utilization. The stock's 52-week performance has been solid, with a 29.5% increase, outperforming the S&amp;P 500's 17.2% gain over the same period. Analyst sentiment remains positive, with a mean price target of $110.65, implying potential upside from its current trading range.
 **Economic Outlook:**  
 The broader economic environment presents mixed signals for ONEOK. While the company benefits from strong demand for natural gas and NGLs, macroeconomic challenges such as escalating trade tensions, potential recessionary pressures, and elevated interest rates could weigh on its performance. The U.S. economy is projected to contract in Q1 2025, and consumer confidence is weakening, which may impact industrial demand for energy. However, ONEOK's planned investments in infrastructure and operations position it well to capture long-term growth opportunities, particularly as energy markets stabilize.
 **Summary:**  
 **Thesis:** ONEOK's strong financial performance, robust revenue and earnings growth, and strategic investments in 2025 underscore its potential for long-term value creation.  
 **Edge:** The company's leadership in the natural gas and NGL sectors, coupled with its ability to generate consistent cash flows, provides a competitive advantage.  
 **Risk:** High leverage and macroeconomic uncertainties, including trade tensions and potential recessionary impacts, could pressure margins and limit near-term upside.  
 **Score: 78**</t>
  </si>
  <si>
    <t>EQIX</t>
  </si>
  <si>
    <t>**Investment Report: Equinix (EQIX)**
 **Recent News:**  
 Equinix has not been in the headlines over the past week, indicating a period of operational stability without any major disruptions or announcements. This lack of news suggests that the company is continuing its business as usual, which can be interpreted as a positive sign in a volatile macroeconomic environment.
 **Financials:**  
 Equinix, a leader in the Data Center REITs industry, is trading near the upper range of its 52-week performance, with a recent close of $904.62 compared to its 52-week high of $994.03. The stock has shown resilience, with a modest 1.01% increase over the past year, underperforming the S&amp;P 500's 17.25% gain. The company’s beta of 0.734 reflects lower volatility compared to the broader market, making it a relatively defensive play in uncertain times.
 Equinix's financial health is supported by strong revenue generation, with total revenue of $8.17 billion and a revenue growth rate of 1.4% year-over-year. The company maintains robust profitability metrics, including a gross margin of 45.34% and an EBITDA margin of 37.45%. However, operating margins are negative at -9.74%, reflecting high operating expenses, which is typical for capital-intensive businesses like data centers.
 The firm’s dividend yield of 2.07% is above its five-year average of 1.69%, signaling an attractive income opportunity for investors. With a payout ratio of 200.47%, the dividend is high relative to earnings, but this is common for REITs, which are required to distribute a significant portion of their income to shareholders. Equinix’s forward P/E ratio of 68.06 and trailing P/E of 107.13 indicate a premium valuation, reflecting investor confidence in its growth prospects and market leadership.
 Equinix has a strong balance sheet with $3.08 billion in cash and $1.89 billion in free cash flow, providing flexibility for future investments. However, its debt-to-equity ratio of 139.91% highlights significant leverage, which could pose risks in a rising interest rate environment.
 **Valuations:**  
 Equinix trades at a price-to-book ratio of 6.55 and a price-to-sales ratio of 10.84, both of which are elevated compared to industry averages. These metrics suggest that the market is pricing in substantial growth and operational efficiency. Analysts remain optimistic, with a mean target price of $1,021.40, representing a potential upside of approximately 12.9% from the current price. The recommendation mean of 1.61 (on a scale where 1.0 is a strong buy) underscores strong analyst confidence in the stock.
 **Economic Outlook:**  
 The broader economic environment presents mixed signals for Equinix. On one hand, the company benefits from secular trends such as the increasing demand for data centers driven by cloud computing, AI, and digital transformation. On the other hand, macroeconomic headwinds, including rising interest rates and trade tensions, could pressure its capital-intensive operations and increase borrowing costs. Additionally, the U.S. economy is showing signs of deceleration, with GDP expected to shrink by 1.5% in Q1 2025, which could dampen corporate IT spending and indirectly affect Equinix’s growth.
 **Summary of Thesis, Edge, and Risk:**  
 Equinix’s market leadership in the data center REIT space, coupled with strong revenue generation and a reliable dividend, positions it as a defensive play in a volatile market. Its premium valuation reflects investor confidence in its ability to capitalize on long-term digital infrastructure trends. However, high leverage and negative operating margins pose risks, particularly in a challenging macroeconomic environment with rising interest rates. The company’s ability to manage costs and maintain growth will be critical to sustaining its valuation.
 **Score: 78**</t>
  </si>
  <si>
    <t>MCO</t>
  </si>
  <si>
    <t>**Investment Report: Moody's Corporation**
 **Recent News:**  
 Moody's Corporation has not been in the headlines over the past week, indicating a lack of immediate catalysts or disruptions. This stability can be interpreted as a sign of operational consistency, particularly in a volatile macroeconomic environment. However, the absence of news also suggests that the firm is not currently driving significant market sentiment or benefiting from any major developments.
 **Financials:**  
 Moody's Corporation demonstrates strong financial health, with a market capitalization of $90.5 billion and robust profit margins of 29.04%. The company has shown consistent earnings growth, with quarterly earnings increasing by 16.2% and revenue growth of 13% year-over-year. Its trailing P/E ratio of 44.66 and forward P/E of 37.69 suggest that the stock is priced at a premium, reflecting investor confidence in its growth prospects. The company’s gross margins of 72.56% and EBITDA margins of 48.14% highlight its operational efficiency and ability to generate substantial cash flow.
 The firm’s dividend yield of 0.75% is slightly below its five-year average of 0.81%, but its low payout ratio of 30.2% indicates room for future dividend growth. Moody's also maintains a strong free cash flow of $2.24 billion, which supports its ability to reinvest in growth initiatives or return capital to shareholders. However, the company’s high debt-to-equity ratio of 212.37% warrants attention, as it reflects significant leverage, which could pose risks in a rising interest rate environment.
 **Valuations:**  
 Moody's trades at a price-to-book ratio of 25.39, significantly higher than the industry average, indicating that the stock is richly valued. Its enterprise value-to-EBITDA ratio of 28.08 further underscores this premium valuation. Analysts have a mean target price of $541.12, representing a modest upside from the current price of approximately $499. The stock has performed well over the past year, with a 52-week change of +31.75%, outperforming the S&amp;P 500's gain of +17.25%. This strong performance reflects investor confidence in Moody's ability to navigate economic uncertainties and maintain its leadership in the financial data and analytics industry.
 **Economic Outlook:**  
 The broader economic environment presents both challenges and opportunities for Moody's. The U.S. economy is showing signs of deceleration, with GDP expected to shrink by 1.5% in Q1 2025. Rising jobless claims and a record trade deficit could weigh on corporate credit markets, potentially impacting Moody's credit rating and analytics business. However, the Federal Reserve's efforts to control inflation and the potential for rate cuts later in the year could stabilize market conditions, benefiting Moody's long-term prospects.
 Moody's operates in a sector that is relatively insulated from short-term economic fluctuations, as demand for credit ratings and financial data remains steady. The company's strong return on equity (57.17%) and return on assets (12.37%) highlight its ability to generate value even in challenging economic conditions. However, the ongoing trade tensions and tariff implementations could create headwinds for global credit markets, indirectly affecting Moody's revenue streams.
 **Summary:**  
 Moody's Corporation benefits from a strong competitive position, high profit margins, and consistent revenue growth, making it a leader in the financial data and analytics industry. Its ability to generate substantial free cash flow and maintain operational efficiency provides a solid foundation for long-term growth. However, the stock's premium valuation and high leverage pose risks, particularly in a volatile macroeconomic environment. While the company is well-positioned to weather economic uncertainties, its exposure to global credit markets could create near-term challenges.
 **Score: 78**</t>
  </si>
  <si>
    <t>NTRS</t>
  </si>
  <si>
    <t>**Investment Report: Northern Trust Corporation**
 **Recent News:**  
 Northern Trust Corporation has not been in the news over the past week, indicating a lack of significant recent developments or announcements. This absence of news suggests stability but also highlights the need to focus on financial performance and broader economic factors to assess the firm's outlook.
 **Financials:**  
 Northern Trust's financial performance reflects a solid position within the Asset Management &amp; Custody Banks industry. The firm has a trailing price-to-earnings (P/E) ratio of 11.20, which is below the industry average, indicating potential undervaluation. Its forward P/E of 14.32 suggests expectations of moderate earnings growth. The company’s dividend yield of 2.72% is slightly below its five-year average of 3.16%, but the payout ratio of 30.71% indicates a sustainable dividend policy.  
 The firm’s earnings growth of 3.38% and revenue growth of 28.4% year-over-year are strong indicators of operational efficiency and resilience. With a return on equity (ROE) of 16.46%, Northern Trust demonstrates effective use of shareholder capital. However, the operating cash flow is negative at -$486 million, which could signal short-term liquidity challenges.  
 The company’s balance sheet shows a total cash position of $10.86 billion against total debt of $17.60 billion, resulting in a manageable debt-to-cash ratio. The price-to-book (P/B) ratio of 1.80 is reasonable, suggesting the stock is trading at a fair valuation relative to its book value.  
 **Valuations:**  
 Northern Trust’s stock is trading near the upper end of its 52-week range ($79.30 - $114.67), with a recent close of $110.22. The stock has outperformed the S&amp;P 500 over the past year, with a 52-week price change of +29.43% compared to the S&amp;P 500’s +17.25%. Analysts have a median price target of $116.00, implying limited upside potential in the near term. The recommendation mean of 3.0 (Hold) reflects a cautious sentiment among analysts.  
 The firm’s trailing PEG ratio of 0.90 suggests that the stock is attractively valued relative to its earnings growth, making it appealing for long-term investors. However, the short interest ratio of 2.26 and a slight increase in short positions over the past month indicate some bearish sentiment in the market.
 **Economic Outlook:**  
 The broader economic environment presents mixed implications for Northern Trust. The U.S. economy is showing signs of deceleration, with GDP expected to contract by 1.5% in Q1 2025. Rising jobless claims and weakening consumer confidence could dampen demand for financial services. Additionally, the ongoing trade tensions and tariffs imposed by the Trump administration may create headwinds for global markets, potentially impacting Northern Trust’s international operations.  
 On the positive side, moderating inflation and the potential for Federal Reserve rate cuts later in the year could provide a more favorable environment for financial institutions. Northern Trust’s strong revenue growth and efficient cost management position it well to navigate these challenges.  
 **Summary:**  
 Northern Trust’s investment thesis is supported by its strong financial fundamentals, including robust earnings growth, a sustainable dividend policy, and effective capital utilization. Its valuation metrics, particularly the low P/E and PEG ratios, suggest the stock is attractively priced for long-term growth. The firm’s edge lies in its operational efficiency and resilience in a challenging macroeconomic environment. However, risks include negative operating cash flow, potential liquidity concerns, and broader economic uncertainties that could impact the financial sector.
 **Score: 78**</t>
  </si>
  <si>
    <t>COF</t>
  </si>
  <si>
    <t>**Investment Report: Capital One Financial Corporation**
 **Recent News:**  
 Capital One has recently benefited from a significant regulatory development. The Consumer Financial Protection Bureau (CFPB), under new leadership following directives from the Trump administration, has dropped enforcement actions against the company. These lawsuits, initiated under the previous CFPB director, alleged that Capital One had deprived consumers of over $2 billion in interest payments. The dismissal of these cases removes a substantial legal overhang for the company, which had strongly contested the allegations. This regulatory shift reflects a more business-friendly environment under the current administration, potentially reducing compliance risks for Capital One and other financial institutions. Additionally, Capital One has been highlighted as a strong value stock by Zacks Style Scores, further enhancing its investment appeal.
 **Financials:**  
 Capital One's financial performance remains robust, with a market capitalization of $74.8 billion and a price-to-book ratio of 1.34, indicating a reasonable valuation relative to its assets. The company has demonstrated strong earnings growth, with quarterly earnings increasing by 55.2% year-over-year and revenue growth of 13.5%. Its trailing price-to-earnings (P/E) ratio of 16.96 and forward P/E of 12.53 suggest that the stock is attractively valued compared to its earnings potential. The dividend yield of 1.2%, while slightly below its five-year average of 1.74%, reflects a sustainable payout ratio of 20.7%. Capital One's return on equity (ROE) of 7.99% and return on assets (ROA) of 0.98% indicate efficient use of shareholder capital and assets, though these metrics are slightly below industry leaders. The company also maintains a strong liquidity position, with $44.4 billion in cash and a manageable debt load of $48.5 billion.
 **Valuations:**  
 Capital One's stock has shown resilience, with a 52-week price change of +45.79%, significantly outperforming the S&amp;P 500's 17.25% gain over the same period. The stock is trading near its 52-week high of $210.67, reflecting strong investor confidence. Analyst sentiment remains positive, with a mean recommendation of "buy" and a target median price of $220, suggesting potential upside from its current price. The company's trailing PEG ratio of 1.43 indicates that its growth is reasonably priced, making it an attractive option for value-oriented investors.
 **Economic Outlook:**  
 The broader economic environment presents both opportunities and challenges for Capital One. The U.S. economy is showing signs of deceleration, with GDP expected to contract by 1.5% in Q1 2025. Rising jobless claims and weakening consumer confidence could impact credit demand and repayment rates, posing risks to Capital One's consumer finance business. However, the easing of regulatory pressures and a more favorable policy environment under the Trump administration could offset some of these headwinds. Additionally, the company's focus on value and its strong financial position may allow it to weather economic uncertainties better than peers.
 **Summary:**  
 **Thesis:** Capital One stands to benefit from a more business-friendly regulatory environment, strong earnings growth, and attractive valuations.  
 **Edge:** The dismissal of CFPB enforcement actions removes a significant legal risk, while the company's robust financials and liquidity position provide stability.  
 **Risk:** Economic headwinds, including a potential recession and weakening consumer confidence, could impact credit performance and growth prospects.
 **Score: 78**</t>
  </si>
  <si>
    <t>**Investment Report: Parker Hannifin Corporation**
 **Recent News:**  
 Parker Hannifin has not been in the headlines over the past week, indicating a lack of significant corporate developments or external disruptions. This absence of news suggests stability in operations but also highlights the need to focus on broader economic and industry trends to assess its near-term prospects.
 **Financials:**  
 Parker Hannifin's financial performance reflects a strong position within the industrial machinery sector. The company has a market capitalization of $83.77 billion and a trailing P/E ratio of 26.88, which is slightly elevated compared to its forward P/E of 22.10, indicating expectations of earnings growth. The firm has demonstrated robust profitability metrics, with a net income margin of 15.87% and a return on equity of 25.85%, showcasing efficient capital utilization. 
 The company’s revenue growth has contracted slightly by -1.6% year-over-year, which may reflect broader macroeconomic challenges or temporary headwinds in its end markets. However, earnings growth remains strong at 38.6%, supported by operational efficiencies and cost management. Parker Hannifin's EBITDA margin of 25.03% and operating margin of 20.61% further underline its ability to generate healthy cash flows.
 The dividend yield of 0.98% is below its five-year average of 1.42%, suggesting that the stock price has appreciated faster than dividend payouts. The payout ratio of 26.31% indicates ample room for future dividend increases. The company’s free cash flow of $3.21 billion and operating cash flow of $3.71 billion provide a solid foundation for reinvestment and shareholder returns.
 **Valuations:**  
 Parker Hannifin is trading at a price-to-book ratio of 6.39, which is relatively high compared to its peers, reflecting a premium valuation. The price-to-sales ratio of 4.21 and enterprise value-to-EBITDA ratio of 19.01 also suggest that the stock is priced for growth. Analysts have a mean target price of $748.08, representing potential upside from the current trading range, with a recommendation mean of 1.61 (indicating a "buy" consensus). However, the stock's beta of 1.495 implies higher volatility compared to the broader market, which could amplify risks in a turbulent economic environment.
 **Economic Outlook:**  
 The industrial machinery sector is sensitive to macroeconomic conditions, and Parker Hannifin may face challenges from the broader economic slowdown. The U.S. economy is projected to contract by 1.5% in Q1 2025, with rising jobless claims and weakening consumer confidence. Additionally, the ongoing trade tensions, including tariffs on steel and aluminum, could increase input costs for Parker Hannifin, potentially pressuring margins. However, the company’s global footprint and diversified product portfolio may help mitigate some of these risks.
 The Federal Reserve's restrictive monetary policy and elevated interest rates could also weigh on industrial demand, particularly in capital-intensive sectors. On the positive side, moderating inflation and potential rate cuts later in the year could provide a tailwind for industrial activity and investment.
 **Summary:**  
 Parker Hannifin's strong profitability, efficient operations, and robust cash flow generation provide a solid foundation for long-term growth. The company’s premium valuation reflects market confidence in its ability to navigate near-term challenges, including economic deceleration and trade-related headwinds. However, risks include exposure to macroeconomic volatility, elevated input costs, and a high beta, which could amplify stock price fluctuations. The firm’s edge lies in its operational efficiency and ability to generate consistent cash flows, which support both reinvestment and shareholder returns.
 **Score: 78**</t>
  </si>
  <si>
    <t>**Investment Report: Centene Corporation**
 **Recent News:**  
 Centene Corporation has not been in the news over the past week, indicating a lack of significant developments or announcements. This absence of news suggests stability in operations but also a lack of immediate catalysts for stock movement. The broader macroeconomic environment, including rising healthcare costs and potential regulatory changes, may indirectly influence the company.
 **Financials:**  
 Centene's financial metrics reflect a company with strong fundamentals but facing some headwinds. The stock is trading near its 52-week low of $55.03, significantly below its 52-week high of $80.59, indicating a challenging year with a 24.86% decline over the past 52 weeks. Despite this, the company maintains a low trailing price-to-earnings (P/E) ratio of 9.29 and an even lower forward P/E of 8.32, suggesting the stock is undervalued relative to its earnings potential. The price-to-book ratio of 1.10 further supports this undervaluation.
 Centene's profit margins are modest, with a net profit margin of 2.25% and operating margins of 1.48%. However, the company has shown resilience with earnings growth of 6.34% and revenue growth of 2.3% year-over-year. The trailing PEG ratio of 0.60 indicates that the stock is attractively priced relative to its growth prospects. Additionally, Centene has a robust cash position of $16.68 billion, providing financial flexibility, though its debt-to-equity ratio of 73.29% highlights a relatively high leverage level.
 **Valuations:**  
 Centene's valuation metrics suggest a compelling opportunity for long-term investors. The enterprise value-to-revenue ratio of 0.217 and enterprise value-to-EBITDA ratio of 5.16 indicate the company is trading at a discount compared to its peers in the managed healthcare sector. Analyst sentiment remains positive, with a mean price target of $78.62, representing a potential upside of approximately 35% from the current price. The recommendation mean of 2.16 (between "buy" and "outperform") reflects confidence in the company's future performance.
 **Economic Outlook:**  
 The managed healthcare industry is poised to benefit from demographic trends, including an aging population and increased demand for healthcare services. However, Centene faces potential risks from macroeconomic pressures, including rising interest rates, inflation, and potential regulatory changes under the current U.S. administration. The company's beta of 0.40 indicates lower volatility compared to the broader market, making it a relatively defensive play in uncertain economic conditions.
 **Summary of Thesis, Edge, and Risk:**  
 Centene Corporation presents a compelling investment case based on its undervaluation, consistent earnings growth, and strong cash position. Its low P/E and PEG ratios suggest significant upside potential, while its defensive nature in the managed healthcare sector provides stability amid broader market volatility. However, risks include high leverage, modest profit margins, and potential regulatory challenges that could impact future profitability.
 **Score: 78**</t>
  </si>
  <si>
    <t>NVR</t>
  </si>
  <si>
    <t>**Investment Report: NVR, Inc.**
 **Recent News:**  
 NVR, Inc., a leading homebuilding company, has not been in the news over the past week. This lack of recent developments suggests stability in its operations, but it also indicates no immediate catalysts for significant price movement. The absence of news may reflect a steady business environment, though broader economic and industry trends will likely play a more significant role in shaping the company's near-term performance.
 **Financials:**  
 NVR's financial metrics highlight its strong profitability and operational efficiency. The company boasts a trailing price-to-earnings (P/E) ratio of 14.22 and a forward P/E of 13.90, indicating a reasonable valuation relative to its earnings growth. Its profit margins are robust at 15.74%, supported by operating margins of 20.09% and EBITDA margins of 20.22%. Revenue growth of 16.4% and earnings growth of 15.1% year-over-year demonstrate the company's ability to expand in a challenging macroeconomic environment.
 The balance sheet is solid, with a current ratio of 6.18 and a quick ratio of 3.21, reflecting strong liquidity. NVR has $2.56 billion in cash, significantly outweighing its total debt of $1.05 billion, resulting in a manageable debt-to-equity ratio of 25.05%. The company also generates healthy free cash flow of $1.09 billion, which supports its ability to reinvest in growth opportunities or weather economic downturns.
 However, the stock has underperformed over the past year, with a 52-week change of -4.60%, compared to the S&amp;P 500's gain of 17.25%. The stock is trading near its 52-week low of $7,015, well below its 52-week high of $9,964.77, suggesting potential undervaluation but also reflecting broader market or sector-specific pressures.
 **Valuations:**  
 NVR's price-to-sales ratio of 1.94 and price-to-book ratio of 5.15 indicate that the stock is priced at a premium relative to its book value but remains reasonable given its profitability and growth metrics. The enterprise value-to-revenue ratio of 1.87 and enterprise value-to-EBITDA ratio of 9.27 further support the view that the company is attractively valued compared to its peers in the homebuilding industry.
 Analyst price targets range from $8,570 to $9,300, with a mean target of $8,923.33, suggesting upside potential from the current price of approximately $7,300. However, with only three analyst opinions available, the consensus may lack depth.
 **Economic Outlook:**  
 The broader economic environment presents mixed signals for NVR. Rising interest rates and elevated mortgage costs are likely to weigh on housing demand, as affordability becomes a concern for potential homebuyers. Additionally, the U.S. economy is showing signs of deceleration, with GDP expected to contract by 1.5% in Q1 2025. These factors could dampen near-term growth prospects for the homebuilding sector.
 On the other hand, NVR's strong liquidity and operational efficiency position it well to navigate these challenges. The company's focus on profitability and cash flow generation provides a buffer against economic headwinds. Furthermore, any potential Federal Reserve rate cuts later in the year could improve housing affordability and stimulate demand, offering a tailwind for the industry.
 **Summary:**  
 NVR, Inc. demonstrates strong financial health, profitability, and operational efficiency, making it a resilient player in the homebuilding industry. Its valuation appears reasonable, with potential upside based on analyst price targets. However, macroeconomic headwinds, including rising interest rates and slowing economic growth, pose risks to near-term performance. The company's edge lies in its robust liquidity and ability to generate free cash flow, which provide flexibility in a challenging environment. Risks include potential declines in housing demand and broader market volatility.
 **Score: 78**</t>
  </si>
  <si>
    <t>**Investment Report: O'Reilly Auto Parts**
 **Recent News:**  
 O'Reilly Auto Parts has not been in the news over the past week, indicating a lack of significant corporate developments or external disruptions. This stability can be interpreted as a sign of operational consistency, though it also suggests no immediate catalysts for dramatic stock movement.
 **Financials:**  
 O'Reilly Auto Parts is trading near its 52-week high of $1,386.36, reflecting strong investor confidence. The stock has appreciated by 27.2% over the past year, outperforming the S&amp;P 500's 17.2% gain. The company boasts a market capitalization of $78.96 billion and a trailing price-to-earnings (P/E) ratio of 33.84, which is elevated compared to the broader market, suggesting a premium valuation. The forward P/E of 30.62 indicates expectations of continued earnings growth, albeit at a slower pace.
 The firm’s profit margins are robust at 14.28%, supported by strong gross margins of 51.2%. Revenue growth of 6.9% year-over-year and earnings growth of 2.6% highlight steady performance, though the modest earnings growth may raise concerns about the pace of profitability expansion. Free cash flow of $1.53 billion and operating cash flow of $3.05 billion provide a solid liquidity base, though the quick ratio of 0.076 and current ratio of 0.705 suggest limited short-term liquidity, which could be a risk in a tightening economic environment.
 Debt levels are notable, with total debt at $7.92 billion and an enterprise value of $86.75 billion, leading to an enterprise-to-EBITDA ratio of 23.36. While manageable given the company’s cash flow generation, this leverage could become a concern if economic conditions deteriorate.
 **Valuations:**  
 O'Reilly's valuation metrics, including a price-to-sales ratio of 4.73 and a trailing PEG ratio of 2.15, indicate that the stock is priced for growth. Analysts have a mean target price of $1,408.61, slightly above the current trading range, with a high target of $1,550. This suggests limited upside in the near term unless the company delivers a significant earnings surprise or benefits from external tailwinds.
 The stock’s beta of 0.912 indicates lower volatility compared to the broader market, making it a relatively defensive play. However, the negative book value (-$23.85) and high price-to-book ratio (-57.69) reflect the company’s reliance on intangible assets and operational efficiency rather than tangible equity.
 **Economic Outlook:**  
 The broader economic environment presents mixed signals for O'Reilly Auto Parts. The U.S. economy is showing signs of deceleration, with GDP expected to shrink by 1.5% in Q1 2025. Rising jobless claims and weakening consumer confidence could impact discretionary spending, potentially affecting demand for automotive parts. However, the automotive retail industry tends to exhibit resilience during economic slowdowns, as consumers often prioritize vehicle maintenance over purchasing new cars.
 The imposition of tariffs on Canadian, Mexican, and Chinese goods could increase input costs for O'Reilly, though the company’s pricing power and operational efficiency may help mitigate these pressures. Additionally, the firm’s strong institutional ownership (88.5%) and low short interest (1.48% of float) suggest confidence in its long-term fundamentals.
 **Summary:**  
 O'Reilly Auto Parts benefits from strong margins, consistent revenue growth, and a defensive business model that could weather economic headwinds. However, its premium valuation and modest earnings growth may limit near-term upside. The company’s high debt levels and low liquidity ratios warrant caution, particularly in a slowing economic environment. The stock’s edge lies in its operational efficiency and resilience in the automotive retail sector, while risks include potential cost pressures from tariffs and broader economic weakness.
 **Score: 78**</t>
  </si>
  <si>
    <r>
      <t xml:space="preserve">**Investment Report: PulteGroup, Inc. (PHM)**
 **Recent News:**  
 PulteGroup, a leading homebuilder, has garnered significant attention recently, with </t>
    </r>
    <r>
      <rPr>
        <rFont val="&quot;Helvetica Neue&quot;"/>
        <color rgb="FF1155CC"/>
        <sz val="8.0"/>
        <u/>
      </rPr>
      <t>Zacks.com</t>
    </r>
    <r>
      <rPr>
        <rFont val="&quot;Helvetica Neue&quot;"/>
        <sz val="8.0"/>
      </rPr>
      <t xml:space="preserve"> users closely monitoring its stock performance. This interest comes amidst a broader economic environment marked by rising interest rates and potential recessionary pressures, which could impact the housing market. Despite these challenges, PulteGroup's strong operational metrics and valuation suggest resilience in the face of macroeconomic headwinds.
 **Financials:**  
 PulteGroup's financial performance remains robust, with a trailing price-to-earnings (P/E) ratio of 6.95 and a forward P/E of 7.56, indicating the stock is trading at a discount relative to its earnings potential. The company boasts a profit margin of 17.18% and a return on equity (ROE) of 27.4%, reflecting strong profitability and efficient capital utilization. Revenue growth of 14.6% year-over-year and earnings growth of 34.8% highlight the firm's ability to navigate a challenging market environment effectively.
 The company maintains a solid balance sheet, with a current ratio of 7.78, indicating strong liquidity to cover short-term obligations. Debt-to-equity stands at a manageable 19.65%, and free cash flow of $934 million underscores its financial flexibility. However, the quick ratio of 0.88 suggests a reliance on inventory turnover, which could be a risk in a slowing housing market.
 **Valuations:**  
 PulteGroup's valuation metrics are compelling. The stock trades at a price-to-book (P/B) ratio of 1.71, below the industry average, and its trailing PEG ratio of 0.28 suggests significant undervaluation relative to its growth prospects. The dividend yield of 0.85% is modest but sustainable, with a low payout ratio of 5.58%, leaving room for potential increases. Analysts' target prices range from $100 to $179, with a mean target of $136.13, indicating substantial upside potential from the current price of approximately $103.
 **Economic Outlook:**  
 The broader economic environment poses challenges for the housing sector. Rising interest rates and a potential economic slowdown could dampen demand for new homes. However, PulteGroup's focus on operational efficiency and its ability to generate strong cash flows position it well to weather these headwinds. Additionally, the company's exposure to higher-margin markets and its ability to adapt to changing consumer preferences provide a competitive edge.
 The recent tariffs and trade tensions could indirectly impact construction costs, particularly for materials like steel and aluminum. However, PulteGroup's strong gross margins of 29.1% and operating margins of 23.5% suggest it has the capacity to absorb or pass on these costs to consumers.
 **Summary of Thesis, Edge, and Risk:**  
 PulteGroup presents a compelling investment case due to its strong financial performance, undervaluation, and operational efficiency. Its ability to generate robust cash flows and maintain profitability in a challenging economic environment provides a competitive edge. However, risks include potential declines in housing demand due to rising interest rates and broader economic uncertainty, as well as exposure to fluctuating material costs stemming from trade policies.
 **Score: 78**</t>
    </r>
  </si>
  <si>
    <t>NRG</t>
  </si>
  <si>
    <t>**Investment Report: NRG Energy**
 **Recent News:**  
 NRG Energy has reported strong fourth-quarter 2024 results, with earnings per share (EPS) of $1.52, significantly surpassing the consensus estimate of $0.95. This marks a notable improvement from the $1.14 EPS reported in the same quarter last year. The company also exceeded revenue expectations, driven by higher power demand and lower fuel costs. Additionally, NRG has outlined plans to capitalize on the growing energy needs of data centers, a strategic move that aligns with the increasing demand for reliable power in the digital economy. These results highlight NRG's operational efficiency and ability to adapt to evolving market dynamics.
 **Financials:**  
 NRG Energy's financial performance reflects a solid foundation. The company has a trailing price-to-earnings (P/E) ratio of 20.09 and a forward P/E of 14.53, indicating expectations of earnings growth. Its dividend yield of 1.66% is below its five-year average of 3.03%, suggesting room for potential dividend increases as earnings grow. The company has a robust EBITDA of $3.49 billion and a free cash flow of $2.35 billion, providing flexibility for strategic investments and debt management. However, its debt-to-equity ratio of 443.66% is notably high, which could pose risks in a rising interest rate environment. NRG's return on equity (ROE) of 41.79% and return on assets (ROA) of 5.70% demonstrate strong profitability metrics.
 **Valuations:**  
 NRG's current market price of approximately $99.52 places it at a price-to-book (P/B) ratio of 10.89, which is relatively high compared to industry norms. However, its price-to-sales (P/S) ratio of 0.71 suggests the stock is undervalued relative to its revenue generation. The company's enterprise value-to-EBITDA ratio of 9.05 is reasonable, indicating that the market is not overpricing its earnings potential. Analyst sentiment remains positive, with a mean price target of $112.74, representing a potential upside of over 13% from current levels.
 **Economic Outlook:**  
 The broader economic environment presents both opportunities and challenges for NRG Energy. The U.S. economy is showing signs of deceleration, with GDP expected to contract in Q1 2025. However, the energy sector remains resilient, supported by stable demand and the strategic importance of power reliability for industries like data centers. NRG's focus on data center energy needs positions it well to benefit from this trend. On the downside, the company's high debt levels could become a concern if interest rates remain elevated or if economic conditions worsen, potentially impacting its cost of capital.
 **Summary of Thesis, Edge, and Risk:**  
 NRG Energy's strong Q4 performance and strategic focus on data center energy demand highlight its ability to adapt to market trends and deliver shareholder value. Its robust cash flow and profitability metrics provide a solid foundation for growth, while its valuation suggests room for upside. However, the company's high debt levels and exposure to macroeconomic uncertainties pose risks. The balance between its growth potential and financial leverage will be critical in determining its performance in the near term.
 **Score: 78**</t>
  </si>
  <si>
    <t>COO</t>
  </si>
  <si>
    <t>**Investment Report: The Cooper Companies (COO)**
 **Recent News:**  
 The Cooper Companies (COO) is preparing to release its Q1 2025 earnings, with analysts focusing on key metrics such as revenue growth, earnings growth, and profitability margins. The company operates in the Health Care Supplies industry, which has shown resilience amid broader market volatility. Analysts are optimistic about COO's performance, citing its strong market position and improving operational efficiency. However, the broader economic slowdown and potential impacts from trade tensions could weigh on its near-term outlook.
 **Financials:**  
 COO's financial metrics reflect a mixed picture. The company has a market capitalization of $18.33 billion and a trailing price-to-earnings (P/E) ratio of 46.76, which is significantly higher than its forward P/E of 22.46, indicating expectations of robust earnings growth. COO's revenue for the trailing twelve months stands at $3.89 billion, with a price-to-sales ratio of 4.70. The company has demonstrated solid profitability, with gross margins of 66.64% and EBITDA margins of 27.80%. Earnings growth of 38% and revenue growth of 9.8% highlight its ability to expand despite challenging macroeconomic conditions.
 The balance sheet shows a debt-to-equity ratio of 35.30, which is manageable but slightly elevated. COO's current ratio of 1.91 indicates adequate liquidity to cover short-term obligations, though its quick ratio of 0.81 suggests some reliance on inventory. Free cash flow of $205.7 million and operating cash flow of $709.3 million provide a solid foundation for reinvestment and debt servicing. However, the company's total debt of $2.85 billion remains a point of concern, particularly in a high-interest-rate environment.
 **Valuations:**  
 COO's valuation metrics suggest a premium relative to its peers, driven by its strong growth prospects and market leadership. The stock is trading at a price-to-book ratio of 2.26, reflecting investor confidence in its long-term value creation. Analyst price targets range from $90 to $125, with a mean target of $111.47, implying potential upside from its current price of $91.04. The recommendation mean of 2.0 (Buy) indicates positive sentiment among analysts, supported by COO's consistent earnings growth and operational efficiency.
 **Economic Outlook:**  
 The broader economic environment presents both opportunities and risks for COO. The health care sector is generally less sensitive to economic cycles, providing some insulation from the anticipated Q1 GDP contraction of 1.5%. However, COO's exposure to global markets could be affected by trade tensions, particularly the new tariffs on Canadian, Mexican, and Chinese goods. Additionally, rising input costs and potential supply chain disruptions could pressure margins. On the positive side, COO's focus on innovation and its strong market position in health care supplies should enable it to navigate these challenges effectively.
 **Summary of Thesis, Edge, and Risk:**  
 The Cooper Companies (COO) is well-positioned in the resilient health care supplies industry, with strong revenue and earnings growth, robust profitability margins, and a solid cash flow profile. Its premium valuation reflects investor confidence in its growth prospects and operational efficiency. However, risks include elevated debt levels, potential margin pressures from trade tensions, and broader economic headwinds. COO's ability to maintain its growth trajectory and manage external challenges will be critical to its near-term performance.
 **Score: 78**</t>
  </si>
  <si>
    <t>CVX</t>
  </si>
  <si>
    <t>**Investment Report: Chevron Corporation**
 **Recent News:**  
 Chevron Corporation is navigating a complex geopolitical and operational landscape. The company is positioned for a bullish trend, supported by its robust balance sheet, consistent dividend growth, and favorable market conditions under a pro-oil U.S. administration. Analysts have highlighted Chevron's defensiveness, making it an attractive option for investors seeking stability amid market volatility. However, the recent announcement by President Trump to rescind Chevron's license to produce oil in Venezuela introduces a significant geopolitical risk. This decision stems from U.S. concerns over Venezuela's electoral reforms and migrant policies, potentially disrupting Chevron's operations in the region. On a positive note, Chevron is advancing its natural gas production strategy by expanding capacity at Israel's Leviathan gas field, which aligns with global energy security priorities and could provide long-term growth opportunities.
 **Financials:**  
 Chevron's financial metrics reflect a strong and stable position. The company boasts a market capitalization of $269.5 billion and a dividend yield of 4.31%, slightly below its five-year average of 4.43%. Its payout ratio of 67% indicates a sustainable dividend policy. The trailing P/E ratio of 15.75 and forward P/E of 13.87 suggest reasonable valuations compared to industry peers. Chevron's revenue growth of 8.6% and earnings growth of 51.5% demonstrate its ability to capitalize on favorable market conditions. The company maintains a manageable debt-to-equity ratio of 19.33 and generates significant free cash flow of $16.3 billion, supporting its capital allocation strategy. However, its trailing PEG ratio of 3.60 indicates that growth may already be priced into the stock.
 **Valuations:**  
 Chevron's price-to-book ratio of 1.78 and price-to-sales ratio of 1.38 suggest the stock is trading at a fair valuation relative to its assets and revenue. The stock's 52-week range of $135.37 to $167.11 indicates limited downside risk, with the current price near the midpoint of this range. Analyst price targets range from $156 to $203, with a mean target of $176.80, implying potential upside from current levels. The recommendation mean of 1.96 (Buy) reflects strong analyst confidence in the stock's prospects.
 **Economic Outlook:**  
 Chevron's performance is closely tied to macroeconomic and geopolitical factors. The pro-oil stance of the current U.S. administration provides a supportive regulatory environment, but escalating trade tensions and tariffs could impact global energy demand. The company's focus on natural gas aligns with the global energy transition, offering diversification and resilience against potential oil market volatility. However, the revocation of its Venezuelan license introduces uncertainty, as the region has been a key contributor to Chevron's upstream operations. Additionally, the broader economic slowdown and potential recession in the U.S. could weigh on energy demand, posing a near-term challenge.
 **Summary:**  
 Chevron's investment thesis is underpinned by its strong financial position, consistent dividend growth, and strategic focus on natural gas expansion. Its edge lies in its defensiveness and ability to navigate market volatility, supported by a favorable regulatory environment. However, risks include geopolitical uncertainties, particularly in Venezuela, and potential macroeconomic headwinds that could dampen energy demand.
 **Score: 78**</t>
  </si>
  <si>
    <t>**Investment Report: Cummins Inc. (CMI)**
 **Recent News:**  
 Cummins Inc. has been highlighted as a top growth stock for the long term, supported by its strong fundamentals and favorable Zacks Style Scores. The company is recognized for its consistent performance in the construction machinery and heavy transportation equipment industry, which positions it well for sustained growth. However, the broader economic environment, including trade tensions and slowing global growth, could pose challenges to its near-term performance.
 **Financials:**  
 Cummins demonstrates robust financial health with a trailing P/E ratio of 12.54, indicating it is attractively valued compared to its peers. The forward P/E of 15.81 suggests expectations of moderate earnings growth. The company maintains a solid dividend yield of 1.98%, with a low payout ratio of 24.67%, reflecting its ability to sustain and potentially grow dividends. Cummins' return on equity (ROE) of 38.36% is particularly strong, showcasing efficient use of shareholder capital. However, the company's revenue growth has declined slightly (-1.1%), which could signal challenges in maintaining top-line momentum.
 The balance sheet reveals a debt-to-equity ratio of 67.98, which is manageable but slightly elevated for a cyclical industry. The quick ratio of 0.67 and current ratio of 1.31 indicate adequate liquidity to meet short-term obligations. Free cash flow is currently negative (-$79.1 million), which may limit flexibility for new investments or debt reduction in the near term.
 **Valuations:**  
 Cummins' price-to-sales ratio of 1.44 and price-to-book ratio of 4.76 suggest the stock is fairly valued relative to its historical performance and industry peers. The trailing PEG ratio of 0.72 indicates that the stock is undervalued relative to its growth prospects, making it an attractive option for long-term investors. Analyst sentiment remains positive, with a mean recommendation of "buy" and a median target price of $407, implying a potential upside from current levels.
 **Economic Outlook:**  
 The macroeconomic environment presents mixed signals for Cummins. The ongoing trade tensions, particularly the new tariffs on steel and aluminum, could increase input costs and pressure margins. Additionally, the slowing U.S. GDP growth and weakening consumer confidence may dampen demand for heavy machinery and transportation equipment. However, Cummins' global footprint and diversified revenue streams could help mitigate some of these risks. The company's beta of 1.005 suggests it is closely aligned with market movements, making it sensitive to broader economic trends.
 **Summary:**  
 Cummins' investment thesis is supported by its strong profitability metrics, efficient capital allocation, and attractive valuation. Its edge lies in its established market position and ability to generate high returns on equity. However, risks include negative free cash flow, declining revenue growth, and potential margin pressures from trade policies and economic slowdown.
 **Score: 78**</t>
  </si>
  <si>
    <t>**Investment Report: CrowdStrike Holdings (CRWD)**
 **Recent News:**  
 CrowdStrike has been a standout performer in the cybersecurity sector, with its stock surging 52% over the past six months, significantly outperforming the Nasdaq-100 Technology Sector index. This recovery follows a challenging period last summer when a software outage caused reputational damage. The rebound reflects renewed investor confidence, driven by expectations of strong product adoption in a growing global security market. Analysts are closely monitoring the company's upcoming Q4 earnings report, which is anticipated to highlight robust demand for its cybersecurity solutions. The company's ability to recover from past setbacks and capitalize on market opportunities has positioned it as a key player in the sector.
 **Financials:**  
 CrowdStrike's financial metrics reveal a mixed picture. The company boasts a market capitalization of $94.27 billion and a strong revenue growth rate of 28.5%, supported by gross margins of 75.2%. However, profitability remains a concern, with operating margins at -5.5% and a modest net profit margin of 3.4%. The trailing price-to-earnings (P/E) ratio of 750.45 and forward P/E of 89.63 indicate a high valuation, reflecting significant growth expectations. The price-to-sales ratio of 25.2 and price-to-book ratio of 30.83 further underscore the premium investors are willing to pay for the company's growth potential. CrowdStrike's free cash flow of $1.21 billion and a quick ratio of 1.69 suggest solid liquidity, while its debt-to-equity ratio of 25.58 indicates manageable leverage.
 **Valuations:**  
 CrowdStrike's valuation metrics highlight its position as a high-growth, high-expectation stock. The forward P/E of 89.63, while elevated, is more reasonable compared to its trailing P/E, reflecting anticipated earnings growth. Analysts' target prices range from $300 to $506, with a mean target of $406.75, suggesting moderate upside potential from the current price. The recommendation mean of 1.78 (indicating a "buy") and the high number of analyst opinions (44) reflect strong institutional interest. However, the company's enterprise value-to-EBITDA ratio of 648.27 signals that it is priced for perfection, leaving little room for error in execution.
 **Economic Outlook:**  
 The broader economic environment presents both opportunities and risks for CrowdStrike. The cybersecurity market remains robust, driven by increasing digitalization and rising cyber threats. However, macroeconomic headwinds, including slowing GDP growth and heightened market volatility, could weigh on corporate IT budgets, potentially impacting CrowdStrike's growth trajectory. Additionally, geopolitical tensions and trade uncertainties may create challenges for global operations. Despite these risks, the company's strong cash position and market leadership in cybersecurity provide a buffer against economic uncertainties.
 **Summary of Thesis, Edge, and Risk:**  
 CrowdStrike's investment thesis is rooted in its leadership in the high-growth cybersecurity market, supported by strong revenue growth and robust product adoption. Its edge lies in its innovative cloud-native platform and ability to capitalize on increasing demand for cybersecurity solutions. However, risks include its high valuation, reliance on continued growth to justify its premium pricing, and potential macroeconomic pressures on IT spending.
 **Score: 78**</t>
  </si>
  <si>
    <t>DECK</t>
  </si>
  <si>
    <t>**Investment Report: Deckers Outdoor Corporation (DECK)**
 **Recent News:**  
 Deckers Outdoor Corporation has been highlighted as a strong growth stock, with Wall Street analysts maintaining a bullish outlook. The company has gained attention for its robust brand momentum and solid growth attributes, which have positioned it as a potential outperformer in the market. Zacks Style Scores has rated DECK highly, further fueling investor interest. However, the stock is currently trading at a premium, which may limit its immediate upside potential. The increased attention from investors suggests confidence in the company's ability to sustain its growth trajectory, but it also raises the risk of heightened volatility if expectations are not met.
 **Financials:**  
 Deckers' financial performance reflects a well-managed and profitable business. The company boasts a trailing price-to-earnings (P/E) ratio of 22.28 and a forward P/E of 21.58, indicating a slight premium valuation compared to the broader market. Its profit margins are strong, with a net profit margin of 19.14% and operating margins of 31.05%, showcasing operational efficiency. Revenue growth of 17.1% and earnings growth of 19% year-over-year highlight the company's ability to expand both its top and bottom lines. Additionally, Deckers has a healthy balance sheet, with a quick ratio of 2.49 and a current ratio of 3.17, indicating strong liquidity. The company has minimal debt, with a debt-to-equity ratio of 9.77, and a significant cash reserve of $2.24 billion, providing flexibility for future investments or shareholder returns.
 **Valuations:**  
 While Deckers is trading at a premium, its valuation metrics suggest that the market is pricing in its growth potential. The price-to-book ratio of 7.92 and price-to-sales ratio of 4.23 are higher than industry averages, reflecting investor optimism. The trailing PEG ratio of 1.55 indicates that the stock's valuation is reasonable relative to its earnings growth. Analysts' target prices range from $120 to $284, with a mean target of $218.89, suggesting potential upside from its current trading levels. However, the stock's 52-week performance shows a decline of 7.8%, underperforming the S&amp;P 500's 17.2% gain, which may indicate some caution among investors.
 **Economic Outlook:**  
 The broader economic environment presents mixed signals for Deckers. On one hand, the company's strong brand and operational efficiency position it well to weather economic headwinds. On the other hand, the U.S. economy is showing signs of deceleration, with GDP contraction expected in Q1 2025 and rising jobless claims. Tariff-related uncertainties and weakening consumer confidence could impact discretionary spending, potentially affecting demand for Deckers' products. However, the company's premium positioning and strong brand loyalty may help mitigate these risks. Additionally, its focus on innovation and operational efficiency could provide a competitive edge in a challenging economic landscape.
 **Summary of Thesis, Edge, and Risk:**  
 Deckers Outdoor Corporation is a well-managed company with strong financials, robust growth metrics, and a solid brand presence. Its operational efficiency and liquidity provide a competitive edge, while its premium valuation reflects market confidence in its growth potential. However, the stock's current premium pricing and broader economic uncertainties, including potential impacts on consumer spending, pose risks to its near-term performance. The company's ability to sustain growth and meet high investor expectations will be critical in determining its future trajectory.
 **Score: 78**</t>
  </si>
  <si>
    <t>CTRA</t>
  </si>
  <si>
    <t>**Investment Report: Coterra Energy**
 **Recent News:**  
 Coterra Energy is strategically positioned to capitalize on rising natural gas prices, supported by its diverse asset base in the Marcellus and Permian basins. Enhanced well designs and cost efficiencies in the Marcellus are expected to drive production and profitability, while recent acquisitions in the Permian Basin bolster its capabilities and free cash flow generation. Despite a temporary increase in leverage due to these acquisitions, the company remains focused on long-term growth. Coterra's Q4 earnings exceeded expectations, though revenues fell short, reflecting broader challenges in the energy sector. The company raised its dividend, signaling confidence in its cash flow stability. For 2025, Coterra has outlined a capital expenditure budget of $2.1-$2.4 billion, with $525-$625 million allocated for Q1, indicating a commitment to growth and operational efficiency.
 **Financials:**  
 Coterra's financial metrics highlight a stable position with a market capitalization of $20.08 billion and a manageable debt-to-equity ratio of 28.96%. The company maintains a strong liquidity profile, with a quick ratio of 2.65 and a current ratio of 2.92. Its free cash flow of $744.88 million and operating cash flow of $2.79 billion underscore its ability to fund operations and shareholder returns. However, earnings and revenue growth have faced headwinds, with earnings declining by 27.8% and revenue contracting by 3.5% year-over-year. Despite these challenges, gross margins of 72.98% and EBITDA margins of 61.52% reflect robust operational efficiency. The forward P/E ratio of 11.28 suggests the stock is attractively valued relative to its earnings potential, while a dividend yield of 3.26% provides an additional incentive for income-focused investors.
 **Valuations:**  
 Coterra's valuation metrics indicate a reasonable entry point for investors. The stock trades at a price-to-book ratio of 1.47, below the industry average, suggesting it is undervalued relative to its net asset base. The enterprise value-to-EBITDA ratio of 6.77 is competitive, reflecting efficient capital utilization. Analyst sentiment remains positive, with a mean target price of $34.54, representing a 28% upside from the current price of $26.99. The recommendation mean of 1.70 (indicating a "buy") further supports the stock's attractiveness. However, the trailing P/E of 17.52, while not excessive, reflects some premium for its stable cash flow and operational strengths.
 **Economic Outlook:**  
 The broader economic environment presents both opportunities and risks for Coterra. Rising natural gas prices, driven by geopolitical tensions and supply constraints, are likely to benefit the company. However, the U.S. economy is showing signs of deceleration, with GDP projected to contract in Q1 2025. Trade tensions and tariffs could indirectly impact energy markets, while elevated interest rates may weigh on capital-intensive industries. Despite these challenges, Coterra's focus on cost efficiencies and its diversified asset base position it to weather economic headwinds and capitalize on long-term energy demand.
 **Summary:**  
 Coterra Energy's thesis is built on its strong asset base, operational efficiency, and ability to generate stable free cash flow in a volatile energy market. Its edge lies in its diversified exposure to the Marcellus and Permian basins, coupled with improved well designs and cost management. The primary risk stems from macroeconomic uncertainties, including potential demand fluctuations and the impact of tariffs on energy markets.  
 **Score: 78**</t>
  </si>
  <si>
    <t>DFS</t>
  </si>
  <si>
    <t>**Investment Report: Discover Financial Services (DFS)**
 **Recent News:**  
 Discover Financial Services has not been in the news over the past week, indicating a lack of significant developments or disruptions. This absence of news suggests stability in the company's operations, but it also means there are no immediate catalysts driving investor sentiment.
 **Financials:**  
 Discover Financial Services is trading near its 52-week high of $205.76, with a recent close at $195.19. The stock has shown strong performance over the past year, with a 52-week change of +60.95%, significantly outperforming the S&amp;P 500's +17.25% gain. The company has a trailing P/E ratio of 10.74, which is below the industry average, indicating potential undervaluation relative to its earnings. However, the forward P/E of 14.99 suggests expectations of slower earnings growth moving forward.
 The firm boasts a robust profit margin of 34.89% and a return on equity of 28.20%, reflecting strong profitability and efficient use of shareholder capital. Quarterly earnings growth of 252.7% and revenue growth of 56.6% year-over-year highlight the company's ability to expand both its top and bottom lines. Additionally, Discover's dividend yield of 1.43% is below its five-year average of 2.24%, suggesting that the stock's price appreciation has outpaced dividend growth.
 The company has a manageable debt-to-equity ratio of 90.67, supported by a solid cash position of $8.47 billion. However, the enterprise value-to-revenue ratio of 4.36 indicates that the market is pricing in significant growth expectations, which could be a risk if macroeconomic conditions deteriorate.
 **Valuations:**  
 Discover's price-to-book ratio of 2.83 is slightly elevated compared to historical levels, reflecting investor optimism. Analysts have a mean target price of $214.08, implying a potential upside of approximately 9.7% from the current price. The recommendation mean of 2.29 (between "Buy" and "Outperform") suggests that analysts remain optimistic about the stock's prospects.
 Short interest has increased to 4.61 million shares, up from 2.96 million in the prior month, indicating growing bearish sentiment. However, the short ratio of 2.83 suggests that short interest remains manageable and unlikely to cause significant downward pressure.
 **Economic Outlook:**  
 The broader economic environment presents mixed signals for Discover Financial Services. The U.S. economy is showing signs of deceleration, with GDP expected to shrink by 1.5% in Q1 2025. Rising jobless claims and weakening consumer confidence could negatively impact consumer spending and credit card usage, which are critical revenue drivers for Discover. Additionally, the ongoing trade tensions and tariffs could create headwinds for consumer finance companies by dampening economic activity.
 On the positive side, inflation appears to be moderating, which could lead to eventual rate cuts by the Federal Reserve. Lower interest rates would reduce funding costs for Discover and potentially boost consumer borrowing. However, the company's beta of 1.45 indicates higher sensitivity to market volatility, which could amplify downside risks in a turbulent economic environment.
 **Summary:**  
 Discover Financial Services demonstrates strong profitability, robust growth metrics, and a solid financial position, making it a well-managed player in the consumer finance industry. Its valuation remains attractive relative to earnings, and analysts see further upside potential. However, the company's reliance on consumer spending and credit usage exposes it to macroeconomic risks, particularly in a slowing economy. The recent increase in short interest and elevated price-to-book ratio suggest that some investors are cautious about near-term performance.
 **Thesis:** Discover's strong fundamentals and growth trajectory provide a solid investment case, but macroeconomic headwinds could weigh on performance.  
 **Edge:** The company's profitability and efficient capital allocation set it apart from peers.  
 **Risk:** Economic slowdown and rising short interest could pressure the stock in the near term.  
 **Score: 78**</t>
  </si>
  <si>
    <t>AEE</t>
  </si>
  <si>
    <t>**Investment Report: Ameren Corporation (Multi-Utilities Industry)**
 **Recent News:**  
 Ameren Corporation has not been featured in any significant news over the past week. This lack of recent developments suggests stability in its operations, with no major disruptions or announcements impacting its business trajectory. However, the absence of news also means there are no immediate catalysts driving investor sentiment in the short term.
 **Financials:**  
 Ameren's financial performance reflects a solid position within the multi-utilities sector. The company recently reached its 52-week high of $103.87, indicating strong market momentum. Its trailing price-to-earnings (PE) ratio of 23.45 and forward PE of 21.07 suggest a valuation slightly above the sector average, reflecting investor confidence in its earnings growth potential. The company has demonstrated robust earnings growth of 31% year-over-year and revenue growth of 20.5%, signaling operational efficiency and demand resilience.
 Ameren's dividend yield of 2.8% aligns closely with its five-year average of 2.81%, indicating consistent shareholder returns. The payout ratio of 60.63% suggests a sustainable dividend policy, supported by stable cash flows. However, the company’s free cash flow is negative (-$2.15 billion), which could limit its ability to fund growth initiatives without relying on external financing.
 The company’s debt-to-equity ratio of 153.51% is relatively high, reflecting significant leverage. While this is common in the utilities sector due to capital-intensive operations, it does increase financial risk, particularly in a rising interest rate environment. Ameren’s return on equity (ROE) of 10% and return on assets (ROA) of 2.66% are modest but consistent with industry norms.
 **Valuations:**  
 Ameren's price-to-book ratio of 2.31 indicates a premium valuation compared to its book value, which is typical for utility companies with stable cash flows and predictable earnings. The enterprise value-to-revenue ratio of 6.40 and enterprise value-to-EBITDA ratio of 14.65 suggest the company is valued at a premium relative to its earnings capacity. Analyst sentiment remains positive, with a recommendation mean of 2.24 (indicating a "buy") and a median target price of $102, close to its current trading range.
 **Economic Outlook:**  
 The broader economic environment presents mixed implications for Ameren. The U.S. economy is showing signs of deceleration, with GDP contraction expected in Q1 2025 and rising jobless claims. However, utilities are traditionally defensive investments, benefiting from stable demand even during economic downturns. Ameren’s low beta of 0.493 indicates reduced volatility compared to the broader market, making it an attractive option for risk-averse investors in uncertain times.
 The ongoing trade tensions and tariffs may indirectly impact Ameren through higher input costs or supply chain disruptions, though the utilities sector is generally less exposed to such risks. Rising interest rates could increase the cost of Ameren’s significant debt load, potentially pressuring margins. However, the company’s strong operating cash flow of $2.76 billion provides a buffer against these challenges.
 **Summary of Thesis, Edge, and Risk:**  
 Ameren Corporation offers a stable investment opportunity within the multi-utilities sector, supported by consistent earnings growth, a sustainable dividend policy, and defensive characteristics in a slowing economy. Its valuation reflects investor confidence, though its high leverage and negative free cash flow pose risks in a rising interest rate environment. The lack of recent news suggests operational stability but limits short-term catalysts for price appreciation. Ameren’s edge lies in its ability to deliver steady returns in volatile markets, though its financial risks warrant close monitoring.
 **Score: 78**</t>
  </si>
  <si>
    <t>ATO</t>
  </si>
  <si>
    <t>**Investment Report: Atmos Energy (Gas Utilities Industry)**
 **Recent News:**  
 Atmos Energy has not been featured in any significant news over the past week. This absence of news suggests stability in operations, with no major disruptions or announcements impacting the company’s performance or outlook. However, the lack of recent developments also means there are no immediate catalysts driving investor sentiment.
 **Financials:**  
 Atmos Energy's financial performance reflects a stable and mature utility company. The stock is trading near its 52-week high of $154.00, indicating strong investor confidence. The company has a trailing price-to-earnings (P/E) ratio of 22.01 and a forward P/E of 21.52, which are reasonable for a utility firm, though slightly above the industry average, suggesting a premium valuation. The dividend yield of 2.29% is slightly below its five-year average of 2.47%, reflecting the stock's recent price appreciation. The payout ratio of 47.06% indicates a sustainable dividend policy, supported by consistent earnings growth of 7.4% and revenue growth of 1.5% year-over-year.
 Atmos Energy's profitability metrics are robust, with gross margins of 59.63% and operating margins of 39.66%, highlighting efficient operations. The return on equity (ROE) of 9.01% is solid for a utility company, though not exceptional. The company’s debt-to-equity ratio of 66.59% is manageable for the industry, but the negative free cash flow of -$1.56 billion raises concerns about liquidity and capital allocation. However, the operating cash flow of $1.77 billion provides some reassurance regarding the company's ability to meet its obligations.
 **Valuations:**  
 Atmos Energy's price-to-book (P/B) ratio of 1.91 is reasonable, reflecting a fair valuation relative to its assets. The enterprise value-to-revenue (EV/Revenue) ratio of 7.70 and enterprise value-to-EBITDA (EV/EBITDA) ratio of 15.39 suggest the company is trading at a premium compared to peers, likely due to its strong market position and consistent performance. Analyst sentiment remains positive, with a recommendation mean of 2.21 (indicating a "Buy") and a target price range of $137.00 to $165.00, with a median target of $150.94, close to the current trading price.
 **Economic Outlook:**  
 The broader economic environment presents mixed signals for Atmos Energy. The U.S. economy is showing signs of deceleration, with GDP contraction expected in Q1 2025 and rising jobless claims. However, utility companies like Atmos Energy are generally less sensitive to economic cycles, as demand for natural gas remains relatively stable. The company’s beta of 0.664 reflects lower volatility compared to the broader market, making it a defensive play in uncertain times. Rising tariffs and geopolitical tensions could indirectly impact energy markets, but Atmos Energy’s domestic focus insulates it from international trade risks. Inflationary pressures appear to be moderating, which could stabilize input costs and support margins.
 **Summary of Thesis, Edge, and Risk:**  
 Atmos Energy offers a stable investment opportunity with consistent earnings growth, strong margins, and a sustainable dividend. Its defensive nature and low beta make it an attractive option in a volatile market. However, the stock's premium valuation and negative free cash flow warrant caution, particularly if economic conditions deteriorate further. The company’s ability to maintain operational efficiency and manage debt will be critical to sustaining its current performance.
 **Score: 78**</t>
  </si>
  <si>
    <t>**Investment Report: Bank of America (BAC)**
 **Recent News:**  
 Bank of America has garnered significant attention recently due to its strong performance and alignment with business fundamentals. Analysts have highlighted the current dip in share price as a potential buying opportunity, supported by the company's robust financials in Consumer Banking and Global Wealth Management. Despite a flat trading day at $43.94, the stock's long-term growth prospects remain intact, driven by favorable market conditions and reduced regulatory pressures. However, the broader economic environment, including potential recessionary pressures and geopolitical uncertainties, could weigh on near-term performance.
 **Financials:**  
 Bank of America demonstrates solid financial health, with a market capitalization of $346.47 billion and a price-to-book ratio of 1.27, indicating a reasonable valuation relative to its assets. The company has a trailing P/E ratio of 14.19 and a forward P/E of 12.45, suggesting moderate growth expectations. Its dividend yield of 2.26% is slightly below its five-year average of 2.45%, but the payout ratio of 31.15% indicates room for future dividend growth. The bank's earnings growth of 142.7% and revenue growth of 6.4% reflect strong operational performance, while its return on equity (ROE) of 9.24% underscores efficient capital utilization. However, the operating cash flow is negative, which could be a concern if sustained over the long term.
 **Valuations:**  
 The stock is trading near its 50-day average of $45.64 and well above its 200-day average of $42.38, reflecting recent upward momentum. With a 52-week high of $48.08 and a low of $34.15, the current price of $43.94 positions the stock closer to its upper range, suggesting limited immediate upside unless further catalysts emerge. Analyst price targets range from $43.00 to $59.00, with a mean target of $52.64, indicating potential upside of approximately 20% from current levels. The recommendation mean of 1.68 (Buy) reflects strong analyst confidence in the stock's prospects.
 **Economic Outlook:**  
 The broader economic environment presents mixed signals for Bank of America. On one hand, the Federal Reserve's restrictive monetary policy and elevated interest rates have supported net interest margins for banks, a key driver of profitability. On the other hand, the U.S. economy is showing signs of deceleration, with GDP projected to shrink by 1.5% in Q1 2025. Rising jobless claims and weakening consumer confidence could dampen loan demand and increase credit risks. Additionally, geopolitical uncertainties, including trade tensions and potential recessionary pressures, may weigh on the financial sector as a whole.
 **Summary of Thesis, Edge, and Risk:**  
 Bank of America's strong fundamentals, including robust earnings growth, efficient capital utilization, and a reasonable valuation, position it well for long-term growth. Its diversified business model and leadership in Consumer Banking and Wealth Management provide a competitive edge. However, near-term risks include potential economic slowdown, negative operating cash flow, and broader market volatility driven by geopolitical and macroeconomic uncertainties.
 **Score: 78**</t>
  </si>
  <si>
    <t>APD</t>
  </si>
  <si>
    <t>**Investment Report: Air Products (APD)**
 **Recent News:**  
 Air Products has not been in the headlines over the past week, suggesting stability in its operations and no immediate disruptions or major announcements. This lack of news could indicate a steady business environment, though it also means no recent catalysts to drive significant stock movement.
 **Financials:**  
 Air Products demonstrates strong financial health with a market capitalization of $69.1 billion and a trailing price-to-earnings (P/E) ratio of 17.97, which is reasonable for its industry. The forward P/E of 21.92 suggests expectations of slower earnings growth in the near term. The company’s dividend yield of 2.26% is consistent with its five-year average, reflecting a reliable income stream for shareholders. Its payout ratio of 40.97% indicates a sustainable dividend policy, supported by robust profit margins of 31.88%.  
 The firm’s revenue growth has declined by 2.2% year-over-year, signaling potential challenges in demand or pricing power. However, its earnings growth of 1.5% suggests cost management and operational efficiency are mitigating revenue pressures. The company’s gross margin of 32.54% and EBITDA margin of 35.98% highlight its ability to maintain profitability despite a challenging macroeconomic environment.  
 Debt levels are notable, with a debt-to-equity ratio of 80.98, but the company’s operating cash flow of $3.83 billion provides a cushion for servicing its obligations. However, the negative free cash flow of -$3.52 billion raises concerns about capital expenditure levels or working capital management.  
 **Valuations:**  
 Air Products trades at a price-to-book ratio of 4.14, which is higher than the industrial gases industry average, indicating a premium valuation. The enterprise value-to-EBITDA ratio of 19.48 suggests the stock is priced at a premium relative to its earnings before interest, taxes, depreciation, and amortization. Analysts have a mean target price of $356.06, implying a potential upside of approximately 12.6% from the current price. The recommendation mean of 2.0 (Buy) from 22 analysts reflects positive sentiment toward the stock.  
 **Economic Outlook:**  
 The broader economic environment presents mixed signals for Air Products. The U.S. economy is showing signs of deceleration, with GDP expected to shrink in Q1 2025. This could weigh on industrial demand, particularly in sectors reliant on manufacturing and construction, which are key end markets for industrial gases. Additionally, the imposition of tariffs on steel and aluminum could indirectly impact Air Products by increasing costs for its customers in these industries.  
 On the positive side, Air Products’ relatively low beta of 0.869 suggests it is less volatile than the broader market, making it a potentially defensive play in uncertain economic conditions. Its strong institutional ownership of 90.79% reflects confidence from large investors, which could provide stability to the stock price.  
 **Summary:**  
 **Thesis:** Air Products benefits from strong profitability, a reliable dividend, and a defensive position in the industrial gases industry.  
 **Edge:** Its operational efficiency and ability to maintain margins despite revenue pressures provide resilience in a challenging macroeconomic environment.  
 **Risk:** Declining revenue growth and negative free cash flow could limit its ability to invest in growth or weather prolonged economic weakness.  
 **Score: 78**</t>
  </si>
  <si>
    <t>USB</t>
  </si>
  <si>
    <t>**Investment Report: U.S. Bancorp**
 **Recent News:**  
 There have been no significant updates or developments regarding U.S. Bancorp in the past week. This lack of news suggests stability in the company's operations and no immediate disruptions or catalysts impacting its performance.
 **Financials:**  
 U.S. Bancorp demonstrates solid financial health with a market capitalization of $72.13 billion and a price-to-earnings (P/E) ratio of 12.2, which is below the broader market average, indicating potential undervaluation. The forward P/E of 10.68 further supports this view, suggesting expectations of earnings growth. The company’s dividend yield of 4.26% is slightly above its five-year average of 4.17%, making it attractive for income-focused investors. The payout ratio of 52.24% indicates a sustainable dividend policy, supported by strong profitability metrics such as a net income margin of 25.1% and return on equity (ROE) of 11.02%.
 The company’s earnings growth of 96.3% year-over-year and revenue growth of 3.2% highlight its ability to navigate a challenging macroeconomic environment. Additionally, U.S. Bancorp maintains a robust balance sheet with $59.82 billion in cash, though its total debt of $80.1 billion warrants monitoring. The price-to-book ratio of 1.39 suggests the stock is trading at a reasonable valuation relative to its book value.
 **Valuations:**  
 U.S. Bancorp’s stock is trading near the lower end of its 52-week range ($37.81 to $53.98), with a current price of approximately $46. This positions the stock as potentially undervalued, especially given its strong fundamentals and analyst target median price of $57, representing a potential upside of over 20%. The stock’s beta of 1.04 indicates moderate volatility, aligning with broader market movements.
 The company’s trailing PEG ratio of 1.12 reflects a fair valuation relative to its growth prospects. Institutional ownership of 82.1% underscores confidence from large investors, while the short interest ratio of 2.3 days suggests limited bearish sentiment.
 **Economic Outlook:**  
 The broader economic environment presents mixed signals for U.S. Bancorp. The U.S. economy is showing signs of deceleration, with GDP expected to contract by 1.5% in Q1 2025. Rising jobless claims and a record trade deficit could weigh on consumer and business activity, potentially impacting loan demand and credit quality. However, moderating inflation and the possibility of Federal Reserve rate cuts later in the year could provide relief for financial institutions, including U.S. Bancorp.
 The banking sector may face headwinds from geopolitical uncertainties, such as escalating trade tensions and tariffs, which could disrupt global supply chains and dampen economic growth. However, U.S. Bancorp’s diversified revenue streams and strong operating margins (35%) position it to weather these challenges better than peers with narrower focuses.
 **Summary:**  
 **Thesis:** U.S. Bancorp offers a compelling combination of value, income, and growth potential, supported by strong financial metrics and a sustainable dividend.  
 **Edge:** The company’s diversified operations, robust profitability, and attractive valuation provide a cushion against macroeconomic uncertainties.  
 **Risk:** Economic slowdown, rising credit risks, and geopolitical tensions could pressure earnings and loan performance.
 **Score: 78**</t>
  </si>
  <si>
    <t>**Investment Report: Vici Properties (VICI)**
 **Recent News:**  
 Vici Properties has been highlighted for its consistent growth trajectory, driven by strategic acquisitions and expansion in the gaming and hospitality sectors. Since its inception in 2017, the REIT has expanded its portfolio to include 20 casino properties leased to major gaming operators. The company’s 5.3% dividend yield has been a key attraction for income-focused investors. However, concerns about macroeconomic headwinds, including inflation, high interest rates, and potential policy shifts, could impact its long-term performance. Despite these challenges, analysts have identified Vici as a strong candidate for long-term investment due to its stable cash flows and growth potential.
 **Financials:**  
 Vici Properties demonstrates robust financial health, with a market capitalization of $34.49 billion and a trailing P/E ratio of 12.75, which is relatively attractive compared to industry peers. The forward P/E ratio of 11.96 suggests expectations of earnings growth. The company’s dividend yield of 5.32% is above its five-year average of 5.03%, reflecting its commitment to returning value to shareholders. Vici’s payout ratio of 66.21% indicates a sustainable dividend policy, supported by strong operating cash flow of $2.38 billion and free cash flow of $1 billion. However, earnings growth has declined by 19% year-over-year, and revenue growth has slowed to 4.7%, signaling potential challenges in maintaining its growth momentum.
 The company’s balance sheet shows a debt-to-equity ratio of 65.49, which is manageable given its high EBITDA margins of 92.08% and gross margins of 99.18%. Vici’s enterprise value-to-EBITDA ratio of 14.63 suggests the company is trading at a premium, reflecting investor confidence in its long-term prospects. The stock’s beta of 0.967 indicates lower volatility compared to the broader market, making it a relatively stable investment in uncertain times.
 **Valuations:**  
 Vici Properties is trading at a price-to-book ratio of 1.30, which is reasonable for a REIT with high-quality assets and strong cash flow generation. The stock is currently priced at $32.49, near the midpoint of its 52-week range ($27.08 to $34.29). Analyst price targets range from $32 to $43, with a mean target of $35.57, suggesting moderate upside potential. The recommendation mean of 1.54 (on a scale where 1.0 is a strong buy) reflects strong analyst confidence in the stock.
 **Economic Outlook:**  
 The broader economic environment poses mixed implications for Vici Properties. Rising interest rates could increase the cost of debt refinancing, potentially pressuring margins. However, the company’s long-term leases with gaming operators provide predictable cash flows, insulating it from short-term economic volatility. Inflationary pressures may impact consumer discretionary spending, including gaming and hospitality, but Vici’s focus on high-quality properties and strong tenant relationships mitigates this risk. Additionally, the company’s ability to pass through inflation-linked rent escalations offers a hedge against rising costs.
 The recent implementation of tariffs and geopolitical uncertainties could indirectly affect the gaming and hospitality sectors, particularly if consumer confidence weakens. However, Vici’s diversified portfolio and focus on domestic markets reduce its exposure to international trade risks.
 **Summary:**  
 **Thesis:** Vici Properties offers a compelling investment case with its strong dividend yield, stable cash flows, and strategic growth in the gaming and hospitality sectors.  
 **Edge:** The company’s inflation-linked rent escalations and long-term leases provide resilience against economic headwinds.  
 **Risk:** Rising interest rates and slowing earnings growth could pressure margins and limit near-term upside.
 **Score: 78**</t>
  </si>
  <si>
    <t>VST</t>
  </si>
  <si>
    <t>**Investment Report: Vistra Corp.**
 **Recent News:**  
 Vistra Corp. has reported stronger-than-expected fourth-quarter earnings, driven by increased demand for nuclear power and effective hedging strategies. The company’s revenue growth year-over-year and its outperformance relative to the broader electric utilities industry over the past 12 months highlight its operational strength. The stock has seen a positive reaction, benefiting from broader investor interest in nuclear energy as a clean power source. This aligns with Vistra's integrated business model, which positions it to capitalize on the rising demand for clean energy. The company has reiterated its 2025 guidance, signaling confidence in its strategic direction. However, analysts remain cautious, balancing the company's strong fundamentals against broader market volatility and economic uncertainties.
 **Financials:**  
 Vistra's financial performance reflects a robust operational framework. The company has a trailing P/E ratio of 17.07 and a forward P/E of 17.96, indicating reasonable valuation levels relative to its earnings growth. Its profit margins of 15.44% and return on equity of 40.24% underscore its efficiency and profitability. Revenue growth of 31.2% year-over-year is a standout metric, supported by strong gross margins of 43.69% and EBITDA margins of 39.63%. However, the company’s debt-to-equity ratio of 183.15 is notably high, which could pose risks in a rising interest rate environment. Vistra’s total cash of $930 million and operating cash flow of $4.56 billion provide liquidity to manage its debt obligations and fund growth initiatives. The dividend yield of 0.67% is below its five-year average of 2.41%, reflecting a focus on reinvestment rather than shareholder payouts.
 **Valuations:**  
 Vistra’s current price-to-book ratio of 14.24 is significantly higher than the industry average, suggesting the stock may be overvalued on this metric. However, its trailing PEG ratio of 0.82 indicates that the stock is attractively priced relative to its growth prospects. The stock has experienced a 52-week change of 126.97%, far outpacing the S&amp;P 500’s 17.25% gain, reflecting strong investor confidence. Analyst sentiment remains positive, with a mean recommendation of 1.69 (Buy) and a median price target of $182.50, implying potential upside from its current trading levels.
 **Economic Outlook:**  
 The broader economic environment presents both opportunities and challenges for Vistra. The rising demand for clean energy, driven by global decarbonization efforts, positions the company well for long-term growth. However, macroeconomic headwinds, including the potential for a U.S. recession and ongoing trade tensions, could impact industrial and consumer energy demand. Elevated interest rates may also increase borrowing costs, which is a concern given Vistra’s high leverage. On the positive side, moderating inflation and potential Federal Reserve rate cuts later in the year could provide some relief.
 **Summary of Thesis, Edge, and Risk:**  
 Vistra Corp. is well-positioned to benefit from the growing demand for clean energy, particularly nuclear power, supported by its integrated business model and strong financial performance. Its ability to generate robust cash flows and maintain profitability provides a competitive edge in the electric utilities sector. However, high debt levels and broader economic uncertainties, including potential recessionary pressures, pose risks to its near-term performance. The stock’s valuation metrics suggest room for growth, but its elevated price-to-book ratio warrants caution.
 **Score: 78**</t>
  </si>
  <si>
    <t>AXP</t>
  </si>
  <si>
    <t>**Investment Report: American Express (AXP)**
 **Recent News:**  
 American Express has expanded its global reach by integrating with Alipay, China's leading digital payment platform. This partnership allows American Express cardholders to link their cards to Alipay, enabling transactions at millions of merchants across mainland China. This move strategically positions American Express to tap into the vast Chinese consumer market, which is increasingly reliant on digital payments. The collaboration could enhance transaction volumes and revenue streams, particularly as China continues to grow as a global economic powerhouse. However, the geopolitical tensions between the U.S. and China, including recent tariff escalations, may pose risks to the long-term success of this partnership.
 **Financials:**  
 American Express is trading below its 50-day average of $306.61, with a recent close at $300.96 and a day low of $293.11. The stock has a trailing P/E ratio of 21.08 and a forward P/E of 19.54, indicating moderate valuation levels relative to its earnings growth. The company has demonstrated strong profitability, with a net income of $9.99 billion and a return on equity of 34.74%, reflecting efficient capital utilization. Revenue growth of 10.6% and earnings growth of 15.7% highlight robust operational performance. However, the debt-to-equity ratio of 183.33% suggests a highly leveraged balance sheet, which could be a concern in a rising interest rate environment. The dividend yield of 0.93% is below its five-year average of 1.25%, but the low payout ratio of 19.99% indicates room for future dividend increases.
 **Valuations:**  
 American Express has a price-to-book ratio of 6.85, which is higher than the industry average, suggesting the stock may be overvalued relative to its book value. The price-to-sales ratio of 3.42 is also elevated, reflecting high market expectations. Analysts have a median target price of $320, implying a potential upside of approximately 6.3% from the current price. The stock's beta of 1.21 indicates higher volatility compared to the broader market, which could amplify price swings amid current market uncertainties.
 **Economic Outlook:**  
 The broader economic environment presents mixed signals for American Express. On one hand, the company's exposure to consumer spending and travel could benefit from a potential recovery in discretionary spending as inflation moderates. On the other hand, the U.S. economy is showing signs of deceleration, with GDP expected to contract in Q1 2025. Rising jobless claims and weakening consumer confidence could dampen spending, directly impacting American Express's transaction volumes. Additionally, the ongoing trade tensions and tariffs could disrupt global supply chains and consumer sentiment, posing risks to the company's international operations, including its recent Alipay partnership.
 **Summary:**  
 **Thesis:** American Express's strategic partnership with Alipay and its strong financial performance position it well for long-term growth, particularly in international markets.  
 **Edge:** The company's high profitability and efficient capital utilization provide a competitive advantage in the consumer finance industry.  
 **Risk:** Elevated debt levels, geopolitical tensions, and a slowing U.S. economy could weigh on near-term performance.  
 **Score: 78**</t>
  </si>
  <si>
    <t>MNST</t>
  </si>
  <si>
    <t>**Investment Report: Monster Beverage Corporation**
 **Recent News:**  
 Monster Beverage Corporation has reported strong financial performance for the fourth quarter and full-year 2024, driven by robust international growth and sustained demand for its energy drinks. The company achieved record net sales of $1.81 billion, exceeding analyst expectations of $1.79 billion. This growth was supported by effective pricing strategies and improved gross margins, which helped offset challenges in its alcoholic beverage segment, where impairment charges were recorded. The positive earnings report led to an 8.6% increase in the company's stock price, reflecting investor confidence in its core business and international expansion strategy.
 **Financials:**  
 Monster Beverage's financial metrics highlight its strong market position and operational efficiency. The company boasts a market capitalization of $53.69 billion and a profit margin of 20.14%, indicating solid profitability. Its trailing price-to-earnings (P/E) ratio of 34.06 and forward P/E ratio of 29.50 suggest that the stock is trading at a premium, reflecting growth expectations. The company maintains a healthy balance sheet with a low debt-to-equity ratio of 6.28 and a strong current ratio of 3.32, underscoring its ability to meet short-term obligations. Gross margins of 54.04% and EBITDA margins of 28.95% further demonstrate operational strength. However, earnings growth has declined by 20.4% year-over-year, which may warrant attention in the context of broader economic challenges.
 **Valuations:**  
 Monster Beverage's valuation metrics indicate a premium relative to the broader market, with a price-to-book ratio of 9.01 and an enterprise value-to-EBITDA multiple of 23.99. While these figures suggest the stock is not undervalued, they are consistent with the company's strong brand equity, market leadership in the energy drink segment, and growth potential in international markets. Analysts have a median price target of $57.00, representing modest upside from the current price, with a recommendation mean of 2.23 (indicating a "buy" rating). The company's trailing PEG ratio of 1.73 suggests that its valuation is reasonable relative to its growth prospects.
 **Economic Outlook:**  
 The macroeconomic environment presents both opportunities and risks for Monster Beverage. While global economic deceleration and rising trade tensions could impact consumer spending, the company's international growth strategy and pricing power position it well to navigate these challenges. The energy drink market remains resilient, supported by strong consumer demand and expanding product portfolios. However, broader market volatility and potential tariff impacts on supply chains could weigh on sentiment. Monster's ability to maintain gross margins and adapt to shifting economic conditions will be critical to sustaining its growth trajectory.
 **Summary of Thesis, Edge, and Risk:**  
 Monster Beverage's strong international growth, robust gross margins, and effective pricing strategies underpin its investment thesis. The company's edge lies in its market leadership in the energy drink segment and its ability to expand globally while maintaining operational efficiency. However, risks include declining earnings growth, challenges in the alcoholic beverage segment, and potential macroeconomic headwinds such as trade tensions and slowing consumer spending.
 **Score: 78**</t>
  </si>
  <si>
    <t>**Investment Report: Newmont Corporation**
 **Recent News:**  
 Newmont Corporation has not been in the headlines over the past week, indicating a lack of significant developments or disruptions. This stability can be interpreted as a neutral factor, as it suggests no immediate catalysts or risks impacting the company in the short term.
 **Financials:**  
 Newmont's financial performance reflects a solid position within the gold industry. The company has a market capitalization of $47.73 billion and a relatively low beta of 0.556, indicating lower volatility compared to the broader market. Its trailing price-to-earnings (P/E) ratio of 14.81 and forward P/E of 11.06 suggest that the stock is attractively valued relative to its earnings potential. The price-to-book ratio of 1.60 further supports the view that the stock is reasonably priced.
 The company maintains a healthy dividend yield of 2.33%, with a payout ratio of 34.97%, indicating a sustainable dividend policy. However, the current dividend yield is below its five-year average of 3.2%, which may reflect recent price appreciation or adjustments in dividend payouts. Newmont's free cash flow of $1.39 billion and operating cash flow of $6.36 billion highlight its strong cash generation capabilities, which are critical for sustaining operations and shareholder returns.
 Debt levels are manageable, with a debt-to-equity ratio of 29.8%, and the company has $3.64 billion in cash on hand, providing liquidity to navigate potential economic uncertainties. The quick ratio of 0.623 and current ratio of 1.627 indicate adequate short-term liquidity, though the quick ratio suggests some reliance on inventory or other current assets to meet immediate obligations.
 **Valuations:**  
 Newmont's valuation metrics suggest it is trading at a reasonable level. The stock is currently priced at $42.41, near its 50-day average of $41.81 but below its 200-day average of $45.76, indicating some recent weakness. The stock is well off its 52-week high of $58.72 but significantly above its 52-week low of $33.22, reflecting a recovery in sentiment over the past year. Analyst price targets range from $45.00 to $65.43, with a median target of $53.00, implying potential upside from current levels.
 The company's gross margins of 50.27% and EBITDA margins of 46.71% underscore its strong profitability, supported by revenue growth of 42.8% year-over-year. These metrics position Newmont favorably within the gold industry, where cost efficiency and margin stability are critical.
 **Economic Outlook:**  
 The broader economic environment presents mixed implications for Newmont. Gold prices often benefit from economic uncertainty, and with the U.S. economy showing signs of deceleration, including a projected GDP contraction of 1.5% in Q1 2025, demand for gold as a safe-haven asset could increase. Additionally, geopolitical tensions and trade disputes may further bolster gold prices, providing a tailwind for Newmont's revenue.
 However, rising interest rates and a strong U.S. dollar could temper gold's appeal, as higher yields on fixed-income assets and a stronger currency typically weigh on gold prices. Newmont's ability to navigate these macroeconomic headwinds will be crucial in maintaining its profitability and market position.
 **Summary:**  
 Newmont's investment thesis is supported by its strong financial fundamentals, attractive valuation metrics, and potential tailwinds from economic uncertainty driving gold demand. Its edge lies in its robust cash flow generation, healthy margins, and manageable debt levels, which provide resilience in a volatile macroeconomic environment. The primary risk is the potential for rising interest rates and a strong U.S. dollar to dampen gold prices, which could pressure revenue and earnings.
 **Score: 78**</t>
  </si>
  <si>
    <t>ECL</t>
  </si>
  <si>
    <t>**Investment Report: Ecolab Inc. (Specialty Chemicals Industry)**
 **Recent News:**  
 Ecolab has not been in the news over the past week, indicating a period of operational stability without any major announcements or disruptions. This lack of news suggests that the company is not currently facing significant external challenges or undergoing transformative changes, which can be interpreted as a neutral to positive signal in a volatile macroeconomic environment.
 **Financials:**  
 Ecolab's financial performance reflects a strong position within the specialty chemicals industry. The company’s trailing price-to-earnings (P/E) ratio of 36.61 and forward P/E of 35.98 indicate a premium valuation, likely due to its consistent revenue growth and profitability. The firm has a market capitalization of $76.36 billion and a 52-week price range of $217.05 to $272.22, with the stock currently trading near its all-time high. This suggests strong investor confidence in the company’s future prospects.
 Ecolab’s revenue growth of 17.8% year-over-year is robust, supported by healthy gross margins of 43.5% and EBITDA margins of 22.9%. The company’s return on equity (ROE) of 25.3% and return on assets (ROA) of 7.5% highlight efficient capital utilization and profitability. However, the debt-to-equity ratio of 103.9% indicates a relatively high leverage level, which could pose risks in a rising interest rate environment. The company’s free cash flow of $1.93 billion and operating cash flow of $2.81 billion provide a solid liquidity cushion to manage debt obligations and fund growth initiatives.
 Ecolab’s dividend yield of 0.97% is slightly below its five-year average of 1.05%, reflecting a focus on reinvestment rather than high shareholder payouts. The payout ratio of 32% suggests that the dividend is sustainable, with room for potential increases in the future.
 **Valuations:**  
 Ecolab’s price-to-sales (P/S) ratio of 4.85 and price-to-book (P/B) ratio of 11.50 indicate a premium valuation compared to industry peers. The company’s trailing PEG ratio of 2.42 suggests that the stock may be slightly overvalued relative to its growth prospects. However, the high analyst target price of $313 and a mean target price of $284.26 imply potential upside from current levels, with a recommendation mean of 2.23 (indicating a "buy" rating) from 20 analysts.
 **Economic Outlook:**  
 The broader macroeconomic environment presents mixed signals for Ecolab. The U.S. economy is showing signs of deceleration, with GDP contraction expected in Q1 2025 and rising jobless claims. Trade tensions, particularly the imposition of tariffs on Canada, Mexico, and China, could disrupt supply chains and increase input costs for Ecolab, given its global operations. However, the company’s strong revenue growth and operational efficiency may help it navigate these challenges.
 Ecolab’s beta of 1.14 indicates slightly higher volatility than the broader market, which could amplify stock price movements in response to macroeconomic developments. The company’s high institutional ownership of 92.5% reflects strong confidence from large investors, which may provide stability during market downturns.
 **Summary of Thesis, Edge, and Risk:**  
 Ecolab’s strong revenue growth, high profitability, and efficient capital utilization position it as a leader in the specialty chemicals industry. Its premium valuation reflects investor confidence in its ability to sustain growth and navigate macroeconomic challenges. The company’s edge lies in its robust cash flow generation and operational efficiency, which provide resilience in uncertain economic conditions. However, risks include high leverage, potential cost pressures from tariffs, and a premium valuation that leaves limited margin for error.
 **Score: 78**</t>
  </si>
  <si>
    <t>**Investment Report: Alphabet Inc. (GOOG)**
 **Recent News:**  
 Alphabet Inc. (GOOG) experienced a modest gain of +1.13% in its latest trading session, closing at $172.13. Despite this positive movement, the stock underperformed relative to broader market indices. This performance comes amidst heightened market volatility driven by macroeconomic uncertainties, including escalating trade tensions and a decelerating U.S. economy. Alphabet's stock price remains below its 50-day average of $192.18, reflecting recent downward pressure on technology stocks. The broader tech sector has faced challenges, particularly after the release of competing AI technologies, which have disrupted market sentiment and valuations.
 **Financials:**  
 Alphabet's financial fundamentals remain robust, with a market capitalization of $2.04 trillion and a trailing price-to-earnings (P/E) ratio of 20.98, which is reasonable for a high-growth technology company. The forward P/E ratio of 18.84 suggests expectations of continued earnings growth. Alphabet's profit margins are strong at 28.6%, supported by a return on equity (ROE) of 32.91%, indicating efficient capital utilization. The company has a solid balance sheet, with $95.66 billion in cash and a manageable debt load of $28.14 billion, resulting in a low debt-to-equity ratio of 8.66%. Free cash flow of $56.58 billion underscores Alphabet's ability to fund operations, invest in growth, and return capital to shareholders.
 Revenue growth of 11.8% year-over-year and earnings growth of 30.9% highlight Alphabet's resilience in a challenging macroeconomic environment. The company’s gross margins of 58.2% and operating margins of 33.97% reflect its strong competitive position and operational efficiency. However, the stock's price-to-book ratio of 6.34 suggests it is trading at a premium relative to its book value, which may limit upside potential in the short term.
 **Valuations:**  
 Alphabet's valuation metrics remain attractive compared to its historical averages and peers in the Interactive Media &amp; Services industry. The trailing PEG ratio of 1.25 indicates that the stock is reasonably priced relative to its growth prospects. Analyst sentiment is positive, with a mean price target of $218.26, representing a potential upside of approximately 26.8% from the current price. The recommendation mean of 1.6 (on a scale where 1.0 is a strong buy) reflects strong confidence in Alphabet's long-term growth trajectory.
 **Economic Outlook:**  
 Alphabet faces headwinds from the broader economic environment, including the U.S. economy's projected contraction in Q1 2025 and ongoing trade tensions. The recent escalation in tariffs, particularly between the U.S. and China, could impact Alphabet's global operations and supply chain. Additionally, the competitive landscape in artificial intelligence has intensified, with the launch of advanced AI models by competitors potentially pressuring Alphabet's market share in this critical growth area. However, Alphabet's diversified revenue streams, including its dominant position in digital advertising and growing cloud computing business, provide a buffer against macroeconomic challenges.
 **Summary of Thesis, Edge, and Risk:**  
 Alphabet's strong financial position, robust cash flow generation, and leading market position in digital advertising and AI provide a solid foundation for long-term growth. Its ability to innovate and invest in emerging technologies, such as AI and cloud computing, gives it a competitive edge. However, near-term risks include macroeconomic uncertainties, trade tensions, and increased competition in the AI space, which could weigh on investor sentiment and stock performance.
 **Score: 78**</t>
  </si>
  <si>
    <t>**Investment Report: Medtronic (Health Care Equipment Industry)**
 **Recent News:**  
 Medtronic has not been in the news over the past week, indicating a period of operational stability without any major announcements or disruptions. This lack of news suggests no immediate catalysts or risks, allowing the focus to remain on the company’s fundamentals and broader market conditions.
 **Financials:**  
 Medtronic’s financial performance reflects a stable and mature company in the healthcare equipment sector. The stock recently reached its 52-week high of $94.93, signaling strong investor confidence. The company offers a robust dividend yield of 3.04%, above its five-year average of 2.74%, which may appeal to income-focused investors. However, the payout ratio of 85.06% suggests limited room for dividend growth without earnings expansion. 
 The company’s trailing price-to-earnings (P/E) ratio of 28.75 is relatively high, but its forward P/E of 16.12 indicates expectations of improved earnings. Medtronic’s profit margins of 12.83% and gross margins of 65.59% highlight its ability to maintain profitability despite rising costs in the healthcare sector. However, quarterly earnings growth has declined by 2.1%, reflecting potential challenges in maintaining momentum. 
 Medtronic’s balance sheet shows a manageable debt-to-equity ratio of 53.63, supported by a strong current ratio of 1.90 and quick ratio of 1.19, indicating sufficient liquidity to meet short-term obligations. The company’s free cash flow of $5.06 billion and operating cash flow of $7.29 billion provide a solid foundation for reinvestment and debt servicing.
 **Valuations:**  
 Medtronic’s price-to-book ratio of 2.45 and enterprise value-to-revenue ratio of 4.13 suggest the stock is fairly valued relative to its peers in the healthcare equipment industry. Analysts’ target prices range from $85 to $112, with a mean target of $95.88, indicating limited upside from the current price of $93.56. The recommendation mean of 2.32 (on a scale where 1 is a strong buy and 5 is a sell) reflects a generally positive sentiment among analysts.
 **Economic Outlook:**  
 The broader economic environment presents mixed implications for Medtronic. The U.S. economy is showing signs of deceleration, with GDP contraction expected in Q1 2025 and rising jobless claims. However, healthcare tends to be a defensive sector, less sensitive to economic cycles, which could provide some insulation for Medtronic. The company’s international exposure may face headwinds from trade tensions and tariffs, particularly if supply chains are disrupted or costs increase. On the positive side, moderating inflation and potential Federal Reserve rate cuts later in the year could support market sentiment and reduce financing costs.
 **Summary:**  
 Medtronic’s thesis lies in its strong market position, consistent cash flow generation, and attractive dividend yield, which provide stability in uncertain economic conditions. Its edge comes from its scale and profitability in the healthcare equipment industry, supported by robust margins and liquidity. However, risks include slowing earnings growth, high payout ratios limiting dividend flexibility, and potential macroeconomic pressures from trade policies and global economic deceleration.
 **Score: 78**</t>
  </si>
  <si>
    <t>MOH</t>
  </si>
  <si>
    <t>**Investment Report: Molina Healthcare**
 **Recent News:**  
 Molina Healthcare has not been in the news over the past week, indicating a lack of significant developments or disruptions. This absence of news suggests stability in its operations, though it also means no immediate catalysts for stock movement.
 **Financials:**  
 Molina Healthcare's financial performance reflects a solid foundation. The company trades at a trailing P/E ratio of 14.83 and a forward P/E of 11.78, indicating a relatively attractive valuation compared to its earnings growth. Its profit margins stand at 3.01%, with a return on equity (ROE) of 27.07%, showcasing efficient capital utilization. Revenue growth of 19.1% year-over-year and earnings growth of 20.3% highlight robust operational performance.  
 The company maintains a strong liquidity position, with a quick ratio of 1.56 and a current ratio of 1.62, supported by $8.99 billion in cash reserves. However, its debt-to-equity ratio of 71.71% suggests a moderately leveraged balance sheet, which could pose risks in a rising interest rate environment. Free cash flow of $509.75 million and operating cash flow of $644 million provide a cushion for ongoing operations and potential investments.  
 Molina's stock has experienced a 21.9% decline over the past year, underperforming the S&amp;P 500, which gained 17.2% in the same period. The stock is currently trading at $301.12, below its 200-day average of $314.42, indicating potential undervaluation. Analyst sentiment remains positive, with a mean price target of $332.88, suggesting a 10.5% upside from current levels.
 **Valuations:**  
 Molina Healthcare's price-to-sales ratio of 0.43 and enterprise value-to-revenue ratio of 0.28 indicate that the stock is trading at a discount relative to its revenue generation. Its price-to-book ratio of 3.77 is reasonable for the managed healthcare industry, given its strong ROE. The company's forward EPS of $25.71 implies continued earnings growth, making it an attractive option for value-oriented investors.  
 The lack of dividend payments aligns with Molina's focus on reinvesting earnings into growth opportunities. Its beta of 0.564 suggests lower volatility compared to the broader market, making it a relatively defensive play in uncertain economic conditions.
 **Economic Outlook:**  
 The broader economic environment presents mixed signals for Molina Healthcare. The U.S. economy is showing signs of deceleration, with GDP expected to shrink by 1.5% in Q1 2025. Rising jobless claims and weakening consumer confidence could impact healthcare utilization rates. However, Molina's focus on managed care, particularly Medicaid and Medicare, provides a degree of insulation from economic downturns, as these programs are less sensitive to consumer spending patterns.  
 The ongoing trade tensions and tariff implementations are unlikely to have a direct impact on Molina's operations, given its domestic focus. However, broader economic uncertainty could weigh on investor sentiment. Additionally, the Federal Reserve's restrictive monetary policy and potential rate cuts later in the year could influence the cost of capital for the company.
 **Summary of Thesis, Edge, and Risk:**  
 Molina Healthcare presents a compelling investment case based on its strong financial performance, attractive valuation metrics, and defensive business model. Its focus on managed care for government-sponsored programs provides stability in uncertain economic conditions. The company's efficient capital utilization and robust earnings growth further enhance its appeal.  
 However, risks include its moderately high debt levels and potential macroeconomic headwinds, such as a slowing economy and rising unemployment, which could indirectly affect healthcare demand. The lack of recent news or catalysts may also limit short-term stock movement.
 **Score: 78**</t>
  </si>
  <si>
    <t>MLM</t>
  </si>
  <si>
    <t>**Investment Report: Martin Marietta Materials**
 **Recent News:**  
 There have been no significant updates or developments regarding Martin Marietta Materials in the past week. This lack of news suggests stability in the company's operations, but it also indicates no immediate catalysts for significant price movement in the short term.
 **Financials:**  
 Martin Marietta Materials is currently trading near its 52-week low of $467.99, significantly below its 52-week high of $633.23, reflecting a 19.86% decline over the past year. The company has a market capitalization of $28.65 billion and a beta of 0.887, indicating lower volatility compared to the broader market. Its trailing price-to-earnings (P/E) ratio of 14.49 suggests the stock is relatively undervalued compared to its forward P/E of 22.54, which reflects expectations of slower earnings growth.
 The company maintains strong profitability metrics, with a profit margin of 30.52% and EBITDA margins of 31.47%. Revenue growth has been modest at 1.4% year-over-year, while earnings growth stands at 5.2%, indicating steady but unspectacular performance. The return on equity (ROE) of 22.82% highlights efficient use of shareholder capital, while the return on assets (ROA) of 5.57% is consistent with the capital-intensive nature of the construction materials industry.
 Martin Marietta has a solid balance sheet, with a current ratio of 2.50 and a quick ratio of 1.33, indicating strong liquidity. However, its debt-to-equity ratio of 63.72% reflects a relatively high level of leverage, which could pose risks in a rising interest rate environment. The company generates robust free cash flow of $1.49 billion, supporting its dividend payout ratio of 9.44%, which is well below its five-year average dividend yield of 0.69%.
 **Valuations:**  
 The stock's price-to-book (P/B) ratio of 3.04 is slightly elevated, reflecting a premium valuation relative to its book value. Its enterprise value-to-revenue (EV/Revenue) ratio of 5.20 and enterprise value-to-EBITDA (EV/EBITDA) ratio of 16.53 suggest the market is pricing in expectations of continued profitability and operational efficiency. Analyst sentiment remains positive, with a mean price target of $612.75, representing a potential upside of approximately 30.8% from current levels. The recommendation mean of 1.78 (on a scale where 1.0 is a strong buy) underscores bullish sentiment among analysts.
 **Economic Outlook:**  
 The broader economic environment presents mixed implications for Martin Marietta. The U.S. economy is showing signs of deceleration, with GDP expected to contract by 1.5% in Q1 2025. Rising jobless claims and weakening consumer confidence could dampen demand for construction materials. Additionally, the imposition of tariffs on steel and aluminum imports may increase input costs, potentially pressuring margins. However, the company’s strong liquidity and free cash flow position it well to weather short-term economic headwinds.
 On the positive side, the Biden administration's infrastructure spending initiatives from prior years and ongoing investments in construction and development projects could provide a tailwind for the construction materials industry. Martin Marietta's diversified product portfolio and strong market position may allow it to capitalize on these opportunities.
 **Summary:**  
 **Thesis:** Martin Marietta Materials is a fundamentally strong company with robust profitability, efficient capital utilization, and solid cash flow generation. Its current valuation near 52-week lows may present an attractive entry point for long-term investors.  
 **Edge:** The company benefits from its dominant position in the construction materials industry and its ability to generate consistent cash flow, even in challenging economic conditions.  
 **Risk:** Economic slowdown, rising input costs due to tariffs, and high leverage could weigh on near-term performance.
 **Score: 78**</t>
  </si>
  <si>
    <t>MDLZ</t>
  </si>
  <si>
    <t>**Investment Report: Mondelez International**
 **Recent News:**  
 Mondelez International is navigating a challenging environment marked by rising cocoa prices and the impact of tariffs. Despite these headwinds, the company continues to demonstrate strong underlying business performance. The market appears to be pricing in a permanent decline in margins, which may not fully reflect the company's ability to adapt and mitigate these pressures over the long term. While short-term margin compression is likely, Mondelez's diversified product portfolio and global reach position it to weather these challenges effectively. The muted long-term impact of these risks suggests that the current valuation may underestimate the company's resilience.
 **Financials:**  
 Mondelez's financial performance remains robust, with a trailing price-to-earnings (PE) ratio of 19.23 and a forward PE of 19.18, indicating stable earnings expectations. The company has a healthy dividend yield of 2.93%, above its five-year average of 2.24%, reflecting its commitment to returning value to shareholders. Revenue growth of 3.1% and earnings growth of 86.6% highlight the company's ability to expand despite macroeconomic challenges. However, the quick ratio of 0.315 and current ratio of 0.677 suggest limited short-term liquidity, which could be a concern in a high-cost environment. Debt-to-equity stands at 68.79%, indicating moderate leverage, but the company generates strong free cash flow of $2.74 billion, providing a cushion for debt servicing and operational needs.
 **Valuations:**  
 Mondelez's price-to-book ratio of 3.22 and price-to-sales ratio of 2.33 suggest the stock is trading at a premium relative to its book value and revenue. However, these metrics are consistent with the valuations of other high-quality consumer staples companies. The stock's 52-week range of $53.95 to $76.06 indicates that it is currently trading closer to its lower end, potentially offering an attractive entry point for long-term investors. Analyst sentiment remains positive, with a mean target price of $66.92 and a recommendation key of "buy," reflecting confidence in the company's ability to navigate current challenges.
 **Economic Outlook:**  
 The broader economic environment presents mixed signals for Mondelez. Rising cocoa prices, driven by supply chain disruptions and geopolitical tensions, are likely to pressure input costs. Additionally, the implementation of tariffs on key trading partners, including Canada, Mexico, and the European Union, could increase costs for imported raw materials and finished goods. However, Mondelez's global footprint and pricing power may allow it to pass on some of these costs to consumers. The company's focus on innovation and premiumization in its product offerings could also help sustain demand in a challenging economic climate.
 **Summary of Thesis, Edge, and Risk:**  
 Mondelez International's strong underlying business performance and ability to adapt to macroeconomic challenges provide a solid foundation for long-term growth. The market's current pricing appears overly pessimistic, underestimating the company's resilience and ability to manage margin pressures. Mondelez's edge lies in its global scale, strong brand portfolio, and consistent cash flow generation. However, risks include sustained high cocoa prices, tariff-related cost increases, and potential liquidity constraints in the short term.
 **Score: 78**</t>
  </si>
  <si>
    <t>EG</t>
  </si>
  <si>
    <t>**Investment Report: Everest Group (Reinsurance Industry)**
 **Recent News:**  
 Everest Group has not been in the news over the past week, indicating a lack of significant developments or disruptions. This absence of news suggests stability in operations but also a lack of catalysts for immediate market movement.
 **Financials:**  
 Everest Group's financial metrics reflect a mixed picture. The stock is trading near its 50-day average of $352.05, slightly below its 200-day average of $373.26, indicating some recent downward pressure. The firm’s trailing P/E ratio of 11.20 and forward P/E of 5.36 suggest the stock is undervalued relative to its earnings potential, particularly with a forward EPS of $66.47. The dividend yield of 2.26% is slightly above its five-year average, supported by a low payout ratio of 24.39%, signaling a sustainable dividend policy.
 The company’s balance sheet shows a manageable debt-to-equity ratio of 26.76 and a strong cash position of $6.26 billion, equating to $145.71 per share. However, the free cash flow is deeply negative at -$24 billion, which could raise concerns about operational efficiency or capital allocation. Despite this, operating cash flow remains positive at $4.96 billion, providing some reassurance about liquidity.
 Profit margins are modest at 7.98%, and gross margins are low at 9.68%, reflecting the competitive and capital-intensive nature of the reinsurance industry. Revenue growth of 20.6% year-over-year is a positive indicator, suggesting the company is expanding its top line despite challenging macroeconomic conditions.
 **Valuations:**  
 Everest Group’s price-to-book ratio of 1.10 indicates the stock is trading close to its book value, which is attractive for a company in the reinsurance sector. The enterprise value-to-revenue ratio of 0.73 further underscores the stock's undervaluation relative to its revenue generation. Analyst sentiment is moderately positive, with a mean price target of $404.50, representing a potential upside of approximately 14.5% from the current price. The recommendation mean of 2.42 (between "buy" and "hold") reflects cautious optimism among analysts.
 **Economic Outlook:**  
 The broader economic environment presents both challenges and opportunities for Everest Group. The U.S. economy is showing signs of deceleration, with GDP expected to shrink by 1.5% in Q1 2025. Rising tariffs and trade tensions could impact global markets, potentially affecting Everest Group’s reinsurance operations if economic activity slows further. However, the company’s low beta of 0.61 suggests it is less volatile and may be better positioned to weather market turbulence.
 The reinsurance industry often benefits from rising demand for risk management during periods of economic uncertainty. Everest Group’s strong cash reserves and manageable debt levels provide a buffer against potential macroeconomic headwinds. However, the company’s negative free cash flow and low operating margins highlight the need for improved cost management and operational efficiency.
 **Summary:**  
 **Thesis:** Everest Group appears undervalued based on its earnings potential, book value, and revenue generation. Its strong cash position and sustainable dividend policy provide a solid foundation for long-term stability.  
 **Edge:** The company’s low beta and resilience in the reinsurance industry position it well to navigate economic uncertainty. Revenue growth of 20.6% is a standout metric in a challenging macroeconomic environment.  
 **Risk:** Negative free cash flow and low operating margins could weigh on profitability if economic conditions worsen or if the company fails to improve operational efficiency.
 **Score: 78**</t>
  </si>
  <si>
    <t>EFX</t>
  </si>
  <si>
    <t>**Investment Report: Equifax Inc.**
 **Recent News:**  
 Equifax has not been in the news over the past week, indicating a lack of significant developments or disruptions. This absence of news suggests stability in its operations, but it also means there are no immediate catalysts driving investor sentiment. The company operates in the Research &amp; Consulting Services industry, which is sensitive to macroeconomic conditions and regulatory changes, but no recent events have directly impacted its business.
 **Financials:**  
 Equifax's financial performance reflects a mixed picture. The company has a market capitalization of $30.33 billion and a trailing price-to-earnings (P/E) ratio of 50.62, which is significantly higher than its forward P/E of 25.98. This suggests expectations of strong earnings growth in the near future. The trailing PEG ratio of 0.94 further supports this, indicating that the stock may be undervalued relative to its growth potential.
 Revenue growth stands at 7% year-over-year, while earnings growth is a robust 31.4%, showcasing operational efficiency and profitability improvements. Gross margins of 56.5% and EBITDA margins of 30.9% highlight the company's ability to maintain strong profitability. However, the debt-to-equity ratio of 105.04% raises concerns about leverage, especially in a rising interest rate environment. Free cash flow of $760.91 million and operating cash flow of $1.32 billion provide some reassurance regarding liquidity.
 The dividend yield of 0.64% is below the five-year average of 0.75%, reflecting a modest return for income-focused investors. The payout ratio of 32.23% indicates that the dividend is sustainable, leaving room for reinvestment in growth initiatives.
 **Valuations:**  
 Equifax's stock is trading at $242.56-$247.27, near the lower end of its 52-week range of $213.02-$309.63. The price-to-book ratio of 6.32 is relatively high, suggesting the stock is expensive compared to its book value. However, the forward P/E and PEG ratios indicate that the market expects significant earnings growth, which could justify the premium valuation.
 Analyst sentiment remains positive, with a mean price target of $292.53, representing a potential upside of approximately 20%. The recommendation mean of 1.82 (on a scale where 1.0 is a strong buy) further underscores optimism about the stock's prospects.
 **Economic Outlook:**  
 The broader economic environment presents both opportunities and risks for Equifax. The U.S. economy is showing signs of deceleration, with GDP expected to contract by 1.5% in Q1 2025. Rising jobless claims and weakening consumer confidence could impact demand for credit reporting and related services. However, Equifax's strong position in the industry and its ability to generate consistent cash flow may help it weather economic headwinds.
 The company's high beta of 1.65 indicates that its stock is more volatile than the broader market, which could amplify price movements in response to macroeconomic developments. Additionally, the ongoing trade tensions and tariff implementations could indirectly affect Equifax if they lead to broader economic disruptions.
 **Summary of Thesis, Edge, and Risk:**  
 Equifax's strong earnings growth, robust margins, and positive analyst sentiment highlight its potential for long-term value creation. The company's ability to generate significant free cash flow and its focus on operational efficiency provide a competitive edge in the Research &amp; Consulting Services industry. However, high leverage and exposure to macroeconomic volatility pose risks, particularly in a slowing economy. While the stock's valuation appears stretched on some metrics, its growth prospects and market position may justify the premium.
 **Score: 78**</t>
  </si>
  <si>
    <t>HIG</t>
  </si>
  <si>
    <t>**Investment Report: The Hartford (Property &amp; Casualty Insurance)**
 **Recent News:**  
 The Hartford has not been in the spotlight over the past week, with no significant news or developments reported. This lack of news suggests stability in operations but also indicates no immediate catalysts for significant price movement. The absence of major announcements or controversies positions the company as a steady performer in the current volatile market environment.
 **Financials:**  
 The Hartford demonstrates strong financial health with a trailing P/E ratio of 11.57 and a forward P/E of 10.32, indicating a relatively attractive valuation compared to broader market averages. The company’s dividend yield of 1.76% is slightly below its five-year average of 2.25%, reflecting a modest payout ratio of 18.65%, which leaves room for potential dividend growth. The firm’s return on equity (ROE) of 19.58% is robust, showcasing effective management of shareholder capital. Additionally, the company has a solid book value per share of $56.03, with a price-to-book ratio of 2.14, suggesting the stock is reasonably valued relative to its assets.
 The Hartford’s revenue growth of 7.4% and earnings growth of 15.3% year-over-year highlight its ability to expand both top-line and bottom-line performance. Operating margins of 16.46% and EBITDA margins of 16.28% reflect strong operational efficiency. The company’s debt-to-equity ratio of 27.43% is manageable, supported by a healthy quick ratio of 1.09 and a current ratio of 1.91, indicating sufficient liquidity to cover short-term obligations.
 **Valuations:**  
 The Hartford’s stock is trading near the upper end of its 52-week range ($94.47 - $124.90), with a recent close of $117.76. Analysts have a median price target of $125.00, representing a modest upside of approximately 6.15%. The high target of $150.00 suggests potential for further gains if the company outperforms expectations. Institutional ownership is strong at 96.16%, reflecting confidence from large investors. The stock’s beta of 0.91 indicates lower volatility compared to the broader market, making it a relatively defensive play in uncertain economic conditions.
 **Economic Outlook:**  
 The broader economic environment presents mixed signals for The Hartford. On one hand, rising interest rates could benefit the company’s investment portfolio, as insurers typically hold significant fixed-income assets. On the other hand, the U.S. economy is showing signs of deceleration, with GDP expected to shrink by 1.5% in Q1 2025. This could lead to reduced demand for certain insurance products and higher claims in economically sensitive areas. Additionally, geopolitical tensions and trade uncertainties may indirectly impact the company’s operations, though the property and casualty insurance sector is generally resilient to such macroeconomic shocks.
 **Summary of Thesis, Edge, and Risk:**  
 The Hartford is a fundamentally strong company with attractive valuations, solid profitability metrics, and a stable dividend. Its low beta and strong institutional ownership make it a defensive choice in a volatile market. However, the lack of immediate catalysts and potential economic headwinds could limit short-term upside. The company’s edge lies in its operational efficiency and ability to generate consistent returns on equity. Risks include exposure to economic slowdowns and potential increases in claims due to unforeseen events.
 **Score: 78**</t>
  </si>
  <si>
    <t>**Investment Report: Intercontinental Exchange (ICE)**
 **Recent News:**  
 Intercontinental Exchange (ICE) has not been in the headlines over the past week, indicating a lack of immediate catalysts or disruptions. This stability can be interpreted as a sign of operational consistency, particularly in a volatile macroeconomic environment. However, the absence of news also suggests that the firm is not currently driving significant innovation or market-moving developments.
 **Financials:**  
 Intercontinental Exchange's financial performance reflects a robust and stable business model. The company has a market capitalization of $99.5 billion and a trailing price-to-earnings (P/E) ratio of 36.23, which is relatively high, indicating that the market has priced in strong growth expectations. The forward P/E of 25.70 suggests anticipated earnings growth, supported by a forward EPS of $6.74 and earnings growth of 86.3% year-over-year. 
 The firm's profit margins are solid, with a net profit margin of 29.68% and EBITDA margins of 60.73%, highlighting its efficiency in converting revenue into profit. Revenue growth of 5.5% year-over-year, while modest, is steady for a mature company in the financial exchanges and data industry. ICE's trailing annual dividend yield of 1.11% is slightly below its five-year average of 1.24%, but the payout ratio of 37.66% indicates room for future dividend increases.
 The balance sheet shows a debt-to-equity ratio of 74.82, which is relatively high but manageable given the company's strong cash flow generation. Free cash flow of $2.92 billion and operating cash flow of $4.61 billion provide ample liquidity to service debt and fund growth initiatives. However, the quick ratio of 0.026 suggests limited short-term liquidity, which could be a concern in a tightening credit environment.
 **Valuations:**  
 Intercontinental Exchange is trading near its 52-week high of $175.40, reflecting strong investor confidence. The stock's price-to-book ratio of 3.60 and price-to-sales ratio of 10.72 indicate a premium valuation compared to peers, which may limit upside potential in the near term. Analysts have a median price target of $190, implying a modest upside of approximately 9.5% from current levels. The recommendation mean of 1.89 (on a scale where 1.0 is a strong buy) suggests a generally favorable outlook among analysts.
 **Economic Outlook:**  
 The broader economic environment presents mixed implications for ICE. The U.S. economy is showing signs of deceleration, with GDP expected to contract by 1.5% in Q1 2025. Rising trade tensions, particularly with Canada, Mexico, and China, could impact global financial markets and trading volumes, which are critical to ICE's revenue streams. However, the company's diversified revenue base, including data services and clearing operations, provides some insulation from market volatility.
 The Federal Reserve's restrictive monetary policy and elevated interest rates could weigh on market activity, but any signs of inflation moderation or potential rate cuts later in the year could provide a tailwind for financial markets and, by extension, ICE's business. Additionally, ICE's beta of 1.09 suggests moderate sensitivity to market movements, which could amplify returns in a market recovery scenario.
 **Summary of Thesis, Edge, and Risk:**  
 Intercontinental Exchange benefits from a strong market position, high profit margins, and consistent cash flow generation, making it a reliable player in the financial exchanges and data industry. Its diversified revenue streams and operational efficiency provide a competitive edge, particularly in uncertain economic conditions. However, the stock's premium valuation and high debt levels pose risks, especially in a slowing economy with rising geopolitical tensions. Near-term upside may be limited, but the company's long-term fundamentals remain solid.
 **Score: 78**</t>
  </si>
  <si>
    <t>KMI</t>
  </si>
  <si>
    <t>**Investment Report: Kinder Morgan (KMI)**
 **Recent News:**  
 Kinder Morgan has demonstrated resilience in a volatile market, with a slight gain in its stock price despite broader market declines. The company benefits from a robust asset network and steady cash flows, supported by an $8.1 billion project backlog. This backlog is driven by increasing demand for liquefied natural gas (LNG) exports and power generation for data centers, positioning Kinder Morgan to capitalize on long-term energy infrastructure needs. While the company experienced a slight earnings miss and a 1.2% revenue decline in Q4 2024, it has outperformed the broader Energy sector over the past year, delivering a 43% total return. The recent 15% pullback from its peak may indicate a temporary correction rather than a fundamental weakness, as the company's core operations remain strong.
 **Financials:**  
 Kinder Morgan's financial position is solid, with a market capitalization of $60.3 billion and a BBB credit rating. The company offers a dividend yield of 4.24%, supported by a high payout ratio of 97.86%. While this payout ratio is elevated, the company's operating cash flow of $5.63 billion and free cash flow of $1.3 billion provide sufficient coverage for its dividend obligations. Kinder Morgan's trailing price-to-earnings (P/E) ratio of 23.2 and forward P/E of 21.5 suggest a valuation slightly above the industry average, reflecting investor confidence in its growth prospects. However, its debt-to-equity ratio of 101.67% highlights a significant leverage position, which could pose risks in a rising interest rate environment. The company's gross margins of 51.6% and EBITDA margins of 43.9% underscore its operational efficiency.
 **Valuations:**  
 Kinder Morgan's price-to-book ratio of 1.97 and enterprise value-to-EBITDA ratio of 14.17 indicate that the stock is trading at a premium compared to some peers in the Oil &amp; Gas Storage &amp; Transportation industry. However, this premium may be justified by its strong asset base, consistent cash flows, and growth potential. Analysts have a median price target of $30, representing an upside of approximately 14.5% from the current price of $26.21. The stock's beta of 0.935 suggests lower volatility compared to the broader market, making it an attractive option for risk-averse investors seeking income and stability.
 **Economic Outlook:**  
 The macroeconomic environment presents both opportunities and challenges for Kinder Morgan. The increasing global demand for LNG and energy infrastructure aligns with the company's core operations, providing a tailwind for growth. However, the broader economic slowdown, rising interest rates, and trade tensions could weigh on energy demand and financing costs. Kinder Morgan's exposure to tariffs on steel and aluminum imports may also impact its project costs, though its established infrastructure and long-term contracts provide some insulation from short-term market fluctuations.
 **Summary:**  
 Kinder Morgan's investment thesis is supported by its strong fundamentals, including a robust asset network, steady cash flows, and a promising project backlog. Its edge lies in its ability to capitalize on growing LNG demand and data center energy needs, while its dividend yield enhances its appeal as an income-generating stock. The primary risk is its high leverage, which could become a concern in a rising interest rate environment or during prolonged economic weakness.
 **Score: 78**</t>
  </si>
  <si>
    <t>KLAC</t>
  </si>
  <si>
    <t>**Investment Report: KLA Corporation**
 **Recent News:**  
 KLA Corporation has not been in the news over the past week, indicating a lack of immediate catalysts or disruptions. This absence of news suggests stability in operations but also a lack of short-term momentum drivers. The broader semiconductor industry, however, faces headwinds from geopolitical tensions, including escalating tariffs between the U.S. and China, which could impact supply chains and demand for semiconductor equipment.
 **Financials:**  
 KLA Corporation's financial performance remains robust, with a trailing price-to-earnings (P/E) ratio of 29.10 and a forward P/E of 21.06, reflecting expectations of continued earnings growth. The company has demonstrated strong profitability, with a net income margin of 29.58% and return on equity (ROE) of 96.81%, significantly outperforming industry averages. Revenue growth of 23.7% year-over-year and earnings growth of 43.9% highlight the firm's ability to capitalize on the ongoing demand for semiconductor manufacturing equipment.
 The company maintains a healthy dividend yield of 0.96%, supported by a low payout ratio of 25.46%, indicating room for future dividend increases. KLA's free cash flow of $2.47 billion and operating cash flow of $3.65 billion provide ample liquidity to support operations, investments, and shareholder returns. However, the debt-to-equity ratio of 169.41% is notably high, which could pose risks in a rising interest rate environment.
 **Valuations:**  
 KLA's current stock price of approximately $689.71 places it near the lower end of its 52-week range ($609.40 - $896.32). The stock trades at a price-to-sales ratio of 8.47 and a price-to-book ratio of 25.63, both of which are elevated compared to historical norms and peers. Analysts' target prices range from $655 to $950, with a mean target of $820.97, suggesting potential upside of around 19% from current levels. The recommendation mean of 1.93 (on a scale where 1.0 is a strong buy) reflects positive sentiment among analysts.
 **Economic Outlook:**  
 The semiconductor industry faces macroeconomic challenges, including the potential impact of U.S.-China trade tensions and tariffs. These geopolitical risks could disrupt supply chains and increase costs for semiconductor manufacturers, potentially affecting demand for KLA's equipment. However, the company's strong revenue growth and profitability metrics suggest resilience in the face of these challenges. Additionally, the ongoing global push for advanced semiconductor manufacturing, driven by AI, 5G, and automotive applications, provides a favorable long-term demand backdrop.
 The broader U.S. economic slowdown, with GDP contraction expected in Q1 2025, could weigh on investor sentiment. However, KLA's exposure to secular growth trends in technology and its strong financial position may help it weather near-term economic headwinds.
 **Summary:**  
 KLA Corporation's strong financial performance, robust profitability, and exposure to long-term growth trends in semiconductor manufacturing provide a solid investment thesis. The company's edge lies in its market leadership and ability to generate significant free cash flow, supporting dividends and reinvestment. However, risks include elevated valuations, high debt levels, and potential disruptions from geopolitical tensions and tariffs.  
 **Score: 78**</t>
  </si>
  <si>
    <t>**Investment Report: Fox Corporation (Class A) - Broadcasting Industry**
 **Recent News:**  
 Fox Corporation (FOXA) has demonstrated strong performance in the consumer discretionary sector, outpacing many of its peers, including Royal Caribbean (RCL). This outperformance reflects the company's resilience and ability to navigate a challenging macroeconomic environment. The broadcasting industry has benefited from robust advertising revenues and a rebound in live sports viewership, areas where Fox has a competitive edge. However, the broader economic slowdown and potential impacts of tariffs on consumer spending could pose risks to discretionary sectors, including broadcasting.
 **Financials:**  
 Fox Corporation's financial metrics highlight its solid operational performance. The company has a trailing price-to-earnings (P/E) ratio of 12.24, which is below the sector average, indicating potential undervaluation. Its forward P/E of 15.29 suggests expectations of moderate earnings growth. The firm has a strong profit margin of 14.39% and a return on equity (ROE) of 20.05%, showcasing efficient capital utilization. Revenue growth of 19.9% year-over-year and earnings growth of 257.4% underscore its robust financial health. Additionally, Fox's gross margin of 36.58% and EBITDA margin of 22.27% reflect its ability to maintain profitability despite rising costs.
 The company has a healthy balance sheet with a current ratio of 2.50 and a quick ratio of 2.07, indicating strong liquidity. However, its debt-to-equity ratio of 68.77% suggests a relatively high leverage level, which could be a concern in a rising interest rate environment. Free cash flow of $1.48 billion and operating cash flow of $2.17 billion provide a cushion for debt servicing and potential investments.
 **Valuations:**  
 Fox's stock is trading near its 52-week high of $58.74, reflecting investor confidence. The price-to-book ratio of 2.25 and price-to-sales ratio of 1.65 suggest the stock is fairly valued relative to its peers. Analysts have a median target price of $55, slightly below the current trading price, indicating limited upside in the near term. The dividend yield of 0.94% is below its five-year average of 1.45%, which may not appeal to income-focused investors. However, the low payout ratio of 11.37% suggests room for future dividend increases.
 **Economic Outlook:**  
 The macroeconomic environment presents mixed signals for Fox Corporation. The U.S. economy is showing signs of deceleration, with GDP expected to shrink by 1.5% in Q1 2025. Rising tariffs and geopolitical tensions could dampen consumer confidence and advertising spending, key revenue drivers for Fox. However, the company's focus on live sports and news content provides a degree of insulation from economic cycles. Additionally, the ongoing shift toward digital and streaming platforms offers growth opportunities, though competition in this space remains intense.
 **Summary:**  
 **Thesis:** Fox Corporation is well-positioned in the broadcasting industry, benefiting from strong advertising revenues and a focus on live sports and news. Its robust financial performance and operational efficiency make it a resilient player in a challenging economic environment.  
 **Edge:** The company's ability to generate consistent cash flows and maintain profitability, even during economic slowdowns, provides a competitive advantage.  
 **Risk:** High leverage and potential impacts of tariffs on consumer spending pose risks. Additionally, the stock's current valuation suggests limited upside in the near term.
 **Score: 78**</t>
  </si>
  <si>
    <t>**Investment Report: Lululemon Athletica Inc. (LULU)**
 **Recent News:**  
 Lululemon Athletica has garnered significant attention recently, with its stock becoming a trending topic among market watchers. This heightened interest reflects the company's strong brand presence and its ability to maintain relevance in the competitive apparel and luxury goods industry. However, the stock's performance has been volatile, with a recent trading range between $345.67 and $367.01, indicating investor uncertainty amidst broader market challenges. The company's ability to sustain growth in a slowing economic environment will be critical to its near-term prospects.
 **Financials:**  
 Lululemon's financial performance remains robust, with a trailing price-to-earnings (P/E) ratio of 25.17 and a forward P/E of 23.30, suggesting moderate valuation levels for a growth-oriented company. The firm has demonstrated strong profitability, with a net income of $1.74 billion and profit margins of 17.05%. Its return on equity (ROE) of 46.21% highlights efficient capital utilization, while earnings growth of 46.3% and revenue growth of 8.7% underscore its ability to expand despite macroeconomic headwinds. Gross margins of 58.85% and EBITDA margins of 27.46% further reflect operational efficiency.
 However, the company's debt-to-equity ratio of 37.99% and a quick ratio of 0.738 indicate some reliance on leverage and potential liquidity constraints. While Lululemon's free cash flow of $1.48 billion and operating cash flow of $2.26 billion provide a cushion, its current ratio of 1.999 suggests it is better positioned to meet short-term obligations.
 **Valuations:**  
 Lululemon's stock is trading at a price-to-book (P/B) ratio of 10.66, which is relatively high compared to industry peers, reflecting investor confidence in its growth potential. The stock's 52-week range of $226.01 to $480.94 shows significant volatility, with the current price near $365. This places the stock below its 50-day average of $386.89 but above its 200-day average of $316.97, indicating a mixed technical outlook. Analyst sentiment remains positive, with a mean target price of $399.31 and a median target of $411, suggesting potential upside. However, the stock's 52-week change of -18.04% underperforms the S&amp;P 500's gain of 17.25%, reflecting broader market pressures.
 **Economic Outlook:**  
 The broader economic environment presents challenges for Lululemon. The U.S. economy is showing signs of deceleration, with GDP contraction expected in Q1 2025 and rising jobless claims. Consumer confidence is weakening due to tariff uncertainties and government workforce reductions, which could impact discretionary spending on premium apparel. Additionally, the company's exposure to international markets may face headwinds from ongoing trade tensions, particularly with China, a key market for luxury goods.
 Despite these challenges, Lululemon's strong brand equity and focus on innovation, such as its expansion into new product categories and digital channels, position it well to navigate economic uncertainties. The company's ability to maintain high margins and generate consistent cash flow provides a buffer against potential downturns.
 **Summary:**  
 **Thesis:** Lululemon's strong financial performance, efficient operations, and brand strength make it a compelling player in the apparel and luxury goods industry.  
 **Edge:** The company's high margins, robust cash flow, and growth-oriented strategy provide resilience in a challenging economic environment.  
 **Risk:** Macroeconomic headwinds, including slowing consumer spending and trade tensions, could weigh on near-term performance.
 **Score: 78**</t>
  </si>
  <si>
    <t>FICO</t>
  </si>
  <si>
    <t>**Investment Report: Fair Isaac Corporation (FICO)**
 **Recent News:**  
 Fair Isaac Corporation, a leader in credit analysis and decision management solutions, saw its stock rise nearly 3% following a bullish upgrade by an analyst. This positive sentiment reflects confidence in the company's growth trajectory and its ability to maintain a competitive edge in the application software industry. The upgrade likely stems from Fair Isaac's strong market position, robust financial performance, and its ability to capitalize on increasing demand for credit scoring and analytics solutions. The market's reaction underscores investor optimism about the company's future earnings potential and strategic initiatives.
 **Financials:**  
 Fair Isaac's financial metrics reveal a company with strong profitability and growth potential. The firm boasts a profit margin of 30.66% and gross margins of 80.17%, indicating efficient cost management and a high-value product offering. Revenue growth of 15.2% year-over-year and earnings growth of 27.9% highlight its ability to expand both its top and bottom lines. The trailing P/E ratio of 85.23 and forward P/E of 50.17 suggest that the stock is priced for growth, though it may appear overvalued compared to industry peers. The company's free cash flow of $593.6 million and operating cash flow of $704.8 million provide a solid foundation for reinvestment and potential shareholder returns.
 Fair Isaac's balance sheet shows a manageable debt load of $2.44 billion, supported by a quick ratio of 1.615 and a current ratio of 1.798, indicating sufficient liquidity to meet short-term obligations. However, the negative book value and high price-to-book ratio (-40.05) reflect the company's reliance on intangible assets, a common characteristic in the software industry.
 **Valuations:**  
 The stock's recent close at $1,886.35 places it near its 50-day average of $1,908.07 and above its 200-day average of $1,821.63, suggesting relative stability despite broader market volatility. Fair Isaac's 52-week range of $1,105.65 to $2,402.52 indicates significant price appreciation over the past year, with a 52-week change of 49.28%, outperforming the S&amp;P 500's 17.25% gain. Analyst sentiment remains positive, with a mean price target of $2,046.56 and a recommendation key of "buy," reflecting confidence in the company's growth prospects.
 **Economic Outlook:**  
 The broader economic environment presents both opportunities and risks for Fair Isaac. The company's focus on credit analytics positions it well to benefit from increased demand for financial decision-making tools, particularly as businesses and consumers navigate economic uncertainty. However, macroeconomic headwinds, including rising interest rates, trade tensions, and slowing GDP growth, could impact consumer credit activity and financial sector investments, potentially affecting Fair Isaac's revenue streams.
 The company's beta of 1.411 indicates higher volatility compared to the broader market, suggesting that its stock may be more sensitive to economic and market fluctuations. Nevertheless, Fair Isaac's strong market position and innovative solutions provide a competitive edge in a challenging environment.
 **Summary of Thesis, Edge, and Risk:**  
 Fair Isaac's strong financial performance, high margins, and robust growth metrics underscore its position as a leader in the credit analytics space. The company's ability to innovate and adapt to market demands provides a competitive edge, while its solid cash flow generation supports long-term growth initiatives. However, the stock's high valuation and sensitivity to economic conditions pose risks, particularly in a volatile macroeconomic environment. Investors should weigh the company's growth potential against these risks when evaluating its investment value.
 **Score: 78**</t>
  </si>
  <si>
    <t>**Investment Report: Fiserv (Transaction &amp; Payment Processing Services)**
 **Recent News:**  
 There have been no significant updates or announcements regarding Fiserv in the past week. This lack of news suggests stability in the company's operations, with no immediate disruptions or catalysts impacting its performance. However, the broader macroeconomic environment, including trade tensions and slowing economic growth, could indirectly influence the firm's outlook.
 **Financials:**  
 Fiserv's financial performance reflects a strong position within the transaction and payment processing industry. The company has a market capitalization of $133.47 billion and a trailing price-to-earnings (PE) ratio of 44.28, which is relatively high but supported by its forward PE of 23.34, indicating expectations of robust earnings growth. The firm has demonstrated solid profitability, with a profit margin of 15.31% and EBITDA margins of 43.87%, showcasing operational efficiency. 
 Revenue growth of 6.8% year-over-year and earnings growth of 13.7% highlight Fiserv's ability to expand in a competitive market. The company generated $20.46 billion in total revenue over the trailing twelve months, with free cash flow of $4.45 billion, providing flexibility for reinvestment or debt management. However, its debt-to-equity ratio of 92.50% indicates a high level of leverage, which could pose risks in a rising interest rate environment.
 Fiserv's stock has performed well, with a 52-week change of +57.18%, significantly outperforming the S&amp;P 500's 17.25% gain over the same period. The stock recently reached its 52-week high of $238.59, reflecting strong investor confidence. Analyst sentiment remains positive, with a recommendation mean of 1.63 (buy) and a target median price of $261, suggesting further upside potential.
 **Valuations:**  
 Fiserv's valuation metrics indicate a premium relative to the broader market, justified by its consistent growth and dominant position in the payment processing sector. The price-to-sales ratio of 6.52 and price-to-book ratio of 4.95 are elevated but align with industry peers. The trailing PEG ratio of 1.22 suggests that the stock's valuation is reasonable given its earnings growth trajectory. However, the company's enterprise value-to-EBITDA ratio of 17.66 reflects a higher valuation compared to historical averages, which could limit near-term upside if growth expectations falter.
 **Economic Outlook:**  
 The macroeconomic environment presents mixed implications for Fiserv. On one hand, the company's business model benefits from the ongoing shift toward digital payments and e-commerce, which are likely to remain resilient even amid economic slowdowns. On the other hand, the broader economic deceleration, as evidenced by a projected 1.5% GDP contraction in Q1 2025, could dampen consumer spending and transaction volumes, potentially impacting revenue growth. Additionally, trade tensions and tariffs could indirectly affect Fiserv's clients in retail and other sectors, creating headwinds for transaction processing volumes.
 The Federal Reserve's restrictive monetary policy and elevated interest rates could also weigh on Fiserv's leveraged balance sheet, increasing borrowing costs and potentially pressuring margins. However, the company's strong cash flow generation and operational efficiency provide a buffer against these risks.
 **Summary of Thesis, Edge, and Risk:**  
 Fiserv's investment thesis is underpinned by its dominant position in the transaction and payment processing industry, supported by consistent revenue and earnings growth. Its edge lies in its operational efficiency, high margins, and ability to capitalize on the secular shift toward digital payments. However, risks include its high leverage, elevated valuation, and potential exposure to macroeconomic headwinds such as slowing consumer spending and rising interest rates.
 **Score: 78**</t>
  </si>
  <si>
    <t>**Investment Report: GE Vernova**
 **Recent News:**  
 GE Vernova has gained attention following its announcement of a significant deal to supply equipment for AI data centers. This development aligns with the growing demand for electricity driven by the rapid expansion of AI and data-intensive technologies. The deal positions GE Vernova to capitalize on the increasing need for reliable and efficient energy infrastructure, a trend that is expected to persist as AI adoption accelerates globally. Investors have responded positively, reflecting optimism about the firm's ability to leverage this opportunity for growth.
 **Financials:**  
 GE Vernova's financial performance reflects a company in a growth phase, with a market capitalization of $87.18 billion and a trailing P/E ratio of 56.83, indicating high investor expectations. The firm has demonstrated robust earnings growth of 145.7% year-over-year and revenue growth of 5.1%, supported by its strong position in the heavy electrical equipment industry. Its forward P/E of 45.79 suggests continued optimism about future earnings. The company maintains a healthy free cash flow of $3.54 billion, which provides flexibility for reinvestment and strategic initiatives. However, its gross margins of 18.46% and EBITDA margins of 6.63% indicate room for improvement in operational efficiency.
 GE Vernova's balance sheet is relatively strong, with total cash of $8.21 billion significantly outweighing its total debt of $1.06 billion, resulting in a low debt-to-equity ratio of 10.02. This financial stability positions the company well to weather economic uncertainties and invest in growth opportunities. The firm's return on equity (ROE) of 16.43% is a positive indicator of management's ability to generate returns for shareholders.
 **Valuations:**  
 The stock is trading at a price-to-book ratio of 9.13, which is elevated compared to industry norms, reflecting high market confidence in the company's growth prospects. Analysts have a mean target price of $413.22, suggesting potential upside from the current trading range. The recommendation mean of 1.78 (on a scale where 1.0 is a strong buy) underscores the bullish sentiment among analysts. However, the trailing PEG ratio of 2.91 indicates that the stock may be relatively expensive when factoring in its growth rate.
 **Economic Outlook:**  
 The broader economic environment presents both opportunities and risks for GE Vernova. The increasing demand for electricity, driven by AI, data centers, and renewable energy initiatives, aligns well with the company's core business. However, macroeconomic headwinds, including the potential for a U.S. recession and ongoing trade tensions, could impact industrial demand and supply chain costs. Additionally, the recent tariffs on steel and aluminum imports may increase input costs for GE Vernova, potentially pressuring margins.
 **Summary of Thesis, Edge, and Risk:**  
 GE Vernova's strategic positioning in the growing energy infrastructure market, bolstered by its recent AI data center deal, provides a compelling growth thesis. The company's financial stability and strong cash flow offer a competitive edge, enabling it to invest in innovation and expansion. However, risks include elevated valuations, potential margin pressures from tariffs, and broader economic uncertainties that could dampen industrial demand.
 **Score: 78**</t>
  </si>
  <si>
    <t>FITB</t>
  </si>
  <si>
    <t>**Investment Report: Fifth Third Bancorp**
 **Recent News:**  
 There have been no significant updates or developments regarding Fifth Third Bancorp in the past week. The lack of news suggests stability in the company's operations, but it also indicates no immediate catalysts for significant price movement in the short term.
 **Financials:**  
 Fifth Third Bancorp's financial performance reflects a solid position within the regional banking sector. The stock is trading at a trailing price-to-earnings (P/E) ratio of 13.71 and a forward P/E of 11.79, indicating a relatively attractive valuation compared to broader market averages. The dividend yield of 3.4% is slightly below its five-year average of 3.8%, but the payout ratio of 45.86% suggests the dividend is sustainable. The company has demonstrated earnings growth of 17% year-over-year, with forward earnings per share (EPS) projected at $3.65, reflecting continued profitability.
 The bank's return on equity (ROE) of 11.92% is strong, indicating effective use of shareholder capital, while its return on assets (ROA) of 1.08% is in line with industry norms. However, revenue growth has declined by 5.4% year-over-year, which could signal challenges in expanding its top line amid a slowing economic environment. The price-to-book (P/B) ratio of 1.65 suggests the stock is trading at a premium to its book value, but this is not uncommon for profitable banks with strong fundamentals.
 **Valuations:**  
 Fifth Third Bancorp's market capitalization stands at $28.65 billion, with a 52-week price range of $33.82 to $49.07. The stock is currently trading near its 50-day moving average of $43.48, indicating relative stability. Analyst sentiment remains positive, with a mean price target of $50.79, representing a potential upside of approximately 16.8% from current levels. The recommendation mean of 2.17 (on a scale where 1.0 is a "strong buy") further underscores the favorable outlook from analysts.
 Short interest has increased slightly, with 4.01% of shares outstanding currently sold short, reflecting some bearish sentiment. However, institutional ownership remains high at 87.68%, indicating confidence from large investors.
 **Economic Outlook:**  
 The broader economic environment presents both opportunities and risks for Fifth Third Bancorp. The U.S. economy is showing signs of deceleration, with GDP projected to contract by 1.5% in Q1 2025. Rising jobless claims and weakening consumer confidence could impact loan demand and credit quality. Additionally, the ongoing trade tensions and tariffs may create headwinds for regional banks, particularly those with exposure to industries affected by trade policies.
 On the positive side, inflation appears to be moderating, which could lead to a more accommodative Federal Reserve policy later in the year. Lower interest rates would benefit banks by reducing funding costs, though they may also compress net interest margins. Fifth Third Bancorp's strong capital position and diversified revenue streams should help it navigate these challenges.
 **Summary:**  
 **Thesis:** Fifth Third Bancorp is a well-capitalized regional bank with strong profitability metrics, a sustainable dividend, and attractive valuations. Its earnings growth and high institutional ownership provide a solid foundation for long-term performance.  
 **Edge:** The bank's efficient capital allocation, as evidenced by its strong ROE, and its ability to maintain profitability despite revenue headwinds position it well in a challenging economic environment.  
 **Risk:** The primary risks include declining revenue growth, potential credit quality deterioration in a slowing economy, and broader market volatility driven by geopolitical and trade uncertainties.
 **Score: 78**</t>
  </si>
  <si>
    <t>GEHC</t>
  </si>
  <si>
    <t>**Investment Report: GE HealthCare (GEHC)**
 **Recent News:**  
 GE HealthCare has introduced Freelium, a groundbreaking sealed magnet platform for MR imaging that significantly reduces helium usage. This innovation addresses a critical challenge in the healthcare equipment industry, as helium is a scarce and costly resource. By minimizing helium dependency, Freelium could lower operational costs for healthcare providers and expand access to MR imaging in underserved regions. This development positions GE HealthCare as a leader in sustainable and cost-effective medical imaging solutions, potentially driving demand for its MR systems and enhancing its competitive edge in the healthcare equipment market.
 **Financials:**  
 GE HealthCare's financial performance reflects a stable and growing business. The company reported a trailing price-to-earnings (P/E) ratio of 19.92 and a forward P/E of 18.51, indicating moderate valuation levels relative to its earnings growth. Earnings growth of 78.4% and revenue growth of 2.2% highlight strong operational performance, supported by robust profit margins (10.13%) and gross margins (41.71%). The company has a solid return on equity (25.69%), demonstrating efficient use of shareholder capital. However, its debt-to-equity ratio of 108.37% suggests a relatively high leverage level, which could pose risks in a rising interest rate environment. GE HealthCare's free cash flow of $1.86 billion and operating cash flow of $1.95 billion provide a cushion for debt servicing and future investments.
 **Valuations:**  
 GE HealthCare's stock is trading at $87.35, near its 50-day average of $85.61 and below its 52-week high of $94.80. The price-to-book ratio of 4.68 and price-to-sales ratio of 2.01 suggest the stock is fairly valued compared to its peers in the healthcare equipment industry. Analyst sentiment remains positive, with a mean target price of $100.05 and a recommendation key of "buy." The company's trailing PEG ratio of 2.29 indicates that its valuation is slightly elevated relative to its earnings growth, but this may be justified by its innovative product pipeline and market leadership.
 **Economic Outlook:**  
 The broader economic environment presents mixed signals for GE HealthCare. While the U.S. economy is showing signs of deceleration, the healthcare sector tends to be more resilient during economic downturns. The company's focus on innovation, such as the Freelium platform, aligns with long-term trends in healthcare technology and sustainability. However, potential headwinds include rising input costs due to tariffs and geopolitical uncertainties, which could impact supply chains and profit margins. Additionally, the company's high beta of 1.32 suggests that its stock may experience heightened volatility in response to broader market fluctuations.
 **Summary of Thesis, Edge, and Risk:**  
 GE HealthCare's launch of the Freelium platform underscores its commitment to innovation and sustainability, providing a competitive edge in the healthcare equipment market. Strong financial performance, robust cash flow, and positive analyst sentiment support the investment thesis. However, risks include high leverage, potential supply chain disruptions, and broader economic uncertainties. The company's ability to capitalize on its innovative product offerings while managing these risks will be critical to its performance in the coming months.
 **Score: 78**</t>
  </si>
  <si>
    <t>**Investment Report: Global Payments Inc. (GPN)**
 **Recent News:**  
 Global Payments Inc. (GPN) has been highlighted as a resilient player in the Transaction &amp; Payment Processing Services industry, even in the face of a potential mild recession. The company’s focus on Merchant and Issuer Solutions, particularly for small and medium-sized businesses (SMBs), positions it well to benefit from ongoing digital payment trends. The acquisition of EVO Payments has strengthened its integrated software solutions and issuer services, which are key differentiators in a competitive market. However, concerns about low profitability and a narrow economic moat persist, which could limit its ability to sustain competitive advantages over the long term.
 **Financials:**  
 Global Payments demonstrates solid financial performance with notable earnings per share (EPS) growth of 62.5% and manageable debt levels, reflected in a BBB credit rating. The company’s trailing price-to-earnings (P/E) ratio of 16.73 and forward P/E of 8.05 suggest that the stock is undervalued relative to its earnings potential. Additionally, the trailing PEG ratio of 0.44 indicates strong growth prospects at a reasonable valuation. The company’s gross margins of 62.9% and EBITDA margins of 43.6% highlight its operational efficiency, while free cash flow of $3.34 billion provides flexibility for further investments or debt reduction. However, the debt-to-equity ratio of 74.63% and a quick ratio of 0.58 signal some balance sheet risks, particularly in a rising interest rate environment.
 **Valuations:**  
 Global Payments is trading at a price-to-book (P/B) ratio of 1.15, which is relatively low and suggests the stock is undervalued compared to its book value. The stock’s current price of approximately $102.20 is near its 52-week low of $91.60, offering potential upside given the median analyst target price of $127.00 and a high target of $194.00. The dividend yield of 0.95% is modest but sustainable, with a low payout ratio of 16.2%. Institutional ownership of 93.6% reflects strong confidence from large investors, though short interest of 2.7% of float indicates some skepticism in the market.
 **Economic Outlook:**  
 The broader economic environment presents mixed implications for Global Payments. The U.S. economy is showing signs of deceleration, with GDP contraction expected in Q1 2025 and rising jobless claims. However, the digital payments industry remains a secular growth story, driven by increasing e-commerce adoption and the shift away from cash transactions. Global Payments’ focus on SMBs could provide resilience, as these businesses continue to adopt integrated payment solutions to enhance efficiency. On the downside, the company’s exposure to international markets could face headwinds from escalating trade tensions and tariffs, particularly if global economic conditions weaken further.
 **Summary of Thesis, Edge, and Risk:**  
 Global Payments offers a compelling investment case with strong EPS growth, operational efficiency, and undervalued metrics. Its edge lies in its integrated software solutions and issuer services, which cater to the growing needs of SMBs. However, risks include its high debt levels, narrow economic moat, and potential macroeconomic challenges from a slowing economy and trade tensions.
 **Score: 78**</t>
  </si>
  <si>
    <t>FTNT</t>
  </si>
  <si>
    <t>**Investment Report: Fortinet**
 **Recent News**  
 Fortinet is positioned to capitalize on a significant hardware firewall upgrade cycle expected in 2026 and 2027. This opportunity stems from the continued relevance of hardware firewalls in legacy on-premise infrastructure, edge computing requiring real-time responses, and remote areas with unreliable internet connectivity. While the normalization of inventory-related charges in 2024 has made earnings per share growth appear slower in 2025, this is a temporary effect and does not reflect the company's long-term growth potential. The anticipated upgrade cycle could provide a substantial boost to Fortinet's revenue and market position in the coming years.
 **Financials**  
 Fortinet's financial performance reflects strong profitability and growth metrics. The company boasts a profit margin of 29.3% and gross margins of 80.6%, indicating efficient cost management and robust pricing power. Revenue growth of 17.3% and earnings growth of 67.1% highlight its ability to expand both top-line and bottom-line performance. The trailing price-to-earnings (P/E) ratio of 47.14 and forward P/E of 44.21 suggest a premium valuation, but this is supported by its strong growth trajectory and market leadership. Fortinet's balance sheet is solid, with $4.07 billion in cash and a manageable debt-to-equity ratio of 71.86%. The company also generates significant free cash flow of $1.83 billion, providing flexibility for reinvestment and strategic initiatives.
 **Valuations**  
 Fortinet's valuation metrics indicate that the stock is trading at a premium, with a price-to-sales ratio of 13.76 and a price-to-book ratio of 54.69. These figures are higher than industry averages, reflecting investor confidence in its growth potential and market position. The enterprise value-to-revenue ratio of 13.25 and enterprise value-to-EBITDA ratio of 41.08 further underscore the market's expectations for continued strong performance. Analyst sentiment is mixed, with a recommendation mean of 2.53 (between "hold" and "buy") and a target median price of $115, suggesting limited upside in the near term.
 **Economic Outlook**  
 The broader economic environment presents both challenges and opportunities for Fortinet. The U.S. economy is showing signs of deceleration, with GDP contraction expected in Q1 2025 and rising jobless claims. However, Fortinet's focus on cybersecurity—a critical and non-discretionary area for businesses—positions it well to weather economic slowdowns. The ongoing trade tensions and tariffs could impact supply chains and input costs, but Fortinet's strong cash position and operational efficiency provide a buffer against such risks. Additionally, the increasing importance of cybersecurity in a digital-first world supports long-term demand for Fortinet's products and services.
 **Summary**  
 Fortinet's thesis is built on its strong market position in cybersecurity, robust financial performance, and the upcoming hardware firewall upgrade cycle, which could drive significant growth in 2026 and 2027. Its edge lies in its ability to address critical infrastructure needs in edge computing and remote areas, ensuring relevance in a rapidly evolving technological landscape. However, risks include its premium valuation, potential supply chain disruptions from trade tensions, and the broader economic slowdown, which could weigh on near-term performance.
 **Score: 78**</t>
  </si>
  <si>
    <t>GE</t>
  </si>
  <si>
    <t>**Investment Report: GE Aerospace**
 **Recent News:**  
 GE Aerospace, a key player in the Aerospace &amp; Defense industry, has been indirectly highlighted in recent developments, particularly through its parent company GE Vernova's collaboration with NRG on a new electricity plant project. This partnership aims to address the growing power demands driven by advancements in artificial intelligence. While not directly tied to GE Aerospace's core operations, this development underscores the broader GE ecosystem's focus on innovation and infrastructure, which could indirectly benefit GE Aerospace by reinforcing the parent company's financial stability and technological capabilities. Additionally, the aerospace sector has seen renewed interest following Firefly Aerospace's successful Moon landing, which has boosted sentiment around space and defense-related industries.
 **Financials:**  
 GE Aerospace's financial metrics reflect a strong position within its industry. The company boasts a market capitalization of $216.76 billion and a profit margin of 16.94%, indicating robust profitability. Earnings growth of 21% and revenue growth of 14.3% year-over-year highlight its ability to expand in a challenging macroeconomic environment. The trailing P/E ratio of 33.16 and forward P/E of 38.54 suggest that the stock is trading at a premium, likely due to its strong growth prospects and market leadership. However, the high price-to-book ratio of 11.21 and enterprise-to-EBITDA multiple of 25.56 indicate that the stock may be overvalued relative to its peers. The company's debt-to-equity ratio of 104.16% is notable, reflecting significant leverage, though manageable given its strong cash flow generation of $4.42 billion in free cash flow.
 **Valuations:**  
 GE Aerospace's valuation metrics suggest a mixed picture. While the stock has appreciated significantly over the past year, with a 52-week change of 64.29%, its current valuation metrics, such as the trailing PEG ratio of 12.78, indicate that much of the growth may already be priced in. Analyst sentiment remains positive, with a mean recommendation of "strong buy" and a median price target of $230, representing a modest upside from the current price. However, the high valuation multiples could limit further near-term gains unless the company delivers exceptional earnings growth or benefits from a broader industry tailwind.
 **Economic Outlook:**  
 The broader economic environment presents both opportunities and risks for GE Aerospace. The aerospace and defense sector is poised to benefit from increased government spending on defense and space exploration, as evidenced by recent geopolitical developments and technological advancements. However, the macroeconomic backdrop, including rising interest rates, trade tensions, and potential recessionary pressures, could weigh on the company's performance. The U.S. economy's projected contraction in Q1 2025 and ongoing trade disputes may impact supply chains and input costs, posing challenges for the industry.
 **Summary of Thesis, Edge, and Risk:**  
 GE Aerospace stands out as a leader in the Aerospace &amp; Defense sector, supported by strong financial performance, robust growth metrics, and a favorable industry outlook. Its edge lies in its integration within the broader GE ecosystem, which provides access to cutting-edge technology and infrastructure. However, the stock's high valuation and exposure to macroeconomic risks, including trade tensions and potential economic slowdown, present significant challenges. While the long-term growth story remains intact, near-term volatility and valuation concerns warrant caution.
 **Score: 78**</t>
  </si>
  <si>
    <t>**Investment Report: Arthur J. Gallagher &amp; Co. (AJG)**
 **Recent News:**  
 Arthur J. Gallagher &amp; Co. (AJG) has seen a robust 33.7% stock price increase over the past year, driven by strategic acquisitions, strong client retention, and improving renewal premiums. These factors highlight the company's ability to capitalize on favorable market conditions and maintain financial flexibility. The firm's acquisition strategy has been a key growth driver, allowing it to expand its market share and diversify its revenue streams. This growth trajectory aligns with the broader trend of consolidation in the insurance brokerage industry, where scale and operational efficiency are critical for competitive advantage. However, the elevated valuation metrics suggest that much of this optimism may already be priced into the stock.
 **Financials:**  
 AJG's financial performance reflects its strong operational execution. The company reported a trailing price-to-earnings (P/E) ratio of 52.75 and a forward P/E of 30.30, indicating expectations of significant earnings growth. Its profit margins stand at 13.39%, supported by gross margins of 43.68% and EBITDA margins of 33.22%. Revenue growth of 11.4% year-over-year underscores the firm's ability to generate consistent top-line expansion. The company also boasts a solid return on equity (ROE) of 9.49%, reflecting efficient capital utilization. However, its debt-to-equity ratio of 67.28% suggests a relatively high leverage level, which could pose risks in a rising interest rate environment. AJG's dividend yield of 0.77% is below its five-year average of 1.18%, indicating that the stock's recent price appreciation has outpaced dividend growth.
 **Valuations:**  
 AJG's current price-to-book (P/B) ratio of 4.24 and enterprise value-to-EBITDA (EV/EBITDA) ratio of 23.60 suggest a premium valuation compared to industry peers. The stock is trading near its 52-week high of $343.21, significantly above its 200-day moving average of $285.37, reflecting strong investor confidence. Analysts have a median price target of $323.50, slightly below the current trading price, which may indicate limited upside potential in the near term. The trailing PEG ratio of 1.17 suggests that the stock's valuation is reasonable relative to its growth prospects, but it remains on the higher end of the spectrum for the insurance brokerage sector.
 **Economic Outlook:**  
 The broader economic environment presents both opportunities and challenges for AJG. The company's focus on insurance brokerage services positions it well to benefit from rising demand for risk management solutions amid global economic uncertainties. However, the macroeconomic backdrop, including slowing GDP growth and elevated interest rates, could weigh on client budgets and insurance premium growth. Additionally, the potential for increased regulatory scrutiny and geopolitical risks may impact the firm's international operations. Despite these headwinds, AJG's strong cash flow generation and strategic acquisitions provide a buffer against economic volatility.
 **Summary of Thesis, Edge, and Risk:**  
 Arthur J. Gallagher &amp; Co. has demonstrated strong operational performance, driven by strategic acquisitions, robust client retention, and improving renewal premiums. Its ability to generate consistent revenue growth and maintain healthy margins underscores its competitive edge in the insurance brokerage industry. However, the stock's premium valuation and high leverage levels pose risks, particularly in a challenging macroeconomic environment. While the company's growth prospects remain intact, the limited upside potential at current price levels suggests that near-term gains may be constrained.
 **Score: 78**</t>
  </si>
  <si>
    <t>**Investment Report: Automatic Data Processing (ADP)**
 **Recent News:**  
 Automatic Data Processing (ADP) has not been in the headlines over the past week, indicating a period of stability without any major disruptions or announcements. This lack of news suggests that the company is operating within its usual business framework, with no immediate catalysts or risks emerging from external developments.
 **Financials:**  
 ADP's financial performance reflects a strong and stable position within the Human Resource &amp; Employment Services industry. The stock recently reached its 52-week high of $320.50, demonstrating robust investor confidence. The company has a market capitalization of $129.65 billion, supported by consistent revenue growth of 8.1% year-over-year and earnings growth of 10.3%. ADP's profit margins remain healthy at 19.76%, with gross margins of 48.23%, indicating efficient cost management and strong pricing power.
 The company’s dividend yield of 1.95% is slightly below its five-year average of 2.01%, but the payout ratio of 59.85% suggests that dividends are well-supported by earnings. ADP's trailing price-to-earnings (P/E) ratio of 33.26 and forward P/E of 29.31 indicate a premium valuation, reflecting its strong market position and consistent performance. However, the price-to-book ratio of 25.53 highlights a significant premium over its book value, which may raise concerns about overvaluation.
 ADP's balance sheet shows a debt-to-equity ratio of 86.20, which is relatively high but manageable given its strong free cash flow of $4.45 billion and operating cash flow of $4.77 billion. The company’s return on equity (ROE) of 83.72% is exceptionally high, underscoring its ability to generate significant returns for shareholders.
 **Valuations:**  
 ADP's valuation metrics suggest that the stock is trading at a premium compared to its peers. The enterprise value-to-revenue ratio of 6.62 and enterprise value-to-EBITDA ratio of 22.50 indicate that investors are willing to pay a substantial premium for ADP's earnings and revenue streams. While the trailing PEG ratio of 3.67 suggests that the stock may be overvalued relative to its growth prospects, ADP's consistent revenue and earnings growth provide a degree of justification for its elevated valuation.
 Analyst sentiment is mixed, with a recommendation mean of 2.72 (between "hold" and "buy") and a target median price of $310, slightly below the current trading price. This indicates limited upside potential in the near term, as the stock is already trading near its 52-week high.
 **Economic Outlook:**  
 The broader economic environment presents both opportunities and challenges for ADP. The U.S. economy is showing signs of deceleration, with GDP expected to contract by 1.5% in Q1 2025. Rising jobless claims and weakening consumer confidence could impact ADP's client base, particularly small and medium-sized businesses. However, ADP's focus on human resource and payroll services positions it as a critical partner for businesses navigating complex labor markets and regulatory environments.
 The company's relatively low beta of 0.777 suggests that its stock is less volatile than the broader market, making it a defensive play in uncertain economic conditions. Additionally, ADP's recurring revenue model and strong cash flow generation provide resilience against economic downturns.
 **Summary of Thesis, Edge, and Risk:**  
 ADP's strong financial performance, high ROE, and consistent revenue growth underscore its position as a market leader in the Human Resource &amp; Employment Services industry. Its premium valuation reflects investor confidence in its ability to deliver stable returns, even in a challenging economic environment. However, the stock's high valuation metrics and limited upside potential in the near term pose risks, particularly if economic conditions deteriorate further. ADP's edge lies in its recurring revenue model and essential services, which provide stability and predictability. The primary risk is its exposure to broader economic slowdowns, which could impact client retention and revenue growth.
 **Score: 78**</t>
  </si>
  <si>
    <t>UNP</t>
  </si>
  <si>
    <t>**Investment Report: Union Pacific Corporation**
 **Recent News:**  
 Union Pacific Corporation, a leading U.S. railroad operator, has been highlighted as a stable investment during uncertain economic times. The company operates an extensive rail network spanning 23 states, with a market capitalization of approximately $150 billion. Despite recent economic headwinds, Union Pacific has maintained a strong financial position, supported by its consistent gross profit margins and return on invested capital (ROIC). Dividend growth, while somewhat erratic, has averaged over 10% annually over the past decade, reflecting a commitment to shareholder returns.
 **Financials:**  
 Union Pacific's financial metrics indicate a solid foundation. The company has a trailing price-to-earnings (P/E) ratio of 22.15 and a forward P/E of 20.30, suggesting moderate valuation levels relative to its earnings growth. Its dividend yield of 2.17% is slightly above its five-year average of 2.15%, supported by a sustainable payout ratio of 47.61%. The company’s gross margins of 55.6% and operating margins of 41.5% underscore its operational efficiency. However, revenue growth has been slightly negative (-0.6%), reflecting broader economic challenges and potential demand pressures.
 Union Pacific's balance sheet shows a high debt-to-equity ratio of 192.2%, which is typical for capital-intensive industries like railroads. The company generates robust free cash flow of $4.62 billion, which supports its dividend payments and capital expenditures. However, its quick ratio of 0.56 and current ratio of 0.77 indicate limited short-term liquidity, which could pose risks in a tightening credit environment.
 **Valuations:**  
 Union Pacific's stock is trading near the midpoint of its 52-week range ($218.55 - $258.07), with a recent close of $246.69. The stock's price-to-book ratio of 8.79 suggests a premium valuation, which is common for established infrastructure companies with strong competitive moats. Analysts have a median price target of $265, implying a modest upside of approximately 7.4%. The company's enterprise value-to-revenue ratio of 7.44 and enterprise value-to-EBITDA ratio of 14.84 indicate that the market is pricing in its stable cash flow generation and operational resilience.
 **Economic Outlook:**  
 Union Pacific operates in a challenging macroeconomic environment, with the U.S. economy showing signs of deceleration. The recent implementation of tariffs on steel, aluminum, and other goods could impact industrial production and freight volumes, key drivers of Union Pacific's revenue. Additionally, rising interest rates and weakening consumer confidence may further dampen demand for rail transportation. However, Union Pacific's essential role in the U.S. supply chain and its ability to pass on costs through pricing power provide some insulation from these headwinds.
 The company's beta of 1.05 indicates that its stock is slightly more volatile than the broader market, which could lead to price fluctuations amid ongoing economic uncertainty. Nonetheless, its strong profit margins and consistent cash flow generation position it well to weather short-term challenges.
 **Summary:**  
 Union Pacific's investment thesis is built on its dominant market position, operational efficiency, and consistent cash flow generation. Its edge lies in its extensive rail network and ability to maintain profitability even in challenging economic conditions. However, risks include high leverage, potential declines in freight volumes due to economic slowdown, and exposure to tariff-related disruptions. While the stock appears fully valued, its stability and dividend growth make it a reliable option for long-term wealth preservation.
 **Score: 78**</t>
  </si>
  <si>
    <t>HES</t>
  </si>
  <si>
    <t>**Investment Report: Hess Corporation (HES)**
 **Recent News:**  
 Hess Corporation has seen a modest 0.7% increase in its stock price since its last earnings report, reflecting a positive market response to its financial performance. The company reported strong earnings growth of 31.2% year-over-year, supported by robust operational efficiency and favorable commodity pricing. However, the broader energy sector faces headwinds from geopolitical uncertainties, including the recent escalation of trade tensions and tariffs, which could impact global oil demand and pricing. Hess's exposure to international markets may make it vulnerable to these macroeconomic pressures, though its diversified portfolio and operational focus provide some insulation.
 **Financials:**  
 Hess Corporation's financial metrics indicate a solid performance. The company has a trailing P/E ratio of 16.05, which is relatively attractive compared to its forward P/E of 18.96, suggesting expectations of moderated earnings growth. Its profit margins are healthy, with a net margin of 21.87% and EBITDA margins of 57.71%, reflecting strong operational efficiency. The company has a manageable debt-to-equity ratio of 78.81, though its quick ratio of 0.935 and current ratio of 1.123 suggest limited short-term liquidity flexibility. Hess's return on equity (ROE) of 29.18% and return on assets (ROA) of 11.54% highlight its ability to generate returns efficiently. However, free cash flow remains modest at $61.75 million, which could limit its ability to fund aggressive expansion or shareholder returns in the near term.
 **Valuations:**  
 Hess's stock is trading at a price-to-book ratio of 3.94, which is higher than the industry average, indicating a premium valuation. The company's enterprise value-to-EBITDA ratio of 7.30 suggests it is fairly valued relative to its earnings potential. Analysts have a mean target price of $169.21, representing a potential upside of approximately 13.6% from the current price. The dividend yield of 1.34% is slightly below its five-year average of 1.38%, but the low payout ratio of 20.88% indicates room for future dividend growth. The stock's beta of 1.22 suggests higher volatility compared to the broader market, which could amplify risks in a turbulent economic environment.
 **Economic Outlook:**  
 The energy sector is facing mixed signals. On one hand, geopolitical tensions and trade wars could dampen global economic growth and oil demand. On the other hand, Hess's focus on high-margin projects and its exposure to premium markets like Guyana provide a competitive edge. The company's gross margins of 79.31% and operating margins of 29.29% underscore its ability to weather short-term volatility. However, the broader macroeconomic environment, including potential recessions in key markets and fluctuating oil prices, remains a significant risk factor.
 **Summary:**  
 Hess Corporation's investment thesis is supported by its strong operational performance, high-margin projects, and disciplined financial management. Its edge lies in its exposure to premium assets like Guyana and its ability to generate robust returns on equity. However, risks include macroeconomic uncertainties, trade tensions, and limited free cash flow, which could constrain its ability to navigate prolonged market downturns.
 **Score: 78**</t>
  </si>
  <si>
    <t>VRSK</t>
  </si>
  <si>
    <t>**Investment Report: Verisk Analytics (VRSK)**
 **Recent News:**  
 Verisk Analytics has reported strong fourth-quarter 2024 results, with earnings per share (EPS) of $1.61, slightly surpassing analyst expectations of $1.60. This marks an improvement from $1.40 EPS in the same quarter last year, reflecting a 15% year-over-year growth. The company's revenue growth was driven by robust demand for its data analytics services, particularly in the Underwriting and Rating, and Claims segments. These segments are critical for insurers seeking to assess policy risks and optimize claims processes, highlighting Verisk's value proposition in the insurance industry. The company's subscription-based revenue model continues to provide stability and predictability, contributing to its strong performance.
 **Financials:**  
 Verisk's financial metrics indicate a solid operational foundation. The company achieved a profit margin of 33.25% and EBITDA margins of 47.69%, showcasing its ability to convert revenue into profit efficiently. Revenue grew by 8.6% year-over-year, while earnings growth outpaced revenue at 23.9%, reflecting operational leverage. Verisk's trailing price-to-earnings (P/E) ratio of 45.31 and forward P/E of 41.33 suggest a premium valuation, likely justified by its consistent growth and dominant position in the data analytics space. However, its price-to-book ratio of 422.62 and debt-to-equity ratio of 3091.24 highlight a capital structure heavily reliant on debt, which could pose risks in a rising interest rate environment.
 The company maintains a dividend yield of 0.61%, slightly above its five-year average of 0.6%, with a low payout ratio of 23.42%, indicating room for future dividend growth. Free cash flow of $705 million and operating cash flow of $1.14 billion underscore its strong cash generation capabilities, which are critical for servicing debt and funding growth initiatives.
 **Valuations:**  
 Verisk's stock is trading near its 52-week high of $302.25, reflecting investor confidence in its growth trajectory. The stock has gained approximately 24.89% over the past year, outperforming the S&amp;P 500's 17.25% gain. Analysts have a median price target of $300, aligning closely with the current trading price, suggesting limited short-term upside. The company's trailing PEG ratio of 3.95 indicates a high valuation relative to its growth rate, which could limit further appreciation unless growth accelerates.
 **Economic Outlook:**  
 The broader economic environment presents mixed signals for Verisk. While the U.S. economy is showing signs of deceleration, with GDP expected to contract by 1.5% in Q1 2025, Verisk's subscription-based model and focus on the insurance sector provide some insulation from macroeconomic volatility. However, rising interest rates and potential economic weakness could impact its clients in the insurance industry, potentially slowing demand for its services. Additionally, Verisk's high debt levels could become a concern if borrowing costs rise further.
 **Summary:**  
 Verisk Analytics benefits from a strong competitive position in the data analytics space, particularly within the insurance industry. Its subscription-based revenue model, robust profit margins, and consistent earnings growth provide a solid foundation for long-term performance. However, its high valuation, significant debt levels, and potential exposure to macroeconomic headwinds pose risks. The company's edge lies in its specialized offerings and entrenched relationships with insurers, while its primary risk stems from its leveraged capital structure in a rising rate environment.
 **Score: 78**</t>
  </si>
  <si>
    <r>
      <t xml:space="preserve">**Investment Report: Vertex Pharmaceuticals (VRTX)**
 **Recent News:**  
 Vertex Pharmaceuticals has garnered significant attention from investors, as highlighted by its frequent appearance on </t>
    </r>
    <r>
      <rPr>
        <rFont val="&quot;Helvetica Neue&quot;"/>
        <color rgb="FF1155CC"/>
        <sz val="8.0"/>
        <u/>
      </rPr>
      <t>Zacks.com</t>
    </r>
    <r>
      <rPr>
        <rFont val="&quot;Helvetica Neue&quot;"/>
        <sz val="8.0"/>
      </rPr>
      <t>. This interest is likely driven by its strong position in the biotechnology sector, particularly its dominance in cystic fibrosis treatments. However, the company faces challenges, including a recent decline in quarterly earnings growth (-5.8%) and net income losses of $535.6 million. Despite these setbacks, analysts maintain a generally positive outlook, with a "buy" recommendation and a median price target of $517.58, suggesting confidence in Vertex's long-term potential.
 **Financials:**  
 Vertex's financial position remains robust, with a market capitalization of $124.1 billion and a strong cash reserve of $6.1 billion. The company has a forward P/E ratio of 25.75, indicating moderate valuation levels relative to its growth prospects. Its gross margins of 86.1% and operating margins of 44.98% reflect operational efficiency, though the negative net income and trailing EPS of -$2.06 highlight recent profitability challenges. The company’s revenue growth of 15.7% year-over-year is a positive indicator, supported by its innovative product pipeline and strong demand for its cystic fibrosis therapies.
 **Valuations:**  
 Vertex's price-to-sales ratio of 11.26 and price-to-book ratio of 7.57 suggest a premium valuation, which is typical for high-growth biotechnology firms. The stock is trading near its 52-week high of $519.88, reflecting investor optimism. However, the trailing PEG ratio of 1.33 indicates that the stock may be fairly valued relative to its expected growth. Analysts' price targets range from $330 to $615, with a mean target of $497.91, suggesting limited upside in the near term.
 **Economic Outlook:**  
 The broader economic environment presents mixed implications for Vertex. The U.S. economy is showing signs of deceleration, with GDP contraction expected in Q1 2025. This could weigh on consumer and institutional spending in healthcare. However, Vertex's focus on life-saving treatments and its strong institutional ownership (96.46%) provide a degree of insulation from macroeconomic pressures. Additionally, the biotechnology sector remains a key area of innovation, with Vertex well-positioned to benefit from advancements in gene editing and other cutting-edge technologies.
 **Summary of Thesis, Edge, and Risk:**  
 Vertex Pharmaceuticals is a leader in the biotechnology space, with a strong product portfolio and robust financials. Its edge lies in its dominance in cystic fibrosis treatments and its innovative pipeline, which could drive future growth. However, risks include recent profitability challenges, high valuations, and potential macroeconomic headwinds. While the long-term outlook remains positive, near-term performance may be constrained by market volatility and economic uncertainty.
 **Score: 78**</t>
    </r>
  </si>
  <si>
    <t>WDAY</t>
  </si>
  <si>
    <t>**Investment Report: Workday, Inc. (WDAY)**
 **Recent News:**  
 Workday has reported a strong fiscal fourth-quarter performance for 2025, exceeding Wall Street expectations with earnings per share of $1.92 against the anticipated $1.75. Revenue grew by 15%, driven by robust demand for its subscription services in key sectors such as education, healthcare, and financial services. The company's stock surged over 10% following the announcement, reflecting investor confidence in its growth trajectory. Workday's strategic focus on leveraging artificial intelligence to enhance operational efficiency and expand its product offerings, such as Workday Student beyond North America, has positioned it well for sustained growth. Recent layoffs have also contributed to improved operating margins, signaling management's commitment to cost discipline.
 **Financials:**  
 Workday's financial metrics highlight its strong market position but also underline its premium valuation. The company has a trailing price-to-earnings (P/E) ratio of 130.55 and a forward P/E of 30.67, indicating high growth expectations. Its price-to-sales ratio of 8.02 and price-to-book ratio of 7.49 suggest that the stock is trading at a premium compared to peers in the application software industry. Workday's gross margins of 75.5% and operating margins of 6.78% reflect its ability to generate substantial profitability from its subscription-based model. The company maintains a healthy balance sheet with $8.02 billion in cash, a quick ratio of 1.80, and a manageable debt-to-equity ratio of 37.22%. Free cash flow of $2.22 billion further supports its ability to invest in growth initiatives.
 **Valuations:**  
 Workday's valuation metrics indicate a high-growth stock with significant investor expectations. The forward P/E of 30.67 is more reasonable compared to its trailing P/E, reflecting anticipated earnings growth. Analysts have a mean price target of $313.25, representing potential upside from the current trading range. However, the stock's enterprise value-to-EBITDA ratio of 79.21 suggests that it is priced for perfection, leaving little room for error. The company's strong institutional ownership of 95.77% underscores confidence from large investors, but the short interest ratio of 4.13 indicates some skepticism in the market.
 **Economic Outlook:**  
 The broader economic environment presents both opportunities and risks for Workday. The U.S. economy is showing signs of deceleration, with GDP expected to shrink by 1.5% in Q1 2025. However, Workday's focus on subscription services in resilient sectors like healthcare and education may insulate it from broader economic headwinds. The company's emphasis on artificial intelligence aligns with industry trends, positioning it to capitalize on long-term growth opportunities. On the downside, rising trade tensions and tariffs could impact customer budgets, potentially slowing new subscription growth.
 **Summary of Thesis, Edge, and Risk:**  
 Workday's strong Q4 performance, robust subscription demand, and strategic focus on AI-driven growth provide a compelling growth thesis. Its edge lies in its high customer retention, sector-specific solutions, and expansion into international markets. However, risks include its high valuation, potential macroeconomic headwinds, and reliance on continued subscription growth to justify its premium pricing.
 **Score: 78**</t>
  </si>
  <si>
    <t>WEC</t>
  </si>
  <si>
    <t>**Investment Report: WEC Energy Group**
 **Recent News:**  
 WEC Energy Group has not been in the news over the past week, indicating a period of operational stability without any major announcements or disruptions. This lack of news suggests the company is maintaining its steady course, which aligns with its position as a regulated utility provider focused on consistent performance.
 **Financials:**  
 WEC Energy Group's financial performance reflects its status as a stable utility company. The stock recently reached its 52-week high of $108.42, demonstrating strong investor confidence. The company offers a dividend yield of 3.35%, slightly above its five-year average of 3.14%, supported by a sustainable payout ratio of 69.15%. This makes it attractive for income-focused investors. 
 The firm’s trailing price-to-earnings (P/E) ratio of 22.43 and forward P/E of 20.76 suggest a premium valuation compared to the broader market, which is typical for utility companies due to their defensive nature. WEC Energy's beta of 0.443 indicates low volatility, making it a safer investment during periods of market uncertainty. However, its debt-to-equity ratio of 159.11% is relatively high, reflecting the capital-intensive nature of the utility sector. The company’s operating cash flow of $3.21 billion is robust, but negative free cash flow (-$578.96 million) highlights ongoing investments, likely in infrastructure and growth projects.
 Earnings growth of 10.62% and revenue growth of 3% year-over-year indicate steady expansion, while a return on equity (ROE) of 12.25% underscores efficient management of shareholder capital. The company’s gross margin of 44.09% and EBITDA margin of 39.95% are strong for the industry, reflecting operational efficiency.
 **Valuations:**  
 WEC Energy is trading at a price-to-book (P/B) ratio of 2.78, which is higher than the industry average, indicating a premium valuation. Analysts have a median price target of $101.80, slightly below the current price, suggesting limited upside in the near term. The recommendation mean of 2.5 (on a scale where 1 is a strong buy and 5 is a sell) reflects a neutral to slightly positive sentiment among analysts.
 The company’s enterprise value-to-EBITDA ratio of 15.91 is on the higher side, which could indicate that the stock is fully valued. However, its trailing PEG ratio of 2.61 suggests that the stock’s valuation is reasonable given its earnings growth potential.
 **Economic Outlook:**  
 The broader economic environment presents mixed implications for WEC Energy. The U.S. economy is showing signs of deceleration, with GDP expected to shrink by 1.5% in Q1 2025. However, utility companies like WEC Energy are generally less sensitive to economic cycles due to the essential nature of their services. Elevated interest rates could increase the cost of debt servicing for WEC Energy, given its high leverage, but the Federal Reserve’s potential rate cuts later in the year could provide relief.
 The ongoing trade tensions and tariffs are unlikely to have a direct impact on WEC Energy, as its operations are primarily domestic and focused on regulated markets. However, broader economic uncertainty could weigh on investor sentiment, potentially affecting the stock’s performance.
 **Summary:**  
 WEC Energy Group offers a stable investment opportunity with a strong dividend yield, low volatility, and consistent earnings growth. Its premium valuation reflects its defensive nature and reliable cash flows. The company’s high debt levels and negative free cash flow are risks, but these are typical for the utility sector and are offset by its strong operating cash flow and efficient management. The broader economic slowdown and high interest rates could pose challenges, but WEC Energy’s regulated business model provides a buffer against macroeconomic headwinds.
 **Score: 78**</t>
  </si>
  <si>
    <t>**Investment Report: Leidos Holdings, Inc.**
 **Recent News:**  
 Leidos Holdings, Inc. has not been in the spotlight over the past week, with no significant news or developments reported. This lack of news suggests stability in operations but also indicates no immediate catalysts for significant price movement in the short term. The absence of recent updates may reflect a steady business environment, though it leaves the stock's performance more reliant on broader market trends and macroeconomic factors.
 **Financials:**  
 Leidos demonstrates solid financial health with a trailing price-to-earnings (P/E) ratio of 14.03 and a forward P/E of 12.36, indicating a relatively attractive valuation compared to the broader market. The company’s dividend yield of 1.23% is slightly below its five-year average of 1.35%, but its low payout ratio of 16.7% suggests ample room for dividend growth or reinvestment in the business. The firm’s beta of 0.726 indicates lower volatility compared to the market, making it a potentially defensive play in uncertain economic conditions.
 Leidos reported strong earnings growth of 24% in the most recent quarter, supported by revenue growth of 9.7%. The company’s profit margins, while modest at 7.5%, are consistent with its industry peers. Free cash flow of $1.06 billion and operating cash flow of $1.39 billion highlight robust cash generation, which is critical for sustaining operations and funding future growth initiatives. However, the company’s debt-to-equity ratio of 121.39 is relatively high, reflecting significant leverage that could pose risks in a rising interest rate environment.
 **Valuations:**  
 Leidos is trading at a price-to-book ratio of 3.84, which is higher than some of its peers in the diversified support services industry. Its enterprise value-to-revenue ratio of 1.29 and enterprise value-to-EBITDA ratio of 10.20 suggest the stock is fairly valued, though not deeply discounted. Analyst sentiment remains positive, with a mean price target of $171.87, representing a potential upside of approximately 33% from the current price of $129.97. The recommendation mean of 1.94 (on a scale where 1.0 is a strong buy) further underscores optimism among analysts.
 **Economic Outlook:**  
 The broader economic environment presents mixed implications for Leidos. The U.S. economy is showing signs of deceleration, with GDP expected to contract in Q1 2025. Rising jobless claims and weakening consumer confidence could dampen demand for certain services. However, Leidos operates in the defense and government contracting space, which tends to be less sensitive to economic cycles. The company’s strong institutional ownership (78.5%) and relatively low short interest (2.57% of shares outstanding) suggest confidence in its long-term stability.
 The geopolitical landscape, including the U.S. government’s focus on defense and infrastructure, could provide tailwinds for Leidos. However, the company’s exposure to federal contracts means it could be affected by government workforce reductions and budgetary constraints. Additionally, the ongoing trade tensions and tariffs may indirectly impact supply chains or input costs, though these risks appear manageable given the company’s diversified operations.
 **Summary of Thesis, Edge, and Risk:**  
 Leidos offers a compelling investment case based on its strong earnings growth, robust cash flow generation, and relatively attractive valuation metrics. Its defensive characteristics, including a low beta and stable government contracting business, provide an edge in a volatile market environment. However, risks include its high leverage, potential exposure to government budget cuts, and limited near-term catalysts due to the absence of recent news or developments.
 **Score: 78**</t>
  </si>
  <si>
    <t>**Investment Report: JPMorgan Chase &amp; Co.**
 **Recent News:**  
 JPMorgan Chase continues to solidify its position as a leading financial institution, leveraging its diversified business model to navigate a challenging macroeconomic environment. Recent developments highlight the firm's strategic focus on expanding its private lending funds, a move that aligns with the growing demand for alternative financing solutions. This initiative positions JPMorgan to capitalize on the booming private credit market, which has been gaining traction as traditional lending faces headwinds. However, concerns have been raised regarding the performance of JPMorgan's preferred stocks, which have shown vulnerability during periods of market distress due to lower credit quality compared to peers. Despite this, the firm's common stock has demonstrated resilience, reaching an all-time high in February before experiencing a slight pullback.
 **Financials:**  
 JPMorgan's financial performance remains robust, supported by strong profitability metrics. The firm reported a trailing price-to-earnings (P/E) ratio of 13.20, which is relatively attractive compared to the broader market, though its forward P/E of 15.57 suggests expectations of moderated earnings growth. The company's return on equity (ROE) of 17.39% underscores its ability to generate shareholder value, while its return on assets (ROA) of 1.48% reflects efficient asset utilization. JPMorgan's dividend yield of 1.89% is below its five-year average of 2.71%, indicating that the stock's recent price appreciation has outpaced dividend growth. The firm's payout ratio of 24.3% suggests ample room for future dividend increases. Additionally, JPMorgan's book value per share of $116.07 and price-to-book ratio of 2.25 highlight its strong balance sheet and premium valuation.
 **Valuations:**  
 JPMorgan's current market price of approximately $261.05 places it near the median analyst target price of $275.00, with a high target of $330.00. This suggests limited upside in the near term, particularly given the stock's recent rally. The firm's price-to-sales ratio of 4.37 and enterprise-to-revenue ratio of 1.24 indicate a premium valuation relative to its peers in the diversified banking sector. However, these metrics are justified by JPMorgan's strong market position, consistent revenue growth of 13% year-over-year, and earnings growth of 58.2% in the most recent quarter.
 **Economic Outlook:**  
 The broader economic environment presents both opportunities and risks for JPMorgan. The U.S. economy is showing signs of deceleration, with GDP expected to contract by 1.5% in Q1 2025. Rising jobless claims, a record trade deficit, and weakening consumer confidence could weigh on loan demand and credit quality. However, JPMorgan's diversified revenue streams and strong capital position provide a buffer against economic headwinds. The Federal Reserve's restrictive monetary policy has begun to impact the economy, but moderating inflation could pave the way for rate cuts later in the year, potentially benefiting the financial sector. Additionally, geopolitical uncertainties, including escalating trade tensions and tariff implementations, may create volatility but also present opportunities for JPMorgan to leverage its global footprint and risk management expertise.
 **Summary:**  
 JPMorgan Chase's investment thesis is underpinned by its diversified business model, strong financial performance, and strategic initiatives in private lending. The firm's edge lies in its scale, market leadership, and ability to adapt to changing economic conditions. However, risks include potential credit quality concerns, premium valuation, and macroeconomic uncertainties that could impact loan growth and profitability.
 **Score: 78**</t>
  </si>
  <si>
    <t>BG</t>
  </si>
  <si>
    <t>**Investment Report: Bunge Global**
 **Recent News:**  
 Bunge Global has not been in the headlines over the past week, indicating a lack of significant developments or disruptions. This absence of news suggests stability in operations but also highlights the need to focus on broader economic and industry trends to assess the company's prospects.
 **Financials:**  
 Bunge Global's financial metrics reflect a mixed picture. The company is trading at a trailing price-to-earnings (P/E) ratio of 8.99 and a forward P/E of 7.72, indicating a relatively low valuation compared to the broader market. This suggests that the stock may be undervalued, particularly given its dividend yield of 3.67%, which is above its five-year average of 2.82%. The payout ratio of 33.82% indicates that the dividend is sustainable, supported by strong cash flows.
 The company's revenue has declined by 9.3% year-over-year, reflecting challenges in the agricultural products and services industry, potentially due to global trade disruptions and weaker demand. However, Bunge's profitability metrics, such as a return on equity (ROE) of 10.44% and a return on assets (ROA) of 3.89%, remain solid, indicating efficient use of capital. The gross margin of 6.28% and EBITDA margin of 3.82% are modest but consistent with the industry average.
 Bunge's balance sheet shows a debt-to-equity ratio of 65.02, which is manageable given its strong cash position of $3.8 billion and a current ratio of 2.15, indicating sufficient liquidity to cover short-term obligations. However, the company's free cash flow of $347.5 million is relatively modest compared to its enterprise value of $13.98 billion, suggesting limited flexibility for aggressive growth initiatives.
 **Valuations:**  
 Bunge's price-to-book (P/B) ratio of 0.97 indicates that the stock is trading below its book value, which could signal an undervalued opportunity. The market capitalization of $9.62 billion and a 52-week price range of $67.40 to $114.92 suggest that the stock has experienced significant volatility, with the current price near the lower end of this range. Analyst sentiment remains positive, with a mean target price of $87.43, representing a potential upside of approximately 22% from the current price.
 **Economic Outlook:**  
 The agricultural products and services industry faces headwinds from global trade tensions, particularly with the recent escalation of tariffs between the U.S., Canada, Mexico, and China. These tariffs could disrupt supply chains and increase input costs for Bunge, potentially pressuring margins. Additionally, the broader economic slowdown, as indicated by a projected 1.5% contraction in U.S. GDP for Q1 2025, may dampen demand for agricultural commodities.
 However, Bunge's diversified global operations and strong institutional ownership (90.48%) provide a degree of resilience. The company's beta of 0.65 suggests lower volatility relative to the broader market, making it a potentially defensive play in uncertain economic conditions.
 **Summary of Thesis, Edge, and Risk:**  
 Bunge Global presents a compelling valuation case with a low P/E ratio, strong dividend yield, and a P/B ratio below 1. Its efficient capital utilization and liquidity position provide a solid foundation for navigating industry challenges. However, risks include declining revenue growth, exposure to global trade disruptions, and limited free cash flow for expansion. The company's ability to adapt to macroeconomic pressures and maintain profitability will be critical to its performance in the near term.
 **Score: 75**</t>
  </si>
  <si>
    <t>WTW</t>
  </si>
  <si>
    <t>**Investment Report: Willis Towers Watson (Insurance Brokers Industry)**
 **Recent News:**  
 Willis Towers Watson has not been in the news over the past week, indicating a lack of significant developments or disruptions. This absence of news suggests stability in the company's operations, though it also implies no recent catalysts to drive immediate investor sentiment.
 **Financials:**  
 Willis Towers Watson's stock is trading near its 52-week high of $342.14, reflecting strong recent performance with a 24.99% increase over the past year, outperforming the S&amp;P 500's 17.25% gain. The company has a market capitalization of $33.93 billion and a beta of 0.72, indicating lower volatility compared to the broader market. 
 The firm’s forward P/E ratio of 18.81 suggests a reasonable valuation relative to its earnings growth potential, supported by a forward EPS of $18.09. However, the trailing EPS is negative at -$0.95, reflecting a net loss of $98 million in the most recent fiscal year. This discrepancy highlights a turnaround expectation, as analysts project earnings growth of 5.9% and revenue growth of 4.2%. 
 Willis Towers Watson maintains a dividend yield of 1.08%, slightly below its five-year average of 1.34%, with a payout ratio of 33.14%, indicating a sustainable dividend policy. The company’s free cash flow of $963.5 million and operating cash flow of $1.51 billion provide solid liquidity to support operations and shareholder returns.
 Debt levels are moderate, with a debt-to-equity ratio of 74.04%. While manageable, this leverage could pose risks in a rising interest rate environment. The quick ratio of 0.42 and current ratio of 1.20 suggest adequate short-term liquidity, though not exceptionally strong.
 **Valuations:**  
 The stock's price-to-book ratio of 4.28 is higher than the industry average, reflecting a premium valuation. The enterprise value-to-revenue ratio of 3.83 and enterprise value-to-EBITDA ratio of 14.27 indicate that the market is pricing in growth expectations. Analysts have a mean target price of $361.75, implying a modest upside of approximately 6% from current levels. The recommendation mean of 2.05 (on a scale where 1 is a strong buy and 5 is a sell) suggests a generally favorable outlook among analysts.
 **Economic Outlook:**  
 The broader economic environment presents mixed signals for Willis Towers Watson. The U.S. economy is showing signs of deceleration, with GDP expected to contract by 1.5% in Q1 2025. Rising jobless claims and weakening consumer confidence could dampen demand for insurance and risk management services. However, the company’s focus on corporate clients and its diversified revenue streams may provide some insulation from consumer-driven economic pressures.
 The ongoing trade tensions and tariffs could indirectly impact the firm by increasing costs for its corporate clients, potentially affecting demand for its services. On the positive side, moderating inflation and the potential for Federal Reserve rate cuts later in the year could provide a more favorable macroeconomic backdrop.
 **Summary of Thesis, Edge, and Risk:**  
 Willis Towers Watson is positioned as a stable player in the insurance brokerage industry, with strong cash flow generation and a sustainable dividend policy. Its valuation reflects moderate growth expectations, supported by improving earnings and revenue growth. However, the company faces risks from its negative trailing EPS, moderate debt levels, and potential macroeconomic headwinds, including a slowing economy and trade-related uncertainties. The lack of recent news suggests no immediate catalysts, leaving the stock reliant on broader market trends and earnings performance.
 **Score: 75**</t>
  </si>
  <si>
    <t>TSN</t>
  </si>
  <si>
    <t>**Investment Report: Tyson Foods**
 **Recent News:**  
 Tyson Foods has not been in the news over the past week, indicating a lack of significant developments or disruptions. This stability may reflect a steady operational environment, though it also suggests no immediate catalysts for growth or concern.
 **Financials:**  
 Tyson Foods is trading near the midpoint of its 52-week range ($53.08 - $66.88), with a recent close of $61.34. The company offers a dividend yield of 3.26%, above its five-year average of 2.86%, signaling an attractive income opportunity for investors. Its payout ratio of 66.55% is sustainable, though it leaves limited room for dividend growth. Tyson's beta of 0.71 suggests lower volatility compared to the broader market, making it a relatively defensive stock.
 The company’s trailing price-to-earnings (P/E) ratio of 20.89 and forward P/E of 17.67 indicate moderate valuation levels, with some expected earnings growth. Tyson's price-to-book ratio of 1.19 and price-to-sales ratio of 0.41 suggest the stock is undervalued relative to its book value and revenue generation. The enterprise value-to-EBITDA ratio of 8.67 is reasonable, reflecting a balanced valuation for its industry.
 Tyson's financial health appears stable, with a current ratio of 2.11 and quick ratio of 0.97, indicating sufficient liquidity to cover short-term obligations. However, its debt-to-equity ratio of 52.64% highlights a moderately leveraged balance sheet, which could pose risks in a rising interest rate environment. The company’s free cash flow of $1.13 billion and operating cash flow of $2.32 billion provide a solid foundation for ongoing operations and debt servicing.
 **Valuations:**  
 Analysts have set a target price range of $58 to $80, with a mean target of $67.27, suggesting a potential upside of approximately 9.6% from the current price. Tyson's trailing PEG ratio of 0.56 indicates that its earnings growth is attractively priced, particularly in comparison to its peers in the packaged foods and meats industry. The company’s earnings quarterly growth of 235.5% and revenue growth of 2.3% reflect a recovery from prior challenges, though its gross margin of 7.83% and operating margin of 5.04% remain relatively thin, typical for the industry.
 **Economic Outlook:**  
 The broader economic environment presents mixed implications for Tyson Foods. Rising tariffs on Canadian and Mexican goods could increase input costs for Tyson, as the company relies on global supply chains for feed and other agricultural products. However, its domestic focus and strong brand presence may shield it from the full impact of international trade tensions. Additionally, slowing GDP growth and weakening consumer confidence could pressure demand for higher-margin products, though Tyson’s diversified portfolio of affordable protein options may provide resilience in a downturn.
 The company’s exposure to inflationary pressures, particularly in feed and labor costs, remains a concern. However, moderating inflation trends and potential rate cuts by the Federal Reserve later in the year could alleviate some cost pressures. Tyson’s ability to pass on higher costs to consumers will be critical in maintaining profitability.
 **Summary:**  
 **Thesis:** Tyson Foods offers a stable investment opportunity with a strong dividend yield, reasonable valuation, and moderate growth potential. Its defensive characteristics and essential product offerings position it well in uncertain economic conditions.  
 **Edge:** The company’s attractive valuation metrics, particularly its low PEG ratio and price-to-sales ratio, provide a margin of safety. Its strong cash flow generation supports ongoing operations and shareholder returns.  
 **Risk:** Key risks include rising input costs due to tariffs, thin margins, and potential demand pressures from a slowing economy. Additionally, its leveraged balance sheet could become a concern if interest rates remain elevated longer than expected.
 **Score: 75**</t>
  </si>
  <si>
    <t>TROW</t>
  </si>
  <si>
    <t>**Investment Report: T. Rowe Price**
 **Recent News:**  
 T. Rowe Price has been highlighted as an undervalued opportunity in the asset management sector, particularly as the market faces broad overvaluation concerns. The firm's actively managed funds have historically outperformed passive ETFs, which could attract investors seeking higher returns in a volatile market. However, the rise of passive ETFs continues to challenge the traditional asset management model, creating uncertainty about future growth. The firm's valuation metrics, including lower price-to-earnings (P/E) and price-to-free-cash-flow (P/FCF) ratios compared to market averages, suggest a potential upside for long-term investors.
 **Financials:**  
 T. Rowe Price's financial health remains robust, supported by a strong balance sheet and consistent profitability. The firm boasts a dividend yield of 4.81%, significantly above its five-year average of 3.5%, making it attractive for income-focused investors. With a payout ratio of 54.21%, the dividend appears sustainable. The company has minimal debt, with a debt-to-equity ratio of just 2.95%, and a quick ratio of 5.17, indicating strong liquidity. Profit margins are healthy at 29.6%, and return on equity (ROE) is an impressive 19.65%, reflecting efficient capital utilization. However, earnings growth remains modest at 1%, and revenue growth of 11.1% may face headwinds if market conditions deteriorate.
 **Valuations:**  
 T. Rowe Price's valuation metrics suggest it is trading at a discount relative to its peers. The trailing P/E ratio of 11.37 and forward P/E of 11.11 are well below the broader market averages, indicating potential undervaluation. The price-to-book ratio of 2.24 is reasonable for the asset management industry, and the enterprise value-to-EBITDA ratio of 7.91 further supports the case for undervaluation. Despite these attractive metrics, the stock has underperformed the S&amp;P 500 over the past year, with a 52-week change of -9.07% compared to the S&amp;P's 17.25% gain, reflecting broader challenges in the sector.
 **Economic Outlook:**  
 The macroeconomic environment presents both opportunities and risks for T. Rowe Price. Elevated market volatility and concerns about a potential recession could drive investors toward actively managed funds, benefiting the firm. However, the broader economic slowdown, coupled with rising geopolitical tensions and trade uncertainties, may weigh on investor sentiment and asset flows. Additionally, the Federal Reserve's restrictive monetary policy and elevated interest rates could impact market performance, further influencing the firm's revenue from assets under management (AUM).
 **Summary of Thesis, Edge, and Risk:**  
 T. Rowe Price's strong fundamentals, attractive dividend yield, and undervaluation provide a compelling case for long-term growth. The firm's edge lies in its history of outperforming actively managed funds and its ability to adapt to changing investor preferences. However, risks include the ongoing shift toward passive ETFs, modest earnings growth, and potential headwinds from a slowing economy and market volatility.
 **Score: 75**</t>
  </si>
  <si>
    <t>**Investment Report: Walmart (WMT)**
 **Recent News:**  
 Walmart has been in the spotlight due to its operational improvements and strong quarterly performance. Despite reporting a robust quarter, the stock experienced a 6% decline, likely reflecting profit-taking or concerns over valuation. However, a subsequent analyst upgrade boosted the stock by 4%, signaling renewed investor confidence. Separately, Walmart faced legal challenges when lawyers in a lawsuit against the company were fined for citing AI-generated fake cases, though this incident is unlikely to materially impact the company’s operations or financials.
 **Financials:**  
 Walmart's financial performance remains solid, with a market capitalization of $784 billion and total revenue of $681 billion over the trailing twelve months. The company maintains a modest dividend yield of 0.95%, with a payout ratio of 34.44%, indicating a sustainable dividend policy. However, earnings growth has been slightly negative (-4.4% quarterly), and the trailing price-to-earnings (P/E) ratio of 40.49 suggests the stock is trading at a premium relative to its historical valuation. Walmart's gross margins of 24.85% and operating margins of 4.35% reflect its ability to manage costs effectively in a competitive retail environment.
 The company’s balance sheet shows a high debt-to-equity ratio of 61.53, which could be a concern in a rising interest rate environment. However, Walmart generates strong operating cash flow ($36.4 billion) and free cash flow ($5.16 billion), providing financial flexibility. The quick ratio of 0.197 and current ratio of 0.823 indicate tight liquidity, but this is typical for retail businesses with high inventory turnover.
 **Valuations:**  
 Walmart's forward P/E ratio of 35.88 and price-to-book ratio of 8.61 suggest the stock is priced for growth, which may limit upside potential in the near term. The enterprise value-to-EBITDA ratio of 19.88 is relatively high, reflecting the market's confidence in Walmart's ability to maintain its dominant position in the retail sector. Analysts have a median price target of $110, implying a potential upside of approximately 12% from current levels. However, the stock's trailing PEG ratio of 3.06 indicates that growth may already be priced in, raising questions about valuation sustainability.
 **Economic Outlook:**  
 Walmart operates in the consumer staples sector, which tends to perform well during economic slowdowns due to the non-discretionary nature of its products. However, the broader economic environment presents challenges. The U.S. economy is showing signs of deceleration, with GDP expected to contract in Q1 2025. Rising tariffs on goods from Canada, Mexico, and China could increase input costs, potentially pressuring Walmart's margins. On the positive side, Walmart's scale and supply chain efficiency may allow it to mitigate some of these impacts better than smaller competitors.
 **Summary:**  
 **Thesis:** Walmart's strong operational performance and dominant market position make it a resilient player in the retail sector, particularly during economic uncertainty.  
 **Edge:** Its scale, supply chain efficiency, and focus on customer service provide a competitive advantage.  
 **Risk:** Elevated valuations and macroeconomic headwinds, including tariffs and slowing economic growth, could limit near-term upside.
 **Score: 75**</t>
  </si>
  <si>
    <t>TAP</t>
  </si>
  <si>
    <t>**Investment Report: Molson Coors Beverage Company**
 **Recent News:**  
 Molson Coors Beverage Company has not been in the headlines over the past week, indicating a lack of significant corporate developments or external disruptions. This stability may reflect a steady operational environment, though it also suggests no immediate catalysts for substantial price movement in the short term.
 **Financials:**  
 Molson Coors exhibits strong financial fundamentals. The company’s trailing price-to-earnings (P/E) ratio of 11.46 and forward P/E of 10.34 suggest it is undervalued relative to its earnings potential. Its dividend yield of 3.07% is above its five-year average of 2.65%, making it attractive for income-focused investors. The payout ratio of 32.9% indicates a sustainable dividend policy, supported by robust free cash flow of $928 million and operating cash flow of $1.91 billion.
 The company’s balance sheet shows a manageable debt-to-equity ratio of 47.23, though its quick ratio of 0.595 and current ratio of 0.935 suggest limited short-term liquidity. With a book value of $64.43 per share and a price-to-book ratio of 0.95, the stock is trading below its intrinsic value, signaling potential upside. However, revenue growth has declined by 2% year-over-year, reflecting challenges in expanding top-line performance.
 **Valuations:**  
 Molson Coors’ enterprise value-to-EBITDA ratio of 7.33 is reasonable, indicating the company is not overleveraged relative to its earnings before interest, taxes, depreciation, and amortization. The price-to-sales ratio of 1.07 further supports the view that the stock is attractively valued. Analysts have a median price target of $64.50, representing a modest upside from the current price of $61.29. The recommendation mean of 2.73 (on a scale where 1 is a strong buy and 5 is a sell) suggests a consensus to hold the stock.
 **Economic Outlook:**  
 The broader economic environment presents mixed implications for Molson Coors. The U.S. economy is showing signs of deceleration, with GDP contraction expected in Q1 2025 and rising jobless claims. Consumer confidence is weakening, which could impact discretionary spending on beverages. However, Molson Coors’ beta of 0.825 indicates lower volatility compared to the broader market, making it a relatively defensive play during economic uncertainty. Additionally, the company’s strong profit margins (gross margin of 38.99% and EBITDA margin of 21.30%) provide a buffer against potential cost pressures from tariffs or inflation.
 **Summary:**  
 Molson Coors’ investment thesis is supported by its undervaluation, strong cash flow, and attractive dividend yield. Its edge lies in its defensive characteristics and stable profitability, which are appealing in a slowing economic environment. However, risks include declining revenue growth and potential headwinds from reduced consumer spending. The lack of recent news or catalysts may limit short-term price appreciation, but the stock remains a solid long-term value play.
 **Score: 75**</t>
  </si>
  <si>
    <t>RF</t>
  </si>
  <si>
    <t>**Investment Report: Regions Financial Corporation**
 **Recent News:**  
 Regions Financial Corporation has not been in the news over the past week, indicating a lack of significant developments or disruptions. This absence of news suggests stability in operations but also highlights the need to focus on broader economic and industry trends to assess its near-term prospects.
 **Financials:**  
 Regions Financial Corporation exhibits solid financial performance with a trailing price-to-earnings (P/E) ratio of 11.99 and a forward P/E of 10.24, indicating a relatively attractive valuation compared to the broader market. The company’s dividend yield of 4.22% is above its five-year average of 3.99%, reflecting a strong commitment to returning value to shareholders. The payout ratio of 50.78% suggests that the dividend is sustainable, supported by robust profitability metrics such as a profit margin of 28.7% and return on equity (ROE) of 10.69%. 
 The company’s book value per share stands at $17.79, with a price-to-book ratio of 1.30, indicating that the stock is trading at a reasonable premium to its book value. Additionally, Regions Financial has demonstrated earnings growth, with quarterly earnings increasing by 22.8% year-over-year, and revenue growth of 15.6%, signaling operational efficiency and resilience in a challenging macroeconomic environment.
 **Valuations:**  
 The stock is trading near the lower end of its 52-week range, with a recent close of $23.46 compared to a 52-week high of $27.96. This suggests potential upside, especially given the mean analyst target price of $27.63, representing a 17.7% potential gain. The recommendation mean of 2.24 (on a scale where 1 is a strong buy) further underscores positive sentiment among analysts. However, the trailing PEG ratio of 4.59 indicates that growth may be priced at a premium, warranting caution.
 **Economic Outlook:**  
 The broader economic environment poses challenges for the regional banking sector. The U.S. economy is showing signs of deceleration, with GDP expected to contract by 1.5% in Q1 2025. Rising jobless claims and weakening consumer confidence could dampen loan demand and increase credit risks. Additionally, the ongoing trade tensions and tariffs may indirectly impact Regions Financial by affecting its commercial clients, particularly in industries sensitive to global trade dynamics.
 On the positive side, moderating inflation and the potential for Federal Reserve rate cuts later in the year could provide relief to the banking sector. Regions Financial’s beta of 1.21 suggests that the stock is moderately sensitive to market volatility, which could present both risks and opportunities in the current environment.
 **Summary:**  
 Regions Financial Corporation offers a compelling investment thesis with its strong profitability, attractive dividend yield, and reasonable valuation metrics. Its edge lies in its ability to sustain earnings growth and maintain shareholder returns despite economic headwinds. However, risks include exposure to a slowing economy, potential credit quality deterioration, and sensitivity to market volatility. The stock’s current valuation and analyst sentiment suggest potential upside, but caution is warranted given the broader macroeconomic uncertainties.
 **Score: 75**</t>
  </si>
  <si>
    <t>CAH</t>
  </si>
  <si>
    <t>**Investment Report: Cardinal Health**
 **Recent News:**  
 Cardinal Health has not been in the news over the past week, indicating a lack of significant developments or disruptions. This stability may reflect the company's steady operations within the healthcare distribution sector, which is often less volatile compared to other industries. However, the absence of news also suggests no immediate catalysts for significant price movement in the short term.
 **Financials:**  
 Cardinal Health's financial performance reflects a mixed picture. The company has a market capitalization of $31.2 billion and a trailing price-to-earnings (P/E) ratio of 24.06, which is higher than its forward P/E of 14.95. This suggests expectations of earnings growth in the near future. The firm’s profit margins remain slim at 0.59%, typical for the healthcare distribution industry, which operates on high revenue but low-margin models. 
 Revenue for the trailing twelve months stands at $222.28 billion, but revenue growth has declined by 3.8% year-over-year, signaling potential headwinds in top-line performance. On the other hand, earnings growth of 8.7% and a forward EPS of $8.64 indicate improving profitability. The company’s EBITDA margin of 1.35% and operating margin of 1.02% are modest but consistent with industry norms.
 Cardinal Health's dividend yield of 1.56% is below its five-year average of 2.88%, reflecting a lower-than-historical payout. However, the payout ratio of 37.57% suggests the dividend is sustainable. The company’s beta of 0.677 indicates lower volatility compared to the broader market, making it a relatively defensive stock.
 **Valuations:**  
 Cardinal Health's valuation metrics suggest the stock is reasonably priced. The forward P/E of 14.95 is attractive compared to the broader market, and the trailing PEG ratio of 0.96 indicates the stock may be undervalued relative to its earnings growth potential. The price-to-sales ratio of 0.14 is also low, reflecting the company's high revenue base. However, the negative price-to-book ratio (-10.45) is a concern, driven by a negative book value, which may indicate accounting adjustments or liabilities exceeding assets.
 The stock is trading near its 52-week high of $132.84, with a current price range of $128.60 to $131.47. This suggests limited immediate upside unless new catalysts emerge. Analyst sentiment remains positive, with a mean target price of $141.41 and a recommendation key of "buy."
 **Economic Outlook:**  
 The broader economic environment presents both challenges and opportunities for Cardinal Health. The U.S. economy is showing signs of deceleration, with GDP expected to shrink in Q1 2025. Rising tariffs and trade tensions could increase costs for imported medical supplies, potentially pressuring margins. However, the healthcare sector is generally resilient to economic downturns, as demand for medical products and services remains stable.
 Cardinal Health's exposure to macroeconomic risks is mitigated by its defensive business model and strong institutional ownership (88.94%). The company’s free cash flow of $595.88 million and total cash of $4.01 billion provide a solid liquidity buffer, though its quick ratio of 0.465 indicates potential short-term liquidity constraints.
 **Summary of Thesis, Edge, and Risk:**  
 Cardinal Health offers a stable investment opportunity in the healthcare distribution sector, supported by consistent earnings growth, a reasonable valuation, and a defensive business model. Its low beta and strong institutional ownership provide stability in a volatile market environment. However, risks include declining revenue growth, slim margins, and potential cost pressures from tariffs or supply chain disruptions. The stock's proximity to its 52-week high limits immediate upside potential, but its forward P/E and PEG ratios suggest room for long-term appreciation.
 **Score: 75**</t>
  </si>
  <si>
    <t>DUK</t>
  </si>
  <si>
    <t>**Investment Report: Duke Energy Corporation (DUK)**
 **Recent News:**  
 Duke Energy has garnered significant attention from investors, as evidenced by its high search volume on financial platforms. This interest likely stems from its stable position in the electric utilities sector, a traditionally defensive industry that tends to perform well during periods of economic uncertainty. The company's consistent dividend payouts and its role as a key player in the energy transition toward renewables make it a focal point for income-focused and long-term investors. However, the broader economic environment, including rising interest rates and potential regulatory changes, could influence its near-term performance.
 **Financials:**  
 Duke Energy's financial metrics reflect a stable but leveraged utility company. The firm has a market capitalization of $92.14 billion and a trailing P/E ratio of 20.82, which is slightly elevated compared to historical utility sector averages, though its forward P/E of 18.72 suggests modest earnings growth expectations. The company offers a dividend yield of 3.56%, slightly below its five-year average of 4.04%, indicating that its stock price has appreciated relative to its dividend payouts. Duke's payout ratio of 72.63% is sustainable for a utility company, given its predictable cash flows.
 The firm's revenue growth of 2.7% and earnings growth of 19.6% year-over-year highlight its ability to generate steady returns despite a challenging macroeconomic environment. However, its high debt-to-equity ratio of 166.69% and negative free cash flow of -$1.85 billion underscore the capital-intensive nature of its operations and the potential risks associated with rising interest rates. Duke's EBITDA margin of 47.88% and operating margin of 30.04% reflect strong operational efficiency, which is critical for maintaining profitability in a regulated industry.
 **Valuations:**  
 Duke Energy's price-to-book ratio of 1.87 and price-to-sales ratio of 3.08 suggest that the stock is trading at a premium compared to some of its peers. Analysts have set a target mean price of $122.07, representing a modest upside from its current trading range of $116.66 to $118.72. The stock's beta of 0.465 indicates low volatility, making it an attractive option for risk-averse investors. However, its trailing PEG ratio of 2.59 suggests that the stock may be slightly overvalued relative to its growth prospects.
 **Economic Outlook:**  
 The broader economic environment presents both opportunities and challenges for Duke Energy. The Federal Reserve's restrictive monetary policy and elevated interest rates could increase the company's borrowing costs, given its high debt levels. Additionally, the U.S. economy is showing signs of deceleration, with GDP expected to contract in Q1 2025. However, utilities are generally considered recession-resistant due to the essential nature of their services. Duke's focus on renewable energy investments aligns with long-term trends in the energy sector, potentially positioning it for growth as the transition to cleaner energy sources accelerates.
 **Summary of Thesis, Edge, and Risk:**  
 Duke Energy's investment thesis is rooted in its stable cash flows, strong operational efficiency, and consistent dividend payouts, making it a reliable choice in uncertain economic times. Its edge lies in its scale and strategic investments in renewable energy, which position it to benefit from the ongoing energy transition. However, risks include its high leverage, sensitivity to interest rate increases, and potential regulatory challenges. While the stock offers defensive characteristics, its valuation suggests limited upside in the near term.
 **Score: 75**</t>
  </si>
  <si>
    <t>DELL</t>
  </si>
  <si>
    <t>**Investment Report: Dell Technologies Inc. (DELL)**
 **Recent News:**  
 Dell Technologies has been navigating a mixed landscape of challenges and opportunities. The company recently reported Q4 fiscal 2025 earnings that exceeded expectations with an EPS of $2.68, surpassing the consensus estimate of $2.52. However, revenue came in at $23.9 billion, falling short of the $24.6 billion forecast. This revenue miss, coupled with conservative guidance, led to a 7.9% drop in the stock price to $99.27. Despite this, Dell's AI-optimized server business has emerged as a bright spot, with the company forecasting $15 billion in AI server sales for the year. This segment is expected to drive future growth, supported by a strong backlog. However, margin compression and profitability challenges remain concerns, particularly as Dell faces competitive pressures and a prolonged PC refresh cycle. The company's bullish full-year profit projection above Wall Street estimates reflects optimism in its AI-driven strategy amidst a competitive market.
 **Financials:**  
 Dell's financial metrics present a mixed picture. The company has a trailing P/E ratio of 14.98 and a forward P/E of 10.17, indicating an attractive valuation relative to its earnings growth potential. Its dividend yield of 2.04% and payout ratio of 27.9% suggest a stable return for income-focused investors. However, Dell's revenue growth of 7.2% and earnings growth of 35.6% highlight its ability to expand in key areas, particularly AI servers. The company’s gross margins of 22.2% and operating margins of 9% are reasonable but reflect some pressure from rising costs and competitive dynamics. Dell's balance sheet shows a quick ratio of 0.41 and a current ratio of 0.78, indicating liquidity constraints. Additionally, the company carries significant debt at $24.57 billion, which could limit financial flexibility, especially in a rising interest rate environment. Free cash flow is negative at -$7.86 billion, raising concerns about cash generation capabilities.
 **Valuations:**  
 Dell's valuation metrics suggest potential upside. The stock trades at a price-to-sales ratio of 0.70, which is low compared to industry peers, indicating it may be undervalued. Analysts have a mean target price of $142.27, representing significant upside from the current price of $99.27. The trailing PEG ratio of 0.54 further underscores the stock's attractiveness relative to its growth prospects. However, the stock has underperformed over the past year, with a 52-week change of -12.73%, compared to the S&amp;P 500's gain of 17.25%. This underperformance reflects broader challenges in the PC and hardware markets, as well as investor caution following the mixed earnings report.
 **Economic Outlook:**  
 The broader economic environment presents both risks and opportunities for Dell. The U.S. economy is showing signs of deceleration, with GDP expected to shrink by 1.5% in Q1 2025. Rising jobless claims and weakening consumer confidence could dampen demand for Dell's consumer-facing products. However, the company's focus on AI-optimized servers positions it well to capitalize on the growing demand for AI infrastructure, a segment that is expected to see robust growth despite macroeconomic headwinds. Additionally, Dell's global operations could face challenges from escalating trade tensions, particularly with China, which may impact supply chains and input costs. The Federal Reserve's restrictive monetary policy and elevated interest rates could also weigh on corporate spending, potentially affecting Dell's enterprise business.
 **Summary:**  
 **Thesis:** Dell's expanding AI server business and strong backlog provide a compelling growth narrative, particularly as the company pivots toward high-margin, high-demand segments.  
 **Edge:** Attractive valuation metrics, including a low price-to-sales ratio and a forward P/E of 10.17, suggest the stock is undervalued relative to its growth potential.  
 **Risk:** Margin compression, liquidity constraints, and macroeconomic headwinds, including trade tensions and slowing GDP growth, pose significant risks to near-term performance.  
 **Score: 75**</t>
  </si>
  <si>
    <t>PG</t>
  </si>
  <si>
    <t>**Investment Report: Procter &amp; Gamble (PG)**
 **Recent News:**  
 Procter &amp; Gamble (P&amp;G) has garnered significant attention recently, with its stock trading above both its 50-day and 200-day simple moving averages (SMAs). This technical indicator suggests positive momentum, but the company faces challenges from geopolitical tensions, currency volatility, and market-specific headwinds. Despite these hurdles, P&amp;G continues to drive growth through productivity improvements and cost-saving initiatives, which have historically supported its resilience in uncertain environments.
 **Financials:**  
 P&amp;G's financial performance reflects its position as a stable, blue-chip company. The firm boasts a market capitalization of $411.7 billion and a trailing price-to-earnings (P/E) ratio of 27.96, which is slightly elevated compared to its forward P/E of 23.66, indicating expectations of earnings growth. The company has a strong dividend yield of 2.32%, supported by a payout ratio of 63%, which aligns with its five-year average dividend yield of 2.4%. P&amp;G's gross margins of 51.7% and operating margins of 27.2% highlight its ability to maintain profitability despite rising input costs and currency fluctuations. Additionally, the company reported earnings growth of 34.1% and revenue growth of 2.1% in the most recent quarter, signaling steady performance.
 However, P&amp;G's balance sheet shows some areas of concern. The quick ratio of 0.487 and current ratio of 0.759 indicate limited short-term liquidity, while a debt-to-equity ratio of 67.4% reflects a relatively high leverage position. Despite this, the company generates robust free cash flow of $11.4 billion, which provides flexibility for debt servicing, dividends, and reinvestment.
 **Valuations:**  
 P&amp;G's stock is trading near its 52-week high of $180.43, with a price-to-book ratio of 8.17, which is high compared to industry peers. The stock's trailing PEG ratio of 3.69 suggests that it may be overvalued relative to its earnings growth potential. Analysts have a median price target of $181.50, indicating limited upside from current levels. However, the company's strong brand portfolio, consistent cash flow generation, and defensive nature make it a reliable choice for long-term investors seeking stability.
 **Economic Outlook:**  
 The broader economic environment presents mixed implications for P&amp;G. The U.S. economy is showing signs of deceleration, with GDP expected to contract in Q1 2025. Rising tariffs on Canadian, Mexican, and Chinese goods could increase input costs for P&amp;G, particularly in its supply chain and raw materials. Currency volatility, especially in emerging markets, may also weigh on revenue growth. On the positive side, moderating inflation and potential Federal Reserve rate cuts later in the year could provide some relief to consumer spending and input costs.
 **Summary:**  
 **Thesis:** P&amp;G's strong brand equity, consistent cash flow, and cost-saving initiatives position it as a resilient player in the personal care products industry.  
 **Edge:** The company's ability to maintain high margins and deliver steady dividend payouts provides stability in uncertain economic conditions.  
 **Risk:** Elevated valuations, geopolitical tensions, and rising input costs from tariffs and currency fluctuations could pressure margins and limit near-term upside.
 **Score: 75**</t>
  </si>
  <si>
    <t>**Investment Report: Occidental Petroleum**
 **Recent News:**  
 Occidental Petroleum has garnered significant attention due to Warren Buffett's consistent investment in the company, with Berkshire Hathaway increasing its stake in 10 of the last 13 quarters. This endorsement highlights confidence in Occidental's long-term potential. Despite trading near its 52-week low, analysts suggest that the company's operational efficiency and strategic initiatives, such as the STRATOS carbon capture project, position it well for future growth. Occidental's focus on shareholder returns, balance sheet improvement, and modernization efforts underscores its commitment to sustainable operations. However, flat production expectations for 2025 and broader economic uncertainties may temper near-term optimism.
 **Financials:**  
 Occidental's financial metrics reflect a mixed picture. The company has a market capitalization of $43.59 billion and a price-to-book ratio of 1.68, indicating a valuation slightly above its book value. Its trailing P/E ratio of 20.55 and forward P/E of 14.70 suggest a more attractive valuation based on future earnings. The dividend yield of 1.97% is below its five-year average of 3.53%, reflecting a conservative payout strategy as the company prioritizes balance sheet health. Occidental's free cash flow of $3.99 billion and operating cash flow of $11.44 billion provide a solid foundation for ongoing investments and debt reduction. However, the company's debt-to-equity ratio of 78.61% remains elevated, highlighting leverage concerns.
 **Valuations:**  
 Occidental's enterprise value-to-revenue ratio of 2.97 and enterprise value-to-EBITDA ratio of 6.13 suggest the company is reasonably valued compared to peers in the oil and gas exploration and production industry. Analysts' target prices range from $47 to $81, with a median target of $60, indicating potential upside from current levels. The stock's beta of 1.54 reflects higher volatility relative to the broader market, which could amplify price movements in response to oil price fluctuations or macroeconomic developments.
 **Economic Outlook:**  
 The broader economic environment presents challenges and opportunities for Occidental. The U.S. economy is showing signs of deceleration, with GDP contraction expected in Q1 2025. However, oil prices have remained relatively stable, providing a supportive backdrop for Occidental's low breakeven cost operations. Geopolitical developments, including U.S. tariffs and potential retaliatory measures, could impact global trade and energy markets. Occidental's focus on operational efficiency and strategic initiatives positions it to navigate these uncertainties, but broader market volatility and economic headwinds may weigh on near-term performance.
 **Summary:**  
 Occidental Petroleum's thesis is supported by its operational efficiency, strategic focus on carbon capture, and endorsement from high-profile investors like Warren Buffett. Its edge lies in its low breakeven costs and strong cash flow generation, which enable it to weather economic uncertainties. However, risks include elevated debt levels, flat production expectations, and broader macroeconomic challenges that could impact oil demand and pricing.
 **Score: 75**</t>
  </si>
  <si>
    <t>O</t>
  </si>
  <si>
    <t>**Investment Report: Realty Income Corporation**
 **Recent News:**  
 Realty Income Corporation, a leading retail-focused REIT, has maintained its reputation as a stable income-generating investment, even amidst current market volatility. Celebrating 30 years as a public company, Realty Income has consistently delivered an average annual return of 11% and offers a robust dividend yield of 5.6%. However, recent challenges have emerged, including a fourth-quarter AFFO (Adjusted Funds From Operations) miss and a cautious 2025 guidance. These factors have led to a dip in the stock price, presenting potential opportunities for long-term investors. Despite these setbacks, the company continues to expand its property portfolio and generate strong revenue growth, supported by strategic acquisitions. High interest rates and debt refinancing remain headwinds, but Realty Income's dividend sustainability and operational consistency provide a solid foundation for weathering economic uncertainty.
 **Financials:**  
 Realty Income's financial metrics reflect a mixed picture. The company boasts a market capitalization of $51.3 billion and a dividend yield of 5.64%, which is above its five-year average of 4.85%. Its price-to-book ratio of 1.32 and price-to-sales ratio of 9.72 suggest the stock is trading at a reasonable valuation relative to its peers. However, the trailing P/E ratio of 58.72 and forward P/E of 36.19 indicate a premium valuation, which may be a concern given the current economic slowdown. The company's revenue grew by 24.5% year-over-year, driven by acquisitions and increased property holdings, but earnings growth has declined by 24.4%, reflecting the impact of higher interest expenses and refinancing costs. Realty Income's debt-to-equity ratio of 68.31% highlights its reliance on leverage, a common characteristic of REITs, but one that could pose risks in a high-interest-rate environment.
 **Valuations:**  
 Realty Income's stock is currently trading near $57, slightly above its 50-day moving average of $54.21 but below its 200-day moving average of $57.12. The stock has a 52-week range of $50.65 to $64.88, indicating some recent recovery from its lows. Analyst price targets range from $56 to $75, with a median target of $61, suggesting moderate upside potential. The company's enterprise value-to-EBITDA ratio of 16.24 is in line with industry norms, reflecting its stable cash flow generation. However, the trailing PEG ratio of 5.96 indicates that the stock may be overvalued relative to its growth prospects.
 **Economic Outlook:**  
 The broader economic environment presents both challenges and opportunities for Realty Income. Rising interest rates increase the cost of debt refinancing, which could pressure margins and AFFO growth. Additionally, the U.S. economy is showing signs of deceleration, with GDP expected to contract in Q1 2025. This could impact consumer spending and, by extension, retail tenants' ability to meet lease obligations. On the positive side, Realty Income's focus on high-quality tenants and long-term leases provides a degree of insulation from short-term economic fluctuations. The company's gross margins of 92.8% and EBITDA margins of 90.2% underscore its operational efficiency, which is critical in navigating a challenging macroeconomic landscape.
 **Summary of Thesis, Edge, and Risk:**  
 Realty Income's investment thesis is built on its consistent dividend payments, strong revenue growth, and high-quality tenant base. Its edge lies in its scale, operational efficiency, and ability to generate stable cash flows even during economic downturns. However, risks include high interest rates, debt refinancing challenges, and potential tenant defaults in a slowing economy. While the stock's premium valuation may limit near-term upside, its long-term stability and income-generating potential remain attractive.
 **Score: 75**</t>
  </si>
  <si>
    <t>EPAM</t>
  </si>
  <si>
    <t>**Investment Report: EPAM Systems**
 **Recent News:**  
 EPAM Systems has not been in the news over the past week, indicating a lack of significant developments or announcements. This absence of news suggests stability in operations but also a lack of immediate catalysts for the stock. The broader IT consulting and services industry, however, is facing headwinds from macroeconomic uncertainties, including slowing global growth and rising geopolitical tensions, which could indirectly impact EPAM's business environment.
 **Financials:**  
 EPAM Systems is trading at a forward P/E ratio of 17.75, which is relatively attractive compared to its trailing P/E of 25.37, indicating expectations of earnings growth. The company has a solid profit margin of 9.61% and a return on equity of 12.8%, reflecting efficient management of shareholder capital. Revenue growth of 7.9% year-over-year and earnings growth of 8.5% demonstrate steady performance despite challenging economic conditions. 
 The firm’s balance sheet is robust, with a quick ratio of 2.79 and a current ratio of 2.96, indicating strong liquidity. Total cash stands at $1.29 billion, significantly outweighing its total debt of $163 million, resulting in a low debt-to-equity ratio of 4.5%. This financial strength positions EPAM well to weather economic uncertainties and invest in growth opportunities.
 However, the stock has underperformed over the past year, with a 52-week change of -32.74%, compared to the S&amp;P 500's gain of 17.25%. This decline reflects broader market pressures on the tech sector and potential concerns about valuation or growth prospects. The stock is currently trading near its 52-week low of $169.43, well below its 52-week high of $317.50, suggesting it may be undervalued if fundamentals remain intact.
 **Valuations:**  
 EPAM's price-to-sales ratio of 2.39 and price-to-book ratio of 3.11 are reasonable for a high-growth IT services company. The enterprise value-to-revenue ratio of 2.15 and enterprise value-to-EBITDA ratio of 15.26 are in line with industry peers, indicating the stock is not excessively overvalued. Analyst sentiment remains positive, with a mean price target of $256.40, representing a potential upside of approximately 28% from the current price. The recommendation mean of 2.05 (on a scale where 1 is a strong buy) further underscores optimism about the stock's prospects.
 **Economic Outlook:**  
 The broader economic environment poses challenges for EPAM. The U.S. economy is showing signs of deceleration, with GDP expected to shrink in Q1 2025. Rising tariffs and trade tensions, particularly with Canada, Mexico, and China, could disrupt global supply chains and increase costs for clients in key industries. Additionally, the IT consulting sector may face reduced demand as companies cut back on discretionary spending amid economic uncertainty. However, EPAM's diversified client base and strong financial position should help mitigate these risks.
 **Summary of Thesis, Edge, and Risk:**  
 EPAM Systems presents a compelling investment case based on its strong financial health, consistent revenue and earnings growth, and reasonable valuation metrics. The company’s robust liquidity and low debt levels provide a cushion against macroeconomic headwinds. Its ability to deliver high-quality IT consulting services positions it well to benefit from long-term digital transformation trends. However, risks include potential demand slowdowns due to economic uncertainty, geopolitical tensions, and the broader tech sector's volatility. The lack of recent news or catalysts may also limit short-term upside.
 **Score: 75**</t>
  </si>
  <si>
    <t>MMC</t>
  </si>
  <si>
    <t>**Investment Report: Marsh McLennan (MMC)**
 **Recent News:**  
 There have been no significant updates or developments regarding Marsh McLennan in the past week. This lack of news suggests stability in the company's operations and no immediate disruptions or catalysts impacting its business environment.
 **Financials:**  
 Marsh McLennan's financial performance reflects a strong and stable position within the insurance brokerage industry. The firm recently reached its 52-week high of $239.81, indicating positive momentum in its stock price. Its trailing price-to-earnings (P/E) ratio of 29.28 and forward P/E of 25.40 suggest that the stock is trading at a premium, reflecting investor confidence in its future earnings growth. The company has a solid dividend yield of 1.37%, with a payout ratio of 37.29%, indicating a sustainable dividend policy.
 The firm's revenue growth of 9.2% year-over-year and earnings growth of 4.4% demonstrate steady expansion, supported by strong operating margins of 24.59% and EBITDA margins of 29.55%. Marsh McLennan's return on equity (ROE) of 31.79% is particularly impressive, showcasing its ability to generate significant returns for shareholders. However, its debt-to-equity ratio of 161.52% highlights a high level of leverage, which could pose risks in a rising interest rate environment.
 The company maintains a robust cash flow position, with $4.3 billion in operating cash flow and $3.89 billion in free cash flow, providing flexibility for debt servicing, dividends, and potential growth investments. However, its quick ratio of 0.514 indicates limited short-term liquidity, which may require careful management of working capital.
 **Valuations:**  
 Marsh McLennan's price-to-book (P/B) ratio of 8.82 is significantly higher than the industry average, reflecting a premium valuation. Its enterprise value-to-revenue (EV/Revenue) ratio of 5.61 and enterprise value-to-EBITDA (EV/EBITDA) ratio of 18.99 suggest that the market is pricing in strong future growth expectations. Analyst sentiment is mixed, with a recommendation mean of 2.75 (Hold) and a target median price of $236, slightly below the current trading price, indicating limited upside potential in the near term.
 **Economic Outlook:**  
 The broader economic environment presents both opportunities and challenges for Marsh McLennan. The insurance brokerage industry is generally resilient to economic downturns, as insurance remains a necessity for businesses and individuals. However, the current macroeconomic backdrop, characterized by slowing GDP growth, rising jobless claims, and trade tensions, could weigh on corporate clients' budgets and insurance spending. Additionally, the elevated interest rate environment may increase borrowing costs for the company, given its high leverage.
 On the positive side, Marsh McLennan's diversified revenue streams and strong market position should help it navigate economic uncertainties. Its beta of 0.943 indicates lower volatility compared to the broader market, making it a relatively defensive investment in turbulent times.
 **Summary of Thesis, Edge, and Risk:**  
 Marsh McLennan's strong financial performance, robust cash flow generation, and impressive return on equity position it as a leader in the insurance brokerage industry. Its premium valuation reflects investor confidence in its ability to deliver consistent growth and shareholder returns. However, the company's high leverage and limited short-term liquidity pose risks, particularly in a challenging macroeconomic environment. While the firm is well-positioned to weather economic uncertainties, its current valuation suggests limited upside potential in the near term.
 **Score: 75**</t>
  </si>
  <si>
    <t>DRI</t>
  </si>
  <si>
    <t>**Investment Report: Darden Restaurants**
 **Recent News:**  
 Darden Restaurants has not been in the news over the past week, indicating a lack of significant developments or disruptions. This stability may reflect a steady operational environment, though it also suggests no immediate catalysts for sharp price movements in the short term.
 **Financials:**  
 Darden Restaurants is trading near its 52-week high of $203.09, reflecting strong recent performance. The company has a trailing P/E ratio of 22.42 and a forward P/E of 18.55, suggesting expectations of earnings growth. Its dividend yield of 2.79% is slightly below its five-year average of 2.84%, but the payout ratio of 61.94% indicates a sustainable dividend policy. The company’s beta of 1.27 suggests higher-than-average volatility compared to the broader market.
 Darden's revenue growth of 6% year-over-year and earnings growth of 3.2% highlight steady expansion, though not at an aggressive pace. Profit margins remain modest at 9%, with EBITDA margins at 15.64%, reflecting the challenges of operating in the competitive restaurant industry. The company’s return on equity (ROE) of 50.93% is a standout metric, indicating efficient use of shareholder capital.
 However, the balance sheet shows some concerns. The debt-to-equity ratio of 390.82 is high, signaling significant leverage. While the company generates strong operating cash flow ($1.66 billion) and free cash flow ($766 million), its quick ratio of 0.12 and current ratio of 0.37 suggest limited short-term liquidity. This could pose risks in a tightening economic environment.
 **Valuations:**  
 Darden's price-to-sales ratio of 1.98 and price-to-book ratio of 11.09 indicate a premium valuation, which may be justified by its strong brand portfolio and consistent performance. Analysts have a median price target of $205, close to the current price, with a high target of $230, suggesting limited upside in the near term. The recommendation mean of 2.03 (Buy) reflects general optimism among analysts, though the stock may already be fairly valued.
 **Economic Outlook:**  
 The broader economic environment presents mixed signals for Darden. Rising tariffs and trade tensions could increase input costs, particularly for imported food and materials, potentially pressuring margins. Additionally, slowing GDP growth and weakening consumer confidence may dampen discretionary spending, including dining out. However, Darden’s focus on value-oriented dining experiences could help it weather economic headwinds better than higher-end competitors. The company’s strong cash flow generation and dividend yield may also appeal to investors seeking stability in a volatile market.
 **Summary:**  
 **Thesis:** Darden Restaurants benefits from a strong brand portfolio, steady revenue growth, and efficient capital utilization, making it a reliable performer in the restaurant industry.  
 **Edge:** Its focus on value dining and consistent cash flow generation positions it well to navigate economic uncertainty.  
 **Risk:** High leverage and potential margin pressures from rising costs and slowing consumer spending could weigh on performance.
 **Score: 75**</t>
  </si>
  <si>
    <t>FFIV</t>
  </si>
  <si>
    <t>**Investment Report: F5, Inc.**
 **Recent News:**  
 F5, Inc. has not been in the news over the past week, indicating a lack of significant developments or announcements. This absence of news suggests stability but also highlights the need to focus on financial performance and broader economic factors to assess the company's investment potential.
 **Financials:**  
 F5, Inc. is trading near the higher end of its 52-week range, with a recent high of $298.54 and a low of $282.16 during the trading day. The stock has shown strong performance over the past year, with a 52-week change of +55.99%, significantly outperforming the S&amp;P 500's 17.25% gain. The company has a market capitalization of $16.38 billion and a price-to-earnings (P/E) ratio of 28.25, which is higher than the forward P/E of 18.45, indicating expectations of earnings growth.
 The firm has demonstrated solid profitability metrics, with a profit margin of 20.58% and operating margins of 28.23%. Revenue growth of 10.7% and earnings growth of 21.6% year-over-year reflect strong operational performance. Gross margins are robust at 80.56%, showcasing the company's ability to maintain pricing power and control costs. Free cash flow of $753.94 million and a quick ratio of 1.30 indicate healthy liquidity and financial stability.
 Debt levels are low, with a debt-to-equity ratio of 8.48, and the company holds $1.15 billion in cash, providing flexibility for future investments or shareholder returns. However, the trailing PEG ratio of 1.50 suggests the stock may be fairly valued relative to its growth prospects.
 **Valuations:**  
 F5, Inc. is trading at a price-to-book ratio of 5.10, which is relatively high but not uncommon for a technology company with strong growth and profitability. The enterprise value-to-revenue ratio of 5.37 and enterprise value-to-EBITDA ratio of 19.12 indicate a premium valuation, reflecting investor confidence in the company's future earnings potential. Analyst sentiment is neutral, with a "hold" recommendation and a mean target price of $303.60, suggesting limited upside from current levels.
 **Economic Outlook:**  
 The broader economic environment presents challenges for F5, Inc. The U.S. economy is showing signs of deceleration, with GDP expected to contract in Q1 2025. Rising tariffs on key trading partners, including Canada, Mexico, and China, could disrupt supply chains and increase costs for technology companies. However, F5's strong gross margins and cash reserves may help mitigate these risks. Additionally, the company's beta of 1.10 indicates slightly higher volatility than the market, which could amplify stock movements in a turbulent economic climate.
 **Summary:**  
 F5, Inc. benefits from strong financial performance, robust margins, and a healthy balance sheet, positioning it well to weather economic uncertainties. However, its premium valuation and exposure to broader market volatility present risks. The company's edge lies in its operational efficiency and ability to generate consistent cash flow, while risks include potential macroeconomic headwinds and limited near-term upside based on current valuations.
 **Score: 75**</t>
  </si>
  <si>
    <t>LOW</t>
  </si>
  <si>
    <t>**Investment Report: Lowe's Companies Inc.**
 **Recent News:**  
 Lowe's Companies Inc. delivered a strong fourth-quarter 2024 performance, exceeding Wall Street expectations with earnings of $1.93 per share and $18.55 billion in sales. This marked a significant turnaround, as same-store sales grew for the first time in two years. The company's strategic focus on enhancing digital platforms and catering to Pro customers has been instrumental in driving these results. However, Lowe's has issued a cautious outlook for 2025, citing economic uncertainty and restrained consumer spending, a sentiment echoed by its competitor, Home Depot. Despite the cautious guidance, the positive earnings report contributed to a rise in Lowe's stock and broader market gains, including a 150-point surge in the Nasdaq Composite. This indicates that investors remain optimistic about Lowe's ability to navigate a challenging macroeconomic environment.
 **Financials:**  
 Lowe's financial metrics reflect a solid operational foundation. The company has a trailing price-to-earnings (P/E) ratio of 20.13 and a forward P/E of 19.49, suggesting reasonable valuation levels relative to its earnings growth. Its dividend yield of 1.85% is above its five-year average of 1.68%, indicating a commitment to returning value to shareholders. Lowe's maintains a profit margin of 8.31% and a gross margin of 33.32%, showcasing efficient cost management. However, revenue growth has been slightly negative (-0.3%), reflecting broader economic headwinds. The company's free cash flow of $6.98 billion and operating cash flow of $9.62 billion provide a strong liquidity position to support ongoing investments and shareholder returns. On the downside, Lowe's carries significant debt, with a total debt of $39.68 billion and a quick ratio of 0.11, which could pose risks in a rising interest rate environment.
 **Valuations:**  
 Lowe's stock is trading at $245.54, near the lower end of its 52-week range of $211.80 to $287.01. Analysts have a median price target of $286.00, implying a potential upside of approximately 16.4%. The stock's beta of 1.12 indicates slightly higher volatility than the broader market, which could amplify price movements in response to macroeconomic developments. The enterprise value-to-revenue ratio of 2.10 and enterprise value-to-EBITDA ratio of 14.10 suggest that the stock is fairly valued compared to its peers in the home improvement retail sector. However, the trailing PEG ratio of 4.78 indicates that the stock may be expensive relative to its earnings growth potential.
 **Economic Outlook:**  
 The broader economic environment presents both challenges and opportunities for Lowe's. The U.S. economy is showing signs of deceleration, with GDP expected to contract by 1.5% in Q1 2025. Rising jobless claims and weakening consumer confidence could dampen demand for discretionary home improvement projects. Additionally, President Trump's tariffs on Canadian and Mexican goods, as well as increased tariffs on Chinese imports, could lead to higher input costs for Lowe's, pressuring margins. However, the Federal Reserve's efforts to control inflation and the potential for rate cuts later in the year could provide some relief. Lowe's focus on Pro customers and digital investments positions it well to capture market share in a competitive landscape, even as consumer spending remains cautious.
 **Summary:**  
 Lowe's demonstrates a strong operational foundation and strategic focus, with recent earnings exceeding expectations and same-store sales growth returning after two years. Its edge lies in its investments in digital platforms and Pro customer offerings, which have driven performance despite economic headwinds. However, risks include muted revenue growth, significant debt levels, and potential margin pressures from tariffs and cautious consumer spending. While the stock appears fairly valued, its long-term prospects remain tied to its ability to navigate macroeconomic challenges and sustain operational efficiencies.
 **Score: 75**</t>
  </si>
  <si>
    <t>HD</t>
  </si>
  <si>
    <t>**Investment Report: Home Depot (The)**
 **Recent News:**  
 Home Depot has demonstrated resilience in a challenging economic environment, reporting strong fourth-quarter earnings that exceeded Wall Street expectations. Revenue reached $39.7 billion, and earnings per share came in at $3.13, breaking a two-year sales slump. This performance was bolstered by an additional week in the quarter and strategic investments targeting the professional market. However, the company has issued a cautious outlook for 2025, citing a slowdown in spending on large renovation projects, which could weigh on same-store sales growth. The modest dividend increase, the smallest in 15 years, reflects a balanced approach to shareholder returns while navigating economic uncertainties. Analysts remain divided, with some optimistic about growth potential and others concerned about macroeconomic headwinds.
 **Financials:**  
 Home Depot's financial metrics highlight its strong profitability and operational efficiency. The company boasts a trailing price-to-earnings (P/E) ratio of 26.14 and a forward P/E of 24.98, indicating a premium valuation relative to the broader market. Its gross margin of 33.42% and operating margin of 11.32% underscore its ability to manage costs effectively. The dividend yield of 2.32% is slightly above its five-year average, signaling a commitment to returning value to shareholders. However, the company's high debt-to-equity ratio of 938.1% reflects significant leverage, which could pose risks in a rising interest rate environment. Free cash flow of $11.6 billion and a return on equity of 385.37% demonstrate robust cash generation and shareholder value creation.
 **Valuations:**  
 Home Depot's stock is trading near the midpoint of its 52-week range, with a recent close of $396.60 compared to a high of $439.37 and a low of $323.77. The price-to-sales ratio of 2.43 and enterprise value-to-revenue ratio of 2.80 suggest the stock is priced at a premium, reflecting investor confidence in its market position. Analyst price targets range from $294.32 to $484.00, with a mean target of $431.87, indicating potential upside. However, the trailing PEG ratio of 5.36 suggests the stock may be overvalued relative to its earnings growth.
 **Economic Outlook:**  
 The broader economic environment presents mixed signals for Home Depot. High interest rates and a cooling housing market are likely to dampen demand for large-scale renovation projects, a key driver of Home Depot's sales. Additionally, the recent implementation of tariffs on Canadian and Mexican goods could increase costs for imported materials, potentially squeezing margins. On the positive side, the company's focus on the professional market and its ability to adapt to changing consumer behavior provide a buffer against these challenges. The U.S. economy's deceleration, with GDP expected to shrink by 1.5% in Q1 2025, adds to the uncertainty, but Home Depot's strong brand and operational efficiency position it well to weather short-term headwinds.
 **Summary:**  
 **Thesis:** Home Depot's strong financial performance and strategic focus on the professional market provide a solid foundation for long-term growth, despite near-term challenges.  
 **Edge:** The company's scale, brand strength, and operational efficiency give it a competitive advantage in the home improvement retail sector.  
 **Risk:** Economic headwinds, including high interest rates, a slowing housing market, and potential cost pressures from tariffs, could weigh on performance in the near term.  
 **Score: 75**</t>
  </si>
  <si>
    <t>JKHY</t>
  </si>
  <si>
    <t>**Investment Report: Jack Henry &amp; Associates**
 **Recent News:**  
 Jack Henry &amp; Associates has not been in the news over the past week, indicating a lack of significant recent developments or disruptions. This stability can be interpreted as a positive sign in a volatile macroeconomic environment, particularly given the heightened uncertainty surrounding trade policies and economic deceleration. However, the absence of news also suggests no immediate catalysts for growth or significant changes in the company's operations.
 **Financials:**  
 Jack Henry &amp; Associates demonstrates solid financial health with a market capitalization of $12.98 billion and a relatively low beta of 0.655, indicating lower volatility compared to the broader market. The company has a trailing P/E ratio of 32.07 and a forward P/E of 28.16, suggesting a premium valuation relative to its earnings growth. The dividend yield of 1.34% is above its five-year average of 1.14%, reflecting a consistent commitment to returning value to shareholders. The payout ratio of 39.64% indicates a sustainable dividend policy.
 The firm's revenue growth of 5.2% and earnings growth of 6.3% year-over-year are modest but steady, aligning with its reputation as a stable player in the transaction and payment processing services industry. Operating margins of 21.44% and EBITDA margins of 25.38% highlight strong operational efficiency. However, the debt-to-equity ratio of 10.41% is slightly elevated, though manageable given the company's robust free cash flow of $279.69 million and operating cash flow of $535.91 million.
 **Valuations:**  
 Jack Henry's price-to-book ratio of 6.57 and price-to-sales ratio of 5.71 suggest the stock is trading at a premium compared to its peers. The enterprise value-to-EBITDA ratio of 22.8 further supports this view. While these valuations may appear high, they reflect the market's confidence in the company's consistent performance and its ability to navigate economic headwinds. Analyst sentiment is mixed, with a recommendation mean of 2.63 (between "hold" and "buy") and a target median price of $190, implying a modest upside from the current price of $178.06.
 **Economic Outlook:**  
 The broader economic environment presents challenges for Jack Henry. The U.S. economy is showing signs of deceleration, with GDP expected to shrink by 1.5% in Q1 2025. Rising trade tensions, particularly the implementation of tariffs on Canada, Mexico, and China, could indirectly impact the company by reducing consumer and business spending. However, Jack Henry's focus on transaction and payment processing services positions it as a relatively defensive play, as these services are essential even in slower economic periods. The company's low beta further underscores its resilience in volatile markets.
 **Summary of Thesis, Edge, and Risk:**  
 Jack Henry &amp; Associates offers a stable investment opportunity with consistent revenue and earnings growth, strong operational efficiency, and a sustainable dividend policy. Its low beta and defensive business model provide an edge in a volatile macroeconomic environment. However, the stock's premium valuation and potential indirect exposure to economic headwinds, such as reduced consumer spending due to tariffs, present risks. The company's ability to maintain steady growth amid broader economic challenges will be critical to its performance.
 **Score: 75**</t>
  </si>
  <si>
    <t>AWK</t>
  </si>
  <si>
    <t>**Investment Report: American Water Works (AWK)**
 **Recent News:**  
 There have been no significant updates or news regarding American Water Works in the past week. This lack of news suggests stability in the company's operations and no immediate external disruptions impacting its business model. However, the absence of news also means no new catalysts for short-term price movement.
 **Financials:**  
 American Water Works demonstrates solid financial performance with a market capitalization of $27.2 billion and a trailing price-to-earnings (P/E) ratio of 25.94, which is slightly elevated compared to the broader market. The forward P/E ratio of 24.49 indicates expectations of continued earnings growth. The company has a dividend yield of 2.25%, above its five-year average of 1.76%, reflecting its commitment to returning value to shareholders. The payout ratio of 55.71% suggests the dividend is sustainable, supported by strong profit margins of 22.44% and EBITDA margins of 54.10%.  
 Revenue growth of 16.4% year-over-year and earnings growth of 39.1% highlight robust operational performance. However, the company faces challenges with a high debt-to-equity ratio of 136.7%, which could be a concern in a rising interest rate environment. Free cash flow is negative at -$1.19 billion, indicating significant capital expenditures or operational cash flow constraints. Despite this, operating cash flow remains strong at $2.04 billion, which supports ongoing operations and debt servicing.
 **Valuations:**  
 American Water Works trades at a price-to-book (P/B) ratio of 2.63, which is reasonable for a utility company with stable cash flows and a defensive business model. The stock is currently trading near its 50-day average of $125.94 and slightly above its 200-day average of $134.63, suggesting moderate upward momentum. The stock's beta of 0.681 indicates lower volatility compared to the broader market, making it an attractive option for risk-averse investors. Analyst sentiment is neutral, with a recommendation mean of 2.67 (hold) and a target median price of $135, close to its current trading price.
 **Economic Outlook:**  
 The broader economic environment presents mixed implications for American Water Works. The U.S. economy is showing signs of deceleration, with GDP contraction expected in Q1 2025 and rising jobless claims. However, utility companies like American Water Works tend to perform well in economic downturns due to the essential nature of their services. The Federal Reserve's restrictive monetary policy and potential rate cuts later in the year could alleviate some pressure on the company's high debt levels. Additionally, the company's strong gross margins of 60.33% and stable revenue streams position it well to weather economic uncertainty.
 **Summary of Thesis, Edge, and Risk:**  
 American Water Works benefits from its defensive business model, stable revenue growth, and strong profit margins, making it a reliable investment in uncertain economic conditions. Its edge lies in its essential service offerings and ability to generate consistent cash flows. However, risks include its high debt levels, negative free cash flow, and sensitivity to interest rate changes. While the stock appears fairly valued, its stability and dividend yield make it a potential safe haven in a volatile market.
 **Score: 75**</t>
  </si>
  <si>
    <t>ANSS</t>
  </si>
  <si>
    <t>**Investment Report: Ansys (Ticker: ANSS)**
 **Recent News:**  
 Ansys has not been featured in any significant news over the past week. This absence of news suggests stability in its operations but also indicates a lack of immediate catalysts for significant price movement. The broader macroeconomic environment, including trade tensions and slowing economic growth, may indirectly influence the company, particularly given its exposure to global markets.
 **Financials:**  
 Ansys operates with strong financial metrics, highlighted by a robust profit margin of 22.62% and gross margins of 92.48%, reflecting its high-value software offerings and efficient cost management. The company’s trailing P/E ratio of 49.53 and forward P/E of 29.56 indicate a premium valuation, which is typical for high-growth software firms. However, these multiples are elevated compared to the broader market, suggesting that investors are pricing in significant future growth. 
 The company’s revenue growth of 9.6% year-over-year and earnings growth of 1.9% are modest but steady, aligning with its reputation as a stable, mature player in the application software industry. Free cash flow of $670.9 million and a current ratio of 3.01 underscore its strong liquidity position, which is further supported by $1.5 billion in cash reserves. Debt levels are manageable, with a debt-to-equity ratio of 14.22%, indicating prudent financial management.
 **Valuations:**  
 Ansys trades at a price-to-sales ratio of 11.21 and a price-to-book ratio of 4.68, both of which are higher than industry averages. While these metrics reflect the company’s strong market position and high-quality earnings, they also suggest limited margin for error in execution. The stock is currently trading near the midpoint of its 52-week range ($289.82 - $363.03), with a recent close of $333.25. Analyst price targets range from $340 to $372, with a median target of $360, implying modest upside potential of approximately 8% from current levels.
 The company’s beta of 1.11 indicates slightly higher volatility than the broader market, which could be exacerbated by macroeconomic uncertainties, including trade tariffs and slowing GDP growth. However, its trailing PEG ratio of 1.99 suggests that its valuation is reasonable relative to its growth prospects.
 **Economic Outlook:**  
 The broader economic environment presents mixed implications for Ansys. The U.S. economy is showing signs of deceleration, with GDP expected to contract by 1.5% in Q1 2025. Trade tensions, particularly the imposition of tariffs on Canada, Mexico, and China, could disrupt global supply chains and dampen demand for Ansys’ software solutions in affected regions. However, the company’s high gross margins and strong cash flow position it well to weather economic headwinds. Additionally, its focus on simulation software, which is critical for industries like aerospace, automotive, and energy, provides a degree of resilience against cyclical downturns.
 **Summary of Thesis, Edge, and Risk:**  
 Ansys is a high-quality company with strong financials, a dominant market position, and a focus on mission-critical software solutions. Its edge lies in its high-margin business model and strong cash flow generation, which provide stability and flexibility in uncertain economic conditions. However, its premium valuation and exposure to global markets introduce risks, particularly in the current environment of slowing economic growth and heightened trade tensions.
 **Score: 75**</t>
  </si>
  <si>
    <t>AEP</t>
  </si>
  <si>
    <t>**Investment Report: American Electric Power (AEP)**
 **Recent News:**  
 There have been no significant news developments for American Electric Power (AEP) in the past week. This lack of news suggests stability in the company's operations and no immediate disruptions or catalysts impacting its performance. However, the broader macroeconomic environment, including rising tariffs and potential economic deceleration, could indirectly affect the utility sector, particularly in terms of input costs and consumer demand.
 **Financials:**  
 AEP's financial performance reflects a stable and mature utility company. The firm has a trailing price-to-earnings (P/E) ratio of 19.30 and a forward P/E of 18.29, indicating moderate valuation levels relative to its earnings growth. The company offers a dividend yield of 3.51%, slightly below its five-year average of 3.57%, with a payout ratio of 63.98%, suggesting a sustainable dividend policy. AEP's beta of 0.492 highlights its low volatility compared to the broader market, making it a defensive play in uncertain economic conditions.
 The company has shown strong earnings growth of 97.5% year-over-year, supported by revenue growth of 2.6%. Its profit margins are healthy, with a net margin of 15.05% and EBITDA margins of 39.67%. However, AEP's high debt-to-equity ratio of 170.45% and negative free cash flow of -$2.01 billion indicate significant leverage and potential liquidity concerns. The quick ratio of 0.237 and current ratio of 0.445 further highlight limited short-term liquidity, which could be a risk in a rising interest rate environment.
 **Valuations:**  
 AEP's stock is trading near its 52-week high of $107.84, with a price-to-book ratio of 2.13, reflecting a premium valuation compared to its book value. The stock's recent performance has been strong, with a 52-week price change of +26.17%, outperforming the S&amp;P 500's +17.25% over the same period. Analyst sentiment is mixed, with a "hold" recommendation and a target median price of $102, slightly below the current trading price, suggesting limited upside in the near term.
 **Economic Outlook:**  
 The utility sector is generally considered a safe haven during economic slowdowns due to its essential services and predictable cash flows. However, the broader macroeconomic environment poses challenges. Rising tariffs on steel and aluminum could increase infrastructure costs for AEP, while potential economic deceleration may dampen industrial and commercial electricity demand. On the positive side, moderating inflation and the possibility of Federal Reserve rate cuts later in the year could reduce financing costs for AEP's capital-intensive operations.
 **Summary of Thesis, Edge, and Risk:**  
 AEP's investment thesis is rooted in its stable cash flows, defensive characteristics, and attractive dividend yield, making it a reliable choice in uncertain economic conditions. Its edge lies in its strong market position and consistent earnings growth, supported by healthy profit margins. However, risks include high leverage, limited liquidity, and potential cost pressures from tariffs and rising input prices. The stock's current valuation near its 52-week high also limits short-term upside potential.
 **Score: 72**</t>
  </si>
  <si>
    <t>AIG</t>
  </si>
  <si>
    <t>**Investment Report: American International Group (AIG)**
 **Recent News:**  
 American International Group (AIG) has been highlighted as a potential strong dividend stock, with its dividend yield of 1.93% and a payout ratio of 38.33%. While its five-year average dividend yield of 2.58% suggests a slight decline in yield, the company's consistent dividend payments and manageable payout ratio indicate a stable approach to shareholder returns. AIG's position as a multi-line insurer provides it with diversified revenue streams, which could help mitigate risks in a volatile economic environment.
 **Financials:**  
 AIG's financial performance reflects a mixed but cautiously optimistic outlook. The company has a market capitalization of $49 billion and a price-to-book ratio of 1.18, suggesting it is trading near its book value, which could indicate fair valuation. Its trailing P/E ratio of 20.29 is higher than its forward P/E of 12.31, signaling expectations of improved earnings in the future. AIG's earnings growth of 11.53% and revenue growth of 8.8% over the past year further support this optimism. However, its profit margins remain negative at -5.2%, which is a concern, though the company has shown quarterly earnings growth of 8.66%, indicating progress toward profitability.
 The company has a strong cash position with $15.7 billion in total cash and a free cash flow of $16.3 billion, which provides flexibility for operations, debt management, and potential shareholder returns. However, its debt-to-equity ratio of 23.01% and total debt of $9.79 billion highlight the need for careful financial management. AIG's return on equity (ROE) of 5.75% is modest but reflects steady performance in a competitive industry.
 **Valuations:**  
 AIG's valuation metrics suggest it is reasonably priced relative to its peers. Its price-to-sales ratio of 1.81 and enterprise value-to-revenue ratio of 1.60 indicate that the market is valuing the company conservatively. Analysts have a mean target price of $83.29, close to its current trading range, with a high target of $96, suggesting limited upside in the short term. The stock's beta of 1.0 indicates it moves in line with the broader market, making it a stable option in a volatile environment.
 **Economic Outlook:**  
 The broader economic environment presents challenges and opportunities for AIG. The U.S. economy is showing signs of deceleration, with GDP contraction expected in Q1 2025 and rising jobless claims. However, AIG's diversified insurance operations could provide resilience against economic headwinds. The company's exposure to interest rate-sensitive investments may benefit from the Federal Reserve's potential rate cuts later in the year, which could improve investment income. On the other hand, geopolitical uncertainties, including trade tensions and tariff impacts, could weigh on consumer and business sentiment, indirectly affecting AIG's growth prospects.
 **Summary:**  
 AIG's thesis lies in its stable dividend payments, improving earnings outlook, and diversified business model, which provide a degree of resilience in uncertain economic conditions. Its edge comes from its strong cash position and ability to generate free cash flow, which supports operational flexibility and shareholder returns. However, risks include its negative profit margins, high debt levels, and potential exposure to macroeconomic volatility.  
 **Score: 72**</t>
  </si>
  <si>
    <t>AKAM</t>
  </si>
  <si>
    <t>**Investment Report: Akamai Technologies**
 **Recent News:**  
 Akamai Technologies has not been in the news over the past week, indicating a lack of significant developments or announcements. This absence of news suggests stability but also highlights the need to focus on the company's financials and broader economic conditions to assess its investment potential.
 **Financials:**  
 Akamai Technologies is trading near its 52-week low of $75.50, with a recent close at $80.68. The stock has experienced a significant decline over the past year, with a 52-week change of -26.24%, underperforming the S&amp;P 500's 17.25% gain. The company has a market capitalization of $12.18 billion and a price-to-earnings (P/E) ratio of 24.77, which is higher than its forward P/E of 12.13, suggesting expectations of improved earnings in the future. 
 The company’s profit margins stand at 12.65%, supported by strong gross margins of 59.39%. However, earnings growth has been negative at -10.5%, and revenue growth is modest at 2.5%. Akamai's free cash flow of $642.83 million and operating cash flow of $1.52 billion indicate solid liquidity, though its debt-to-equity ratio of 95.00% reflects a relatively high leverage position. The company’s quick ratio of 1.11 and current ratio of 1.23 suggest adequate short-term liquidity to meet obligations.
 Short interest in the stock has increased, with 10.27 million shares shorted, representing 6.84% of shares outstanding. This could indicate bearish sentiment among some investors. However, institutional ownership remains strong at 97.9%, reflecting confidence from large investors.
 **Valuations:**  
 Akamai's price-to-book ratio of 2.49 and price-to-sales ratio of 3.05 suggest the stock is reasonably valued compared to its peers in the Internet Services &amp; Infrastructure industry. The enterprise value-to-revenue ratio of 3.81 and enterprise value-to-EBITDA ratio of 13.63 are within acceptable ranges for a company in this sector. Analysts have a mean target price of $108.10, representing a potential upside of approximately 34% from the current price. The recommendation mean of 1.88 (on a scale where 1.0 is a strong buy) indicates a generally favorable outlook from analysts.
 **Economic Outlook:**  
 The broader economic environment presents challenges for Akamai. The U.S. economy is showing signs of deceleration, with GDP expected to shrink by 1.5% in Q1 2025. Rising tariffs on key trading partners, including Canada, Mexico, and China, could disrupt global supply chains and increase costs for Akamai's customers, potentially impacting demand for its services. However, the company’s focus on internet infrastructure and cybersecurity positions it well in a digital-first economy, which remains a long-term growth driver.
 The technology sector has faced significant pressure recently, with increased volatility and a rotation away from tech stocks. Akamai’s beta of 0.676 suggests lower volatility compared to the broader market, which could make it a relatively safer option within the sector during turbulent times.
 **Summary of Thesis, Edge, and Risk:**  
 Akamai Technologies offers a stable financial foundation with strong cash flow generation and robust institutional support. Its valuation metrics suggest potential upside, particularly if earnings improve as projected. The company’s focus on internet infrastructure and cybersecurity aligns with long-term digital transformation trends, providing a competitive edge. However, risks include high leverage, negative earnings growth, and potential macroeconomic headwinds from tariffs and slowing economic growth. The lack of recent news or catalysts may also limit short-term momentum.
 **Score: 72**</t>
  </si>
  <si>
    <t>ALLE</t>
  </si>
  <si>
    <t>**Investment Report: Allegion (Building Products Industry)**
 **Recent News:**  
 Allegion has not been in the news over the past week, indicating a lack of significant developments or disruptions. This absence of news suggests stability in operations but also a lack of immediate catalysts for the stock. The broader macroeconomic environment, including trade tensions and slowing economic growth, may indirectly impact the company, particularly if tariffs or supply chain disruptions affect its input costs or customer demand.
 **Financials:**  
 Allegion's financial performance reflects a solid foundation with a trailing price-to-earnings (PE) ratio of 18.55 and a forward PE of 16.24, indicating moderate valuation levels relative to its earnings growth. The company has demonstrated strong profitability metrics, with a return on equity (ROE) of 42.39% and return on assets (ROA) of 11.26%, showcasing efficient use of capital and assets. Its profit margins stand at 15.84%, supported by healthy operating margins of 20.72% and gross margins of 44.23%.  
 Revenue growth of 5.4% year-over-year and earnings growth of 23.4% highlight Allegion's ability to expand both its top and bottom lines, even in a challenging economic environment. The company also maintains a robust free cash flow of $465.7 million, providing flexibility for reinvestment, debt reduction, or shareholder returns. However, its debt-to-equity ratio of 143.31% is relatively high, which could pose risks in a rising interest rate environment or during economic slowdowns.
 The dividend yield of 1.58% is slightly above its five-year average of 1.33%, reflecting a steady income stream for shareholders. With a payout ratio of 28.15%, the dividend appears sustainable, supported by strong cash flows.
 **Valuations:**  
 Allegion's price-to-book ratio of 7.27 is elevated, suggesting the stock is trading at a premium relative to its book value. However, its trailing PEG ratio of 1.77 indicates that the stock's valuation is reasonable when accounting for its earnings growth. The stock is trading near its 50-day average of $130.78 and below its 200-day average of $132.80, suggesting some recent weakness. The current price of $126.13 is closer to its 52-week low of $113.27 than its high of $156.10, which may present an opportunity for long-term investors if the fundamentals remain intact.
 **Economic Outlook:**  
 The broader economic environment poses mixed implications for Allegion. The U.S. economy is showing signs of deceleration, with GDP expected to contract in Q1 2025. Rising jobless claims and weakening consumer confidence could dampen demand for building products. Additionally, President Trump's tariffs on steel and aluminum imports may increase input costs for Allegion, potentially pressuring margins. However, the company's strong cash flow and operational efficiency provide a buffer against these headwinds.  
 On the positive side, Allegion's exposure to the building products industry, which benefits from long-term trends like urbanization and infrastructure investment, may provide resilience. The company's focus on innovation and security solutions could also position it well in a market increasingly prioritizing safety and technology integration.
 **Summary:**  
 **Thesis:** Allegion's strong profitability, consistent revenue and earnings growth, and robust cash flow make it a fundamentally sound company.  
 **Edge:** Its focus on security solutions and operational efficiency provides a competitive advantage in a challenging macroeconomic environment.  
 **Risk:** High debt levels and potential margin pressures from tariffs and slowing economic growth could weigh on performance in the near term.  
 **Score: 72**</t>
  </si>
  <si>
    <t>TTWO</t>
  </si>
  <si>
    <t>**Investment Report: Take-Two Interactive**
 **Recent News:**  
 Take-Two Interactive has not been in the headlines over the past week, indicating a lack of immediate catalysts or controversies. This absence of news suggests stability in the company's operations but also a lack of short-term momentum drivers. The broader market environment, including heightened volatility and economic uncertainty, may indirectly influence the stock.
 **Financials:**  
 Take-Two Interactive's stock has shown resilience, trading near its 52-week high of $218.75, with a recent close at $211.98. The company has a market capitalization of $36.72 billion and a forward P/E ratio of 26.54, reflecting optimism about future earnings growth. However, the firm is currently unprofitable, with a trailing EPS of -$21.37 and a net income loss of $3.66 billion over the last fiscal year. This is a significant concern, as it highlights challenges in cost management or revenue generation.
 The company's revenue of $5.45 billion over the trailing twelve months represents a slight decline (-0.5% revenue growth), and its gross margins of 57.92% indicate strong pricing power and operational efficiency in its core business. However, operating margins are negative (-7.89%), and the return on equity is deeply negative (-51.45%), signaling inefficiencies and potential over-leverage. The debt-to-equity ratio of 71.97% is relatively high, though manageable given the company's cash reserves of $1.21 billion and free cash flow of $926.95 million.
 **Valuations:**  
 Take-Two's price-to-sales ratio of 6.74 and price-to-book ratio of 6.44 suggest the stock is trading at a premium compared to its peers in the interactive entertainment industry. Analysts remain optimistic, with a mean target price of $215.78 and a recommendation mean of 1.59 ("buy"). The forward EPS of $7.84 implies significant earnings growth potential, which could justify the current valuation if achieved. However, the enterprise value-to-EBITDA ratio of 113.70 is exceptionally high, indicating that the market is pricing in substantial future growth, leaving little room for error.
 **Economic Outlook:**  
 The broader economic environment poses challenges for Take-Two Interactive. The U.S. economy is showing signs of deceleration, with GDP contraction expected in Q1 2025 and consumer confidence weakening. Tariffs on Canadian, Mexican, and Chinese goods could increase costs for gaming hardware and components, potentially impacting Take-Two's supply chain or consumer spending on its products. However, the company's focus on digital content and recurring revenue streams from in-game purchases may insulate it from some macroeconomic pressures.
 The interactive entertainment industry remains a growth sector, driven by increasing consumer engagement with gaming and the rise of new technologies like cloud gaming and virtual reality. Take-Two's strong intellectual property portfolio, including franchises like Grand Theft Auto and NBA 2K, positions it well to capitalize on these trends. However, competition from peers like Electronic Arts and Activision Blizzard remains intense, and any delays in game releases or underperformance of key titles could weigh on the stock.
 **Summary:**  
 **Thesis:** Take-Two Interactive is a leader in the interactive entertainment industry with a strong portfolio of franchises and significant growth potential. Its forward earnings expectations and robust gross margins support the current valuation.  
 **Edge:** The company's focus on digital content and recurring revenue streams provides resilience against macroeconomic headwinds. Its strong cash position and free cash flow offer financial flexibility.  
 **Risk:** Negative profitability, high valuation multiples, and macroeconomic uncertainty pose risks. Any delays in game releases or underperformance of key titles could lead to significant downside.
 **Score: 72**</t>
  </si>
  <si>
    <t>**Investment Report: Verizon Communications Inc. (VZ)**
 **Recent News:**  
 Verizon is facing potential challenges to its $2.4 billion Federal Aviation Administration (FAA) telecommunications contract, as reports suggest the FAA may cancel the agreement in favor of Elon Musk's Starlink. This development introduces uncertainty regarding Verizon's ability to secure and maintain large government contracts, which could impact its revenue streams. Additionally, lawmakers have raised concerns about Musk's influence over the FAA's decision-making process, further complicating the situation. On a positive note, Verizon is advancing its satellite-to-cellular connectivity efforts through a collaboration with AST SpaceMobile (ASTS), aiming to develop a high-speed satellite-to-device network. This initiative could position Verizon as a leader in next-generation telecommunications technology, potentially offsetting risks from the FAA contract dispute.
 **Financials:**  
 Verizon's financial metrics reflect a stable but moderately leveraged position. The company offers a strong dividend yield of 6.29%, well above its five-year average of 5.67%, which may appeal to income-focused investors. Its trailing price-to-earnings (P/E) ratio of 10.60 and forward P/E of 9.27 suggest the stock is undervalued relative to its earnings potential. However, the company's debt-to-equity ratio of 170.71 indicates significant leverage, which could pose risks in a rising interest rate environment. Verizon's gross margins of 60% and operating margins of 21.23% highlight its ability to generate consistent profitability. Free cash flow of $16 billion and operating cash flow of $36.9 billion provide a solid foundation for sustaining dividend payments and funding strategic initiatives.
 **Valuations:**  
 Verizon's current price-to-book ratio of 1.86 and price-to-sales ratio of 1.37 suggest the stock is trading at a reasonable valuation. The stock's 52-week range of $37.59 to $45.36 indicates limited volatility, with the current price near the upper end of this range. Analyst sentiment remains cautiously optimistic, with a mean target price of $47.66, representing a potential upside of approximately 10% from current levels. The recommendation mean of 2.28 (between "Buy" and "Hold") reflects moderate confidence in the stock's near-term prospects.
 **Economic Outlook:**  
 The broader economic environment presents mixed signals for Verizon. The U.S. economy is showing signs of deceleration, with GDP expected to contract in Q1 2025. Rising jobless claims and weakening consumer confidence could dampen demand for telecommunications services. However, Verizon's defensive business model and essential service offerings may provide resilience during economic downturns. The ongoing trade tensions and tariffs could indirectly impact Verizon's supply chain and operational costs, though the company is less exposed to international markets compared to other sectors. Additionally, advancements in satellite technology and 5G infrastructure could drive long-term growth, particularly as Verizon invests in innovative solutions like satellite-to-cellular connectivity.
 **Summary of Thesis, Edge, and Risk:**  
 Verizon's strong dividend yield, stable cash flows, and undervalued valuation metrics make it an attractive option for income-focused investors. The company's collaboration with AST SpaceMobile on satellite-to-cellular technology provides a competitive edge in next-generation telecommunications. However, risks include the potential loss of the FAA contract to Starlink, high leverage, and macroeconomic headwinds that could pressure consumer spending and operational costs. Balancing these factors, Verizon remains a stable player in the integrated telecommunications sector with moderate growth potential.
 **Score: 72**</t>
  </si>
  <si>
    <t>VMC</t>
  </si>
  <si>
    <t>**Investment Report: Vulcan Materials Company**
 **Recent News:**  
 There have been no significant updates or developments regarding Vulcan Materials Company in the past week. This absence of news suggests stability in the company's operations and market positioning, with no immediate disruptions or catalysts impacting its performance.
 **Financials:**  
 Vulcan Materials exhibits solid financial metrics, with a market capitalization of $31.68 billion and a trailing price-to-earnings (P/E) ratio of 34.75, indicating a premium valuation relative to its earnings. The forward P/E ratio of 26.41 suggests expectations of earnings growth in the near future. The company has a dividend yield of 0.79%, slightly below its five-year average of 0.85%, reflecting a modest but consistent return to shareholders. 
 The firm's revenue growth of 1.1% year-over-year and earnings growth of 29.7% highlight its ability to improve profitability despite a challenging macroeconomic environment. Operating margins of 20.38% and EBITDA margins of 27.64% underscore its operational efficiency. However, the debt-to-equity ratio of 72.44% indicates a relatively high leverage level, which could pose risks in a rising interest rate environment. Free cash flow of $782 million and a current ratio of 1.83 suggest adequate liquidity to meet short-term obligations.
 **Valuations:**  
 Vulcan Materials is trading at a price-to-book ratio of 3.90, reflecting a premium valuation compared to its book value. The enterprise value-to-EBITDA ratio of 18.55 is on the higher side, indicating that the market is pricing in strong future growth. Analyst sentiment remains positive, with a mean price target of $298.64, representing a potential upside from the current trading range. The recommendation mean of 1.875 (on a scale where 1.0 is a strong buy) further supports a favorable outlook.
 **Economic Outlook:**  
 The construction materials industry is sensitive to macroeconomic conditions, particularly infrastructure spending and housing demand. The U.S. economy is currently facing deceleration, with GDP projected to shrink by 1.5% in Q1 2025. Rising tariffs on steel, aluminum, and other materials could increase input costs for Vulcan Materials, potentially pressuring margins. However, the company's strong market position and diversified operations may help mitigate these risks. Additionally, any government-led infrastructure initiatives could provide a tailwind for the company in the medium to long term.
 **Summary of Thesis, Edge, and Risk:**  
 Vulcan Materials benefits from a strong market position, consistent profitability, and positive earnings growth, making it a resilient player in the construction materials industry. Its operational efficiency and liquidity provide a buffer against near-term economic headwinds. However, elevated valuations and high leverage levels pose risks, particularly in a slowing economic environment with rising input costs due to tariffs. The company's ability to navigate these challenges while capitalizing on potential infrastructure investments will be critical to its performance.
 **Score: 72**</t>
  </si>
  <si>
    <t>VRSN</t>
  </si>
  <si>
    <t>**Investment Report: Verisign (VRSN)**
 **Recent News:**  
 Verisign has not been in the news over the past week, indicating a lack of significant developments or announcements. This absence of news suggests stability in its operations but also highlights the need to focus on its financial performance and broader economic factors to assess its investment potential.
 **Financials:**  
 Verisign's stock has been trading near its 52-week high of $242.23, reflecting strong investor confidence. The company has a market capitalization of $22.72 billion and a beta of 0.872, indicating lower volatility compared to the broader market. Its trailing price-to-earnings (P/E) ratio of 30.06 and forward P/E of 27.76 suggest that the stock is priced at a premium, likely due to its dominant position in the internet services and infrastructure industry. 
 The firm boasts impressive profit margins, with a net profit margin of 50.45% and EBITDA margins of 70.32%, underscoring its operational efficiency. However, earnings growth has declined by 23% year-over-year, and revenue growth is modest at 3.9%, signaling potential challenges in maintaining growth momentum. Verisign's free cash flow of $724.91 million and operating cash flow of $902.6 million provide a solid financial cushion, but its quick ratio of 0.397 and current ratio of 0.434 indicate limited short-term liquidity. 
 The company has a negative book value of -$20.61 per share, resulting in a price-to-book ratio of -11.65, which is atypical but not uncommon for firms with significant intangible assets like Verisign. Its total debt of $1.8 billion is manageable given its strong cash flow generation.
 **Valuations:**  
 Verisign's valuation metrics suggest that the market is pricing in its strong competitive position and high profitability. The enterprise value-to-revenue ratio of 15.22 and enterprise value-to-EBITDA ratio of 21.65 are elevated, reflecting investor expectations of continued dominance in its niche. Analyst sentiment is moderately positive, with a recommendation mean of 2.25 (between "buy" and "hold") and a target median price of $232.50, slightly below its current trading price. This indicates limited upside potential in the near term.
 **Economic Outlook:**  
 The broader economic environment presents mixed implications for Verisign. The U.S. economy is showing signs of deceleration, with GDP contraction expected in Q1 2025 and rising jobless claims. However, Verisign's business model, centered on domain name registry services, is relatively insulated from macroeconomic fluctuations. The ongoing digital transformation and increasing reliance on internet infrastructure provide a tailwind for the company. That said, the escalating trade tensions and tariffs could indirectly impact Verisign if they lead to reduced business activity or slower global growth.
 **Summary of Thesis, Edge, and Risk:**  
 Verisign's strong profitability, dominant market position, and robust cash flow generation make it a compelling player in the internet services and infrastructure industry. Its edge lies in its near-monopoly on domain name registry services, which ensures a steady revenue stream. However, risks include its high valuation, declining earnings growth, and limited short-term liquidity. Broader economic uncertainties and potential regulatory changes could also pose challenges.
 **Score: 72**</t>
  </si>
  <si>
    <t>WAT</t>
  </si>
  <si>
    <t>**Investment Report: Waters Corporation**
 **Recent News:**  
 Waters Corporation has not been in the news over the past week, indicating a lack of significant developments or announcements. This absence of news suggests stability but also highlights the need to focus on financial performance and broader economic factors to assess the company's outlook.
 **Financials:**  
 Waters Corporation operates with strong profitability metrics, including a profit margin of 21.56% and gross margins of 59.43%, reflecting its ability to maintain pricing power and operational efficiency. The company has demonstrated modest growth, with earnings and revenue growth rates of 6.4% and 6.5%, respectively, over the past year. Its trailing P/E ratio of 34.68 and forward P/E of 28.75 suggest a premium valuation relative to the broader market, which may reflect investor confidence in its growth prospects.
 The company’s balance sheet shows a debt-to-equity ratio of 93.14, indicating a relatively high level of leverage. However, its current ratio of 2.11 and quick ratio of 1.34 suggest adequate liquidity to meet short-term obligations. Free cash flow of $627 million and operating cash flow of $762 million further support its financial stability. Waters Corporation’s return on equity (ROE) of 42.82% is particularly strong, showcasing its ability to generate significant returns on shareholder investments.
 The stock has traded between $279.24 and $423.56 over the past year, with a current price near $370, slightly below its 50-day average of $389. This suggests some recent weakness, potentially tied to broader market volatility rather than company-specific issues. Institutional ownership remains high at 96.9%, indicating strong confidence from large investors.
 **Valuations:**  
 Waters Corporation’s valuation metrics, such as a price-to-sales ratio of 7.47 and price-to-book ratio of 12.08, indicate that the stock is trading at a premium compared to its peers in the Life Sciences Tools &amp; Services industry. The enterprise value-to-EBITDA ratio of 23.12 further underscores this premium. While these valuations may seem elevated, they are supported by the company’s consistent profitability, strong cash flow generation, and leadership position in its industry.
 Analyst sentiment is mixed, with a recommendation mean of 2.64 (between "hold" and "buy") and a target median price of $400, suggesting limited upside from current levels. The stock’s beta of 0.998 indicates it moves in line with the broader market, making it sensitive to macroeconomic trends.
 **Economic Outlook:**  
 The broader economic environment presents both challenges and opportunities for Waters Corporation. The U.S. economy is showing signs of deceleration, with GDP expected to contract in Q1 2025. Trade tensions, particularly the imposition of tariffs on key trading partners, could disrupt supply chains and increase input costs for the company. However, Waters Corporation’s focus on the life sciences sector, which tends to be less cyclical, may provide some insulation from broader economic headwinds.
 The Federal Reserve’s efforts to control inflation and the potential for rate cuts later in the year could provide a more favorable environment for equity markets, including Waters Corporation. Additionally, the company’s strong cash flow and profitability metrics position it well to navigate economic uncertainty.
 **Summary of Thesis, Edge, and Risk:**  
 Waters Corporation benefits from strong profitability, robust cash flow, and a leading position in the life sciences tools and services industry. Its high ROE and consistent growth underscore its operational efficiency and ability to deliver shareholder value. However, the stock’s premium valuation and high leverage present risks, particularly in a slowing economic environment. Broader market volatility and potential disruptions from trade policies could also weigh on performance. The company’s edge lies in its resilience to economic cycles and its ability to generate strong cash flows, but these strengths must be balanced against valuation concerns and macroeconomic risks.
 **Score: 72**</t>
  </si>
  <si>
    <t>**Investment Report: United Rentals (URI)**
 **Recent News:**  
 United Rentals has not been in the spotlight over the past week, with no significant news or announcements. This lack of recent developments suggests that the company is operating within its usual business framework, without any major disruptions or catalysts. However, the broader economic and geopolitical environment, including trade tensions and slowing economic growth, could indirectly impact the firm's operations and demand for its services.
 **Financials:**  
 United Rentals is trading near its 52-week low of $596.48, significantly below its 52-week high of $896.98, reflecting a decline of approximately 5.45% over the past year. The stock's trailing price-to-earnings (P/E) ratio of 15.97 and forward P/E of 13.18 indicate a relatively attractive valuation compared to historical levels, especially given its strong profitability metrics. The company boasts a return on equity (ROE) of 30.74%, highlighting efficient capital utilization, and a solid profit margin of 16.78%.  
 The firm has a dividend yield of 1.11%, supported by a low payout ratio of 16.85%, suggesting room for future dividend growth. However, its debt-to-equity ratio of 171.53% is notably high, reflecting significant leverage, which could pose risks in a rising interest rate environment or during economic slowdowns. Despite this, United Rentals generates robust free cash flow of $2.28 billion, which provides a cushion for debt servicing and operational needs.
 **Valuations:**  
 United Rentals' price-to-book ratio of 4.68 and enterprise value-to-EBITDA ratio of 12.32 suggest the stock is moderately valued relative to its peers in the Trading Companies &amp; Distributors industry. Analysts have a median price target of $850, implying a potential upside of approximately 37% from current levels. The recommendation mean of 2.43 (between "Buy" and "Hold") reflects cautious optimism among analysts.  
 The company's trailing PEG ratio of 1.26 indicates that its valuation is reasonable relative to its earnings growth, which has been steady at 4.5% year-over-year. Revenue growth of 9.8% and gross margins of 40.49% further underscore the firm's ability to maintain profitability in a competitive market.
 **Economic Outlook:**  
 The broader economic environment presents mixed signals for United Rentals. The U.S. economy is showing signs of deceleration, with GDP expected to contract by 1.5% in Q1 2025. Trade tensions, particularly the imposition of tariffs on Canada and Mexico, could disrupt supply chains and increase costs for the construction and industrial sectors, which are key end markets for United Rentals. Additionally, rising jobless claims and weakening consumer confidence may dampen demand for rental equipment.  
 On the positive side, the Federal Reserve's efforts to control inflation could lead to rate cuts later in the year, potentially stimulating economic activity. Furthermore, the company's exposure to infrastructure and construction projects may provide resilience, as these sectors often benefit from government spending during economic downturns.
 **Summary of Thesis, Edge, and Risk:**  
 United Rentals is a well-managed company with strong profitability metrics and a dominant position in the equipment rental market. Its ability to generate substantial free cash flow and maintain high margins provides a competitive edge. However, the firm's high leverage and exposure to cyclical industries pose risks, particularly in the current environment of economic uncertainty and trade tensions. While the stock appears undervalued based on analyst targets and valuation metrics, near-term headwinds could limit upside potential.
 **Score: 72**</t>
  </si>
  <si>
    <t>**Investment Report: UnitedHealth Group**
 **Recent News:**  
 UnitedHealth Group is under scrutiny following an inquiry launched by U.S. Senator Chuck Grassley into its Medicare billing practices. This development raises potential regulatory and reputational risks for the company. While the inquiry does not imply wrongdoing, it could lead to increased oversight or legal challenges, which may weigh on investor sentiment. The timing of this inquiry is notable, as healthcare companies are already navigating a complex regulatory environment under the current administration. This could introduce near-term volatility for UnitedHealth's stock.
 **Financials:**  
 UnitedHealth Group remains a financial powerhouse in the managed healthcare industry, with a market capitalization of $427 billion and total revenue of $400 billion over the trailing twelve months. The company has demonstrated steady revenue growth of 6.8% year-over-year and earnings growth of 2.6%, reflecting its ability to scale operations effectively. Profit margins, while modest at 3.6%, are consistent with the industry average. The company maintains a strong dividend yield of 1.77%, above its five-year average of 1.35%, signaling a commitment to returning value to shareholders. However, its debt-to-equity ratio of 79.7% indicates a relatively high leverage position, which could become a concern if regulatory pressures intensify.
 **Valuations:**  
 UnitedHealth's forward price-to-earnings (P/E) ratio of 15.62 suggests the stock is attractively valued relative to its trailing P/E of 30.07, indicating expectations of earnings growth. The price-to-book ratio of 4.61 is higher than the industry average, reflecting the market's confidence in the company's robust business model and growth prospects. Analysts maintain a strong consensus on the stock, with a recommendation mean of 1.32 (strong buy) and a median price target of $640, representing significant upside from the current trading range. However, the stock's recent performance has been lackluster, with a 52-week change of just 0.38%, underperforming the S&amp;P 500's 17.25% gain over the same period.
 **Economic Outlook:**  
 The broader economic environment presents mixed signals for UnitedHealth. On one hand, the managed healthcare industry benefits from stable demand, even during economic slowdowns. On the other hand, rising regulatory scrutiny, as evidenced by the Grassley inquiry, could lead to increased compliance costs or potential fines. Additionally, the company's exposure to Medicare billing practices makes it particularly vulnerable to policy changes under the current administration. The ongoing trade tensions and tariffs may indirectly impact healthcare costs, further complicating the operating environment.
 **Summary:**  
 UnitedHealth Group's strong financial position and consistent growth provide a solid foundation for long-term performance. Its leadership in the managed healthcare industry and robust dividend yield offer a competitive edge. However, the recent Medicare billing inquiry introduces regulatory and reputational risks that could weigh on the stock in the near term. The company's high leverage and modest profit margins also warrant caution, particularly in a challenging economic and regulatory landscape.
 **Score: 72**</t>
  </si>
  <si>
    <t>**Investment Report: Textron Inc. (Aerospace &amp; Defense)**
 **Recent News:**  
 Textron has not been in the headlines over the past week, which suggests stability in its operations but also a lack of immediate catalysts to drive significant short-term price movements. The absence of news could indicate that the company is operating within expected parameters, though it also means there are no recent developments to excite the market.
 **Financials:**  
 Textron's financial performance reflects a mixed picture. The company is trading near its 52-week low of $71.67, significantly below its 52-week high of $97.34, indicating a challenging year with a 16.35% decline in stock price over the past year. The S&amp;P 500, by contrast, has gained 17.25% over the same period, highlighting Textron's underperformance relative to the broader market.
 The company has a trailing price-to-earnings (P/E) ratio of 17.06, which is slightly above the Aerospace &amp; Defense industry average, but its forward P/E of 11.05 suggests expectations of improved earnings growth. The trailing PEG ratio of 0.74 further supports the view that Textron may be undervalued relative to its growth potential. Its price-to-book ratio of 1.88 is reasonable, indicating the stock is not excessively priced relative to its book value.
 Textron's profit margins are modest, with a net profit margin of 6.01% and operating margins of 5.67%. The company generates solid free cash flow of $683 million, which supports its ability to reinvest in growth and maintain its dividend, albeit at a low yield of 0.11%. The debt-to-equity ratio of 54.96% is manageable, though slightly elevated, and the quick ratio of 0.76 suggests some liquidity constraints in the short term.
 **Valuations:**  
 Textron's valuation metrics suggest a potential opportunity for long-term investors. The enterprise value-to-revenue ratio of 1.18 and enterprise value-to-EBITDA ratio of 10.95 are within acceptable ranges for the Aerospace &amp; Defense sector. Analyst sentiment remains positive, with a "buy" recommendation and a mean target price of $90.02, representing a 22% upside from the current price. However, the stock's recent underperformance and proximity to its 52-week low may reflect broader market concerns or company-specific challenges.
 **Economic Outlook:**  
 The Aerospace &amp; Defense industry is facing headwinds from macroeconomic uncertainties, including rising interest rates, geopolitical tensions, and potential budgetary constraints in defense spending. However, Textron's diversified portfolio, which includes aviation, defense, and industrial products, positions it to weather these challenges. The company's beta of 1.27 indicates higher volatility than the market, which could amplify price swings in the current uncertain environment.
 The broader economic slowdown, as evidenced by a projected 1.5% GDP contraction in Q1 2025, could weigh on Textron's commercial aviation segment. However, geopolitical tensions and increased defense spending in certain regions may provide tailwinds for its defense business. The company's strong institutional ownership of 87% reflects confidence among large investors, though the short interest ratio of 2.85 suggests some skepticism in the market.
 **Summary of Thesis, Edge, and Risk:**  
 Textron presents a compelling valuation case with a forward P/E of 11.05 and a PEG ratio of 0.74, indicating potential undervaluation relative to its growth prospects. Its diversified business model and strong free cash flow provide resilience in a challenging macroeconomic environment. However, risks include its underperformance relative to the market, liquidity constraints, and exposure to economic slowdowns in its commercial aviation segment. The lack of recent news or catalysts may limit short-term upside, but the stock's proximity to its 52-week low could offer an attractive entry point for long-term investors.
 **Score: 72**</t>
  </si>
  <si>
    <t>TT</t>
  </si>
  <si>
    <t>**Investment Report: Trane Technologies**
 **Recent News:**  
 Trane Technologies has not been in the news over the past week, indicating a lack of significant developments or disruptions. This absence of news suggests stability in operations but also a lack of immediate catalysts for the stock. The broader macroeconomic environment, including trade tensions and slowing U.S. GDP growth, may indirectly impact the company, particularly given its exposure to global supply chains and industrial markets.
 **Financials:**  
 Trane Technologies exhibits strong financial performance with a market capitalization of $77.66 billion and a trailing price-to-earnings (P/E) ratio of 30.51, which is slightly elevated compared to the broader market. The forward P/E of 27.37 suggests expectations of continued earnings growth. The company has demonstrated robust profitability metrics, including a return on equity (ROE) of 36.05% and a profit margin of 12.94%, reflecting efficient operations and strong shareholder returns.
 Revenue growth of 10.2% year-over-year and earnings growth of 21% highlight the company's ability to expand both its top and bottom lines. Free cash flow of $2.48 billion and operating cash flow of $3.15 billion provide a solid foundation for reinvestment and shareholder returns. The dividend yield of 1.06% is below the five-year average of 1.42%, but the payout ratio of 29.6% indicates room for future dividend increases.
 However, the company's debt-to-equity ratio of 71.93% is relatively high, which could pose risks in a rising interest rate environment. Liquidity metrics, such as a quick ratio of 0.84 and a current ratio of 1.21, suggest adequate short-term financial health but leave limited room for error in managing obligations.
 **Valuations:**  
 Trane Technologies is trading at a price-to-book (P/B) ratio of 10.42, significantly above the industry average, indicating a premium valuation. The enterprise value-to-EBITDA ratio of 21.42 also suggests the stock is priced for growth. Analysts have a median price target of $410, representing potential upside from the current price, but the recommendation mean of 2.69 ("hold") reflects cautious sentiment. The stock's beta of 1.30 indicates higher volatility compared to the market, which could amplify price swings in the current uncertain economic environment.
 **Economic Outlook:**  
 The broader economic environment presents mixed implications for Trane Technologies. The U.S. economy is showing signs of deceleration, with GDP expected to contract by 1.5% in Q1 2025. Trade tensions, particularly the imposition of tariffs on Canada, Mexico, and China, could disrupt supply chains and increase input costs for the company. However, Trane's focus on energy-efficient building products positions it well to benefit from long-term trends in sustainability and infrastructure investment.
 The company's exposure to global markets could be a double-edged sword. While international diversification provides growth opportunities, it also exposes Trane to geopolitical risks and currency fluctuations. The cooling inflation environment and potential Federal Reserve rate cuts later in the year could provide some relief, particularly if borrowing costs decrease.
 **Summary of Thesis, Edge, and Risk:**  
 Trane Technologies demonstrates strong financial performance, robust profitability, and consistent revenue and earnings growth, supported by its leadership in energy-efficient building products. Its edge lies in its ability to capitalize on long-term trends in sustainability and infrastructure investment. However, the stock's premium valuation, high debt levels, and exposure to macroeconomic risks, including trade tensions and slowing GDP growth, present notable challenges. The lack of recent news suggests operational stability but also a lack of immediate catalysts.
 **Score: 72**</t>
  </si>
  <si>
    <t>FDX</t>
  </si>
  <si>
    <t>**Investment Report: FedEx Corporation**
 **Recent News:**  
 FedEx recently faced a significant operational incident when a Boeing 767 cargo plane struck a bird during takeoff from Newark Airport, resulting in an engine fire and an emergency landing. The National Transportation Safety Board (NTSB) and Federal Aviation Administration (FAA) have launched investigations into the matter. While no injuries were reported, the event raises concerns about operational risks and potential regulatory scrutiny. Such incidents can lead to temporary disruptions in logistics operations, increased insurance costs, and reputational risks, though FedEx's robust safety protocols and operational scale may mitigate long-term impacts.
 **Financials:**  
 FedEx's financial performance reflects a mixed picture. The company trades at a trailing P/E of 16.51 and a forward P/E of 11.37, indicating a relatively attractive valuation compared to its historical averages and peers. Its dividend yield of 2.1% is above its five-year average of 1.63%, suggesting a commitment to returning value to shareholders. However, earnings growth has been negative (-13.3%), and quarterly revenue growth stands at 13.9%, signaling some resilience in its core business despite macroeconomic headwinds. The company maintains a healthy balance sheet with a quick ratio of 1.10 and a current ratio of 1.23, ensuring short-term liquidity. Free cash flow of $3.41 billion further supports its ability to weather operational challenges.
 **Valuations:**  
 FedEx's price-to-sales ratio of 0.71 and price-to-book ratio of 2.36 suggest the stock is undervalued relative to its revenue and book value. Analysts maintain a positive outlook, with a mean target price of $318.49, representing significant upside from its current trading range. Institutional ownership remains strong at 78.57%, reflecting confidence in the company's long-term prospects. However, the stock has underperformed the S&amp;P 500 over the past year, with a 52-week change of 5.7% compared to the index's 17.2% gain, indicating potential room for recovery.
 **Economic Outlook:**  
 The broader economic environment presents challenges for FedEx. The U.S. economy is showing signs of deceleration, with GDP contraction expected in Q1 2025 and rising jobless claims. Trade tensions, particularly the imposition of tariffs on Canada, Mexico, and China, could disrupt global supply chains and increase costs for logistics providers like FedEx. However, the company's global network and diversified revenue streams position it to adapt to shifting trade dynamics. Additionally, moderating inflation and potential Federal Reserve rate cuts later in the year could provide some relief to operating costs.
 **Summary of Thesis, Edge, and Risk:**  
 FedEx's strong financial position, attractive valuation metrics, and global logistics network provide a solid foundation for long-term growth. The company's ability to generate consistent free cash flow and maintain shareholder returns through dividends underscores its resilience. However, near-term risks include operational disruptions from the recent plane incident, potential regulatory scrutiny, and macroeconomic headwinds such as slowing GDP growth and trade uncertainties. While the stock appears undervalued, these risks could weigh on performance in the short term.
 **Score: 72**</t>
  </si>
  <si>
    <t>**Investment Report: Kimberly-Clark (KMB)**
 **Recent News:**  
 Kimberly-Clark's stock has risen 7.3% since its last earnings report, reflecting positive investor sentiment. The company’s recent performance has been bolstered by its ability to maintain stable margins despite challenging macroeconomic conditions. The market's reaction suggests confidence in Kimberly-Clark's operational resilience and its ability to navigate headwinds such as inflationary pressures and slowing consumer demand. However, the earnings report also highlighted a slight decline in revenue growth, which may temper expectations for aggressive future expansion.
 **Financials:**  
 Kimberly-Clark's financial metrics indicate a stable but cautious outlook. The company has a trailing price-to-earnings (P/E) ratio of 18.99 and a forward P/E of 18.79, suggesting that the stock is fairly valued relative to its earnings potential. The dividend yield of 3.55% is above its five-year average of 3.43%, making it attractive for income-focused investors. However, the payout ratio of 64.64% indicates limited room for significant dividend growth without earnings improvement. The company’s gross margin of 36.51% and operating margin of 13.29% reflect solid cost management, though earnings quarterly growth has declined by 12.2%, signaling potential challenges in maintaining profitability.
 Kimberly-Clark's balance sheet shows a high debt-to-equity ratio of 811.9%, which is a concern given the rising interest rate environment. While the company generates strong free cash flow of $2.2 billion, its quick ratio of 0.475 and current ratio of 0.797 highlight liquidity constraints. The enterprise value-to-EBITDA ratio of 13.82 suggests the stock is trading at a premium compared to peers in the household products industry.
 **Valuations:**  
 The stock is trading near its 52-week high of $149.31, with a current price-to-book ratio of 56.62, indicating a significant premium over its book value. Analysts' target prices range from $118 to $168, with a median target of $143, aligning closely with the current market price. This suggests limited upside potential in the near term unless there is a significant positive catalyst. The trailing PEG ratio of 1.66 indicates that the stock is moderately priced relative to its growth prospects.
 **Economic Outlook:**  
 Kimberly-Clark operates in the household products industry, which is generally considered defensive and less sensitive to economic cycles. However, the broader economic environment presents mixed signals. The U.S. economy is showing signs of deceleration, with GDP expected to shrink by 1.5% in Q1 2025. Rising tariffs and trade tensions could increase input costs for Kimberly-Clark, particularly for raw materials like pulp and packaging. On the positive side, moderating inflation and potential Federal Reserve rate cuts later in the year could provide some relief to cost pressures.
 **Summary:**  
 Kimberly-Clark's investment thesis is built on its strong brand portfolio, stable cash flow generation, and attractive dividend yield. Its edge lies in its defensive positioning within the household products industry, which provides resilience during economic downturns. However, risks include high leverage, declining earnings growth, and potential cost pressures from tariffs and inflation. The stock appears fairly valued, with limited near-term upside potential unless macroeconomic conditions improve or the company delivers a positive earnings surprise.
 **Score: 72**</t>
  </si>
  <si>
    <t>KKR</t>
  </si>
  <si>
    <t>**Investment Report: KKR &amp; Co. Inc.**
 **Recent News:**  
 KKR &amp; Co. Inc. has not been in the headlines over the past week, which suggests a lack of immediate catalysts or disruptions. This absence of news may indicate stability, but it also leaves the firm more exposed to broader market and macroeconomic trends, particularly in the asset management and private equity space.
 **Financials:**  
 KKR's financial performance reflects a mixed picture. The firm’s trailing price-to-earnings (PE) ratio of 40.55 is significantly higher than its forward PE of 21.91, indicating expectations of robust earnings growth. However, the trailing PE suggests the stock is currently trading at a premium relative to its historical earnings. The firm’s beta of 1.714 highlights its high sensitivity to market volatility, which could amplify risks in the current uncertain economic environment.
 Revenue growth has been a concern, with a year-over-year decline of 22.4%, signaling potential challenges in generating top-line growth. However, earnings growth of 3.4% and a profit margin of 11.58% demonstrate resilience in profitability. KKR’s return on equity (ROE) of 8.17% is modest, reflecting efficient capital utilization but not exceptional performance compared to peers.
 The firm’s balance sheet shows a debt-to-equity ratio of 83.05, which is relatively high but not uncommon for asset management firms that leverage debt for investments. Total cash of $38.88 billion provides a strong liquidity buffer, and the enterprise value-to-revenue ratio of 6.42 suggests the market values KKR’s revenue streams at a premium.
 Dividend metrics are modest, with a dividend yield of 0.52% and a payout ratio of 21.04%, indicating a conservative approach to returning capital to shareholders. This aligns with KKR’s focus on reinvesting earnings for growth.
 **Valuations:**  
 KKR’s current price-to-book ratio of 4.90 is elevated, reflecting a premium valuation relative to its book value. The stock is trading closer to its 52-week high of $170.40 than its low of $91.92, suggesting limited upside unless earnings growth accelerates or market sentiment improves. Analyst sentiment remains positive, with a mean price target of $170.55, implying a potential upside from the current price of $135.59. The recommendation mean of 1.7 (on a scale where 1.0 is a strong buy) underscores optimism among analysts.
 **Economic Outlook:**  
 The broader economic environment poses challenges for KKR. The U.S. economy is showing signs of deceleration, with GDP contraction expected in Q1 2025 and rising jobless claims. Trade tensions, particularly the new tariffs on Canada, Mexico, and China, could disrupt global markets and weigh on investor sentiment. Additionally, the Federal Reserve’s restrictive monetary policy and elevated interest rates may dampen private equity activity, as higher borrowing costs could reduce deal-making and portfolio company valuations.
 On the positive side, KKR’s exposure to alternative investments and private equity could provide a hedge against public market volatility. The firm’s ability to deploy capital in undervalued assets during market downturns could position it for long-term gains, particularly if the Federal Reserve begins cutting rates later in the year.
 **Summary:**  
 KKR’s thesis lies in its strong liquidity position, profitability, and potential for earnings growth, supported by a positive analyst outlook. Its edge comes from its scale and expertise in private equity, which could allow it to capitalize on market dislocations. However, risks include declining revenue growth, high sensitivity to market volatility, and macroeconomic headwinds such as rising interest rates and trade tensions.
 **Score: 72**</t>
  </si>
  <si>
    <t>**Investment Report: Coca-Cola Company (KO)**
 **Recent News:**  
 Coca-Cola has recently received an upgrade from a Wall Street analyst, signaling potential bullish momentum. The stock has shown strong technical indicators, with both short-term and long-term positive trends. However, the stock is currently considered modestly overvalued, which could limit upside potential. While recent earnings were robust, the company has guided for slower organic revenue growth in the future. Coca-Cola's reliable dividend payouts, which have been consistently raised for over six decades, remain a key attraction for income-focused investors. Strategic marketing efforts and share repurchases continue to support dividend safety. However, concerns about inflation and high valuation levels, coupled with potential economic downturns, could pose risks to the company's performance.
 **Financials:**  
 Coca-Cola's financial metrics reflect a strong and stable business model. The company has a market capitalization of $311 billion and a trailing P/E ratio of 29.4, which is higher than the sector average, indicating a premium valuation. The forward P/E ratio of 24.35 suggests expectations of continued earnings growth. Coca-Cola's dividend yield of 2.86% is slightly below its five-year average of 3.02%, reflecting the stock's recent price appreciation. The payout ratio of 78.86% indicates that the dividend is well-covered by earnings, though it leaves limited room for further increases without earnings growth. The company's gross margins of 61.06% and operating margins of 25.76% highlight its strong profitability. However, a debt-to-equity ratio of 176.92% suggests a high level of leverage, which could become a concern in a rising interest rate environment.
 **Valuations:**  
 Coca-Cola's valuation metrics suggest that the stock is trading at a premium. The price-to-sales ratio of 6.61 and price-to-book ratio of 12.52 are elevated compared to industry peers. The trailing PEG ratio of 3.02 indicates that the stock may be overvalued relative to its earnings growth potential. Analysts have a median price target of $75, implying limited upside from the current price of approximately $71.21. While the stock's premium valuation reflects its strong brand and reliable cash flows, it also limits the margin of safety for new investors.
 **Economic Outlook:**  
 The broader economic environment presents mixed implications for Coca-Cola. Slowing GDP growth and rising jobless claims in the U.S. could weigh on consumer spending, particularly for discretionary items. However, Coca-Cola's strong brand and global presence provide some insulation from regional economic challenges. Inflationary pressures remain a concern, as they could impact input costs and consumer purchasing power. On the positive side, Coca-Cola's pricing power and ability to pass on costs to consumers may help mitigate these risks. The company's low beta of 0.575 suggests that its stock is less volatile than the broader market, making it a relatively defensive investment in uncertain economic conditions.
 **Summary:**  
 Coca-Cola's investment thesis is built on its strong brand, reliable dividend payouts, and robust profitability. Its edge lies in its global market presence and ability to generate consistent cash flows. However, risks include high valuation levels, slower organic revenue growth, and potential economic headwinds. While the stock remains a solid choice for income-focused investors, its current valuation and mixed guidance warrant caution.
 **Score: 72**</t>
  </si>
  <si>
    <t>LEN</t>
  </si>
  <si>
    <t>**Investment Report: Lennar Corporation**
 **Recent News:**  
 Lennar Corporation has not been in the headlines over the past week, indicating a lack of significant new developments or disruptions. This absence of news suggests stability in the company's operations, but it also means there are no immediate catalysts driving investor sentiment.
 **Financials:**  
 Lennar's financial performance reflects a company with strong fundamentals but facing headwinds. The trailing price-to-earnings (P/E) ratio of 8.24 and forward P/E of 7.31 indicate the stock is trading at a discount relative to its earnings potential. The dividend yield of 1.67% is above its five-year average of 1.15%, signaling an attractive income opportunity for investors. However, earnings and revenue growth have declined year-over-year, with earnings growth down 15.7% and revenue growth contracting by 9.3%. This reflects challenges in the broader housing market, likely tied to rising interest rates and slowing demand.
 The company maintains a robust balance sheet, with a current ratio of 6.97 and a quick ratio of 2.14, indicating strong liquidity. Debt levels are manageable, with a debt-to-equity ratio of 15.89, and Lennar has significant cash reserves of $8.36 billion. The return on equity (ROE) of 14.5% and return on assets (ROA) of 7.91% highlight efficient use of capital, though these metrics are slightly below historical highs.
 **Valuations:**  
 Lennar's valuation metrics suggest the stock is undervalued. The price-to-book (P/B) ratio of 1.14 is modest, indicating the stock is trading close to its book value. The enterprise value-to-revenue ratio of 0.78 and enterprise value-to-EBITDA ratio of 5.29 further support the case for undervaluation. Analysts have a median price target of $152, representing significant upside from the current price of approximately $118. The recommendation mean of 2.38 (between "buy" and "hold") reflects cautious optimism among analysts.
 **Economic Outlook:**  
 The broader economic environment poses challenges for Lennar. Rising interest rates and elevated mortgage costs have dampened housing demand, as affordability becomes a concern for potential buyers. The U.S. economy is showing signs of deceleration, with GDP expected to contract in Q1 2025. Consumer confidence is weakening, and construction spending has missed expectations, further pressuring the homebuilding industry. However, Lennar's strong liquidity and operational efficiency position it to weather these macroeconomic headwinds better than some peers.
 **Summary:**  
 Lennar's thesis lies in its strong financial position, undervalued stock price, and efficient operations, which provide a cushion against a challenging housing market. Its edge is its liquidity and ability to generate free cash flow, allowing it to navigate economic uncertainty. The primary risk is the broader economic slowdown, which could further suppress housing demand and weigh on earnings.
 **Score: 72**</t>
  </si>
  <si>
    <t>JCI</t>
  </si>
  <si>
    <t>**Investment Report: Johnson Controls (Building Products Industry)**
 **Recent News:**  
 Johnson Controls has not been in the news over the past week, indicating a lack of significant developments or disruptions. This absence of news suggests stability in operations but also a lack of immediate catalysts for the stock.
 **Financials:**  
 Johnson Controls' financial performance reflects a mixed picture. The company has a market capitalization of $54.5 billion and a trailing price-to-earnings (P/E) ratio of 38.76, which is relatively high compared to its forward P/E of 19.70. This indicates expectations of significant earnings growth in the near future. The firm’s trailing annual dividend yield of 1.73% is below its five-year average of 2.21%, suggesting that the current yield may not be as attractive for income-focused investors. However, the payout ratio of 69.48% is sustainable, leaving room for potential dividend growth.
 The company has shown moderate revenue growth of 4.2% year-over-year, with total revenue reaching $23.17 billion. Earnings growth is slightly stronger at 12%, supported by improving profit margins (7.55%). The EBITDA margin of 14.43% and operating margin of 9.71% indicate solid operational efficiency. However, the debt-to-equity ratio of 65.32% is relatively high, which could pose risks in a rising interest rate environment. Free cash flow of $1.94 billion and operating cash flow of $2.59 billion provide a cushion for debt servicing and reinvestment.
 **Valuations:**  
 Johnson Controls is trading at a price-to-book ratio of 3.43, which is above the industry average, suggesting the stock may be slightly overvalued relative to its book value. The enterprise value-to-EBITDA ratio of 20.27 is also on the higher side, indicating that the market is pricing in strong future growth. Analysts have a mean target price of $94.73, representing a potential upside of approximately 15% from the current price of $82.10. The recommendation mean of 2.22 (on a scale where 1 is a strong buy and 5 is a sell) reflects a generally positive sentiment among analysts.
 **Economic Outlook:**  
 The broader economic environment presents challenges and opportunities for Johnson Controls. The U.S. economy is showing signs of deceleration, with GDP expected to shrink by 1.5% in Q1 2025. Rising tariffs on steel and aluminum, as well as broader trade tensions, could increase input costs for Johnson Controls, potentially pressuring margins. However, the company’s focus on building products and energy-efficient solutions aligns with long-term trends in sustainability and infrastructure investment, which could provide resilience against short-term economic headwinds.
 The Federal Reserve's restrictive monetary policy and elevated interest rates may impact borrowing costs, but Johnson Controls' strong cash flow generation should mitigate this risk. Additionally, the company’s beta of 1.34 suggests higher volatility compared to the broader market, which could amplify stock price movements in response to macroeconomic developments.
 **Summary:**  
 Johnson Controls benefits from solid revenue and earnings growth, strong cash flow, and operational efficiency. Its alignment with long-term trends in energy efficiency and infrastructure investment provides a competitive edge. However, risks include high debt levels, potential margin pressures from tariffs, and a relatively high valuation. The lack of recent news or catalysts may limit short-term upside, but the stock remains well-positioned for long-term growth.
 **Score: 72**</t>
  </si>
  <si>
    <t>**Investment Report: Ingersoll Rand (Industrial Machinery &amp; Supplies &amp; Components)**
 **Recent News:**  
 Ingersoll Rand has not been featured in recent news, suggesting a period of operational stability without major disruptions or announcements. This lack of news could indicate that the company is maintaining its current trajectory without significant strategic shifts or external challenges.
 **Financials:**  
 Ingersoll Rand's financial performance reflects a mixed picture. The stock is trading near its 52-week low of $81.71, significantly below its 52-week high of $106.03, indicating recent downward pressure. The company has a trailing P/E ratio of 40.1, which is relatively high, but its forward P/E of 23.3 suggests expectations of earnings growth. The firm’s profit margins are solid at 11.59%, supported by strong gross margins of 43.82% and EBITDA margins of 26.76%. Revenue growth of 4.2% year-over-year and earnings growth of 1.5% indicate steady, albeit modest, expansion.
 The company maintains a healthy balance sheet with a current ratio of 2.29 and a quick ratio of 1.59, reflecting strong liquidity. However, its debt-to-equity ratio of 48.61% is moderately high, which could pose risks in a rising interest rate environment. Free cash flow of $991.99 million and operating cash flow of $1.39 billion provide a solid foundation for reinvestment and shareholder returns. The dividend yield is minimal at 0.09%, suggesting the company prioritizes reinvestment over direct shareholder payouts.
 **Valuations:**  
 Ingersoll Rand's price-to-book ratio of 3.27 and price-to-sales ratio of 4.60 indicate that the stock is trading at a premium relative to its book value and revenue. Analysts have a mean target price of $100.32, implying a potential upside of approximately 22% from the current price. The recommendation mean of 2.06 (on a scale where 1.0 is a strong buy) reflects a generally favorable outlook among analysts. However, the stock's beta of 1.478 suggests higher volatility compared to the broader market, which could amplify risks in uncertain economic conditions.
 **Economic Outlook:**  
 The broader economic environment presents challenges for industrial firms like Ingersoll Rand. The U.S. economy is showing signs of deceleration, with GDP expected to contract by 1.5% in Q1 2025. Rising tariffs on steel and aluminum, as well as broader trade tensions, could increase input costs and disrupt supply chains. However, Ingersoll Rand's diversified product portfolio and global presence may help mitigate some of these risks. The company's strong cash position and operational efficiency provide a buffer against economic headwinds.
 **Summary:**  
 Ingersoll Rand's thesis lies in its steady financial performance, strong margins, and solid cash flow, which provide resilience in a challenging macroeconomic environment. Its edge comes from its diversified product offerings and global footprint, which reduce reliance on any single market. However, risks include its high valuation metrics, exposure to trade-related cost pressures, and potential volatility due to its elevated beta.
 **Score: 72**</t>
  </si>
  <si>
    <t>IQV</t>
  </si>
  <si>
    <t>**Investment Report: IQVIA Holdings (IQV)**
 **Recent News:**  
 IQVIA Holdings has been highlighted as a top-ranked value stock, with analysts pointing to its strong fundamentals and potential for market outperformance. The Zacks Style Scores, which evaluate stocks based on value, growth, and momentum, suggest that IQVIA is well-positioned for investors seeking value-oriented opportunities. However, the broader market environment, marked by economic uncertainty and trade tensions, could weigh on sentiment for the life sciences tools and services sector.
 **Financials:**  
 IQVIA's financial performance reflects a mixed picture. The company has a trailing price-to-earnings (P/E) ratio of 24.65, which is higher than its forward P/E of 15.31, indicating expectations of earnings growth. However, earnings growth has recently contracted by 4.8%, and revenue growth remains modest at 2.3%. The firm's profit margins stand at 8.91%, with EBITDA margins of 18.96%, showcasing operational efficiency despite a challenging macroeconomic environment. 
 The company’s balance sheet reveals a high debt-to-equity ratio of 238.73, which could pose risks in a rising interest rate environment. However, IQVIA generates strong free cash flow of $1.84 billion, which provides some cushion for debt servicing. The stock is trading near its 52-week low of $184.06, significantly below its 52-week high of $261.73, suggesting potential undervaluation if the company can navigate current headwinds effectively.
 **Valuations:**  
 IQVIA's price-to-sales ratio of 2.12 and price-to-book ratio of 5.37 indicate that the stock is trading at a premium relative to its book value but remains reasonable compared to peers in the life sciences tools and services industry. Analysts have a mean target price of $247.60, representing a potential upside of approximately 34% from current levels. The recommendation mean of 1.65 (on a scale where 1.0 is a strong buy) underscores positive sentiment among analysts.
 **Economic Outlook:**  
 The broader economic environment presents challenges for IQVIA. The U.S. economy is showing signs of deceleration, with GDP expected to contract in Q1 2025. Trade tensions, particularly the imposition of tariffs on key trading partners, could disrupt global supply chains and impact the healthcare and life sciences sectors. However, IQVIA's focus on data analytics and technology-driven solutions positions it well to benefit from long-term trends in healthcare innovation and digital transformation. The company's beta of 1.506 suggests higher volatility, which could amplify market reactions to macroeconomic developments.
 **Summary of Thesis, Edge, and Risk:**  
 IQVIA Holdings offers a compelling value proposition with strong cash flow generation, operational efficiency, and a focus on innovation in the life sciences sector. Its edge lies in its ability to leverage data analytics and technology to drive growth in a rapidly evolving industry. However, risks include high leverage, slowing earnings growth, and exposure to macroeconomic uncertainties such as trade tensions and potential recessionary pressures.
 **Score: 72**</t>
  </si>
  <si>
    <t>IT</t>
  </si>
  <si>
    <t>**Investment Report: Gartner (IT Consulting &amp; Other Services)**
 **Recent News:**  
 Gartner has not been in the news over the past week, indicating a lack of significant developments or announcements. This absence of news suggests stability in operations but also a lack of immediate catalysts for stock movement. The broader macroeconomic environment, including trade tensions and slowing economic growth, may indirectly influence the firm's performance, particularly as corporate clients reassess IT spending priorities.
 **Financials:**  
 Gartner's financial performance reflects a strong position within the IT consulting sector. The company boasts a market capitalization of $37.7 billion and a profit margin of 20.0%, indicating robust profitability. Earnings growth has been impressive, with quarterly growth of 91% and annual earnings growth of 93.2%, showcasing the firm's ability to scale efficiently. Revenue growth, however, is more modest at 8.1%, suggesting a mature business with steady but not explosive top-line expansion.
 The firm's trailing P/E ratio of 30.7 and forward P/E of 37.2 indicate a premium valuation, likely reflecting investor confidence in its growth prospects and market position. However, these multiples are high relative to the broader market, which could make the stock vulnerable to corrections in a risk-off environment. The price-to-book ratio of 27.96 further underscores the stock's expensive valuation.
 Gartner's balance sheet shows a high debt-to-equity ratio of 213.4%, which is a potential concern. While the company generates strong free cash flow of $951 million and has $1.94 billion in cash reserves, the elevated leverage could pose risks in a rising interest rate environment or during economic downturns. The quick ratio of 0.923 and current ratio of 1.057 suggest adequate liquidity to meet short-term obligations.
 **Valuations:**  
 Gartner's stock is trading near the lower end of its 52-week range ($411.15 to $584.01), with a recent close of $498.32. This places the stock below its 50-day average of $509.22 but above its 200-day average of $491.80, indicating some recent weakness but overall stability. Analyst price targets range from $488 to $632, with a mean target of $569.81, suggesting potential upside of approximately 14.4% from current levels.
 The company's enterprise value-to-revenue ratio of 6.17 and enterprise value-to-EBITDA ratio of 29.56 are on the higher side, reflecting the market's expectation of continued growth and profitability. However, these valuations may limit upside potential in the near term, especially if macroeconomic conditions deteriorate.
 **Economic Outlook:**  
 The broader economic environment presents mixed implications for Gartner. The U.S. economy is showing signs of deceleration, with GDP expected to contract by 1.5% in Q1 2025. Rising jobless claims and weakening consumer confidence could lead to reduced IT spending by corporate clients, particularly in sectors directly impacted by tariffs and trade tensions. However, Gartner's focus on IT consulting and research services positions it well to benefit from long-term trends in digital transformation and enterprise technology adoption.
 The firm's beta of 1.291 suggests higher sensitivity to market volatility, which could amplify stock price movements in the current uncertain environment. Additionally, the company's reliance on institutional investors (95.4% of shares held by institutions) could lead to increased volatility if market sentiment shifts.
 **Summary of Thesis, Edge, and Risk:**  
 Gartner's strong profitability, impressive earnings growth, and leadership in IT consulting provide a solid foundation for long-term value creation. The firm's ability to generate significant free cash flow and maintain high margins is a key competitive edge. However, its premium valuation, high leverage, and sensitivity to macroeconomic conditions pose risks, particularly in the current environment of slowing economic growth and market volatility. While the stock offers potential upside based on analyst targets, near-term headwinds could limit performance.
 **Score: 72**</t>
  </si>
  <si>
    <t>HUM</t>
  </si>
  <si>
    <t>**Investment Report: Humana Inc. (Managed Health Care Industry)**
 **Recent News:**  
 Humana has not been in the news over the past week, indicating a lack of immediate catalysts or controversies. This absence of news suggests stability in its operations but also highlights the need to focus on its financial performance and broader economic conditions to assess its investment potential.
 **Financials:**  
 Humana's financial metrics reflect a mixed picture. The company is trading at a trailing P/E ratio of 26.21 and a forward P/E of 15.53, suggesting expectations of significant earnings growth. Its dividend yield of 1.31% is above its five-year average of 0.75%, indicating an attractive income component for investors. However, the payout ratio of 35.47% suggests the dividend is sustainable but not overly generous.  
 The company’s market capitalization stands at $31.55 billion, with a price-to-book ratio of 1.93, which is reasonable for the managed health care industry. Humana's enterprise value of $23.83 billion and enterprise-to-revenue ratio of 0.202 indicate a relatively undervalued position compared to its revenue base. However, its free cash flow is negative at -$1.31 billion, which raises concerns about its ability to fund operations and growth without relying on external financing.  
 Humana's balance sheet shows a debt-to-equity ratio of 76.9%, which is moderately high but manageable given its strong cash position of $20.43 billion. The company’s quick ratio of 1.37 and current ratio of 1.76 indicate solid short-term liquidity. Revenue growth of 10.4% year-over-year is a positive sign, but operating margins remain negative at -0.73%, reflecting challenges in cost management or pricing pressures.
 **Valuations:**  
 Humana's stock has declined by approximately 20% over the past year, underperforming the S&amp;P 500, which has gained 17.25% in the same period. The stock is currently trading near its 50-day average of $269.16 but well below its 200-day average of $311.81, suggesting a bearish trend. Analysts have a mean target price of $297.64, representing a potential upside of 13.8% from the current price. The recommendation mean of 2.5 (on a scale where 1 is a strong buy and 5 is a sell) indicates a moderate buy rating from analysts.
 **Economic Outlook:**  
 The broader economic environment presents both opportunities and risks for Humana. The managed health care industry is generally resilient during economic slowdowns, as health care services are essential. However, rising unemployment and potential reductions in government health care spending could impact enrollment and revenue growth. Additionally, inflationary pressures and elevated interest rates may increase operating costs and debt servicing expenses.  
 The recent tariffs and trade tensions introduced by the Trump administration are unlikely to have a direct impact on Humana, as its operations are primarily domestic. However, broader economic uncertainty could weigh on consumer sentiment and discretionary spending, indirectly affecting the health care sector.
 **Summary of Thesis, Edge, and Risk:**  
 Humana's strong cash position, reasonable valuation metrics, and steady revenue growth provide a solid foundation for long-term stability. Its dividend yield and manageable debt levels add to its appeal as a defensive play in uncertain economic conditions. However, negative free cash flow and operating margins highlight operational inefficiencies that need to be addressed. The stock's underperformance relative to the broader market and its bearish technical trend suggest caution in the short term.  
 The primary risk lies in its ability to improve profitability and manage costs effectively, especially in a challenging macroeconomic environment. Additionally, any regulatory changes in the health care sector could pose risks to its business model.
 **Score: 72**</t>
  </si>
  <si>
    <t>HPQ</t>
  </si>
  <si>
    <t>**Investment Report: HP Inc.**
 **Recent News:**  
 HP Inc. recently reported first-quarter earnings of $0.74 per share, narrowly missing the consensus estimate of $0.75 and reflecting a decline from $0.81 per share in the same quarter last year. However, the company exceeded revenue expectations, supported by a recovery in the PC market and growing demand for AI-capable systems. HP has taken proactive measures to mitigate the impact of recent tariffs, including shifting manufacturing operations and increasing inventory levels. The company has also made strategic investments in AI, such as a $116 million acquisition, to position itself for future growth. Despite these efforts, HP faces challenges in maintaining competitiveness and managing supply chain disruptions in a volatile global trade environment.
 **Financials:**  
 HP's financial metrics indicate a mixed but generally stable position. The stock is trading at $30.87, with a forward P/E ratio of 8.34, suggesting it is undervalued relative to its peers. The company offers a strong dividend yield of 3.75%, above its five-year average of 3.21%, supported by a manageable payout ratio of 40.15%. HP's free cash flow of $3.32 billion and operating cash flow of $4 billion provide a solid foundation for continued stock buybacks and dividend payments. However, the company's quick ratio of 0.26 and current ratio of 0.72 highlight liquidity concerns, particularly in the face of rising tariffs and supply chain pressures. HP's gross margins of 21.85% and operating margins of 6.82% remain stable, though earnings growth has declined by 4.8% year-over-year.
 **Valuations:**  
 HP's valuation metrics suggest it is attractively priced. The trailing P/E ratio of 10.81 and price-to-sales ratio of 0.53 indicate the stock is trading at a discount compared to industry averages. Analysts have a median price target of $35, representing a potential upside of approximately 13.4% from the current price. The stock's 52-week range of $27.43 to $39.80 shows it is trading closer to its lower bound, which could present an opportunity for value-oriented investors. However, the negative price-to-book ratio (-26.56) reflects the company's leveraged balance sheet and highlights potential risks.
 **Economic Outlook:**  
 The broader economic environment poses challenges for HP. The U.S. economy is showing signs of deceleration, with GDP expected to contract by 1.5% in Q1 2025. Rising tariffs on Canadian, Mexican, and Chinese goods, along with retaliatory measures, could disrupt supply chains and increase costs for HP. However, the company's efforts to shift manufacturing and build inventory may help mitigate these risks in the short term. Additionally, HP's focus on AI and its profitable printing segment provide avenues for growth, even as the global trade environment remains uncertain.
 **Summary:**  
 HP Inc. presents a compelling investment thesis as an undervalued player in the technology hardware sector, with strong cash flow, a solid dividend yield, and strategic investments in AI. Its edge lies in its ability to adapt to trade challenges through operational shifts and its diversified revenue streams, including a profitable printing segment. However, risks include declining earnings growth, liquidity concerns, and potential supply chain disruptions from tariffs.
 **Score: 72**</t>
  </si>
  <si>
    <t>HSY</t>
  </si>
  <si>
    <t>**Investment Report: The Hershey Company (Packaged Foods &amp; Meats Industry)**
 **Recent News:**  
 The Hershey Company has not been in the spotlight over the past week, with no significant news or developments reported. This lack of news suggests stability in operations but also indicates no immediate catalysts for significant price movement in the short term.
 **Financials:**  
 Hershey's financial performance reflects a strong and stable business model. The company has a trailing price-to-earnings (P/E) ratio of 16.35, which is relatively low compared to its forward P/E of 21.25, indicating expectations of slower earnings growth in the near future. The dividend yield of 3.17% is well above its five-year average of 2.12%, making it attractive for income-focused investors. The payout ratio of 50.18% suggests that the dividend is sustainable, supported by robust free cash flow of $1.16 billion.
 Hershey's profitability metrics are solid, with a return on equity (ROE) of 50.4% and return on assets (ROA) of 15.06%, both indicating efficient use of capital. The company also boasts strong operating margins of 32.5% and EBITDA margins of 30.78%, reflecting its ability to maintain pricing power and control costs effectively. However, the debt-to-equity ratio of 115.55% highlights a leveraged balance sheet, which could pose risks in a rising interest rate environment.
 The stock has shown resilience, trading near $179, above its 50-day average of $161.64 but below its 200-day average of $182.69. This suggests some recovery from recent lows but also highlights the broader market's cautious sentiment toward the stock. The 52-week price range of $140.13 to $211.92 indicates significant volatility over the past year, with the stock currently down 7.92% year-over-year, underperforming the S&amp;P 500's 17.25% gain.
 **Valuations:**  
 Hershey's price-to-sales (P/S) ratio of 3.23 and price-to-book (P/B) ratio of 7.66 suggest the stock is trading at a premium relative to its peers in the packaged foods industry. The trailing PEG ratio of 6.53 indicates that the stock may be overvalued when considering its earnings growth rate. Analysts' target prices range from $120 to $211.34, with a mean target of $162.09, slightly below the current trading price, reflecting a cautious outlook.
 **Economic Outlook:**  
 The broader economic environment presents mixed implications for Hershey. The U.S. economy is showing signs of deceleration, with GDP expected to shrink by 1.5% in Q1 2025. Rising tariffs on Canadian, Mexican, and Chinese goods could increase input costs for Hershey, particularly for raw materials like cocoa and sugar, which are often imported. However, Hershey's strong brand and pricing power may allow it to pass on these costs to consumers, mitigating margin pressure.
 Consumer confidence is weakening, which could impact discretionary spending on premium confectionery products. However, Hershey's products are often considered affordable indulgences, which may provide some insulation during economic downturns. The company's low beta of 0.31 suggests that its stock is less volatile and could serve as a defensive play in uncertain markets.
 **Summary of Thesis, Edge, and Risk:**  
 Hershey's strong profitability, robust dividend yield, and defensive characteristics make it a stable investment in the packaged foods sector. Its ability to maintain high margins and generate consistent cash flow provides an edge in a challenging economic environment. However, risks include its high debt levels, potential cost pressures from tariffs, and valuation concerns, as the stock appears fully priced relative to its growth prospects.
 **Score: 72**</t>
  </si>
  <si>
    <t>HUBB</t>
  </si>
  <si>
    <t>**Investment Report: Hubbell Incorporated**
 **Recent News:**  
 Hubbell Incorporated has not been featured in recent news, indicating a lack of significant developments or announcements. This absence of news suggests stability in operations but also a lack of immediate catalysts for stock movement. The broader industrial machinery sector, however, faces potential headwinds from escalating trade tensions and tariffs, which could indirectly impact Hubbell's supply chain and cost structure.
 **Financials:**  
 Hubbell's financial performance reflects a solid foundation with a market capitalization of $19.05 billion and a trailing P/E ratio of 24.68, which is slightly elevated compared to its forward P/E of 20.03. This indicates expectations of earnings growth. The company has a healthy profit margin of 13.82% and a return on equity of 25.39%, showcasing strong operational efficiency and profitability. 
 The dividend yield of 1.42% is below its five-year average of 1.85%, suggesting that the stock price has appreciated relative to its dividend payouts. The payout ratio of 34.66% indicates a sustainable dividend policy. However, the stock has underperformed the S&amp;P 500 over the past year, with a 52-week change of -2.38% compared to the S&amp;P's 17.25% gain.
 Hubbell's revenue growth has declined slightly by 0.9% year-over-year, which could be a concern in a slowing economic environment. Despite this, earnings growth of 15.2% demonstrates the company's ability to manage costs and improve profitability. The EBITDA margin of 23.33% and operating margin of 19.48% further highlight its operational strength.
 The balance sheet shows a manageable debt-to-equity ratio of 52.38, supported by a current ratio of 1.64, indicating sufficient liquidity to cover short-term obligations. Free cash flow of $719.83 million and operating cash flow of $991.2 million provide additional financial flexibility.
 **Valuations:**  
 Hubbell's price-to-book ratio of 5.84 is relatively high, reflecting a premium valuation compared to its book value. The enterprise value-to-EBITDA ratio of 15.57 suggests the stock is trading at a moderate premium, which may be justified by its strong profitability metrics. Analyst sentiment remains positive, with a mean recommendation of "buy" and a target median price of $445, implying a potential upside from the current trading range.
 The stock is currently trading near its 52-week low of $346.13, which could present an opportunity for value-oriented investors. However, the recent decline in the stock price, as evidenced by its 50-day average of $413.91 and 200-day average of $410.26, indicates bearish sentiment in the short term.
 **Economic Outlook:**  
 The industrial machinery sector is exposed to macroeconomic risks, including the recent escalation of trade tensions and tariffs imposed by the U.S. on key trading partners. These developments could increase input costs and disrupt supply chains, potentially impacting Hubbell's margins. Additionally, the broader U.S. economy is showing signs of deceleration, with GDP contraction expected in Q1 2025 and weakening consumer confidence. However, Hubbell's strong cash flow and operational efficiency may help it navigate these challenges.
 The company's beta of 0.938 suggests lower volatility compared to the broader market, which could make it a relatively defensive play in a turbulent economic environment. However, the decline in revenue growth and the broader industrial sector's sensitivity to economic cycles remain key risks.
 **Summary:**  
 Hubbell's investment thesis is supported by its strong profitability, efficient operations, and solid cash flow generation. Its edge lies in its ability to maintain robust margins and earnings growth despite a slight decline in revenue. However, risks include exposure to macroeconomic headwinds, trade tensions, and premium valuations that may limit upside potential in the near term.
 **Score: 72**</t>
  </si>
  <si>
    <t>**Investment Report: Hologic (HOLX)**
 **Recent News:**  
 Hologic has recently achieved key regulatory approvals, which could bolster its product portfolio and market presence. These approvals are likely to enhance its competitive positioning in the healthcare equipment industry, particularly in diagnostics and women's health. However, the broader macroeconomic environment, including slowing economic growth and trade uncertainties, may limit the full realization of these growth opportunities. Additionally, the firm's earnings growth has been under pressure, reflecting challenges in maintaining momentum amid a decelerating global economy.
 **Financials:**  
 Hologic's financial metrics present a mixed picture. The company has a market capitalization of $14.28 billion and a trailing P/E ratio of 20.02, which is slightly above the healthcare equipment industry average, indicating moderate valuation concerns. However, its forward P/E of 13.40 suggests potential earnings growth in the future. The firm has a strong balance sheet with a quick ratio of 2.60 and a current ratio of 3.49, indicating robust liquidity. Its gross margins of 60.93% and operating margins of 22.87% highlight operational efficiency, though earnings growth has declined by 15.5% year-over-year, reflecting challenges in sustaining profitability. Revenue growth remains modest at 0.9%, signaling limited top-line expansion.
 The company has a solid free cash flow of $902.8 million, which provides flexibility for reinvestment or debt reduction. However, its debt-to-equity ratio of 53.22% is relatively high, which could pose risks in a rising interest rate environment. Additionally, the stock has underperformed the broader market over the past year, with a 52-week change of -14.06% compared to the S&amp;P 500's gain of 17.25%.
 **Valuations:**  
 Hologic's price-to-book ratio of 2.99 and price-to-sales ratio of 3.54 suggest the stock is trading at a reasonable valuation relative to its peers. Analyst sentiment is neutral, with a recommendation mean of 2.57 (between "hold" and "buy") and a median price target of $80, representing a potential upside of approximately 26% from its current price. However, the stock is trading near its 52-week low of $62.70, which may indicate investor caution or undervaluation depending on future performance.
 **Economic Outlook:**  
 The macroeconomic environment poses challenges for Hologic. Slowing GDP growth in the U.S. and global trade tensions could impact healthcare spending and supply chain dynamics. Additionally, rising interest rates and inflationary pressures may weigh on consumer and institutional demand for healthcare equipment. However, Hologic's strong cash position and operational efficiency provide a buffer against these headwinds. The healthcare sector's defensive nature may also offer some resilience in a volatile economic environment.
 **Summary of Thesis, Edge, and Risk:**  
 Hologic's recent regulatory approvals and strong liquidity position provide a solid foundation for future growth. Its operational efficiency and robust cash flow generation are key strengths, offering flexibility to navigate economic uncertainties. However, declining earnings growth, modest revenue expansion, and macroeconomic headwinds present significant risks. The stock's current valuation and proximity to its 52-week low may offer an attractive entry point, but sustained performance will depend on the successful execution of growth initiatives and stabilization of broader economic conditions.
 **Score: 72**</t>
  </si>
  <si>
    <t>HBAN</t>
  </si>
  <si>
    <t>**Investment Report: Huntington Bancshares (HBAN)**
 **Recent News:**  
 Huntington Bancshares has seen a 10.6% gain in its stock price over the past six months, reflecting investor optimism about its strategic initiatives. The bank has focused on long-term growth strategies, including expanding its digital banking capabilities and enhancing customer experience. However, rising expenses have raised concerns about the sustainability of its profitability. The broader economic environment, including potential recessionary pressures and rising interest rates, could also impact the bank's performance in the near term.
 **Financials:**  
 Huntington Bancshares demonstrates solid financial metrics, with a trailing price-to-earnings (P/E) ratio of 13.27 and a forward P/E of 12.08, indicating a reasonable valuation relative to its earnings growth potential. The bank's dividend yield of 3.76% is attractive, though it is below its five-year average of 4.76%, suggesting some compression in yield due to recent price appreciation. The payout ratio of 50.82% indicates a sustainable dividend policy. 
 The bank's return on equity (ROE) of 10.01% and return on assets (ROA) of 0.99% are in line with industry averages, reflecting efficient use of capital. Earnings growth of 28.9% and revenue growth of 16.2% year-over-year highlight strong operational performance. However, the bank's price-to-book ratio of 1.33 suggests it is trading at a premium to its book value, which may limit upside potential unless growth accelerates further.
 **Valuations:**  
 Huntington's stock is trading near the midpoint of its 52-week range ($12.05 - $18.45), with a current price of $16.47. Analyst price targets range from $14.50 to $22.00, with a mean target of $19.05, implying a potential upside of approximately 15.7%. The stock's beta of 1.10 indicates slightly higher volatility than the broader market, which could amplify price movements in response to macroeconomic developments.
 The bank's enterprise value-to-revenue ratio of 4.25 and price-to-sales ratio of 3.39 suggest it is fairly valued compared to peers in the regional banking sector. However, the trailing PEG ratio of 2.75 indicates that the stock may be slightly overvalued relative to its earnings growth rate.
 **Economic Outlook:**  
 The macroeconomic environment poses both opportunities and risks for Huntington Bancshares. Rising interest rates could benefit the bank's net interest margin, a key driver of profitability. However, the potential for a U.S. economic slowdown, as indicated by a projected 1.5% GDP contraction in Q1 2025, could weigh on loan demand and increase credit risk. Additionally, geopolitical uncertainties and trade tensions may impact consumer and business confidence, further influencing the bank's performance.
 Huntington's exposure to rising expenses, as highlighted in recent news, could pressure margins if revenue growth slows. The bank's strong capital position, with $13.65 billion in cash and a manageable debt load of $17.58 billion, provides a buffer against economic headwinds.
 **Summary of Thesis, Edge, and Risk:**  
 Huntington Bancshares is well-positioned for long-term growth, supported by strategic initiatives and solid financial performance. Its attractive dividend yield and reasonable valuation provide a compelling case for income-focused investors. However, rising expenses and potential macroeconomic challenges, including a slowing economy and credit risks, present near-term headwinds. The stock's premium valuation relative to book value and its slightly elevated beta suggest heightened sensitivity to market volatility.
 **Score: 72**</t>
  </si>
  <si>
    <t>GS</t>
  </si>
  <si>
    <t>**Investment Report: Goldman Sachs**
 **Recent News**  
 Goldman Sachs has faced a challenging start to 2025, with its stock trading below $650 and closing at $614.91, down 1.79% in the latest session. This decline outpaced the broader market, reflecting investor concerns over a slowdown in dealmaking activity and broader economic uncertainties. Despite this, the firm has demonstrated robust long-term performance, with a 186% increase in share value over the past five years and a 219% total return including dividends. The addition of John Waldron to the board signals potential leadership succession planning, which could provide stability and strategic continuity. However, the downgrade in its outlook due to macroeconomic headwinds and inflationary pressures has weighed on sentiment.
 **Financials**  
 Goldman Sachs remains a financial powerhouse with a market capitalization of $188.86 billion and a strong profit margin of 27.37%. The firm’s trailing price-to-earnings (P/E) ratio of 14.94 and forward P/E of 14.56 suggest a reasonable valuation relative to its earnings potential. Its price-to-book ratio of 1.81 indicates the stock is trading at a premium to its book value, but this is typical for a leading investment bank with a strong franchise. The firm’s dividend yield of 1.93% is slightly below its five-year average of 2.3%, but the payout ratio of 28.37% leaves room for potential dividend growth. Goldman’s earnings and revenue growth rates of 18.1% and 25.9%, respectively, highlight its ability to generate strong financial performance even in a challenging environment.
 However, the firm’s debt-to-equity ratio of 611.1% is notably high, reflecting its reliance on leverage, which is common in the investment banking industry but could pose risks in a rising interest rate environment. Additionally, the firm’s operating cash flow is negative, which may raise concerns about liquidity management in the near term.
 **Valuations**  
 Goldman Sachs is trading near its 50-day average of $612.89 but well above its 200-day average of $532.10, indicating that the stock has seen significant appreciation over the past year. Analysts have a median price target of $640, with a high target of $782 and a low of $504, suggesting mixed sentiment but an overall positive outlook. The recommendation mean of 2.22 (on a scale where 1 is a strong buy and 5 is a sell) indicates a general consensus to buy the stock. The firm’s beta of 1.36 implies higher volatility compared to the broader market, which could amplify both risks and rewards.
 **Economic Outlook**  
 The broader economic environment presents challenges for Goldman Sachs. The U.S. economy is showing signs of deceleration, with GDP expected to contract by 1.5% in Q1 2025. Rising jobless claims, a record trade deficit, and weakening consumer confidence are creating headwinds for financial markets. Additionally, President Trump’s aggressive trade policies, including tariffs on Canada, Mexico, and China, are increasing market volatility and could impact cross-border dealmaking activity, a key revenue driver for Goldman Sachs. On the positive side, moderating inflation and potential Federal Reserve rate cuts later in the year could provide some relief to financial markets and improve the outlook for investment banking activity.
 **Summary**  
 Goldman Sachs’ long-term performance and strong financial fundamentals provide a solid foundation, but near-term risks from economic deceleration, high leverage, and a slowdown in dealmaking activity weigh on its outlook. The firm’s edge lies in its market leadership, diversified revenue streams, and ability to adapt to changing market conditions. However, risks include macroeconomic headwinds, elevated debt levels, and potential volatility from geopolitical and trade uncertainties.
 **Score: 72**</t>
  </si>
  <si>
    <t>**Investment Report: Welltower Inc. (WELL)**
 **Recent News:**  
 Welltower Inc., a leading healthcare real estate investment trust (REIT), has announced the acquisition of Amica Senior Lifestyles' portfolio for C$4.6 billion ($3.2 billion). This acquisition, sourced from the Ontario Teachers' Pension Plan, includes a strategic partnership with Amica, a prominent senior living operator in Canada. This move significantly expands Welltower's footprint in the senior living sector, particularly in Canada, a market with favorable demographics for long-term growth. The acquisition aligns with Welltower's strategy of targeting high-quality assets in markets with strong demand for senior housing. However, the scale of the transaction raises questions about the impact on Welltower's balance sheet and its ability to integrate the portfolio efficiently.
 **Financials:**  
 Welltower's financial performance reflects a robust position in the healthcare REIT sector. The company has a market capitalization of $100.6 billion and a 52-week price range of $87.87 to $157.17, with the stock currently trading near its all-time high. Revenue growth of 28.6% year-over-year and earnings growth of 25.3% highlight strong operational performance. The company maintains healthy margins, with gross margins at 39.4% and EBITDA margins at 37.1%. However, its trailing price-to-earnings (P/E) ratio of 98.04 and forward P/E of 86.19 suggest a premium valuation, potentially limiting upside in the near term. 
 Welltower's balance sheet shows a debt-to-equity ratio of 51.49, which is manageable but could be pressured by the acquisition. The company has $3.5 billion in cash and a free cash flow of $2.44 billion, providing some flexibility to fund the transaction. The dividend yield of 1.75% is below its five-year average of 3.35%, reflecting the stock's recent price appreciation. While the payout ratio of 1.6 indicates a commitment to dividends, it also suggests limited room for dividend growth in the short term.
 **Valuations:**  
 Welltower's price-to-book ratio of 3.12 and enterprise value-to-EBITDA ratio of 37.91 indicate a premium valuation compared to peers in the healthcare REIT sector. Analysts have a mean target price of $158, close to the current trading price, suggesting limited upside potential. The stock's beta of 1.19 indicates slightly higher volatility compared to the broader market, which could be a concern given the current macroeconomic uncertainties.
 **Economic Outlook:**  
 The macroeconomic environment presents both opportunities and risks for Welltower. The aging population in North America supports long-term demand for senior housing, a core focus of Welltower's portfolio. However, the broader economic slowdown, rising interest rates, and trade tensions could weigh on consumer confidence and the real estate market. Additionally, the healthcare sector faces regulatory risks, which could impact Welltower's operations. The company's ability to navigate these challenges while integrating the Amica portfolio will be critical to its performance.
 **Summary of Thesis, Edge, and Risk:**  
 Welltower's acquisition of Amica Senior Lifestyles positions it to capitalize on the growing demand for senior housing in Canada, enhancing its long-term growth prospects. The company's strong revenue and earnings growth, coupled with its strategic focus on high-quality assets, provide a competitive edge in the healthcare REIT sector. However, the premium valuation, potential balance sheet pressures from the acquisition, and macroeconomic uncertainties pose risks to near-term performance.
 **Score: 72**</t>
  </si>
  <si>
    <t>**Investment Report: Lockheed Martin (LMT)**
 **Recent News:**  
 Lockheed Martin has announced the development of a new "affordable" cruise missile priced at $150,000, with a range exceeding 500 miles. This innovation is strategically aimed at addressing the U.S. military's need to counter China's growing influence in the Pacific and to bolster defense capabilities in light of the ongoing geopolitical tensions, including Russia's invasion of Ukraine. The announcement has generated significant interest in Lockheed Martin's stock, reflecting the market's recognition of the company's ability to adapt to evolving defense priorities. However, concerns about the company's financial leverage, particularly its high debt-to-capital ratio, have tempered enthusiasm, suggesting potential risks in the near term.
 **Financials:**  
 Lockheed Martin's financial performance reflects a mixed picture. The company has a trailing price-to-earnings (P/E) ratio of 20.28 and a forward P/E of 16.08, indicating a valuation that is slightly elevated compared to historical norms but more reasonable when considering forward earnings expectations. The dividend yield of 2.93% is above its five-year average of 2.63%, signaling a commitment to returning value to shareholders. However, the firm's debt-to-equity ratio of 338.2% is a significant red flag, highlighting a heavy reliance on debt financing. This financial structure could pose challenges in a rising interest rate environment or during periods of economic uncertainty. Additionally, earnings and revenue growth have been negative, with quarterly earnings growth down 71.8% and revenue growth declining by 1.3%, reflecting operational headwinds.
 **Valuations:**  
 Lockheed Martin's stock is trading at $451.50, near the lower end of its 52-week range ($419.70 - $618.95). The price-to-book ratio of 16.77 is notably high, suggesting the stock is expensive relative to its book value. The enterprise value-to-revenue ratio of 1.76 and enterprise value-to-EBITDA ratio of 14.89 indicate that the market is pricing in significant future growth or strategic importance, despite the company's current challenges. Analyst sentiment remains cautiously optimistic, with a mean target price of $544.26, implying potential upside of approximately 20.5% from current levels. However, the recommendation mean of 2.21 (between "buy" and "hold") reflects a tempered outlook, likely due to the firm's financial leverage and recent earnings contraction.
 **Economic Outlook:**  
 The broader economic environment presents both opportunities and risks for Lockheed Martin. Geopolitical tensions, including the U.S.-China rivalry and the ongoing conflict in Ukraine, are driving increased defense spending globally, which could benefit the company. However, the U.S. economy is showing signs of deceleration, with GDP projected to shrink by 1.5% in Q1 2025. Rising interest rates and trade tensions could further strain the company's financial position, particularly given its high debt levels. On the positive side, Lockheed Martin's focus on innovation, such as the new cruise missile, positions it well to capture future defense contracts, especially as the U.S. government prioritizes military modernization.
 **Summary:**  
 **Thesis:** Lockheed Martin's strategic focus on innovation and its ability to address evolving defense needs provide a strong foundation for long-term growth. The new cruise missile development underscores the company's commitment to maintaining its leadership in the aerospace and defense industry.  
 **Edge:** The firm's established relationships with the U.S. government and its role as a key defense contractor offer a competitive advantage in securing future contracts.  
 **Risk:** High debt levels and declining earnings growth pose significant risks, particularly in a challenging macroeconomic environment. The elevated valuation metrics further suggest limited margin for error in execution.
 **Score: 72**</t>
  </si>
  <si>
    <t>FDS</t>
  </si>
  <si>
    <t>**Investment Report: FactSet Research Systems Inc.**
 **Recent News:**  
 FactSet has not been in the headlines over the past week, indicating a lack of significant developments or disruptions. This stability can be interpreted as a positive sign in a volatile macroeconomic environment, particularly as the financial exchanges and data industry faces challenges from broader economic uncertainties and geopolitical tensions. The absence of news suggests that FactSet continues to operate steadily without major disruptions to its business model or strategic direction.
 **Financials:**  
 FactSet's financial performance reflects a solid and stable business with strong profitability metrics. The company boasts a profit margin of 24.16% and an EBITDA margin of 38.03%, indicating efficient operations and robust earnings generation. Revenue growth of 4.9% year-over-year, while modest, demonstrates resilience in a challenging economic environment. Earnings growth of 1.3% aligns with this steady performance, though it lags behind broader market expectations for high-growth companies.
 The firm's trailing P/E ratio of 32.86 and forward P/E of 24.52 suggest that the stock is priced at a premium relative to its earnings, reflecting investor confidence in its long-term prospects. However, the price-to-book ratio of 8.75 and price-to-sales ratio of 7.81 indicate that the stock may be overvalued compared to its peers in the financial data industry. The company's beta of 0.762 highlights its lower volatility relative to the broader market, making it a potentially safer investment during periods of market turbulence.
 FactSet's dividend yield of 0.9% is slightly above its five-year average of 0.87%, supported by a low payout ratio of 29.37%, which leaves room for future dividend growth. The company's free cash flow of $484.59 million and operating cash flow of $631.57 million further reinforce its ability to sustain and potentially increase shareholder returns.
 **Valuations:**  
 FactSet's valuation metrics suggest a mixed picture. While the forward P/E ratio of 24.52 is more reasonable than its trailing P/E, it still implies a premium valuation. The trailing PEG ratio of 2.49 indicates that the stock may be expensive relative to its growth prospects. Additionally, the enterprise value-to-EBITDA ratio of 21.95 suggests that the market is pricing in significant future growth, which may not align with the company's modest revenue and earnings growth rates.
 The stock's recent trading range, with a 52-week low of $391.84 and a high of $499.87, places its current price near the midpoint of this range. This positioning reflects a market that is neither overly optimistic nor pessimistic about the company's near-term prospects. Analyst price targets range from $390 to $536, with a mean target of $468.81, close to the current price, indicating limited upside potential in the short term.
 **Economic Outlook:**  
 The broader economic environment presents both challenges and opportunities for FactSet. The U.S. economy is showing signs of deceleration, with GDP contraction expected in Q1 2025 and rising jobless claims. These factors could weigh on corporate spending, including investments in financial data and analytics services. However, FactSet's strong institutional client base and recurring revenue model provide a degree of insulation from economic volatility.
 Geopolitical tensions, including escalating trade wars and tariffs, could impact FactSet's international operations and client base. However, the company's low beta and strong cash flow position make it well-equipped to navigate these uncertainties. Additionally, the ongoing demand for high-quality financial data and analytics in a rapidly evolving market environment supports FactSet's long-term growth potential.
 **Summary of Thesis, Edge, and Risk:**  
 FactSet's investment thesis is built on its strong profitability, recurring revenue model, and stable cash flow generation, which provide resilience in uncertain economic conditions. Its edge lies in its established position as a leading provider of financial data and analytics, supported by a loyal institutional client base. However, risks include its premium valuation, modest growth rates, and potential exposure to macroeconomic and geopolitical headwinds. The stock's current pricing suggests limited short-term upside, but its stability and dividend yield make it an attractive option for conservative, long-term investors.
 **Score: 72**</t>
  </si>
  <si>
    <t>EXC</t>
  </si>
  <si>
    <t>**Investment Report: Exelon Corporation**
 **Recent News:**  
 Exelon Corporation has not been in the news over the past week, indicating a lack of significant developments or disruptions. This stability can be interpreted as a positive sign for a utility company, as the sector often benefits from predictability and steady operations. However, the absence of news also suggests no immediate catalysts for growth or changes in market sentiment.
 **Financials:**  
 Exelon is trading near its 52-week high of $44.62, reflecting strong recent performance. The stock has a dividend yield of 3.62%, slightly above its five-year average of 3.57%, which may appeal to income-focused investors. The payout ratio of 62.04% indicates a sustainable dividend policy, supported by consistent earnings. The company’s beta of 0.58 suggests lower volatility compared to the broader market, aligning with the defensive nature of the utilities sector.
 Exelon’s trailing price-to-earnings (P/E) ratio of 18.18 and forward P/E of 16.94 suggest moderate valuation levels, neither overly expensive nor deeply discounted. The price-to-book ratio of 1.66 is reasonable for a utility company, reflecting a balance between market expectations and the firm’s asset base. However, the enterprise value-to-EBITDA ratio of 12.7 is on the higher side, indicating that the company may be relatively expensive when considering its earnings before interest, taxes, depreciation, and amortization.
 The company’s financial health shows mixed signals. While Exelon has a strong operating cash flow of $5.57 billion, its free cash flow is negative at -$2.03 billion, which could limit its ability to fund growth initiatives without additional debt. The debt-to-equity ratio of 174.23% is high, a common characteristic in the capital-intensive utilities sector, but it raises concerns about leverage in a rising interest rate environment. The quick ratio of 0.48 and current ratio of 0.87 indicate limited short-term liquidity, though this is typical for utility firms with stable cash flows.
 **Valuations:**  
 Exelon’s stock has appreciated by 21.86% over the past year, outperforming the S&amp;P 500’s 17.25% gain. Analysts have a median price target of $44.00, close to the current price, suggesting limited upside potential in the near term. The recommendation mean of 2.32 (between "buy" and "hold") reflects cautious optimism among analysts. The trailing PEG ratio of 2.58 indicates that the stock may be slightly overvalued relative to its earnings growth rate.
 **Economic Outlook:**  
 The broader economic environment presents challenges and opportunities for Exelon. The U.S. economy is showing signs of deceleration, with GDP expected to shrink in Q1 2025. However, utilities are typically considered defensive investments, benefiting from stable demand even during economic downturns. Rising interest rates could increase Exelon’s borrowing costs, given its high debt levels, but moderating inflation and potential rate cuts later in the year may provide relief.
 The ongoing trade tensions and tariffs are unlikely to have a direct impact on Exelon, as the company operates primarily in the domestic market. However, broader economic uncertainty could weigh on investor sentiment. The company’s focus on regulated utility operations and renewable energy investments positions it well for long-term growth, particularly as clean energy initiatives gain momentum.
 **Summary:**  
 Exelon’s investment thesis is built on its stable cash flows, attractive dividend yield, and defensive positioning in a volatile market. Its edge lies in its regulated utility operations and focus on renewable energy, which align with long-term industry trends. However, risks include high leverage, negative free cash flow, and limited short-term upside potential given its current valuation. The stock is well-suited for income-focused investors seeking stability but may lack significant growth catalysts in the near term.
 **Score: 72**</t>
  </si>
  <si>
    <t>FOX</t>
  </si>
  <si>
    <t>**Investment Report: Fox Corporation (Class B)**
 **Recent News:**  
 Fox Corporation has announced plans to launch a new streaming service by the end of 2025, aiming to attract millions of subscribers. This move reflects the company's strategic pivot to capitalize on the growing demand for digital content and streaming platforms. While the announcement is promising, the competitive landscape in streaming is intense, with established players like Netflix, Disney+, and Amazon Prime Video dominating the market. Fox's success will depend on its ability to differentiate its service, secure compelling content, and effectively market to a broad audience. The timeline for the launch, set for late 2025, suggests that the financial impact of this initiative will not be immediate, leaving the company reliant on its existing operations in the near term.
 **Financials:**  
 Fox Corporation's financial position appears stable, with a market capitalization of $24.99 billion and a trailing price-to-earnings (P/E) ratio of 11.47, indicating a relatively low valuation compared to the broader market. The forward P/E of 22.74 suggests expectations of slower earnings growth in the near term. The company has demonstrated strong profitability, with a profit margin of 14.39% and a return on equity (ROE) of 20.05%, reflecting efficient use of shareholder capital. Revenue growth of 19.9% year-over-year is a positive indicator, supported by earnings growth of 257.4%, which highlights robust operational performance.
 Fox's dividend yield of 1.0% is below its five-year average of 1.54%, suggesting limited income appeal for dividend-focused investors. However, the payout ratio of 11.37% indicates ample room for dividend sustainability or potential increases. The company's debt-to-equity ratio of 68.77% is moderate, though it warrants monitoring given the competitive pressures in the broadcasting industry. Fox's strong liquidity, with a quick ratio of 2.07 and a current ratio of 2.50, provides a buffer against short-term financial challenges.
 **Valuations:**  
 Fox's price-to-book (P/B) ratio of 2.11 is reasonable, reflecting a fair valuation relative to its assets. The enterprise value-to-revenue (EV/Revenue) ratio of 1.93 and enterprise value-to-EBITDA (EV/EBITDA) ratio of 8.68 suggest that the company is attractively valued compared to industry peers. The stock has performed well over the past year, with a 52-week price change of 105.36%, significantly outperforming the S&amp;P 500's 17.25% gain. This strong performance may limit further upside in the short term, as much of the positive sentiment may already be priced in.
 **Economic Outlook:**  
 The broader economic environment presents challenges for Fox Corporation. The U.S. economy is showing signs of deceleration, with GDP contraction expected in Q1 2025 and rising jobless claims. Consumer confidence is weakening, which could impact advertising revenue—a key driver for Fox's broadcasting business. Additionally, the ongoing trade tensions and tariffs could indirectly affect the company's operations, particularly if consumer spending declines or input costs rise. However, Fox's focus on digital transformation and its strong financial position may help it navigate these headwinds.
 **Summary of Thesis, Edge, and Risk:**  
 Fox Corporation's planned streaming service represents a strategic opportunity to diversify revenue streams and capture growth in the digital content market. The company's strong profitability, reasonable valuation metrics, and robust liquidity provide a solid foundation for future growth. However, the competitive streaming landscape and broader economic uncertainties pose significant risks. The delayed timeline for the streaming service launch means that near-term performance will depend on the resilience of Fox's core broadcasting operations.
 **Score: 72**</t>
  </si>
  <si>
    <t>FSLR</t>
  </si>
  <si>
    <t>**Investment Report: First Solar**
 **Recent News:**  
 First Solar is navigating a complex environment of growth opportunities and challenges. The company is poised for expansion in 2025, driven by increased production capacity and bolstered by U.S. government incentives, particularly the 45X tax credit. However, its reliance on these subsidies introduces significant risks, as any potential repeal or reduction of these credits could materially impact profitability. Political uncertainty surrounding U.S. renewable energy policies and ongoing tariff disputes further complicate the outlook. Additionally, the global polysilicon oversupply is pressuring margins across the solar industry. Despite these headwinds, First Solar has demonstrated resilience, with strong sales and stable growth, outperforming competitors like SolarEdge Technologies and Sunrun. However, its recent Q4 2024 earnings report revealed mixed results, with revenue exceeding expectations at $1.5 billion but earnings per share ($3.65) falling short of estimates, reflecting cost pressures and policy uncertainties.
 **Financials:**  
 First Solar's financial metrics present a mixed picture. The company has a trailing P/E ratio of 10.62 and a forward P/E of 6.12, suggesting it is undervalued relative to its earnings potential. Its price-to-book ratio of 1.71 and price-to-sales ratio of 3.25 further indicate a reasonable valuation. The firm has a strong balance sheet, with $1.79 billion in cash and a manageable debt-to-equity ratio of 9.01. Profit margins are robust, with a net margin of 30.7% and EBITDA margin of 43.2%, reflecting operational efficiency. However, free cash flow is negative at -$363 million, signaling potential liquidity concerns if cash burn persists. Revenue growth of 30.7% and earnings growth of 12.7% highlight the company's ability to scale, but these figures are heavily influenced by government incentives. The stock has experienced significant volatility, with a 52-week range of $126.54 to $306.77, and its beta of 1.52 indicates higher-than-average market sensitivity.
 **Valuations:**  
 Analyst sentiment remains positive, with a mean price target of $245.14, representing substantial upside from the current price of $127.24. The recommendation mean of 1.56 (indicating a "buy") reflects optimism about the company's long-term prospects. However, the stock's recent performance has been lackluster, with a 14.4% decline over the past year, underperforming the S&amp;P 500's 17.2% gain. This underperformance is partly due to macroeconomic headwinds, including tariff uncertainties and policy risks, which have weighed on investor sentiment. The trailing PEG ratio of 0.26 suggests the stock is attractively priced relative to its growth potential, but this valuation assumes continued government support and stable policy conditions.
 **Economic Outlook:**  
 The broader economic environment presents both opportunities and risks for First Solar. The U.S. government's focus on renewable energy and domestic manufacturing aligns with the company's strategic goals, but the recent escalation in trade tensions and tariffs could disrupt supply chains and increase costs. Additionally, the potential for a U.S. recession, as indicated by a projected 1.5% GDP contraction in Q1 2025, could dampen demand for solar installations. Inflationary pressures and elevated interest rates may also impact project financing and consumer adoption of solar technologies. On the positive side, First Solar's focus on U.S.-based manufacturing positions it well to benefit from domestic incentives and reduce exposure to international trade risks.
 **Summary:**  
 **Thesis:** First Solar is a leader in the solar industry with strong growth prospects supported by government incentives and operational efficiency.  
 **Edge:** Its U.S.-based manufacturing and focus on thin-film solar technology provide a competitive advantage in a market increasingly shaped by policy and trade dynamics.  
 **Risk:** The company's heavy reliance on subsidies, coupled with political and economic uncertainties, poses significant risks to its valuation and long-term stability.  
 **Score: 72**</t>
  </si>
  <si>
    <t>GIS</t>
  </si>
  <si>
    <t>**Investment Report: General Mills**
 **Recent News:**  
 General Mills has recently underperformed the S&amp;P 500, reflecting a challenging environment for the packaged foods sector. The company has revised its guidance downward, signaling increased near-term investments aimed at driving long-term growth. This strategic pivot suggests a focus on innovation and market positioning, but it also introduces short-term earnings pressure. Analysts' consensus estimates appear conservative, falling below the company's medium-term guidance of a 7% adjusted EPS compound annual growth rate (CAGR). This divergence may indicate potential upside if the company successfully executes its growth initiatives.
 **Financials:**  
 General Mills exhibits a stable financial profile with a trailing price-to-earnings (P/E) ratio of 13.49 and a forward P/E of 13.21, both below the broader market average, suggesting relative undervaluation. The dividend yield of 3.96% is well above its five-year average of 3.19%, making it attractive for income-focused investors. The payout ratio of 51.74% indicates a sustainable dividend policy. However, the company's debt-to-equity ratio of 153.68% highlights a leveraged balance sheet, which could pose risks in a rising interest rate environment. Free cash flow of $1.43 billion and operating cash flow of $3.58 billion provide some cushion for debt servicing and investment needs.
 **Valuations:**  
 General Mills' price-to-sales ratio of 1.72 and price-to-book ratio of 3.73 are reasonable for a consumer staples company, particularly given its strong profit margins (gross margin of 35.27% and operating margin of 20.86%). The enterprise value-to-EBITDA ratio of 10.58 is in line with industry norms, reflecting a fair valuation. The stock is trading closer to its 52-week low of $55.15 than its high of $75.90, suggesting potential upside if market sentiment improves. Analyst price targets range from $58 to $79, with a median target of $68, implying a moderate upside from current levels.
 **Economic Outlook:**  
 The broader economic environment presents mixed signals for General Mills. While consumer staples are generally resilient during economic slowdowns, the company's near-term investments and elevated debt levels could be challenged by slowing GDP growth and rising interest rates. Tariff-related trade tensions may also impact input costs, though General Mills' diversified product portfolio and global presence provide some insulation. The company's beta of 0.055 indicates minimal correlation with broader market volatility, reinforcing its defensive characteristics.
 **Summary of Thesis, Edge, and Risk:**  
 General Mills offers a compelling case for value-oriented investors, with attractive relative valuations and a strong dividend yield. Its strategic investments in long-term growth could unlock shareholder value, particularly if consensus estimates prove overly conservative. However, the company's high leverage and near-term earnings pressure introduce risks, especially in a challenging macroeconomic environment. The defensive nature of its business and its focus on consumer staples provide a degree of stability, but execution on growth initiatives will be critical to realizing its potential.
 **Score: 72**</t>
  </si>
  <si>
    <t>GNRC</t>
  </si>
  <si>
    <t>**Investment Report: Generac Holdings Inc.**
 **Recent News:**  
 Generac Holdings Inc. has not been in the news over the past week, indicating a lack of significant developments or announcements. This absence of news suggests stability in operations but also a lack of immediate catalysts for the stock.
 **Financials:**  
 Generac's financial performance reflects a mixed picture. The company has a market capitalization of $7.8 billion and a trailing price-to-earnings (P/E) ratio of 24.28, which is higher than its forward P/E of 15.94, indicating expectations of earnings growth. The firm has demonstrated strong earnings growth of 36.9% and revenue growth of 16.1% year-over-year, supported by healthy profit margins of 7.36% and gross margins of 38.77%. 
 Generac's balance sheet shows a manageable debt-to-equity ratio of 55.77, with total debt of $1.39 billion and cash reserves of $281 million. The company’s free cash flow of $571 million and operating cash flow of $741 million highlight its ability to generate liquidity. However, its quick ratio of 0.865 suggests potential short-term liquidity challenges, though the current ratio of 1.967 provides some reassurance.
 The stock has shown a 23.67% increase over the past 52 weeks, outperforming the S&amp;P 500's 17.25% gain. However, the stock is trading below its 50-day and 200-day moving averages, which could indicate bearish sentiment in the short term. Generac's price-to-book ratio of 3.13 is reasonable for its industry, and its enterprise value-to-revenue ratio of 2.08 suggests the stock is not excessively overvalued.
 **Valuations:**  
 Generac's valuation metrics suggest a company with growth potential but facing near-term headwinds. The trailing PEG ratio of 1.21 indicates that the stock is fairly valued relative to its earnings growth. Analysts have a mean price target of $170.77, representing a significant upside from the current price of approximately $130. The recommendation mean of 2.33 (between "buy" and "hold") reflects cautious optimism among analysts.
 Short interest stands at 4.97% of shares outstanding, with a short ratio of 3.15, indicating moderate bearish sentiment. Institutional ownership is high at 94.88%, which underscores confidence from large investors.
 **Economic Outlook:**  
 Generac operates in the electrical components and equipment industry, which is sensitive to macroeconomic conditions. The current economic environment, marked by rising tariffs and slowing GDP growth, could weigh on demand for Generac's products, particularly in international markets. However, the company’s focus on backup power solutions positions it well to benefit from increasing demand for energy reliability amid climate-related disruptions and grid instability.
 The broader market's recent volatility, driven by geopolitical tensions and trade uncertainties, could create headwinds for Generac in the short term. Elevated interest rates may also increase borrowing costs, potentially impacting profitability. On the other hand, the company’s strong cash flow generation and growth in earnings and revenue provide a buffer against these challenges.
 **Summary:**  
 Generac's investment thesis is supported by its strong earnings and revenue growth, healthy margins, and reasonable valuation metrics. Its edge lies in its positioning within the growing market for energy reliability solutions, which is likely to see sustained demand. However, risks include macroeconomic headwinds, short-term liquidity concerns, and bearish technical indicators. The lack of recent news or catalysts may limit near-term upside potential.
 **Score: 72**</t>
  </si>
  <si>
    <t>FIS</t>
  </si>
  <si>
    <t>**Investment Report: Fidelity National Information Services (FIS)**
 **Recent News:**  
 Fidelity National Information Services (FIS) has not been in the spotlight over the past week, with no significant news or announcements. This lack of recent developments suggests that the company is operating within a stable environment, though it also indicates no immediate catalysts for significant price movement. However, the broader economic and geopolitical environment, including trade tensions and slowing economic growth, could indirectly impact the transaction and payment processing industry.
 **Financials:**  
 FIS is currently trading near the lower end of its 52-week range ($66.72 - $91.98), with a recent close of $71.12. The stock has underperformed the S&amp;P 500 over the past year, with a modest 1.96% gain compared to the index's 17.25% increase. The company offers a dividend yield of 2.25%, slightly above its five-year average of 2.0%, which may appeal to income-focused investors. However, the payout ratio of 101.41% raises concerns about the sustainability of its dividend, as it exceeds earnings.
 The firm's forward P/E ratio of 12.64 suggests a more attractive valuation compared to its trailing P/E of 50.85, reflecting expectations of significant earnings growth. This aligns with its forward EPS estimate of $5.71, a notable improvement from its trailing EPS of $1.42. Additionally, the trailing PEG ratio of 0.54 indicates that the stock may be undervalued relative to its growth prospects.
 FIS reported revenue growth of 3.4% and earnings growth of 23.4% year-over-year, demonstrating resilience in a challenging macroeconomic environment. However, its operating margins (9.47%) and return on equity (4.55%) remain relatively modest, suggesting room for operational improvement. The company's debt-to-equity ratio of 73.51 is somewhat elevated, though its free cash flow of $3.34 billion provides a cushion for debt servicing and potential reinvestment.
 **Valuations:**  
 FIS's price-to-book ratio of 2.44 and price-to-sales ratio of 3.78 indicate that the stock is trading at a reasonable valuation relative to its peers in the transaction and payment processing industry. Analysts have a median price target of $85, implying a potential upside of approximately 19.5% from current levels. The recommendation mean of 2.28 (on a scale where 1.0 is a "Strong Buy") reflects a generally positive sentiment among analysts, with 26 opinions supporting a "Buy" rating.
 **Economic Outlook:**  
 The broader economic environment presents both challenges and opportunities for FIS. The U.S. economy is showing signs of deceleration, with GDP expected to contract by 1.5% in Q1 2025. Rising jobless claims and weakening consumer confidence could dampen transaction volumes, a key revenue driver for FIS. Additionally, the ongoing trade tensions and tariffs imposed by the Trump administration may disrupt global supply chains and increase costs for businesses, potentially impacting FIS's clients and transaction volumes.
 On the positive side, the Federal Reserve's efforts to control inflation and the potential for rate cuts later in the year could provide a more favorable economic backdrop. Furthermore, the company's exposure to the growing digital payments market and its investments in technology position it well for long-term growth, even amid short-term headwinds.
 **Summary:**  
 **Thesis:** FIS offers a compelling valuation with a forward P/E of 12.64 and a PEG ratio of 0.54, suggesting it is undervalued relative to its growth prospects. Its dividend yield of 2.25% provides income potential, though the high payout ratio warrants caution.  
 **Edge:** The company's resilience, demonstrated by revenue and earnings growth, and its positioning in the expanding digital payments market provide a long-term growth opportunity.  
 **Risk:** Elevated debt levels, modest margins, and macroeconomic headwinds, including slowing GDP growth and trade tensions, pose risks to near-term performance.
 **Score: 72**</t>
  </si>
  <si>
    <t>**Investment Report: Cintas Corporation (CTAS)**
 **Recent News:**  
 Cintas Corporation, a leader in the diversified support services industry, has been compared to its sector peers, including Gorilla Technology Group Inc. (GRRR), in terms of performance this year. While the broader business services sector has faced challenges, Cintas has demonstrated resilience, supported by its strong operational model and consistent demand for its uniform rental and facility services. However, the broader economic slowdown and tariff-related uncertainties could weigh on the sector's near-term outlook.
 **Financials:**  
 Cintas exhibits robust financial health, with a market capitalization of $83.7 billion and a trailing price-to-earnings (P/E) ratio of 49.98, indicating a premium valuation compared to the broader market. The company has shown solid earnings growth of 21.1% and revenue growth of 7.8% year-over-year, reflecting its ability to expand despite macroeconomic headwinds. Its profit margins are strong, with a net income margin of 17.2% and EBITDA margins of 25.8%, showcasing operational efficiency. The company also maintains a healthy return on equity (ROE) of 41.3%, highlighting its ability to generate significant returns for shareholders.
 Cintas has a manageable debt-to-equity ratio of 66.3%, supported by a free cash flow of $1.65 billion and operating cash flow of $2.26 billion, which provide flexibility for debt servicing and potential growth investments. However, its quick ratio of 0.749 suggests limited short-term liquidity, which could be a concern in a tightening economic environment.
 **Valuations:**  
 Cintas trades at a forward P/E ratio of 44.32, reflecting high investor expectations for future growth. Its price-to-book ratio of 19.50 and enterprise value-to-EBITDA ratio of 33.74 indicate a premium valuation compared to industry peers. While the company has a strong track record of growth, these elevated multiples suggest limited margin for error, particularly in a volatile market environment. The dividend yield of 0.75% is below its five-year average of 0.96%, indicating that the stock may not appeal to income-focused investors despite its consistent dividend payouts.
 **Economic Outlook:**  
 The broader economic environment presents mixed signals for Cintas. The U.S. economy is showing signs of deceleration, with GDP expected to contract in Q1 2025. Rising jobless claims and weakening consumer confidence could impact demand for Cintas' services, particularly in sectors sensitive to economic cycles. Additionally, the implementation of tariffs on Canadian, Mexican, and Chinese goods could increase input costs and disrupt supply chains, potentially pressuring margins. However, Cintas' diversified revenue streams and strong operational efficiency may help mitigate some of these risks.
 **Summary of Thesis, Edge, and Risk:**  
 Cintas benefits from a strong market position, consistent revenue growth, and robust profitability metrics, making it a leader in the diversified support services industry. Its ability to generate high returns on equity and maintain strong cash flows provides a competitive edge. However, the stock's premium valuation and exposure to macroeconomic uncertainties, including tariffs and a potential economic slowdown, present risks. Investors may need to weigh the company's strong fundamentals against the broader economic challenges and elevated market expectations.
 **Score: 72**</t>
  </si>
  <si>
    <t>CTSH</t>
  </si>
  <si>
    <t>**Investment Report: Cognizant Technology Solutions**
 **Recent News:**  
 Cognizant Technology Solutions has not been in the news over the past week, indicating a period of stability without any major announcements or disruptions. This lack of news suggests that the company is operating within its usual parameters, with no immediate catalysts or risks emerging from external developments.
 **Financials:**  
 Cognizant's financial performance reflects a stable and mature business. The company has a market capitalization of $41.3 billion and a trailing price-to-earnings (P/E) ratio of 18.52, which is slightly above its forward P/E of 16.73, indicating expectations of modest earnings growth. The firm’s dividend yield of 1.49% is in line with its five-year average, supported by a low payout ratio of 26.6%, suggesting room for future dividend increases. 
 The company’s revenue growth of 6.8% year-over-year is steady, though earnings growth has slightly declined by 1.2%, reflecting some margin pressures. Gross margins of 34.3% and operating margins of 15.7% remain healthy, showcasing operational efficiency. Cognizant’s return on equity (ROE) of 16.2% and return on assets (ROA) of 9.8% are solid, indicating effective use of shareholder capital and assets. 
 The balance sheet is robust, with a current ratio of 2.09 and a quick ratio of 1.76, highlighting strong liquidity. Debt levels are manageable, with a debt-to-equity ratio of 10.43%, and the company holds $2.24 billion in cash, providing flexibility for strategic investments or shareholder returns. Free cash flow of $2.13 billion further underscores its financial stability.
 **Valuations:**  
 Cognizant is trading at a price-to-book (P/B) ratio of 2.87, which is reasonable for the IT consulting sector. Its enterprise value-to-revenue (EV/Revenue) ratio of 2.05 and enterprise value-to-EBITDA (EV/EBITDA) ratio of 11.53 suggest the stock is fairly valued relative to its peers. Analyst sentiment is neutral, with a recommendation mean of 2.89 (hold) and a median price target of $86, implying limited upside from the current price of $83.33. The stock is trading closer to its 52-week high of $90.82, reflecting investor confidence but also limiting the margin of safety for new entrants.
 **Economic Outlook:**  
 The broader economic environment presents mixed implications for Cognizant. The IT consulting industry may face headwinds from slowing global economic growth and rising geopolitical tensions, particularly with the U.S.-China trade war escalating. However, Cognizant’s diversified client base and focus on digital transformation services position it well to benefit from long-term trends in technology adoption. Elevated interest rates and potential recessionary pressures could weigh on corporate IT budgets, but Cognizant’s strong cash flow and operational efficiency provide resilience.
 **Summary of Thesis, Edge, and Risk:**  
 Cognizant’s investment thesis is built on its stable financial performance, strong liquidity, and consistent dividend payouts. Its edge lies in its operational efficiency and ability to adapt to evolving client needs in digital transformation. However, risks include slowing earnings growth, potential macroeconomic pressures on IT spending, and limited near-term upside given its current valuation.
 **Score: 72**</t>
  </si>
  <si>
    <t>**Investment Report: CVS Health Corporation**
 **Recent News:**  
 CVS Health has faced significant challenges over the past year, with its stock declining by over 43% in 2024 due to rising medical costs and consistent earnings misses. However, recent attention from analysts and investors suggests a potential turnaround. The company has been under scrutiny for its ability to manage costs and improve profitability in a competitive healthcare landscape. Despite these struggles, CVS Health remains a key player in the healthcare services industry, with a strong market presence and diversified revenue streams.
 **Financials:**  
 CVS Health's financial metrics present a mixed picture. The company has a trailing price-to-earnings (P/E) ratio of 17.73, which is higher than its forward P/E of 10.02, indicating expectations of improved earnings in the future. Its dividend yield of 4.05% is attractive, especially compared to its five-year average of 3.08%, suggesting a commitment to returning value to shareholders. However, the payout ratio of 72.68% raises concerns about the sustainability of its dividend if earnings remain under pressure.
 The company's revenue growth of 3.6% year-over-year is modest but steady, with total revenue reaching $370.66 billion. However, profitability metrics such as net income margins (1.25%) and return on equity (6.02%) are relatively low, reflecting the impact of rising costs and operational inefficiencies. CVS Health's debt-to-equity ratio of 109.49% highlights its significant leverage, which could pose risks in a rising interest rate environment. On the positive side, the company has a solid free cash flow of $6.91 billion, providing some financial flexibility.
 **Valuations:**  
 CVS Health's valuation metrics suggest that the stock may be undervalued relative to its peers. Its price-to-book ratio of 1.08 and price-to-sales ratio of 0.22 indicate that the stock is trading at a discount compared to the broader market. Additionally, the trailing PEG ratio of 0.68 suggests that the stock is attractively priced relative to its growth potential. Analyst sentiment remains positive, with a mean price target of $72.14, representing a potential upside from its current trading levels.
 **Economic Outlook:**  
 The broader economic environment presents both challenges and opportunities for CVS Health. Rising medical costs and inflationary pressures have weighed on the company's margins, but the healthcare sector remains resilient due to its essential nature. The company's ability to navigate these headwinds will depend on its cost management strategies and operational efficiency improvements. Additionally, the potential for a slowing U.S. economy in 2025 could impact consumer spending on healthcare services, though CVS Health's diversified business model, including its retail pharmacy and health insurance segments, provides some insulation.
 **Summary of Thesis, Edge, and Risk:**  
 CVS Health's investment thesis hinges on its potential to recover from a challenging 2024 by improving operational efficiency and leveraging its diversified business model. The company's edge lies in its strong market position, extensive retail footprint, and integrated healthcare offerings. However, risks include rising medical costs, high leverage, and the potential for continued margin pressure. While the stock appears undervalued, its recovery will depend on management's ability to execute on cost control and growth initiatives.
 **Score: 72**</t>
  </si>
  <si>
    <t>DAL</t>
  </si>
  <si>
    <t>**Investment Report: Delta Air Lines (DAL)**
 **Recent News:**  
 Delta Air Lines has been highlighted as a top value stock by Zacks, emphasizing its strong earnings estimates and revisions. The airline is positioned as a compelling choice for value investors, supported by its favorable valuation metrics and potential for long-term growth. However, the broader economic environment, including rising tariffs and geopolitical uncertainties, could weigh on consumer demand and operational costs in the near term.
 **Financials:**  
 Delta's financial performance reflects a mixed picture. The company has a trailing P/E ratio of 10.97 and a forward P/E of 8.33, indicating an attractive valuation relative to its earnings potential. Its price-to-sales ratio of 0.61 and price-to-book ratio of 2.45 further underscore its value appeal. Delta's profitability metrics, including a return on equity of 26.19% and profit margins of 5.61%, are robust, though earnings growth has contracted by 59.3% year-over-year. Revenue growth of 9.4% suggests resilience in top-line performance, but the company's high debt-to-equity ratio of 156.09% and low quick ratio of 0.24 highlight liquidity and leverage concerns. Free cash flow of $1.58 billion and operating cash flow of $8.02 billion provide some financial flexibility.
 **Valuations:**  
 Delta's stock is trading near $57.63, below its 50-day average of $64.07 and significantly below its 52-week high of $69.98. This decline may present a buying opportunity for long-term investors, especially given the stock's strong analyst sentiment, with a recommendation mean of 1.39 (strong buy) and a median price target of $80. The dividend yield of 1.0% is modest but sustainable, with a low payout ratio of 9.38%. However, the trailing annual dividend yield of 0.91% is below its five-year average of 2.3%, reflecting a cautious approach to capital returns amid economic uncertainty.
 **Economic Outlook:**  
 The macroeconomic environment poses challenges for Delta. The U.S. economy is showing signs of deceleration, with GDP expected to contract by 1.5% in Q1 2025. Rising tariffs on Canadian, Mexican, and Chinese goods could increase input costs for Delta, particularly in fuel and aircraft parts. Consumer confidence is weakening, which may dampen demand for air travel. Additionally, geopolitical tensions and trade uncertainties could disrupt international operations. On the positive side, moderating inflation and potential Federal Reserve rate cuts later in the year could provide some relief to operating costs and consumer spending.
 **Summary:**  
 Delta Air Lines offers a compelling value proposition with strong profitability metrics, attractive valuations, and a favorable analyst outlook. Its edge lies in its ability to generate consistent cash flow and maintain operational efficiency despite economic headwinds. However, risks include high leverage, liquidity constraints, and potential demand softness due to macroeconomic challenges and geopolitical uncertainties.
 **Score: 72**</t>
  </si>
  <si>
    <t>CSCO</t>
  </si>
  <si>
    <t>**Investment Report: Cisco Systems, Inc. (CSCO)**
 **Recent News:**  
 Cisco Systems has garnered significant attention recently, with its stock being a trending topic among investors. This interest is likely driven by its strong market position in the communications equipment industry and its ability to adapt to evolving technological demands. However, the broader economic environment, including trade tensions and slowing global growth, could weigh on the company's near-term performance. Cisco's focus on networking, cybersecurity, and cloud solutions positions it well for long-term growth, but recent earnings growth challenges and macroeconomic uncertainties may temper expectations.
 **Financials:**  
 Cisco's financial performance reflects a mixed picture. The company has a market capitalization of $252.5 billion and a trailing P/E ratio of 27.84, which is relatively high compared to its forward P/E of 16.28, indicating expectations of improved earnings in the future. The dividend yield of 2.56% is attractive, though slightly below its five-year average of 3.04%, suggesting a modest decline in yield attractiveness. Cisco's revenue growth of 9.4% year-over-year is a positive sign, but its earnings growth has contracted by 6.1%, reflecting potential margin pressures or increased costs. The company's gross margins remain robust at 65.13%, and its operating margins of 22.32% highlight operational efficiency.
 Cisco's balance sheet shows a total cash position of $17.64 billion, providing liquidity to navigate economic uncertainties. However, its debt-to-equity ratio of 71.21 indicates a relatively high level of leverage, which could be a concern in a rising interest rate environment. The quick ratio of 0.659 and current ratio of 0.867 suggest limited short-term liquidity, which may require careful management.
 **Valuations:**  
 Cisco's price-to-book ratio of 5.55 and price-to-sales ratio of 4.66 indicate that the stock is trading at a premium relative to its book value and revenue. While these valuations may reflect the company's strong market position and growth potential, they also suggest limited margin for error in execution. The stock's 52-week price range of $44.50 to $66.50 shows that it is trading near its upper range, which could limit upside potential in the short term. Analyst price targets range from $54 to $80, with a mean target of $70.41, implying moderate upside from current levels.
 **Economic Outlook:**  
 The broader economic environment presents challenges for Cisco. The U.S. economy is showing signs of deceleration, with GDP expected to contract in Q1 2025. Trade tensions, particularly with China, could disrupt supply chains and increase costs for Cisco, given its global operations. Additionally, rising interest rates and weakening consumer confidence may dampen enterprise spending on IT infrastructure, a key revenue driver for Cisco. However, the company's focus on high-growth areas like cybersecurity, cloud computing, and AI-driven networking solutions could provide resilience against macroeconomic headwinds.
 **Summary of Thesis, Edge, and Risk:**  
 Cisco's strong market position, robust margins, and focus on high-growth technology sectors provide a solid foundation for long-term growth. Its dividend yield and forward P/E ratio suggest value for income-focused investors. However, near-term risks include macroeconomic uncertainties, trade tensions, and earnings growth challenges. The company's high leverage and premium valuation further underscore the need for cautious optimism.
 **Score: 72**</t>
  </si>
  <si>
    <t>PAYX</t>
  </si>
  <si>
    <t>**Investment Report: Paychex (Human Resource &amp; Employment Services)**
 **Recent News:**  
 Paychex has not been in the headlines over the past week, indicating a lack of significant developments or disruptions. This stability can be interpreted as a positive sign in a volatile macroeconomic environment, particularly as the broader market faces uncertainty from geopolitical tensions and trade policy changes. The absence of news suggests that Paychex continues to operate within its established business model without major external shocks.
 **Financials:**  
 Paychex's financial performance reflects a strong and stable business model. The company has a trailing P/E ratio of 32.29 and a forward P/E of 28.99, indicating a premium valuation compared to the broader market. This is supported by its robust profit margins, with a net profit margin of 32.02% and operating margins of 40.86%, showcasing its efficiency in converting revenue into profit. Revenue growth of 4.7% and earnings growth of 5.6% year-over-year highlight steady expansion, albeit at a moderate pace.
 The company’s dividend yield of 2.58% is slightly below its five-year average of 2.7%, but the payout ratio of 80.63% suggests a commitment to returning capital to shareholders. Paychex's free cash flow of $1.07 billion and operating cash flow of $1.73 billion provide ample liquidity to sustain its dividend payments and fund future growth initiatives. However, the high price-to-book ratio of 14.07 and trailing PEG ratio of 4.24 suggest that the stock may be overvalued relative to its growth prospects.
 **Valuations:**  
 Paychex is trading near its 52-week high of $154.48, reflecting strong investor confidence. The stock has outperformed the S&amp;P 500 over the past year, with a 52-week change of 26.15% compared to the S&amp;P's 17.25%. However, the current price-to-sales ratio of 10.28 and enterprise value-to-EBITDA ratio of 22.72 indicate a premium valuation, which could limit upside potential in the near term. Analyst sentiment is mixed, with a mean price target of $139.61, suggesting a potential downside from current levels.
 **Economic Outlook:**  
 The broader economic environment presents both challenges and opportunities for Paychex. The U.S. economy is showing signs of deceleration, with GDP expected to shrink by 1.5% in Q1 2025. Rising jobless claims and weakening consumer confidence could impact demand for HR and payroll services. However, Paychex's business model is relatively resilient to economic downturns, as companies still require payroll and compliance services even in challenging times. Additionally, the company's focus on small and medium-sized businesses (SMBs) could provide a buffer, as SMBs often rely on outsourcing HR functions to reduce costs.
 The ongoing trade tensions and tariff implementations may indirectly affect Paychex if its clients in manufacturing or export-driven industries face financial strain. However, the company's diversified client base and recurring revenue model mitigate these risks. Furthermore, Paychex's beta of 0.981 indicates lower volatility compared to the broader market, making it a relatively defensive play in uncertain times.
 **Summary of Thesis, Edge, and Risk:**  
 Paychex offers a stable and resilient business model with strong profit margins and consistent cash flow generation. Its premium valuation reflects investor confidence in its ability to weather economic uncertainties. The company's edge lies in its recurring revenue model and focus on SMBs, which provide a steady income stream even during economic slowdowns. However, risks include its high valuation metrics, which could limit near-term upside, and potential indirect impacts from broader economic challenges and trade tensions.
 **Score: 72**</t>
  </si>
  <si>
    <t>PAYC</t>
  </si>
  <si>
    <t>**Investment Report: Paycom Software Inc.**
 **Recent News:**  
 Paycom Software Inc. has not been in the news over the past week, indicating a lack of significant developments or announcements. This absence of news suggests stability in operations but also a lack of immediate catalysts for price movement. The broader macroeconomic environment, including trade tensions and slowing U.S. economic growth, may indirectly influence the company, particularly as it operates in the Human Resource &amp; Employment Services industry, which is sensitive to labor market conditions.
 **Financials:**  
 Paycom's financial performance reflects a strong position within its industry. The company has a market capitalization of $12.33 billion and a trailing price-to-earnings (P/E) ratio of 24.71, which is slightly above the industry average, indicating a premium valuation. Its forward P/E of 25.25 suggests expectations of steady earnings growth. The firm has demonstrated robust profitability, with a profit margin of 26.66% and gross margins of 85.80%, highlighting its ability to generate significant revenue from its operations.
 Revenue growth of 13.6% year-over-year and earnings growth of 41.8% underscore the company's strong operational performance. Paycom's return on equity (ROE) of 34.87% is particularly impressive, reflecting efficient use of shareholder capital. Additionally, the company maintains a low debt-to-equity ratio of 5.29%, indicating prudent financial management and limited leverage risk.
 Paycom's dividend yield of 0.68% and payout ratio of 16.82% suggest a conservative approach to returning capital to shareholders, leaving room for reinvestment in growth initiatives. The company also boasts a healthy free cash flow of $238.78 million, which supports its ability to fund operations and potential expansion.
 **Valuations:**  
 Paycom's valuation metrics indicate a mixed picture. Its price-to-sales (P/S) ratio of 6.55 and price-to-book (P/B) ratio of 7.62 suggest the stock is trading at a premium compared to peers. However, this premium may be justified by its strong growth metrics and profitability. The trailing PEG ratio of 2.42 indicates that the stock may be slightly overvalued relative to its earnings growth, but this is not uncommon for high-quality growth companies in the technology-driven HR services sector.
 The stock is currently trading near its 52-week high of $242.74, with a recent close of $219.47. This suggests limited immediate upside potential unless new growth catalysts emerge. Analyst sentiment is neutral, with a recommendation mean of 2.75 ("hold") and a target median price of $221.24, which is close to the current trading price.
 **Economic Outlook:**  
 The broader economic environment presents both opportunities and risks for Paycom. The U.S. labor market, while showing signs of deceleration, remains relatively strong, which supports demand for HR and payroll services. However, rising jobless claims and potential recessionary pressures could dampen growth in the near term. Additionally, the company's exposure to small and medium-sized businesses may make it vulnerable to economic slowdowns, as these clients are often more sensitive to macroeconomic conditions.
 The ongoing trade tensions and tariffs introduced by the Trump administration could indirectly impact Paycom by affecting its clients' financial health and hiring activity. However, the company's focus on technology-driven solutions positions it well to benefit from long-term trends in digital transformation and automation within HR services.
 **Summary of Thesis, Edge, and Risk:**  
 Paycom Software Inc. is a well-managed company with strong profitability, robust growth metrics, and a solid financial position. Its premium valuation reflects investor confidence in its ability to sustain growth and capitalize on the increasing demand for technology-driven HR solutions. However, the lack of immediate news or catalysts, combined with broader economic uncertainties, may limit short-term upside potential. Key risks include sensitivity to labor market conditions and potential impacts from a slowing economy.
 **Score: 72**</t>
  </si>
  <si>
    <t>OTIS</t>
  </si>
  <si>
    <t>**Investment Report: Otis Worldwide (OTIS)**
 **Recent News:**  
 Otis Worldwide has seen a 2.9% increase in its stock price since its last earnings report, reflecting positive investor sentiment. The company reported earnings 30 days ago, which likely exceeded market expectations or demonstrated resilience in a challenging macroeconomic environment. This performance may be attributed to Otis's strong market position in the industrial machinery sector, particularly in elevators and escalators, which benefit from ongoing urbanization and infrastructure development trends. However, the broader economic slowdown and trade tensions could pose challenges to its growth trajectory in the near term.
 **Financials:**  
 Otis Worldwide's financial metrics indicate a stable and profitable business. The company has a market capitalization of $39.94 billion and a trailing price-to-earnings (P/E) ratio of 24.75, which is slightly elevated compared to the industrial sector average, suggesting a premium valuation. Its forward P/E of 24.04 indicates modest earnings growth expectations. The company reported a profit margin of 11.54% and EBITDA margins of 17.75%, reflecting efficient operations. Revenue growth of 1.5% year-over-year and earnings growth of 6.2% demonstrate steady, albeit slow, expansion.
 Otis maintains a healthy dividend yield of 1.56% with a payout ratio of 37.1%, indicating a sustainable dividend policy. The company also generates strong free cash flow of $1.2 billion, which supports its ability to invest in growth initiatives and return capital to shareholders. However, its total debt of $8.74 billion and a quick ratio of 0.85 highlight some leverage concerns, though manageable given its consistent cash flow generation.
 **Valuations:**  
 Otis's stock is trading near its 52-week high of $106.33, with a current price of approximately $102. This places it above its 50-day and 200-day moving averages, signaling positive momentum. The price-to-sales ratio of 2.80 and enterprise value-to-EBITDA ratio of 18.37 suggest the stock is priced at a premium, reflecting investor confidence in its market leadership and growth potential. Analysts' target prices range from $79 to $117, with a median target of $102, aligning closely with the current price. The recommendation mean of 2.69 (between "hold" and "buy") indicates mixed sentiment among analysts.
 **Economic Outlook:**  
 The broader macroeconomic environment presents both opportunities and risks for Otis. The ongoing urbanization and infrastructure development globally support demand for its products. However, the U.S. economy is showing signs of deceleration, with GDP contraction expected in Q1 2025 and rising jobless claims. Additionally, President Trump's tariffs on Canada, Mexico, and China could disrupt supply chains and increase input costs for Otis, potentially pressuring margins. The company's international exposure may help mitigate some of these risks, but currency fluctuations and geopolitical uncertainties remain concerns.
 **Summary:**  
 Otis Worldwide's investment thesis is supported by its strong market position, steady financial performance, and exposure to long-term urbanization trends. Its edge lies in its operational efficiency and ability to generate consistent cash flow, which supports dividends and growth investments. However, risks include elevated valuations, macroeconomic headwinds, and potential cost pressures from trade policies. While the company is well-positioned for long-term growth, near-term challenges could weigh on performance.
 **Score: 72**</t>
  </si>
  <si>
    <t>NKE</t>
  </si>
  <si>
    <t>**Investment Report: Nike, Inc.**
 **Recent News:**  
 Nike is positioned for potential success in its upcoming earnings report, supported by its history of surpassing expectations. The company has strategically partnered with Kim Kardashian to enhance its appeal among Millennial and Gen Z women, a demographic critical to its growth. Despite facing challenges in China, where geopolitical tensions and economic slowdowns have impacted consumer spending, Nike's stock has risen 5.8% year-to-date, reflecting investor confidence. Competition from brands like adidas and Puma remains a headwind, but Nike's focus on international markets and product innovation is seen as a long-term strength. Analysts remain optimistic, with some projecting significant stock price increases, underpinned by Nike's robust brand equity and strategic initiatives.
 **Financials:**  
 Nike's financial performance reflects a mixed picture. The company has a trailing price-to-earnings (P/E) ratio of 24.2, which is slightly elevated compared to the broader market, indicating a premium valuation. Its forward P/E of 24.28 suggests limited earnings growth in the near term. Revenue growth has declined by 7.7% year-over-year, and earnings growth has contracted by 24.3%, signaling challenges in maintaining momentum. However, Nike's gross margins of 44.7% and operating margins of 11.2% highlight its ability to maintain profitability despite revenue pressures. The company has a strong balance sheet, with $9.76 billion in cash and a current ratio of 2.22, indicating solid liquidity. However, its debt-to-equity ratio of 85.95% suggests a relatively high leverage level, which could be a concern in a rising interest rate environment.
 Nike's dividend yield of 2.01% is above its five-year average of 1.15%, making it attractive for income-focused investors. The payout ratio of 46.6% indicates that the dividend is sustainable, supported by a free cash flow of $5.2 billion. However, the company's earnings quarterly growth of -26.3% and revenue contraction highlight near-term challenges.
 **Valuations:**  
 Nike's stock is trading at a price-to-book ratio of 8.28, significantly higher than the industry average, reflecting its strong brand and market leadership. The enterprise value-to-revenue ratio of 2.42 and enterprise value-to-EBITDA ratio of 17.5 suggest that the stock is priced at a premium, which may limit upside potential in the short term. Analysts have a median price target of $89, representing a modest upside from the current price, with a high target of $120 and a low target of $49. The recommendation mean of 2.21 (on a scale where 1 is a strong buy and 5 is a sell) indicates a generally positive sentiment among analysts.
 **Economic Outlook:**  
 The broader economic environment presents both opportunities and risks for Nike. The U.S. economy is showing signs of deceleration, with GDP expected to contract by 1.5% in Q1 2025. Rising tariffs on Chinese, Canadian, and Mexican goods could increase input costs for Nike, potentially pressuring margins. However, the company's focus on international markets and product pipeline improvements could help mitigate these risks. Consumer confidence is weakening, which may impact discretionary spending on apparel and footwear. On the positive side, inflation appears to be moderating, which could provide some relief on cost pressures.
 **Summary:**  
 Nike's thesis lies in its strong brand equity, strategic initiatives like partnerships targeting younger demographics, and focus on international markets. Its edge is its ability to maintain robust margins and liquidity despite revenue and earnings pressures. However, risks include declining revenue growth, geopolitical challenges in China, and potential margin compression from rising tariffs and competition.  
 **Score: 72**</t>
  </si>
  <si>
    <t>NUE</t>
  </si>
  <si>
    <t>**Investment Report: Nucor Corporation (NUE)**
 **Recent News:**  
 Nucor's stock has risen 7.5% since its last earnings report, reflecting positive investor sentiment despite broader market volatility. This performance comes amid a challenging macroeconomic environment, including escalating trade tensions and slowing global growth. Nucor's recent earnings highlighted resilience in its operations, but the steel industry faces headwinds from President Trump's newly imposed 25% tariffs on steel imports, which could disrupt supply chains and increase input costs. However, as a domestic steel producer, Nucor may benefit from reduced competition from foreign imports, potentially offsetting some of the negative impacts of higher costs.
 **Financials:**  
 Nucor's financial position remains solid, with a market capitalization of $30.9 billion and a manageable debt-to-equity ratio of 33%. The company has a strong current ratio of 2.51, indicating robust liquidity to meet short-term obligations. Despite a decline in earnings growth (-61.5%) and revenue growth (-8.2%) year-over-year, Nucor maintains profitability with a net income of $2.02 billion and a profit margin of 6.6%. Its trailing P/E ratio of 15.87 and forward P/E of 14.32 suggest the stock is reasonably valued compared to its historical performance and peers. Additionally, Nucor's dividend yield of 1.6% and a low payout ratio of 25.65% indicate a sustainable dividend policy, appealing to income-focused investors.
 **Valuations:**  
 Nucor's price-to-book ratio of 1.54 and price-to-sales ratio of 1.01 suggest the stock is trading near fair value. The company's enterprise value-to-EBITDA ratio of 8.25 is slightly elevated, reflecting market expectations of stable cash flow generation. Analysts have a median price target of $154, implying a potential upside of approximately 12.5% from the current price. However, the stock's 52-week performance (-25.6%) underperforms the S&amp;P 500's gain of 17.2%, highlighting the challenges faced by the steel industry in the past year.
 **Economic Outlook:**  
 The steel industry is highly sensitive to macroeconomic conditions, and Nucor is no exception. The U.S. economy is showing signs of deceleration, with GDP expected to contract by 1.5% in Q1 2025. Trade tensions, particularly the newly imposed tariffs on steel and aluminum, could create near-term volatility. However, Nucor's domestic focus and vertically integrated business model may provide a competitive edge in navigating these challenges. The company's ability to adapt to shifting supply chain dynamics and leverage its operational efficiencies will be critical in maintaining profitability.
 **Summary of Thesis, Edge, and Risk:**  
 Nucor's investment thesis is supported by its strong financial position, reasonable valuation, and potential to benefit from reduced foreign competition due to tariffs. Its edge lies in its vertically integrated operations and focus on domestic production, which may shield it from some of the adverse effects of trade policies. However, risks include declining earnings growth, macroeconomic headwinds, and potential cost pressures from higher input prices. The company's ability to sustain margins and adapt to a challenging environment will be key to its performance in the coming months.
 **Score: 72**</t>
  </si>
  <si>
    <t>NXPI</t>
  </si>
  <si>
    <t>**Investment Report: NXP Semiconductors**
 **Recent News:**  
 NXP Semiconductors has not been in the headlines over the past week, suggesting a period of stability in terms of public perception and operational developments. However, the broader semiconductor industry is facing headwinds due to escalating trade tensions, particularly between the U.S. and China. With the U.S. imposing higher tariffs on Chinese goods and China retaliating with export controls, the semiconductor sector, which relies heavily on global supply chains, could face disruptions. Additionally, the U.S. government's push for reshoring chip manufacturing, as evidenced by TSMC's $100 billion investment in U.S. facilities, may create opportunities for domestic players like NXP in the long term, though near-term challenges remain.
 **Financials:**  
 NXP Semiconductors is trading at a trailing P/E of 22.28 and a forward P/E of 16.57, indicating a valuation that reflects expectations of future earnings growth despite recent challenges. The company offers a dividend yield of 1.88%, above its five-year average of 1.5%, suggesting a commitment to returning value to shareholders even in a volatile environment. However, earnings and revenue growth have been under pressure, with earnings declining by 27.9% and revenue shrinking by 9.1% year-over-year. The firm's gross margin of 56.66% and operating margin of 24.78% remain robust, highlighting operational efficiency despite the revenue slowdown.
 The company has a strong liquidity position, with a current ratio of 2.36 and a quick ratio of 1.43, indicating its ability to meet short-term obligations. However, its debt-to-equity ratio of 116.95% is relatively high, which could pose risks in a rising interest rate environment. Free cash flow of $1.54 billion and operating cash flow of $2.78 billion provide some cushion to manage debt and fund operations.
 **Valuations:**  
 NXP's price-to-book ratio of 5.99 and price-to-sales ratio of 4.35 suggest the stock is trading at a premium compared to some peers. However, its trailing PEG ratio of 1.08 indicates that the stock's valuation is reasonable relative to its growth prospects. Analysts remain optimistic, with a mean target price of $254.47, representing a potential upside of approximately 18% from the current price. The recommendation mean of 1.70 (on a scale where 1.0 is a strong buy) reflects strong analyst confidence in the stock.
 **Economic Outlook:**  
 The semiconductor industry is navigating a challenging macroeconomic environment. The U.S.-China trade war and new tariffs on Canadian and Mexican goods could disrupt supply chains and increase costs. Additionally, the broader U.S. economy is showing signs of deceleration, with GDP expected to contract in Q1 2025. These factors could weigh on demand for semiconductors in key end markets such as automotive and consumer electronics. However, NXP's focus on automotive and industrial applications, which are less cyclical than consumer electronics, may provide some resilience.
 The Federal Reserve's restrictive monetary policy and elevated interest rates could also impact NXP's cost of capital, given its high debt levels. On the positive side, the company's strong institutional ownership (98.61%) and insider confidence (7.61%) suggest a solid backing from key stakeholders.
 **Summary of Thesis, Edge, and Risk:**  
 NXP Semiconductors is a well-positioned player in the semiconductor industry, benefiting from strong margins, a diversified end-market focus, and robust liquidity. Its valuation appears reasonable given its growth prospects, and analysts remain optimistic about its long-term potential. However, the company faces near-term risks from trade tensions, slowing economic growth, and high debt levels. Its ability to navigate these challenges while capitalizing on opportunities in automotive and industrial applications will be critical to its performance.
 **Score: 72**</t>
  </si>
  <si>
    <t>PFG</t>
  </si>
  <si>
    <t>**Investment Report: Principal Financial Group**
 **Recent News:**  
 Principal Financial Group has not been in the headlines over the past week, indicating a lack of significant corporate developments or announcements. This absence of news suggests stability but also highlights the need to focus on the firm's financial performance and broader economic conditions to assess its investment potential.
 **Financials:**  
 Principal Financial Group's financial metrics reflect a solid position within the Life &amp; Health Insurance industry. The company has a trailing price-to-earnings (P/E) ratio of 13.27 and a forward P/E of 10.50, indicating a relatively attractive valuation compared to broader market averages. Its dividend yield of 3.37% is slightly below its five-year average of 3.78%, but the payout ratio of 42.66% suggests the dividend is sustainable. The firm's return on equity (ROE) of 14.09% is robust, reflecting efficient use of shareholder capital.
 The company has a market capitalization of approximately $20 billion and a price-to-book ratio of 1.81, which is reasonable for the insurance sector. Its revenue growth of 7.66% year-over-year is a positive indicator, especially in a challenging macroeconomic environment. However, the debt-to-equity ratio of 40.61% is moderately high, which could pose risks if interest rates remain elevated or economic conditions worsen.
 Principal Financial Group's operating margins of 23.22% and EBITDA margins of 13.49% demonstrate strong profitability. The firm also maintains a healthy cash position, with $5.27 billion in total cash and $1.30 billion in free cash flow, providing flexibility for operations and potential growth initiatives.
 **Valuations:**  
 The stock is trading near its 52-week high of $91.98, with a recent close of $89.04. This suggests that the market has priced in much of the company's recent performance. Analyst price targets range from $74 to $99, with a median target of $90, indicating limited upside potential in the near term. The recommendation mean of 3.08 (on a scale where 3.0 is "hold") reflects a cautious sentiment among analysts.
 The company's beta of 1.17 indicates slightly higher volatility compared to the broader market, which could amplify price movements in response to macroeconomic developments or sector-specific news.
 **Economic Outlook:**  
 The broader economic environment presents mixed signals for Principal Financial Group. The U.S. economy is showing signs of deceleration, with GDP expected to contract by 1.5% in Q1 2025. Rising jobless claims and weakening consumer confidence could impact demand for life and health insurance products. Additionally, the ongoing trade tensions and tariffs may indirectly affect the company's investment portfolio and overall market sentiment.
 On the positive side, inflation appears to be moderating, which could lead to a more accommodative Federal Reserve policy later in the year. This would benefit financial firms like Principal Financial Group by stabilizing interest rate pressures and potentially improving investment returns.
 **Summary of Thesis, Edge, and Risk:**  
 Principal Financial Group offers a stable dividend yield and strong profitability metrics, making it an attractive option for income-focused investors. Its valuation is reasonable, and the company demonstrates solid operational efficiency. However, the stock's limited upside potential, coupled with macroeconomic headwinds such as slowing GDP growth and elevated debt levels, poses risks. The firm's exposure to market volatility and potential impacts from broader economic uncertainty should be carefully monitored.
 **Score: 72**</t>
  </si>
  <si>
    <t>TGT</t>
  </si>
  <si>
    <t>**Investment Report: Target Corporation (NYSE: TGT)**
 **Recent News:**  
 Target Corporation is preparing to release its fourth-quarter fiscal 2024 earnings on March 4, with analysts projecting revenues of $30.77 billion, a 3.6% decline year-over-year. Despite this, analysts maintain optimism about Target's long-term potential, citing its diversified retail model, strong private-label brands, and digital growth initiatives. The company has faced a challenging period, with its stock declining over the past month, partly due to broader market volatility and sector-specific pressures. Additionally, Target is navigating external challenges, including a 40-day boycott starting March 5, which could impact short-term sales. On a positive note, the company is expanding its in-store offerings through a partnership with Warby Parker, signaling efforts to enhance customer experience and diversify revenue streams.
 **Financials:**  
 Target's financial metrics reflect a mixed picture. The stock is trading near its 52-week low of $119.92, significantly below its 52-week high of $181.86, indicating substantial underperformance over the past year. The company offers a robust dividend yield of 3.61%, well above its five-year average of 2.33%, which may appeal to income-focused investors. Its trailing price-to-earnings (P/E) ratio of 12.81 and forward P/E of 11.49 suggest the stock is undervalued relative to its historical averages and peers in the consumer staples sector. However, Target's debt-to-equity ratio of 137% highlights a leveraged balance sheet, which could pose risks in a rising interest rate environment. The company's gross margin of 28.4% and operating margin of 4.66% remain stable, but earnings growth has contracted by 11.9%, reflecting challenges in managing costs and maintaining profitability.
 **Valuations:**  
 Target's valuation metrics indicate potential upside. The stock's price-to-sales ratio of 0.51 and price-to-book ratio of 3.83 suggest it is trading at a discount compared to historical levels and industry peers. Analysts have set a median price target of $143.50, representing a potential 18% upside from the current price. The company's enterprise value-to-revenue ratio of 0.68 and enterprise value-to-EBITDA ratio of 8.10 further support the view that the stock is attractively valued. However, the ongoing decline in earnings and revenue growth, coupled with external pressures such as inflation and competition, could limit near-term valuation expansion.
 **Economic Outlook:**  
 The broader economic environment presents both challenges and opportunities for Target. Rising inflation and higher operational costs have weighed on consumer spending, particularly in discretionary categories. Additionally, the recent announcement of tariffs on Canadian and Mexican goods by the U.S. government could increase supply chain costs for retailers like Target. On the other hand, Target's focus on essential goods and its strong private-label offerings position it well to capture demand in a more cost-conscious consumer environment. The company's digital growth initiatives and partnerships, such as the one with Warby Parker, could also help mitigate some of the economic headwinds.
 **Summary:**  
 **Thesis:** Target's strong fundamentals, including its diversified retail model, robust dividend yield, and undervalued stock price, provide a solid foundation for long-term growth.  
 **Edge:** The company's focus on private-label brands and digital innovation positions it to navigate a challenging retail environment effectively.  
 **Risk:** Near-term risks include declining earnings growth, external pressures from inflation and tariffs, and potential sales impacts from the upcoming boycott.
 **Score: 72**</t>
  </si>
  <si>
    <t>TPR</t>
  </si>
  <si>
    <t>**Investment Report: Tapestry, Inc. (TPR)**
 **Recent News:**  
 Tapestry, Inc., a leading player in the Apparel, Accessories &amp; Luxury Goods industry, has been highlighted as a strong value and growth stock by Zacks Style Scores. This recognition underscores the company's potential to appeal to both value and growth-oriented investors. The firm's ability to maintain its position as a top growth stock reflects its strategic initiatives and operational efficiency, even in a challenging macroeconomic environment. However, the broader economic slowdown and tariff-related uncertainties could weigh on consumer sentiment, potentially impacting discretionary spending on luxury goods.
 **Financials:**  
 Tapestry's financial performance demonstrates resilience, with a market capitalization of $17.4 billion and a robust gross margin of 74.8%, indicative of strong pricing power and operational efficiency. The company has a trailing P/E ratio of 24.44 and a forward P/E of 17.67, suggesting expectations of earnings growth. Its dividend yield of 1.64% and a payout ratio of 40.7% indicate a balanced approach to rewarding shareholders while retaining capital for growth. However, the firm's debt-to-equity ratio of 307.27% is notably high, signaling significant leverage that could pose risks in a rising interest rate environment. Despite this, Tapestry's free cash flow of $593.5 million and operating cash flow of $979.3 million provide a cushion for debt servicing and strategic investments.
 **Valuations:**  
 Tapestry's stock has shown strong performance, with a 52-week change of 78.8%, significantly outperforming the S&amp;P 500's 17.2% gain over the same period. The stock is trading near its 52-week high of $90.85, reflecting investor confidence. Analysts have a mean target price of $89.29, close to the current trading range, with a high target of $110, suggesting potential upside. The price-to-sales ratio of 2.57 and price-to-book ratio of 13.02 indicate that the stock is trading at a premium, which may limit further valuation expansion unless earnings growth accelerates.
 **Economic Outlook:**  
 The broader economic environment presents mixed signals for Tapestry. The U.S. economy is facing deceleration, with GDP expected to contract in Q1 2025. Rising tariffs on Canadian, Mexican, and Chinese goods could disrupt supply chains and increase input costs, potentially pressuring margins. However, Tapestry's strong brand equity and focus on luxury goods may insulate it to some extent from economic headwinds, as affluent consumers tend to be less sensitive to economic downturns. Additionally, the company's international presence could help mitigate risks associated with U.S. economic challenges.
 **Summary of Thesis, Edge, and Risk:**  
 Tapestry's strong brand portfolio, operational efficiency, and robust cash flow generation position it well for long-term growth. Its ability to maintain high margins and deliver shareholder returns through dividends highlights its resilience. However, the company's high leverage and exposure to macroeconomic uncertainties, including tariffs and slowing consumer confidence, present risks. The stock's current valuation near its 52-week high suggests limited short-term upside unless there is a significant positive catalyst.
 **Score: 72**</t>
  </si>
  <si>
    <t>ADI</t>
  </si>
  <si>
    <t>**Investment Report: Analog Devices (ADI)**
 **Recent News:**  
 Analog Devices has not been in the headlines over the past week, suggesting a lack of immediate catalysts or disruptions. This absence of news may indicate stability, but it also reflects a lack of significant developments that could drive short-term momentum. The broader semiconductor industry, however, faces headwinds from escalating trade tensions, particularly between the U.S. and China, which could impact supply chains and demand for semiconductor products.
 **Financials:**  
 Analog Devices' financial performance reflects a mixed picture. The company has a market capitalization of $113.35 billion and a trailing price-to-earnings (P/E) ratio of 73.01, which is significantly higher than its forward P/E of 30.31. This disparity suggests expectations of improved earnings in the future, though the current valuation appears stretched. The firm’s profit margins stand at 16.75%, supported by strong gross margins of 57.16%, indicating efficient cost management. However, earnings and revenue growth have declined year-over-year, with earnings shrinking by 15.4% and revenue contracting by 3.6%.  
 The company maintains a solid dividend yield of 1.72%, slightly below its five-year average of 1.76%, with a high payout ratio of 117.57%. This could signal a commitment to returning capital to shareholders but raises concerns about sustainability if earnings continue to decline. Analog Devices also has a robust free cash flow of $2.99 billion, which supports its dividend payments and provides flexibility for future investments.
 The balance sheet is relatively healthy, with a manageable debt-to-equity ratio of 21.73 and a current ratio of 1.93, indicating sufficient liquidity to cover short-term obligations. However, the company’s earnings growth challenges and exposure to macroeconomic risks could weigh on its financial performance in the near term.
 **Valuations:**  
 Analog Devices is trading at a price-to-book ratio of 3.23, which is reasonable compared to its peers in the semiconductor industry. The stock is currently priced at $228.51, near the midpoint of its 52-week range ($182.57 - $247.10). Analyst sentiment remains positive, with a mean target price of $261.30, representing a potential upside of approximately 14.4%. The recommendation mean of 1.8 (on a scale where 1.0 is a strong buy) reflects optimism among analysts, though the high trailing P/E ratio suggests the stock may already be pricing in significant growth expectations.
 **Economic Outlook:**  
 The semiconductor industry is facing macroeconomic challenges, including slowing global demand, trade tensions, and potential disruptions in supply chains due to tariffs. The U.S.-China trade war escalation, with increased tariffs and export controls, could impact Analog Devices' operations, particularly if the company relies on Chinese suppliers or customers. Additionally, the broader economic slowdown, as indicated by a projected 1.5% contraction in U.S. GDP for Q1 2025, may dampen demand for semiconductor products in key end markets such as automotive, industrial, and consumer electronics.
 Despite these challenges, the long-term outlook for the semiconductor industry remains positive, driven by trends such as artificial intelligence, 5G, and the Internet of Things (IoT). Analog Devices' strong cash flow and focus on high-margin products position it well to capitalize on these opportunities, though near-term risks remain elevated.
 **Summary:**  
 **Thesis:** Analog Devices benefits from strong margins, robust cash flow, and a solid dividend, making it a stable player in the semiconductor industry.  
 **Edge:** The company’s focus on high-margin products and its ability to generate significant free cash flow provide resilience in a challenging macroeconomic environment.  
 **Risk:** Declining earnings and revenue growth, coupled with macroeconomic headwinds and trade tensions, could weigh on near-term performance.
 **Score: 72**</t>
  </si>
  <si>
    <t>ABNB</t>
  </si>
  <si>
    <t>**Investment Report: Airbnb (ABNB)**
 **Recent News:**  
 Airbnb's recent financial performance has been strong, as evidenced by its Q4 2024 results, which exceeded Wall Street expectations. The company reported $2.5 billion in revenue and $0.73 earnings per share, showcasing robust growth. This performance highlights Airbnb's ability to capitalize on the ongoing recovery in global travel demand. However, the broader market's volatility, driven by geopolitical tensions and economic uncertainty, could weigh on consumer spending, potentially impacting discretionary travel services like Airbnb. Additionally, the emergence of DeepSeek AI, a Chinese AI start-up, could indirectly influence Airbnb's operations, particularly in areas like customer service automation and operational efficiency, as the competitive landscape in AI-driven services intensifies.
 **Financials:**  
 Airbnb's financial metrics reflect a solid position. The company boasts a market capitalization of $87.6 billion and a trailing price-to-earnings (P/E) ratio of 34.3, which is slightly elevated compared to the broader market but reasonable for a growth-oriented company. Its forward P/E of 31.3 suggests expectations of continued earnings growth. Airbnb's profit margins are healthy, with a net income margin of 23.85% and gross margins of 83.08%, indicating strong operational efficiency. The company has a robust cash position of $10.6 billion, providing flexibility for strategic investments or weathering economic downturns. However, its price-to-book ratio of 10.44 and enterprise value-to-EBITDA ratio of 30.68 suggest the stock is trading at a premium, which could limit upside potential in the near term.
 **Valuations:**  
 Airbnb's valuation metrics indicate a mixed picture. While the company's revenue growth of 11.8% year-over-year is commendable, its 52-week price change of -12.84% underperforms the S&amp;P 500's gain of 17.25% over the same period. This underperformance may reflect broader market concerns about the travel sector's vulnerability to economic slowdowns. Analysts' target prices for Airbnb range from $95 to $200, with a median target of $160, suggesting potential upside from its current price of approximately $140. However, the recommendation mean of 2.66 (indicating a "hold") reflects cautious sentiment among analysts, likely due to macroeconomic headwinds and valuation concerns.
 **Economic Outlook:**  
 The macroeconomic environment presents challenges for Airbnb. The U.S. economy is showing signs of deceleration, with GDP expected to contract by 1.5% in Q1 2025. Rising jobless claims and weakening consumer confidence could dampen discretionary spending, including travel. Additionally, the imposition of tariffs by the U.S. and retaliatory measures from trading partners may increase costs for consumers and businesses, further pressuring demand. On the positive side, inflation appears to be moderating, which could lead to eventual interest rate cuts, potentially supporting consumer spending in the medium term.
 **Summary:**  
 **Thesis:** Airbnb's strong financial performance and robust margins position it well to navigate near-term challenges, while its cash reserves provide flexibility for strategic initiatives.  
 **Edge:** The company's global brand recognition and innovative platform give it a competitive advantage in the travel and hospitality industry.  
 **Risk:** Macroeconomic headwinds, including a potential recession and weakening consumer confidence, could weigh on travel demand, while its premium valuation limits near-term upside potential.  
 **Score: 72**</t>
  </si>
  <si>
    <t>BLDR</t>
  </si>
  <si>
    <t>**Investment Report: Builders FirstSource (NYSE: BLDR)**
 **Recent News:**  
 Builders FirstSource, the largest supplier of structural building products in the U.S., is positioning itself for a rebound despite facing headwinds in the housing and construction markets. The company operates an extensive network of nearly 570 distribution and manufacturing centers across 43 states, catering to contractors, homebuilders, and remodelers. Recent challenges in the housing market, including higher interest rates and slowing construction activity, have weighed on demand for building materials. However, Builders FirstSource's scale and diversified product offerings provide a competitive edge in navigating these challenges. Analysts remain optimistic about the company's ability to recover, as reflected in its "buy" recommendation mean and a target median price of $177.50, significantly above its current trading levels.
 **Financials:**  
 Builders FirstSource's financial performance reflects the broader slowdown in the housing market. The company reported a trailing price-to-earnings (P/E) ratio of 14.89 and a forward P/E of 11.58, indicating a relatively attractive valuation compared to its historical levels. Its profit margins stand at 6.57%, supported by gross margins of 32.82%, which highlight operational efficiency despite declining revenues. However, revenue growth has contracted by 8% year-over-year, and earnings growth has declined by 41.9%, signaling near-term challenges. The company's debt-to-equity ratio of 100.85% is elevated, but its strong free cash flow of $1.27 billion and a current ratio of 1.77 suggest sufficient liquidity to manage its obligations. The stock has experienced a 29.9% decline over the past year, underperforming the S&amp;P 500, which gained 17.2% during the same period.
 **Valuations:**  
 Builders FirstSource is trading at a price-to-book (P/B) ratio of 3.57, which is reasonable given its strong return on equity (ROE) of 23.88%. The company's enterprise value-to-revenue ratio of 1.19 and enterprise value-to-EBITDA ratio of 9.04 suggest that the stock is undervalued relative to its earnings potential. Analysts' price targets range from $157 to $230, with a mean target of $179.39, indicating significant upside potential from its current price of approximately $134. The stock's beta of 2.20 reflects higher volatility, which could present opportunities for long-term investors willing to endure short-term fluctuations.
 **Economic Outlook:**  
 The broader economic environment poses challenges for Builders FirstSource. Rising interest rates and a decelerating U.S. economy, as evidenced by a projected 1.5% GDP contraction in Q1 2025, are likely to dampen housing demand further. Additionally, the imposition of tariffs on Canadian and Mexican imports could increase input costs for building materials, pressuring margins. However, the Federal Reserve's efforts to control inflation and potential rate cuts later in the year could provide relief to the housing market. Builders FirstSource's ability to adapt to these macroeconomic conditions will be critical to its performance in the coming months.
 **Summary of Thesis, Edge, and Risk:**  
 Builders FirstSource is well-positioned as a market leader in the building products industry, with a strong distribution network and operational efficiency. Its valuation metrics suggest the stock is undervalued, offering potential upside as the housing market stabilizes. However, near-term risks include declining revenues, elevated debt levels, and macroeconomic headwinds such as rising interest rates and tariffs. The company's ability to leverage its scale and maintain liquidity will be key to navigating these challenges and capitalizing on a potential rebound in construction activity.
 **Score: 72**</t>
  </si>
  <si>
    <t>**Investment Report: Caterpillar Inc.**
 **Recent News:**  
 Caterpillar has demonstrated resilience in maintaining profitability despite a 3.4% revenue decline in 2024. This was achieved through effective cost management and a diversified business model, which has helped mitigate the impact of macroeconomic challenges. The company's valuation metrics, including a P/E ratio of 15.42x and EV/EBITDA of 12.49x, suggest that the stock is trading near fair value relative to industry peers. However, short-term growth catalysts appear limited due to ongoing economic headwinds, while long-term prospects remain robust given Caterpillar's competitive positioning in the construction machinery and heavy transportation equipment industry.
 **Financials:**  
 Caterpillar's financial performance reflects a solid foundation despite recent challenges. The company reported a trailing P/E of 15.06 and a forward P/E of 14.99, indicating stable earnings expectations. Its profit margins of 16.65% and EBITDA margins of 24.14% highlight strong operational efficiency. However, revenue growth has contracted by 5% year-over-year, reflecting broader economic pressures. The company maintains a healthy dividend yield of 1.64%, supported by a low payout ratio of 24.58%, which underscores its ability to sustain shareholder returns. Caterpillar's balance sheet shows a high debt-to-equity ratio of 200.12, which may pose risks in a rising interest rate environment, though its operating cash flow of $12.04 billion provides a buffer.
 **Valuations:**  
 Caterpillar's valuation metrics suggest the stock is fairly priced. Its price-to-sales ratio of 2.45 and price-to-book ratio of 8.14 are in line with industry norms. The enterprise value-to-EBITDA ratio of 12.24 indicates that the market is valuing the company appropriately given its earnings potential. Analyst sentiment remains moderately positive, with a mean target price of $391.13, representing a potential upside from the current trading range. However, the stock's 52-week performance (+3.12%) has lagged behind the S&amp;P 500's broader gains (+17.25%), reflecting investor caution amid macroeconomic uncertainties.
 **Economic Outlook:**  
 Caterpillar faces a challenging macroeconomic environment, with the U.S. economy showing signs of deceleration. The latest GDPNow tracker projects a 1.5% contraction in Q1 2025, and rising jobless claims signal weakening economic activity. Additionally, the imposition of tariffs on steel, aluminum, and other goods could increase input costs for Caterpillar, potentially pressuring margins. However, the company's diversified revenue streams and global footprint may help offset some of these challenges. Long-term demand for infrastructure development and construction equipment, particularly in emerging markets, remains a key growth driver.
 **Summary of Thesis, Edge, and Risk:**  
 Caterpillar's strong profitability, operational efficiency, and diversified business model provide a solid foundation for long-term growth. The company's ability to manage costs effectively and sustain dividends highlights its resilience. However, short-term risks include macroeconomic headwinds, declining revenue growth, and potential margin pressures from rising input costs due to tariffs. While the stock appears fairly valued, its long-term prospects remain tied to global infrastructure demand and economic recovery.
 **Score: 72**</t>
  </si>
  <si>
    <t>**Investment Report: Cadence Design Systems**
 **Recent News:**  
 Cadence Design Systems has not been in the news over the past week, indicating a lack of immediate catalysts or disruptions. This absence of news suggests stability in the company's operations but also highlights the need to focus on its financial performance and broader economic conditions to assess its investment potential.
 **Financials:**  
 Cadence Design Systems is trading near its 52-week low of $240.35, significantly below its 52-week high of $328.99, reflecting a decline of approximately 18.6% over the past year. The stock's trailing price-to-earnings (P/E) ratio of 62.63 and forward P/E of 35.29 indicate a premium valuation, which is typical for high-growth software companies. However, the recent pullback in its stock price may suggest concerns about valuation sustainability amid broader market volatility.
 The company boasts strong profitability metrics, with gross margins of 86.05% and operating margins of 33.71%, underscoring its efficient cost structure and pricing power. Revenue growth of 26.9% year-over-year and earnings growth of 4.1% reflect steady expansion, though the earnings growth rate is modest compared to revenue growth, potentially signaling rising costs or investments in future growth.
 Cadence's balance sheet is robust, with a quick ratio of 2.55 and a current ratio of 2.93, indicating strong liquidity. The company holds $2.78 billion in cash, which exceeds its total debt of $2.63 billion, resulting in a manageable debt-to-equity ratio of 56.2%. Free cash flow of $1 billion further supports its financial flexibility. However, the price-to-book ratio of 14.17 suggests the stock is trading at a significant premium to its book value, which could limit upside potential if growth slows.
 **Valuations:**  
 The stock's enterprise value-to-revenue ratio of 14.24 and enterprise value-to-EBITDA ratio of 41.68 highlight its high valuation relative to its earnings and revenue. Analysts remain optimistic, with a mean target price of $323.93, representing a potential upside of approximately 34.7% from the current price. The recommendation mean of 1.68 (on a scale where 1.0 is a strong buy) reflects strong analyst confidence in the company's long-term prospects.
 **Economic Outlook:**  
 The broader economic environment presents challenges for Cadence. The U.S. economy is showing signs of deceleration, with GDP expected to shrink by 1.5% in Q1 2025. Rising trade tensions, particularly with China, could impact Cadence's supply chain or customer base, given its exposure to the global semiconductor and software industries. Additionally, elevated interest rates and weakening consumer confidence may weigh on technology valuations, particularly for high-growth companies like Cadence.
 Despite these headwinds, Cadence operates in the application software industry, which benefits from secular growth trends such as increasing demand for electronic design automation (EDA) tools and AI-driven software solutions. Its beta of 1.05 suggests moderate sensitivity to market volatility, which could be a concern in the current uncertain environment.
 **Summary:**  
 Cadence Design Systems' investment thesis is supported by its strong profitability, robust balance sheet, and exposure to high-growth industries like EDA and AI. Its edge lies in its dominant market position and ability to generate consistent free cash flow. However, risks include its premium valuation, modest earnings growth relative to revenue growth, and potential macroeconomic headwinds from trade tensions and slowing economic growth.
 **Score: 72**</t>
  </si>
  <si>
    <t>CBRE</t>
  </si>
  <si>
    <t>**Investment Report: CBRE Group**
 **Recent News:**  
 CBRE Group has not been in the headlines over the past week, indicating a lack of immediate catalysts or disruptions. This absence of news suggests stability in operations but also a lack of short-term momentum drivers. The firm’s performance will likely hinge on broader economic and industry trends rather than company-specific developments in the near term.
 **Financials:**  
 CBRE Group's financial metrics reflect a solid position within the real estate services industry. The company’s trailing price-to-earnings (P/E) ratio of 44.78 is elevated, suggesting a premium valuation relative to earnings, though the forward P/E of 23.44 indicates expectations of significant earnings growth. The firm’s revenue growth of 16.2% year-over-year and earnings growth of 2.6% highlight steady, albeit modest, expansion. 
 Profit margins remain thin, with net income margins at 2.7%, reflecting the competitive and service-oriented nature of the real estate industry. However, CBRE’s return on equity (ROE) of 11.35% demonstrates effective use of shareholder capital. The company’s free cash flow of $1.68 billion and operating cash flow of $1.71 billion provide a strong liquidity buffer, though the debt-to-equity ratio of 63.74% indicates a moderately leveraged balance sheet.
 CBRE’s stock has performed well over the past year, with a 52-week price change of +54.48%, significantly outperforming the S&amp;P 500’s 17.25% gain. The stock is trading near its 52-week high of $147.75, suggesting strong investor confidence. However, the price-to-book ratio of 4.98 indicates a high premium relative to the company’s book value, which could limit upside potential unless earnings growth accelerates.
 **Valuations:**  
 CBRE’s valuation metrics suggest a mixed picture. While the forward P/E ratio and trailing PEG ratio of 1.25 indicate reasonable growth expectations, the enterprise value-to-EBITDA multiple of 21.89 is relatively high, reflecting a premium valuation. The price-to-sales ratio of 1.18 is more modest, suggesting the stock is not excessively overvalued relative to revenue. Analyst sentiment remains positive, with a mean recommendation of 1.92 (Buy) and a median price target of $159, implying a potential upside of approximately 12% from current levels.
 **Economic Outlook:**  
 The broader economic environment presents both opportunities and risks for CBRE. The U.S. economy is showing signs of deceleration, with GDP expected to contract by 1.5% in Q1 2025. Rising jobless claims and weakening consumer confidence could dampen demand for commercial real estate services. Additionally, President Trump’s tariffs on Canada, Mexico, and China may disrupt supply chains and increase costs for real estate development projects, potentially impacting CBRE’s clients and, by extension, its revenue streams.
 On the positive side, CBRE’s diversified service offerings and global footprint position it to weather economic volatility better than smaller, less diversified competitors. The company’s exposure to high-growth sectors such as logistics and data centers could provide a buffer against broader economic headwinds. Furthermore, the Federal Reserve’s potential rate cuts later in the year could stimulate real estate activity, benefiting CBRE’s transaction-based revenue streams.
 **Summary of Thesis, Edge, and Risk:**  
 CBRE Group is a well-positioned leader in the real estate services industry, benefiting from strong revenue growth, robust cash flow, and a diversified business model. Its premium valuation reflects investor confidence in its ability to capitalize on long-term trends such as urbanization and the growth of e-commerce. However, near-term risks include economic deceleration, geopolitical uncertainties, and the potential impact of tariffs on client industries. While the company’s fundamentals remain strong, its high valuation and exposure to macroeconomic risks warrant caution.
 **Score: 72**</t>
  </si>
  <si>
    <t>ZBH</t>
  </si>
  <si>
    <t>**Investment Report: Zimmer Biomet Holdings, Inc.**
 **Recent News:**  
 Zimmer Biomet has not been in the headlines over the past week, suggesting a period of operational stability without major disruptions or announcements. This lack of news could indicate a steady business environment, though it also means no immediate catalysts for significant stock movement.
 **Financials:**  
 Zimmer Biomet's financial performance reflects a mixed picture. The company has a market capitalization of approximately $20.98 billion and a trailing price-to-earnings (P/E) ratio of 23.79, which is relatively high compared to its forward P/E of 12.25. This suggests that analysts expect significant earnings growth in the near future. However, the company has faced challenges, with earnings quarterly growth declining by 42.9% year-over-year and earnings growth down 40.5%. Revenue growth remains modest at 4.3%, supported by strong gross margins of 71.6% and EBITDA margins of 33.7%, indicating efficient cost management.
 Zimmer Biomet's balance sheet shows a debt-to-equity ratio of 53.07, which is moderately high but manageable given its operating cash flow of $1.5 billion and free cash flow of $1.06 billion. The company’s current ratio of 1.91 indicates sufficient liquidity to cover short-term obligations, though its quick ratio of 0.82 suggests a reliance on inventory to meet immediate liabilities. The dividend yield of 0.92% is slightly above its five-year average of 0.77%, reflecting a stable payout ratio of 21.67%.
 **Valuations:**  
 Zimmer Biomet's stock is trading at a price-to-book ratio of 1.68, which is reasonable for the healthcare equipment industry. The stock is currently priced near its 50-day moving average of $105.89 but below its 200-day moving average of $108.53, indicating some recent weakness. The stock has declined 16.4% over the past year, underperforming the S&amp;P 500, which has gained 17.2% in the same period. Analyst price targets range from $105 to $150, with a median target of $118.50, suggesting potential upside from current levels.
 **Economic Outlook:**  
 The broader economic environment presents challenges for Zimmer Biomet. The U.S. economy is showing signs of deceleration, with GDP expected to shrink in Q1 2025. Rising tariffs on imports from Canada, Mexico, and China could increase costs for medical device manufacturers, particularly if Zimmer Biomet relies on global supply chains. However, the healthcare sector tends to be more resilient during economic downturns due to the non-discretionary nature of its products. The company’s strong institutional ownership (93.3%) and relatively low short interest (3.55% of shares outstanding) suggest confidence in its long-term prospects.
 **Summary of Thesis, Edge, and Risk:**  
 Zimmer Biomet's strong gross margins and efficient cost management provide a solid foundation for profitability, even in a challenging economic environment. The company’s forward P/E ratio indicates expectations of improved earnings, supported by its stable cash flow and manageable debt levels. However, risks include declining earnings growth, potential tariff-related cost pressures, and broader economic headwinds. The lack of recent news or catalysts may limit short-term stock movement, but the company’s fundamentals suggest potential for long-term value creation.
 **Score: 72**</t>
  </si>
  <si>
    <t>SYK</t>
  </si>
  <si>
    <t>**Investment Report: Stryker Corporation (Health Care Equipment Industry)**
 **Recent News:**  
 Stryker Corporation has not been in the news over the past week, indicating a period of stability without any major announcements or disruptions. This lack of news suggests that the company is operating within its expected parameters, with no immediate catalysts or risks emerging from external developments.
 **Financials:**  
 Stryker's stock has shown resilience, trading near its 52-week high of $406.19, with a recent close at $386.19. The company has a market capitalization of $150.68 billion, reflecting its position as a leading player in the health care equipment industry. Its trailing price-to-earnings (P/E) ratio of 50.89 and forward P/E of 29.19 indicate a premium valuation, likely due to its strong market position and growth potential. However, earnings growth has been under pressure, with a decline of 52.6% year-over-year, which could weigh on investor sentiment.
 The company maintains a solid dividend policy, with a dividend yield of 0.87% and a payout ratio of 41.75%, suggesting a commitment to returning value to shareholders while retaining sufficient capital for reinvestment. Stryker's gross margins of 64.37% and operating margins of 25.61% highlight its ability to generate strong profitability from its operations. However, earnings quarterly growth has contracted significantly (-52.2%), which may reflect challenges in cost management or market conditions.
 Stryker's balance sheet shows a debt-to-equity ratio of 68.43, indicating moderate leverage. While the company has $4.49 billion in cash, its total debt of $14.12 billion suggests a need for careful financial management. The quick ratio of 1.11 and current ratio of 1.95 indicate adequate liquidity to meet short-term obligations.
 **Valuations:**  
 Stryker's price-to-book ratio of 7.30 and price-to-sales ratio of 6.67 suggest that the stock is trading at a premium compared to its peers. This valuation is supported by strong institutional ownership (79.73%) and a recommendation mean of 1.97 ("buy") from analysts. The target median price of $435.00 implies a potential upside of approximately 12.6% from the current price, reflecting optimism about the company's long-term growth prospects.
 However, the trailing PEG ratio of 2.85 indicates that the stock may be overvalued relative to its earnings growth, especially given the recent decline in earnings. This could limit near-term upside unless the company demonstrates a clear path to reversing its earnings contraction.
 **Economic Outlook:**  
 The broader economic environment presents mixed signals for Stryker. The U.S. economy is showing signs of deceleration, with GDP expected to shrink in Q1 2025. Rising jobless claims and weakening consumer confidence could dampen demand for elective medical procedures, potentially impacting Stryker's revenue growth. On the other hand, the health care sector tends to be more resilient during economic downturns, providing some insulation from macroeconomic headwinds.
 The company's revenue growth of 10.7% year-over-year is a positive indicator, suggesting that it has been able to expand its market share or capitalize on increased demand for its products. However, the ongoing trade tensions and tariffs could increase input costs for medical equipment manufacturers, potentially squeezing margins further.
 **Summary of Thesis, Edge, and Risk:**  
 Stryker Corporation is a well-established leader in the health care equipment industry, with strong profitability metrics and a robust dividend policy. Its premium valuation reflects investor confidence in its long-term growth potential, supported by institutional ownership and favorable analyst ratings. However, the recent decline in earnings growth and the broader economic slowdown pose risks to near-term performance. The company's ability to navigate cost pressures and maintain revenue growth will be critical to sustaining its valuation.
 **Score: 72**</t>
  </si>
  <si>
    <t>STX</t>
  </si>
  <si>
    <t>**Investment Report: Seagate Technology**
 **Recent News:**  
 Seagate Technology has not been in the news over the past week, indicating a lack of significant developments or announcements. This absence of news suggests stability but also highlights the need to focus on financial performance and broader economic factors to assess the company's investment potential.
 **Financials:**  
 Seagate Technology's financial performance reflects a mixed picture. The company has a market capitalization of $21.18 billion and a forward P/E ratio of 10.32, suggesting it is attractively valued relative to its earnings potential. The trailing P/E ratio of 18.19 indicates that the stock is priced higher based on past earnings, but the forward P/E suggests optimism about future growth. The company offers a dividend yield of 2.83%, slightly below its five-year average of 3.78%, which may appeal to income-focused investors. However, the payout ratio of 51.27% indicates a balanced approach to dividend sustainability.
 Seagate's revenue growth of 49.5% is a standout metric, reflecting strong demand for its products. Gross margins of 31.75% and operating margins of 21.03% indicate solid profitability. However, the company's quick ratio of 0.666 and current ratio of 1.233 suggest limited short-term liquidity, which could be a concern in a tightening economic environment. Additionally, the company carries $5.68 billion in total debt, which is significant relative to its cash position of $1.24 billion. Free cash flow of $174.75 million, while positive, is modest given the company's scale.
 Short interest has risen to 7.6% of shares outstanding, indicating increased bearish sentiment. This could reflect concerns about the company's ability to navigate macroeconomic challenges or competitive pressures in the technology hardware sector.
 **Valuations:**  
 Seagate's price-to-sales ratio of 2.64 and enterprise value-to-revenue ratio of 3.19 suggest the stock is reasonably valued compared to its peers in the Technology Hardware, Storage &amp; Peripherals industry. The trailing PEG ratio of 0.33 indicates that the stock is undervalued relative to its growth potential, which could make it attractive for long-term investors. However, the negative book value per share (-$5.10) and price-to-book ratio of -19.63 highlight concerns about the company's balance sheet strength.
 Analyst sentiment remains positive, with a recommendation mean of 2.04 (indicating a "buy") and a target median price of $120, representing significant upside from the current price. However, the wide range between the target high price of $150 and the target low price of $68 reflects uncertainty about the company's future performance.
 **Economic Outlook:**  
 The broader economic environment presents challenges for Seagate. The U.S. economy is showing signs of deceleration, with GDP expected to contract by 1.5% in Q1 2025. Rising tariffs on key trading partners, including China, Canada, and Mexico, could disrupt supply chains and increase costs for Seagate, which operates in a globally interconnected industry. Additionally, the technology sector has faced significant pressure recently, with heightened volatility and declining investor sentiment. These factors could weigh on Seagate's stock performance in the near term.
 On the positive side, Seagate's exposure to data storage and cloud computing markets positions it well to benefit from long-term trends in digital transformation and data growth. However, competition in the sector remains intense, and the company's ability to maintain market share and profitability will be critical.
 **Summary:**  
 Seagate Technology's investment thesis is supported by its strong revenue growth, solid profitability, and attractive valuation metrics, particularly its low forward P/E and PEG ratios. The company's edge lies in its positioning within the growing data storage market and its ability to generate consistent cash flow. However, risks include rising short interest, significant debt levels, and macroeconomic headwinds such as tariffs and slowing economic growth. The lack of recent news suggests stability but also underscores the importance of monitoring broader industry and economic trends.
 **Score: 72**</t>
  </si>
  <si>
    <t>CHD</t>
  </si>
  <si>
    <t>**Investment Report: Church &amp; Dwight Co., Inc.**
 **Recent News:**  
 Church &amp; Dwight has not been in the headlines over the past week, indicating a lack of significant corporate developments or external disruptions. This stability may reflect the company's position as a defensive player in the household products industry, which tends to be less sensitive to macroeconomic volatility. However, the absence of news also suggests no immediate catalysts for significant stock movement in the short term.
 **Financials:**  
 Church &amp; Dwight's financial performance reflects its status as a mature, stable company. The firm has a market capitalization of $27.56 billion and a beta of 0.565, indicating lower volatility compared to the broader market. Its trailing price-to-earnings (P/E) ratio of 47.28 and forward P/E of 30.04 suggest a premium valuation, likely due to its defensive nature and consistent earnings growth. The company has demonstrated solid earnings growth of 23.1% year-over-year and revenue growth of 3.5%, supported by strong profit margins (gross margin: 45.7%, operating margin: 16.2%).
 The dividend yield of 1.06% is slightly below its five-year average of 1.14%, reflecting the stock's recent price appreciation. The payout ratio of 47.89% indicates a sustainable dividend policy, leaving room for reinvestment in growth initiatives. Additionally, the company maintains a healthy balance sheet with a current ratio of 1.70 and a quick ratio of 1.19, suggesting strong liquidity. However, the debt-to-equity ratio of 55.16% is moderately high, which could be a concern if interest rates remain elevated.
 **Valuations:**  
 Church &amp; Dwight's valuation metrics suggest the stock is trading at a premium. Its price-to-book ratio of 6.32 and price-to-sales ratio of 4.51 are higher than industry averages, reflecting investor confidence in its defensive characteristics and consistent cash flow generation. The enterprise value-to-EBITDA ratio of 21.13 further underscores the premium valuation. Analysts' target prices range from $68 to $126, with a mean target of $106.44, slightly below the current price of $111.71, indicating limited upside potential in the near term.
 **Economic Outlook:**  
 The broader economic environment presents mixed implications for Church &amp; Dwight. On one hand, the company's defensive positioning in the household products industry makes it relatively resilient to economic slowdowns, such as the projected 1.5% GDP contraction in Q1 2025. On the other hand, rising tariffs on Canadian, Mexican, and Chinese goods could increase input costs, potentially pressuring margins. However, the company's strong brand portfolio and pricing power may allow it to pass on higher costs to consumers, mitigating the impact of inflationary pressures.
 The Federal Reserve's restrictive monetary policy and elevated interest rates could weigh on consumer spending, but Church &amp; Dwight's products are largely non-discretionary, providing a buffer against economic headwinds. Additionally, the company's strong free cash flow of $786 million and operating cash flow of $1.16 billion position it well to navigate a challenging macroeconomic environment.
 **Summary of Thesis, Edge, and Risk:**  
 Church &amp; Dwight's investment thesis is rooted in its defensive nature, strong brand portfolio, and consistent financial performance. Its edge lies in its ability to generate stable cash flows and maintain profitability even during economic downturns. However, risks include its premium valuation, exposure to rising input costs due to tariffs, and limited near-term upside based on current analyst price targets.
 **Score: 72**</t>
  </si>
  <si>
    <t>PM</t>
  </si>
  <si>
    <t>**Investment Report: Philip Morris International (PMI)**
 **Recent News:**  
 Philip Morris International (PMI) has not been in the news over the past week, indicating a lack of significant developments or disruptions. This stability may reflect the company's mature market position and consistent operations within the tobacco industry. However, the absence of news also suggests no immediate catalysts for significant price movement in the short term.
 **Financials:**  
 PMI's financial performance reflects its position as a dominant player in the tobacco industry. The company has a market capitalization of $246.9 billion and a trailing price-to-earnings (P/E) ratio of 26.42, which is slightly elevated compared to historical norms for the sector. Its forward P/E of 22.05 suggests expectations of earnings growth, albeit at a moderate pace. The firm’s gross margins of 64.81% and operating margins of 27.77% highlight its ability to maintain profitability despite regulatory and competitive pressures.
 The dividend yield of 3.48% is below its five-year average of 5.26%, reflecting the stock's recent price appreciation, which has reached a 52-week high of $158.84. PMI's payout ratio of 88.2% indicates a high commitment to returning capital to shareholders, though it leaves limited room for reinvestment or dividend growth. The company’s free cash flow of $8.18 billion and operating cash flow of $12.22 billion provide strong support for its dividend payments.
 PMI's balance sheet shows a total debt of $46.35 billion, with a quick ratio of 0.39 and a current ratio of 0.88, indicating a reliance on short-term liquidity management. While the company’s negative book value (-$7.56 per share) and price-to-book ratio (-21.01) may raise concerns, these metrics are less relevant for a cash-generating business like PMI, which operates in a capital-light industry.
 **Valuations:**  
 PMI's stock has appreciated significantly over the past year, with a 52-week change of 71.45%, far outpacing the S&amp;P 500's 17.25% gain. The stock is trading near its 52-week high, suggesting limited upside in the near term unless new growth drivers emerge. Analysts have a median price target of $153.50, slightly below the current price, indicating that the stock may be fairly valued at present levels. The recommendation mean of 2.0 ("buy") reflects continued confidence in the company's fundamentals, though the high valuation metrics may temper expectations for further gains.
 **Economic Outlook:**  
 The broader economic environment presents mixed implications for PMI. The U.S. economy is showing signs of deceleration, with GDP contraction expected in Q1 2025 and rising jobless claims. However, PMI's business is relatively insulated from economic cycles due to the inelastic demand for tobacco products. The company's revenue growth of 7.3% and profit margins of 18.63% demonstrate resilience in the face of macroeconomic headwinds. Additionally, PMI's international focus may shield it from the full impact of U.S. trade tensions and tariffs, though currency fluctuations could pose a risk.
 **Summary of Thesis, Edge, and Risk:**  
 PMI's strong cash flow generation, high margins, and consistent dividend payments make it an attractive option for income-focused investors. Its dominant market position and pricing power provide a competitive edge, while its international diversification reduces exposure to U.S.-specific risks. However, the stock's elevated valuation, high payout ratio, and reliance on debt warrant caution. Regulatory risks and shifting consumer preferences toward reduced-risk products also remain key challenges.
 **Score: 72**</t>
  </si>
  <si>
    <t>RSG</t>
  </si>
  <si>
    <t>**Investment Report: Republic Services (RSG)**
 **Recent News:**  
 Republic Services has not been in the news over the past week, indicating a lack of significant developments or disruptions. This stability can be interpreted as a positive sign for a company in the Environmental &amp; Facilities Services industry, which often benefits from steady operations and predictable cash flows. However, the absence of news also suggests no immediate catalysts for significant stock movement in the short term.
 **Financials:**  
 Republic Services is trading near its 52-week high of $240.64, reflecting strong recent performance with a 28.98% increase over the past year, outperforming the S&amp;P 500's 17.25% gain. The company has a market capitalization of $74.83 billion and a trailing P/E ratio of 36.92, which is above the industry average, indicating a premium valuation. The forward P/E of 35.19 suggests expectations of continued earnings growth, albeit at a modest pace.
 The company’s profit margins are solid, with a net profit margin of 12.74% and EBITDA margins of 30.78%, supported by steady revenue growth of 5.6% year-over-year. Republic Services generated $16.03 billion in total revenue over the trailing twelve months, with a return on equity (ROE) of 18.62%, demonstrating efficient use of shareholder capital. Free cash flow of $1.55 billion and operating cash flow of $3.94 billion highlight strong liquidity and operational efficiency.
 However, the company carries a high debt-to-equity ratio of 113.59%, which could pose risks in a rising interest rate environment. The quick ratio of 0.52 and current ratio of 0.58 indicate limited short-term liquidity, though this is typical for capital-intensive industries like waste management.
 **Valuations:**  
 Republic Services trades at a price-to-sales (P/S) ratio of 4.67 and a price-to-book (P/B) ratio of 6.56, both of which are elevated compared to industry peers. The trailing PEG ratio of 3.71 suggests the stock may be overvalued relative to its earnings growth potential. Despite these high valuations, the company’s dividend yield of 0.98% and a payout ratio of 34.36% provide a modest income stream for investors, with room for future dividend growth given its strong cash flow generation.
 Analyst sentiment remains positive, with a mean recommendation of "Buy" and a target median price of $241.50, slightly above the current trading price. This indicates limited upside potential in the near term, as the stock is already trading near its target range.
 **Economic Outlook:**  
 The broader economic environment presents mixed implications for Republic Services. The U.S. economy is showing signs of deceleration, with GDP expected to shrink by 1.5% in Q1 2025. Rising jobless claims and weakening consumer confidence could dampen demand for commercial waste services. However, the company’s essential services are less sensitive to economic cycles, providing a degree of resilience.
 The ongoing trade tensions and tariffs imposed by the Trump administration are unlikely to have a direct impact on Republic Services, as its operations are primarily domestic. However, higher costs for imported equipment or materials could marginally affect margins. Additionally, the company’s beta of 0.738 suggests lower volatility compared to the broader market, making it a relatively defensive investment in uncertain times.
 **Summary of Thesis, Edge, and Risk:**  
 Republic Services benefits from a stable business model, strong cash flow generation, and solid profit margins, making it a reliable player in the Environmental &amp; Facilities Services industry. Its premium valuation reflects investor confidence in its growth prospects and defensive characteristics. However, high debt levels and limited short-term liquidity pose risks, particularly in a challenging macroeconomic environment. The stock’s current price near its 52-week high suggests limited upside potential in the near term, though its essential services and low beta provide downside protection.
 **Score: 72**</t>
  </si>
  <si>
    <t>PTC</t>
  </si>
  <si>
    <t>**Investment Report: PTC Inc.**
 **Recent News:**  
 PTC Inc. has not been in the news over the past week, indicating a lack of significant developments or announcements. This absence of news suggests stability but also limits immediate catalysts for stock movement. The broader macroeconomic environment, including trade tensions and slowing economic growth, may indirectly influence the company.
 **Financials:**  
 PTC Inc. operates in the application software industry and has demonstrated solid profitability metrics. The company’s trailing price-to-earnings (PE) ratio of 49.25 is high, reflecting a premium valuation, but its forward PE of 22.94 suggests expectations of strong earnings growth. The firm’s profit margins are healthy, with a net profit margin of 16.95% and EBITDA margins of 29.96%, supported by robust gross margins of 80.69%. 
 Revenue growth remains modest at 2.7% year-over-year, while earnings growth is stronger at 23.6%, indicating improving operational efficiency. The company’s free cash flow of $724.8 million and operating cash flow of $801.1 million highlight its ability to generate liquidity, though its quick ratio of 0.57 and current ratio of 0.69 suggest limited short-term financial flexibility. Debt-to-equity stands at 53.25%, which is manageable but slightly elevated for a software company. 
 The stock has underperformed over the past year, with a 52-week change of -8.68%, compared to the S&amp;P 500’s gain of 17.25%. The stock is trading near its 52-week low of $159.56, significantly below its 52-week high of $203.09, which may present a potential value opportunity if fundamentals remain strong.
 **Valuations:**  
 PTC Inc.’s valuation metrics indicate a mixed picture. The price-to-sales ratio of 8.35 and price-to-book ratio of 5.98 are relatively high, reflecting a premium valuation compared to peers. However, the forward PE ratio and trailing PEG ratio of 1.78 suggest that the market expects continued earnings growth, which could justify the premium. Analyst sentiment remains positive, with a recommendation mean of 1.75 (indicating a "buy") and a target median price of $213, implying significant upside from the current price.
 **Economic Outlook:**  
 The broader economic environment poses challenges for PTC Inc. The U.S. economy is showing signs of deceleration, with GDP expected to shrink by 1.5% in Q1 2025. Trade tensions, particularly tariffs on Canada, Mexico, and China, could disrupt supply chains and increase costs for software companies reliant on global operations. However, PTC’s high gross margins and strong cash flow generation provide a buffer against macroeconomic headwinds. Additionally, the company’s focus on application software, a sector with recurring revenue models, may offer resilience in a slowing economy.
 **Summary of Thesis, Edge, and Risk:**  
 PTC Inc. is a well-positioned player in the application software industry, with strong profitability metrics and a solid growth outlook. Its high gross margins and robust cash flow generation provide a competitive edge, while its forward PE ratio suggests room for earnings expansion. However, the company faces risks from broader economic headwinds, including slowing growth and trade tensions, as well as its elevated valuation metrics, which leave limited room for error. The lack of recent news or catalysts may also limit short-term upside.
 **Score: 72**</t>
  </si>
  <si>
    <t>RJF</t>
  </si>
  <si>
    <t>**Investment Report: Raymond James Financial (RJF)**
 **Recent News:**  
 Raymond James Financial (RJF) has seen an 11.1% decline in its stock price since its last earnings report, reflecting investor concerns despite the company posting solid financial results. The market reaction appears to stem from broader macroeconomic uncertainties and sector-specific pressures rather than any fundamental weakness in the firm's performance. The investment banking and brokerage industry is currently facing headwinds from heightened market volatility, geopolitical tensions, and a decelerating U.S. economy, which may have contributed to the stock's underperformance. Additionally, the recent increase in short interest (up from 5.02 million to 5.41 million shares) suggests growing bearish sentiment among traders.
 **Financials:**  
 Raymond James Financial remains fundamentally strong, with a trailing P/E ratio of 14.69 and a forward P/E of 13.50, indicating a reasonable valuation relative to its earnings growth. The company has demonstrated robust earnings growth of 23.3% and revenue growth of 14.6% year-over-year, supported by strong profit margins (16.39%) and return on equity (19.11%). Its balance sheet is solid, with $15.64 billion in cash and a manageable debt-to-equity ratio of 39.61. The firm's dividend yield of 1.29% is slightly below its five-year average of 1.43%, but the low payout ratio of 18.07% suggests ample room for future dividend increases.
 Despite these strengths, the stock's price-to-book ratio of 2.60 is slightly elevated compared to historical levels, which may indicate limited upside in the near term. Additionally, the firm's beta of 1.05 suggests moderate sensitivity to market volatility, which could weigh on performance given the current economic environment.
 **Valuations:**  
 RJF's valuation metrics remain attractive compared to industry peers, with a trailing PEG ratio of 1.89, reflecting a balance between growth and valuation. Analysts have a median price target of $177, representing a potential upside of approximately 18% from the current price. However, the stock's recent decline below its 50-day moving average ($160.56) and its proximity to the 200-day moving average ($137.38) suggest technical weakness, which could deter momentum-driven investors in the short term.
 **Economic Outlook:**  
 The broader economic environment poses challenges for Raymond James Financial. The U.S. economy is showing signs of deceleration, with GDP expected to contract by 1.5% in Q1 2025. Rising jobless claims, a record trade deficit, and weakening consumer confidence are likely to impact the firm's wealth management and investment banking segments. Additionally, President Trump's aggressive trade policies and tariffs on Canada, Mexico, and China could create further market volatility, potentially dampening client activity and transaction volumes.
 On the positive side, the Federal Reserve's restrictive monetary policy appears to be moderating inflation, which could pave the way for rate cuts later in the year. This would benefit RJF's interest-sensitive businesses, such as fixed-income trading and lending. Furthermore, the firm's strong cash position and diversified revenue streams provide a buffer against near-term economic headwinds.
 **Summary of Thesis, Edge, and Risk:**  
 Raymond James Financial is a fundamentally sound company with strong earnings growth, robust margins, and a solid balance sheet. Its diversified business model and prudent financial management position it well to weather economic uncertainties. However, the stock faces near-term risks from macroeconomic headwinds, market volatility, and sector-specific pressures. While the firm's valuation remains attractive, technical weakness and bearish sentiment could limit upside in the short term.
 **Score: 72**</t>
  </si>
  <si>
    <t>ROL</t>
  </si>
  <si>
    <t>**Investment Report: Rollins, Inc.**
 **Recent News:**  
 Rollins, Inc., a leader in the Environmental &amp; Facilities Services industry, has not been in the news over the past week. The absence of recent developments suggests stability in its operations, though it also indicates a lack of immediate catalysts for significant price movement. This quiet period may reflect a steady business model, but it also leaves the stock more exposed to broader market trends and macroeconomic factors.
 **Financials:**  
 Rollins' financial performance highlights its position as a stable, dividend-paying company. The firm’s trailing price-to-earnings (P/E) ratio of 55.22 and forward P/E of 47.33 indicate a premium valuation, suggesting that investors are willing to pay a high price for its earnings, likely due to its consistent revenue growth and profitability. The company’s gross margin of 52.69% and operating margin of 18.23% underscore its ability to maintain strong profitability within its sector. However, earnings growth has declined slightly (-3%), which could signal challenges in maintaining its historical growth trajectory.
 Rollins has a dividend yield of 1.26%, above its five-year average of 1.05%, reflecting a commitment to returning value to shareholders. The payout ratio of 64% is relatively high, indicating that a significant portion of earnings is allocated to dividends, which may limit reinvestment opportunities. The company’s free cash flow of $498.93 million and operating cash flow of $607.65 million provide a solid foundation for sustaining its dividend policy.
 The balance sheet shows a debt-to-equity ratio of 61.07%, which is moderate but worth monitoring given the rising interest rate environment. Liquidity metrics, such as a quick ratio of 0.51 and current ratio of 0.69, suggest limited short-term financial flexibility, though the company’s strong cash flow generation mitigates immediate concerns.
 **Valuations:**  
 Rollins trades at a price-to-book (P/B) ratio of 19.30, significantly higher than the industry average, reflecting its premium valuation. The price-to-sales (P/S) ratio of 7.57 also indicates that the stock is priced at a substantial premium relative to its revenue. While these metrics suggest that the market has high expectations for Rollins, they also imply limited upside unless the company can deliver above-average growth or operational improvements.
 The stock is trading near its 52-week high of $53.19, which may indicate limited short-term upside potential. Analyst price targets range from $37 to $60, with a median target of $50, slightly below the current price, suggesting that the stock may be fairly valued at present levels.
 **Economic Outlook:**  
 The broader economic environment presents mixed implications for Rollins. The U.S. economy is showing signs of deceleration, with GDP expected to shrink in Q1 2025. Rising tariffs and trade tensions could indirectly impact Rollins if consumer confidence and spending weaken further. However, the company’s focus on essential services, such as pest control, positions it as a relatively defensive play in times of economic uncertainty.
 The Federal Reserve’s restrictive monetary policy and elevated interest rates could increase borrowing costs for Rollins, though its manageable debt levels and strong cash flow provide some insulation. Additionally, the company’s beta of 0.777 suggests lower volatility compared to the broader market, making it an attractive option for risk-averse investors during periods of market turbulence.
 **Summary:**  
 **Thesis:** Rollins benefits from a stable business model, strong profitability, and consistent cash flow generation, making it a reliable player in the Environmental &amp; Facilities Services industry.  
 **Edge:** Its defensive nature and essential services provide resilience in uncertain economic conditions, while its dividend policy offers steady returns to shareholders.  
 **Risk:** Premium valuations and slowing earnings growth could limit upside potential, and the company’s high payout ratio may constrain reinvestment opportunities.
 **Score: 72**</t>
  </si>
  <si>
    <t>BWA</t>
  </si>
  <si>
    <t>**Investment Report: BorgWarner Inc.**
 **Recent News:**  
 BorgWarner has not been in the headlines over the past week, indicating a lack of significant corporate developments or announcements. This absence of news suggests stability but also highlights the need to focus on broader economic and industry trends to assess the company's prospects.
 **Financials:**  
 BorgWarner's financial metrics present a mixed picture. The company is trading near its 52-week low of $28.54, significantly below its 52-week high of $38.23, reflecting recent market pressures. The trailing price-to-earnings (P/E) ratio of 17.69 is moderate, but the forward P/E of 6.19 suggests expectations of strong earnings growth. The dividend yield of 1.48% is slightly below its five-year average of 1.61%, but the low payout ratio of 26.99% indicates room for potential dividend increases.  
 The company has a solid balance sheet with $2.09 billion in cash, a quick ratio of 1.36, and a current ratio of 1.79, suggesting strong liquidity. However, the debt-to-equity ratio of 76.11% is relatively high, which could pose risks in a rising interest rate environment. BorgWarner's free cash flow of $576.75 million and operating cash flow of $1.35 billion provide a cushion for debt servicing and future investments.  
 Profitability metrics, including a return on equity (ROE) of 7.27% and return on assets (ROA) of 5.67%, are modest but stable. Gross margins of 18.8% and EBITDA margins of 13.58% indicate reasonable operational efficiency, though revenue growth has declined by 2.4% year-over-year, reflecting challenges in the automotive sector.
 **Valuations:**  
 BorgWarner's valuation metrics suggest it may be undervalued relative to its peers. The price-to-sales ratio of 0.45 and price-to-book ratio of 1.14 are both low, indicating the stock is trading at a discount. The enterprise value-to-EBITDA ratio of 4.56 further supports the case for undervaluation. Analyst sentiment is positive, with a "buy" recommendation and a mean target price of $38.59, representing a potential upside of over 30% from current levels.
 **Economic Outlook:**  
 The automotive industry is facing headwinds from geopolitical tensions, including tariffs on steel and aluminum, which could increase input costs for BorgWarner. Additionally, the broader economic slowdown, as evidenced by a projected 1.5% GDP contraction in Q1 2025, may dampen demand for automotive parts. However, BorgWarner's focus on electrification and advanced propulsion systems positions it well for long-term growth as the industry transitions toward electric vehicles (EVs).  
 The company's beta of 1.19 indicates higher sensitivity to market volatility, which could amplify price swings in the current uncertain environment. On the positive side, BorgWarner's strong institutional ownership (103.8%) reflects confidence from large investors, and its low short interest ratio of 4.24 suggests limited bearish sentiment.
 **Summary:**  
 **Thesis:** BorgWarner's valuation metrics and forward earnings potential suggest it is undervalued, with significant upside if the company can navigate near-term challenges.  
 **Edge:** The company's strong liquidity, focus on EV-related technologies, and positive analyst sentiment provide a competitive advantage in a transitioning automotive market.  
 **Risk:** High debt levels and exposure to tariff-related cost increases could pressure margins, while broader economic weakness may weigh on demand.
 **Score: 72**</t>
  </si>
  <si>
    <t>SNA</t>
  </si>
  <si>
    <t>**Investment Report: Snap-on Inc. (SNA)**
 **Recent News:**  
 Snap-on Inc. has been actively pursuing growth strategies, focusing on enhancing its franchise network and expanding into critical industries within emerging markets. These initiatives aim to solidify its market position and diversify revenue streams. The company's strategic focus on emerging markets could provide long-term growth opportunities, especially as global industrial demand evolves. However, the broader economic slowdown and potential trade tensions may pose challenges to its international expansion efforts.
 **Financials:**  
 Snap-on's financial health remains robust, with a market capitalization of $17.5 billion and a strong balance sheet. The company boasts a current ratio of 4.15 and a quick ratio of 3.02, indicating excellent liquidity. Its debt-to-equity ratio of 23.89 is relatively low, reflecting prudent financial management. Profit margins are solid, with a net profit margin of 20.44% and operating margins of 26.05%, showcasing operational efficiency. The company generated $5.1 billion in total revenue over the trailing twelve months, with modest revenue growth of 0.4% and earnings growth of 1.4%. Free cash flow of $927 million further underscores its ability to fund operations and shareholder returns.
 Snap-on's dividend yield of 2.51% aligns with its five-year average, supported by a low payout ratio of 39.57%, suggesting room for future dividend growth. The trailing P/E ratio of 17.12 and forward P/E of 16.60 indicate reasonable valuation levels compared to the broader market. However, the trailing PEG ratio of 2.40 suggests the stock may be slightly overvalued relative to its growth prospects.
 **Valuations:**  
 Snap-on's price-to-book ratio of 3.24 and price-to-sales ratio of 3.43 are in line with industry peers, reflecting fair valuation. The stock is trading near its 50-day average of $343.55, indicating stability despite recent market volatility. Analysts' target prices range from $240 to $393, with a median target of $346, close to its current trading levels. This suggests limited upside potential in the near term, barring significant positive catalysts.
 **Economic Outlook:**  
 The broader economic environment presents mixed signals for Snap-on. The U.S. economy is showing signs of deceleration, with GDP projected to shrink by 1.5% in Q1 2025. Trade tensions, particularly the imposition of tariffs on Canada, Mexico, and China, could disrupt supply chains and increase costs for industrial machinery companies like Snap-on. However, the company's focus on emerging markets may help mitigate some of these risks. Additionally, its strong cash position and operational efficiency provide a buffer against economic headwinds.
 **Summary:**  
 Snap-on's strategic initiatives in franchise expansion and emerging markets provide a growth edge, while its strong financial position and operational efficiency offer resilience. However, risks include a slowing global economy, trade tensions, and modest growth rates, which may limit near-term upside. The stock appears fairly valued, with limited immediate catalysts for significant price appreciation.
 **Score: 72**</t>
  </si>
  <si>
    <t>SHW</t>
  </si>
  <si>
    <t>**Investment Report: Sherwin-Williams (Specialty Chemicals Industry)**
 **Recent News:**  
 Sherwin-Williams has not been in the headlines over the past week, indicating stability in its operations and no immediate disruptions or major announcements. This lack of news suggests the company is operating within its expected parameters, with no significant external shocks or internal changes affecting its trajectory.
 **Financials:**  
 Sherwin-Williams' stock has shown moderate volatility, with a recent trading range between $354.83 and $363.89. The company’s dividend yield of 0.87% is slightly above its five-year average of 0.84%, reflecting a consistent commitment to returning value to shareholders. Its payout ratio of 27.11% indicates a conservative approach to dividend distribution, leaving room for reinvestment or debt reduction. 
 The firm’s trailing P/E ratio of 33.85 and forward P/E of 27.91 suggest a premium valuation, likely reflecting investor confidence in its growth prospects. However, its price-to-book ratio of 22.00 is significantly elevated, indicating the market's high expectations for future performance. Sherwin-Williams has a beta of 1.231, implying higher volatility compared to the broader market.
 The company’s revenue growth of 0.9% and earnings growth of 35.7% highlight its ability to improve profitability despite modest top-line expansion. Gross margins of 48.47% and EBITDA margins of 19.05% underscore its strong operational efficiency. However, the quick ratio of 0.39 and current ratio of 0.793 point to potential liquidity constraints, which could be a concern in a tightening economic environment. Additionally, the debt-to-equity ratio of 298.74% reflects a highly leveraged balance sheet, which may limit financial flexibility.
 **Valuations:**  
 Sherwin-Williams' market capitalization stands at $89.67 billion, with an enterprise value of $102.44 billion, reflecting its significant debt load. The enterprise-to-revenue ratio of 4.44 and enterprise-to-EBITDA ratio of 23.29 suggest the company is trading at a premium compared to peers in the specialty chemicals industry. Analyst sentiment remains positive, with a mean price target of $384.97, representing a modest upside from current levels. The recommendation mean of 2.17 (on a scale where 1 is a strong buy) indicates a generally favorable outlook among analysts.
 **Economic Outlook:**  
 The broader economic environment presents mixed signals for Sherwin-Williams. The U.S. economy is showing signs of deceleration, with GDP contraction expected in Q1 2025 and rising jobless claims. Trade tensions, particularly the imposition of tariffs on Canada, Mexico, and China, could disrupt supply chains and increase input costs for Sherwin-Williams, given its reliance on raw materials. However, moderating inflation and potential Federal Reserve rate cuts later in the year could provide some relief.
 Sherwin-Williams' exposure to the construction and housing markets, which are sensitive to economic cycles, may face headwinds if consumer confidence and spending weaken further. On the other hand, its strong brand and market position could help it weather short-term challenges and maintain pricing power.
 **Summary of Thesis, Edge, and Risk:**  
 Sherwin-Williams benefits from a strong market position, robust profitability, and consistent dividend payouts, making it a resilient player in the specialty chemicals industry. Its ability to grow earnings significantly despite modest revenue growth highlights operational efficiency. However, its high leverage and liquidity constraints pose risks, particularly in a slowing economic environment with potential cost pressures from tariffs. The premium valuation suggests high expectations, leaving limited room for error.
 **Score: 72**</t>
  </si>
  <si>
    <t>DXCM</t>
  </si>
  <si>
    <t>**Investment Report: Dexcom (DXCM)**
 **Recent News:**  
 Dexcom has not been featured in any significant news over the past week. This absence of news suggests a period of operational stability, with no major disruptions or announcements impacting the company's trajectory. However, in a volatile macroeconomic environment, the lack of updates could also indicate a cautious approach to navigating current uncertainties.
 **Financials:**  
 Dexcom's financial performance reflects a mixed picture. The company is trading at a trailing P/E ratio of 60.56 and a forward P/E of 42.36, indicating a premium valuation relative to its earnings. This is typical for high-growth healthcare equipment firms, but it also suggests that the market has high expectations for future performance. The price-to-sales ratio of 8.33 and price-to-book ratio of 15.98 further highlight the elevated valuation. 
 Revenue growth of 7.6% year-over-year is modest but steady, supported by strong gross margins of 60.46%. However, earnings growth has declined by 39.1%, and quarterly earnings growth is down 40.8%, reflecting potential challenges in cost management or competitive pressures. The company's profit margins stand at 14.29%, which is healthy but not exceptional for the sector. 
 Dexcom's balance sheet shows a quick ratio of 1.23 and a current ratio of 1.47, indicating adequate short-term liquidity. However, the debt-to-equity ratio of 123.36% is relatively high, suggesting a leveraged position that could become a concern in a rising interest rate environment. Free cash flow of $552.72 million and operating cash flow of $989.5 million provide some reassurance regarding the company's ability to manage its debt obligations.
 **Valuations:**  
 Dexcom's stock has experienced a 27.43% decline over the past 52 weeks, underperforming the S&amp;P 500, which has gained 17.25% over the same period. The stock is currently trading closer to its 52-week low of $62.34 than its high of $142.00, which may present an opportunity for value-oriented investors if the company can address its growth challenges. Analyst sentiment remains positive, with a mean price target of $101.44 and a "strong buy" recommendation, reflecting confidence in the company's long-term prospects.
 **Economic Outlook:**  
 The broader macroeconomic environment poses challenges for Dexcom. The U.S. economy is showing signs of deceleration, with GDP expected to shrink by 1.5% in Q1 2025. Rising tariffs and trade tensions could increase input costs for healthcare equipment manufacturers, while weakening consumer confidence may dampen demand. However, Dexcom operates in the healthcare sector, which tends to be more resilient during economic downturns due to the essential nature of its products. The company's focus on diabetes management technology positions it well in a growing market driven by increasing prevalence of chronic diseases.
 **Summary:**  
 Dexcom's thesis lies in its strong market position in diabetes management technology and its ability to maintain high gross margins. Its edge comes from its innovative product offerings and the essential nature of its healthcare solutions, which provide some insulation from economic volatility. However, risks include declining earnings growth, high leverage, and potential cost pressures from macroeconomic headwinds. The stock's premium valuation also leaves little room for error in execution.
 **Score: 72**</t>
  </si>
  <si>
    <t>EA</t>
  </si>
  <si>
    <t>**Investment Report: Electronic Arts (EA)**
 **Recent News:**  
 Electronic Arts (EA) has made headlines with its announcement that the winner of its "Madden" video game tournament will receive a $250,000 prize, surpassing the $171,000 awarded to each NFL Super Bowl champion. This move highlights EA's strategic focus on expanding its esports presence and engaging its gaming community. By offering such a significant prize, EA is positioning itself as a leader in the competitive gaming space, which could drive increased user engagement and brand loyalty. However, this also reflects the growing costs associated with maintaining relevance in the highly competitive gaming industry.
 **Financials:**  
 EA's financial performance presents a mixed picture. The company has a market capitalization of $33.68 billion and a trailing P/E ratio of 32.88, which is relatively high, indicating that the stock may be priced for growth. However, its forward P/E of 15.15 suggests expectations of improved earnings in the future. EA's profit margins stand at 14.28%, supported by strong gross margins of 79.38%, reflecting efficient cost management. The company has a solid balance sheet with $3.16 billion in cash and a manageable debt-to-equity ratio of 30.75%. Free cash flow of $1.65 billion underscores its ability to fund operations and shareholder returns. However, revenue growth has declined by 3.2% year-over-year, signaling potential challenges in maintaining top-line momentum.
 **Valuations:**  
 EA's price-to-sales ratio of 4.58 and price-to-book ratio of 4.56 suggest the stock is trading at a premium compared to its peers. The stock is currently trading near its 52-week low of $115.21, well below its 52-week high of $168.50, indicating a potential opportunity for value investors if the company can address its revenue growth challenges. Analyst sentiment remains cautiously optimistic, with a mean target price of $143.51, representing a modest upside from its current price of $129.12. The recommendation mean of 2.37 (between "buy" and "hold") reflects a balanced view of the stock's prospects.
 **Economic Outlook:**  
 The broader economic environment poses both risks and opportunities for EA. The U.S. economy is showing signs of deceleration, with GDP expected to shrink in Q1 2025. Consumer confidence is weakening, which could impact discretionary spending on video games. Additionally, the ongoing trade tensions and tariffs may increase costs for hardware and software production, potentially squeezing margins. On the other hand, the gaming industry has historically shown resilience during economic downturns, as consumers often turn to affordable entertainment options. EA's focus on esports and digital content could help mitigate some of these macroeconomic pressures.
 **Summary of Thesis, Edge, and Risk:**  
 EA's strategic push into esports and competitive gaming provides a growth avenue, supported by its strong cash flow and efficient cost management. However, declining revenue growth and a premium valuation present risks, particularly in a challenging economic environment. The company's ability to innovate and capitalize on its esports initiatives will be critical to sustaining investor confidence.
 **Score: 72**</t>
  </si>
  <si>
    <t>DTE</t>
  </si>
  <si>
    <t>**Investment Report: DTE Energy**
 **Recent News:**  
 DTE Energy has not been in the headlines over the past week, indicating a lack of significant developments or disruptions. This stability can be interpreted as a positive sign for a utility company, as the sector often benefits from steady operations and predictable cash flows. However, the absence of news also suggests no immediate catalysts for growth or significant changes in the company's outlook.
 **Financials:**  
 DTE Energy's stock is trading near its 52-week high of $135.24, reflecting strong recent performance. The company offers a dividend yield of 3.26%, slightly below its five-year average of 3.35%, but still attractive for income-focused investors. With a payout ratio of 61.3%, the dividend appears sustainable, supported by consistent cash flows typical of the utility sector. However, the company's free cash flow is negative (-$1.68 billion), which could raise concerns about its ability to fund growth initiatives or reduce debt without external financing.
 The firm's trailing price-to-earnings (P/E) ratio of 19.98 and forward P/E of 18.76 suggest a modest valuation premium compared to the broader market, likely due to its defensive nature. The price-to-book ratio of 2.39 is reasonable for a utility company, reflecting investor confidence in its asset base and earnings stability. However, the company's debt-to-equity ratio of 198.57% is notably high, indicating significant leverage. While this is common in the utility sector due to the capital-intensive nature of the business, it could pose risks in a rising interest rate environment.
 **Valuations:**  
 DTE Energy's enterprise value-to-EBITDA ratio of 15.44 is on the higher side, suggesting the market is pricing in stable cash flows and low risk. Analysts have a mean target price of $138.33, implying limited upside from current levels. The recommendation mean of 1.95 (on a scale where 1.0 is a strong buy) indicates a generally favorable view among analysts, though not overwhelmingly bullish.
 **Economic Outlook:**  
 The macroeconomic environment presents mixed implications for DTE Energy. The Federal Reserve's restrictive monetary policy and elevated interest rates could increase the company's borrowing costs, given its high debt levels. However, the utility sector's defensive characteristics may attract investors during periods of economic uncertainty, as utilities tend to perform well in slower growth environments. Additionally, the company's modest revenue growth of 1.2% and stable gross margins of 34.8% suggest resilience despite broader economic headwinds.
 The ongoing trade tensions and tariffs announced by the Trump administration are unlikely to have a direct impact on DTE Energy, as its operations are primarily domestic and focused on regulated utilities. However, broader economic slowdowns could indirectly affect industrial and commercial energy demand.
 **Summary of Thesis, Edge, and Risk:**  
 DTE Energy offers a stable investment opportunity with a reliable dividend and defensive characteristics, making it appealing in uncertain economic conditions. Its valuation is reasonable, though not deeply discounted, and its high leverage is a notable risk, particularly in a high-interest-rate environment. The company's edge lies in its regulated utility operations, which provide predictable cash flows. However, negative free cash flow and high debt levels could limit its financial flexibility, especially if economic conditions deteriorate further.
 **Score: 72**</t>
  </si>
  <si>
    <t>ED</t>
  </si>
  <si>
    <t>**Investment Report: Consolidated Edison (Ticker: ED)**
 **Recent News:**  
 There have been no significant news developments for Consolidated Edison in the past week. This lack of news suggests stability in the company's operations and no immediate external disruptions impacting its business model. However, the broader macroeconomic environment, including rising tariffs and geopolitical tensions, could indirectly affect the utility sector through potential cost pressures or shifts in consumer demand.
 **Financials:**  
 Consolidated Edison exhibits a stable financial profile, characteristic of a utility company. The firm has a market capitalization of $36.06 billion and a relatively low beta of 0.285, indicating limited volatility compared to the broader market. The stock is trading near its 52-week high of $107.75, with a recent close at $101.52, reflecting investor confidence in its defensive nature amidst market uncertainty.
 The company offers a dividend yield of 3.35%, slightly below its five-year average of 3.67%, with a payout ratio of 63.36%. This indicates a sustainable dividend policy, supported by steady cash flows. However, the free cash flow is negative at -$1.47 billion, which could signal challenges in funding growth or maintaining dividends without additional debt or equity issuance.
 Revenue growth stands at 6.5% year-over-year, while earnings growth has declined by 7.9%, reflecting margin pressures. The gross margin of 53.53% and EBITDA margin of 35.65% are strong, but the high debt-to-equity ratio of 126.71% highlights significant leverage, a common trait in the utility sector. The company’s return on equity (ROE) of 8.44% is modest but aligns with the industry average.
 **Valuations:**  
 Consolidated Edison trades at a trailing price-to-earnings (P/E) ratio of 19.85 and a forward P/E of 18.51, suggesting moderate valuation levels for a utility company. The price-to-book (P/B) ratio of 1.64 is reasonable, given the capital-intensive nature of the business. Analysts have a median price target of $98.00, slightly below the current trading price, with a recommendation mean of 3.0 (Hold). This indicates limited upside potential in the near term, as the stock appears fairly valued.
 The trailing PEG ratio of 8.67 reflects high valuation relative to growth, which is typical for utilities due to their stable but slow-growing earnings. The enterprise value-to-EBITDA ratio of 11.51 is on the higher side, reflecting the company's significant debt load.
 **Economic Outlook:**  
 The utility sector is generally considered a defensive play during economic slowdowns, as demand for essential services like electricity and gas remains relatively inelastic. However, the broader macroeconomic environment poses mixed implications for Consolidated Edison. The U.S. economy is showing signs of deceleration, with GDP expected to contract in Q1 2025. Rising tariffs on steel and aluminum could increase infrastructure costs for utilities, while federal workforce reductions and weakening consumer confidence may dampen demand in the residential and commercial segments.
 On the positive side, moderating inflation and potential Federal Reserve rate cuts later in the year could reduce borrowing costs, benefiting highly leveraged companies like Consolidated Edison. Additionally, the company’s regulated utility model provides predictable revenue streams, insulating it from some of the volatility seen in other sectors.
 **Summary of Thesis, Edge, and Risk:**  
 Consolidated Edison offers a stable investment profile with predictable cash flows and a reliable dividend, making it an attractive option in uncertain economic conditions. Its low beta and defensive nature provide a hedge against market volatility. However, the company faces risks from its high leverage, negative free cash flow, and potential cost pressures from tariffs. Valuation metrics suggest limited upside in the near term, with the stock trading near its fair value. The primary edge lies in its resilience and ability to weather economic downturns, but risks include margin compression and challenges in funding growth initiatives.
 **Score: 72**</t>
  </si>
  <si>
    <t>MMM</t>
  </si>
  <si>
    <t>**Investment Report: 3M Company**
 **Recent News:**  
 3M has experienced a remarkable resurgence in its stock performance, doubling in value over the past six months and rising 65% over the last year. This recovery comes after a period of challenges, including legal issues, safety recalls, and sluggish sales. The company’s recent Investor Day highlighted ambitious plans for above-market organic sales growth and a commitment to return at least $10 billion in cash to shareholders by 2027. Analysts are optimistic, with some projecting the stock could reach $175 by mid-year. The recent 7% gain in the last week of February reflects growing investor confidence in the company’s strategic direction and its ability to deliver shareholder value.
 **Financials:**  
 3M’s financial metrics reveal a mixed picture. The company’s trailing price-to-earnings (P/E) ratio of 21.13 and forward P/E of 19.42 suggest a valuation slightly above the broader market average, reflecting investor optimism. However, earnings growth has been negative (-21.7%), and revenue growth remains stagnant at 0.1%. The company’s gross margins of 41.34% and operating margins of 17.67% indicate solid profitability, but its high debt-to-equity ratio of 350.77 raises concerns about leverage. Free cash flow of $1.68 billion and operating cash flow of $1.82 billion provide some reassurance about liquidity, though the quick ratio of 0.977 suggests limited short-term financial flexibility. The dividend yield of 1.88% is below its five-year average of 4.28%, reflecting the stock’s recent price surge.
 **Valuations:**  
 3M’s stock is trading near its 52-week high of $156.35, significantly above its 52-week low of $76.56. The price-to-book ratio of 21.54 is elevated, indicating a premium valuation relative to its book value. Analysts’ target prices range from $96 to $184, with a median target of $165, suggesting limited upside from current levels. The company’s enterprise value-to-EBITDA ratio of 16.32 is on the higher side, reflecting market expectations of future growth. However, the trailing PEG ratio of 2.80 indicates that the stock may be overvalued relative to its growth prospects.
 **Economic Outlook:**  
 3M operates in the industrial conglomerates sector, which is sensitive to macroeconomic conditions. The current economic environment, marked by slowing GDP growth and rising trade tensions, poses challenges. President Trump’s tariffs on Canada, Mexico, and China could disrupt supply chains and increase input costs for 3M, potentially pressuring margins. On the positive side, the company’s focus on organic sales growth and shareholder returns aligns with long-term value creation. However, the broader economic slowdown and elevated market volatility could weigh on industrial stocks in the near term.
 **Summary of Thesis, Edge, and Risk:**  
 3M’s recent stock performance reflects a strong recovery driven by strategic initiatives and investor optimism. The company’s focus on organic growth and shareholder returns provides a compelling long-term thesis. Its edge lies in its diversified product portfolio and strong brand recognition. However, risks include high leverage, stagnant revenue growth, and potential margin pressures from trade tariffs and economic headwinds.
 **Score: 72**</t>
  </si>
  <si>
    <t>MPC</t>
  </si>
  <si>
    <t>**Investment Report: Marathon Petroleum Corporation (MPC)**
 **Recent News:**  
 Marathon Petroleum Corporation (MPC) has garnered significant attention recently, particularly among retail and institutional investors. The company operates in the Oil &amp; Gas Refining &amp; Marketing industry, which has faced headwinds due to global economic uncertainties and fluctuating energy demand. Despite the attention, Marathon's stock has seen a decline of approximately 14.3% over the past year, underperforming the S&amp;P 500, which has risen by 17.2% in the same period. This underperformance reflects broader challenges in the refining sector, including compressed margins and reduced revenue growth. However, the stock remains a "Buy" according to analysts, with a mean target price of $167.47, suggesting potential upside from its current levels.
 **Financials:**  
 Marathon Petroleum's financial performance reflects a mixed picture. The company reported total revenue of $139.3 billion, but revenue growth has declined by 9.1% year-over-year, indicating challenges in maintaining top-line momentum. Net income to common shareholders stands at $3.44 billion, with a profit margin of 2.47%. While these figures are modest, the company has maintained a strong return on equity (ROE) of 18.13%, showcasing its ability to generate shareholder value.  
 The company's trailing price-to-earnings (P/E) ratio of 14.47 and forward P/E of 14.30 suggest that the stock is reasonably valued compared to its peers. Marathon's dividend yield of 2.42% is below its five-year average of 3.33%, but the payout ratio of 33.6% indicates room for future dividend growth. The company also boasts a free cash flow of $4.01 billion, which supports its ability to sustain operations and shareholder returns. However, the debt-to-equity ratio of 117.35% highlights a leveraged balance sheet, which could pose risks in a rising interest rate environment.
 **Valuations:**  
 Marathon Petroleum's valuation metrics suggest a relatively attractive entry point for long-term investors. The stock trades at a price-to-book (P/B) ratio of 2.60, which is reasonable given its historical performance and industry averages. The enterprise value-to-revenue ratio of 0.56 and enterprise value-to-EBITDA ratio of 8.56 indicate that the company is not excessively overvalued. However, the trailing annual dividend yield of 2.31% is below historical levels, reflecting the stock's recent price decline.
 **Economic Outlook:**  
 The macroeconomic environment presents both challenges and opportunities for Marathon Petroleum. The U.S. economy is showing signs of deceleration, with GDP expected to contract by 1.5% in Q1 2025. This slowdown, coupled with rising jobless claims and weakening consumer confidence, could dampen demand for refined products. Additionally, President Trump's recent tariffs on Canadian and Mexican goods, as well as increased tariffs on Chinese imports, may disrupt supply chains and increase input costs for the refining industry.  
 On the positive side, inflation appears to be moderating, and the Federal Reserve may consider rate cuts later in the year, which could provide some relief to leveraged companies like Marathon. Furthermore, the company's exposure to the energy sector positions it to benefit from any rebound in oil prices or increased demand for refined products as global economic conditions stabilize.
 **Summary of Thesis, Edge, and Risk:**  
 Marathon Petroleum offers a compelling investment case based on its reasonable valuation, strong cash flow generation, and ability to deliver shareholder returns through dividends. The company's high ROE and manageable payout ratio provide a solid foundation for long-term growth. However, the stock faces risks from declining revenue growth, a leveraged balance sheet, and macroeconomic headwinds, including potential disruptions from trade policies and slowing economic activity. The refining sector's cyclical nature adds another layer of uncertainty, making it crucial to monitor industry trends and global energy demand.
 **Score: 72**</t>
  </si>
  <si>
    <t>**Investment Report: Motorola Solutions**
 **Recent News:**  
 Motorola Solutions has not been in the news over the past week, indicating a lack of significant developments or disruptions. This absence of news suggests stability in its operations and market positioning, though it also implies no immediate catalysts for sharp price movements.
 **Financials:**  
 Motorola Solutions exhibits strong financial metrics, with a market capitalization of $71.34 billion and a trailing price-to-earnings (PE) ratio of 46.25, which is relatively high compared to the broader market. The forward PE ratio of 29.09 suggests expectations of earnings growth, albeit at a premium valuation. The company’s profit margins are solid, with a net profit margin of 14.58% and EBITDA margins of 29.29%, reflecting efficient operations and strong pricing power.
 The firm’s revenue growth of 5.7% year-over-year and earnings growth of 2.5% indicate steady, albeit modest, expansion. Motorola Solutions also maintains a healthy dividend yield of 0.99%, with a payout ratio of 43.66%, suggesting a balanced approach to rewarding shareholders while retaining capital for growth. However, the dividend yield is below its five-year average of 1.26%, reflecting the stock's elevated price levels.
 The company’s balance sheet shows a high debt-to-equity ratio of 381.09%, which is a potential concern. While the firm generates robust free cash flow of $1.86 billion, the elevated leverage could pose risks in a rising interest rate environment. Motorola’s return on equity (ROE) of 128.72% is exceptionally high, driven in part by its leveraged capital structure, while its return on assets (ROA) of 12.67% reflects efficient asset utilization.
 **Valuations:**  
 Motorola Solutions trades at a price-to-book (P/B) ratio of 41.93, significantly above industry norms, indicating that the stock is priced at a premium. The enterprise value-to-EBITDA ratio of 24.61 further underscores its rich valuation. Analysts have a mean target price of $508.89, representing potential upside from the current price, with a recommendation mean of 1.77 (indicating a "buy" consensus). However, the stock’s trailing PEG ratio of 1.80 suggests that growth is already priced in, limiting the margin of safety for new investors.
 **Economic Outlook:**  
 The broader economic environment presents mixed implications for Motorola Solutions. The U.S. economy is showing signs of deceleration, with GDP contraction expected in Q1 2025 and rising jobless claims. However, Motorola’s focus on communications equipment, a sector often tied to government and enterprise spending, may provide some insulation from consumer-driven economic slowdowns. The company’s high exposure to institutional clients and critical infrastructure projects could act as a buffer against broader market volatility.
 On the downside, the escalating trade tensions and tariffs imposed by the U.S. on Canada, Mexico, and China could indirectly impact Motorola’s supply chain and input costs, given its reliance on global manufacturing and distribution networks. Additionally, the firm’s high debt levels could become a concern if interest rates remain elevated or rise further.
 **Summary:**  
 Motorola Solutions benefits from strong operational efficiency, steady revenue growth, and robust cash flow generation, making it a reliable player in the communications equipment industry. Its edge lies in its entrenched market position, high ROE, and focus on critical infrastructure, which provides resilience in uncertain economic conditions. However, risks include its elevated valuation, high leverage, and potential exposure to trade-related disruptions. While the company’s fundamentals remain solid, the premium pricing limits the upside potential in the near term.
 **Score: 72**</t>
  </si>
  <si>
    <t>DIS</t>
  </si>
  <si>
    <t>**Investment Report: Walt Disney Company (The)**
 **Recent News:**  
 Disney has recently made strategic adjustments, including opting out of its TV rights deal with Major League Baseball. This decision could have implications for its ESPN Bet venture, potentially signaling a shift in focus or cost-cutting measures in its sports broadcasting segment. The appointment of Andrew Cripps, a seasoned executive from Warner Bros, as the new Head of Theatrical Distribution, suggests a renewed emphasis on revitalizing its theatrical releases. Despite these moves, Disney's growth trajectory appears to be slowing, as evidenced by its stagnating performance relative to broader market trends. However, Disney's stock slightly outperformed the S&amp;P 500 in 2024, indicating some resilience. Additionally, the $8.5 billion media merger with India's Reliance and innovative advertising strategies for the IPL could provide long-term growth opportunities in international markets.
 **Financials:**  
 Disney's financial metrics present a mixed picture. The company has a market capitalization of $203.9 billion and a price-to-earnings (P/E) ratio of 36.62, which is relatively high compared to its forward P/E of 21.90, suggesting expectations of earnings growth. Revenue growth stands at 4.8% year-over-year, while earnings growth is stronger at 34.6%, reflecting improving profitability. The company has a gross margin of 36.7% and an operating margin of 16.8%, indicating solid operational efficiency. However, its quick ratio of 0.553 and current ratio of 0.679 highlight liquidity concerns, as short-term liabilities exceed readily available assets. Total debt of $45.3 billion and a debt-to-equity ratio of 42.45% suggest a moderately leveraged balance sheet. Free cash flow of $10.8 billion and operating cash flow of $14.9 billion provide some financial flexibility. Dividend yield is modest at 0.88%, below its five-year average of 1.38%, reflecting a cautious approach to capital returns.
 **Valuations:**  
 Disney's price-to-book ratio of 2.00 and price-to-sales ratio of 2.20 indicate that the stock is trading at a reasonable valuation relative to its assets and revenue. Analysts have a mean target price of $126.25, representing a potential upside from its current price of $113.80. The recommendation mean of 1.90 (on a scale where 1.0 is a strong buy) suggests a generally favorable outlook among analysts. However, the stock's beta of 1.41 indicates higher volatility compared to the broader market, which could amplify risks in the current uncertain economic environment.
 **Economic Outlook:**  
 The broader economic environment poses challenges for Disney. The U.S. economy is showing signs of deceleration, with GDP expected to shrink by 1.5% in Q1 2025. Rising tariffs on key trading partners, including Canada, Mexico, and China, could impact Disney's international operations and supply chains. Consumer confidence is weakening, which may affect discretionary spending on entertainment and theme parks. However, moderating inflation and potential Federal Reserve rate cuts later in the year could provide some relief. Disney's international ventures, such as its partnership with Reliance in India, may help offset domestic headwinds by tapping into high-growth markets.
 **Summary:**  
 Disney's thesis lies in its strong brand portfolio, international expansion, and strategic shifts in content distribution. Its edge comes from its diversified revenue streams, including theme parks, streaming, and theatrical releases, which provide resilience in challenging economic conditions. However, risks include slowing growth, high leverage, and macroeconomic uncertainties, such as tariffs and weakening consumer confidence.
 **Score: 72**</t>
  </si>
  <si>
    <t>PFE</t>
  </si>
  <si>
    <t>**Investment Report: Pfizer (Pharmaceuticals Industry)**
 **Recent News:**  
 Pfizer has not been in the headlines over the past week, indicating a lack of significant developments or announcements. This absence of news suggests stability but also highlights the need to focus on the company's financials and broader economic conditions to assess its investment potential.
 **Financials:**  
 Pfizer's stock is trading near its 52-week low of $24.48, with a recent close at $26.43. The company offers a robust dividend yield of 6.51%, significantly above its five-year average of 4.4%, which may appeal to income-focused investors. However, the payout ratio of 119.15% raises concerns about the sustainability of these dividends, as it exceeds the company's earnings. 
 The firm's trailing price-to-earnings (P/E) ratio of 18.62 is higher than its forward P/E of 8.96, suggesting expectations of improved earnings in the near future. Pfizer's price-to-book ratio of 1.69 and price-to-sales ratio of 2.34 indicate a reasonable valuation compared to its peers. The company has a strong gross margin of 74.19% and EBITDA margin of 36.65%, reflecting operational efficiency. However, its debt-to-equity ratio of 76.18% and quick ratio of 0.82 highlight a moderately leveraged balance sheet, which could pose risks in a rising interest rate environment.
 **Valuations:**  
 Analysts have a median price target of $30.00, representing a potential upside of approximately 13.5% from the current price. The recommendation mean of 2.43 (on a scale where 1 is a strong buy and 5 is a sell) indicates a general "buy" sentiment among analysts. Pfizer's trailing PEG ratio of 0.18 suggests that the stock is undervalued relative to its growth prospects, particularly given its revenue growth of 21.9% year-over-year.
 **Economic Outlook:**  
 The broader economic environment presents challenges for Pfizer. The U.S. economy is showing signs of deceleration, with GDP expected to shrink by 1.5% in Q1 2025. Rising jobless claims and weakening consumer confidence could dampen demand for discretionary healthcare products. However, Pfizer's focus on essential pharmaceuticals may insulate it from broader economic pressures. Additionally, the Federal Reserve's restrictive monetary policy and elevated interest rates could impact Pfizer's ability to manage its debt effectively.
 **Summary of Thesis, Edge, and Risk:**  
 Pfizer's strong dividend yield and undervalued growth potential make it an attractive option for long-term investors seeking income and stability. Its operational efficiency and robust margins provide a competitive edge in the pharmaceuticals industry. However, risks include its high payout ratio, leveraged balance sheet, and potential macroeconomic headwinds that could affect its financial performance.
 **Score: 72**</t>
  </si>
  <si>
    <t>EQR</t>
  </si>
  <si>
    <t>**Investment Report: Equity Residential (EQR)**
 **Recent News:**  
 Equity Residential has not been in the spotlight recently, with no major news or announcements over the past week. This lack of news suggests stability in operations but also indicates no immediate catalysts for significant price movement. The absence of updates may reflect a steady-state environment for the company, which is typical for established REITs in the multi-family residential sector.
 **Financials:**  
 Equity Residential's financial performance reflects a solid position within the multi-family residential REITs industry. The company has a market capitalization of $29.36 billion and a dividend yield of 3.64%, slightly below its five-year average of 3.73%. The payout ratio of 99.26% indicates that nearly all earnings are being distributed as dividends, a common practice for REITs but one that leaves limited room for reinvestment or dividend growth.  
 The firm’s trailing price-to-earnings (P/E) ratio of 27.58 and forward P/E of 44.39 suggest a premium valuation relative to earnings, which may reflect investor confidence in the stability of its cash flows. However, the high forward P/E could indicate expectations of slower earnings growth. The price-to-book ratio of 2.58 is reasonable for the sector, though it suggests the stock is trading at a premium to its net asset value.  
 Operationally, Equity Residential has demonstrated modest revenue growth of 5.4% year-over-year, with earnings growth of 34.2%, signaling improved profitability. The company’s gross margins of 63.27% and EBITDA margins of 61.27% highlight its efficiency in managing operating costs. However, the debt-to-equity ratio of 72.74% reflects significant leverage, which is typical for REITs but could pose risks in a rising interest rate environment.  
 **Valuations:**  
 Equity Residential's stock is trading near the midpoint of its 52-week range ($59.48 - $78.83), with a recent close of $74.17. Analyst price targets range from $72.00 to $87.00, with a mean target of $78.01, suggesting limited upside potential in the near term. The stock’s beta of 0.933 indicates lower volatility compared to the broader market, making it a relatively stable investment.  
 The company’s enterprise value-to-EBITDA ratio of 20.49 is on the higher side, reflecting a premium valuation. This could be justified by the company’s strong market position and consistent cash flow generation, but it also limits the margin of safety for new investors.  
 **Economic Outlook:**  
 The broader economic environment presents mixed implications for Equity Residential. Rising interest rates and a slowing U.S. economy, as indicated by a projected GDP contraction of 1.5% in Q1 2025, could pressure the housing market and consumer spending. However, the multi-family residential sector tends to be more resilient during economic downturns, as demand for rental housing often remains stable or increases when homeownership becomes less affordable.  
 The company’s exposure to urban markets with high rental demand provides a buffer against economic headwinds. However, the potential for higher borrowing costs due to elevated interest rates could impact profitability, given the company’s significant debt load.  
 **Summary of Thesis, Edge, and Risk:**  
 Equity Residential offers a stable income stream through its dividend and operates in a resilient sector with strong demand fundamentals. Its premium valuation reflects investor confidence in its ability to generate consistent cash flows. However, risks include its high payout ratio, significant leverage, and potential headwinds from rising interest rates and a slowing economy. The lack of recent news or catalysts suggests limited short-term upside, but the company remains a solid long-term play for income-focused investors.  
 **Score: 72**</t>
  </si>
  <si>
    <t>ESS</t>
  </si>
  <si>
    <t>**Investment Report: Essex Property Trust (ESS)**
 **Recent News:**  
 There have been no significant updates or announcements regarding Essex Property Trust in the past week. The absence of news suggests stability in operations but also indicates no immediate catalysts for significant price movement. This aligns with the firm's steady performance as a leading player in the multi-family residential REITs sector.
 **Financials:**  
 Essex Property Trust demonstrates strong financial fundamentals, with a market capitalization of $21.65 billion and a robust profit margin of 40.68%. The company has shown consistent revenue growth, with a 17.6% year-over-year increase, and earnings growth of 2.93%. Its trailing price-to-earnings (P/E) ratio of 27.22 is slightly elevated compared to historical REIT averages, reflecting investor confidence in its premium portfolio of properties. However, the forward P/E of 52.13 suggests potential earnings compression, which could weigh on valuation in the near term.
 The dividend yield of 3.3% is slightly below its five-year average of 3.41%, but the payout ratio of 84.92% remains sustainable given the firm's strong operating cash flow of $1.07 billion. Essex's debt-to-equity ratio of 115.7% is high, typical for REITs, but manageable given its stable cash flow and high-quality asset base. The company’s book value per share of $86.14 translates to a price-to-book ratio of 3.64, indicating a premium valuation relative to its net asset value.
 **Valuations:**  
 Essex's stock is trading near its 52-week high of $317.73, reflecting strong investor sentiment. The stock has outperformed the S&amp;P 500 over the past year, with a 52-week price change of 28.32% compared to the S&amp;P's 17.25%. Analysts have a mixed outlook, with a mean target price of $309.58, slightly below the current trading price, and a recommendation mean of 2.70 (between "hold" and "buy"). This suggests limited upside potential in the short term, as the stock may already be fairly valued.
 The enterprise value-to-revenue ratio of 14.81 and enterprise value-to-EBITDA ratio of 23.34 indicate a premium valuation, which could be justified by the firm's high-quality portfolio and strong operating margins of 30.59%. However, the trailing PEG ratio of 6.73 suggests the stock is expensive relative to its growth prospects.
 **Economic Outlook:**  
 The broader economic environment presents mixed implications for Essex Property Trust. Rising interest rates and elevated borrowing costs could pressure REITs, particularly those with high leverage like Essex. However, the multi-family residential sector remains resilient, supported by strong demand for rental housing amid affordability challenges in the homeownership market. Essex's focus on high-demand markets along the West Coast positions it well to benefit from these trends, though the region's regulatory environment and economic uncertainties could pose risks.
 The U.S. economy is showing signs of deceleration, with GDP expected to contract in Q1 2025. This could impact consumer confidence and rental demand, though Essex's premium properties and affluent tenant base may provide some insulation. Additionally, the Federal Reserve's potential pivot to rate cuts later in the year could provide relief to REITs by lowering financing costs and improving valuations.
 **Summary of Thesis, Edge, and Risk:**  
 Essex Property Trust is a well-managed REIT with a high-quality portfolio and strong financial performance. Its focus on high-demand West Coast markets provides a competitive edge, though its premium valuation and high leverage present risks in a rising interest rate environment. The firm’s stable dividend and strong cash flow make it an attractive option for income-focused investors, but limited near-term upside and broader economic uncertainties warrant caution.
 **Score: 72**</t>
  </si>
  <si>
    <t>EQT</t>
  </si>
  <si>
    <t>**Investment Report: EQT Corporation**
 **Recent News:**  
 EQT Corporation has not been in the headlines over the past week, indicating a lack of significant corporate developments or external disruptions. This absence of news suggests stability in operations but also a lack of immediate catalysts for price movement.
 **Financials:**  
 EQT Corporation, a major player in the Oil &amp; Gas Exploration &amp; Production industry, has shown mixed financial performance. The company’s trailing price-to-earnings (PE) ratio of 108.24 is notably high, reflecting either elevated expectations or a potential overvaluation based on historical earnings. However, the forward PE of 19.33 suggests analysts expect significant earnings growth in the near term. The company’s gross margins of 58.1% and EBITDA margins of 49.7% are strong, highlighting operational efficiency in a capital-intensive industry. 
 Revenue growth of 31.3% year-over-year is a positive indicator, but earnings growth has declined by 38.6%, reflecting potential cost pressures or market challenges. The company’s debt-to-equity ratio of 38.82 is manageable for the industry, but the quick ratio of 0.582 and current ratio of 0.697 indicate limited short-term liquidity. Free cash flow of $818 million and operating cash flow of $2.83 billion provide some financial flexibility.
 EQT’s dividend yield of 1.31% is above its five-year average of 0.49%, suggesting an increased focus on returning value to shareholders. However, the payout ratio of 1.4% is extremely low, indicating that the dividend is sustainable but not a significant driver of investor returns.
 **Valuations:**  
 EQT’s price-to-book ratio of 1.41 is reasonable, suggesting the stock is not excessively overvalued relative to its assets. The enterprise value-to-EBITDA ratio of 16.76 is on the higher side, indicating the market is pricing in future growth or operational improvements. Analysts have a median price target of $55, representing a potential upside of approximately 13% from the current price of $48.68. The recommendation mean of 2.08 (between "buy" and "outperform") reflects general optimism among analysts.
 **Economic Outlook:**  
 The broader macroeconomic environment presents both opportunities and risks for EQT. The ongoing trade tensions and tariffs could indirectly impact energy markets, particularly if global economic growth slows. However, EQT’s focus on natural gas positions it well to benefit from the global energy transition, as natural gas is seen as a cleaner alternative to coal and oil. Rising geopolitical tensions and potential supply disruptions could also support higher energy prices, benefiting EQT’s revenue streams.
 On the downside, the U.S. economy is showing signs of deceleration, with GDP expected to contract in Q1 2025. This could dampen industrial energy demand, potentially weighing on EQT’s performance. Additionally, the Federal Reserve’s restrictive monetary policy and elevated interest rates could increase borrowing costs, impacting EQT’s ability to finance new projects or refinance existing debt.
 **Summary of Thesis, Edge, and Risk:**  
 EQT Corporation is positioned as a leader in the natural gas sector, benefiting from strong operational margins and a focus on a cleaner energy source. Its revenue growth and forward earnings expectations provide a compelling growth narrative. However, the company faces risks from declining earnings growth, limited liquidity, and broader economic headwinds. The stock’s valuation appears reasonable, with potential upside based on analyst targets, but the high trailing PE ratio and macroeconomic uncertainties warrant caution.
 **Score: 72**</t>
  </si>
  <si>
    <t>TRMB</t>
  </si>
  <si>
    <t>**Investment Report: Trimble Inc.**
 **Recent News:**  
 Trimble Inc. has been undergoing a significant business model transformation, shifting from hardware sales to a subscription-based model. This transition has led to a robust 14% year-over-year growth in Annual Recurring Revenue (ARR), with recurring revenues now accounting for 62% of total revenue. However, this strategic pivot comes with short-term challenges, as total revenue is projected to decline by 5-9% in 2025 due to divestments and the reduced emphasis on hardware sales. While the ARR growth highlights the potential for long-term stability and predictability in revenue streams, the near-term decline in total revenue could weigh on investor sentiment. Additionally, Trimble's heavy investment in R&amp;D, at 26% of gross profit, underscores its commitment to innovation but also raises concerns about rising costs amid increasing competition in the industry.
 **Financials:**  
 Trimble's financial metrics present a mixed picture. The company boasts a strong profit margin of 40.8% and a healthy return on equity of 29.4%, reflecting efficient capital utilization. Its trailing P/E ratio of 11.44 suggests the stock is attractively valued based on historical earnings, but the forward P/E of 23.38 indicates expectations of slower earnings growth in the near term. The company's gross margins of 67.7% and EBITDA margins of 19.3% are solid, but the enterprise value-to-EBITDA ratio of 25.15 suggests the stock may be relatively expensive compared to peers. Trimble's balance sheet shows manageable debt levels, with a debt-to-equity ratio of 26.35 and a free cash flow of $1.19 billion, providing financial flexibility. However, the quick ratio of 0.82 indicates potential liquidity constraints in the short term.
 **Valuations:**  
 Trimble's stock is trading at a price-to-book ratio of 2.98, which is reasonable given its strong profitability metrics. The stock has gained 16.5% over the past year, slightly underperforming the S&amp;P 500's 17.2% gain. Analyst sentiment remains positive, with a mean price target of $88.27, representing a potential upside from the current price. The recommendation mean of 1.58 (indicating a "buy") reflects confidence in the company's long-term prospects despite near-term headwinds. However, the high trailing PEG ratio of 2.50 suggests that growth expectations may already be priced into the stock.
 **Economic Outlook:**  
 The broader economic environment poses challenges for Trimble. The U.S. economy is showing signs of deceleration, with GDP expected to contract in Q1 2025. Rising tariffs and trade tensions could disrupt supply chains and increase costs for Trimble, particularly as it transitions away from hardware sales. On the positive side, the company's focus on subscription-based revenues aligns well with the growing demand for recurring revenue models in uncertain economic conditions. However, rising competition in the electronic equipment and instruments industry could pressure margins and necessitate higher R&amp;D spending to maintain a competitive edge.
 **Summary:**  
 Trimble's transition to a subscription-based model provides a long-term growth thesis, supported by strong ARR growth and recurring revenue streams. The company's edge lies in its commitment to innovation and its ability to generate robust free cash flow. However, risks include near-term revenue declines, rising competition, and potential economic headwinds from tariffs and slowing GDP growth.  
 **Score: 68**</t>
  </si>
  <si>
    <t>CINF</t>
  </si>
  <si>
    <t>**Investment Report: Cincinnati Financial Corporation**
 **Recent News:**  
 Cincinnati Financial Corporation has not been in the news over the past week, indicating a lack of significant recent developments or disruptions. This stability can be interpreted as a positive sign in a volatile macroeconomic environment, particularly given the broader market's sensitivity to geopolitical and trade-related uncertainties. The absence of news suggests the company is operating without major external shocks, which is favorable for a long-term, steady-growth business like property and casualty insurance.
 **Financials:**  
 Cincinnati Financial's financial metrics reflect a solid position within the property and casualty insurance industry. The company has a trailing price-to-earnings (P/E) ratio of 10.15, which is significantly below its forward P/E of 20.12, suggesting that earnings are expected to decline in the near term. This aligns with the reported earnings quarterly growth of -65.8%, reflecting challenges in profitability, likely due to higher claims or investment losses in a challenging economic environment.  
 The company maintains a strong dividend profile, with a dividend yield of 2.35% and a low payout ratio of 22.3%, indicating that dividends are well-covered by earnings. Its five-year average dividend yield of 2.56% suggests consistency in shareholder returns. Additionally, Cincinnati Financial's return on equity (ROE) of 17.6% is robust, demonstrating effective use of shareholder capital. However, revenue growth has contracted by 24.4% year-over-year, which could signal headwinds in underwriting or investment income.
 The company's balance sheet appears stable, with a debt-to-equity ratio of 6.28, which is relatively low for the industry. Total cash of $1.28 billion and free cash flow of $5.48 billion provide liquidity to weather economic uncertainties. However, the quick ratio of 0.528 and current ratio of 0.628 suggest limited short-term liquidity, which could be a concern if claims rise unexpectedly.
 **Valuations:**  
 Cincinnati Financial's price-to-book (P/B) ratio of 1.66 is reasonable, indicating the stock is trading at a modest premium to its book value. This is in line with the broader insurance sector, where valuations tend to be conservative. The stock is trading near the upper end of its 52-week range ($109.93 - $161.75), reflecting strong recent performance, with a 52-week price change of +32.02%, outperforming the S&amp;P 500's +17.25% over the same period. Analyst sentiment is moderately positive, with a mean price target of $157.00, implying limited upside from the current price of $147.81.
 **Economic Outlook:**  
 The broader economic environment presents mixed implications for Cincinnati Financial. The U.S. economy is showing signs of deceleration, with GDP expected to contract in Q1 2025. Rising jobless claims and weakening consumer confidence could dampen demand for new insurance policies. Additionally, the ongoing trade tensions and tariffs may indirectly impact the company's investment portfolio, as market volatility could weigh on returns. However, the Federal Reserve's efforts to control inflation and the potential for rate cuts later in the year could stabilize financial markets, benefiting the company's investment income.
 The property and casualty insurance industry is also exposed to natural disasters, and recent events such as the Southern California wildfires highlight the potential for elevated claims. Cincinnati Financial's gross margins of 26.78% and operating margins of 19.39% suggest it has some buffer to absorb higher claims, but sustained natural disasters could pressure profitability.
 **Summary of Thesis, Edge, and Risk:**  
 Cincinnati Financial is a well-capitalized insurer with a strong dividend profile and effective capital management, making it a reliable player in the property and casualty insurance industry. Its valuation is reasonable, and its historical outperformance of the broader market reflects investor confidence. However, the company faces near-term challenges, including declining earnings growth, revenue contraction, and potential exposure to elevated claims from natural disasters. The broader economic slowdown and market volatility could also weigh on its investment portfolio. While the company's strong cash flow and low payout ratio provide a cushion, its limited short-term liquidity and declining revenue growth warrant caution.
 **Score: 68**</t>
  </si>
  <si>
    <t>WYNN</t>
  </si>
  <si>
    <t>**Investment Report: Wynn Resorts (WYNN)**
 **Recent News:**  
 Wynn Resorts has garnered attention following Wall Street analysts' projections of a potential 25.54% upside in its stock price. This optimism is supported by positive trends in earnings estimate revisions, which could signal improving fundamentals. However, the broader economic environment and sector-specific challenges may temper this outlook. The casino and gaming industry remains sensitive to macroeconomic conditions, including consumer discretionary spending and international travel trends, both of which could be impacted by ongoing global economic uncertainties.
 **Financials:**  
 Wynn Resorts' financial metrics present a mixed picture. The company has a trailing P/E ratio of 20.44 and a forward P/E of 17.71, suggesting moderate valuation levels relative to its earnings potential. Its dividend yield of 1.12% is below its five-year average of 2.28%, reflecting a cautious approach to capital returns amid uncertain market conditions. Wynn's revenue growth has stagnated (-0.1%), and earnings growth has contracted significantly (-62.9%), indicating challenges in maintaining profitability. Despite these headwinds, the company maintains a healthy liquidity position, with a quick ratio of 1.79 and total cash reserves of $2.43 billion, which provide a buffer against short-term financial pressures.
 The firm's enterprise value-to-EBITDA ratio of 10.28 suggests that Wynn is trading at a premium compared to some peers, potentially reflecting investor confidence in its long-term recovery. However, its high debt levels ($12.27 billion) and negative book value (-$2.10 per share) highlight financial leverage risks, which could become more pronounced in a rising interest rate environment.
 **Valuations:**  
 Wynn's current stock price of $89.32 is trading closer to its 52-week low of $71.63 than its high of $110.38, indicating potential upside if the company can navigate its challenges effectively. Analyst price targets range from $89 to $132, with a mean target of $113.46, reinforcing the view of significant upside potential. The recommendation mean of 1.42 ("strong buy") reflects strong analyst confidence, though this optimism must be weighed against the firm's operational and macroeconomic risks.
 **Economic Outlook:**  
 The broader economic environment poses challenges for Wynn Resorts. The U.S. economy is showing signs of deceleration, with GDP contraction expected in Q1 2025 and weakening consumer confidence. These factors could dampen discretionary spending, a critical driver for the casino and gaming industry. Additionally, geopolitical tensions and trade uncertainties may impact international travel, particularly from key markets like China, which has historically been a significant revenue source for Wynn's operations in Macau.
 On the positive side, Wynn's gross margins (43.54%) and EBITDA margins (25.26%) indicate operational efficiency, which could help the company weather short-term economic pressures. The firm's strong cash flow generation ($1.43 billion in operating cash flow) provides flexibility to manage debt obligations and invest in growth initiatives.
 **Summary of Thesis, Edge, and Risk:**  
 Wynn Resorts presents a compelling investment case based on its potential upside, as indicated by analyst price targets and its relatively low valuation compared to historical levels. The company's strong liquidity and operational efficiency provide a foundation for recovery. However, significant risks remain, including high debt levels, negative earnings growth, and macroeconomic headwinds that could impact consumer spending and international travel. The firm's reliance on the Macau market adds geopolitical risk, particularly in light of ongoing U.S.-China trade tensions.
 **Score: 68**</t>
  </si>
  <si>
    <t>**Investment Report: Dominion Energy (Ticker: D)**
 **Recent News:**  
 Dominion Energy is trading above its 50-day and 200-day simple moving averages (SMAs), signaling potential bullish momentum. The company is positioned to benefit from increasing demand for clean energy within its service territories, aligning with broader trends toward renewable energy adoption. Dominion has announced plans to increase investments to strengthen its operations, which could enhance its long-term growth prospects. However, the broader macroeconomic environment, including rising interest rates and potential economic deceleration, may weigh on utility sector performance.
 **Financials:**  
 Dominion Energy's financial metrics reflect a stable but leveraged utility company. The firm has a market capitalization of $48.46 billion and a dividend yield of 4.72%, which is above its five-year average of 4.48%, making it attractive for income-focused investors. However, its payout ratio of 121.36% suggests that dividends are not fully covered by earnings, raising concerns about sustainability. The company’s trailing price-to-earnings (P/E) ratio of 25.85 is higher than its forward P/E of 16.83, indicating expectations of improved earnings in the future. 
 Dominion's debt-to-equity ratio of 141.19% highlights significant leverage, which is common in the utility sector but could pose risks in a rising interest rate environment. The company’s EBITDA margin of 49.92% and operating margin of 34.74% demonstrate strong operational efficiency. However, revenue growth has declined by 3.8% year-over-year, reflecting challenges in maintaining top-line growth. Free cash flow of $2.7 billion provides some financial flexibility, but the quick ratio of 0.33 and current ratio of 0.71 indicate limited short-term liquidity.
 **Valuations:**  
 Dominion Energy's price-to-book (P/B) ratio of 1.84 is reasonable for a utility company, suggesting the stock is not significantly overvalued relative to its assets. The enterprise value-to-EBITDA ratio of 13.09 is slightly elevated, reflecting the company's high debt levels. Analysts have a median price target of $59.50, implying modest upside potential from the current price of $56.62. The recommendation mean of 2.74 (on a scale where 1 is a "Strong Buy" and 5 is a "Sell") suggests a "Hold" consensus among analysts.
 **Economic Outlook:**  
 The utility sector is generally considered defensive, benefiting from stable demand even during economic downturns. However, Dominion faces headwinds from rising interest rates, which increase borrowing costs and could pressure its heavily leveraged balance sheet. Additionally, the broader U.S. economic slowdown, with GDP projected to shrink by 1.5% in Q1 2025, may dampen investor sentiment. On the positive side, Dominion's focus on clean energy aligns with long-term regulatory and consumer trends, potentially positioning the company for growth as the energy transition accelerates.
 **Summary of Thesis, Edge, and Risk:**  
 Dominion Energy offers a stable dividend yield and exposure to the growing clean energy market, making it appealing for income-oriented investors and those seeking long-term growth in renewable energy. Its operational efficiency and strategic investments provide a competitive edge. However, the company’s high leverage, declining revenue growth, and macroeconomic uncertainties pose risks. Rising interest rates and economic deceleration could pressure its financial performance, while the elevated payout ratio raises questions about dividend sustainability.
 **Score: 68**</t>
  </si>
  <si>
    <t>APO</t>
  </si>
  <si>
    <t>**Investment Report: Apollo Global Management**
 **Recent News:**  
 Apollo Global Management has not been in the news over the past week, suggesting a lack of immediate catalysts or controversies. This absence of news may indicate stability, but it also reflects a lack of recent developments that could drive short-term investor sentiment.
 **Financials:**  
 Apollo Global Management's financial performance reflects a mixed picture. The firm’s trailing price-to-earnings (PE) ratio of 19.72 and forward PE of 17.05 suggest a valuation that is slightly above the broader market average, indicating moderate growth expectations. The dividend yield of 1.24% is below its five-year average of 2.98%, which may signal a shift in capital allocation priorities or a reflection of the stock's recent price appreciation. The payout ratio of 24.8% suggests the dividend is well-covered by earnings, providing some reassurance to income-focused investors.
 The firm’s beta of 1.65 indicates higher volatility compared to the broader market, which could amplify price swings in the current uncertain macroeconomic environment. The stock is trading at a price-to-book ratio of 5.16, which is elevated, reflecting a premium valuation relative to its book value. However, the company’s return on equity (ROE) of 22.67% demonstrates strong profitability and efficient use of shareholder capital.
 On the downside, Apollo's earnings and revenue growth have been under pressure, with earnings declining by 46.1% and revenue shrinking by 52.6% year-over-year. This contraction raises concerns about the firm’s ability to navigate the challenging macroeconomic environment. Additionally, the debt-to-equity ratio of 98% highlights a leveraged balance sheet, which could pose risks in a rising interest rate environment.
 **Valuations:**  
 Apollo’s stock has experienced significant volatility, with a 52-week range of $95.11 to $189.49. The current price of $143.51 is closer to the lower end of this range, suggesting potential upside if the firm can stabilize its financial performance. Analyst sentiment remains positive, with a mean target price of $184.12 and a recommendation key of "buy." This implies a potential upside of approximately 28% from current levels. However, the high short interest ratio of 11.3 indicates skepticism among some market participants, which could lead to further volatility.
 **Economic Outlook:**  
 The broader economic environment presents both challenges and opportunities for Apollo Global Management. The U.S. economy is showing signs of deceleration, with GDP expected to contract in Q1 2025. Rising jobless claims, a record trade deficit, and weakening consumer confidence could weigh on the firm’s asset management business. However, the Federal Reserve’s potential pivot to rate cuts later in the year could provide a tailwind for financial markets, benefiting Apollo’s investment portfolio.
 The firm’s exposure to private equity and alternative investments may offer some insulation from public market volatility, but the decline in revenue growth suggests that fundraising and deal activity could be slowing. Additionally, the elevated risk scores in areas such as audit and compensation highlight potential governance concerns that warrant monitoring.
 **Summary:**  
 Apollo Global Management’s thesis lies in its strong profitability metrics, including a high ROE and efficient capital allocation. Its edge stems from its position as a leading player in the alternative asset management space, which provides diversification and access to high-growth opportunities. However, risks include declining earnings and revenue growth, a leveraged balance sheet, and elevated market volatility. The firm’s ability to navigate the challenging macroeconomic environment will be critical to its near-term performance.
 **Score: 68**</t>
  </si>
  <si>
    <t>JBL</t>
  </si>
  <si>
    <t>**Investment Report: Jabil Inc.**
 **Recent News:**  
 Jabil Inc., a key player in the Electronic Manufacturing Services (EMS) industry, has not been in the spotlight recently, with no significant news or announcements over the past week. This lack of news suggests stability in operations but also indicates no immediate catalysts for significant price movement in the short term.
 **Financials:**  
 Jabil's financial performance reflects a mixed picture. The company is trading at a trailing P/E ratio of 13.84 and a forward P/E of 14.63, indicating a reasonable valuation relative to earnings. However, earnings growth has been under pressure, with a quarterly decline of 48.5% and a trailing annual revenue growth rate of -16.6%. Despite these challenges, Jabil maintains a solid profit margin of 4.7% and a return on equity of 62.7%, showcasing its ability to generate strong shareholder returns even in a challenging environment.
 The company’s balance sheet reveals a high debt-to-equity ratio of 205.8%, which could pose risks in a rising interest rate environment. However, Jabil has a healthy free cash flow of $2.2 billion, which provides a cushion for debt servicing and potential reinvestment. The dividend yield of 0.21% is modest, with a payout ratio of just 3%, indicating a conservative approach to capital allocation.
 **Valuations:**  
 Jabil's price-to-sales ratio of 0.58 and price-to-book ratio of 10.27 suggest that the stock is trading at a premium relative to its book value but remains attractively valued on a revenue basis. The stock is currently trading near the lower end of its 52-week range, with a recent close of $154.92 compared to a high of $174.80. Analyst sentiment remains positive, with a "buy" recommendation and a target median price of $179, implying potential upside.
 **Economic Outlook:**  
 The broader macroeconomic environment presents headwinds for Jabil. The U.S. economy is showing signs of deceleration, with GDP contraction expected in Q1 2025 and rising jobless claims. Additionally, the ongoing trade tensions, particularly the new tariffs on China, Canada, and Mexico, could disrupt Jabil's supply chain and increase input costs, given its reliance on global manufacturing. However, the company's diversified operations and strong institutional ownership (96.1%) may help mitigate some of these risks.
 **Summary of Thesis, Edge, and Risk:**  
 Jabil's strong profitability metrics and robust free cash flow provide a solid foundation for long-term stability. Its valuation remains reasonable, with potential upside based on analyst targets. However, the company faces significant risks from declining revenue growth, high debt levels, and macroeconomic uncertainties, including trade tensions and slowing economic growth. The lack of recent news or catalysts suggests limited short-term momentum, but its operational efficiency and shareholder returns offer a compelling case for resilience in the EMS industry.
 **Score: 68**</t>
  </si>
  <si>
    <t>FTV</t>
  </si>
  <si>
    <t>**Investment Report: Fortive Corporation**
 **Recent News:**  
 Fortive Corporation has not been in the news over the past week, indicating a lack of significant developments or announcements. This absence of news suggests stability in operations but also a lack of immediate catalysts for stock movement. The broader industrial machinery sector, however, is facing potential headwinds from macroeconomic factors such as tariffs and slowing global growth, which could indirectly impact Fortive's performance.
 **Financials:**  
 Fortive's financial metrics reflect a mixed picture. The company has a market capitalization of $26.88 billion and a trailing price-to-earnings (P/E) ratio of 33.47, which is relatively high compared to its forward P/E of 18.94. This suggests expectations of significant earnings growth in the future. However, earnings quarterly growth has declined by 21.3%, and revenue growth is modest at 2.3%, indicating some challenges in maintaining momentum.
 The company has strong gross margins of 59.87% and EBITDA margins of 27.07%, showcasing operational efficiency. Free cash flow of $1.23 billion and operating cash flow of $1.53 billion highlight solid cash generation capabilities. However, the debt-to-equity ratio of 38.03% and a quick ratio of 0.838 suggest some reliance on debt and moderate liquidity concerns.
 Fortive's dividend yield of 0.4% is modest, with a payout ratio of 13.56%, indicating a conservative approach to returning capital to shareholders. The stock's beta of 1.212 implies higher volatility compared to the broader market, which could amplify price swings in uncertain economic conditions.
 **Valuations:**  
 The stock is trading at a price-to-book ratio of 2.65, which is reasonable for the industrial machinery sector. The current price of $79.54 is near the 50-day average of $78.44 and above the 200-day average of $75.50, suggesting some recent strength. However, the stock is down 5.47% over the past year, underperforming the S&amp;P 500's 17.25% gain during the same period. Analyst price targets range from $80 to $121, with a median target of $90, indicating potential upside of approximately 13% from current levels.
 **Economic Outlook:**  
 The broader economic environment presents challenges for Fortive. The U.S. economy is showing signs of deceleration, with GDP expected to shrink by 1.5% in Q1 2025. Trade tensions, particularly the imposition of tariffs on Canadian, Mexican, and Chinese goods, could disrupt supply chains and increase input costs for industrial companies like Fortive. Additionally, rising jobless claims and weakening consumer confidence may dampen demand for industrial machinery and components.
 On the positive side, inflation appears to be moderating, which could lead to eventual interest rate cuts by the Federal Reserve. This would reduce borrowing costs and potentially support capital investment in industrial sectors. Fortive's strong cash flow and operational efficiency position it well to navigate these challenges, but the company may face near-term headwinds from slowing economic growth and geopolitical uncertainties.
 **Summary:**  
 Fortive's investment thesis is supported by its strong margins, solid cash flow, and reasonable valuation metrics. Its edge lies in operational efficiency and a conservative dividend policy, which provide stability in uncertain times. However, risks include slowing earnings growth, modest revenue expansion, and potential macroeconomic headwinds from tariffs and a decelerating economy. The stock's high beta also suggests vulnerability to market volatility.
 **Score: 68**</t>
  </si>
  <si>
    <t>NCLH</t>
  </si>
  <si>
    <t>**Investment Report: Norwegian Cruise Line Holdings (NCLH)**
 **Recent News:**  
 Norwegian Cruise Line Holdings (NCLH) has experienced a volatile period, with its stock declining over 5% following a sharp 11% drop in two days. This was triggered by criticism from Commerce Secretary Howard Lutnick over unpaid taxes, which raised concerns about the company's financial practices. However, the company delivered a strong fourth-quarter performance, reporting earnings of $0.26 per share, significantly exceeding the Zacks Consensus Estimate of $0.11. This marked a notable turnaround from a loss of $0.18 per share in the prior year. The results were driven by robust consumer demand, effective cost management, and increased passenger spending. Following the earnings announcement, investor confidence rebounded, leading to a recovery in the stock price. Looking forward, NCLH is expected to benefit from strong pricing strategies and continued demand in the cruise industry.
 **Financials:**  
 NCLH's financial metrics reflect both strengths and challenges. The company has a trailing price-to-earnings (P/E) ratio of 11.61 and a forward P/E of 10.50, suggesting that the stock is attractively valued relative to its earnings potential. Its market capitalization stands at $9.66 billion, with a price-to-sales ratio of 1.02, indicating a reasonable valuation compared to its revenue. However, the company carries a significant debt burden, with a total debt of $13.92 billion and a debt-to-equity ratio of 976.29, which is exceptionally high. Liquidity remains a concern, as evidenced by a quick ratio of 0.071 and a current ratio of 0.175, highlighting limited short-term financial flexibility. On the positive side, NCLH has demonstrated strong profitability metrics, with a return on equity (ROE) of 105.46% and EBITDA margins of 25.73%, reflecting efficient operations and strong cash generation.
 **Valuations:**  
 NCLH's stock is trading at $22.00-$22.18, below its 50-day average of $26.28 but above its 200-day average of $21.85. The stock has a 52-week range of $14.69 to $29.29, indicating significant volatility. Analysts have a bullish outlook, with a mean target price of $30.25 and a high target of $36.00, suggesting substantial upside potential. The trailing PEG ratio of 0.281 indicates that the stock is undervalued relative to its growth prospects. However, the company's high debt levels and liquidity constraints could weigh on its valuation if macroeconomic conditions deteriorate.
 **Economic Outlook:**  
 The broader economic environment presents mixed implications for NCLH. While consumer demand for travel and leisure remains robust, the U.S. economy is showing signs of deceleration, with GDP expected to contract by 1.5% in Q1 2025. Rising jobless claims and weakening consumer confidence could dampen discretionary spending, potentially impacting cruise bookings. Additionally, the company's exposure to geopolitical risks, such as tariffs and trade tensions, could affect its cost structure and profitability. On the positive side, moderating inflation and potential Federal Reserve rate cuts later in the year could provide a tailwind for consumer spending and market sentiment.
 **Summary:**  
 **Thesis:** Norwegian Cruise Line Holdings is well-positioned to capitalize on strong consumer demand and effective pricing strategies, as evidenced by its impressive earnings recovery.  
 **Edge:** The company's operational efficiency and strong profitability metrics provide a competitive advantage in the cruise industry.  
 **Risk:** High debt levels, liquidity constraints, and potential macroeconomic headwinds pose significant risks to its financial stability and growth prospects.  
 **Score: 68**</t>
  </si>
  <si>
    <t>MTCH</t>
  </si>
  <si>
    <t>**Investment Report: Match Group**
 **Recent News:**  
 Match Group has not been in the headlines over the past week, indicating a lack of significant developments or announcements. This absence of news suggests stability in operations but also a potential lack of catalysts for short-term price movement.
 **Financials:**  
 Match Group's financial performance reflects a mixed picture. The company is trading near the lower end of its 52-week range, with a recent close of $31.71 compared to a high of $38.84. The stock's beta of 1.435 indicates higher volatility relative to the broader market, which could amplify price swings in the current uncertain economic environment. 
 The company maintains a modest dividend yield of 2.39%, above its five-year average of 1.52%, signaling a potential value opportunity for income-focused investors. However, the payout ratio of 9.41% suggests that dividends are not a significant focus for the firm, leaving room for reinvestment in growth initiatives. 
 Match Group's valuation metrics, including a trailing P/E of 14.95 and forward P/E of 12.17, suggest the stock is relatively inexpensive compared to its historical levels and peers in the Interactive Media &amp; Services industry. The trailing PEG ratio of 0.5364 further supports the view that the stock may be undervalued, particularly for long-term growth investors.
 On the downside, the company reported negative earnings and revenue growth (-31.1% and -0.7%, respectively), reflecting challenges in its core business. Despite this, Match Group's gross margins of 71.58% and operating margins of 29.53% highlight its ability to maintain profitability even in a challenging environment. The firm's free cash flow of $772 million and a strong quick ratio of 2.36 indicate solid liquidity and financial health, which could help weather macroeconomic headwinds.
 **Valuations:**  
 Match Group's enterprise value-to-revenue ratio of 3.03 and enterprise value-to-EBITDA ratio of 10.70 suggest the company is attractively priced relative to its earnings potential. Analysts have a median price target of $35.00, representing a potential upside of approximately 10% from the current price. The recommendation mean of 2.375 (between "Buy" and "Hold") reflects cautious optimism among analysts.
 However, the company's negative book value (-$0.253) and high price-to-book ratio (-119.33) indicate that Match Group's valuation is heavily reliant on its earnings power and cash flow rather than tangible assets. This could pose risks if earnings continue to decline.
 **Economic Outlook:**  
 The broader economic environment presents challenges for Match Group. The U.S. economy is showing signs of deceleration, with GDP expected to shrink by 1.5% in Q1 2025. Rising jobless claims and weakening consumer confidence could impact discretionary spending, potentially affecting Match Group's revenue from subscription-based services. Additionally, the ongoing trade tensions and tariff implementations may indirectly affect consumer sentiment and spending patterns, though Match Group's global operations could provide some insulation.
 On the positive side, inflation appears to be moderating, and potential Federal Reserve rate cuts later in the year could improve market sentiment and consumer spending. Match Group's strong cash position and profitability metrics position it well to navigate these macroeconomic uncertainties.
 **Summary:**  
 **Thesis:** Match Group's strong profitability, attractive valuation metrics, and solid liquidity provide a foundation for long-term value creation.  
 **Edge:** The company's high gross margins and free cash flow generation offer resilience in a challenging economic environment.  
 **Risk:** Declining earnings and revenue growth, coupled with macroeconomic headwinds, could weigh on short-term performance.
 **Score: 68**</t>
  </si>
  <si>
    <t>**Investment Report: Deere &amp; Company (Agricultural &amp; Farm Machinery Industry)**
 **Recent News:**  
 Deere &amp; Company has not been in the headlines over the past week, indicating a lack of significant new developments or disruptions. This absence of news suggests stability in its operations, but it also means there are no immediate catalysts driving investor sentiment. The broader macroeconomic environment, including trade tensions and slowing global growth, may indirectly impact the company, given its reliance on agricultural and industrial markets.
 **Financials:**  
 Deere &amp; Company is trading near the middle of its 52-week range ($340.2 - $515.05), with a recent close of $480.79. The stock has shown resilience, with a 52-week price change of +31.1%, outperforming the S&amp;P 500's +17.2% over the same period. Its trailing P/E ratio of 20.61 and forward P/E of 21.01 suggest the stock is priced at a premium relative to its earnings, reflecting investor confidence in its long-term prospects. However, earnings growth has been under pressure, with a quarterly decline of -50.4%, and revenue growth has contracted by -30.2%, signaling challenges in its core markets.
 The company maintains a strong dividend profile, with a dividend yield of 1.35% and a payout ratio of 26.7%, indicating a sustainable dividend policy. Its five-year average dividend yield of 1.27% highlights consistent shareholder returns. Deere's profitability metrics remain robust, with a return on equity (ROE) of 27.7% and gross margins of 28.6%, though operating margins are relatively modest at 11.3%.
 Deere's balance sheet shows a high debt-to-equity ratio of 289.7%, reflecting significant leverage. While this is common in capital-intensive industries, it poses a risk in a rising interest rate environment. The company has a healthy current ratio of 2.21, indicating strong short-term liquidity, and its free cash flow of $1.19 billion supports its ability to manage debt and fund operations.
 **Valuations:**  
 Deere's price-to-book ratio of 5.62 suggests the stock is trading at a significant premium to its book value, which is typical for a market leader with strong brand equity and competitive advantages. The enterprise value-to-revenue ratio of 3.90 and enterprise value-to-EBITDA ratio of 18.53 indicate that the market is valuing the company highly relative to its revenue and earnings before interest, taxes, depreciation, and amortization. Analysts have a median price target of $500.50, implying modest upside potential from current levels, with a recommendation mean of 2.29 (indicating a "Buy").
 **Economic Outlook:**  
 Deere operates in a sector highly sensitive to macroeconomic conditions, including trade policies, commodity prices, and global agricultural demand. The recent escalation of trade tensions, particularly the U.S. tariffs on Canada, Mexico, and China, could disrupt supply chains and increase costs for Deere's customers, potentially dampening demand for its machinery. Additionally, slowing global growth and a projected contraction in U.S. GDP for Q1 2025 (-1.5%) may weigh on capital expenditures in the agricultural and construction sectors.
 On the positive side, Deere's exposure to long-term trends such as precision agriculture and automation provides a growth avenue. Its investments in technology and innovation could help offset near-term headwinds. However, the company's earnings and revenue growth declines highlight the challenges it faces in navigating the current economic environment.
 **Summary:**  
 Deere &amp; Company benefits from its strong market position, robust profitability, and consistent dividend policy. Its focus on innovation and long-term growth trends in agriculture provides a competitive edge. However, the company faces risks from slowing global growth, trade tensions, and high leverage, which could pressure its financial performance in the near term. While the stock remains a leader in its industry, its premium valuation and declining growth metrics warrant caution.
 **Score: 68**</t>
  </si>
  <si>
    <t>**Investment Report: Salesforce Inc. (CRM)**
 **Recent News:**  
 Salesforce has faced mixed investor sentiment following its latest fiscal fourth-quarter earnings report. While the company exceeded earnings per share expectations, it fell short on revenue estimates, leading to a 5% decline in its stock price. The company’s revenue growth has decelerated, and its conservative guidance for fiscal 2026 has raised concerns about its long-term growth trajectory. However, Salesforce is doubling down on its AI initiatives, particularly its agentic AI and Data Cloud offerings, which are seen as potential growth catalysts. Analysts have upgraded the stock to a "Buy" based on these initiatives, but questions remain about the monetization of its AI investments. The valuation of Salesforce compared to peers like Microsoft and Intuit also remains a point of contention, as the company trades at a premium despite slower growth.
 **Financials:**  
 Salesforce's financial metrics present a mixed picture. The company has a trailing price-to-earnings (P/E) ratio of 46.01 and a forward P/E of 26.33, indicating expectations of significant earnings growth. Its gross margins of 77.19% and operating margins of 21.20% reflect strong profitability, while its free cash flow of $14.73 billion underscores its ability to generate cash. However, revenue growth has slowed to 7.6% year-over-year, a concern for a company historically known for double-digit growth. The company’s debt-to-equity ratio of 18.62 is manageable, and its cash reserves of $14.03 billion provide a solid liquidity buffer. Despite these strengths, Salesforce's price-to-sales ratio of 7.40 and price-to-book ratio of 4.59 suggest it is trading at a premium relative to its fundamentals.
 **Valuations:**  
 Salesforce's valuation metrics indicate a company priced for growth, but with slowing revenue, this premium may not be justified in the near term. The stock is trading near the lower end of its 52-week range ($212-$369), which could present an opportunity for long-term investors if the company successfully capitalizes on its AI and data initiatives. However, its enterprise value-to-EBITDA ratio of 24.99 and enterprise value-to-revenue ratio of 7.35 suggest that the market is already pricing in significant future growth, leaving little room for error. Analyst price targets range from $243 to $442, with a median target of $397.50, indicating potential upside if Salesforce can meet or exceed expectations.
 **Economic Outlook:**  
 The broader economic environment poses challenges for Salesforce. The U.S. economy is showing signs of deceleration, with GDP expected to shrink by 1.5% in Q1 2025. Rising trade tensions and tariffs could impact corporate spending, particularly in technology and software, which are discretionary categories for many businesses. However, Salesforce's focus on AI and data-driven solutions aligns with long-term trends in digital transformation, which could provide resilience against short-term economic headwinds. Additionally, its strong cash position and profitability metrics position it well to weather economic uncertainty.
 **Summary of Thesis, Edge, and Risk:**  
 Salesforce's thesis lies in its strong profitability, robust cash flow, and strategic focus on AI and data solutions, which align with long-term industry trends. Its edge comes from its established market leadership in customer relationship management (CRM) software and its ability to integrate AI into its offerings. However, risks include slowing revenue growth, high valuation multiples, and uncertainty around the monetization of its AI investments. The broader economic slowdown and potential reductions in corporate IT spending add further downside risk.
 **Score: 68**</t>
  </si>
  <si>
    <t>BALL</t>
  </si>
  <si>
    <t>**Investment Report: Ball Corporation**
 **Recent News:**  
 Ball Corporation has not been in the news over the past week, indicating a lack of significant developments or announcements. This absence of news suggests stability but also highlights the need to focus on financial and macroeconomic factors to assess the company's current position.
 **Financials:**  
 Ball Corporation's stock is trading near its 52-week low of $48.95, significantly below its 52-week high of $71.32, reflecting a 17.47% decline over the past year. The company has a market capitalization of $14.75 billion and a beta of 0.991, indicating moderate volatility in line with the broader market. 
 The firm's trailing price-to-earnings (P/E) ratio of 38.06 suggests a high valuation relative to its historical earnings, but the forward P/E of 14.77 indicates expectations of improved profitability. The company has a dividend yield of 1.52%, above its five-year average of 1.11%, which may appeal to income-focused investors. However, the payout ratio of 58.39% suggests limited room for dividend growth without earnings expansion.
 Ball Corporation's revenue growth has been slightly negative (-0.8%), reflecting challenges in its operating environment. The gross margin of 20.7% and EBITDA margin of 15.3% indicate reasonable profitability, though the operating margin of 10.8% suggests some pressure on cost management. The company's debt-to-equity ratio of 101.47% is high, signaling significant leverage, which could be a concern in a rising interest rate environment. Free cash flow of $346 million and operating cash flow of $115 million provide some financial flexibility, though these figures are modest relative to its total debt of $6.02 billion.
 **Valuations:**  
 Ball Corporation's price-to-book ratio of 2.57 and enterprise value-to-revenue ratio of 1.69 suggest the stock is not excessively overvalued, but its valuation metrics are not particularly compelling given the company's modest growth and high leverage. Analysts have a median price target of $62, implying a potential upside of approximately 18% from the current price. The recommendation mean of 2.24 (between "buy" and "hold") reflects cautious optimism among analysts.
 **Economic Outlook:**  
 The broader economic environment presents challenges for Ball Corporation. The U.S. economy is showing signs of deceleration, with GDP expected to contract in Q1 2025. Rising tariffs on aluminum and steel, key inputs for Ball Corporation's metal packaging business, could increase costs and pressure margins. Additionally, the company's high debt levels could become a greater burden if interest rates remain elevated. On the positive side, moderating inflation and potential Federal Reserve rate cuts later in the year could provide some relief.
 **Summary of Thesis, Edge, and Risk:**  
 Ball Corporation's investment thesis hinges on its position as a leader in the metal, glass, and plastic containers industry, supported by stable demand for its products. Its edge lies in its scale and established market presence, which provide resilience in challenging economic conditions. However, risks include high leverage, exposure to rising input costs due to tariffs, and limited revenue growth. While the stock appears undervalued relative to its forward earnings, macroeconomic headwinds and operational challenges temper the near-term outlook.
 **Score: 65**</t>
  </si>
  <si>
    <t>A</t>
  </si>
  <si>
    <t>**Investment Report: Agilent Technologies (A)**
 **Recent News:**  
 Agilent Technologies reported Q1 2025 earnings of $1.31 per share, surpassing Wall Street estimates of $1.27. However, this represents only a slight increase from $1.29 per share in the same quarter last year, indicating limited growth. The company also lowered its annual revenue forecast, citing weaker demand for medical tools and equipment, particularly from smaller biotech firms. This reflects broader challenges in the life sciences tools and services industry, where macroeconomic pressures and reduced spending by smaller players are impacting demand. Despite the earnings beat, the cautious revenue outlook has likely tempered investor sentiment.
 **Financials:**  
 Agilent's financial metrics reveal a mixed picture. The company maintains strong profitability, with a net profit margin of 19.27% and a return on equity of 20.61%, showcasing efficient capital utilization. However, revenue growth remains modest at 1.4%, and earnings growth has declined by 5.9% year-over-year, reflecting challenges in sustaining momentum. The company’s trailing P/E ratio of 28.97 and forward P/E of 22.36 suggest a premium valuation relative to its growth prospects. Agilent's balance sheet is stable, with a current ratio of 2.20 and a quick ratio of 1.50, indicating sufficient liquidity to meet short-term obligations. However, a debt-to-equity ratio of 55.80% highlights moderate leverage, which could become a concern if revenue pressures persist.
 **Valuations:**  
 Agilent's stock is trading near its 52-week low of $124.16, significantly below its 52-week high of $155.35. The price-to-book ratio of 5.98 and price-to-sales ratio of 5.52 suggest the stock is not undervalued, even at current levels. Analysts' target prices range from $135 to $165, with a median target of $153, indicating potential upside if the company can navigate its near-term challenges. The dividend yield of 0.78% is modest but above its five-year average of 0.65%, reflecting a steady, albeit limited, return for income-focused investors.
 **Economic Outlook:**  
 The broader economic environment poses headwinds for Agilent. The U.S. economy is showing signs of deceleration, with GDP expected to contract in Q1 2025. Rising tariffs and trade tensions could further strain the life sciences sector, particularly for companies reliant on global supply chains. Additionally, smaller biotech firms, a key customer segment for Agilent, are likely facing funding constraints amid higher interest rates and economic uncertainty. On the positive side, inflation appears to be moderating, which could eventually ease cost pressures for Agilent and its customers.
 **Summary of Thesis, Edge, and Risk:**  
 Agilent Technologies benefits from strong profitability and a solid balance sheet, positioning it well to weather short-term challenges. However, the company faces headwinds from slowing demand in the life sciences sector and broader economic uncertainty. While its valuation metrics suggest limited downside risk, the lack of significant growth catalysts and a cautious revenue outlook temper the near-term investment case. The primary risk lies in prolonged weakness in demand from smaller biotech firms, which could weigh on revenue and earnings growth.
 **Score: 65**</t>
  </si>
  <si>
    <t>YUM</t>
  </si>
  <si>
    <t>**Investment Report: Yum! Brands**
 **Recent News:**  
 Yum! Brands has not been in the headlines over the past week, indicating a lack of significant developments or disruptions. This stability can be interpreted as a neutral factor, as it suggests no immediate catalysts for volatility but also no major positive drivers in the short term. The absence of news may reflect a steady operational environment, which is typical for mature companies in the restaurant industry.
 **Financials:**  
 Yum! Brands is trading near its 52-week high of $158.26, reflecting strong recent performance. The company has a market capitalization of $43.8 billion and a beta of 1.029, indicating moderate volatility in line with the broader market. Its trailing price-to-earnings (P/E) ratio of 30.06 and forward P/E of 25.81 suggest the stock is priced at a premium, likely due to its strong brand portfolio and consistent cash flow generation. The dividend yield of 1.82% aligns with its five-year average, supported by a payout ratio of 51.34%, indicating a sustainable dividend policy.
 Revenue growth of 16% year-over-year and gross margins of 47.48% highlight the company's ability to maintain profitability despite rising costs in the restaurant sector. However, earnings growth has declined by 6.6%, and quarterly earnings growth is down 8.6%, signaling potential challenges in managing expenses or maintaining margins. The company’s free cash flow of $1.15 billion and operating cash flow of $1.69 billion provide a solid financial foundation, though its high total debt of $12.3 billion and negative book value (-$27.41 per share) raise concerns about leverage.
 **Valuations:**  
 Yum! Brands' enterprise value-to-revenue ratio of 7.31 and enterprise value-to-EBITDA ratio of 20.35 suggest the stock is trading at a premium compared to peers in the restaurant industry. Analysts have a mixed outlook, with a mean target price of $149.79, below the current trading price, and a recommendation mean of 2.62 ("hold"). This indicates limited upside potential in the near term, as the stock may already be fully valued.
 **Economic Outlook:**  
 The broader economic environment presents mixed implications for Yum! Brands. Rising tariffs on Canada, Mexico, and China could increase input costs for the restaurant industry, particularly for imported food products and packaging materials. However, Yum! Brands' global footprint and franchise-based model may help mitigate these risks by spreading exposure across multiple markets. Consumer confidence is weakening amid economic uncertainty, which could pressure discretionary spending on dining out. On the other hand, the company's focus on affordable fast food and value offerings may position it well to capture demand from cost-conscious consumers during a potential economic slowdown.
 **Summary of Thesis, Edge, and Risk:**  
 Yum! Brands benefits from a strong brand portfolio, consistent cash flow, and a sustainable dividend policy, making it a reliable player in the restaurant industry. Its global presence and franchise model provide resilience against localized economic challenges. However, the stock appears fully valued, with limited near-term upside potential. Risks include declining earnings growth, high leverage, and potential cost pressures from tariffs and inflation. While the company is well-positioned to weather economic uncertainty, its premium valuation and slowing growth warrant caution.
 **Score: 65**</t>
  </si>
  <si>
    <t>WST</t>
  </si>
  <si>
    <t>**Investment Report: West Pharmaceutical Services**
 **Recent News:**  
 West Pharmaceutical Services has not been in the news over the past week, indicating a lack of significant developments or disruptions. This absence of news suggests stability in operations but also a lack of immediate catalysts for the stock.
 **Financials:**  
 West Pharmaceutical Services is trading at a trailing P/E ratio of 34.09 and a forward P/E of 30.33, reflecting a premium valuation compared to the broader market. The company has a market capitalization of $16.49 billion and a price-to-book ratio of 6.15, which is relatively high, indicating that the stock is priced for growth. The firm’s profit margins are solid at 17.03%, supported by strong operating margins of 22.94% and EBITDA margins of 25.89%. However, earnings growth has declined by 2.1% year-over-year, and revenue growth is modest at 2.3%, signaling a slowdown in momentum.
 The company maintains a healthy balance sheet with a low debt-to-equity ratio of 11.38 and a strong current ratio of 2.80, indicating robust liquidity. Free cash flow stands at $206.72 million, which, while positive, is not particularly strong given the firm's size. Dividend payments are modest, with a yield of 0.36% and a payout ratio of 12.11%, suggesting the company prioritizes reinvestment over shareholder returns.
 **Valuations:**  
 West Pharmaceutical Services is trading significantly below its 52-week high of $400.88, with a current price near $226. This represents a 33.98% decline over the past year, underperforming the S&amp;P 500, which has gained 17.25% over the same period. Analysts have a median price target of $285, implying a potential upside of approximately 26% from current levels. The recommendation mean of 1.5 (strong buy) reflects optimism among analysts, though the high valuation metrics may limit further upside in the near term.
 **Economic Outlook:**  
 The broader economic environment presents challenges for West Pharmaceutical Services. The U.S. economy is showing signs of deceleration, with GDP expected to shrink by 1.5% in Q1 2025. Rising tariffs and trade tensions could disrupt supply chains and increase input costs, particularly for a company like West Pharmaceutical Services that operates in a globalized industry. However, the healthcare sector tends to be more resilient during economic downturns, which could provide some insulation for the firm.
 The company’s beta of 1.086 suggests slightly higher volatility than the market, which could amplify price swings in the current uncertain environment. Additionally, the firm’s trailing PEG ratio of 10.43 indicates that growth expectations may already be priced in, leaving limited room for valuation expansion.
 **Summary of Thesis, Edge, and Risk:**  
 West Pharmaceutical Services is a fundamentally strong company with solid profit margins, a healthy balance sheet, and a dominant position in the healthcare supplies industry. Its focus on reinvestment and innovation provides a long-term growth edge. However, the stock’s high valuation, coupled with slowing earnings and revenue growth, presents a risk in the near term. Broader economic headwinds, including trade tensions and a potential recession, could further pressure the stock. While the company’s defensive industry positioning offers some protection, the lack of immediate catalysts and premium valuation may limit upside potential in the next month.
 **Score: 65**</t>
  </si>
  <si>
    <t>ADM</t>
  </si>
  <si>
    <t>**Investment Report: Archer-Daniels-Midland (ADM)**
 **Recent News:**  
 Archer-Daniels-Midland (ADM) has seen its stock valuation upgraded to "Hold" from a prior "Sell," reflecting a more balanced outlook on its long-term earnings potential. The firm's valuation, based on a 12-year payback period, aligns with its historical performance, suggesting that the market is now pricing the stock more accurately. This upgrade comes amidst a broader market environment of volatility and economic uncertainty, where ADM's defensive characteristics as an agricultural products and services provider may offer relative stability. However, the firm's modest growth prospects and sensitivity to global trade dynamics remain key considerations.
 **Financials:**  
 ADM's financial metrics highlight a mixed performance. The company trades at a trailing P/E of 12.76 and a forward P/E of 9.19, indicating a relatively low valuation compared to broader market averages. Its dividend yield of 4.32% is significantly above its five-year average of 2.64%, suggesting an attractive income opportunity for investors. However, revenue growth has declined by 6.4% year-over-year, reflecting challenges in its operating environment. ADM's profit margins remain thin, with gross margins at 6.76% and operating margins at 1.58%, underscoring the low-margin nature of the agricultural industry. The firm's return on equity (ROE) of 7.59% is modest, though consistent with its historical performance.
 ADM's balance sheet shows a debt-to-equity ratio of 51.44%, which is manageable but indicates reliance on leverage. The quick ratio of 0.33 and current ratio of 1.39 suggest adequate short-term liquidity, though the firm's ability to cover immediate obligations could be stronger. Free cash flow of $786.6 million and operating cash flow of $2.79 billion provide some financial flexibility, but these figures are not particularly robust given the scale of ADM's operations.
 **Valuations:**  
 ADM's price-to-book ratio of 1.00 indicates that the stock is trading near its book value, which may appeal to value-oriented investors. The enterprise value-to-revenue ratio of 0.39 and enterprise value-to-EBITDA ratio of 10.87 suggest a reasonable valuation relative to its earnings capacity. However, the firm's earnings growth of 0.4% in the most recent quarter and revenue decline highlight the challenges of achieving meaningful growth in a competitive and cyclical industry.
 Analyst sentiment remains cautious, with a mean recommendation of "Hold" and a target median price of $50, representing limited upside from current levels. The stock's beta of 0.66 indicates lower volatility compared to the broader market, aligning with its defensive profile.
 **Economic Outlook:**  
 ADM operates in a sector heavily influenced by macroeconomic factors, including global trade policies, commodity prices, and weather conditions. Recent trade tensions, particularly the escalation of tariffs between the U.S., Canada, Mexico, and China, could impact ADM's supply chains and export markets. Additionally, the broader economic slowdown, as evidenced by declining GDP growth and weakening consumer confidence, may weigh on demand for agricultural products.
 On the positive side, ADM's diversified operations and focus on essential goods provide some insulation from economic downturns. The firm's ability to adapt to changing trade dynamics and leverage its global footprint will be critical in navigating the current environment. However, the company's exposure to fluctuating commodity prices and geopolitical risks remains a key vulnerability.
 **Summary:**  
 ADM's investment thesis is supported by its defensive characteristics, attractive dividend yield, and reasonable valuation metrics. Its edge lies in its established position in the agricultural sector and ability to generate consistent, albeit modest, returns. However, risks include declining revenue growth, thin margins, and exposure to global trade uncertainties. While the stock offers stability in a volatile market, its growth prospects remain limited, making it more suitable for income-focused investors rather than those seeking capital appreciation.
 **Score: 65**</t>
  </si>
  <si>
    <t>STZ</t>
  </si>
  <si>
    <t>**Investment Report: Constellation Brands (STZ)**
 **Recent News:**  
 Constellation Brands has garnered attention following Warren Buffett's Berkshire Hathaway investment of $1 billion in the company. This endorsement has sparked optimism, with shares rising 4% after the announcement. However, the stock has faced a 28% decline over the past year due to disappointing financial performance, reduced outlooks, and missed revenue and earnings projections. While Buffett's investment signals confidence in the company's long-term value, short-term challenges such as slowing consumer demand and potential tariff impacts remain significant headwinds.
 **Financials:**  
 Constellation Brands' financial metrics present a mixed picture. The company has a trailing P/E ratio of 46.62, indicating a premium valuation based on past earnings, but a forward P/E of 11.55 suggests expectations of improved profitability. The dividend yield of 2.3% is above its five-year average of 1.46%, reflecting a commitment to returning value to shareholders despite recent struggles. However, the company's debt-to-equity ratio of 150.15 is concerning, highlighting a high leverage level that could be problematic in a rising interest rate environment. Revenue growth has been stagnant, with a slight decline of 0.3% year-over-year, while earnings growth of 22.8% suggests some operational improvements. Gross margins of 51.53% and EBITDA margins of 38.44% indicate strong profitability, but the company's quick ratio of 0.28 signals potential liquidity challenges.
 **Valuations:**  
 The stock's price-to-book ratio of 4.05 and enterprise value-to-EBITDA ratio of 11.23 suggest that the market is pricing in a premium for the company's assets and earnings potential. Analysts have a mean target price of $243.05, representing significant upside from the current price of approximately $175. However, the wide range of target prices ($190 to $300) reflects uncertainty about the company's ability to navigate near-term challenges. The trailing PEG ratio of 1.05 indicates that the stock is reasonably valued relative to its growth prospects, but this assumes that the company can sustain its earnings growth trajectory.
 **Economic Outlook:**  
 The broader economic environment poses challenges for Constellation Brands. Slowing consumer demand, particularly in discretionary spending categories like alcoholic beverages, could weigh on revenue. Additionally, the recent implementation of tariffs on Canadian and Mexican goods, as well as potential retaliatory measures, could increase costs for the company, which relies on international supply chains. Rising interest rates and economic deceleration further complicate the outlook, particularly given the company's high debt levels. However, the company's strong brand portfolio and operational efficiencies may provide some resilience in a challenging macroeconomic environment.
 **Summary of Thesis, Edge, and Risk:**  
 Constellation Brands benefits from a strong brand portfolio and operational efficiencies, which position it well for long-term growth. Warren Buffett's investment underscores the company's value potential, particularly at its current depressed valuation. However, near-term risks, including slowing consumer demand, tariff impacts, and high leverage, could weigh on performance. The company's ability to navigate these challenges will be critical to realizing its upside potential.
 **Score: 65**</t>
  </si>
  <si>
    <t>SW</t>
  </si>
  <si>
    <t>**Investment Report: Smurfit WestRock**
 **Recent News:**  
 There have been no significant updates or developments regarding Smurfit WestRock in the past week. The absence of news suggests stability in the company's operations, but it also indicates a lack of immediate catalysts for significant price movement. This neutral news environment places greater emphasis on the company's financials and broader economic conditions to assess its investment potential.
 **Financials:**  
 Smurfit WestRock's financial performance reflects a mixed picture. The company has a market capitalization of $26.07 billion and a dividend yield of 4.44%, which is notably higher than its five-year average of 3.33%, making it attractive for income-focused investors. However, the payout ratio of 228.5% raises concerns about the sustainability of its dividend, as it significantly exceeds earnings. 
 The firm's trailing price-to-earnings (P/E) ratio of 61.1 appears elevated, but the forward P/E of 13.88 suggests expectations of improved earnings in the near future. Revenue growth of 1.63% and earnings growth of 47.4% indicate positive momentum, though the company's profit margins remain thin at 1.51%. Additionally, the return on equity (ROE) of 2.71% and return on assets (ROA) of 2.98% are relatively low, signaling limited efficiency in generating returns from its equity and assets.
 The company's debt-to-equity ratio of 78.19% highlights a significant reliance on debt financing, which could pose risks in a high-interest-rate environment. Free cash flow is negative at -$1.35 billion, which may limit the company's ability to fund growth initiatives or reduce debt. However, operating cash flow remains positive at $1.48 billion, providing some financial flexibility.
 **Valuations:**  
 Smurfit WestRock's price-to-book (P/B) ratio of 1.50 suggests the stock is trading at a reasonable valuation relative to its book value. The price-to-sales (P/S) ratio of 1.24 is also modest, indicating the market is not overvaluing the company's revenue generation. Analyst sentiment appears favorable, with a mean price target of $60.50, representing a potential upside of approximately 20% from the current price. The recommendation mean of 1.81 (on a scale where 1.0 is a strong buy) further underscores positive expectations.
 **Economic Outlook:**  
 The broader economic environment presents both challenges and opportunities for Smurfit WestRock. The ongoing trade tensions, particularly the tariffs on Canadian and Mexican goods, could impact the company's supply chain and input costs, given its reliance on raw materials. Additionally, the deceleration in U.S. GDP growth and weakening consumer confidence may dampen demand for packaging products in the near term. However, the company's exposure to essential industries such as consumer goods and e-commerce could provide some resilience against economic headwinds.
 The Federal Reserve's restrictive monetary policy and elevated interest rates could increase borrowing costs for Smurfit WestRock, given its high debt levels. On the other hand, moderating inflation and potential rate cuts later in the year could alleviate some of these pressures, improving the company's financial outlook.
 **Summary of Thesis, Edge, and Risk:**  
 Smurfit WestRock offers a compelling dividend yield and reasonable valuation metrics, making it attractive for income-oriented investors. The company's forward P/E suggests optimism about future earnings growth, and its exposure to essential industries provides some insulation from economic volatility. However, risks include its high payout ratio, significant debt burden, and thin profit margins, which could be exacerbated by macroeconomic challenges such as tariffs and slowing GDP growth. The lack of recent news or catalysts further limits short-term upside potential.
 **Score: 65**</t>
  </si>
  <si>
    <t>BXP</t>
  </si>
  <si>
    <t>**Investment Report: Boston Properties (BXP)**
 **Recent News:**  
 Boston Properties (BXP), a leading player in the Office REITs industry, has seen its stock rise by 1.7% since its last earnings report. This modest gain reflects cautious optimism among investors, likely driven by its stable dividend yield and the broader market's search for income-generating assets amidst economic uncertainty. However, the stock's performance remains under pressure due to macroeconomic headwinds, including rising interest rates and a challenging office real estate environment. The recent earnings report highlighted steady revenue growth, but concerns about the long-term demand for office spaces persist as hybrid work models continue to reshape the sector.
 **Financials:**  
 Boston Properties' financial metrics present a mixed picture. The company boasts a strong dividend yield of 5.53%, well above its five-year average of 4.95%, making it attractive for income-focused investors. However, its payout ratio of 43.56% suggests that the dividend is sustainable but leaves limited room for growth. The firm's trailing P/E ratio of 755.89 is unusually high, reflecting either one-time earnings distortions or market skepticism about its near-term profitability. The forward P/E of 36.38 indicates expectations of improved earnings, but this still positions the stock as relatively expensive compared to peers in the REIT sector.
 Boston Properties' balance sheet reveals significant leverage, with a debt-to-equity ratio of 213.96%. While this is not uncommon for REITs, the high level of debt could pose risks in a rising interest rate environment. The company's enterprise value to EBITDA ratio of 15.30 suggests it is trading at a premium relative to its earnings capacity. On the positive side, the firm has a healthy operating cash flow of $1.23 billion and free cash flow of $1 billion, which should support its dividend payments and operational needs.
 **Valuations:**  
 The stock is currently trading at a price-to-book ratio of 1.99, indicating a slight premium to its book value. This valuation is reasonable for a high-quality REIT but may not fully account for the risks associated with the office real estate market. Analysts have set a target mean price of $80.94, representing a potential upside of approximately 15% from the current price. However, the wide range of target prices ($62 to $100) reflects uncertainty about the company's future performance. The recommendation mean of 2.52 (between "hold" and "buy") suggests a cautious stance among analysts.
 **Economic Outlook:**  
 The broader economic environment poses challenges for Boston Properties. The U.S. economy is showing signs of deceleration, with GDP expected to contract in Q1 2025. Rising interest rates and tightening credit conditions could increase borrowing costs for the company, further straining its balance sheet. Additionally, the office real estate market continues to face structural challenges as companies reassess their space needs in light of hybrid work trends. While Boston Properties has a strong portfolio of high-quality assets, the demand for office space remains uncertain, particularly in urban centers where vacancy rates have risen.
 On the positive side, Boston Properties benefits from its focus on Class A office properties, which tend to be more resilient during economic downturns. The company's gross margins of 60.84% and EBITDA margins of 56.11% highlight its operational efficiency. However, revenue growth of 4.5% may not be sufficient to offset the broader challenges facing the sector.
 **Summary:**  
 **Thesis:** Boston Properties offers a compelling dividend yield and a portfolio of high-quality assets, making it a potential income play in a volatile market.  
 **Edge:** The firm's focus on Class A office properties and strong operational efficiency provide a degree of resilience in a challenging environment.  
 **Risk:** High leverage, rising interest rates, and structural changes in the office real estate market pose significant risks to the company's long-term growth and profitability.
 **Score: 65**</t>
  </si>
  <si>
    <t>SJM</t>
  </si>
  <si>
    <t>**Investment Report: J.M. Smucker Company (The)**
 **Recent News:**  
 J.M. Smucker reported strong third-quarter fiscal 2025 earnings, with an EPS of $2.61, exceeding both the Zacks Consensus Estimate of $2.37 and the prior year's $2.48. This performance highlights the company's ability to manage costs effectively despite challenges such as declining sales volumes and supply chain disruptions. The company raised its annual profit forecast, driven by higher product prices, particularly in its coffee segment. This pricing power demonstrates resilience in a challenging macroeconomic environment. However, the dip in sales volume signals potential headwinds in consumer demand, which could be exacerbated by broader economic pressures.
 **Financials:**  
 J.M. Smucker's financial metrics present a mixed picture. The company has a forward P/E ratio of 10.64, indicating a relatively attractive valuation compared to its historical averages and peers in the packaged foods industry. Its dividend yield of 3.91% is above its five-year average of 3.12%, making it appealing for income-focused investors. However, the company's profit margins are under pressure, with a negative net income margin of -2.92% due to one-time charges or impairments. The debt-to-equity ratio of 115.07% reflects a high leverage level, which could pose risks in a rising interest rate environment. Liquidity metrics, such as a quick ratio of 0.21 and a current ratio of 0.60, suggest limited short-term financial flexibility. Despite these concerns, the company generates strong operating cash flow of $1.24 billion and free cash flow of $708.56 million, which supports its dividend payments and ongoing operations.
 **Valuations:**  
 The stock is trading at a price-to-book ratio of 1.73, which is reasonable given its historical performance and industry benchmarks. Its enterprise value-to-EBITDA ratio of 8.89 suggests the company is fairly valued relative to its earnings potential. Analysts have a median price target of $119.50, representing a modest upside from the current price of $110.53. The recommendation mean of 2.67 (between "hold" and "buy") reflects cautious optimism among analysts. However, the stock's 52-week performance (-8.65%) lags behind the S&amp;P 500's gain of 17.25%, indicating underperformance relative to the broader market.
 **Economic Outlook:**  
 The broader economic environment poses challenges for J.M. Smucker. The U.S. economy is showing signs of deceleration, with GDP expected to shrink by 1.5% in Q1 2025. Rising tariffs on key trading partners, including Canada and Mexico, could increase input costs for the company, particularly in its coffee and pet food segments. Consumer confidence is weakening, which may further pressure sales volumes. However, the company's ability to raise prices and manage costs effectively could help offset some of these macroeconomic headwinds. Additionally, its low beta of 0.27 suggests the stock is less volatile and may provide stability in a turbulent market.
 **Summary of Thesis, Edge, and Risk:**  
 J.M. Smucker's strong earnings performance and effective cost management highlight its operational resilience. Its pricing power, particularly in the coffee segment, provides a competitive edge in a challenging economic environment. However, risks include declining sales volumes, high leverage, and potential cost pressures from tariffs and supply chain disruptions. While the stock offers an attractive dividend yield and reasonable valuation, its negative profit margins and weak liquidity metrics warrant caution.
 **Score: 65**</t>
  </si>
  <si>
    <t>**Investment Report: Bristol Myers Squibb (BMY)**
 **Recent News:**  
 Bristol Myers Squibb (BMY) has garnered significant attention from investors recently, reflecting its position as a key player in the pharmaceutical industry. The company’s stock performance and dividend yield have been focal points, with its current dividend yield of 4.16% standing above its five-year average of 3.5%. This suggests that the stock may be appealing to income-focused investors, particularly in a volatile market environment. However, the company faces challenges, including declining earnings growth and a negative profit margin, which could weigh on its near-term prospects.
 **Financials:**  
 Bristol Myers Squibb's financial metrics present a mixed picture. The company has a forward P/E ratio of 8.52, indicating a relatively low valuation compared to its peers, which could signal an undervalued opportunity. However, its trailing EPS is negative at -$4.41, reflecting a net loss of $8.95 billion in the most recent fiscal year. This is concerning, as it highlights significant profitability challenges. On the positive side, the company maintains strong cash reserves of $10.86 billion and a free cash flow of $16.89 billion, which provide financial flexibility. Its gross margins of 75.26% and EBITDA margins of 40.18% underscore its operational efficiency, though these are offset by a high debt-to-equity ratio of 312.77%, indicating a leveraged balance sheet.
 **Valuations:**  
 Bristol Myers Squibb's price-to-book ratio of 7.44 and price-to-sales ratio of 2.52 suggest that the stock is trading at a premium relative to its book value but remains reasonably priced based on revenue. Analysts have a median price target of $62, slightly above the current trading range, with a recommendation mean of 2.61 (indicating a "hold"). The stock's beta of 0.436 reflects lower volatility compared to the broader market, making it a potentially stable option in uncertain economic conditions.
 **Economic Outlook:**  
 The broader economic environment poses both risks and opportunities for Bristol Myers Squibb. The U.S. economy is showing signs of deceleration, with GDP contraction expected in Q1 2025. This could impact consumer spending and healthcare budgets, potentially affecting pharmaceutical sales. However, the company’s defensive nature as a healthcare provider may offer resilience during economic downturns. Additionally, the Federal Reserve's efforts to control inflation could stabilize market conditions, benefiting dividend-paying stocks like BMY. On the downside, geopolitical tensions and trade policies could disrupt global supply chains, adding cost pressures to the pharmaceutical industry.
 **Summary:**  
 **Thesis:** Bristol Myers Squibb offers a compelling dividend yield and operational efficiency, making it attractive for income-focused investors.  
 **Edge:** Its strong cash flow and low valuation metrics provide a cushion against market volatility.  
 **Risk:** Profitability challenges, high debt levels, and broader economic headwinds could limit upside potential.  
 **Score: 65**</t>
  </si>
  <si>
    <t>PPL</t>
  </si>
  <si>
    <t>**Investment Report: PPL Corporation**
 **Recent News:**  
 PPL Corporation is currently trading above its 50-day and 200-day simple moving averages (SMAs), reflecting strong momentum in its stock price. This performance is supported by rising demand in its service territories, which has bolstered investor confidence. However, the stock is trading at a premium, suggesting that its valuation may already reflect much of the positive sentiment. Analysts have noted that while the company is benefiting from favorable market conditions, potential investors may want to wait for a more attractive entry point.
 **Financials:**  
 PPL Corporation's financial metrics indicate a stable but somewhat stretched valuation. The company has a trailing price-to-earnings (P/E) ratio of 29.72 and a forward P/E of 19.49, which are higher than the industry average, signaling that the stock may be overvalued relative to its peers. The dividend yield of 3.1% is below its five-year average of 4.58%, further suggesting that the stock's current price may not offer the same level of income appeal as in the past. Additionally, the payout ratio of 85.83% indicates that a significant portion of earnings is being distributed as dividends, leaving limited room for reinvestment or dividend growth.
 The company's revenue growth of 8.9% and earnings growth of 59.8% are positive indicators, reflecting operational improvements and efficiency gains. However, the free cash flow is negative at -$571 million, which raises concerns about the company's ability to fund future growth or reduce its debt burden. PPL's debt-to-equity ratio of 119.79% is relatively high, indicating significant leverage that could pose risks in a rising interest rate environment.
 **Valuations:**  
 PPL's price-to-book (P/B) ratio of 1.87 is reasonable for the utilities sector, but its enterprise value-to-EBITDA ratio of 13.47 suggests that the stock is trading at a premium compared to its historical valuation. The stock's 52-week high of $35.69, which it recently reached, indicates strong investor demand, but it also limits the potential for near-term upside. Analyst price targets range from $31.23 to $39.00, with a median target of $36.50, implying limited upside from current levels.
 **Economic Outlook:**  
 The broader economic environment presents mixed implications for PPL Corporation. The U.S. economy is showing signs of deceleration, with GDP expected to contract in Q1 2025. Rising tariffs and trade tensions could increase input costs for utilities, while slowing economic growth may dampen demand. On the positive side, utilities are generally considered defensive investments, and PPL's stable cash flows and essential services could provide a buffer against broader market volatility. However, the company's high leverage and negative free cash flow could become more problematic if economic conditions worsen or interest rates remain elevated.
 **Summary of Thesis, Edge, and Risk:**  
 PPL Corporation benefits from strong demand in its service areas and operational improvements, which have driven earnings growth and stock price momentum. Its position as a defensive utility stock provides some insulation from broader economic uncertainty. However, the stock's premium valuation, high leverage, and negative free cash flow present significant risks. While the company has a solid operational foundation, its current price may not offer an attractive risk-reward profile, particularly given the potential for economic headwinds and rising costs.
 **Score: 65**</t>
  </si>
  <si>
    <t>PPG</t>
  </si>
  <si>
    <t>**Investment Report: PPG Industries (Specialty Chemicals)**
 **Recent News:**  
 PPG Industries has not been in the news over the past week, indicating a lack of significant developments or disruptions. This absence of news suggests stability in operations but also highlights the need to focus on broader economic and industry trends to assess the company's outlook.
 **Financials:**  
 PPG Industries is trading near its 52-week low of $110.20, with a recent close at $113.22, reflecting a decline of approximately 18.4% over the past year, underperforming the S&amp;P 500's 17.2% gain. The company has a market capitalization of $25.36 billion and a beta of 1.212, indicating moderate volatility relative to the broader market. 
 The firm’s trailing price-to-earnings (P/E) ratio of 19.53 is slightly elevated compared to its forward P/E of 12.62, suggesting expectations of earnings growth. However, revenue growth has been negative at -14.3%, reflecting challenges in the current economic environment. Gross margins of 41.9% and EBITDA margins of 17.3% indicate solid operational efficiency, though operating margins of 12.1% suggest room for improvement in cost management.
 PPG maintains a dividend yield of 2.4%, above its five-year average of 1.8%, with a payout ratio of 46.5%, signaling a sustainable dividend policy. The company’s free cash flow of $1.06 billion and operating cash flow of $1.42 billion provide additional support for its dividend and operational needs. However, a debt-to-equity ratio of 92.1% and a quick ratio of 0.868 highlight a relatively high leverage position, which could pose risks in a rising interest rate environment.
 **Valuations:**  
 PPG's price-to-sales ratio of 1.60 and price-to-book ratio of 3.79 suggest the stock is trading at a premium relative to its book value but is reasonably valued compared to its revenue generation. The enterprise value-to-EBITDA ratio of 11.3 is within industry norms, indicating the company is not excessively overvalued. Analyst sentiment remains positive, with a mean recommendation of "buy" and a target median price of $130, implying a potential upside of approximately 15% from current levels.
 **Economic Outlook:**  
 The broader economic environment presents challenges for PPG Industries. The U.S. economy is showing signs of deceleration, with GDP expected to contract by 1.5% in Q1 2025. Trade tensions, particularly the imposition of tariffs on steel and aluminum, could increase input costs for PPG, pressuring margins. Additionally, the company’s exposure to global markets may be impacted by retaliatory tariffs and slowing demand in key regions.
 On the positive side, moderating inflation and potential Federal Reserve rate cuts later in the year could provide some relief to cost pressures and improve consumer and industrial demand. PPG’s focus on specialty chemicals positions it to benefit from long-term trends in advanced materials and coatings, though near-term headwinds remain significant.
 **Summary of Thesis, Edge, and Risk:**  
 PPG Industries offers a stable dividend yield and operational efficiency, supported by strong cash flows and a reasonable valuation. Its position in the specialty chemicals industry provides exposure to long-term growth opportunities in advanced materials. However, the company faces near-term risks from declining revenue growth, high leverage, and macroeconomic challenges, including trade tensions and slowing global demand. The stock’s recent underperformance and proximity to its 52-week low may present a value opportunity, but risks remain elevated in the short term.
 **Score: 65**</t>
  </si>
  <si>
    <t>TFC</t>
  </si>
  <si>
    <t>**Investment Report: Truist Financial**
 **Recent News:**  
 Truist Financial has not been in the headlines over the past week, suggesting a period of stability without any major announcements or disruptions. This lack of news could indicate a steady operational environment, though it also means no immediate catalysts for significant stock movement.
 **Financials:**  
 Truist Financial's stock is trading near the middle of its 52-week range ($34.51 - $49.06), with a recent close at $46.35. The company offers a strong dividend yield of 4.49%, slightly below its five-year average of 4.59%, supported by a manageable payout ratio of 52.26%. This indicates a commitment to returning value to shareholders while maintaining financial flexibility.  
 The firm's forward P/E ratio of 11.50 suggests a reasonable valuation compared to the broader market, and its price-to-book ratio of 1.03 indicates the stock is trading close to its book value, which could appeal to value-oriented investors. However, the trailing EPS is negative (-$0.30), reflecting a net loss of $394 million in the most recent fiscal year. This raises concerns about profitability, though forward EPS estimates of $3.95 suggest expectations of a recovery.  
 Truist's balance sheet shows a significant cash position of $48.38 billion, providing liquidity to navigate economic uncertainties. However, total debt stands at $67.75 billion, which, while manageable given the firm's size, warrants monitoring in a rising interest rate environment. The company's revenue growth of 6.5% year-over-year is a positive sign, indicating resilience in its core operations.
 **Valuations:**  
 Analyst sentiment remains cautiously optimistic, with a mean price target of $51.81, representing a potential upside of approximately 11.8% from the current price. The recommendation mean of 2.33 (between "Buy" and "Hold") reflects moderate confidence in the stock's prospects. Truist's enterprise value-to-revenue ratio of 7.41 is on the higher side, suggesting the market is pricing in expectations of stable cash flows and operational efficiency.  
 The firm's short interest ratio of 2.74 indicates limited bearish sentiment, and institutional ownership of 78.66% underscores strong confidence from large investors. However, the negative return on assets (-0.008%) and return on equity (-0.073%) highlight inefficiencies that need to be addressed to improve profitability.
 **Economic Outlook:**  
 The broader economic environment presents challenges for Truist Financial. The U.S. economy is showing signs of deceleration, with GDP expected to shrink by 1.5% in Q1 2025. Rising jobless claims and a record trade deficit could weigh on consumer and business activity, potentially impacting loan demand and credit quality. Additionally, the Federal Reserve's restrictive monetary policy and elevated interest rates may pressure net interest margins, a key driver of profitability for banks.  
 On the positive side, inflation appears to be moderating, which could pave the way for rate cuts later in the year. This would benefit Truist by reducing funding costs and potentially boosting loan growth. However, the firm's exposure to economic uncertainty and its recent net loss suggest caution is warranted.
 **Summary:**  
 **Thesis:** Truist Financial offers a compelling dividend yield and trades near its book value, making it attractive for income-focused and value investors.  
 **Edge:** The firm's strong liquidity position and institutional support provide a buffer against economic headwinds.  
 **Risk:** Negative profitability metrics and a challenging macroeconomic environment could limit near-term upside potential.  
 **Score: 65**</t>
  </si>
  <si>
    <t>NI</t>
  </si>
  <si>
    <t>**Investment Report: NiSource Inc. (Multi-Utilities Industry)**
 **Recent News:**  
 NiSource has not been in the headlines over the past week, indicating a lack of significant corporate developments or external disruptions. This stability can be interpreted as a positive sign in the context of the broader market volatility, particularly given the heightened uncertainty surrounding trade policies and economic conditions. However, the absence of news also suggests no immediate catalysts for significant price movement in the short term.
 **Financials:**  
 NiSource's stock has shown strong performance, reaching its 52-week high of $41.30, reflecting a 53.5% increase over the past year, significantly outperforming the S&amp;P 500's 17.2% gain. The company offers a dividend yield of 2.74%, slightly below its five-year average of 3.43%, with a sustainable payout ratio of 65.43%. This indicates a steady income stream for investors, though the yield is modest compared to historical levels.
 The firm's trailing price-to-earnings (P/E) ratio of 25.45 and forward P/E of 22.17 suggest a premium valuation relative to the broader utilities sector, which typically trades at lower multiples. NiSource's beta of 0.499 highlights its low volatility, making it a defensive play in uncertain economic conditions. However, its earnings growth has been negative (-5.3%), and quarterly earnings growth has also declined (-5.7%), raising concerns about its ability to sustain profitability in the near term.
 NiSource's balance sheet shows a high debt-to-equity ratio of 131.11, which is common in the utilities sector but still represents a potential risk in a rising interest rate environment. The company’s free cash flow is negative (-$648 million), though operating cash flow remains positive at $1.78 billion, indicating sufficient liquidity to manage short-term obligations. Gross margins of 51.7% and EBITDA margins of 43.8% reflect strong operational efficiency.
 **Valuations:**  
 NiSource's price-to-book ratio of 2.23 is reasonable for a utility company, though it suggests the stock is not deeply undervalued. The enterprise value-to-EBITDA ratio of 14.63 is on the higher side, indicating that the market is pricing in future growth or stability. Analyst sentiment remains favorable, with a "buy" recommendation and a mean target price of $41.04, close to its current trading range. This suggests limited upside potential in the short term unless new growth drivers emerge.
 **Economic Outlook:**  
 The broader economic environment presents mixed implications for NiSource. The U.S. economy is showing signs of deceleration, with GDP expected to contract by 1.5% in Q1 2025. Rising jobless claims and weakening consumer confidence could dampen energy demand, particularly in industrial and commercial segments. However, utilities are generally considered defensive investments, benefiting from stable demand even during economic downturns.
 The Federal Reserve's restrictive monetary policy and elevated interest rates could increase NiSource's borrowing costs, given its high debt levels. On the other hand, moderating inflation and potential rate cuts later in the year could provide some relief. The ongoing trade tensions and tariffs are unlikely to have a direct impact on NiSource, as its operations are primarily domestic and focused on regulated utilities.
 **Summary of Thesis, Edge, and Risk:**  
 NiSource offers a stable investment opportunity in the defensive utilities sector, supported by strong operational efficiency, a reliable dividend, and low volatility. Its premium valuation reflects market confidence in its stability, though limited earnings growth and high debt levels pose risks. The company's edge lies in its ability to maintain steady cash flows and margins despite economic headwinds. However, its high leverage and negative free cash flow warrant caution, particularly in a high-interest-rate environment.
 **Score: 65**</t>
  </si>
  <si>
    <t>CSX</t>
  </si>
  <si>
    <t>**Investment Report: CSX Corporation**
 **Recent News:**  
 CSX Corporation has not been in the headlines over the past week, indicating a lack of significant developments or disruptions. This absence of news suggests operational stability but also highlights the need to assess the company’s fundamentals and broader economic conditions to gauge its investment potential.
 **Financials:**  
 CSX Corporation's financial metrics reflect a mixed performance. The company’s trailing price-to-earnings (P/E) ratio of 17.84 and forward P/E of 15.73 suggest a reasonable valuation relative to its earnings, though slightly elevated compared to historical norms for the rail transportation industry. The dividend yield of 1.62% is above its five-year average of 1.28%, indicating a potentially attractive income opportunity for investors. However, the company’s earnings and revenue growth have declined year-over-year, with earnings growth at -14.8% and revenue growth at -3.8%, reflecting challenges in the current economic environment.
 CSX’s profit margins remain strong, with a net profit margin of 23.87% and EBITDA margins of 48.65%, showcasing operational efficiency. The company’s return on equity (ROE) of 28.34% is robust, indicating effective use of shareholder capital. However, the debt-to-equity ratio of 153.39% is high, signaling significant leverage, which could pose risks in a rising interest rate environment.
 The stock is trading near its 52-week low of $31.43, with a current price of $31.74-$32.39, suggesting potential undervaluation. However, the stock has underperformed the S&amp;P 500 over the past year, with a 52-week change of -16.31% compared to the S&amp;P 500’s gain of 17.25%.
 **Valuations:**  
 CSX’s price-to-book ratio of 4.85 is relatively high, indicating that the stock may be priced at a premium relative to its book value. The enterprise value-to-revenue ratio of 5.41 and enterprise value-to-EBITDA ratio of 11.12 suggest that the market is assigning a significant premium to the company’s earnings potential. Analyst sentiment remains positive, with a recommendation mean of 1.89 (indicating a "buy") and a target median price of $37.00, implying a potential upside of approximately 15% from current levels.
 **Economic Outlook:**  
 The broader economic environment presents challenges for CSX. The U.S. economy is showing signs of deceleration, with GDP expected to contract by 1.5% in Q1 2025. Trade tensions, particularly the imposition of tariffs on Canada and Mexico, could disrupt supply chains and reduce demand for rail transportation services. Additionally, rising interest rates and weakening consumer confidence may further dampen economic activity, potentially impacting CSX’s revenue streams.
 On the positive side, CSX’s role in transporting essential goods and commodities provides some resilience against economic downturns. The company’s strong cash flow generation, with free cash flow of $2.14 billion and operating cash flow of $5.25 billion, offers a buffer to navigate near-term challenges.
 **Summary of Thesis, Edge, and Risk:**  
 CSX Corporation’s strong profit margins, robust cash flow, and efficient operations position it as a resilient player in the rail transportation industry. The stock’s current valuation near its 52-week low and positive analyst sentiment suggest potential upside. However, declining earnings and revenue growth, high leverage, and macroeconomic headwinds, including trade tensions and slowing GDP growth, present significant risks. The company’s ability to maintain operational efficiency and adapt to economic challenges will be critical to its performance in the near term.
 **Score: 65**</t>
  </si>
  <si>
    <t>CNP</t>
  </si>
  <si>
    <t>**Investment Report: CenterPoint Energy**
 **Recent News:**  
 CenterPoint Energy has not been in the spotlight over the past week, with no significant news or developments reported. This lack of news suggests stability in operations but also indicates no immediate catalysts for significant price movement in the short term.
 **Financials:**  
 CenterPoint Energy's stock is trading near its 52-week high of $34.845, reflecting strong recent performance with a 23.27% increase over the past year, outperforming the S&amp;P 500's 17.25% gain. The company has a market capitalization of $22.53 billion and a beta of 0.904, indicating lower volatility compared to the broader market. 
 The firm offers a dividend yield of 2.56%, slightly below its five-year average of 2.96%, with a sustainable payout ratio of 51.27%. This suggests the company is maintaining a conservative approach to dividend distribution while retaining earnings for reinvestment or debt management. The trailing price-to-earnings (P/E) ratio of 21.88 and forward P/E of 19.87 indicate moderate valuation levels, though slightly elevated compared to the broader utilities sector. 
 CenterPoint's financial health shows mixed signals. While the company has a solid return on equity (ROE) of 10.02% and earnings growth of 26.7% year-over-year, its debt-to-equity ratio of 196.8% is notably high, reflecting significant leverage. Free cash flow is negative at -$3.06 billion, which could constrain future investments or debt reduction efforts. However, operating cash flow remains positive at $2.14 billion, providing some liquidity to manage ongoing operations.
 **Valuations:**  
 The stock's price-to-book (P/B) ratio of 2.11 is reasonable for the utilities sector, indicating the stock is not excessively overvalued. The enterprise value-to-EBITDA ratio of 12.89 suggests the company is trading at a premium compared to some peers, which may reflect investor confidence in its growth prospects. Analysts have a median price target of $34.25, close to the current price, with a recommendation mean of 2.72 (between "hold" and "buy"), indicating limited upside potential in the near term.
 **Economic Outlook:**  
 The broader economic environment presents challenges for CenterPoint Energy. The U.S. economy is showing signs of deceleration, with GDP expected to shrink by 1.5% in Q1 2025. Rising tariffs on steel and aluminum, as well as broader trade tensions, could increase input costs for infrastructure projects, potentially pressuring margins. However, the utility sector often serves as a defensive play during economic slowdowns, as demand for essential services like electricity and gas remains relatively stable. 
 CenterPoint's revenue growth of 3.7% and gross margins of 46.2% highlight its ability to maintain steady operations despite macroeconomic headwinds. The company's regulated utility business model provides predictable cash flows, which could help it weather economic uncertainty. However, its high debt levels and negative free cash flow remain risks, particularly in a high-interest-rate environment.
 **Summary of Thesis, Edge, and Risk:**  
 CenterPoint Energy offers a stable investment opportunity in the multi-utilities sector, supported by consistent revenue growth, strong margins, and a reliable dividend. Its regulated business model provides a defensive edge in a slowing economy. However, the company's high leverage and negative free cash flow pose significant risks, particularly if economic conditions deteriorate further or if input costs rise due to tariffs. The stock's current valuation suggests limited upside potential in the short term, with the price already near analysts' median target.
 **Score: 65**</t>
  </si>
  <si>
    <t>DAY</t>
  </si>
  <si>
    <t>**Investment Report: Dayforce**
 **Recent News:**  
 Dayforce has not been in the news over the past week, leaving its stock performance and valuation metrics as the primary indicators of its current position. The lack of recent developments suggests that the firm is operating in a relatively stable environment, though broader economic and industry trends may still influence its outlook.
 **Financials:**  
 Dayforce's financial data reveals a mixed picture. The company is trading at a forward P/E ratio of 26.89, which is significantly lower than its trailing P/E of 540.18, indicating expectations of substantial earnings growth in the near future. However, its trailing twelve-month profit margin is a modest 1.03%, and earnings quarterly growth has declined by 76.3%, reflecting challenges in profitability. Revenue growth of 16.4% year-over-year is a positive sign, supported by gross margins of 50.71%, which indicate strong operational efficiency.  
 The firm’s balance sheet shows a debt-to-equity ratio of 48.42, which is manageable but suggests some reliance on leverage. With total cash of $579.7 million and free cash flow of $106.7 million, Dayforce has sufficient liquidity to meet short-term obligations, though its quick ratio of 0.159 indicates limited immediate financial flexibility. The enterprise value-to-EBITDA ratio of 32.18 suggests the stock is relatively expensive compared to its earnings before interest, taxes, depreciation, and amortization.
 **Valuations:**  
 Dayforce's stock has experienced significant volatility, with a 52-week range of $47.08 to $82.69. The current price of $58.96 is below both its 50-day average of $69.77 and its 200-day average of $63.07, indicating recent downward momentum. Analysts have a mean target price of $78.78, implying a potential upside of approximately 33.6% from current levels. The recommendation mean of 2.1 (on a scale where 1.0 is a strong buy) suggests a generally favorable view among analysts, though the stock's high valuation metrics may temper enthusiasm.
 **Economic Outlook:**  
 The broader economic environment presents challenges for Dayforce. The U.S. economy is showing signs of deceleration, with GDP expected to shrink in Q1 2025. Rising jobless claims and weakening consumer confidence could impact demand for human resource and employment services, particularly if businesses reduce hiring or cut back on HR-related expenditures. Additionally, the ongoing trade tensions and tariffs may indirectly affect Dayforce's clients, potentially leading to slower revenue growth. However, the firm’s focus on technology-driven HR solutions could provide resilience, as companies may seek efficiency gains during economic uncertainty.
 **Summary of Thesis, Edge, and Risk:**  
 Dayforce's investment thesis hinges on its potential for earnings growth, as reflected in its forward P/E ratio, and its strong revenue growth and gross margins. Its edge lies in its position within the HR technology space, which benefits from long-term trends toward digital transformation and automation. However, risks include its high valuation, declining earnings growth, and exposure to broader economic headwinds that could dampen client demand.
 **Score: 65**</t>
  </si>
  <si>
    <t>ENPH</t>
  </si>
  <si>
    <t>**Investment Report: Enphase Energy (ENPH)**
 **Recent News:**  
 Enphase Energy's stock has recently declined by 1.73%, closing at $63.71, amidst a broader market rise. This underperformance reflects investor concerns about the company's valuation and market positioning. The stock has reached its 52-week low of $52.66, signaling potential bearish sentiment. Despite this, the company remains a key player in the semiconductor materials and equipment industry, particularly in renewable energy solutions like microinverters and energy storage systems. The broader market's volatility, coupled with sector-specific challenges, may be contributing to the stock's recent struggles.
 **Financials:**  
 Enphase Energy's financial metrics present a mixed picture. The company boasts strong revenue growth of 26.5% year-over-year and impressive earnings growth of 248%, indicating robust operational performance. However, its trailing price-to-earnings (P/E) ratio of 70.49 suggests the stock is expensive based on historical earnings, though the forward P/E of 14.45 implies expectations of significant future earnings growth. The company's gross margin of 47.29% and operating margin of 16.78% highlight its ability to maintain profitability despite competitive pressures. Enphase also has a solid liquidity position, with a quick ratio of 2.88 and a current ratio of 3.53, ensuring it can meet short-term obligations. However, its debt-to-equity ratio of 159.81 raises concerns about leverage, which could become a challenge in a rising interest rate environment.
 **Valuations:**  
 Enphase Energy's valuation metrics suggest a potential disconnect between its current stock price and its intrinsic value. The price-to-book ratio of 8.41 indicates the stock is trading at a significant premium to its book value, which may deter value-focused investors. Additionally, the enterprise value-to-EBITDA ratio of 41.17 suggests the stock is expensive relative to its earnings before interest, taxes, depreciation, and amortization. Analysts' target prices range from $54 to $125, with a mean target of $81.74, indicating potential upside if the company can meet growth expectations. However, the stock's 52-week change of -54.17% starkly contrasts with the S&amp;P 500's gain of 17.25%, reflecting broader market skepticism.
 **Economic Outlook:**  
 The macroeconomic environment poses both opportunities and risks for Enphase Energy. The ongoing trade tensions, particularly the imposition of tariffs on key trading partners, could disrupt supply chains and increase costs for semiconductor and renewable energy companies. However, the global push toward clean energy and decarbonization provides a favorable long-term backdrop for Enphase's products. Rising interest rates and economic deceleration in the U.S. could weigh on consumer spending and investment in renewable energy projects, potentially impacting demand for Enphase's solutions. The company's high beta of 2.12 suggests it is highly sensitive to market volatility, which could amplify price swings in the current uncertain environment.
 **Summary:**  
 Enphase Energy's investment thesis hinges on its strong revenue and earnings growth, supported by robust margins and a leading position in the renewable energy sector. Its edge lies in its innovative product offerings and exposure to the growing clean energy market. However, risks include high leverage, premium valuations, and sensitivity to macroeconomic headwinds such as tariffs and rising interest rates. The stock's recent underperformance and 52-week low highlight investor caution, but its forward P/E and growth potential suggest room for recovery if market conditions stabilize.
 **Score: 65**</t>
  </si>
  <si>
    <t>ES</t>
  </si>
  <si>
    <t>**Investment Report: Eversource Energy**
 **Recent News:**  
 Eversource Energy has not been in the news over the past week, indicating a lack of significant developments or disruptions. This stability can be interpreted as a positive sign for a utility company, as the sector typically benefits from predictability and steady operations. However, the absence of news also suggests no immediate catalysts for growth or changes in market sentiment.
 **Financials:**  
 Eversource Energy's financial metrics reflect a mixed picture. The company has a market capitalization of $23.1 billion and a dividend yield of 4.78%, which is significantly above its five-year average of 3.42%. This high yield may attract income-focused investors, though the elevated payout ratio of 125.99% raises concerns about the sustainability of its dividend policy. The firm's trailing price-to-earnings (P/E) ratio of 27.76 is relatively high, but its forward P/E of 13.18 suggests expectations of improved earnings in the near future. 
 The company’s revenue growth of 10.3% year-over-year is a positive indicator, supported by strong gross margins of 51.69% and EBITDA margins of 35.75%. However, its free cash flow is negative at -$2.37 billion, which, combined with a high debt-to-equity ratio of 192.42%, highlights potential financial strain. The quick ratio of 0.286 and current ratio of 0.755 further underscore liquidity challenges, though these are not uncommon in the capital-intensive utilities sector.
 **Valuations:**  
 Eversource Energy is trading at a price-to-book (P/B) ratio of 1.54, which is reasonable for the utilities sector. The stock is currently priced near its 50-day moving average of $58.68 and its 200-day moving average of $61.85, suggesting it has recently recovered from a dip. The stock's 52-week range of $54.75 to $69.01 indicates limited upside potential unless there is a significant positive catalyst. Analyst sentiment is moderately favorable, with a mean price target of $69.68, representing a potential upside of approximately 10.6% from the current price.
 **Economic Outlook:**  
 The broader economic environment presents both challenges and opportunities for Eversource Energy. The U.S. economy is showing signs of deceleration, with GDP expected to shrink in Q1 2025. This could weigh on industrial and commercial electricity demand. However, utilities are generally considered defensive investments during economic slowdowns due to their essential services and stable cash flows. Rising interest rates may increase the cost of Eversource's debt, but moderating inflation could provide some relief in the medium term. Additionally, the company’s regulated utility model offers a degree of insulation from broader market volatility.
 **Summary of Thesis, Edge, and Risk:**  
 Eversource Energy offers a stable dividend yield and operates in a defensive sector, making it attractive during periods of economic uncertainty. Its forward P/E suggests potential earnings growth, and its regulated utility model provides predictable revenue streams. However, the high payout ratio, negative free cash flow, and elevated debt levels pose risks to financial stability. The lack of recent news or catalysts limits short-term upside potential, while broader economic headwinds could dampen demand.
 **Score: 65**</t>
  </si>
  <si>
    <t>MAS</t>
  </si>
  <si>
    <t>**Investment Report: Masco Corporation (Building Products Industry)**
 **Recent News:**  
 Masco Corporation has not been in the news over the past week, indicating a lack of significant developments or announcements. This absence of news suggests stability in operations but also highlights the need to assess the company's fundamentals and broader economic conditions to gauge its investment potential.
 **Financials:**  
 Masco's financial performance reflects a mixed picture. The company has a market capitalization of $15.67 billion and a trailing price-to-earnings (P/E) ratio of 19.66, which is slightly above the forward P/E of 16.73, indicating expectations of earnings growth. However, earnings growth has been slightly negative (-0.7%), and revenue growth has declined by 2.9% year-over-year, reflecting challenges in the current economic environment. 
 The company maintains healthy profitability metrics, with a return on equity (ROE) of 27.31% and a return on assets (ROA) of 16.52%, both of which are strong indicators of efficient capital utilization. Gross margins stand at 36.28%, and EBITDA margins are 19.44%, showcasing solid operational efficiency. Free cash flow of $808.63 million and a current ratio of 1.75 suggest adequate liquidity to meet short-term obligations.
 Masco's dividend yield of 1.65% is slightly above its five-year average of 1.57%, supported by a manageable payout ratio of 30.85%. This indicates the company has room to sustain or potentially increase dividends. However, the company's book value is negative (-$1.31 per share), which may raise concerns about its balance sheet strength.
 **Valuations:**  
 Masco's stock is trading near the lower end of its 52-week range ($63.81 - $86.70), with a recent close at $75.18. The stock's beta of 1.25 suggests higher volatility compared to the broader market, which could amplify price swings in the current uncertain economic environment. Analysts' target prices range from $74.00 to $96.00, with a median target of $84.00, implying a potential upside of approximately 11.7% from the current price.
 The company's enterprise value-to-EBITDA ratio of 12.14 is slightly elevated, indicating the stock may not be deeply undervalued. However, its trailing PEG ratio of 1.81 suggests the stock is reasonably priced relative to its growth prospects.
 **Economic Outlook:**  
 The broader economic environment presents headwinds for Masco. The U.S. economy is showing signs of deceleration, with GDP expected to contract by 1.5% in Q1 2025. Rising tariffs on building materials, such as steel and aluminum, could increase input costs for Masco, potentially pressuring margins. Additionally, weakening consumer confidence and a slowdown in construction spending may dampen demand for building products.
 On the positive side, Masco's focus on home improvement products could provide some resilience, as homeowners may prioritize renovations over new construction during economic downturns. The company's strong cash flow and liquidity position also provide a buffer against near-term challenges.
 **Summary of Thesis, Edge, and Risk:**  
 Masco Corporation's strong profitability metrics, solid cash flow, and reasonable valuation provide a foundation for long-term stability. Its focus on home improvement products offers some insulation from broader economic challenges. However, declining revenue growth, negative earnings growth, and potential cost pressures from tariffs pose risks. The company's negative book value and elevated enterprise value-to-EBITDA ratio warrant caution, particularly in a slowing economic environment.
 **Score: 65**</t>
  </si>
  <si>
    <t>KEYS</t>
  </si>
  <si>
    <t>**Investment Report: Keysight Technologies**
 **Recent News:**  
 Keysight Technologies has expanded its RF and Microwave portfolio, which could enhance its competitive positioning in the electronic equipment and instruments industry. The company reported a strong fiscal Q1 2025, with earnings and revenues exceeding expectations, driven by robust demand across multiple markets. However, despite these positive results, the stock has faced significant pressure due to light forward guidance. This reflects challenges in the automotive and defense sectors, where growth has been slower than anticipated. Additionally, structural headwinds such as uncertain defense spending and the slower adoption of electric vehicles (EVs) are weighing on the company's outlook. While Keysight anticipates strong profits in the upcoming quarter, these challenges have raised concerns about the sustainability of its growth trajectory.
 **Financials:**  
 Keysight's financial performance shows mixed signals. The company has a market capitalization of $26.98 billion and a trailing price-to-earnings (P/E) ratio of 44.67, which is relatively high compared to its forward P/E of 22.37. This suggests expectations of significant earnings growth, though recent earnings growth has been negative (-1%). Revenue growth remains modest at 3.1%, and profit margins are healthy at 12.18%. The company maintains a strong balance sheet with $2.06 billion in cash and a manageable debt-to-equity ratio of 38.94. Its current ratio of 2.95 and quick ratio of 1.89 indicate solid liquidity. However, the stock's price-to-book ratio of 5.20 and enterprise value-to-EBITDA ratio of 24.30 suggest that the stock is trading at a premium valuation. 
 **Valuations:**  
 Keysight's valuation metrics highlight a potential disconnect between its current price and its growth prospects. The stock is trading near the lower end of its 52-week range ($119.72 to $186.20), with a recent close at $159.53. Analysts have a median price target of $190, implying upside potential, but the light guidance and structural challenges may limit near-term gains. The company's gross margins of 62.58% and EBITDA margins of 22.1% are strong, but its earnings growth has been negative, raising questions about whether the premium valuation is justified. Additionally, the stock's beta of 1.10 indicates slightly higher volatility than the broader market.
 **Economic Outlook:**  
 Keysight operates in a challenging macroeconomic environment. The U.S. economy is showing signs of deceleration, with GDP expected to contract in Q1 2025. Trade tensions, particularly with China, could impact Keysight's global operations and supply chain. The automotive sector, a key market for Keysight, is facing slower-than-expected EV adoption, while defense spending remains uncertain amid shifting geopolitical priorities. On the positive side, the company's focus on RF and Microwave solutions positions it well to benefit from long-term trends in 5G, aerospace, and communications. However, near-term headwinds, including tariff impacts and slowing global growth, could weigh on performance.
 **Summary:**  
 **Thesis:** Keysight Technologies benefits from strong demand in its core markets and a robust balance sheet, but its high valuation and light guidance reflect concerns about growth sustainability.  
 **Edge:** The company's leadership in RF and Microwave solutions and its exposure to long-term growth trends in 5G and communications provide a competitive advantage.  
 **Risk:** Structural challenges in the automotive and defense sectors, coupled with macroeconomic headwinds and trade uncertainties, pose risks to near-term performance.
 **Score: 65**</t>
  </si>
  <si>
    <t>**Investment Report: Garmin (GRMN)**
 **Recent News:**  
 Garmin has been highlighted as a top growth stock, with its valuation reaching near a 10-year high. The company has gained attention for its strong performance in 2023, driven by its diversified product portfolio in consumer electronics, including wearables, navigation systems, and fitness devices. Analysts have noted Garmin's appeal across value, growth, and momentum investment styles, supported by its consistent innovation and market leadership in niche segments.
 **Financials:**  
 Garmin's financial metrics reflect a solid position in the consumer electronics industry. The company has a market capitalization of $43.5 billion and a trailing price-to-earnings (P/E) ratio of 30.99, which is slightly elevated compared to historical levels. Its forward P/E of 30.32 suggests modest earnings growth expectations. Garmin's profit margins are robust, with a net profit margin of 22.4% and gross margins of 58.7%, indicating strong operational efficiency. The company has a healthy balance sheet, with a current ratio of 3.54 and minimal debt, as evidenced by a debt-to-equity ratio of 2.07%. Garmin also generates significant free cash flow of $977 million, supporting its dividend yield of 1.57% and a payout ratio of 40.82%.
 However, earnings growth has been under pressure, with a decline of 19.6% in the most recent quarter. Revenue growth, on the other hand, remains strong at 22.9%, driven by demand for its premium products. The company’s return on equity (ROE) of 18.99% and return on assets (ROA) of 10.93% highlight its ability to generate returns efficiently.
 **Valuations:**  
 Garmin's valuation metrics suggest the stock is trading at a premium. Its price-to-book ratio of 5.55 and price-to-sales ratio of 6.91 are above industry averages, reflecting investor confidence in its growth prospects. The trailing PEG ratio of 2.96 indicates that the stock may be overvalued relative to its earnings growth. Analysts' target prices range from $181.12 to $285, with a median target of $196, suggesting limited upside from current levels. The recommendation mean of 3.0 (hold) reflects a cautious stance among analysts.
 **Economic Outlook:**  
 The broader economic environment presents mixed implications for Garmin. The U.S. economy is showing signs of deceleration, with GDP contraction expected in Q1 2025 and rising jobless claims. Consumer confidence is weakening, which could impact discretionary spending on Garmin's products. Additionally, the ongoing trade tensions and tariffs imposed by the U.S. on key trading partners may disrupt supply chains and increase input costs for Garmin, potentially pressuring margins. However, the company's strong cash position and minimal debt provide a buffer against economic headwinds.
 **Summary:**  
 Garmin's thesis lies in its strong market position, diversified product offerings, and robust financial health. Its edge is its ability to innovate and maintain high margins in a competitive industry. However, risks include elevated valuations, declining earnings growth, and potential macroeconomic challenges such as weakening consumer confidence and trade disruptions.
 **Score: 65**</t>
  </si>
  <si>
    <t>WDC</t>
  </si>
  <si>
    <t>**Investment Report: Western Digital Corporation**
 **Recent News:**  
 Western Digital Corporation has not been in the spotlight over the past week, with no significant announcements or developments. This lack of news suggests stability in the company's operations but also indicates no immediate catalysts for significant price movement. However, the broader macroeconomic environment, including trade tensions and slowing global growth, could indirectly impact the company, particularly given its exposure to international markets and supply chains.
 **Financials:**  
 Western Digital's financial metrics reflect a mixed picture. The company is trading at a trailing price-to-earnings (P/E) ratio of 13.59 and a forward P/E of 5.34, indicating that the market expects significant earnings growth in the near term. The price-to-book ratio of 1.35 suggests the stock is trading close to its book value, which could indicate undervaluation relative to its assets. The company has a solid profit margin of 8.08% and gross margins of 34.63%, reflecting efficient cost management and profitability in its operations.
 The firm's revenue over the trailing twelve months stands at $15.6 billion, with an EBITDA margin of 19.2%, showcasing strong operational performance. However, the company's free cash flow of $904 million, while positive, is modest relative to its market capitalization of $16.35 billion, which could limit its ability to invest aggressively in growth initiatives. Additionally, the quick ratio of 1.09 and current ratio of 1.99 indicate adequate liquidity to meet short-term obligations.
 Short interest has risen significantly, with 29.57 million shares shorted compared to 21.87 million in the prior month. This increase in short interest, representing 9.59% of the float, suggests growing bearish sentiment among investors, potentially due to concerns about the broader economic environment or industry-specific challenges.
 **Valuations:**  
 Western Digital's valuation metrics suggest the stock is attractively priced. The forward P/E of 5.34 is significantly below the industry average, indicating that the market may be underestimating the company's earnings potential. Analysts have a mean target price of $78.67, representing substantial upside from the current price of $48.93. The recommendation mean of 1.88 (on a scale where 1.0 is a strong buy) reflects a generally positive outlook from analysts.
 However, the stock's 52-week performance has been lackluster, with a modest gain of 1.96%, underperforming the S&amp;P 500's 17.25% increase over the same period. This underperformance may reflect investor concerns about the company's growth prospects or broader industry headwinds.
 **Economic Outlook:**  
 The macroeconomic environment poses challenges for Western Digital. The ongoing trade tensions, particularly between the U.S. and China, could disrupt supply chains and increase costs for the company. Additionally, the slowing global economy and rising interest rates may dampen demand for technology hardware, including storage solutions. However, the company's strong institutional ownership (98.99%) and robust profitability metrics provide a degree of resilience against these headwinds.
 The technology sector has faced increased volatility recently, with investors rotating out of high-growth names amid broader market uncertainty. Western Digital's beta of 1.457 indicates higher sensitivity to market movements, suggesting the stock could experience significant price swings in the near term.
 **Summary:**  
 Western Digital's investment thesis is supported by its attractive valuation, strong profitability, and solid liquidity position. The company's edge lies in its efficient operations and potential for earnings growth, as reflected in its low forward P/E ratio. However, risks include rising short interest, macroeconomic headwinds, and potential disruptions from trade tensions. While the stock appears undervalued, broader market conditions and industry-specific challenges could weigh on its performance in the short term.
 **Score: 65**</t>
  </si>
  <si>
    <t>IPG</t>
  </si>
  <si>
    <t>**Investment Report: Interpublic Group of Companies (IPG)**
 **Recent News:**  
 Interpublic Group of Companies (IPG) has not been in the spotlight recently, with no significant news or developments reported in the past week. This lack of news suggests stability in operations but also indicates no immediate catalysts for significant price movement in the short term.
 **Financials:**  
 IPG's financial performance reflects a mixed picture. The company is trading near its 52-week low of $26.30, with a recent close at $27.07, indicating potential undervaluation compared to its 52-week high of $35.17. The trailing price-to-earnings (P/E) ratio of 14.46 and forward P/E of 9.62 suggest the stock is attractively priced relative to its earnings potential. However, earnings growth has been negative, with a quarterly decline of 25.6%, and revenue growth has contracted by 5.8% year-over-year, reflecting challenges in the advertising industry.
 The company maintains a strong dividend yield of 4.82%, significantly above its five-year average of 3.97%, which may appeal to income-focused investors. However, the payout ratio of 72.1% indicates limited room for dividend growth unless earnings improve. IPG's return on equity (ROE) of 17.99% is robust, signaling effective use of shareholder capital, though return on assets (ROA) is modest at 4.77%.
 Debt levels are a concern, with a debt-to-equity ratio of 108.81, indicating high leverage. While the company has a healthy cash position of $2.19 billion and a quick ratio of 1.02, its ability to manage debt in a rising interest rate environment could be tested. Free cash flow of $773 million provides some cushion for operations and debt servicing.
 **Valuations:**  
 IPG's valuation metrics suggest the stock is trading at a discount. The price-to-sales ratio of 1.07 and price-to-book ratio of 2.59 are reasonable, particularly for a company in the advertising sector. Analysts have a mean target price of $34.72, representing a potential upside of approximately 28% from current levels. The recommendation mean of 2.27 (on a scale where 1 is a strong buy and 5 is a sell) indicates a generally favorable outlook among analysts.
 **Economic Outlook:**  
 The broader economic environment poses challenges for IPG. The advertising industry is cyclical and sensitive to economic slowdowns, and the U.S. economy is showing signs of deceleration, with GDP expected to shrink by 1.5% in Q1 2025. Rising unemployment and weakening consumer confidence could lead to reduced advertising budgets, impacting IPG's revenue. Additionally, geopolitical uncertainties, including trade tensions and tariffs, may weigh on corporate spending, further pressuring the advertising sector.
 On the positive side, IPG's diversified client base and established market position may help it weather economic headwinds better than smaller competitors. The company's focus on digital advertising and data-driven marketing could also provide growth opportunities as businesses continue to shift toward online platforms.
 **Summary:**  
 **Thesis:** IPG appears undervalued based on its current valuation metrics and dividend yield, offering potential upside if the advertising market stabilizes.  
 **Edge:** The company's strong market position, robust dividend, and reasonable valuation provide a buffer against economic uncertainty.  
 **Risk:** High leverage, declining earnings, and exposure to economic cycles pose significant risks, particularly in a slowing economy.
 **Score: 65**</t>
  </si>
  <si>
    <t>**Investment Report: Incyte Corporation**
 **Recent News:**  
 Incyte Corporation has not been featured in any significant news over the past week. The absence of recent developments suggests a period of operational stability, though it also limits immediate catalysts for stock movement. This lack of news may reflect a focus on internal execution or ongoing projects, which could be critical for a biotechnology company reliant on research and development pipelines.
 **Financials:**  
 Incyte's financial performance presents a mixed picture. The company has a market capitalization of approximately $13.6 billion and a relatively low debt-to-equity ratio of 1.75, indicating a strong balance sheet. With $2.16 billion in cash and minimal debt of $60.3 million, the company is well-capitalized to fund its operations and potential R&amp;D initiatives. The quick ratio of 1.83 and current ratio of 1.97 further highlight its solid liquidity position.
 Revenue growth of 16.3% year-over-year is a positive indicator, supported by gross margins of 35.0%. However, profitability metrics remain weak, with net income margins at just 0.77% and return on equity at 0.75%. The trailing price-to-earnings (P/E) ratio of 468.4 is exceptionally high, reflecting low trailing earnings, though the forward P/E of 11.44 suggests expectations of significant earnings growth. The company’s free cash flow of $619.5 million is a strong point, providing flexibility for future investments.
 **Valuations:**  
 Incyte's valuation metrics are somewhat contradictory. The price-to-book ratio of 3.94 is reasonable for a biotechnology firm, and the enterprise value-to-revenue ratio of 2.71 suggests the stock is not excessively overvalued relative to its sales. However, the trailing P/E ratio is inflated due to low trailing earnings, which could deter value-focused investors. Analysts appear optimistic, with a mean target price of $78.26, representing a modest upside from the current price of $73.26. The recommendation mean of 2.26 (between "buy" and "hold") reflects cautious optimism among analysts.
 **Economic Outlook:**  
 The broader economic environment poses challenges for Incyte. The U.S. economy is showing signs of deceleration, with GDP contraction expected in Q1 2025 and rising jobless claims. While the biotechnology sector is less sensitive to macroeconomic cycles than other industries, reduced consumer and institutional spending could indirectly impact healthcare and pharmaceutical demand. Additionally, heightened market volatility and geopolitical uncertainties may weigh on investor sentiment, particularly for high-beta stocks like Incyte (beta of 0.76).
 Despite these headwinds, the company’s focus on innovation and its strong cash position provide a buffer against economic uncertainty. The biotechnology industry’s long-term growth potential, driven by advancements in personalized medicine and immunotherapy, remains a favorable backdrop for Incyte.
 **Summary of Thesis, Edge, and Risk:**  
 Incyte's investment thesis is underpinned by its strong liquidity, manageable debt levels, and revenue growth, which position it well to capitalize on future opportunities in the biotechnology sector. Its edge lies in its robust cash reserves and ability to fund R&amp;D without relying heavily on external financing. However, risks include weak profitability metrics, high valuation multiples, and broader economic uncertainties that could dampen investor confidence. The lack of recent news or catalysts may also limit short-term upside potential.
 **Score: 65**</t>
  </si>
  <si>
    <t>LII</t>
  </si>
  <si>
    <t>**Investment Report: Lennox International (Building Products Industry)**
 **Recent News:**  
 Lennox International has not been in the news over the past week, indicating a lack of significant developments or announcements. This absence of news suggests stability in operations but also a lack of immediate catalysts for the stock. The broader economic environment, including trade tensions and slowing GDP growth, may indirectly influence the company, particularly given its exposure to construction and building products.
 **Financials:**  
 Lennox International's financial performance reflects a strong position within its industry. The company has a trailing price-to-earnings (P/E) ratio of 26.04 and a forward P/E of 25.13, indicating a premium valuation compared to the broader market. Its profit margins are healthy at 15.1%, supported by robust operating margins of 18.4% and EBITDA margins of 21.1%. Revenue growth of 16.5% year-over-year and earnings growth of 36.2% highlight the company's ability to expand both its top and bottom lines effectively.
 The company maintains a dividend yield of 0.77%, with a payout ratio of 20.19%, suggesting a conservative approach to capital allocation while still rewarding shareholders. However, the dividend yield is below its five-year average of 1.2%, reflecting the stock's elevated price levels. Lennox's return on equity (ROE) is exceptionally high at 142.1%, driven by its leveraged balance sheet, as evidenced by a debt-to-equity ratio of 175.1%. While this leverage amplifies returns, it also increases financial risk, particularly in a rising interest rate environment.
 The stock's beta of 1.14 indicates slightly higher volatility than the market, which could be exacerbated by macroeconomic uncertainties. The company has a strong free cash flow of $611.6 million, providing flexibility for debt servicing, reinvestment, or shareholder returns.
 **Valuations:**  
 Lennox International's valuation metrics suggest the stock is trading at a premium. Its price-to-sales ratio of 3.91 and price-to-book ratio of 24.58 are significantly higher than industry averages, reflecting investor confidence in the company's growth prospects. The enterprise value-to-EBITDA ratio of 19.88 further underscores its rich valuation. Analyst sentiment is mixed, with a mean price target of $613.89, close to its current trading range, and a recommendation key of "hold." This suggests limited upside potential in the near term.
 **Economic Outlook:**  
 The broader economic environment poses challenges for Lennox International. The U.S. economy is showing signs of deceleration, with GDP projected to shrink by 1.5% in Q1 2025. Rising jobless claims, a record trade deficit, and weakening consumer confidence could dampen demand for building products. Additionally, President Trump's tariffs on steel and aluminum imports may increase input costs for Lennox, potentially squeezing margins. However, the company's strong revenue growth and operational efficiency may help mitigate these headwinds.
 **Summary of Thesis, Edge, and Risk:**  
 Lennox International benefits from strong financial performance, robust revenue and earnings growth, and high operational efficiency. Its premium valuation reflects investor confidence in its ability to navigate economic challenges. However, the company's high leverage and exposure to macroeconomic risks, including tariffs and slowing GDP growth, present significant risks. The lack of recent news or catalysts suggests limited short-term upside, while its elevated valuation leaves little margin for error.
 **Score: 65**</t>
  </si>
  <si>
    <t>**Investment Report: Kroger (KR)**
 **Recent News:**  
 Kroger has recently undergone a significant leadership change as long-time Chair and CEO Rodney McMullen resigned following a board investigation into personal conduct violations unrelated to the company's operations or financial performance. Ronald Sargent has been appointed as interim CEO and chair. While the leadership transition introduces some uncertainty, the company continues to maintain its shareholder-friendly policies, including a quarterly dividend. However, the upcoming Q4 earnings report is expected to show a decline, reflecting broader challenges in the retail and grocery sector. The stock experienced a slight decline following the announcement, signaling cautious investor sentiment.
 **Financials:**  
 Kroger's financial metrics reflect a stable but pressured position. The company trades at a trailing P/E of 16.64 and a forward P/E of 13.73, suggesting moderate valuation levels relative to its earnings potential. The dividend yield of 1.97% is slightly below its five-year average of 2.01%, but the payout ratio of 31.48% indicates the dividend is well-covered by earnings. The company has a strong market capitalization of $45.5 billion and a manageable beta of 0.502, indicating lower volatility compared to the broader market. However, Kroger's earnings and revenue growth have been negative, with earnings growth at -88.2% and revenue growth at -0.6%, reflecting challenges in maintaining profitability and sales momentum.
 Kroger's balance sheet shows a high debt-to-equity ratio of 229.2%, which is a concern given the rising interest rate environment. The company has $2.3 billion in cash and $21.2 billion in total debt, with a current ratio of 1.54, indicating adequate short-term liquidity. Free cash flow of $2.78 billion and operating cash flow of $6.31 billion provide some financial flexibility, but the high leverage remains a risk.
 **Valuations:**  
 Kroger's price-to-sales ratio of 0.30 and enterprise value-to-revenue ratio of 0.44 suggest the stock is trading at a discount relative to its revenue generation. The price-to-book ratio of 5.10 is elevated, reflecting a premium valuation compared to its book value. Analysts have a mixed outlook, with a mean target price of $66.59, representing modest upside from the current price. The recommendation mean of 2.2 (on a scale where 1 is a strong buy and 5 is a sell) indicates a generally favorable view, though the stock's recent decline and leadership uncertainty may weigh on sentiment.
 **Economic Outlook:**  
 The broader economic environment presents headwinds for Kroger. Rising inflation and tariff-related trade tensions could pressure consumer spending and increase input costs for grocery retailers. Additionally, the U.S. economy is showing signs of deceleration, with GDP expected to shrink in Q1 2025. These factors, combined with Kroger's negative earnings and revenue growth, suggest the company may face challenges in maintaining its margins and market share. However, its defensive positioning in the food retail industry could provide some resilience during economic downturns.
 **Summary:**  
 Kroger's investment thesis is supported by its stable dividend, defensive industry positioning, and moderate valuation metrics. The company's edge lies in its scale and ability to generate consistent cash flow, even in challenging environments. However, risks include leadership uncertainty, high leverage, and declining earnings and revenue growth, which could be exacerbated by macroeconomic pressures.
 **Score: 65**</t>
  </si>
  <si>
    <t>HLT</t>
  </si>
  <si>
    <t>**Investment Report: Hilton Worldwide**
 **Recent News:**  
 Hilton Worldwide has not been in the news over the past week, indicating a lack of significant developments or announcements. This absence of news suggests stability in operations but also a lack of immediate catalysts for stock movement. The broader macroeconomic environment, including trade tensions and slowing economic growth, may indirectly influence the hospitality sector, particularly if consumer spending and travel budgets are impacted.
 **Financials:**  
 Hilton's financial performance reflects a strong position within the hospitality industry. The company has a market capitalization of $63.4 billion and a trailing price-to-earnings (P/E) ratio of 42.86, which is relatively high, indicating that the stock is priced for growth. The forward P/E of 32.99 suggests expectations of continued earnings expansion. Hilton's profit margins are robust, with a net profit margin of 32.34% and EBITDA margins of 52.70%, highlighting operational efficiency. Revenue growth of 4.5% year-over-year is modest but steady, while earnings growth of 257% signals a strong recovery, likely driven by post-pandemic travel demand.
 The company’s dividend yield of 0.23% is below its five-year average of 0.8%, reflecting a focus on reinvestment rather than shareholder payouts. Hilton's free cash flow of $1.63 billion and operating cash flow of $2.01 billion provide a solid foundation for future investments or debt reduction. However, the company carries significant debt of $12 billion, which, combined with a quick ratio of 0.61 and a current ratio of 0.70, indicates limited short-term liquidity. This could pose a risk in a tightening credit environment.
 **Valuations:**  
 Hilton's valuation metrics suggest the stock is trading at a premium. The price-to-sales ratio of 13.36 and enterprise value-to-EBITDA ratio of 29.65 are elevated compared to industry averages, reflecting high investor expectations. The stock is trading near its 52-week high of $275.22, with a current price range of $260.99 to $267.80. Analysts have a median price target of $268.50, close to the current trading price, indicating limited upside in the near term. The recommendation mean of 2.44 (between "buy" and "hold") suggests cautious optimism among analysts.
 **Economic Outlook:**  
 The broader economic environment presents mixed signals for Hilton. The U.S. economy is showing signs of deceleration, with GDP expected to shrink by 1.5% in Q1 2025. Rising jobless claims and weakening consumer confidence could dampen discretionary spending, including travel and hospitality. Additionally, the ongoing trade tensions and tariffs may indirectly impact Hilton by increasing costs or reducing international travel demand. However, inflation appears to be moderating, and the Federal Reserve may consider rate cuts later in the year, which could support consumer spending and travel.
 Hilton's beta of 1.29 indicates higher sensitivity to market volatility, which could amplify stock movements in response to economic or geopolitical developments. The company's strong brand and operational efficiency provide a competitive edge, but its high debt levels and premium valuation could limit resilience in a downturn.
 **Summary of Thesis, Edge, and Risk:**  
 Hilton Worldwide is well-positioned within the hospitality industry, benefiting from strong profit margins, operational efficiency, and steady revenue growth. Its premium valuation reflects high investor expectations, supported by robust earnings growth and a strong recovery in travel demand. However, the company faces risks from economic deceleration, high debt levels, and limited short-term liquidity. The stock's current price near its 52-week high suggests limited upside potential in the near term, particularly given broader macroeconomic uncertainties.
 **Score: 65**</t>
  </si>
  <si>
    <t>HSIC</t>
  </si>
  <si>
    <t>**Investment Report: Henry Schein Inc. (HSIC)**
 **Recent News:**  
 Henry Schein's Q4 earnings report revealed mixed results. The company posted an adjusted EPS of $1.19, an 80.3% year-over-year increase, but slightly missed Wall Street's consensus of $1.21. Despite meeting earnings estimates, the stock fell in premarket trading, reflecting investor concerns over the company's outlook. Henry Schein also forecasted weaker-than-expected profit for 2025, citing tepid demand for dental products and persistent inflationary pressures. The company is undergoing restructuring efforts aimed at long-term growth, but these changes may take time to yield results.
 **Financials:**  
 Henry Schein's financial metrics present a mixed picture. The company has a trailing P/E ratio of 23.22 and a forward P/E of 13.62, suggesting that while the stock is currently priced higher relative to earnings, future growth expectations are more favorable. The price-to-sales ratio of 0.69 indicates a relatively low valuation compared to revenue, which could signal an undervalued opportunity. However, the company's gross margin of 31.69% and operating margin of 4.86% are modest, reflecting the challenges of operating in a competitive and inflation-sensitive industry. Debt levels are notable, with a debt-to-equity ratio of 59.4%, though the company maintains a healthy free cash flow of $800 million, which provides some financial flexibility.
 **Valuations:**  
 Henry Schein's stock is trading near the lower end of its 52-week range ($63.67-$82.49), with a current price-to-book ratio of 2.59. Analysts have a median price target of $80, representing potential upside from current levels. However, the company's profit margins (3.08%) and return on equity (7.97%) are relatively modest, which may limit its appeal compared to peers. The trailing PEG ratio of 1.75 suggests that the stock is fairly valued relative to its growth prospects.
 **Economic Outlook:**  
 The broader economic environment poses challenges for Henry Schein. Persistent inflation is dampening demand for dental products, a key revenue driver for the company. Additionally, the U.S. economy is showing signs of deceleration, with GDP expected to shrink in Q1 2025. Rising jobless claims and weakening consumer confidence could further pressure demand in the healthcare distribution sector. On the positive side, Henry Schein's diversified portfolio across dental and medical markets provides some resilience, and its restructuring efforts may position the company for improved performance in the long term.
 **Summary:**  
 **Thesis:** Henry Schein's stable revenue base and restructuring efforts offer potential for long-term growth, but near-term challenges, including weak demand and inflationary pressures, weigh on its outlook.  
 **Edge:** The company's low price-to-sales ratio and strong free cash flow provide a cushion against economic headwinds, while its diversified portfolio mitigates risk.  
 **Risk:** Persistent inflation, weak demand for dental products, and high debt levels could limit profitability and stock performance in the short term.  
 **Score: 65**</t>
  </si>
  <si>
    <t>GDDY</t>
  </si>
  <si>
    <t>**Investment Report: GoDaddy (Internet Services &amp; Infrastructure)**
 **Recent News:**  
 GoDaddy has not been in the news over the past week, indicating a lack of significant developments or announcements. This absence of news suggests stability but also highlights the need to focus on financial performance and broader economic factors to assess the company's outlook.
 **Financials:**  
 GoDaddy's stock has shown moderate volatility, with a recent trading range between $176.05 and $180.98. The company has a market capitalization of $25.12 billion and a beta of 1.255, indicating a slightly higher sensitivity to market movements compared to the broader market. The trailing price-to-earnings (P/E) ratio of 27.59 and forward P/E of 26.48 suggest the stock is priced at a premium, reflecting investor confidence in its future earnings potential. However, earnings growth has been negative, with a quarterly decline of -82.2%, raising concerns about near-term profitability.
 The company has a strong gross margin of 63.88% and an operating margin of 22.25%, indicating efficient cost management. Free cash flow stands at $887.75 million, providing financial flexibility. However, the debt-to-equity ratio of 562.74% is exceptionally high, signaling significant leverage that could pose risks in a rising interest rate environment. The quick ratio of 0.501 and current ratio of 0.723 suggest limited short-term liquidity, which may constrain operational flexibility.
 GoDaddy's revenue growth of 8.4% year-over-year is modest but steady, supported by its subscription-based business model. The company’s return on equity (ROE) of 2.48% is relatively low, reflecting the impact of high debt levels on shareholder returns.
 **Valuations:**  
 The stock is trading at a price-to-book (P/B) ratio of 36.26, significantly above the industry average, indicating a high valuation relative to its book value. The enterprise value-to-revenue (EV/Revenue) ratio of 6.07 and enterprise value-to-EBITDA (EV/EBITDA) ratio of 25.97 further underscore the premium valuation. Analyst sentiment remains positive, with a recommendation mean of 2.15 (Buy) and a target median price of $226.50, suggesting potential upside from current levels. However, the trailing PEG ratio of 3.12 indicates that the stock may be overvalued relative to its growth prospects.
 **Economic Outlook:**  
 The broader economic environment presents mixed signals for GoDaddy. The U.S. economy is showing signs of deceleration, with GDP projected to shrink by 1.5% in Q1 2025. Rising jobless claims and weakening consumer confidence could dampen demand for small business services, a key customer segment for GoDaddy. Additionally, the ongoing trade tensions and tariffs may indirectly impact the company by increasing costs for its customers, particularly small and medium-sized enterprises (SMEs). On the positive side, moderating inflation and potential Federal Reserve rate cuts later in the year could provide some relief.
 **Summary:**  
 **Thesis:** GoDaddy benefits from a subscription-based revenue model and strong margins, which provide stability in uncertain economic conditions.  
 **Edge:** The company’s market leadership in domain registration and web hosting services positions it well for long-term growth, supported by steady revenue increases.  
 **Risk:** High leverage and negative earnings growth pose significant risks, particularly in a slowing economy with rising interest rates.
 **Score: 65**</t>
  </si>
  <si>
    <t>GPC</t>
  </si>
  <si>
    <t>**Investment Report: Genuine Parts Company**
 **Recent News:**  
 Genuine Parts Company has not been in the news over the past week, indicating a lack of significant recent developments or announcements. This absence of news suggests stability in operations but also a lack of catalysts that could drive short-term price movements.
 **Financials:**  
 Genuine Parts Company is trading near the lower end of its 52-week range, with a current price of $123.67 compared to a high of $164.45. The stock has a trailing P/E ratio of 19.17 and a forward P/E of 14.64, indicating a valuation that is more attractive based on forward earnings expectations. The company offers a strong dividend yield of 3.3%, above its five-year average of 2.75%, supported by a payout ratio of 61.82%. This suggests the dividend is sustainable, though earnings growth has been under pressure, with a decline of 57.5% in the most recent quarter.
 Revenue growth remains modest at 3.3% year-over-year, while profit margins are relatively thin at 3.85%. The company’s debt-to-equity ratio of 139.85% is high, reflecting significant leverage, though its operating cash flow of $1.25 billion and free cash flow of $384 million provide some reassurance regarding its ability to service debt. The quick ratio of 0.426 indicates potential liquidity constraints, though the current ratio of 1.156 suggests the company can meet short-term obligations.
 **Valuations:**  
 The stock's price-to-book ratio of 3.97 is elevated, reflecting a premium valuation relative to its book value. However, the price-to-sales ratio of 0.73 and enterprise value-to-revenue ratio of 0.97 suggest the company is reasonably valued relative to its revenue generation. Analysts have a median price target of $130, implying modest upside potential from current levels. The recommendation mean of 2.5 (on a scale where 1 is a strong buy and 5 is a sell) indicates a neutral to slightly positive sentiment among analysts.
 **Economic Outlook:**  
 The broader economic environment presents challenges for Genuine Parts Company. The U.S. economy is showing signs of deceleration, with GDP expected to contract in Q1 2025. Rising tariffs on Canadian, Mexican, and Chinese goods could increase input costs for the company, potentially pressuring margins further. Additionally, consumer confidence is weakening, which could impact demand for the company’s products in the automotive and industrial sectors. However, the company’s defensive business model, focused on essential parts distribution, may provide some insulation against broader economic headwinds.
 **Summary of Thesis, Edge, and Risk:**  
 Genuine Parts Company offers a stable dividend yield and reasonable forward valuation, making it attractive for income-focused investors. Its defensive business model provides resilience in uncertain economic conditions. However, risks include declining earnings growth, high leverage, and potential margin pressures from rising tariffs and slowing economic activity. The lack of recent news or catalysts limits short-term upside potential.
 **Score: 65**</t>
  </si>
  <si>
    <t>GLW</t>
  </si>
  <si>
    <t>**Investment Report: Corning Inc. (GLW)**
 **Recent News:**  
 Corning Inc. has seen a 2% decline in its stock price since its last earnings report, reflecting investor concerns over its near-term performance. The company reported earnings 30 days ago, and the market reaction suggests that the results may not have met expectations or that forward guidance was less optimistic. The broader economic environment, including trade tensions and slowing GDP growth, could also be weighing on the stock, particularly given Corning's exposure to global supply chains and its reliance on industrial and consumer demand for its products.
 **Financials:**  
 Corning's financial metrics present a mixed picture. The company has a trailing price-to-earnings (P/E) ratio of 83.19, which is significantly higher than its forward P/E of 20.89, indicating expectations of improved earnings in the future. However, its profit margins remain modest at 3.86%, and its return on equity (ROE) of 5.16% is relatively low, suggesting limited efficiency in generating shareholder returns. The company's revenue growth of 16.9% is a positive indicator, but its debt-to-equity ratio of 73.09% highlights a leveraged balance sheet that could pose risks in a rising interest rate environment.
 Corning's dividend yield of 2.23% is below its five-year average of 2.9%, which may make it less attractive to income-focused investors. However, the company maintains a solid free cash flow of $1.14 billion, which supports its dividend payments and provides some financial flexibility. The quick ratio of 0.777 and current ratio of 1.625 indicate adequate liquidity, though the quick ratio suggests some reliance on inventory to meet short-term obligations.
 **Valuations:**  
 Corning's price-to-book (P/B) ratio of 3.86 is relatively high, indicating that the stock may be overvalued compared to its book value. The enterprise value-to-EBITDA ratio of 17.55 also suggests a premium valuation, which could be a concern given the current economic uncertainty. Analysts have a mean target price of $55.15, representing potential upside from the current price, but the range of target prices ($43.00 to $65.00) reflects differing views on the company's prospects.
 **Economic Outlook:**  
 The macroeconomic environment poses challenges for Corning. The U.S. economy is showing signs of deceleration, with GDP expected to shrink by 1.5% in Q1 2025. Trade tensions, particularly the new tariffs on Canadian, Mexican, and Chinese goods, could disrupt Corning's supply chains and increase costs. Additionally, slowing consumer confidence and industrial activity may dampen demand for Corning's products in sectors such as automotive, telecommunications, and consumer electronics.
 On the positive side, Corning's focus on innovation and its exposure to growth areas like 5G infrastructure and advanced display technologies could provide long-term opportunities. However, these may take time to materialize, and near-term headwinds could limit stock performance.
 **Summary:**  
 **Thesis:** Corning's strong revenue growth and focus on innovation position it well for long-term growth, but near-term challenges, including economic slowdown and trade tensions, weigh on its outlook.  
 **Edge:** The company's exposure to high-growth sectors like 5G and advanced materials provides a unique growth opportunity.  
 **Risk:** High leverage, modest profit margins, and macroeconomic headwinds could pressure financial performance and stock valuation in the short term.
 **Score: 65**</t>
  </si>
  <si>
    <t>GEN</t>
  </si>
  <si>
    <t>**Investment Report: Gen Digital (Systems Software Industry)**
 **Recent News:**  
 There have been no significant updates or developments regarding Gen Digital in the past week. The absence of news suggests stability in the company's operations, with no immediate disruptions or breakthroughs impacting its market position.
 **Financials:**  
 Gen Digital's financial performance reflects a mixed but generally stable outlook. The company has a market capitalization of $17.03 billion and a trailing price-to-earnings (PE) ratio of 27.10, which is relatively high but offset by a forward PE of 11.28, indicating expectations of strong earnings growth. The firm has a dividend yield of 1.83%, slightly below its five-year average of 2.19%, suggesting a modest but consistent return for income-focused investors. 
 The company’s profit margins are solid, with a net profit margin of 16.43% and gross margins of 80.34%, highlighting its ability to maintain profitability despite potential cost pressures. Revenue growth of 4% year-over-year and earnings growth of 12% in the most recent quarter indicate steady operational performance. However, the debt-to-equity ratio of 396.61% is a significant concern, reflecting a highly leveraged balance sheet that could pose risks in a rising interest rate environment. The quick ratio of 0.305 and current ratio of 0.351 further emphasize liquidity constraints, though the company generates strong free cash flow of $2.19 billion, which may help mitigate short-term financial risks.
 **Valuations:**  
 Gen Digital's valuation metrics present a mixed picture. The price-to-book ratio of 7.92 is high, suggesting the stock is trading at a premium relative to its book value. However, the trailing PEG ratio of 0.683 indicates that the stock may be undervalued relative to its growth potential. Analysts have a mean target price of $31.37, representing a potential upside of approximately 14.8% from the current price of $27.33. The recommendation mean of 2.1 (on a scale where 1.0 is a strong buy) reflects a generally favorable outlook from analysts.
 **Economic Outlook:**  
 The broader economic environment poses challenges for Gen Digital. The U.S. economy is showing signs of deceleration, with GDP expected to contract in Q1 2025. Rising jobless claims, a record trade deficit, and weakening consumer confidence could dampen demand for software solutions, particularly in discretionary segments. Additionally, the ongoing trade tensions and tariffs may indirectly impact the company through higher input costs or reduced global demand. However, the Federal Reserve's efforts to control inflation and potential rate cuts later in the year could provide some relief to highly leveraged companies like Gen Digital.
 **Summary of Thesis, Edge, and Risk:**  
 Gen Digital demonstrates strong profitability and cash flow generation, supported by robust margins and steady revenue growth. Its forward PE and PEG ratios suggest potential undervaluation relative to growth prospects, providing an edge for long-term investors. However, the company's high debt levels and liquidity constraints pose significant risks, particularly in a challenging macroeconomic environment. The broader economic slowdown and trade uncertainties could further pressure the stock in the near term.
 **Score: 65**</t>
  </si>
  <si>
    <t>WBD</t>
  </si>
  <si>
    <t>**Investment Report: Warner Bros. Discovery**
 **Recent News:**  
 Warner Bros. Discovery's latest quarterly results reflect a mixed performance. Revenue declined by 1% year-over-year to $10.03 billion, missing analyst expectations, while the company reported a loss of $0.20 per share. Despite these setbacks, the market responded positively due to the strong growth in its streaming platform, Max, which added 6.4 million subscribers, reaching a total of 116.9 million. The company has set an ambitious target of 150 million subscribers by 2026, signaling confidence in its direct-to-consumer (DTC) strategy. Additionally, Warner Bros. is restructuring its gaming division, focusing on profitable franchises like Harry Potter and DC Comics, while shutting down underperforming studios. The inclusion of sports and news content on Max at no extra cost is a strategic move to enhance subscriber retention and attract new users. However, challenges persist in the advertising and distribution segments, which remain critical to the company's overall revenue mix.
 **Financials:**  
 Warner Bros. Discovery's financial metrics reveal a company navigating significant challenges. The firm has a market capitalization of $27.08 billion and trades at a price-to-sales ratio of 0.69, indicating a relatively low valuation compared to its revenue. However, profitability remains a concern, with a net income loss of $11.31 billion over the trailing twelve months and a negative profit margin of -28.77%. The company's debt-to-equity ratio of 123.09% highlights a heavily leveraged balance sheet, though its free cash flow of $20.51 billion provides some financial flexibility. The stock's price-to-book ratio of 0.79 suggests it is trading below its book value, which could indicate undervaluation if the company can stabilize its operations. Warner Bros. has also seen a 40.8% increase in its stock price over the past year, outperforming the S&amp;P 500's 17.2% gain, reflecting investor optimism about its turnaround efforts.
 **Valuations:**  
 The forward price-to-earnings (P/E) ratio of -84.77 underscores the company's current lack of profitability, with forward earnings still expected to be negative. Analysts have a median price target of $13.00, representing a potential upside from the current trading range. The stock's 52-week range of $6.64 to $12.70 shows significant volatility, with the current price near the higher end of this range. While the company's enterprise value-to-revenue ratio of 1.67 and enterprise value-to-EBITDA ratio of 8.56 are not overly stretched, they reflect the challenges of managing its substantial debt load and achieving sustainable profitability.
 **Economic Outlook:**  
 The broader economic environment presents both opportunities and risks for Warner Bros. Discovery. The U.S. economy is showing signs of deceleration, with GDP expected to contract in Q1 2025. Consumer confidence is weakening, which could impact discretionary spending on entertainment services. Additionally, the advertising market remains under pressure, a key revenue stream for the company. However, the Federal Reserve's efforts to control inflation and potential rate cuts later in the year could provide some relief. The company's focus on streaming aligns with the ongoing shift in consumer preferences, but competition in the streaming space remains intense, with rivals like Netflix and Disney+ vying for market share.
 **Summary of Thesis, Edge, and Risk:**  
 Warner Bros. Discovery's investment thesis hinges on its ability to execute its DTC strategy, particularly through the growth of Max, while managing its high debt levels and addressing challenges in its traditional media segments. The company's edge lies in its strong content library, including popular franchises like Harry Potter and DC Comics, which provide a competitive advantage in attracting and retaining subscribers. However, risks include its significant leverage, ongoing losses, and exposure to macroeconomic headwinds that could dampen advertising and consumer spending.
 **Score: 65**</t>
  </si>
  <si>
    <t>HST</t>
  </si>
  <si>
    <t>**Investment Report: Host Hotels &amp; Resorts**
 **Recent News:**  
 Host Hotels &amp; Resorts has not been in the spotlight recently, with no significant news or developments over the past week. This lack of news suggests stability in operations but also indicates no immediate catalysts for significant price movement in the short term.
 **Financials:**  
 Host Hotels &amp; Resorts is trading near its 52-week low of $15.71, with a current price of $16.13, reflecting a 22.4% decline over the past year compared to the S&amp;P 500's 17.2% gain. The company offers a dividend yield of 4.96%, above its five-year average of 4.49%, which may appeal to income-focused investors. However, the payout ratio of 80.81% suggests limited room for dividend growth, especially given the firm's declining earnings growth (-20% year-over-year).  
 The company’s trailing price-to-earnings (P/E) ratio of 16.3 and forward P/E of 16.6 indicate a valuation in line with its historical range, but its price-to-book ratio of 1.71 suggests the stock is trading at a premium relative to its book value. Host Hotels has a profit margin of 12.25% and EBITDA margins of 27.06%, reflecting solid operational efficiency. However, earnings quarterly growth has declined by 18.2%, signaling potential challenges in maintaining profitability.  
 The firm’s balance sheet shows a debt-to-equity ratio of 83.27, which is relatively high for a REIT, though manageable given its strong operating cash flow of $1.5 billion and free cash flow of $1.18 billion. Liquidity appears sufficient, with a quick ratio of 1.68 and total cash of $554 million.  
 **Valuations:**  
 Host Hotels' enterprise value-to-EBITDA ratio of 10.74 is reasonable for the REIT sector, suggesting the stock is not overvalued relative to its earnings potential. Analysts have a median price target of $20, implying a potential upside of 24% from current levels. The recommendation mean of 1.8 (on a scale where 1.0 is a strong buy) reflects positive sentiment among analysts, with 18 opinions supporting a "buy" rating.  
 **Economic Outlook:**  
 The broader economic environment presents mixed implications for Host Hotels. The U.S. economy is showing signs of deceleration, with GDP expected to shrink by 1.5% in Q1 2025. Rising tariffs and trade tensions could weigh on consumer confidence and discretionary spending, potentially impacting the hospitality and travel sectors. However, Host Hotels' focus on high-quality properties in prime locations may provide some insulation from broader economic pressures.  
 The Federal Reserve's restrictive monetary policy and elevated interest rates could increase borrowing costs for the company, given its significant debt load. On the other hand, moderating inflation and potential rate cuts later in the year could provide relief.  
 **Summary of Thesis, Edge, and Risk:**  
 Host Hotels &amp; Resorts offers a stable dividend yield and reasonable valuation, making it an attractive option for income-focused investors. Its strong cash flow and operational efficiency provide a solid foundation, while its high-quality property portfolio offers resilience in a challenging economic environment. However, risks include declining earnings growth, high debt levels, and potential headwinds from a slowing economy and rising interest rates. The lack of recent news or catalysts suggests limited short-term upside, but the stock may appeal to long-term investors seeking steady income and moderate growth potential.  
 **Score: 65**</t>
  </si>
  <si>
    <t>HAS</t>
  </si>
  <si>
    <t>**Investment Report: Hasbro (Leisure Products Industry)**
 **Recent News:**  
 There have been no significant updates or developments regarding Hasbro in the past week. The absence of news suggests stability in the company's operations, but it also indicates a lack of immediate catalysts for significant stock movement. This neutral environment places greater emphasis on the company's financial performance and broader economic conditions.
 **Financials:**  
 Hasbro's financial metrics present a mixed picture. The company is trading at a trailing price-to-earnings (PE) ratio of 23.16, which is relatively high compared to its forward PE of 14.38, indicating expectations of improved earnings in the future. The dividend yield of 4.3% is attractive, especially when compared to its five-year average of 3.93%, but the payout ratio of 101.82% raises concerns about the sustainability of these dividends given the company's current earnings. 
 The company has a market capitalization of $8.89 billion and an enterprise value of $11.58 billion, reflecting a moderate level of leverage. However, the debt-to-equity ratio of 285.3% is notably high, signaling significant reliance on debt financing. While Hasbro's gross margins of 63.41% are strong, revenue growth has declined by 14.5% year-over-year, which could weigh on future profitability. The free cash flow of $468.8 million and operating cash flow of $847.4 million provide some reassurance about liquidity, but the high debt levels remain a concern.
 **Valuations:**  
 Hasbro's stock is trading at a price-to-book ratio of 7.50, which is elevated and suggests the stock may be overvalued relative to its book value. The stock's 52-week performance has been positive, with a 28.35% increase, outperforming the S&amp;P 500's 17.25% gain over the same period. Analyst sentiment appears favorable, with a mean recommendation of "buy" and a target median price of $80, implying a potential upside from the current price of $63.57. However, the high short interest ratio of 3.65 and a short percentage of float at 4.82% indicate some skepticism among investors.
 **Economic Outlook:**  
 The broader economic environment poses challenges for Hasbro. The U.S. economy is showing signs of deceleration, with GDP expected to shrink by 1.5% in Q1 2025. Rising tariffs on imports from Canada, Mexico, and China could increase input costs for Hasbro, potentially squeezing margins further. Consumer confidence is weakening, which could impact discretionary spending on leisure products. On the positive side, inflation appears to be moderating, which may provide some relief in terms of cost pressures.
 **Summary of Thesis, Edge, and Risk:**  
 Hasbro's strong gross margins and attractive dividend yield provide a solid foundation for long-term investors. The company's forward PE suggests optimism about future earnings growth, and its outperformance relative to the S&amp;P 500 highlights resilience. However, high debt levels, declining revenue growth, and a challenging macroeconomic environment pose significant risks. The sustainability of the dividend is also a concern given the high payout ratio. While the stock has potential upside based on analyst targets, near-term headwinds from tariffs and weakening consumer confidence could limit gains.
 **Score: 65**</t>
  </si>
  <si>
    <t>K</t>
  </si>
  <si>
    <t>**Investment Report: Kellanova (Packaged Foods &amp; Meats Industry)**
 **Recent News:**  
 Kellanova has not been in the news over the past week, indicating a lack of significant developments or disruptions. This absence of news suggests stability in operations but also a lack of catalysts to drive short-term investor sentiment.
 **Financials:**  
 Kellanova's financial performance reflects a mixed picture. The company is trading near its 52-week high of $82.94, with a current price of $82.49. Its trailing price-to-earnings (PE) ratio of 21.29 is reasonable for the industry, but the forward PE of 68.84 suggests expectations of lower earnings in the near term. The dividend yield of 2.75% is below its five-year average of 3.54%, which may indicate that the stock is relatively expensive compared to its historical valuation.
 The company has a solid profit margin of 10.53% and a return on equity (ROE) of 37.4%, reflecting strong profitability. However, revenue growth has declined by 1.6% year-over-year, signaling potential challenges in maintaining top-line performance. The debt-to-equity ratio of 164.66% is high, indicating significant leverage, which could pose risks in a rising interest rate environment. Free cash flow of $600.6 million and operating cash flow of $1.76 billion provide some financial flexibility, but the quick ratio of 0.477 and current ratio of 0.806 highlight liquidity concerns.
 **Valuations:**  
 Kellanova's price-to-book ratio of 7.55 is elevated, suggesting the stock is trading at a premium relative to its book value. The enterprise value-to-EBITDA ratio of 14.11 is on the higher side, indicating that the market may be pricing in optimistic future growth. Analyst sentiment is neutral, with a "hold" recommendation and a target price range of $83.00 to $83.50, implying limited upside from current levels.
 **Economic Outlook:**  
 The broader economic environment presents challenges for Kellanova. The U.S. economy is showing signs of deceleration, with GDP expected to contract in Q1 2025. Rising tariffs on Canadian, Mexican, and Chinese goods could increase input costs for packaged food companies, potentially squeezing margins. Consumer confidence is weakening, which may impact demand for discretionary food products. However, Kellanova's beta of 0.326 suggests lower volatility compared to the broader market, making it a relatively defensive play in uncertain times.
 **Summary of Thesis, Edge, and Risk:**  
 Kellanova's strong profitability metrics and defensive characteristics make it a stable investment in a volatile market. However, declining revenue growth, high leverage, and limited near-term upside constrain its attractiveness. The company's edge lies in its ability to generate consistent cash flows and maintain profitability, but risks include rising input costs due to tariffs and liquidity concerns stemming from its high debt levels.
 **Score: 65**</t>
  </si>
  <si>
    <t>ITW</t>
  </si>
  <si>
    <t>**Investment Report: Illinois Tool Works (ITW)**
 **Recent News:**  
 Illinois Tool Works has not been in the headlines over the past week, indicating a lack of significant corporate developments or external disruptions. This stability may reflect the company's steady operational performance, though it also suggests no immediate catalysts for substantial price movement in the short term.
 **Financials:**  
 Illinois Tool Works is trading near the midpoint of its 52-week range ($232.77 - $279.13), with a recent close of $263.98. The stock's trailing price-to-earnings (P/E) ratio of 22.37 and forward P/E of 24.51 suggest a valuation premium compared to the broader industrial sector, which may reflect investor confidence in its profitability and market position. However, the company's revenue growth has contracted slightly (-1.3% year-over-year), which could weigh on future earnings momentum.
 The firm maintains strong profitability metrics, with a net profit margin of 21.94% and return on equity (ROE) of 110.2%, indicating efficient capital utilization. Its gross margin of 44.28% and EBITDA margin of 29.53% highlight robust operational efficiency. However, the debt-to-equity ratio of 243.53% is notably high, signaling significant leverage that could pose risks in a rising interest rate environment.
 Dividend payments remain a key attraction for investors, with a dividend yield of 2.27% and a payout ratio of 49.53%, slightly above its five-year average yield of 2.22%. This suggests a commitment to returning capital to shareholders while maintaining a sustainable payout policy.
 **Valuations:**  
 Illinois Tool Works' price-to-book (P/B) ratio of 23.25 is significantly elevated, reflecting a premium valuation relative to its book value. The enterprise value-to-EBITDA ratio of 17.92 also indicates a relatively high valuation compared to peers in the industrial machinery sector. Analysts' target prices range from $215 to $302, with a median target of $265, aligning closely with the current trading price. The recommendation mean of 3.10 (on a scale where 3.0 indicates "Hold") suggests a neutral sentiment among analysts.
 **Economic Outlook:**  
 The broader macroeconomic environment presents mixed signals for Illinois Tool Works. The U.S. economy is showing signs of deceleration, with GDP projected to shrink by 1.5% in Q1 2025. Trade tensions, particularly the imposition of tariffs on steel and aluminum, could increase input costs for industrial manufacturers like ITW, potentially pressuring margins. Additionally, the company's exposure to international markets may be impacted by retaliatory tariffs and global economic uncertainty.
 On the positive side, the Federal Reserve's efforts to control inflation could stabilize input costs over the medium term. Illinois Tool Works' diversified product portfolio and strong cash flow generation ($2.7 billion in free cash flow) position it to weather short-term economic headwinds and maintain its dividend payments.
 **Summary:**  
 Illinois Tool Works benefits from strong profitability, efficient operations, and a reliable dividend, making it a stable player in the industrial machinery sector. However, its high leverage, premium valuation, and exposure to macroeconomic risks, including tariffs and slowing economic growth, present challenges. The lack of recent news or catalysts suggests limited short-term upside, while its long-term prospects remain tied to its ability to navigate economic headwinds and maintain operational efficiency.
 **Score: 65**</t>
  </si>
  <si>
    <t>AOS</t>
  </si>
  <si>
    <t>**Investment Report: A. O. Smith Corporation**
 **Recent News:**  
 A. O. Smith Corporation has not been in the news over the past week, indicating a lack of significant developments or announcements. This absence of news suggests stability but also highlights the need to focus on the company's financials and broader economic conditions to assess its investment potential.
 **Financials:**  
 A. O. Smith's financial performance reflects a mixed picture. The company is trading near its 52-week low of $64.55, significantly below its 52-week high of $92.45, indicating a challenging year with a 20.56% decline in stock price over the past year. The trailing price-to-earnings (P/E) ratio of 18.29 and forward P/E of 16.31 suggest the stock is reasonably valued compared to its historical performance, though earnings growth has been negative (-18.1%). The dividend yield of 2.05% is above its five-year average of 1.72%, signaling a potential opportunity for income-focused investors, supported by a sustainable payout ratio of 35.81%.
 The company's profit margins remain healthy, with a net profit margin of 13.98% and gross margins of 38.14%. However, revenue and earnings have contracted, with revenue growth at -7.7% and earnings growth at -20.1% year-over-year, reflecting broader economic pressures. The balance sheet is relatively strong, with a low debt-to-equity ratio of 12.13 and a current ratio of 1.55, indicating sufficient liquidity to meet short-term obligations. Free cash flow of $390 million and operating cash flow of $581.8 million provide additional financial flexibility.
 **Valuations:**  
 A. O. Smith's valuation metrics suggest the stock is trading at a discount relative to its historical performance. The price-to-book ratio of 5.09 is slightly elevated, but the enterprise value-to-EBITDA ratio of 12.23 is within a reasonable range for the industry. Analysts have a median price target of $76.56, representing a potential upside of approximately 15.5% from the current price of $66.48. The recommendation mean of 2.47 (between "buy" and "hold") indicates cautious optimism among analysts.
 **Economic Outlook:**  
 The broader economic environment poses challenges for A. O. Smith. The U.S. economy is showing signs of deceleration, with GDP expected to contract by 1.5% in Q1 2025. Rising tariffs on steel and aluminum, key inputs for A. O. Smith's products, could pressure margins further. Additionally, the company's exposure to international markets may be impacted by escalating trade tensions, particularly with China, which has imposed retaliatory tariffs on U.S. goods. However, the company's strong cash flow and low debt levels position it to weather near-term economic headwinds.
 **Summary of Thesis, Edge, and Risk:**  
 A. O. Smith's investment thesis is supported by its strong financial position, reasonable valuation, and attractive dividend yield. The company's edge lies in its established market presence and ability to generate consistent cash flow, even in challenging economic conditions. However, risks include declining revenue and earnings growth, potential margin compression from rising input costs, and broader macroeconomic uncertainties, including trade tensions and slowing economic growth.
 **Score: 65**</t>
  </si>
  <si>
    <t>**Investment Report: Amgen (Biotechnology Industry)**
 **Recent News:**  
 Amgen has not been in the spotlight over the past week, with no significant announcements or developments. This lack of news suggests stability in operations but also indicates no immediate catalysts for significant price movement in the short term.
 **Financials:**  
 Amgen's financial performance reflects a mixed picture. The company has a strong dividend yield of 3.09%, above its five-year average of 2.99%, which may appeal to income-focused investors. However, its payout ratio of 1.19 suggests that dividends are being funded at a level that may not be sustainable in the long term without earnings growth. The trailing price-to-earnings (P/E) ratio of 41.16 is high, but the forward P/E of 15.03 indicates expectations of improved profitability. 
 Amgen's revenue growth of 10.9% year-over-year is a positive sign, but earnings growth has declined by 18.7%, reflecting margin pressures or increased costs. The company maintains robust gross margins of 68.71% and operating margins of 51.81%, which are strong for the biotechnology sector. However, the debt-to-equity ratio of 1035.89 is exceptionally high, signaling significant leverage that could pose risks in a rising interest rate environment. Free cash flow of $13.73 billion provides some reassurance regarding liquidity and operational flexibility.
 **Valuations:**  
 Amgen's current price of $312.48 is near its 52-week high of $346.85, suggesting limited upside in the near term. The stock trades at a price-to-book ratio of 28.39, significantly above the industry average, indicating a premium valuation. Analysts' target prices range from $185 to $389, with a mean target of $315.22, implying limited upside from current levels. The recommendation mean of 2.4 (between "buy" and "hold") reflects cautious optimism among analysts.
 **Economic Outlook:**  
 The broader economic environment presents challenges for Amgen. The U.S. economy is showing signs of deceleration, with GDP contraction expected in Q1 2025. Rising tariffs and trade tensions could indirectly impact Amgen by increasing costs for raw materials or disrupting global supply chains. However, the biotechnology sector is generally less sensitive to macroeconomic fluctuations, providing some insulation. Elevated interest rates could increase Amgen's debt servicing costs, given its high leverage.
 **Summary of Thesis, Edge, and Risk:**  
 Amgen's strong dividend yield and robust margins make it an attractive option for income-focused investors, while its forward P/E suggests potential for improved profitability. However, the company's high leverage and declining earnings growth pose significant risks, particularly in a challenging macroeconomic environment. The lack of recent news or immediate catalysts limits short-term upside, and its premium valuation suggests limited room for error. Amgen's edge lies in its established position in the biotechnology sector and its ability to generate substantial free cash flow, but risks from high debt levels and economic headwinds cannot be ignored.
 **Score: 65**</t>
  </si>
  <si>
    <r>
      <t xml:space="preserve">**Investment Report: Applied Materials (AMAT)**
 **Recent News:**  
 Applied Materials (AMAT), a prominent player in the semiconductor materials and equipment industry, has been under scrutiny due to its recent stock performance and market sentiment. Analysts and investors are debating its near-term prospects, with some suggesting potential downside risks. The stock has seen increased attention from platforms like </t>
    </r>
    <r>
      <rPr>
        <rFont val="&quot;Helvetica Neue&quot;"/>
        <color rgb="FF1155CC"/>
        <sz val="8.0"/>
        <u/>
      </rPr>
      <t>Zacks.com</t>
    </r>
    <r>
      <rPr>
        <rFont val="&quot;Helvetica Neue&quot;"/>
        <sz val="8.0"/>
      </rPr>
      <t>, reflecting heightened interest in its valuation and future trajectory. The broader semiconductor sector has faced headwinds from geopolitical tensions, trade tariffs, and slowing global demand, which could weigh on AMAT's performance in the short term.
 **Financials:**  
 AMAT's financial metrics reveal a mixed picture. The company has a trailing P/E ratio of 19.89 and a forward P/E of 15.70, indicating a relatively attractive valuation compared to its historical averages. However, earnings growth has contracted significantly (-39.8%), and quarterly revenue growth is modest at 6.8%. The firm's gross margins (47.73%) and operating margins (30.35%) remain robust, showcasing operational efficiency. With a dividend yield of 1.01% and a payout ratio of 19.87%, AMAT offers a stable return to shareholders. The company maintains a strong liquidity position, with a quick ratio of 1.84 and a current ratio of 2.68, supported by $8.2 billion in cash reserves. However, its debt-to-equity ratio of 35.37% suggests moderate leverage.
 **Valuations:**  
 AMAT's stock has declined by 23.78% over the past year, underperforming the S&amp;P 500, which gained 17.25% in the same period. The stock is trading near its 52-week low of $150.67, significantly below its 52-week high of $255.89. The price-to-book ratio of 6.64 and price-to-sales ratio of 4.47 indicate that the stock is not excessively overvalued, but the market may be pricing in concerns about future growth. Analysts' target prices range from $164 to $250, with a mean target of $207.23, suggesting potential upside if the company can navigate current challenges effectively.
 **Economic Outlook:**  
 The semiconductor industry is facing macroeconomic pressures, including escalating trade tensions and tariffs. The recent U.S. tariffs on Chinese goods and China's retaliatory measures could disrupt supply chains and increase costs for AMAT. Additionally, the global economic slowdown and reduced consumer demand for electronics may dampen the company's revenue growth. However, long-term trends such as the expansion of AI, 5G, and cloud computing could provide tailwinds for the semiconductor sector, benefiting AMAT in the future.
 **Summary:**  
 **Thesis:** AMAT's strong operational efficiency and liquidity position provide a solid foundation, but near-term challenges such as declining earnings growth and geopolitical risks weigh on its outlook.  
 **Edge:** The company's leadership in semiconductor equipment and exposure to long-term growth drivers like AI and 5G offer potential for recovery.  
 **Risk:** Trade tensions, slowing global demand, and earnings contraction pose significant risks to short-term performance.  
 **Score: 65**</t>
    </r>
  </si>
  <si>
    <t>VLO</t>
  </si>
  <si>
    <t>**Investment Report: Valero Energy (VLO)**
 **Recent News:**  
 Valero Energy's stock experienced a modest gain of +0.85% in its most recent trading session, closing at $130.73. However, this performance lagged behind broader market indices, reflecting a cautious sentiment among investors. The stock's movement comes amidst a challenging macroeconomic environment, including heightened trade tensions and slowing global economic growth, which could weigh on the energy sector. Valero's position as a leading oil and gas refiner makes it sensitive to fluctuations in crude oil prices and refined product demand, both of which are influenced by geopolitical and economic uncertainties.
 **Financials:**  
 Valero Energy's financial metrics reveal a mixed picture. The company has a trailing price-to-earnings (P/E) ratio of 14.97 and a forward P/E of 13.31, suggesting a relatively attractive valuation compared to historical levels. Its dividend yield of 3.46% is solid, though slightly below its five-year average of 4.36%, indicating a stable income stream for shareholders. The payout ratio of 49.88% reflects a balanced approach to returning capital while maintaining financial flexibility.
 Valero's revenue for the trailing twelve months stands at $123.97 billion, with a price-to-sales ratio of 0.33, highlighting its low valuation relative to sales. However, profitability metrics such as net income margins (2.23%) and return on equity (10.73%) are modest, reflecting the capital-intensive nature of the refining business. The company's earnings and revenue growth have declined significantly year-over-year, with earnings contracting by 74.6% and revenue shrinking by 14%, signaling headwinds in operational performance.
 The balance sheet shows a manageable debt-to-equity ratio of 41.93, supported by a current ratio of 1.53, indicating adequate liquidity. Free cash flow of $5.08 billion and operating cash flow of $6.68 billion provide a cushion for ongoing operations and potential investments.
 **Valuations:**  
 Valero's stock is trading at a price-to-book ratio of 1.65, which is reasonable given its book value of $77.85 per share. The enterprise value-to-EBITDA ratio of 7.72 suggests the company is fairly valued relative to its earnings before interest, taxes, depreciation, and amortization. Analysts' target prices range from $128 to $168, with a mean target of $149.12, implying potential upside from current levels. However, the stock's 52-week performance shows a decline of 9.41%, underperforming the S&amp;P 500's gain of 17.25% over the same period.
 **Economic Outlook:**  
 The broader economic environment presents challenges for Valero. The U.S. economy is showing signs of deceleration, with GDP expected to contract in Q1 2025. Trade tensions, including tariffs on Canadian and Mexican goods, could disrupt supply chains and increase costs for refiners. Additionally, slowing global demand for refined products, coupled with volatile crude oil prices, may pressure margins. On the positive side, moderating inflation and potential Federal Reserve rate cuts later in the year could provide some relief to the energy sector.
 **Summary of Thesis, Edge, and Risk:**  
 Valero Energy's investment thesis is supported by its strong position in the refining industry, attractive valuation metrics, and solid cash flow generation. Its edge lies in its scale and operational efficiency, which enable it to navigate challenging market conditions. However, risks include declining earnings and revenue growth, exposure to volatile commodity prices, and potential disruptions from trade policies and economic slowdown. The company's ability to maintain profitability and adapt to changing market dynamics will be critical in the near term.
 **Score: 65**</t>
  </si>
  <si>
    <t>LNT</t>
  </si>
  <si>
    <t>**Investment Report: Alliant Energy (Electric Utilities Industry)**
 **Recent News:**  
 Alliant Energy has not been in the spotlight over the past week, with no significant announcements or developments. This lack of news suggests stability in operations but also indicates no immediate catalysts for significant price movement. The absence of news may reflect the company's steady nature as a utility provider, which often appeals to income-focused investors seeking reliable dividends.
 **Financials:**  
 Alliant Energy's financial performance reflects its position as a stable utility company. The stock recently reached its 52-week high of $66.14, indicating strong investor confidence. The company offers a dividend yield of 3.15%, slightly above its five-year average of 3.12%, supported by a payout ratio of 71.4%. This suggests a commitment to returning value to shareholders while maintaining a sustainable dividend policy.
 The company's trailing price-to-earnings (P/E) ratio of 24.55 and forward P/E of 20.45 indicate a premium valuation compared to the broader market, which is typical for utility stocks due to their defensive nature. However, the price-to-book ratio of 2.42 and enterprise value-to-EBITDA ratio of 16.15 suggest the stock may be slightly overvalued relative to its peers.
 Alliant Energy's revenue growth of 1.6% and earnings growth of 23.5% highlight modest but consistent performance. However, the company's free cash flow is negative (-$1.09 billion), which could be a concern if sustained over the long term. The high debt-to-equity ratio of 151.6% reflects the capital-intensive nature of the utility industry, though the company's operating cash flow of $1.17 billion provides some reassurance regarding its ability to service debt.
 **Valuations:**  
 Analyst sentiment is moderately positive, with a recommendation mean of 2.43 (between "Buy" and "Hold") and a target median price of $63.75, slightly below the current price. This suggests limited upside potential in the near term. The stock's beta of 0.536 indicates lower volatility compared to the broader market, making it an attractive option for risk-averse investors.
 The company's gross margins of 46.2% and EBITDA margins of 42.8% are strong, reflecting efficient operations. However, the negative operating margins (-31.25%) raise concerns about cost management and profitability at the operational level.
 **Economic Outlook:**  
 The broader economic environment presents mixed implications for Alliant Energy. The U.S. economy is showing signs of deceleration, with GDP expected to shrink in Q1 2025. Rising jobless claims and weakening consumer confidence could dampen electricity demand, particularly from industrial and commercial customers. However, the Federal Reserve's efforts to control inflation and the potential for rate cuts later in the year could provide a tailwind for utility stocks, which often benefit from lower interest rates due to their high debt levels.
 The ongoing trade tensions and tariffs may have limited direct impact on Alliant Energy, as the utility sector is less exposed to international trade. However, broader economic uncertainty could weigh on investor sentiment. Additionally, the company's reliance on debt financing could become a concern if credit conditions tighten.
 **Summary of Thesis, Edge, and Risk:**  
 Alliant Energy offers a stable investment opportunity with a reliable dividend yield and low volatility, making it appealing for income-focused and risk-averse investors. Its strong margins and consistent earnings growth provide a solid foundation, though the high debt levels and negative free cash flow warrant caution. The stock's premium valuation and limited upside potential suggest it may be fully valued at current levels. Broader economic headwinds, including slowing GDP growth and weakening consumer confidence, could pose risks to demand and profitability.
 **Score: 65**</t>
  </si>
  <si>
    <t>KMX</t>
  </si>
  <si>
    <t>**Investment Report: CarMax (KMX)**
 **Recent News:**  
 CarMax has not been in the headlines over the past week, indicating a lack of significant developments or disruptions. This absence of news suggests stability in operations but also a lack of immediate catalysts for the stock.
 **Financials:**  
 CarMax's financial performance reflects a mixed picture. The company is trading at a trailing price-to-earnings (P/E) ratio of 27.72 and a forward P/E of 21.62, indicating expectations of earnings growth. The trailing PEG ratio of 0.77 suggests the stock may be undervalued relative to its growth potential. However, the company's profit margins remain thin, with a net profit margin of 1.66% and operating margins of 2.95%, reflecting the challenges of operating in a competitive and low-margin industry.
 CarMax's revenue growth of 1.8% year-over-year is modest, but its earnings growth of 56.5% signals improved operational efficiency or cost management. The company has a high debt-to-equity ratio of 312.67, which raises concerns about leverage, especially in a rising interest rate environment. However, its current ratio of 2.30 indicates sufficient liquidity to cover short-term obligations.
 The stock's beta of 1.76 suggests higher volatility compared to the broader market, which could amplify price swings in the current uncertain economic environment. Short interest stands at 7.62% of shares outstanding, reflecting some skepticism among investors about the company's near-term prospects.
 **Valuations:**  
 CarMax's price-to-book ratio of 2.02 is reasonable for the automotive retail industry, and its price-to-sales ratio of 0.45 indicates the stock is trading at a low valuation relative to its revenue. Analysts have a median price target of $95, implying a potential upside of approximately 16% from the current price of $81.11. The recommendation mean of 2.26 (between "Buy" and "Hold") reflects cautious optimism among analysts.
 **Economic Outlook:**  
 The broader economic environment poses challenges for CarMax. The U.S. economy is showing signs of deceleration, with GDP expected to contract in Q1 2025. Rising jobless claims and weakening consumer confidence could dampen demand for big-ticket items like used cars. Additionally, President Trump's tariffs on Canada, Mexico, and China may increase costs for imported vehicles and parts, potentially squeezing margins further. However, moderating inflation and the possibility of Federal Reserve rate cuts later in the year could provide some relief.
 CarMax's exposure to the used car market may offer some resilience, as consumers may opt for pre-owned vehicles over new ones in a tighter economic environment. However, the company's high debt levels and reliance on consumer financing could be vulnerabilities if credit conditions tighten.
 **Summary:**  
 CarMax's thesis lies in its position as a leader in the used car retail market, with a scalable business model and improving earnings growth. Its edge comes from its operational efficiency and ability to adapt to changing consumer preferences. However, risks include high leverage, thin margins, and potential headwinds from a slowing economy and trade policies.
 **Score: 65**</t>
  </si>
  <si>
    <t>L</t>
  </si>
  <si>
    <t>**Investment Report: Loews Corporation**
 **Recent News:**  
 Loews Corporation has not been in the news over the past week, indicating a lack of significant developments or announcements. This absence of news suggests stability in operations but also a lack of catalysts that could drive short-term market sentiment.
 **Financials:**  
 Loews Corporation's financial performance reflects a mixed picture. The stock is trading near its 52-week high of $88.29, with a recent close at $86.67, indicating strong price momentum over the past year (+16.2% 52-week change). The company has a low beta of 0.795, suggesting lower volatility compared to the broader market, which aligns with its position in the multi-line insurance industry. 
 The firm’s trailing price-to-earnings (P/E) ratio of 13.6 is relatively attractive compared to the broader market, but the forward P/E of 30.05 indicates expectations of lower earnings in the near term. This aligns with the reported earnings decline (-58.1% quarterly growth) and a forward EPS of $2.90, down from a trailing EPS of $6.41. Revenue growth of 6.8% year-over-year is modest but positive, supported by gross margins of 36.7%. However, operating margins of 6.2% and return on equity (ROE) of 8.67% are relatively low, reflecting challenges in operational efficiency.
 The company maintains a strong balance sheet with $5.91 billion in cash, equating to $27.78 per share, and a manageable debt-to-equity ratio of 52.13%. Free cash flow of $1.6 billion and operating cash flow of $3.02 billion provide liquidity to support operations and potential investments. However, the dividend yield of 0.29% is below its five-year average of 0.45%, which may deter income-focused investors.
 **Valuations:**  
 Loews is trading at a price-to-book (P/B) ratio of 1.10, close to its book value of $79.49 per share, suggesting the stock is fairly valued. The price-to-sales (P/S) ratio of 1.05 is reasonable for the insurance sector, indicating the market is not overpaying for its revenue. However, the enterprise value-to-EBITDA ratio of 8.05 is slightly elevated, reflecting a premium valuation relative to its earnings capacity.
 **Economic Outlook:**  
 The broader economic environment presents challenges for Loews Corporation. The U.S. economy is showing signs of deceleration, with GDP expected to shrink by 1.5% in Q1 2025. Rising jobless claims and weakening consumer confidence could dampen demand for insurance products. Additionally, the ongoing trade tensions and tariffs may indirectly impact the company through broader market volatility and economic uncertainty. However, Loews' diversified business model and strong cash position provide resilience in navigating these headwinds.
 **Summary:**  
 Loews Corporation offers a stable investment profile with low volatility and a strong balance sheet. Its valuation metrics suggest the stock is fairly priced, but declining earnings growth and modest operational efficiency pose risks. The company's edge lies in its liquidity and ability to weather economic uncertainty, but the lack of near-term catalysts and a challenging macroeconomic environment could limit upside potential.
 **Score: 65**</t>
  </si>
  <si>
    <t>EW</t>
  </si>
  <si>
    <t>**Investment Report: Edwards Lifesciences**
 **Recent News:**  
 There have been no significant updates or developments regarding Edwards Lifesciences in the past week. The absence of news suggests stability in the company's operations, but it also indicates a lack of immediate catalysts for significant stock movement. This neutral environment places the focus on the company's financial performance and broader economic conditions.
 **Financials:**  
 Edwards Lifesciences, a leader in the healthcare equipment industry, is trading at a trailing price-to-earnings (PE) ratio of 30.51 and a forward PE of 29.14, reflecting a premium valuation compared to the broader market. The company has a strong profit margin of 76.7%, supported by robust gross margins of 79.5%, which highlight its operational efficiency and pricing power. However, revenue growth has declined by 9.7% year-over-year, signaling potential challenges in maintaining top-line momentum.  
 The firm's balance sheet remains solid, with $4.45 billion in cash and a manageable debt-to-equity ratio of 7.35%. This financial flexibility positions Edwards Lifesciences to weather economic uncertainties and invest in growth opportunities. The company’s return on equity (ROE) of 17.1% is respectable, though not exceptional for its industry.  
 Short interest has increased slightly, with 2.02% of shares outstanding currently shorted, indicating some bearish sentiment among investors. The stock is trading near its 50-day average of $72.64 but below its 200-day average of $74.32, suggesting a lack of upward momentum in recent months.
 **Valuations:**  
 Edwards Lifesciences' valuation metrics, such as its price-to-sales ratio of 7.74 and price-to-book ratio of 4.41, indicate that the stock is priced at a premium relative to its peers. While the company’s high margins and strong market position justify some of this premium, the lack of revenue growth and the broader economic slowdown may limit further upside in the near term. Analysts have a median price target of $80, representing a potential upside of approximately 11% from current levels, though the high target of $96.80 suggests optimism among some analysts.
 **Economic Outlook:**  
 The broader economic environment presents mixed implications for Edwards Lifesciences. The U.S. economy is showing signs of deceleration, with GDP expected to contract in Q1 2025. Rising jobless claims and weakening consumer confidence could dampen healthcare spending, particularly for elective procedures, which may impact demand for the company’s products. However, the Federal Reserve's efforts to control inflation and the potential for rate cuts later in the year could provide a more favorable macroeconomic backdrop in the medium term.  
 The healthcare sector is generally considered defensive, which may provide some insulation for Edwards Lifesciences amid broader market volatility. However, the company’s reliance on innovation and premium pricing could face headwinds if economic conditions deteriorate further.
 **Summary of Thesis, Edge, and Risk:**  
 Edwards Lifesciences benefits from strong profit margins, a solid balance sheet, and a leading position in the healthcare equipment industry. Its premium valuation reflects investor confidence in its long-term growth potential, but declining revenue growth and a challenging macroeconomic environment pose near-term risks. The lack of recent news or catalysts suggests limited immediate upside, while increased short interest indicates some skepticism among market participants. The company’s edge lies in its operational efficiency and financial stability, but its reliance on discretionary healthcare spending could be a vulnerability in a slowing economy.
 **Score: 65**</t>
  </si>
  <si>
    <t>FAST</t>
  </si>
  <si>
    <t>**Investment Report: Fastenal (FAST)**
 **Recent News:**  
 Fastenal has not been in the news over the past week, indicating a lack of significant developments or disruptions. This stability can be interpreted as a neutral factor, as it suggests no immediate catalysts for volatility but also no major positive drivers in the short term.
 **Financials:**  
 Fastenal's financial performance reflects a mature, stable company with strong profitability metrics. The firm has a trailing price-to-earnings (P/E) ratio of 37.19 and a forward P/E of 33.96, indicating a premium valuation compared to the broader market. Its profit margins are solid at 15.25%, supported by gross margins of 45.08%, which highlight efficient cost management. However, earnings growth has been slightly negative (-1.6% quarterly growth), and revenue growth is modest at 3.7%, suggesting limited near-term expansion.
 The company maintains a healthy balance sheet, with a low debt-to-equity ratio of 13.42 and a robust current ratio of 4.68, indicating strong liquidity. Free cash flow generation is solid at $747.8 million, which supports its dividend payments. Fastenal's dividend yield of 2.27% is slightly above its five-year average of 2.21%, making it attractive for income-focused investors. However, the high payout ratio of 78% limits room for significant dividend growth.
 **Valuations:**  
 Fastenal's valuation metrics suggest the stock is trading at a premium. Its price-to-book ratio of 11.79 and price-to-sales ratio of 5.65 are significantly higher than industry averages, reflecting investor confidence in its business model and market position. However, these elevated multiples may limit upside potential, especially in a slowing economic environment. The trailing PEG ratio of 3.38 further underscores the stock's expensive valuation relative to its growth prospects.
 **Economic Outlook:**  
 The broader economic environment presents challenges for Fastenal. The U.S. economy is showing signs of deceleration, with GDP expected to contract by 1.5% in Q1 2025. Rising tariffs on steel and aluminum, as well as broader trade tensions, could increase input costs for Fastenal, which operates in the trading companies and distributors industry. While the company has historically demonstrated resilience, its exposure to industrial and construction markets may weigh on performance if economic conditions worsen. Additionally, the firm's beta of 1.04 suggests it is slightly more volatile than the market, which could amplify downside risks in a turbulent environment.
 **Summary:**  
 Fastenal's strengths lie in its strong profitability, robust cash flow, and reliable dividend payments, making it a stable player in its industry. However, its premium valuation, modest growth, and exposure to macroeconomic headwinds, including trade tariffs and a slowing economy, present risks. The company's edge lies in its operational efficiency and market leadership, but its high valuation and limited near-term growth potential temper the investment thesis.
 **Score: 65**</t>
  </si>
  <si>
    <t>EXPD</t>
  </si>
  <si>
    <t>**Investment Report: Expeditors International (Air Freight &amp; Logistics)**
 **Recent News:**  
 There have been no significant updates or developments regarding Expeditors International in the past week. The absence of news suggests stability in the company's operations, but it also indicates a lack of immediate catalysts for significant stock movement. This neutral environment places greater emphasis on the company's financial performance and broader economic conditions.
 **Financials:**  
 Expeditors International demonstrates solid financial health with a market capitalization of $16.36 billion and a relatively low debt-to-equity ratio of 25.56%, indicating prudent financial management. The company has a strong cash position of $1.15 billion, translating to $8.32 per share, which provides flexibility for future investments or shareholder returns. 
 The firm’s profitability metrics are robust, with a return on equity (ROE) of 35.16% and return on assets (ROA) of 14.03%, reflecting efficient use of capital and assets. Earnings growth has been impressive, with quarterly earnings growth of 48.6% and revenue growth of 29.7%, signaling strong operational performance. However, gross margins (13.3%) and EBITDA margins (10.4%) are relatively modest, which is typical for the logistics industry but may limit upside potential in a high-cost environment.
 The stock trades at a trailing price-to-earnings (P/E) ratio of 20.73 and a forward P/E of 22.04, suggesting a valuation slightly above the industry average. The price-to-book ratio of 7.36 indicates a premium valuation relative to its book value, which may reflect investor confidence in the company's growth prospects. The dividend yield of 1.24% is modest but consistent, with a payout ratio of 25.52%, leaving room for potential increases.
 **Valuations:**  
 Expeditors International's valuation metrics suggest the stock is priced for moderate growth. The trailing PEG ratio of 3.20 indicates that the stock may be overvalued relative to its earnings growth, which could limit near-term upside. Analyst sentiment is cautious, with a recommendation mean of 3.53 (underperform) and a target median price of $117, close to the current trading range. This reflects limited expectations for significant price appreciation in the short term.
 **Economic Outlook:**  
 The broader economic environment presents mixed implications for Expeditors International. The ongoing trade tensions, particularly the new tariffs imposed by the U.S. on Canada, Mexico, and China, could disrupt global supply chains and impact the logistics industry. However, the company's diversified operations and strong cash position may help it navigate these challenges. Additionally, the slowing U.S. economy, as indicated by a projected 1.5% GDP contraction in Q1 2025, could dampen demand for freight and logistics services. On the other hand, easing inflation and potential Federal Reserve rate cuts later in the year could provide some relief to operating costs and consumer sentiment.
 **Summary of Thesis, Edge, and Risk:**  
 Expeditors International is a well-managed company with strong financials and a history of consistent performance. Its edge lies in its efficient capital utilization and robust cash reserves, which provide resilience in uncertain economic conditions. However, the stock's premium valuation and exposure to global trade dynamics pose risks, particularly in the current environment of escalating tariffs and slowing economic growth. The lack of immediate catalysts and cautious analyst sentiment further temper expectations for significant near-term upside.
 **Score: 65**</t>
  </si>
  <si>
    <t>FMC</t>
  </si>
  <si>
    <t>**Investment Report: FMC Corporation**
 **Recent News:**  
 FMC Corporation has not been in the news over the past week, indicating a lack of significant developments or announcements. This absence of news may suggest stability but also highlights the need to focus on financial and macroeconomic factors to assess the company's current position.
 **Financials:**  
 FMC Corporation's stock has experienced notable volatility, with a recent trading range between $35.35 and $37.59. The stock is trading near its 52-week low of $33.80, significantly below its 52-week high of $68.72, reflecting a sharp decline in investor sentiment over the past year. The company offers an attractive dividend yield of 6.29%, well above its five-year average of 2.49%, though the high payout ratio of 72.3% raises questions about the sustainability of this yield in the long term.
 The company's valuation metrics appear favorable, with a trailing P/E ratio of 11.07 and a forward P/E of 7.63, suggesting the stock may be undervalued relative to its earnings potential. Additionally, the price-to-book ratio of 0.99 indicates the stock is trading near its book value, which could appeal to value-oriented investors. However, the enterprise value-to-EBITDA ratio of 8.45 suggests a moderate level of leverage, which could pose risks in a rising interest rate environment.
 FMC's financial health shows mixed signals. The company has a manageable current ratio of 1.64 and a quick ratio of 1.08, indicating sufficient liquidity to cover short-term obligations. However, the debt-to-equity ratio of 74.64% highlights a relatively high level of leverage, which could pressure the company if economic conditions deteriorate. Free cash flow of $875.76 million and operating cash flow of $671.10 million provide some reassurance regarding the company's ability to manage its debt and maintain operations.
 **Valuations:**  
 FMC's stock is trading at a price-to-sales ratio of 1.04, which is relatively low and suggests the market is undervaluing the company's revenue generation. Analysts have a median price target of $48.50, representing significant upside potential from the current price. The recommendation mean of 2.47 (between "buy" and "hold") indicates cautious optimism among analysts. However, the wide range of price targets ($36.00 to $95.00) reflects uncertainty about the company's future performance.
 **Economic Outlook:**  
 The broader economic environment presents challenges for FMC Corporation. The U.S. economy is showing signs of deceleration, with GDP expected to shrink by 1.5% in Q1 2025. Rising tariffs on agricultural products due to recent trade policies could impact FMC's customers in the agricultural sector, potentially reducing demand for its fertilizers and agricultural chemicals. Additionally, the company's exposure to international markets may be affected by retaliatory tariffs and global trade tensions, particularly with China and the European Union.
 On the positive side, FMC's gross margins of 38.83% and operating margins of 24.16% indicate strong profitability, which could help the company weather short-term economic headwinds. Revenue growth of 6.8% year-over-year demonstrates resilience, though sustaining this growth may prove challenging in a slowing economy.
 **Summary of Thesis, Edge, and Risk:**  
 FMC Corporation presents a compelling valuation case, with low P/E and price-to-book ratios suggesting the stock is undervalued. Its strong profitability metrics and attractive dividend yield provide additional appeal. However, the company's high leverage and exposure to macroeconomic risks, including trade tensions and a slowing economy, pose significant challenges. The sustainability of its dividend and ability to maintain revenue growth in a difficult environment remain key risks.
 **Score: 65**</t>
  </si>
  <si>
    <t>ALGN</t>
  </si>
  <si>
    <t>**Investment Report: Align Technology**
 **Recent News:**  
 Align Technology has not been in the news over the past week, indicating no major announcements or developments. This lack of news suggests stability but also highlights the absence of catalysts that could drive short-term price movements.
 **Financials:**  
 Align Technology's stock has experienced significant volatility recently, with a sharp decline to a 52-week low of $174.89, down from a 52-week high of $335.40. The stock's beta of 1.688 indicates higher sensitivity to market movements, which could exacerbate price swings in the current volatile environment. The company’s trailing price-to-earnings (P/E) ratio of 31.21 is relatively high, but its forward P/E of 17.07 suggests expectations of improved earnings in the future. 
 Align's profit margins stand at 10.54%, supported by strong gross margins of 70.09%, reflecting efficient cost management. However, earnings growth has declined by 16.3% year-over-year, and revenue growth is modest at 4%, signaling challenges in maintaining robust growth. The company’s return on equity (ROE) of 11.26% and return on assets (ROA) of 6.87% are moderate, indicating decent but not exceptional profitability.
 The balance sheet is solid, with $1.04 billion in cash and minimal debt of $88.2 million, resulting in a low debt-to-equity ratio of 2.29. Align's free cash flow of $622.33 million and operating cash flow of $738.23 million provide financial flexibility. However, the quick ratio of 1.00 and current ratio of 1.22 suggest only adequate short-term liquidity.
 **Valuations:**  
 Align Technology's price-to-sales ratio of 3.22 and price-to-book ratio of 3.38 are reasonable for its industry, though they reflect a premium valuation. Analysts have a mean target price of $253.04, implying significant upside potential from the current price. The recommendation mean of 1.94 (on a scale where 1.0 is a strong buy) indicates a generally favorable outlook among analysts. However, the stock's recent decline and increased short interest (3.43 short ratio) suggest bearish sentiment in the near term.
 **Economic Outlook:**  
 The broader economic environment poses challenges for Align Technology. The U.S. economy is showing signs of deceleration, with GDP contraction expected in Q1 2025 and rising jobless claims. Consumer confidence is weakening, which could impact discretionary spending on Align's products, such as Invisalign. Additionally, trade tensions and tariffs could disrupt supply chains or increase costs, though Align's minimal debt and strong cash position provide some insulation.
 The healthcare sector, particularly health care supplies, may face headwinds from broader economic uncertainty. However, Align's focus on orthodontic and dental products positions it in a niche market with steady demand, albeit sensitive to consumer spending trends.
 **Summary:**  
 **Thesis:** Align Technology's strong cash position, efficient cost management, and reasonable forward valuation provide a solid foundation for long-term growth.  
 **Edge:** The company benefits from a leading position in the orthodontic market and high gross margins, which support profitability.  
 **Risk:** Declining earnings growth, economic headwinds, and bearish sentiment could weigh on the stock in the short term.
 **Score: 65**</t>
  </si>
  <si>
    <t>VTR</t>
  </si>
  <si>
    <t>**Investment Report: Ventas (Health Care REITs Industry)**
 **Recent News:**  
 There have been no significant updates or developments regarding Ventas in the past week. This lack of news suggests stability in the company's operations, but it also indicates no immediate catalysts for significant price movement in the short term.
 **Financials:**  
 Ventas is currently trading near its 52-week high of $70.99, reflecting strong recent performance with a 52-week change of +60.99%, significantly outperforming the S&amp;P 500's 17.25% gain over the same period. The stock's beta of 1.401 indicates higher volatility compared to the broader market, which could amplify price swings in response to macroeconomic or sector-specific developments.
 The company has a trailing P/E ratio of 370.32 and a forward P/E of 439.75, both of which are exceptionally high, suggesting that the stock is priced for significant growth or that earnings are currently subdued. The price-to-book ratio of 2.86 is slightly elevated for the REIT sector, indicating a premium valuation relative to its book value. Ventas has a dividend yield of 2.78%, below its five-year average of 4.23%, which may make it less attractive to income-focused investors. However, the payout ratio of 9.47% suggests that the dividend is well-covered by earnings, providing some reassurance about its sustainability.
 The company's financial health shows mixed signals. While Ventas has a strong cash position of $897.85 million and generates robust free cash flow of $1.11 billion, its debt-to-equity ratio of 123.35% highlights significant leverage. This high level of debt could pose risks in a rising interest rate environment, particularly given the company's relatively low return on equity (0.84%) and return on assets (1.80%).
 **Valuations:**  
 Ventas's enterprise value-to-revenue ratio of 8.89 and enterprise value-to-EBITDA ratio of 23.17 suggest that the market is assigning a premium valuation to the company relative to its revenue and earnings before interest, taxes, depreciation, and amortization. Analysts have a mean target price of $73.68, implying limited upside from the current price. The recommendation mean of 1.65 (on a scale where 1.0 is a "strong buy") indicates a generally favorable view from analysts, though the high valuation metrics may temper enthusiasm.
 **Economic Outlook:**  
 The broader economic environment presents challenges and opportunities for Ventas. The U.S. economy is showing signs of deceleration, with GDP expected to contract in Q1 2025. Rising jobless claims and weakening consumer confidence could impact the healthcare sector indirectly, as economic uncertainty may influence demand for senior housing and healthcare facilities, key components of Ventas's portfolio. However, the Federal Reserve's efforts to control inflation and the potential for rate cuts later in the year could provide relief for highly leveraged companies like Ventas by reducing borrowing costs.
 The healthcare REIT sector benefits from long-term demographic trends, including an aging population and increasing demand for healthcare services. Ventas's revenue growth of 10.9% year-over-year and strong gross margins of 42.18% suggest that the company is well-positioned to capitalize on these trends. However, the high leverage and premium valuation leave little room for error, particularly in a volatile macroeconomic environment.
 **Summary:**  
 **Thesis:** Ventas is a well-positioned healthcare REIT benefiting from favorable demographic trends and strong revenue growth.  
 **Edge:** Its robust free cash flow and well-covered dividend provide stability, while its premium valuation reflects market confidence in its growth potential.  
 **Risk:** High leverage and elevated valuation metrics make the stock vulnerable to economic downturns or rising interest rates.
 **Score: 65**</t>
  </si>
  <si>
    <t>TXN</t>
  </si>
  <si>
    <t>**Investment Report: Texas Instruments (TXN)**
 **Recent News:**  
 Texas Instruments (TXN) has garnered significant attention recently, reflecting its position as a key player in the semiconductor industry. The company’s stock has been under scrutiny due to its valuation metrics and broader market conditions. While the semiconductor sector has faced headwinds from global economic uncertainties and trade tensions, TXN's strong institutional ownership (90.5%) and consistent dividend payouts have kept it in focus for long-term investors. However, the company’s earnings and revenue growth have shown signs of deceleration, which could weigh on its near-term performance.
 **Financials:**  
 Texas Instruments maintains a robust financial position with a market capitalization of $176.96 billion and a solid current ratio of 4.125, indicating strong liquidity. The company’s trailing P/E ratio of 37.45 and forward P/E of 33.06 suggest a premium valuation compared to the broader market, which may reflect investor confidence in its long-term prospects. However, earnings growth has contracted by 12.1% year-over-year, and revenue growth has declined by 1.7%, signaling challenges in maintaining momentum. The company’s gross margin of 58.14% and operating margin of 34.86% remain healthy, underscoring its operational efficiency. Despite this, free cash flow is negative at -$583.75 million, which could limit flexibility for future investments or shareholder returns.
 **Valuations:**  
 TXN’s price-to-book ratio of 10.48 and price-to-sales ratio of 11.31 indicate that the stock is trading at a significant premium relative to its book value and revenue. While these metrics may be justified by the company’s strong profitability metrics, such as a return on equity of 28.4%, they also highlight the risk of overvaluation in a volatile market environment. The dividend yield of 2.78% is slightly above its five-year average of 2.64%, making it attractive for income-focused investors. However, the payout ratio of 101.15% raises concerns about the sustainability of dividend growth, especially in light of declining earnings.
 **Economic Outlook:**  
 The semiconductor industry is facing a challenging macroeconomic environment, with global trade tensions and tariffs potentially disrupting supply chains. The recent escalation in U.S.-China trade disputes and tariffs on Canadian and Mexican goods could impact TXN’s cost structure and demand dynamics. Additionally, the broader U.S. economy is showing signs of deceleration, with GDP expected to contract in Q1 2025. These factors could weigh on consumer and industrial demand for semiconductors, further pressuring TXN’s revenue growth. On the positive side, the company’s diversified end markets and strong cash reserves ($7.58 billion) provide a buffer against near-term economic headwinds.
 **Summary:**  
 **Thesis:** Texas Instruments benefits from strong operational efficiency, a robust balance sheet, and a leading position in the semiconductor industry.  
 **Edge:** Its high institutional ownership and consistent dividend payouts make it a reliable choice for long-term stability.  
 **Risk:** Declining earnings and revenue growth, coupled with macroeconomic uncertainties and premium valuations, pose significant risks to near-term performance.  
 **Score: 65**</t>
  </si>
  <si>
    <t>UPS</t>
  </si>
  <si>
    <t>**Investment Report: United Parcel Service (UPS)**
 **Recent News:**  
 United Parcel Service (UPS) has been a cornerstone in the Air Freight &amp; Logistics industry, known for its consistent dividend growth and stable operations. Recent earnings for Q4 2024 showed mixed results. While the company delivered solid earnings, concerns arose regarding its ability to sustain growth amid economic headwinds. Analysts remain cautiously optimistic, with a consensus "buy" rating and a median price target of $133, suggesting potential upside from current levels. However, the stock has faced pressure, trading near its 52-week low of $109.40, reflecting broader market concerns and sector-specific challenges.
 **Financials:**  
 UPS's financial metrics highlight its strengths and vulnerabilities. The company boasts a robust dividend yield of 5.51%, significantly above its five-year average of 3.37%, making it attractive for income-focused investors. However, the high payout ratio of 96.6% raises questions about the sustainability of its dividend if earnings growth slows. The trailing P/E ratio of 17.67 and forward P/E of 13.54 suggest the stock is reasonably valued, especially compared to historical levels. UPS's return on equity (ROE) of 33.96% is impressive, indicating efficient use of shareholder capital. However, its debt-to-equity ratio of 153.21% signals a heavily leveraged balance sheet, which could pose risks in a rising interest rate environment.
 **Valuations:**  
 UPS's current price-to-book ratio of 6.09 and price-to-sales ratio of 1.12 indicate the stock is trading at a premium relative to its book value but is fairly valued based on revenue. The enterprise value-to-EBITDA ratio of 10.23 suggests the company is not overly expensive compared to its earnings before interest, taxes, depreciation, and amortization. Analysts' price targets range from $82 to $179, with a mean target of $132.56, implying potential upside of approximately 11% from the current price of $119.03.
 **Economic Outlook:**  
 The macroeconomic environment presents challenges for UPS. The U.S. economy is showing signs of deceleration, with GDP expected to shrink by 1.5% in Q1 2025. Rising tariffs on Canadian, Mexican, and Chinese goods could disrupt global supply chains and increase costs for logistics companies like UPS. Additionally, consumer confidence is weakening, and jobless claims are rising, which could dampen demand for shipping services. On the positive side, inflation appears to be moderating, and potential Federal Reserve rate cuts later in the year could provide some relief.
 **Summary of Thesis, Edge, and Risk:**  
 UPS remains a leader in the logistics industry with a strong dividend yield and efficient operations. Its valuation appears reasonable, and the stock offers potential upside based on analyst targets. However, the company's high leverage, slowing revenue growth, and exposure to macroeconomic headwinds, including tariffs and weakening consumer demand, present significant risks. The sustainability of its dividend is another concern given the high payout ratio. While UPS has a strong market position, its near-term performance will depend on its ability to navigate economic challenges and maintain profitability.
 **Score: 65**</t>
  </si>
  <si>
    <t>CSGP</t>
  </si>
  <si>
    <t>**Investment Report: CoStar Group**
 **Recent News:**  
 CoStar Group has not been in the news over the past week, indicating a lack of significant developments or announcements. This absence of news suggests stability in operations but also a lack of immediate catalysts for the stock.
 **Financials:**  
 CoStar Group's financial metrics reveal a mixed picture. The company is trading at a high valuation, with a trailing price-to-earnings (PE) ratio of 221.74 and a forward PE of 67.31, reflecting significant growth expectations. However, earnings growth has been negative, with a quarterly decline of 38%, and the trailing PEG ratio of 2.70 suggests the stock may be overvalued relative to its growth prospects.  
 Revenue growth remains positive at 10.8% year-over-year, supported by strong gross margins of 79.59%. However, operating and EBITDA margins are relatively low at 5.64% and 5.54%, respectively, indicating limited profitability despite robust revenue generation. The company’s profit margin stands at 5.07%, which is modest for its industry.  
 CoStar Group maintains a strong balance sheet, with a quick ratio of 8.83 and a current ratio of 8.96, indicating ample liquidity. The company holds $4.68 billion in cash, significantly outweighing its total debt of $1.13 billion, resulting in a low debt-to-equity ratio of 14.93%. However, free cash flow is negative at -$202 million, which could be a concern if this trend persists.  
 The stock has underperformed the broader market over the past year, with a 52-week change of -12.71% compared to the S&amp;P 500's gain of 17.25%. The stock is currently trading near its 50-day average of $74.24 and slightly above its 200-day average of $76.14, suggesting limited momentum. Short interest has increased, with 3.63% of shares outstanding being shorted, reflecting some bearish sentiment.
 **Valuations:**  
 CoStar Group's valuation metrics indicate a premium relative to its peers in the real estate services industry. The price-to-sales ratio of 11.30 and price-to-book ratio of 4.09 are elevated, suggesting the market is pricing in significant future growth. Analyst sentiment remains positive, with a mean price target of $86.14, representing a potential upside of approximately 12.9% from the current price. However, the high PE ratios and negative earnings growth raise questions about whether the stock can justify its valuation in the near term.
 **Economic Outlook:**  
 The broader economic environment presents challenges for CoStar Group. The U.S. economy is showing signs of deceleration, with GDP expected to shrink by 1.5% in Q1 2025. Rising jobless claims and weakening consumer confidence could impact the real estate market, a key driver of CoStar's business. Additionally, the ongoing trade tensions and tariffs may create uncertainty in commercial real estate markets, potentially affecting demand for CoStar's services.  
 On the positive side, CoStar's strong liquidity position and recurring revenue model provide a buffer against economic headwinds. The company's focus on technology and data-driven solutions positions it well for long-term growth, particularly as the real estate industry increasingly adopts digital tools.
 **Summary:**  
 CoStar Group's thesis lies in its strong liquidity, high gross margins, and leadership in the real estate services industry. Its edge comes from its robust data-driven platform and recurring revenue model, which provide resilience in challenging economic conditions. However, risks include high valuation metrics, negative earnings growth, and potential headwinds from a slowing economy and real estate market uncertainties.
 **Score: 65**</t>
  </si>
  <si>
    <t>NWS</t>
  </si>
  <si>
    <t>**Investment Report: News Corp (Class B)**
 **Recent News:**  
 There have been no significant updates or developments regarding News Corp (Class B) in the past week. The lack of news suggests stability in the company's operations but also indicates no immediate catalysts for significant price movement in the short term.
 **Financials:**  
 News Corp (Class B) is trading near the midpoint of its 52-week range ($23.99 - $35.25), with a recent close at $32.28. The stock has shown a modest 19.91% increase over the past year, slightly outperforming the S&amp;P 500's 17.25% gain. The company has a market capitalization of $16.8 billion and a price-to-earnings (P/E) ratio of 42.72, which is relatively high compared to the broader market, indicating a premium valuation. The forward P/E of 33.18 suggests expectations of earnings growth, though the valuation remains elevated.
 The company’s dividend yield of 0.62% is below its five-year average of 1.01%, reflecting a conservative payout ratio of 26.67%. This indicates that the company retains a significant portion of its earnings for reinvestment or other purposes. However, the trailing annual dividend yield of 0.62% may not appeal to income-focused investors.
 News Corp's financial health shows mixed signals. The company has a debt-to-equity ratio of 32.39, which is manageable but indicates some reliance on leverage. The quick ratio of 0.915 and current ratio of 1.73 suggest adequate liquidity to cover short-term obligations. However, the company reported negative free cash flow (-$646 million), which could be a concern if sustained over the long term. On the positive side, operating cash flow remains strong at $1.16 billion, and gross margins of 51.55% highlight efficient cost management.
 **Valuations:**  
 The stock's price-to-book ratio of 2.23 is reasonable for the publishing industry, and its price-to-sales ratio of 1.64 suggests the market is valuing the company moderately relative to its revenue. However, the enterprise value-to-EBITDA ratio of 15.08 indicates a relatively high valuation compared to peers, which could limit upside potential unless the company delivers strong growth.
 Earnings growth of 37.8% and revenue growth of 4.8% in the most recent quarter are encouraging, reflecting operational improvements. The trailing PEG ratio of 1.55 suggests the stock is fairly valued relative to its growth prospects, though not significantly undervalued.
 **Economic Outlook:**  
 The broader economic environment presents challenges for News Corp. The U.S. economy is showing signs of deceleration, with GDP expected to shrink by 1.5% in Q1 2025. Rising tariffs on Canadian, Mexican, and Chinese goods could increase costs for the publishing industry, particularly if News Corp relies on imported materials or services. Additionally, weakening consumer confidence and higher jobless claims may dampen advertising revenue, a key driver for media companies.
 On the positive side, News Corp's diversified revenue streams and strong gross margins may help it weather economic headwinds better than smaller competitors. The company's beta of 1.355 indicates higher volatility than the market, which could amplify price movements in response to macroeconomic developments.
 **Summary:**  
 **Thesis:** News Corp (Class B) offers a stable position in the publishing industry with strong gross margins and moderate revenue growth.  
 **Edge:** The company benefits from its scale and diversified revenue streams, which provide resilience in a challenging economic environment.  
 **Risk:** Elevated valuation metrics, negative free cash flow, and potential macroeconomic pressures from tariffs and slowing GDP growth could weigh on performance.
 **Score: 65**</t>
  </si>
  <si>
    <t>**Investment Report: ON Semiconductor**
 **Recent News:**  
 ON Semiconductor has expressed interest in acquiring Allegro Microsystems, a move that aligns with its strategic focus on expanding its portfolio in sensor integrated circuits. This potential acquisition could bolster ON Semiconductor's position in the automotive and industrial markets, which are key growth areas for the company. However, this comes at a time when the company is undergoing significant restructuring, including plans to cut 2,400 jobs by 2025 to streamline operations and reduce costs. These restructuring efforts, while aimed at improving long-term profitability, highlight the challenges the company faces, including declining demand in key markets and inventory management issues. The stock has also seen increased attention from investors, indicating its relevance despite current headwinds.
 **Financials:**  
 ON Semiconductor's financial performance reflects a mixed picture. The company has a trailing P/E ratio of 12.37 and a forward P/E of 10.39, suggesting that the stock is relatively undervalued compared to its historical performance and peers. The firm has a strong balance sheet with a quick ratio of 3.21 and a current ratio of 5.06, indicating robust liquidity. However, earnings and revenue growth have been negative, with earnings declining by 31.3% and revenue shrinking by 14.6% year-over-year. Gross margins remain healthy at 45.41%, but the company is grappling with a challenging macroeconomic environment, as evidenced by its 38.88% decline in stock price over the past year. The firm’s free cash flow of $858.7 million and operating cash flow of $1.91 billion provide some financial stability, but the debt-to-equity ratio of 41.33% warrants attention.
 **Valuations:**  
 ON Semiconductor's price-to-sales ratio of 2.67 and price-to-book ratio of 2.16 suggest that the stock is trading at a reasonable valuation. Analysts have a median price target of $60, representing significant upside potential from its current trading range near its 52-week low of $44.67. The stock's beta of 1.59 indicates higher volatility compared to the broader market, which could amplify both risks and rewards in the current uncertain environment. The recommendation mean of 2.09 (indicating a "buy") and the number of analyst opinions (28) reflect a generally positive sentiment toward the stock.
 **Economic Outlook:**  
 The semiconductor industry is facing headwinds from declining global demand, exacerbated by geopolitical tensions and trade uncertainties. ON Semiconductor's exposure to automotive and industrial markets, which are sensitive to economic cycles, adds to the challenges. The broader macroeconomic environment, including the U.S. economy's projected contraction in Q1 2025 and ongoing trade disputes, could weigh on the company's near-term performance. However, the firm's focus on restructuring and potential strategic acquisitions like Allegro Microsystems could position it well for a recovery when demand stabilizes.
 **Summary:**  
 **Thesis:** ON Semiconductor is navigating a challenging environment with declining demand and restructuring efforts, but its focus on strategic acquisitions and cost optimization could drive long-term growth.  
 **Edge:** The company's strong liquidity, reasonable valuations, and potential upside from its acquisition strategy provide a foundation for recovery.  
 **Risk:** Macroeconomic headwinds, declining earnings, and high volatility pose significant near-term risks.
 **Score: 65**</t>
  </si>
  <si>
    <t>EBAY</t>
  </si>
  <si>
    <t>**Investment Report: eBay Inc.**
 **Recent News:**  
 eBay's stock recently declined by 6.21% following the release of its Q4 2024 financial results. Despite exceeding earnings and revenue expectations, with EPS at $1.25 versus the forecasted $1.20, the market reacted negatively to a weaker-than-expected Q1 2025 revenue outlook. This suggests softening demand for certain product categories, which could weigh on near-term growth. On a positive note, eBay announced platform updates leveraging AI to improve search functionality for fast-shipping items and local listings, signaling a focus on enhancing user experience and operational efficiency. The company's market cap has grown significantly, more than doubling from its 2022 lows, reflecting its recovery trajectory over the past few years.
 **Financials:**  
 eBay's financial metrics present a mixed picture. The company maintains a solid profit margin of 19.2% and a strong gross margin of 71.99%, indicating efficient cost management. However, revenue growth remains modest at 0.7%, and earnings growth has slightly declined by 0.3%, reflecting challenges in sustaining momentum. The trailing P/E ratio of 16.51 and forward P/E of 12.49 suggest the stock is reasonably valued compared to its historical performance and peers. eBay's dividend yield of 1.79% is above its five-year average of 1.64%, offering a stable income stream for investors. However, the company's debt-to-equity ratio of 152.44% raises concerns about its leverage, though its free cash flow of $2.71 billion provides some reassurance regarding its ability to service debt.
 **Valuations:**  
 eBay's current price-to-book ratio of 5.96 and price-to-sales ratio of 2.96 indicate the stock is trading at a premium relative to its book value and revenue. While these valuations are not excessive for a technology-driven retail platform, they suggest limited room for error, especially given the company's cautious revenue guidance. Analyst sentiment is neutral, with a "hold" recommendation and a target median price of $64.50, close to its current trading range. The stock's beta of 1.44 indicates higher volatility compared to the broader market, which could amplify price swings amid economic uncertainty.
 **Economic Outlook:**  
 The broader economic environment poses challenges for eBay. The U.S. economy is showing signs of deceleration, with GDP expected to contract by 1.5% in Q1 2025. Rising tariffs on imports from Canada, Mexico, and China could dampen consumer spending and increase costs for eBay's sellers, potentially impacting transaction volumes on the platform. Additionally, weakening consumer confidence and higher jobless claims may further pressure discretionary spending, a key driver for eBay's marketplace. On the other hand, the company's focus on AI-driven platform enhancements could help it capture market share in a competitive e-commerce landscape, particularly as consumers increasingly value convenience and speed.
 **Summary:**  
 **Thesis:** eBay's strong profitability and focus on platform innovation provide a solid foundation for long-term growth.  
 **Edge:** Its AI-driven updates and established market position offer competitive advantages in the evolving e-commerce sector.  
 **Risk:** Weak revenue guidance, economic headwinds, and high leverage could weigh on near-term performance.  
 **Score: 65**</t>
  </si>
  <si>
    <t>DOV</t>
  </si>
  <si>
    <t>**Investment Report: Dover Corporation**
 **Recent News:**  
 Dover Corporation has seen a significant stock price increase of 47.5% since May 2023, closely tracking the S&amp;P 500's performance. While revenue growth has been encouraging, the company's mixed profitability and cash flow trends, coupled with an elevated valuation, suggest the stock may be fully valued. Segment performance has been uneven, with Clean Energy &amp; Fueling showing strong growth, while Climate &amp; Sustainability Technologies experienced declines. This divergence highlights the company's reliance on specific growth areas, which could pose risks if these segments face headwinds.
 **Financials:**  
 Dover's financial metrics present a mixed picture. The company has a trailing P/E ratio of 19.14 and a forward P/E of 20.54, indicating a premium valuation compared to its historical averages. Its price-to-book ratio of 3.81 and price-to-sales ratio of 3.42 further suggest that the stock is trading at elevated levels. Profit margins remain robust at 34.82%, and the company has demonstrated solid earnings growth of 3.85% and revenue growth of 1.3%. However, free cash flow of $1.14 billion and operating cash flow of $748 million indicate some constraints in cash generation relative to its market cap of $26.52 billion. Debt levels are moderate, with a debt-to-equity ratio of 45.49%, supported by a healthy current ratio of 2.04 and quick ratio of 1.47.
 **Valuations:**  
 Dover's valuation metrics suggest the stock is priced for perfection. The trailing PEG ratio of 2.50 indicates that the stock may be overvalued relative to its growth prospects. Analysts have a mean price target of $219.75, representing limited upside from the current price of approximately $198.77. The dividend yield of 1.04% is below the company's five-year average of 1.41%, reflecting the stock's elevated price. While the company has a strong return on equity of 23.22%, the premium valuation leaves little room for error in execution or external challenges.
 **Economic Outlook:**  
 The broader economic environment poses challenges for Dover. The U.S. economy is showing signs of deceleration, with GDP expected to contract by 1.5% in Q1 2025. Trade tensions, particularly the imposition of tariffs on Canada, Mexico, and China, could disrupt supply chains and increase input costs for industrial machinery companies like Dover. Additionally, rising jobless claims and weakening consumer confidence may dampen demand for industrial products. However, Dover's exposure to clean energy and fueling technologies could provide a tailwind as global investment in renewable energy and infrastructure continues to grow.
 **Summary:**  
 Dover Corporation's thesis lies in its strong segmental growth in Clean Energy &amp; Fueling and its robust profitability metrics. Its edge stems from its diversified portfolio and exposure to growth industries like clean energy. However, risks include its elevated valuation, uneven segment performance, and potential macroeconomic headwinds from trade tensions and slowing economic growth.
 **Score: 65**</t>
  </si>
  <si>
    <t>CMS</t>
  </si>
  <si>
    <t>**Investment Report: CMS Energy (CMS)**
 **Recent News:**  
 CMS Energy has been highlighted for its performance relative to its peers in the utilities sector. The company has shown resilience in a challenging macroeconomic environment, with its stock price nearing its 52-week high of $74.18. This performance reflects investor confidence in the firm's stability and its ability to navigate sector-specific challenges. However, the broader utilities sector faces headwinds from rising interest rates and economic uncertainty, which could weigh on future performance.
 **Financials:**  
 CMS Energy's financial metrics indicate a stable but cautious outlook. The company has a trailing P/E ratio of 22.24 and a forward P/E of 20.69, suggesting moderate valuation levels compared to its historical averages. Its dividend yield of 2.97% is slightly above its five-year average of 2.93%, indicating a consistent return for income-focused investors. However, the payout ratio of 61.86% suggests limited room for significant dividend growth without earnings expansion.  
 The firm's revenue growth of 2% year-over-year is modest, and earnings growth has declined by 16.1%, reflecting challenges in maintaining profitability. CMS Energy's debt-to-equity ratio of 189.64 is high, which is typical for utility companies but raises concerns about its ability to manage debt in a rising interest rate environment. Free cash flow is negative at -$804.75 million, which could limit flexibility for future investments or debt reduction. On the positive side, operating cash flow remains strong at $2.37 billion, supporting ongoing operations and dividend payments.
 **Valuations:**  
 CMS Energy's price-to-book ratio of 2.76 and price-to-sales ratio of 2.94 suggest the stock is trading at a premium compared to some peers in the utilities sector. The enterprise value-to-EBITDA ratio of 14.57 indicates a relatively high valuation, which may limit upside potential unless the company demonstrates stronger earnings growth. Analyst sentiment remains positive, with a recommendation mean of 2.21 (indicating a "buy") and a target median price of $73.00, close to its current trading range.
 **Economic Outlook:**  
 The utilities sector is traditionally seen as a defensive play during economic slowdowns, and CMS Energy's low beta of 0.35 reflects its reduced sensitivity to market volatility. However, the broader economic environment presents mixed signals. While inflation appears to be moderating, rising interest rates could increase borrowing costs for CMS Energy, given its high debt levels. Additionally, the company's earnings growth has been under pressure, and its ability to pass on higher costs to consumers may be constrained by regulatory oversight.
 The recent announcement of tariffs and trade tensions could indirectly impact CMS Energy by increasing costs for materials and equipment used in infrastructure projects. However, the company's focus on regulated utilities provides some insulation from these external shocks.
 **Summary of Thesis, Edge, and Risk:**  
 CMS Energy offers a stable investment opportunity within the utilities sector, supported by consistent dividend payments and a defensive business model. Its edge lies in its regulated utility operations, which provide predictable cash flows. However, risks include high debt levels, negative free cash flow, and declining earnings growth, which could limit its ability to invest in growth initiatives or weather economic challenges. The stock's current valuation suggests limited upside potential unless the company can improve its financial performance.
 **Score: 65**</t>
  </si>
  <si>
    <t>PCAR</t>
  </si>
  <si>
    <t>**Investment Report: Paccar Inc.**
 **Recent News:**  
 Paccar Inc. has not been featured in any significant news over the past week. This absence of news suggests stability in its operations but also indicates a lack of recent catalysts that could drive short-term price movements. The broader macroeconomic environment, including trade tensions and slowing economic growth, may indirectly impact the company, given its exposure to global markets and reliance on industrial demand.
 **Financials:**  
 Paccar's financial performance reflects a solid foundation, though recent metrics indicate some challenges. The company has a trailing price-to-earnings (P/E) ratio of 13.29 and a forward P/E of 13.53, suggesting a fair valuation relative to its earnings. Its dividend yield of 1.23% is slightly below its five-year average of 1.37%, but the low payout ratio of 14.81% indicates room for dividend sustainability or growth. 
 The firm's profitability metrics, such as a return on equity (ROE) of 24.93% and return on assets (ROA) of 7.41%, highlight strong operational efficiency. However, earnings and revenue growth have declined year-over-year, with earnings shrinking by 38.6% and revenue contracting by 12.9%. This reflects challenges in the broader industrial and transportation equipment sectors, potentially linked to slowing global demand and rising costs.
 Paccar's balance sheet shows a healthy liquidity position, with a quick ratio of 1.82 and a current ratio of 2.04. However, its debt-to-equity ratio of 91.45% indicates a relatively high leverage level, which could pose risks in a rising interest rate environment or during prolonged economic slowdowns. The company has a robust free cash flow of $3.86 billion, which supports its ability to manage debt and invest in growth opportunities.
 **Valuations:**  
 Paccar's price-to-book (P/B) ratio of 3.15 is slightly elevated compared to historical industrial sector averages, suggesting the stock may not be deeply undervalued. Its enterprise value-to-revenue ratio of 1.86 and enterprise value-to-EBITDA ratio of 11.68 indicate that the market is pricing in moderate growth expectations. Analyst sentiment is mixed, with a "hold" recommendation and a mean target price of $115.11, representing a modest upside from its current price of $107.24.
 **Economic Outlook:**  
 The macroeconomic environment presents headwinds for Paccar. The U.S. economy is showing signs of deceleration, with GDP expected to shrink by 1.5% in Q1 2025. Trade tensions, particularly the imposition of tariffs on Canada, Mexico, and China, could disrupt supply chains and increase costs for Paccar, which operates in the construction machinery and heavy transportation equipment industry. Additionally, slowing industrial activity and weakening consumer confidence may dampen demand for Paccar's products in the near term.
 On the positive side, Paccar's beta of 0.917 suggests lower volatility compared to the broader market, which could make it a relatively stable investment during periods of market uncertainty. The company's strong cash position and operational efficiency provide a buffer against economic challenges, though its reliance on cyclical industries remains a key risk.
 **Summary:**  
 Paccar's investment thesis is built on its strong operational efficiency, robust cash flow, and stable dividend policy. Its edge lies in its established market position and ability to generate consistent returns on equity. However, risks include declining earnings and revenue growth, high leverage, and exposure to macroeconomic headwinds such as trade tensions and slowing industrial demand.
 **Score: 65**</t>
  </si>
  <si>
    <t>**Investment Report: PG&amp;E Corporation (PCG)**
 **Recent News:**  
 PG&amp;E Corporation has garnered attention as analysts debate whether the stock is undervalued. The Zacks Rank system highlights the importance of earnings estimates and revisions, suggesting that PG&amp;E's valuation metrics and growth potential may be overlooked. However, the company's recent financial performance and broader economic conditions warrant a closer examination to assess its true investment potential.
 **Financials:**  
 PG&amp;E's stock is trading near its 52-week low of $14.99, significantly below its 52-week high of $21.72, reflecting a decline of approximately 0.55% over the past year. The company has a trailing P/E ratio of 14.29 and a forward P/E of 11.10, indicating a relatively attractive valuation compared to the broader market. Its price-to-book ratio of 1.26 suggests the stock is trading close to its book value, which may appeal to value-oriented investors. However, the company's earnings growth has contracted by 30.3% year-over-year, and revenue growth has declined by 5.8%, signaling operational challenges.
 PG&amp;E's financial health is mixed. While it has a solid EBITDA margin of 38.1% and operating margins of 17.8%, its debt-to-equity ratio of 191.91% is concerning, reflecting a highly leveraged balance sheet. The company’s free cash flow is negative at -$6.58 billion, which could limit its ability to invest in growth initiatives or return capital to shareholders. On the positive side, PG&amp;E has a modest dividend yield of 0.61%, though this is well below its five-year average of 3.32%, indicating a conservative payout strategy.
 **Valuations:**  
 PG&amp;E's valuation metrics suggest the stock is relatively inexpensive. The forward P/E of 11.10 is below the industry average, and the trailing PEG ratio of 0.997 indicates that the stock may be undervalued relative to its growth prospects. Analysts have a median price target of $22.00, representing a potential upside of approximately 35% from the current price. The recommendation mean of 2.0 (Buy) from 17 analysts further underscores optimism about the stock's potential.
 **Economic Outlook:**  
 The broader economic environment presents challenges for PG&amp;E. The U.S. economy is showing signs of deceleration, with GDP expected to contract in Q1 2025. Rising jobless claims and weakening consumer confidence could dampen demand for utilities. Additionally, the company's high debt levels could become more burdensome in a high-interest-rate environment. However, PG&amp;E operates in the multi-utilities sector, which is generally considered defensive and less sensitive to economic cycles. This could provide some stability amid broader market volatility.
 **Thesis, Edge, and Risk:**  
 PG&amp;E's valuation metrics and analyst price targets suggest the stock may be undervalued, offering potential upside for long-term investors. The company's strong EBITDA margins and defensive sector positioning provide a degree of resilience. However, its high debt levels, negative free cash flow, and declining earnings and revenue growth pose significant risks. The broader economic slowdown and potential regulatory challenges could further pressure the stock.
 **Score: 65**</t>
  </si>
  <si>
    <t>NWSA</t>
  </si>
  <si>
    <t>**Investment Report: News Corp (Class A)**
 **Recent News:**  
 There have been no significant updates or developments regarding News Corp in the past week. This lack of news suggests stability in the company's operations but also indicates no immediate catalysts for significant price movement in the short term.
 **Financials:**  
 News Corp's financial performance reflects a mixed picture. The company has a market capitalization of $16.83 billion and a trailing price-to-earnings (PE) ratio of 37.96, which is relatively high, indicating that the stock may be priced for growth. The forward PE ratio of 26.86 suggests expectations of improved earnings in the future. The company has shown strong earnings growth of 37.8% year-over-year and revenue growth of 4.8%, signaling operational improvements. However, the free cash flow is negative at -$646 million, which raises concerns about the company's ability to generate cash from its operations.
 The dividend yield of 0.7% is below the five-year average of 1.03%, reflecting a conservative payout strategy. The payout ratio of 26.67% indicates that the company retains a significant portion of its earnings for reinvestment or debt management. The debt-to-equity ratio of 32.39% is manageable, but the quick ratio of 0.915 suggests that the company may face short-term liquidity challenges.
 **Valuations:**  
 News Corp's price-to-book ratio of 1.98 is reasonable, indicating that the stock is not excessively overvalued relative to its book value. The price-to-sales ratio of 1.64 is also moderate, suggesting that the market is valuing the company fairly in relation to its revenue. Analyst sentiment is positive, with a recommendation mean of 1.6 (indicating a "buy") and a target median price of $36.50, which represents a potential upside from the current price of $28.62.
 **Economic Outlook:**  
 The broader economic environment presents challenges for News Corp. The U.S. economy is showing signs of deceleration, with GDP expected to shrink in Q1 2025. Rising tariffs and trade tensions could impact advertising and publishing revenues, as businesses may cut back on marketing budgets in a slowing economy. However, News Corp's diversified revenue streams and strong gross margins of 51.55% provide some insulation against economic headwinds. The company's beta of 1.355 indicates higher volatility compared to the market, which could amplify price movements in response to macroeconomic developments.
 **Summary of Thesis, Edge, and Risk:**  
 News Corp's strong earnings and revenue growth, coupled with reasonable valuations, suggest that the company is well-positioned for long-term stability. Its diversified operations and solid gross margins provide a competitive edge in the publishing industry. However, risks include negative free cash flow, potential liquidity challenges, and exposure to broader economic slowdowns. The lack of immediate catalysts and high PE ratio may limit short-term upside potential.
 **Score: 65**</t>
  </si>
  <si>
    <t>MGM</t>
  </si>
  <si>
    <t>**Investment Report: MGM Resorts International**
 **Recent News:**  
 MGM Resorts International has not been in the news over the past week, suggesting a lack of significant developments or announcements. This absence of news may indicate stability but also highlights the need to focus on broader economic and industry trends to assess the company's prospects.
 **Financials:**  
 MGM Resorts' financial metrics present a mixed picture. The company is trading near its 52-week low of $31.61, significantly below its 52-week high of $48.25, reflecting a 17.2% decline over the past year. The trailing price-to-earnings (P/E) ratio of 13.83 and forward P/E of 14.43 suggest the stock is moderately valued, though earnings growth has been under pressure, with a quarterly decline of 49.8%. Revenue growth has also been slightly negative at -0.6%, indicating challenges in maintaining top-line momentum.
 The company's profit margins are modest, with a net profit margin of 4.33% and EBITDA margins of 14.46%. While gross margins of 45.52% are healthy, the high debt-to-equity ratio of 856.29% raises concerns about financial leverage. Total debt stands at $31.85 billion, significantly outweighing cash reserves of $2.42 billion, which could limit financial flexibility. However, the company generates a solid operating cash flow of $2.36 billion and free cash flow of $722 million, which may help manage its debt obligations.
 **Valuations:**  
 MGM Resorts' price-to-sales ratio of 0.55 and price-to-book ratio of 3.23 suggest the stock is trading at a discount relative to its revenue and book value. Analysts remain optimistic, with a mean target price of $49.51, representing a potential upside of over 40% from current levels. The recommendation mean of 1.52 (indicating a "buy") and 21 analyst opinions further underscore positive sentiment. However, the trailing PEG ratio of 1.95 reflects limited growth prospects relative to its valuation.
 **Economic Outlook:**  
 The broader economic environment poses challenges for MGM Resorts. The U.S. economy is showing signs of deceleration, with GDP expected to shrink by 1.5% in Q1 2025. Rising jobless claims and weakening consumer confidence could impact discretionary spending, particularly in the casinos and gaming industry, which relies heavily on consumer leisure spending. Additionally, the ongoing trade tensions and tariffs may indirectly affect the company by increasing costs or reducing consumer disposable income.
 MGM Resorts' beta of 2.19 indicates high sensitivity to market volatility, which could amplify stock price fluctuations in the current uncertain economic climate. The company's exposure to international markets, particularly in Asia, may also be affected by geopolitical tensions and slower global growth.
 **Summary of Thesis, Edge, and Risk:**  
 MGM Resorts offers a compelling valuation with significant upside potential based on analyst targets and its discounted price-to-sales ratio. The company's strong cash flow generation and healthy gross margins provide a degree of financial stability. However, high debt levels and declining earnings growth present notable risks, particularly in a slowing economic environment. The stock's high beta and reliance on consumer discretionary spending further amplify its vulnerability to market and economic volatility.
 **Score: 65**</t>
  </si>
  <si>
    <t>**Investment Report: Live Nation Entertainment (LYV)**
 **Recent News:**  
 Live Nation Entertainment experienced a significant sell-off, with its stock declining by 6.5% in a single trading session. This drop follows a period of heightened volatility, as the stock has been trading near its 52-week high of $157.75. The sell-off may reflect broader market concerns, including economic uncertainty and potential shifts in consumer discretionary spending. However, the lack of immediate catalysts or company-specific news suggests that the decline could be attributed to profit-taking or broader market sentiment rather than fundamental issues.
 **Financials:**  
 Live Nation's financial metrics reveal a mixed picture. The company has a trailing price-to-earnings (P/E) ratio of 51.92 and a forward P/E of 58.78, indicating a premium valuation relative to its earnings. Its price-to-sales ratio of 1.42 and enterprise value-to-revenue ratio of 1.59 suggest that the market is pricing in significant growth expectations. However, revenue growth has recently contracted by 2.4%, raising questions about the sustainability of its valuation. 
 The company has a high debt-to-equity ratio of 425.2%, reflecting a leveraged balance sheet. While Live Nation holds $6.1 billion in cash, its total debt of $8.3 billion and modest free cash flow of $1.05 billion highlight potential financial risks. Profit margins remain thin, with a net margin of 3.87% and EBITDA margin of 7.76%, suggesting limited room for error in a challenging economic environment.
 **Valuations:**  
 Live Nation's stock is trading at a significant premium to its book value, with a price-to-book ratio of 190.44. Analysts remain optimistic, with a mean target price of $163.30 and a median target of $170.00, implying potential upside from current levels. However, the stock's trailing PEG ratio of 4.61 indicates that its growth is expensive relative to its earnings trajectory. The high short interest ratio of 7.04 and short percentage of float at 8.57% suggest that some investors are betting against the stock, potentially due to concerns about its valuation and growth prospects.
 **Economic Outlook:**  
 The broader economic environment poses challenges for Live Nation. With the U.S. economy showing signs of deceleration and consumer confidence weakening, discretionary spending on live entertainment could face headwinds. Additionally, rising tariffs and geopolitical uncertainties may indirectly impact consumer behavior and corporate sponsorships. However, Live Nation's dominant position in the live entertainment industry and its ability to generate cash flow from ticket sales and sponsorships provide some resilience.
 **Summary of Thesis, Edge, and Risk:**  
 Live Nation's investment thesis is built on its market leadership in live entertainment and its ability to capitalize on the growing demand for experiences over material goods. Its edge lies in its extensive network of venues, artists, and ticketing platforms, which create significant barriers to entry. However, risks include its high valuation, leveraged balance sheet, and exposure to economic downturns, which could dampen consumer spending on discretionary activities.
 **Score: 65**</t>
  </si>
  <si>
    <t>MAR</t>
  </si>
  <si>
    <t>**Investment Report: Marriott International**
 **Recent News:**  
 Marriott International has not been in the headlines over the past week, indicating a lack of significant developments or disruptions. This absence of news suggests stability in operations but also a lack of immediate catalysts for the stock. The broader macroeconomic environment, including rising tariffs and geopolitical tensions, could indirectly impact the hospitality industry, particularly in terms of international travel and consumer spending.
 **Financials:**  
 Marriott's financial performance reflects a mixed picture. The company has a trailing price-to-earnings (P/E) ratio of 33.34 and a forward P/E of 26.20, indicating that the stock is priced for growth but may be relatively expensive compared to its peers. The dividend yield of 0.9% is below its five-year average of 1.29%, suggesting limited income appeal for dividend-focused investors. However, the payout ratio of 28.93% indicates that the dividend is sustainable.
 The company’s profit margins are robust, with a net profit margin of 35.89% and EBITDA margins of 64.34%, reflecting strong operational efficiency. Revenue growth of 2.9% year-over-year is modest, and earnings growth has declined by 43.3%, signaling potential challenges in maintaining profitability. Marriott's return on assets (ROA) of 9.34% is healthy, but the negative book value (-$10.81 per share) and high debt levels ($15.35 billion) raise concerns about the balance sheet's strength.
 **Valuations:**  
 Marriott's stock is trading near the middle of its 52-week range ($204.55 - $307.52), with a recent close of $280.45. The stock's beta of 1.586 indicates higher volatility compared to the broader market, which could amplify price swings in the current uncertain economic environment. Analysts have a median price target of $291.50, suggesting limited upside potential of approximately 4% from current levels. The trailing PEG ratio of 1.64 implies that the stock is fairly valued relative to its growth prospects.
 **Economic Outlook:**  
 The macroeconomic environment poses both risks and opportunities for Marriott. The U.S. economy is showing signs of deceleration, with GDP expected to shrink in Q1 2025. Rising tariffs and geopolitical tensions could dampen international travel demand, while higher interest rates may weigh on consumer discretionary spending, including leisure and business travel. However, Marriott's strong brand and operational efficiency could help it weather these challenges. The company’s high gross margins (81.87%) and free cash flow of $1.95 billion provide a cushion against economic headwinds.
 **Summary of Thesis, Edge, and Risk:**  
 Marriott International benefits from strong operational efficiency, a robust profit margin, and a globally recognized brand, which provide a competitive edge in the hospitality industry. However, the stock appears fully valued, with limited upside potential in the near term. Risks include high debt levels, declining earnings growth, and potential macroeconomic pressures from tariffs and reduced consumer spending. While the company is well-positioned for long-term growth, near-term challenges could weigh on performance.
 **Score: 65**</t>
  </si>
  <si>
    <t>TEL</t>
  </si>
  <si>
    <t>**Investment Report: TE Connectivity**
 **Recent News:**  
 TE Connectivity has not been in the spotlight over the past week, with no significant news or announcements. This lack of recent developments suggests stability in operations but also indicates no immediate catalysts for significant price movement. The absence of news could reflect a steady business environment, though it may also imply limited short-term momentum.
 **Financials:**  
 TE Connectivity's financial performance reflects a mixed picture. The company has a market capitalization of $44.93 billion and a trailing P/E ratio of 23.79, which is slightly elevated compared to its forward P/E of 16.75, indicating expectations of earnings growth. However, earnings quarterly growth has declined significantly by 70.7%, which raises concerns about near-term profitability. Revenue growth is nearly flat at 0.1%, suggesting limited top-line expansion.
 The company maintains a healthy dividend yield of 1.69%, close to its five-year average of 1.7%, with a sustainable payout ratio of 40.13%. This indicates that TE Connectivity is committed to returning value to shareholders while retaining sufficient capital for operations. The firm’s gross margins of 34.65% and operating margins of 19.5% are solid, reflecting operational efficiency. However, earnings growth has contracted by 69.6%, which could weigh on investor sentiment.
 TE Connectivity's balance sheet shows a manageable debt-to-equity ratio of 33.6%, supported by a current ratio of 1.68, indicating adequate liquidity to meet short-term obligations. Free cash flow of $2.19 billion and operating cash flow of $3.64 billion provide a strong foundation for ongoing investments and debt servicing. However, the quick ratio of 0.93 suggests some reliance on inventory to cover immediate liabilities.
 **Valuations:**  
 The stock is trading at a price-to-book ratio of 3.63, which is above the industry average, indicating a premium valuation. The price-to-sales ratio of 2.83 is reasonable for a company in the electronic manufacturing services industry, but the trailing PEG ratio of 3.03 suggests the stock may be overvalued relative to its growth prospects. Analysts have a mean target price of $170.73, representing a potential upside of approximately 10.8% from the current price, with a recommendation mean of 2.15 (indicating a "buy" rating). However, the high target price of $190 and low target of $145 reflect a wide range of expectations, underscoring uncertainty.
 **Economic Outlook:**  
 The broader economic environment presents challenges for TE Connectivity. The U.S. economy is showing signs of deceleration, with GDP expected to shrink by 1.5% in Q1 2025. Trade tensions, particularly the imposition of tariffs on Canada, Mexico, and China, could disrupt global supply chains and increase input costs for TE Connectivity, which operates in a highly interconnected industry. Additionally, the Federal Reserve's restrictive monetary policy and elevated interest rates may dampen consumer and industrial demand, potentially impacting the company's revenue streams.
 On the positive side, TE Connectivity's exposure to long-term growth trends such as electrification, automation, and connectivity in automotive and industrial applications could provide resilience. The company's beta of 1.31 suggests higher volatility than the market, which could amplify price swings in the current uncertain environment.
 **Summary:**  
 **Thesis:** TE Connectivity is a well-established player with strong operational efficiency and a solid dividend profile. Its exposure to long-term growth trends in electrification and connectivity provides a compelling narrative for sustained demand.  
 **Edge:** The company’s robust cash flow and manageable debt levels position it well to navigate economic headwinds. Its diversified revenue base across industrial, automotive, and communication sectors offers some insulation from sector-specific risks.  
 **Risk:** Declining earnings growth, flat revenue growth, and macroeconomic challenges, including trade tensions and slowing GDP, pose significant risks. Elevated valuations relative to growth prospects may limit upside potential in the near term.
 **Score: 65**</t>
  </si>
  <si>
    <t>SPG</t>
  </si>
  <si>
    <t>**Investment Report: Simon Property Group (SPG)**
 **Recent News:**  
 Simon Property Group has not been in the headlines over the past week, suggesting stability in its operations and no significant disruptions or announcements. This lack of news could indicate a steady state for the company, but it also means there are no immediate catalysts driving investor sentiment.
 **Financials:**  
 Simon Property Group's financial performance reflects its position as a leading retail REIT. The stock is trading near its 52-week high of $190.14, with a recent close at $186.09. The company offers a robust dividend yield of 4.51%, though this is below its five-year average of 6.16%, potentially signaling a premium valuation. The payout ratio of 111.57% suggests that dividends exceed earnings, which could raise concerns about sustainability if earnings growth remains under pressure.
 The firm's trailing price-to-earnings (P/E) ratio of 25.87 and forward P/E of 27.70 indicate a relatively high valuation compared to historical norms for REITs, reflecting investor confidence in its premium assets and market position. However, earnings growth has been negative, with a quarterly decline of 10.7%, and revenue growth is modest at 3.6%. These figures suggest that while the company remains profitable, its growth trajectory is slowing.
 Simon Property Group's balance sheet shows a high debt-to-equity ratio of 688.57, which is typical for REITs but still represents a significant leverage risk in a rising interest rate environment. The company has $1.4 billion in cash and generates strong operating cash flow of $3.81 billion, which supports its ability to service debt and maintain dividends. However, the quick ratio of 0.36 and current ratio of 0.45 highlight limited short-term liquidity.
 **Valuations:**  
 The stock's price-to-book ratio of 21.12 is significantly elevated, reflecting the premium investors are willing to pay for Simon's high-quality retail properties. The enterprise value-to-revenue ratio of 14.22 and enterprise value-to-EBITDA ratio of 19.17 further underscore the market's confidence in the company's ability to generate stable cash flows. However, these metrics also suggest limited upside unless the company can accelerate growth or improve margins.
 Analyst sentiment remains positive, with a mean recommendation of "buy" and a target median price of $191.50, slightly above the current trading level. This indicates limited near-term upside potential, as the stock is already trading close to its fair value based on analyst estimates.
 **Economic Outlook:**  
 The broader economic environment presents mixed implications for Simon Property Group. The U.S. economy is showing signs of deceleration, with GDP expected to contract in Q1 2025. Rising jobless claims and weakening consumer confidence could negatively impact retail sales, which are critical for Simon's tenants. Additionally, the imposition of tariffs on Canadian, Mexican, and Chinese goods may increase costs for retailers, potentially pressuring their ability to pay rents.
 On the positive side, inflation appears to be moderating, which could lead to a more accommodative Federal Reserve policy later in the year. Lower interest rates would benefit Simon Property Group by reducing borrowing costs and potentially boosting consumer spending. However, the company's high leverage makes it vulnerable to any prolonged economic downturn.
 **Summary of Thesis, Edge, and Risk:**  
 Simon Property Group's investment thesis is built on its position as a leading retail REIT with high-quality assets and strong cash flow generation. Its edge lies in its premium properties and ability to attract top-tier tenants, which provide stability even in challenging economic conditions. However, risks include high leverage, slowing earnings growth, and potential headwinds from weakening consumer confidence and rising tenant costs due to tariffs.
 **Score: 65**</t>
  </si>
  <si>
    <t>CHRW</t>
  </si>
  <si>
    <t>**Investment Report: C.H. Robinson (CHRW)**
 **Recent News:**  
 C.H. Robinson's stock has declined by 1.2% since its last earnings report, reflecting investor concerns over its performance and broader economic challenges. The company reported earnings 30 days ago, and while the results showed some resilience, the market's reaction suggests skepticism about its near-term growth prospects. The decline may also be influenced by macroeconomic headwinds, including slowing global trade and rising geopolitical tensions, which could weigh on the logistics and freight industry. Additionally, the broader market volatility and tariff-related uncertainties may have contributed to the stock's underperformance.
 **Financials:**  
 C.H. Robinson's financial metrics indicate a mixed picture. The company has a market capitalization of $11.91 billion and a trailing P/E ratio of 26.00, which is higher than its forward P/E of 21.08, suggesting expectations of earnings growth. However, revenue growth has been negative (-0.9%), reflecting challenges in the freight and logistics sector. The company's profit margins (2.63%) and EBITDA margins (4.31%) are relatively thin, highlighting the competitive and low-margin nature of the industry. On the positive side, the firm has a solid return on equity (29.66%) and a reasonable dividend yield of 2.44%, supported by a payout ratio of 63.73%. Its free cash flow of $390.62 million and operating cash flow of $509.08 million provide some financial stability, though its debt-to-equity ratio of 101.11% indicates a leveraged balance sheet.
 **Valuations:**  
 C.H. Robinson's price-to-sales ratio of 0.67 and price-to-book ratio of 6.92 suggest the stock is trading at a premium relative to its book value but at a discount based on revenue. The stock's 52-week range of $65.00 to $114.82 shows significant volatility, with the current price near $100.01 reflecting a recovery from its lows but still below its highs. Analyst sentiment appears cautiously optimistic, with a mean target price of $115.65, implying potential upside. However, the company's trailing PEG ratio of 1.31 indicates that its valuation may not be fully justified by its growth prospects.
 **Economic Outlook:**  
 The macroeconomic environment poses challenges for C.H. Robinson. The global trade slowdown, exacerbated by escalating tariffs and geopolitical tensions, could reduce demand for freight and logistics services. The U.S. economy is showing signs of deceleration, with GDP expected to contract in Q1 2025. Rising jobless claims and weakening consumer confidence further dampen the outlook. On the other hand, moderating inflation and potential Federal Reserve rate cuts later in the year could provide some relief. The company's exposure to international markets and reliance on efficient supply chains make it vulnerable to disruptions caused by trade policies and economic uncertainty.
 **Summary:**  
 C.H. Robinson's investment thesis hinges on its established position in the logistics industry and its ability to generate consistent cash flow. Its edge lies in its scale and operational efficiency, which provide resilience in a competitive market. However, risks include macroeconomic headwinds, trade policy uncertainties, and thin margins, which could pressure profitability. The stock's recent decline reflects these concerns, and while there is potential for recovery, near-term challenges remain significant.
 **Score: 65**</t>
  </si>
  <si>
    <t>**Investment Report: Southern Company (Electric Utilities Industry)**
 **Recent News:**  
 Southern Company has not been in the news over the past week, indicating a lack of significant developments or disruptions. This stability is typical for utility companies, which often operate in a less volatile environment compared to other sectors. However, the absence of news also suggests no immediate catalysts for significant price movement in the short term.
 **Financials:**  
 Southern Company exhibits strong financial metrics typical of a mature utility firm. The stock is trading near its 52-week high of $94.45, with a current price of $90.85. The company offers a dividend yield of 3.21%, slightly below its five-year average of 3.95%, reflecting a premium valuation. Its payout ratio of 71.68% is sustainable for a utility company, given the sector's predictable cash flows. The trailing price-to-earnings (P/E) ratio of 22.77 and forward P/E of 21.03 suggest the stock is moderately valued, though slightly higher than the broader market average for utilities. 
 Southern Company’s revenue growth of 4.9% year-over-year is modest but consistent with the utility sector's defensive nature. However, earnings growth has declined by 38.5%, reflecting potential cost pressures or regulatory challenges. The company’s profit margins remain healthy, with gross margins at 49.93% and operating margins at 18.53%. Its return on equity (ROE) of 11.85% is solid, though not exceptional, for the industry.
 The balance sheet shows a high debt-to-equity ratio of 180.72%, which is common for utility companies due to their capital-intensive nature. However, the quick ratio of 0.335 and current ratio of 0.669 indicate limited short-term liquidity, which could pose risks in a rising interest rate environment. Free cash flow of $722 million is positive but relatively modest compared to the company’s enterprise value of $167 billion.
 **Valuations:**  
 Southern Company’s price-to-book ratio of 3.00 and price-to-sales ratio of 3.73 suggest the stock is trading at a premium compared to historical norms. Analysts have a median price target of $90.50, closely aligned with the current price, indicating limited upside potential in the near term. The recommendation mean of 2.57 (on a scale where 1 is a strong buy and 5 is a sell) suggests a consensus "hold" rating among analysts.
 **Economic Outlook:**  
 The broader economic environment presents mixed implications for Southern Company. The Federal Reserve’s restrictive monetary policy and elevated interest rates could increase the company’s borrowing costs, given its high debt levels. However, the utility sector’s defensive characteristics make it relatively resilient during economic slowdowns, as demand for electricity remains stable. The recent cooling of inflation, as indicated by the PCE index, could provide some relief on cost pressures. Additionally, Southern Company’s low beta of 0.446 suggests reduced sensitivity to broader market volatility, making it an attractive option for risk-averse investors.
 **Summary of Thesis, Edge, and Risk:**  
 Southern Company offers a stable investment profile with consistent revenue generation and a reliable dividend, making it a defensive play in uncertain economic conditions. Its edge lies in its predictable cash flows and low market volatility, supported by its position in the regulated utility sector. However, risks include high debt levels, declining earnings growth, and limited short-term upside potential due to its premium valuation. Rising interest rates and potential regulatory changes could also impact profitability.
 **Score: 65**</t>
  </si>
  <si>
    <t>STLD</t>
  </si>
  <si>
    <t>**Investment Report: Steel Dynamics (STLD)**
 **Recent News:**  
 Steel Dynamics (STLD) closed at $133.48 in its latest trading session, showing no change from its previous close. This flat performance comes amidst broader market gains, suggesting that the stock may be underperforming relative to the market. The lack of movement could reflect investor caution due to macroeconomic uncertainties, including the impact of new tariffs on steel imports and exports, which could affect the company's cost structure and demand for its products.
 **Financials:**  
 Steel Dynamics exhibits solid financial metrics, with a trailing P/E ratio of 13.28 and a forward P/E of 13.00, indicating a relatively attractive valuation compared to broader market averages. The company has a dividend yield of 1.48%, supported by a low payout ratio of 18.7%, suggesting that dividends are sustainable. However, earnings and revenue growth have been under pressure, with earnings growth declining by 48% and revenue growth contracting by 8.5% year-over-year. The company’s gross margin of 15.98% and EBITDA margin of 13.81% are respectable but may face headwinds from rising input costs and potential demand disruptions due to trade policies.
 The firm’s balance sheet shows a manageable debt-to-equity ratio of 36.12, with a current ratio of 2.53, indicating strong liquidity. However, the negative free cash flow of -$299 million raises concerns about the company’s ability to fund operations and growth initiatives without relying on external financing. Operating cash flow remains positive at $1.84 billion, which provides some reassurance.
 **Valuations:**  
 Steel Dynamics is trading at a price-to-book ratio of 2.22, which is reasonable given its return on equity (ROE) of 17.43%. The stock is currently priced near the midpoint of its 52-week range ($104.60 - $155.56), suggesting limited upside in the near term unless there is a significant catalyst. Analyst price targets range from $128.91 to $165.00, with a mean target of $144.09, implying a modest potential upside of approximately 8% from the current price.
 **Economic Outlook:**  
 The steel industry is facing significant challenges due to the recent imposition of tariffs on steel and aluminum imports by the U.S. government. These tariffs could increase input costs for Steel Dynamics, particularly if the company relies on imported raw materials. Additionally, retaliatory tariffs from trading partners may dampen export demand, further pressuring revenues. The broader economic slowdown, as indicated by a projected 1.5% contraction in U.S. GDP for Q1 2025, could also weigh on industrial activity and steel demand.
 On the positive side, the company may benefit from domestic infrastructure investments and reshoring trends, which could drive demand for U.S.-produced steel. However, these factors are unlikely to offset near-term headwinds from trade policies and slowing economic growth.
 **Summary:**  
 Steel Dynamics presents a mixed investment thesis. Its strong liquidity, sustainable dividend, and reasonable valuation provide a solid foundation. However, declining earnings and revenue growth, coupled with macroeconomic and trade-related uncertainties, pose significant risks. The company's edge lies in its operational efficiency and ability to adapt to changing market conditions, but its exposure to global trade dynamics and negative free cash flow are key risks to monitor.
 **Score: 65**</t>
  </si>
  <si>
    <t>MHK</t>
  </si>
  <si>
    <t>**Investment Report: Mohawk Industries**
 **Recent News:**  
 There have been no significant updates or developments regarding Mohawk Industries in the past week. The absence of news suggests stability in the company's operations, but it also indicates a lack of catalysts that could drive short-term price movements.
 **Financials:**  
 Mohawk Industries is trading near the lower end of its 52-week range ($104.88 - $164.29), with a current price-to-book ratio of 0.96, indicating the stock is trading below its book value. This could suggest undervaluation, especially when compared to its trailing P/E of 14.29 and forward P/E of 10.43, which are relatively low for the industry. The company has a market capitalization of $7.28 billion and an enterprise value of $9.25 billion, reflecting moderate leverage with a debt-to-equity ratio of 34.78. 
 The firm’s profitability metrics, such as a net profit margin of 4.78% and return on equity of 6.82%, are modest but not particularly strong. Earnings growth has been negative (-33.2% quarterly), reflecting challenges in maintaining profitability. However, revenue growth remains slightly positive at 1%, suggesting resilience in top-line performance despite economic headwinds. The company generates solid free cash flow of $785.9 million, which provides flexibility for debt servicing and potential reinvestment.
 **Valuations:**  
 Mohawk's valuation metrics suggest the stock is attractively priced relative to its earnings and book value. The price-to-sales ratio of 0.67 and enterprise value-to-EBITDA ratio of 6.4 indicate the stock is trading at a discount compared to peers in the home furnishings industry. Analyst sentiment remains cautiously optimistic, with a mean target price of $144.13, representing a potential upside of approximately 23% from current levels. The recommendation mean of 2.18 (between "buy" and "hold") reflects moderate confidence in the stock's prospects.
 **Economic Outlook:**  
 The broader economic environment poses challenges for Mohawk Industries. The U.S. economy is showing signs of deceleration, with GDP expected to contract in Q1 2025. Rising tariffs on Canadian, Mexican, and Chinese goods could increase input costs for Mohawk, particularly if the company relies on imported materials. Additionally, weakening consumer confidence and higher interest rates may dampen demand for home furnishings, a discretionary spending category. However, the company’s strong cash position and manageable debt levels provide a buffer against these macroeconomic pressures.
 **Summary of Thesis, Edge, and Risk:**  
 Mohawk Industries appears undervalued based on its current trading metrics, offering potential upside for long-term investors. Its strong cash flow and low valuation multiples provide a margin of safety. However, the company faces risks from slowing economic growth, rising input costs due to tariffs, and declining earnings growth. The lack of recent news or catalysts suggests limited short-term momentum, but the stock may appeal to value-oriented investors seeking exposure to the home furnishings sector.
 **Score: 65**</t>
  </si>
  <si>
    <t>MKTX</t>
  </si>
  <si>
    <t>**Investment Report: MarketAxess Holdings Inc.**
 **Recent News:**  
 MarketAxess has not been in the news over the past week, suggesting a lack of immediate catalysts or disruptions. This absence of news may indicate stability but also reflects limited short-term momentum drivers. The broader macroeconomic environment, including trade tensions and slowing economic growth, could indirectly influence the firm's performance, particularly given its role in financial exchanges and data services.
 **Financials:**  
 MarketAxess exhibits strong profitability metrics, with a profit margin of 33.56% and operating margins of 39.51%, reflecting efficient operations. The company maintains a robust balance sheet, with a quick ratio of 8.44 and a current ratio of 10.27, indicating excellent liquidity. Total cash of $643.5 million far exceeds its total debt of $72.7 million, resulting in a low debt-to-equity ratio of 5.24%. Free cash flow of $632.2 million underscores its ability to generate significant cash from operations.
 However, earnings growth has declined by 6% year-over-year, and revenue growth is modest at 2.6%. This slowdown in growth could be a concern in a competitive and evolving industry. The trailing P/E ratio of 26.62 and forward P/E of 23.58 suggest the stock is priced at a premium relative to its earnings, which may limit upside potential in the near term. Additionally, the stock has underperformed the S&amp;P 500 over the past year, with a 52-week change of -8.76% compared to the S&amp;P's 17.25% gain.
 **Valuations:**  
 MarketAxess trades at a price-to-book ratio of 5.26 and a price-to-sales ratio of 8.95, both of which are relatively high, indicating that the market has priced in significant expectations for future performance. The enterprise value-to-revenue ratio of 8.25 and enterprise value-to-EBITDA ratio of 16.26 further highlight its premium valuation. While the dividend yield of 1.58% is above its five-year average of 0.9%, it remains modest compared to other income-generating investments. The payout ratio of 40.66% suggests the dividend is sustainable, but limited earnings growth could constrain future increases.
 **Economic Outlook:**  
 The broader economic environment poses challenges for MarketAxess. The U.S. economy is showing signs of deceleration, with GDP expected to shrink by 1.5% in Q1 2025. Rising jobless claims, a record trade deficit, and weakening consumer confidence could dampen trading activity and demand for financial data services. Additionally, heightened market volatility and geopolitical uncertainties, including escalating trade tensions, may impact investor sentiment and trading volumes, which are critical to MarketAxess's revenue streams.
 On the positive side, the Federal Reserve's restrictive monetary policy appears to be moderating inflation, which could stabilize markets in the medium term. However, the near-term outlook remains uncertain, and the firm's exposure to financial markets makes it sensitive to these macroeconomic dynamics.
 **Summary of Thesis, Edge, and Risk:**  
 MarketAxess benefits from strong profitability, a robust balance sheet, and a leading position in the financial exchanges and data industry. Its high margins and significant free cash flow provide a solid foundation for long-term stability. However, the firm's premium valuation, slowing earnings growth, and sensitivity to macroeconomic headwinds present risks. The lack of recent news or catalysts further limits short-term upside potential. While the company remains fundamentally sound, its near-term performance may be constrained by broader economic challenges and market volatility.
 **Score: 65**</t>
  </si>
  <si>
    <t>PNW</t>
  </si>
  <si>
    <t>**Investment Report: Pinnacle West (PNW)**
 **Recent News:**  
 Pinnacle West reported a quarterly loss of $0.06 per share, which was better than the Zacks Consensus Estimate of a $0.15 loss. This marks a decline from break-even earnings per share in the same quarter last year. Despite the loss, the company exceeded revenue expectations, reflecting resilience in its core operations. The results suggest that while the firm is facing challenges, it is managing to outperform market expectations in terms of revenue generation. However, the loss indicates ongoing cost pressures or operational inefficiencies that need to be addressed.
 **Financials:**  
 Pinnacle West's stock is trading near its 52-week high of $95.42, with a current price-to-earnings (P/E) ratio of 17.97, slightly above the industry average, indicating a premium valuation. The forward P/E of 20.12 suggests expectations of moderate earnings growth. The company offers a dividend yield of 3.87%, below its five-year average of 4.39%, which may signal a less attractive yield for income-focused investors. The payout ratio of 67.46% is sustainable but leaves limited room for dividend growth. 
 The firm's debt-to-equity ratio of 161.11% is high, reflecting significant leverage, which could pose risks in a rising interest rate environment. Free cash flow is negative at -$220 million, indicating potential liquidity challenges, though operating cash flow remains positive at $1.6 billion. Gross margins of 41.7% and EBITDA margins of 39.4% are strong, suggesting efficient cost management in its utility operations. However, the quick ratio of 0.24 and current ratio of 0.59 highlight weak short-term liquidity.
 **Valuations:**  
 Pinnacle West's price-to-book ratio of 1.66 is reasonable for the utility sector, which typically trades at a premium due to its stable cash flows. The enterprise value-to-EBITDA ratio of 10.99 is in line with industry norms, suggesting the stock is fairly valued. Analysts have a median price target of $95, close to the current trading price, indicating limited upside potential in the near term. The recommendation mean of 2.12 (Buy) reflects cautious optimism among analysts.
 **Economic Outlook:**  
 The broader economic environment presents mixed signals for Pinnacle West. The U.S. economy is showing signs of deceleration, with GDP expected to shrink in Q1 2025. Rising jobless claims and weakening consumer confidence could dampen electricity demand, particularly in industrial and commercial segments. However, inflation appears to be moderating, which could ease cost pressures on utilities. Pinnacle West's regulated utility model provides some insulation from economic volatility, as it benefits from predictable revenue streams. Nonetheless, the firm's high debt levels could become a concern if interest rates remain elevated.
 **Thesis, Edge, and Risk:**  
 Pinnacle West's strong revenue performance and stable margins highlight its resilience in a challenging economic environment. Its regulated utility operations provide a defensive edge, offering predictable cash flows and a buffer against economic downturns. However, the firm's high leverage, weak liquidity ratios, and negative free cash flow pose significant risks, particularly in a rising interest rate environment. The stock's current valuation suggests limited upside potential, and its dividend yield is less competitive compared to historical levels.
 **Score: 65**</t>
  </si>
  <si>
    <t>CDW</t>
  </si>
  <si>
    <t>**Investment Report: CDW Corporation**
 **Recent News:**  
 CDW Corporation has not been in the news over the past week, indicating a lack of significant developments or announcements. This absence of news suggests stability in operations but also highlights the need to focus on financial and macroeconomic factors to assess the company's investment potential.
 **Financials:**  
 CDW's financial performance reflects a mixed picture. The company has a market capitalization of $22.85 billion and a trailing P/E ratio of 21.64, which is slightly elevated compared to its forward P/E of 17.05, indicating expectations of earnings growth. However, earnings quarterly growth has declined by 10.8%, reflecting potential challenges in maintaining profitability. Revenue growth remains modest at 3.3%, with total revenue of $20.99 billion. Gross margins stand at 21.92%, which is reasonable for a technology distributor but leaves limited room for error in a competitive environment.
 The company maintains a dividend yield of 1.4%, above its five-year average of 1.12%, signaling a commitment to returning value to shareholders. The payout ratio of 31.18% suggests dividends are sustainable. CDW's free cash flow of $1.08 billion and operating cash flow of $1.28 billion provide a solid liquidity cushion, though its high debt-to-equity ratio of 271.15% raises concerns about leverage. The quick ratio of 1.18 and current ratio of 1.35 indicate adequate short-term liquidity.
 **Valuations:**  
 CDW's stock is trading near its 52-week low of $168.43, significantly below its 52-week high of $263.37, reflecting a 27.26% decline over the past year. This underperformance contrasts with the S&amp;P 500's 17.25% gain over the same period, suggesting the stock has been out of favor. The price-to-sales ratio of 1.09 and price-to-book ratio of 9.72 indicate the stock is not particularly cheap, especially given the company's modest growth rates. Analysts maintain a "buy" recommendation with a mean target price of $225.93, implying a potential upside of approximately 30% from current levels.
 **Economic Outlook:**  
 The broader economic environment presents challenges for CDW. The U.S. economy is showing signs of deceleration, with GDP expected to shrink by 1.5% in Q1 2025. Rising tariffs on Canadian, Mexican, and Chinese goods could disrupt supply chains and increase costs for technology distributors like CDW. Additionally, weakening consumer confidence and higher jobless claims may dampen demand for IT products and services. However, the Federal Reserve's efforts to control inflation and potential rate cuts later in the year could provide some relief.
 **Summary of Thesis, Edge, and Risk:**  
 CDW's investment thesis hinges on its strong cash flow generation, sustainable dividend, and potential for recovery from its current undervaluation. The company's edge lies in its established position as a leading technology distributor with a diversified revenue base. However, risks include high leverage, declining earnings growth, and macroeconomic headwinds such as tariffs and slowing GDP growth, which could pressure margins and demand.
 **Score: 65**</t>
  </si>
  <si>
    <t>CBOE</t>
  </si>
  <si>
    <t>**Investment Report: Cboe Global Markets**
 **Recent News:**  
 Cboe Global Markets has not been in the headlines over the past week, indicating a lack of significant developments or disruptions. This stability can be interpreted as a neutral factor, suggesting no immediate catalysts or risks from external events. However, the absence of news also means the firm is not currently benefiting from any market-moving announcements or innovations.
 **Financials:**  
 Cboe Global Markets demonstrates solid financial health with a market capitalization of $22.5 billion and a relatively low beta of 0.661, indicating lower volatility compared to the broader market. The company’s trailing price-to-earnings (P/E) ratio of 29.81 and forward P/E of 23.42 suggest a premium valuation, reflecting investor confidence in its earnings stability and growth potential. The firm’s dividend yield of 1.2% is slightly below its five-year average of 1.44%, but the payout ratio of 32.7% indicates a sustainable dividend policy.
 Revenue growth of 14.3% year-over-year is a positive indicator, especially in a challenging macroeconomic environment. However, earnings growth has declined by 6.5%, and quarterly earnings growth is down 7.3%, signaling potential headwinds in profitability. The company’s gross margins of 50.6% and operating margins of 27.1% remain robust, showcasing operational efficiency. Free cash flow of $766 million and a current ratio of 1.78 highlight strong liquidity, though the debt-to-equity ratio of 37.37 warrants monitoring.
 **Valuations:**  
 Cboe’s price-to-book ratio of 5.26 is relatively high, suggesting the stock is trading at a premium compared to its book value. The enterprise value-to-revenue ratio of 5.64 and enterprise value-to-EBITDA ratio of 17.67 further reinforce the perception of a richly valued stock. Analyst sentiment is mixed, with a recommendation mean of 2.83 (between "hold" and "buy") and a target median price of $216, close to the current trading range. This indicates limited upside potential in the near term.
 **Economic Outlook:**  
 The broader economic environment presents challenges for Cboe Global Markets. The U.S. economy is showing signs of deceleration, with GDP expected to contract in Q1 2025. Rising trade tensions, particularly with China, Canada, and Mexico, could impact market sentiment and trading volumes, which are critical to Cboe’s revenue streams. However, the Federal Reserve’s potential pivot to rate cuts later in the year could provide a tailwind for financial markets, benefiting trading activity and exchange operators like Cboe.
 Cboe’s exposure to financial markets positions it to benefit from increased volatility, as evidenced by its trading volume exceeding the 10-day average. However, the firm’s earnings growth decline and the broader market’s shift away from high-valuation stocks could weigh on its performance in the short term.
 **Summary:**  
 Cboe Global Markets offers a stable business model with strong margins and liquidity, supported by its role as a key player in financial exchanges. Its edge lies in its operational efficiency and ability to capitalize on market volatility. However, risks include declining earnings growth, premium valuations, and potential headwinds from a slowing economy and geopolitical uncertainties. While the firm remains fundamentally sound, near-term upside appears limited given its current valuation and mixed economic outlook.
 **Score: 65**</t>
  </si>
  <si>
    <t>PSX</t>
  </si>
  <si>
    <t>**Investment Report: Phillips 66**
 **Recent News:**  
 Phillips 66 has been under pressure from activist investor Elliott Management, which has become a top-five shareholder and is advocating for a breakup of the company. Despite this, Phillips 66 has maintained its focus on shareholder returns through a growing dividend yield and share repurchase programs. The company's diversified operations, particularly its midstream business, provide a buffer against the volatility typically associated with the oil and gas sector. This stability, combined with its commitment to returning value to shareholders, positions Phillips 66 as a resilient player in the industry.
 **Financials:**  
 Phillips 66's financial metrics reflect a mixed picture. The company has a market capitalization of approximately $50.96 billion and a price-to-sales ratio of 0.36, indicating a relatively low valuation compared to its revenue base. Its dividend yield of 3.55% is attractive, though slightly below its five-year average of 4.25%. The payout ratio of 90.18% suggests that a significant portion of earnings is being returned to shareholders, which could limit reinvestment flexibility. The company's forward P/E ratio of 13.17 is more favorable than its trailing P/E of 25.05, indicating expectations of improved earnings. However, earnings growth has been negative, with a sharp decline of 99.9% in the most recent quarter, and revenue growth has contracted by 12% year-over-year.  
 Phillips 66's balance sheet shows a debt-to-equity ratio of 75.25, reflecting a relatively high level of leverage. While the company has $1.74 billion in cash, its total debt stands at $21.42 billion, which could pose challenges in a rising interest rate environment. Operating cash flow remains strong at $4.19 billion, but free cash flow is more constrained at $539.88 million, limiting its ability to fund growth initiatives without additional borrowing.
 **Valuations:**  
 The stock is trading at a price-to-book ratio of 1.86, which is reasonable for the industry. Its 52-week price range of $108.91 to $174.08 suggests significant volatility, with the current price near the lower end of this range. Analyst sentiment remains positive, with a mean target price of $137.18, representing potential upside from the current trading level. However, the stock's beta of 1.29 indicates higher-than-average market risk, which could amplify price swings in a volatile macroeconomic environment.
 **Economic Outlook:**  
 The broader economic environment presents challenges for Phillips 66. The U.S. economy is showing signs of deceleration, with GDP expected to contract in Q1 2025. Trade tensions, particularly the imposition of tariffs on steel and aluminum, could increase input costs for the refining and marketing segments. Additionally, the Federal Reserve's restrictive monetary policy and elevated interest rates may weigh on consumer demand and industrial activity, potentially impacting fuel consumption. On the positive side, Phillips 66's midstream operations provide some insulation from these headwinds, as they generate stable fee-based income.
 **Summary of Thesis, Edge, and Risk:**  
 Phillips 66's diversified business model, particularly its midstream operations, offers stability in a volatile sector. Its strong focus on shareholder returns through dividends and buybacks is appealing, especially in uncertain economic conditions. However, the company's high leverage, declining earnings, and exposure to macroeconomic risks such as tariffs and slowing growth present significant challenges. The activist pressure from Elliott Management adds another layer of uncertainty, though it could potentially unlock value if managed effectively.
 **Score: 65**</t>
  </si>
  <si>
    <t>SBUX</t>
  </si>
  <si>
    <t>**Investment Report: Starbucks Corporation**
 **Recent News:**  
 Starbucks is undergoing a strategic transformation under the leadership of CEO Brian Niccol, who is implementing a "Back to Starbucks" initiative aimed at revitalizing the brand's premium coffeehouse experience. This strategy includes reducing discounts, simplifying the menu, and discontinuing certain drinks to streamline operations. These changes have been well-received by the market, with Starbucks' stock appreciating nearly 20% recently. The company projects robust earnings per share (EPS) growth of 25-30% through 2028, signaling confidence in its long-term trajectory. However, challenges persist, including layoffs affecting over 1,700 employees, with a significant portion in Washington state, and difficulties in expanding sales in China due to heightened competition and economic headwinds. These layoffs and operational adjustments are part of efforts to enhance efficiency and improve customer experience, but they also highlight the pressures Starbucks faces in maintaining growth in a competitive global market.
 **Financials:**  
 Starbucks' financial performance reflects a mixed picture. The company has a trailing price-to-earnings (P/E) ratio of 37.23 and a forward P/E of 31.02, indicating a premium valuation relative to the broader market. Its dividend yield of 2.11% is slightly above its five-year average, suggesting a commitment to returning value to shareholders. However, the company's profit margins (9.73%) and revenue growth (-0.3%) indicate some operational challenges. Starbucks' balance sheet shows a high level of debt ($25.9 billion) relative to cash reserves ($3.96 billion), with a quick ratio of 0.535 and a current ratio of 0.749, reflecting limited short-term liquidity. Additionally, earnings growth has declined by 23.5% year-over-year, and the company faces negative book value (-$6.578 per share), which may raise concerns about its financial health. Despite these challenges, Starbucks' free cash flow of $1.97 billion and operating cash flow of $5.78 billion provide some reassurance about its ability to fund operations and strategic initiatives.
 **Valuations:**  
 Starbucks' stock is trading near its 52-week high of $117.46, significantly above its 200-day moving average of $91.88, reflecting strong recent momentum. However, its price-to-sales ratio of 3.63 and enterprise value-to-EBITDA ratio of 23.85 suggest that the stock is priced for growth, leaving limited room for error. Analysts have a median price target of $110.50, slightly below the current trading price, indicating that the stock may be fully valued at present levels. The company's trailing PEG ratio of 2.89 further underscores its premium valuation, which could be a concern in a slowing economic environment.
 **Economic Outlook:**  
 Starbucks operates in a challenging macroeconomic environment characterized by slowing global growth and rising competition in key markets like China. The company's reliance on discretionary consumer spending makes it vulnerable to economic downturns, particularly as consumer confidence weakens amid tariff-related uncertainties and layoffs. Additionally, the company's high exposure to international markets, including China, where economic pressures and competition are intensifying, could weigh on future growth. On the positive side, Starbucks' focus on operational efficiency and premium positioning may help it weather economic headwinds better than some competitors. However, the broader economic slowdown and potential for reduced consumer spending remain significant risks.
 **Summary:**  
 **Thesis:** Starbucks' "Back to Starbucks" strategy under CEO Brian Niccol positions the company for long-term growth by enhancing its premium brand image and operational efficiency.  
 **Edge:** The company's strong brand equity, global presence, and focus on streamlining operations provide a competitive advantage in a challenging market.  
 **Risk:** High valuation, slowing revenue growth, and macroeconomic pressures, particularly in China, pose risks to near-term performance.
 **Score: 65**</t>
  </si>
  <si>
    <t>PSA</t>
  </si>
  <si>
    <t>**Investment Report: Public Storage (PSA)**
 **Recent News:**  
 Public Storage's Q4 financial results revealed a decline in same-store revenues, primarily driven by lower occupancy rates. This was partially offset by an increase in realized annual rent per occupied square foot. The results fell short of analysts' expectations for funds from operations (FFO), a key metric for REITs. The decline in occupancy suggests potential challenges in maintaining demand, possibly due to macroeconomic pressures or increased competition in the self-storage sector. However, the ability to raise rents per square foot indicates some pricing power, which could help mitigate revenue pressures in the near term.
 **Financials:**  
 Public Storage maintains a strong financial position with a market capitalization of $54.56 billion and a dividend yield of 3.95%, above its five-year average of 3.31%. The company has a trailing P/E ratio of 29.26, which is relatively high, reflecting a premium valuation. Its profit margins are robust at 43.94%, and EBITDA margins stand at 70.73%, highlighting operational efficiency. However, the debt-to-equity ratio of 95.31% indicates significant leverage, which could pose risks in a rising interest rate environment. The company’s free cash flow of $2.41 billion and operating cash flow of $3.13 billion provide a cushion for dividend payments and operational needs.
 **Valuations:**  
 Public Storage's price-to-book ratio of 10.17 and enterprise value-to-revenue ratio of 14.13 suggest the stock is trading at a premium compared to its peers. Analysts' target prices range from $299 to $378, with a mean target of $337.39, indicating potential upside from the current price of approximately $303.62. However, the high valuation metrics may limit significant near-term appreciation, especially given the recent revenue challenges.
 **Economic Outlook:**  
 The broader economic environment presents mixed signals for Public Storage. The U.S. economy is showing signs of deceleration, with GDP expected to contract in Q1 2025. Rising jobless claims and weakening consumer confidence could impact demand for self-storage services. Additionally, the ongoing trade tensions and tariffs may indirectly affect consumer spending and mobility, which are key drivers for the self-storage industry. On the positive side, inflation appears to be moderating, which could alleviate cost pressures and support consumer affordability.
 **Summary:**  
 Public Storage's investment thesis is supported by its strong operational efficiency, robust cash flow generation, and above-average dividend yield. Its edge lies in its pricing power, as evidenced by higher rents per square foot, which could help offset occupancy challenges. However, risks include declining same-store revenues, high leverage, and potential macroeconomic headwinds that could dampen demand for self-storage services. The stock's premium valuation further limits its margin of safety in the near term.
 **Score: 65**</t>
  </si>
  <si>
    <t>DG</t>
  </si>
  <si>
    <t>**Investment Report: Dollar General (DG)**
 **Recent News:**  
 Dollar General has faced a significant stock price decline, with shares down approximately 71% from their peak in late 2022. Despite this, the company continues to grow, albeit at a slower pace. The decline reflects a combination of macroeconomic pressures, operational challenges, and investor sentiment shifting away from retail stocks. However, Dollar General's position as a discount retailer may provide resilience in a challenging economic environment, as consumers often turn to value-oriented options during periods of economic uncertainty.
 **Financials:**  
 Dollar General's financial metrics reveal a mixed picture. The company has a trailing price-to-earnings (P/E) ratio of 11.86 and a forward P/E of 11.56, suggesting the stock is trading at a discount relative to its historical valuation. The dividend yield of 3.18% is attractive, especially compared to its five-year average of 1.26%, indicating potential value for income-focused investors. However, the company's earnings growth has contracted by 29.3% year-over-year, and quarterly revenue growth is modest at 5%. 
 The balance sheet shows a high debt-to-equity ratio of 239.24%, which raises concerns about financial leverage, especially in a rising interest rate environment. The quick ratio of 0.092 indicates limited short-term liquidity, though the current ratio of 1.15 suggests the company can meet its immediate obligations. Free cash flow remains positive at $1.31 billion, which is a positive sign for sustaining operations and dividends.
 **Valuations:**  
 Dollar General's price-to-sales ratio of 0.39 and price-to-book ratio of 2.15 suggest the stock is undervalued compared to its peers in the consumer staples sector. The enterprise value-to-revenue ratio of 0.82 and enterprise value-to-EBITDA ratio of 11.14 further support the case for undervaluation. Analysts have a median price target of $84, representing a potential upside from the current price, though the range of targets ($66 to $115) reflects uncertainty about the company's near-term prospects.
 **Economic Outlook:**  
 The broader economic environment poses challenges for Dollar General. The U.S. economy is showing signs of deceleration, with GDP expected to contract in Q1 2025. Rising unemployment claims and weakening consumer confidence could impact discretionary spending, though Dollar General's focus on low-cost goods may provide a buffer. Additionally, the company's exposure to tariffs on imported goods could pressure margins, particularly as it operates in a price-sensitive segment. However, its beta of 0.44 indicates lower volatility relative to the broader market, which may appeal to risk-averse investors.
 **Summary of Thesis, Edge, and Risk:**  
 Dollar General's stock appears undervalued based on its current financial metrics and historical performance. Its position as a discount retailer provides a defensive edge in a slowing economy, as consumers may prioritize affordability. However, the company faces significant risks, including high debt levels, declining earnings growth, and potential margin pressures from tariffs and inflation. While the dividend yield and valuation metrics are attractive, operational and macroeconomic headwinds could limit near-term upside.
 **Score: 65**</t>
  </si>
  <si>
    <t>PLTR</t>
  </si>
  <si>
    <t>**Investment Report: Palantir Technologies Inc.**
 **Recent News:**  
 Palantir Technologies has faced significant stock price volatility, declining over 30% from its all-time high. This downturn follows a stellar 2024 performance, where the stock gained 340%, making it one of the top performers in the S&amp;P 500. The recent decline is attributed to broader market sell-offs, recession fears, and U.S. Department of Defense budget cuts, which could impact its government contracts. However, analysts remain optimistic about Palantir's long-term prospects, citing its strong revenue growth and potential opportunities in artificial intelligence (AI). The company's software solutions are well-positioned to benefit from government efficiency initiatives and budget constraints, as they offer cost-saving capabilities. Insider trading and market jitters have added to the stock's recent pressure, but some view the current weakness as a potential entry point for long-term growth.
 **Financials:**  
 Palantir's financial metrics reveal a mixed picture. The company boasts a robust market capitalization of $195.65 billion and a strong cash position of $5.23 billion, with a quick ratio of 5.83, indicating excellent short-term liquidity. Revenue growth remains solid at 36% year-over-year, supported by high gross margins of 80.25%. However, profitability metrics are less favorable, with a trailing price-to-earnings (P/E) ratio of 439.05 and a forward P/E of 177.49, reflecting a premium valuation. Operating margins are thin at 1.33%, and earnings growth has declined by 21.9% year-over-year, signaling challenges in scaling profitability. The company's free cash flow of $924.91 million is a positive indicator of operational efficiency, but its high price-to-sales ratio of 68.28 suggests the stock is expensive relative to its revenue.
 **Valuations:**  
 Palantir's valuation metrics highlight its premium pricing in the market. The price-to-book ratio of 39.00 and enterprise value-to-revenue multiple of 66.57 underscore the high expectations baked into the stock. While the company has a strong growth narrative, these valuations leave little room for error, especially in a risk-off market environment. Analyst sentiment is cautious, with a recommendation mean of 3.13 (hold) and a wide range of price targets, from $18 to $141, reflecting uncertainty about the stock's near-term trajectory. The trailing PEG ratio of 2.85 suggests that the stock's growth is not fully justified by its current valuation.
 **Economic Outlook:**  
 The broader economic environment poses challenges for Palantir. Recession fears, rising jobless claims, and a shrinking GDP forecast for Q1 2025 could dampen investor sentiment. Additionally, the U.S. Department of Defense budget cuts may impact Palantir's government contracts, a key revenue driver. On the positive side, the company's focus on AI and data analytics positions it well to capitalize on emerging trends in technology and government efficiency. However, the elevated beta of 2.81 indicates that the stock is highly sensitive to market volatility, which could exacerbate price swings in the current uncertain environment.
 **Summary of Thesis, Edge, and Risk:**  
 Palantir's investment thesis is rooted in its strong revenue growth, high gross margins, and strategic positioning in AI and government efficiency solutions. Its edge lies in its unique software offerings that address complex data analytics needs, making it a valuable partner for both government and commercial clients. However, the primary risks include its premium valuation, declining earnings growth, and exposure to government budget cuts. The broader economic slowdown and market volatility further amplify these risks, making the stock's near-term performance uncertain.
 **Score: 65**</t>
  </si>
  <si>
    <t>PNR</t>
  </si>
  <si>
    <t>**Investment Report: Pentair (Ticker: PNR)**
 **Recent News:**  
 Pentair has not been in the spotlight recently, with no significant news or developments over the past week. This lack of news suggests stability in operations but also indicates no immediate catalysts for significant price movement in the short term.
 **Financials:**  
 Pentair's financial performance reflects a mixed picture. The company has a market capitalization of $15.12 billion and a trailing P/E ratio of 24.53, which is slightly elevated compared to its forward P/E of 18.91, indicating expectations of earnings growth. However, earnings quarterly growth has declined by 20%, and revenue growth has contracted by 1.2%, signaling challenges in maintaining momentum. 
 The firm maintains a healthy profit margin of 15.3% and EBITDA margins of 24.8%, showcasing operational efficiency. Pentair's return on equity (18.45%) and return on assets (8.63%) are solid, reflecting effective use of shareholder capital. However, the debt-to-equity ratio of 49.6% suggests moderate leverage, which could pose risks in a rising interest rate environment. The quick ratio of 0.82 and current ratio of 1.60 indicate adequate liquidity to meet short-term obligations.
 Pentair's dividend yield of 1.06% is below its five-year average of 1.39%, and the payout ratio of 24.6% suggests room for dividend growth. Free cash flow of $603 million and operating cash flow of $766 million provide a strong foundation for sustaining dividends and reinvestment.
 **Valuations:**  
 Pentair's price-to-book ratio of 4.24 and price-to-sales ratio of 3.70 suggest the stock is trading at a premium relative to its book value and revenue. The enterprise value-to-EBITDA ratio of 16.96 is on the higher side, indicating the stock may be slightly overvalued compared to peers in the industrial machinery sector. Analyst sentiment remains positive, with a recommendation mean of 1.90 (Buy) and a target median price of $114.50, implying a potential upside from the current price of $91.35.
 **Economic Outlook:**  
 The broader economic environment presents headwinds for Pentair. The U.S. economy is showing signs of deceleration, with GDP contraction expected in Q1 2025 and rising jobless claims. Trade tensions, particularly the imposition of tariffs on steel and aluminum, could increase input costs for Pentair, potentially squeezing margins. Additionally, slowing construction spending and weakening consumer confidence may dampen demand for Pentair's products in the near term.
 On the positive side, moderating inflation and potential Federal Reserve rate cuts later in the year could provide some relief. Pentair's exposure to industrial and water solutions markets positions it well for long-term growth, particularly as infrastructure investments and sustainability initiatives gain traction globally.
 **Summary of Thesis, Edge, and Risk:**  
 Pentair's strong operational efficiency, solid cash flow generation, and manageable debt levels provide a stable foundation. The company's focus on water solutions aligns with long-term trends in sustainability and infrastructure development. However, near-term risks include slowing revenue and earnings growth, potential margin pressures from tariffs, and broader economic uncertainty. Valuations suggest the stock is trading at a slight premium, which may limit upside in the short term.
 **Score: 65**</t>
  </si>
  <si>
    <t>MKC</t>
  </si>
  <si>
    <t>**Investment Report: McCormick &amp; Company**
 **Recent News:**  
 McCormick &amp; Company has not been in the news over the past week, indicating a period of stability without any major announcements or disruptions. This lack of news suggests that the company is operating within its usual business framework, with no immediate catalysts or risks emerging from external events.
 **Financials:**  
 McCormick's stock has shown strong performance, trading near its 52-week high of $85.49, with a recent close at $82.61. The company offers a dividend yield of 2.18%, above its five-year average of 1.76%, reflecting its commitment to returning value to shareholders. The payout ratio of 57.53% indicates a sustainable dividend policy. However, earnings growth has been slightly negative (-1.9%), and revenue growth is modest at 2.6%, suggesting limited near-term expansion.
 The company’s profitability metrics remain solid, with gross margins of 38.54% and operating margins of 17.24%. Return on equity (15.16%) and return on assets (5.20%) are healthy, though not exceptional. McCormick's trailing P/E ratio of 29.02 and forward P/E of 27.16 indicate a premium valuation compared to the broader market, reflecting investor confidence in its defensive business model. However, the trailing PEG ratio of 2.78 suggests the stock may be overvalued relative to its growth prospects.
 Debt levels are notable, with a debt-to-equity ratio of 86.56%, which is relatively high for a company in the packaged foods industry. The quick ratio of 0.27 and current ratio of 0.74 highlight potential liquidity constraints, though the company generates strong free cash flow ($526 million) and operating cash flow ($921.9 million), which should help manage its debt obligations.
 **Valuations:**  
 McCormick's enterprise value-to-revenue ratio of 4.04 and enterprise value-to-EBITDA ratio of 21.47 suggest the stock is trading at a premium compared to peers in the packaged foods sector. Analysts have a median price target of $82.70, closely aligned with the current trading price, indicating limited upside potential in the near term. The recommendation mean of 2.41 (between "buy" and "hold") reflects cautious optimism among analysts.
 **Economic Outlook:**  
 The broader economic environment presents mixed implications for McCormick. The U.S. economy is showing signs of deceleration, with GDP expected to shrink in Q1 2025. Rising tariffs on Canadian, Mexican, and Chinese goods could increase input costs for McCormick, particularly if the company sources raw materials or packaging from these regions. However, as a defensive stock in the consumer staples sector, McCormick is likely to remain resilient during economic downturns, as demand for its products tends to be stable regardless of macroeconomic conditions.
 The company's beta of 0.71 indicates lower volatility compared to the broader market, making it an attractive option for risk-averse investors during periods of market uncertainty. Additionally, McCormick's strong institutional ownership (88.85%) underscores confidence in its long-term stability.
 **Summary of Thesis, Edge, and Risk:**  
 McCormick &amp; Company benefits from its position as a leader in the packaged foods and spices industry, offering stable cash flows and a reliable dividend. Its defensive nature provides resilience in uncertain economic conditions. However, the stock's premium valuation, modest growth prospects, and high debt levels pose risks, particularly in a rising cost environment driven by tariffs. While the company is well-positioned for long-term stability, near-term upside appears limited.
 **Score: 65**</t>
  </si>
  <si>
    <t>NDSN</t>
  </si>
  <si>
    <t>**Investment Report: Nordson Corporation**
 **Recent News:**  
 Nordson Corporation has not been featured in any significant news over the past week. This absence of news suggests stability in its operations but also indicates a lack of recent catalysts that could drive short-term price movements. The company operates in the Industrial Machinery &amp; Supplies &amp; Components industry, which is currently navigating a challenging macroeconomic environment marked by trade tensions and slowing global growth.
 **Financials:**  
 Nordson's financial performance reflects a mixed picture. The company has a trailing price-to-earnings (P/E) ratio of 26.35 and a forward P/E of 19.89, indicating that the market expects earnings growth in the future. However, earnings quarterly growth has declined by 13.6%, and revenue growth has contracted by 2.8%, signaling near-term headwinds. The company maintains strong profitability metrics, with gross margins of 55.15% and operating margins of 23.07%, showcasing its ability to manage costs effectively.
 The dividend yield of 1.48% is above its five-year average of 0.96%, reflecting an attractive income opportunity for investors. The payout ratio of 37.15% suggests that the dividend is sustainable. Nordson's free cash flow of $359.5 million and operating cash flow of $542.9 million further support its financial stability. However, the debt-to-equity ratio of 79.79% indicates a relatively high level of leverage, which could pose risks in a rising interest rate environment.
 **Valuations:**  
 Nordson's stock is trading at a price-to-book ratio of 4.10, which is relatively high compared to its peers, suggesting that the stock may be overvalued on a book value basis. The enterprise value-to-revenue ratio of 5.22 and enterprise value-to-EBITDA ratio of 17.41 also indicate a premium valuation. The stock has declined by 19.67% over the past year, underperforming the S&amp;P 500, which has gained 17.25% over the same period. Analysts have a mean target price of $251.07, representing a potential upside of approximately 19% from the current price, with a recommendation mean of 2.2 (indicating a "Buy").
 **Economic Outlook:**  
 The broader macroeconomic environment presents challenges for Nordson. The U.S. economy is showing signs of deceleration, with GDP expected to contract in Q1 2025. Trade tensions, particularly the imposition of tariffs on industrial goods, could disrupt supply chains and increase input costs for Nordson. However, the company's strong gross margins and diversified product portfolio may help mitigate some of these risks. Additionally, the Federal Reserve's potential pivot to rate cuts later in the year could provide some relief to leveraged companies like Nordson.
 **Summary:**  
 **Thesis:** Nordson Corporation demonstrates strong profitability and cash flow generation, supported by a sustainable dividend and a history of operational efficiency.  
 **Edge:** Its high gross margins and ability to maintain profitability in a challenging environment provide a competitive advantage.  
 **Risk:** Declining earnings and revenue growth, coupled with high leverage and macroeconomic uncertainties, pose significant risks to the stock's near-term performance.  
 **Score: 65**</t>
  </si>
  <si>
    <t>KIM</t>
  </si>
  <si>
    <t>**Investment Report: Kimco Realty (Retail REITs Industry)**
 **Recent News:**  
 Kimco Realty has not been in the headlines over the past week, suggesting stability in its operations and no immediate disruptions or catalysts. This lack of news could indicate a steady business environment, but it also means there are no recent developments to drive significant changes in investor sentiment.
 **Financials:**  
 Kimco Realty's financial performance reflects a mixed picture. The stock is trading near its 50-day average of $22.52, slightly below its 200-day average of $22.27, indicating a lack of strong momentum. The firm has a market capitalization of $14.98 billion and a dividend yield of 4.52%, which is slightly below its five-year average of 4.66%. This yield remains attractive for income-focused investors, though the high payout ratio of 176.36% raises concerns about the sustainability of dividend payments in the long term.
 The company’s trailing price-to-earnings (P/E) ratio of 40.09 and forward P/E of 31.5 suggest that the stock is trading at a premium relative to its earnings, which could limit upside potential unless earnings growth accelerates. The price-to-book ratio of 1.41 indicates a reasonable valuation compared to its book value, but the enterprise value-to-EBITDA ratio of 18.66 suggests the firm is relatively expensive compared to peers in the REIT sector.
 Kimco's revenue growth of 16.3% year-over-year and earnings growth of 6% are positive signs, supported by strong gross margins of 68.7% and EBITDA margins of 60.7%. However, the company’s debt-to-equity ratio of 79.09% highlights significant leverage, which could pose risks in a rising interest rate environment. The firm’s free cash flow of $865.8 million and operating cash flow of $1 billion provide some cushion to manage its debt obligations and maintain operations.
 **Valuations:**  
 Analyst sentiment appears cautiously optimistic, with a mean target price of $25.07, representing a potential upside of approximately 14% from the current price. The recommendation mean of 2.39 (on a scale where 1 is a strong buy and 5 is a sell) suggests a general "buy" consensus among analysts. However, the trailing PEG ratio of 3.42 indicates that the stock may be overvalued relative to its growth prospects.
 **Economic Outlook:**  
 The broader economic environment presents challenges for retail-focused REITs like Kimco. The U.S. economy is showing signs of deceleration, with GDP expected to shrink by 1.5% in Q1 2025. Rising jobless claims and weakening consumer confidence could negatively impact retail tenants, potentially leading to higher vacancy rates or rent concessions. Additionally, the ongoing trade tensions and tariffs could disrupt supply chains and consumer spending, indirectly affecting retail real estate demand.
 On the positive side, Kimco's focus on grocery-anchored shopping centers provides some resilience, as these properties tend to perform better during economic downturns due to the essential nature of their tenants. However, the firm’s high beta of 1.52 suggests that its stock is more volatile than the broader market, which could amplify downside risks in a turbulent economic environment.
 **Summary:**  
 Kimco Realty offers a stable dividend yield and benefits from its focus on grocery-anchored retail centers, which provide some insulation against economic headwinds. However, its high payout ratio, significant leverage, and premium valuation relative to earnings growth are notable risks. The broader economic slowdown and potential pressure on retail tenants add further uncertainty. While the stock has some upside potential based on analyst targets, its high beta and sensitivity to market volatility warrant caution.
 **Score: 62**</t>
  </si>
  <si>
    <t>UDR</t>
  </si>
  <si>
    <t>**Investment Report: UDR, Inc.**
 **Recent News:**  
 UDR, Inc., a prominent player in the Multi-Family Residential REITs industry, has not been in the news over the past week. This lack of recent developments suggests stability in its operations, though it also indicates no immediate catalysts for significant price movement. The absence of news could reflect a steady operational environment, but it also places greater emphasis on the firm's financials and broader economic conditions for evaluation.
 **Financials:**  
 UDR, Inc. is trading near the higher end of its 52-week range, with a recent close of $45.18 compared to a 52-week high of $47.55. The stock has shown a 21.58% increase over the past year, outperforming the S&amp;P 500's 17.25% gain. The company offers a dividend yield of 3.76%, slightly above its five-year average of 3.65%, which may appeal to income-focused investors. However, its payout ratio of 651.92% raises concerns about the sustainability of its dividend, as it significantly exceeds earnings.
 The firm's valuation metrics indicate a premium pricing. UDR's trailing P/E ratio of 177.08 and forward P/E of 97.96 are notably high, suggesting that the market is pricing in significant future growth. However, these multiples are elevated compared to industry norms, which could signal overvaluation. The price-to-book ratio of 4.48 further supports this view, as it indicates the stock is trading at a substantial premium to its book value.
 Operationally, UDR demonstrates strong gross margins of 66.55% and EBITDA margins of 58.99%, reflecting efficient cost management and profitability. Revenue growth of 5.4% year-over-year is modest but steady, aligning with the stable demand for multi-family residential properties. However, the company's debt-to-equity ratio of 134.71% is high, indicating significant leverage. While this is common in the REIT sector, it increases sensitivity to rising interest rates and economic downturns.
 **Valuations:**  
 Analyst sentiment appears cautiously optimistic, with a mean price target of $46.23, slightly above the current price, and a recommendation mean of 2.35 (indicating a "Buy"). The high target price of $50.00 suggests potential upside, but the low target of $40.00 highlights downside risks. UDR's enterprise value-to-EBITDA ratio of 21.96 is elevated, reflecting a premium valuation relative to its earnings before interest, taxes, depreciation, and amortization.
 **Economic Outlook:**  
 The broader economic environment presents mixed implications for UDR. The U.S. economy is showing signs of deceleration, with GDP expected to contract by 1.5% in Q1 2025. Rising jobless claims and weakening consumer confidence could dampen demand for rental properties. However, UDR's focus on multi-family residential properties may provide some insulation, as rental demand tends to remain resilient during economic slowdowns, particularly in urban areas.
 On the other hand, the Federal Reserve's restrictive monetary policy and elevated interest rates pose challenges. UDR's high leverage makes it vulnerable to rising borrowing costs, which could pressure margins and limit growth opportunities. Additionally, the ongoing trade tensions and tariff implementations could indirectly impact consumer spending and economic stability, further influencing the real estate market.
 **Summary of Thesis, Edge, and Risk:**  
 UDR, Inc. benefits from its position in the resilient multi-family residential REIT sector, supported by strong margins and steady revenue growth. Its dividend yield is attractive, though the high payout ratio raises sustainability concerns. The firm's elevated valuation metrics suggest that the market is pricing in significant growth, leaving limited room for error. High leverage and sensitivity to interest rates are key risks, particularly in the current economic environment marked by slowing growth and restrictive monetary policy. While UDR's operational stability is a strength, its premium valuation and macroeconomic headwinds warrant caution.
 **Score: 62**</t>
  </si>
  <si>
    <t>BAX</t>
  </si>
  <si>
    <t>**Investment Report: Baxter International (Health Care Equipment Industry)**
 **Recent News:**  
 Baxter International has not been in the news over the past week, indicating a lack of significant developments or announcements. This absence of news suggests stability but also highlights the need to focus on the company's financials and broader economic conditions to assess its investment potential.
 **Financials:**  
 Baxter International's stock has shown moderate price movement, with a recent trading range between $34.30 and $35.25. The company offers a dividend yield of 1.97%, slightly below its five-year average of 2.09%, reflecting a consistent but modest return for income-focused investors. However, the payout ratio of 4.64% is exceptionally low, suggesting the dividend is sustainable even in challenging conditions.
 The firm's forward price-to-earnings (P/E) ratio of 12.10 indicates a relatively attractive valuation compared to the broader market, though its trailing twelve-month profit margins are negative (-6.10%), reflecting recent financial struggles. Baxter's net income to common shareholders stands at a loss of $337 million, and its trailing earnings per share (EPS) is -$0.64, signaling operational challenges. However, forward EPS of $2.88 suggests expectations of a turnaround in profitability.
 The company's balance sheet shows a high debt-to-equity ratio of 191.47, indicating significant leverage. Total debt of $13.45 billion far exceeds its cash reserves of $1.76 billion, though operating cash flow of $1.02 billion and free cash flow of $319 million provide some reassurance regarding liquidity. Gross margins of 39.58% and EBITDA margins of 17.72% suggest the company maintains reasonable operational efficiency despite its financial challenges.
 **Valuations:**  
 Baxter's price-to-book (P/B) ratio of 2.56 is in line with industry norms, reflecting a fair valuation relative to its assets. The enterprise value-to-revenue ratio of 2.78 and enterprise value-to-EBITDA ratio of 15.69 suggest the company is not excessively overvalued, though these metrics are slightly elevated given its recent profitability issues. Analyst sentiment is mixed, with a recommendation mean of 2.61 (between "hold" and "buy") and a target median price of $38, implying a modest upside from current levels.
 **Economic Outlook:**  
 The broader economic environment presents both challenges and opportunities for Baxter. The U.S. economy is showing signs of deceleration, with GDP expected to contract in Q1 2025. Rising jobless claims and weakening consumer confidence could dampen demand for healthcare equipment. However, inflation appears to be moderating, and potential Federal Reserve rate cuts later in the year could provide a more favorable macroeconomic backdrop.
 Baxter's relatively low beta of 0.603 suggests the stock is less volatile than the broader market, making it a potentially defensive play in uncertain economic conditions. The healthcare sector, in general, tends to be resilient during economic downturns, which could support Baxter's performance despite its current financial challenges.
 **Summary of Thesis, Edge, and Risk:**  
 Baxter International presents a mixed investment case. Its valuation metrics and forward earnings expectations suggest potential for recovery, while its dividend yield and low beta provide some defensive characteristics. However, the company's high debt levels, recent profitability issues, and exposure to a slowing economy pose significant risks. The firm's ability to execute a turnaround and improve margins will be critical to its investment appeal.
 **Score: 62**</t>
  </si>
  <si>
    <t>DLTR</t>
  </si>
  <si>
    <t>**Investment Report: Dollar Tree, Inc. (DLTR)**
 **Recent News:**  
 Dollar Tree has garnered significant attention recently, with analysts and market watchers speculating on its potential for a breakout. Despite trading flat in recent sessions, there is optimism that the stock could see upward momentum. This attention comes amidst broader market volatility and economic uncertainty, which often drives investors toward consumer staples as a defensive play. However, the company's challenges, including operational inefficiencies and margin pressures, remain a concern.
 **Financials:**  
 Dollar Tree's financial performance reflects a mixed picture. The company has a market capitalization of $14.79 billion and trades at a forward P/E ratio of 11.35, suggesting it is relatively undervalued compared to its historical averages and peers. However, its profitability metrics are concerning, with a negative profit margin of -3.34% and a trailing EPS of -$4.70, indicating recent losses. The company's revenue growth of 3.5% year-over-year is modest but steady, supported by its position in the consumer staples sector, which tends to perform well during economic slowdowns.
 The balance sheet shows a high debt-to-equity ratio of 138.16%, reflecting significant leverage. While the company has $697.6 million in cash, its quick ratio of 0.11 indicates limited short-term liquidity. Free cash flow of $761 million and operating cash flow of $3.04 billion provide some reassurance about its ability to manage debt obligations and fund operations. Gross margins of 31.34% and EBITDA margins of 8.57% suggest some operational efficiency, though these are below industry leaders.
 **Valuations:**  
 Dollar Tree's price-to-sales ratio of 0.47 and price-to-book ratio of 1.94 indicate that the stock is trading at a discount relative to its sales and book value. Analysts have a median price target of $80, with a high target of $105, suggesting potential upside from its current price of approximately $68. However, the stock has declined 51.13% over the past year, underperforming the S&amp;P 500, which has gained 17.25% in the same period. This underperformance reflects both company-specific challenges and broader market headwinds.
 **Economic Outlook:**  
 The macroeconomic environment presents both opportunities and risks for Dollar Tree. As the U.S. economy shows signs of deceleration, with GDP expected to contract in Q1 2025, consumer staples companies like Dollar Tree could benefit from increased demand for value-oriented products. However, the company's exposure to tariffs on goods from Canada, Mexico, and China could pressure margins further, given its reliance on low-cost imports. Additionally, rising unemployment and weakening consumer confidence may impact discretionary spending, even in the discount retail segment.
 **Summary of Thesis, Edge, and Risk:**  
 Dollar Tree's appeal lies in its defensive positioning within the consumer staples sector and its potential for a valuation-driven rebound. The company's low price-to-sales and price-to-book ratios suggest it may be undervalued, particularly if it can address operational inefficiencies and improve profitability. However, its high leverage, negative profit margins, and exposure to macroeconomic risks, including tariffs and slowing consumer spending, present significant challenges. The stock's potential upside is contingent on management's ability to navigate these headwinds and capitalize on its value-oriented business model.
 **Score: 62**</t>
  </si>
  <si>
    <t>CRL</t>
  </si>
  <si>
    <t>**Investment Report: Charles River Laboratories**
 **Recent News:**  
 There have been no significant updates or developments regarding Charles River Laboratories in the past week. This lack of news suggests stability in the company's operations but also indicates no immediate catalysts for significant price movement in the short term.
 **Financials:**  
 Charles River Laboratories is currently trading near its 52-week low of $150.79, significantly below its 52-week high of $275.00, reflecting a 36.7% decline over the past year. The stock's beta of 1.448 indicates higher volatility compared to the broader market. The company has a market capitalization of $8.36 billion and an enterprise value of $10.99 billion, suggesting a moderate level of leverage with a debt-to-equity ratio of 79.28%. 
 The firm's trailing price-to-earnings (P/E) ratio is an unusually high 817.5, driven by low trailing earnings, while its forward P/E of 15.9 reflects expectations of significant earnings growth. The price-to-book ratio of 2.42 is reasonable for the industry, but the company's profit margins remain thin, with a net profit margin of just 0.55%. Revenue growth has declined slightly (-1.1% year-over-year), and gross margins stand at 34.76%, indicating some pressure on operational efficiency. 
 The company has a solid free cash flow of $517.33 million and an operating cash flow of $734.58 million, which provides some financial flexibility. However, the quick ratio of 0.92 and current ratio of 1.41 suggest limited short-term liquidity, which could be a concern in a tightening economic environment.
 **Valuations:**  
 Charles River Laboratories' valuation metrics present a mixed picture. The forward P/E of 15.9 and enterprise value-to-EBITDA ratio of 12.24 suggest the stock is reasonably priced relative to its future earnings potential. However, the trailing PEG ratio of 5.29 indicates that the stock may be overvalued when considering its growth prospects. Analyst sentiment is neutral, with a "hold" recommendation and a target median price of $184.00, implying a modest upside from current levels.
 Short interest has increased slightly, with 4.54% of shares outstanding being shorted, reflecting some bearish sentiment. Institutional ownership is high at 105.79%, indicating strong interest from large investors, which could provide stability to the stock.
 **Economic Outlook:**  
 The broader economic environment poses challenges for Charles River Laboratories. The U.S. economy is showing signs of deceleration, with GDP expected to shrink by 1.5% in Q1 2025. Rising jobless claims, a record trade deficit, and weakening consumer confidence could weigh on the company's performance, particularly if clients in the life sciences sector reduce spending. Additionally, the ongoing trade tensions and tariffs could indirectly impact the firm if supply chain disruptions or cost pressures arise.
 On the positive side, the Federal Reserve's efforts to control inflation may lead to rate cuts later in the year, which could provide some relief to leveraged companies like Charles River Laboratories. However, the company's exposure to economic cycles and its reliance on research and development spending by clients make it vulnerable to broader market downturns.
 **Summary:**  
 Charles River Laboratories operates in a stable but competitive industry, with reasonable forward valuations and strong institutional backing. Its financial flexibility through free cash flow is a key strength, but thin profit margins, declining revenue growth, and high leverage present risks. The broader economic slowdown and potential cost pressures from trade policies add to the uncertainty. While the stock is trading near its 52-week low, suggesting potential value, the lack of immediate catalysts and mixed financial metrics warrant caution.
 **Thesis:** The firm's edge lies in its established position in the life sciences tools and services industry and its ability to generate strong cash flows.  
 **Edge:** Institutional ownership and forward earnings potential.  
 **Risk:** Economic slowdown, thin margins, and high leverage.  
 **Score: 62**</t>
  </si>
  <si>
    <t>**Investment Report: Huntington Ingalls Industries (HII)**
 **Recent News:**  
 Huntington Ingalls Industries (HII) has not been in the news over the past week, suggesting a lack of immediate catalysts or controversies. This absence of news may indicate stability but also reflects limited short-term momentum drivers. The broader Aerospace &amp; Defense sector, however, is experiencing heightened geopolitical tensions and shifts in U.S. defense policy, which could indirectly impact HII's operations and future contracts.
 **Financials:**  
 HII's financial performance reflects a mixed picture. The company is trading at a trailing P/E ratio of 12.37 and a forward P/E of 11.01, indicating a relatively attractive valuation compared to the broader market. Its dividend yield of 3.08% is above its five-year average of 2.26%, suggesting the stock may be undervalued or compensating for perceived risks. The payout ratio of 37.61% indicates a sustainable dividend policy, supported by steady cash flows.
 However, the firm's earnings and revenue growth have been under pressure, with earnings declining by 54.4% and revenue shrinking by 5.4% year-over-year. This contraction reflects challenges in operational efficiency and potential headwinds in securing new contracts. The company's profit margins remain thin, with net income margins at 4.77% and EBITDA margins at 8.59%, which are below industry averages.
 HII's balance sheet shows a debt-to-equity ratio of 74.13%, which is relatively high but manageable given its stable cash flows. The quick ratio of 0.98 and current ratio of 1.08 suggest adequate liquidity to meet short-term obligations. Free cash flow stands at $78.25 million, which, while positive, is modest for a company of its size and revenue base.
 **Valuations:**  
 HII's price-to-book ratio of 1.45 and price-to-sales ratio of 0.59 indicate that the stock is trading at a discount relative to its book value and revenue generation. The stock has declined 39.73% over the past year, significantly underperforming the S&amp;P 500, which has gained 17.25% in the same period. This underperformance may reflect investor concerns about the company's growth trajectory and broader economic uncertainties.
 Analyst sentiment is neutral, with a recommendation mean of 2.85 (close to "hold") and a target median price of $191, implying a modest upside from current levels. The stock's beta of 0.48 suggests lower volatility compared to the broader market, making it a potentially defensive play in uncertain times.
 **Economic Outlook:**  
 The Aerospace &amp; Defense industry is poised to benefit from increased global defense spending amid geopolitical tensions. However, HII's exposure to U.S. government contracts makes it vulnerable to shifts in federal defense budgets. The recent pause in U.S. military aid to Ukraine and federal workforce reductions could signal a reallocation of resources, potentially impacting HII's future revenue streams. Additionally, the broader economic slowdown, with U.S. GDP projected to shrink by 1.5% in Q1 2025, may weigh on investor sentiment and contract awards.
 **Summary:**  
 Huntington Ingalls Industries presents a mixed investment thesis. Its valuation metrics and dividend yield suggest the stock is undervalued, offering a potential edge for long-term investors. However, declining earnings and revenue growth, coupled with high debt levels and thin margins, pose significant risks. The company's reliance on U.S. government contracts adds an element of uncertainty amid shifting defense priorities and economic headwinds.
 **Score: 62**</t>
  </si>
  <si>
    <t>IVZ</t>
  </si>
  <si>
    <t>**Investment Report: Invesco Ltd.**
 **Recent News:**  
 Invesco has not been in the spotlight over the past week, with no significant news or developments reported. This lack of news suggests stability in operations but also indicates no immediate catalysts for significant price movement. The absence of updates may reflect a steady operational environment, though it leaves the firm more exposed to broader market and macroeconomic trends.
 **Financials:**  
 Invesco's financial metrics present a mixed picture. The firm is trading at a trailing P/E ratio of 14.20 and a forward P/E of 8.87, indicating a relatively low valuation compared to its earnings potential. The price-to-book ratio of 0.71 suggests the stock is undervalued relative to its book value, which could attract value-oriented investors. The dividend yield of 4.72% is attractive, though slightly below its five-year average of 5.01%, and the payout ratio of 69% indicates a sustainable dividend policy. 
 The firm's revenue growth of 12.7% year-over-year is a positive sign, supported by healthy operating margins of 19.7% and EBITDA margins of 19.97%. However, the debt-to-equity ratio of 8.59 is notably high, raising concerns about leverage and financial flexibility, especially in a rising interest rate environment. The quick and current ratios of 0.93 indicate limited short-term liquidity, which could be a risk if market conditions deteriorate further.
 **Valuations:**  
 Invesco's market capitalization stands at $7.5 billion, with an enterprise value of $13.26 billion, reflecting its leveraged position. The enterprise-to-revenue ratio of 2.19 and enterprise-to-EBITDA ratio of 10.94 suggest the firm is moderately valued compared to its earnings and revenue generation. Analyst sentiment is neutral, with a "hold" recommendation and a mean target price of $19.83, implying a potential upside of approximately 18% from the current price. However, the stock's beta of 1.40 indicates higher volatility compared to the broader market, which could amplify risks in the current uncertain economic environment.
 **Economic Outlook:**  
 The broader macroeconomic environment poses challenges for Invesco. The U.S. economy is showing signs of deceleration, with GDP expected to contract in Q1 2025. Rising jobless claims, a record trade deficit, and weakening consumer confidence could weigh on asset management firms like Invesco, as market volatility and economic uncertainty may deter investors from deploying capital. Additionally, the ongoing trade tensions and tariffs could further disrupt global markets, potentially impacting Invesco's assets under management (AUM) and fee-based revenue streams.
 On the positive side, moderating inflation and the potential for Federal Reserve rate cuts later in the year could provide some relief to financial markets, potentially stabilizing Invesco's performance. However, the firm's high leverage and exposure to market fluctuations remain key risks in this environment.
 **Summary of Thesis, Edge, and Risk:**  
 Invesco's valuation metrics and dividend yield make it an attractive option for value and income-focused investors. The firm's revenue growth and operating efficiency provide a solid foundation, but its high leverage and limited liquidity are significant concerns. The lack of recent news leaves the stock more exposed to macroeconomic headwinds, including slowing economic growth and market volatility. While the potential for rate cuts and stabilizing inflation could support the stock, the risks associated with its financial structure and sensitivity to market conditions warrant caution.
 **Score: 62**</t>
  </si>
  <si>
    <t>IP</t>
  </si>
  <si>
    <t>**Investment Report: International Paper**
 **Recent News:**  
 International Paper has not been in the spotlight recently, with no significant news or developments reported in the past week. This lack of news suggests stability in operations but also indicates no immediate catalysts for growth or concern. The absence of major announcements may reflect a steady operational environment, though it leaves the company reliant on broader industry and macroeconomic trends.
 **Financials:**  
 International Paper's financial performance reflects a mixed picture. The company has a market capitalization of $29.1 billion and a trailing price-to-earnings (P/E) ratio of 35.23, which is relatively high compared to its forward P/E of 18.44. This suggests expectations of improved earnings in the future. However, the trailing dividend yield of 3.28% is below its five-year average of 4.6%, indicating a potential decline in yield attractiveness for income-focused investors.  
 The company's revenue growth has been slightly negative (-0.5%), reflecting challenges in maintaining top-line performance. Margins are modest, with gross margins at 28.6% and operating margins at 7.25%, which are reasonable but not particularly strong for the industry. The debt-to-equity ratio of 73.52% indicates a moderately leveraged balance sheet, though the current ratio of 1.51 and quick ratio of 1.00 suggest adequate liquidity to meet short-term obligations. Free cash flow of $1.05 billion and operating cash flow of $1.68 billion provide some financial flexibility.  
 Short interest has declined from the prior month, with 7.15% of shares outstanding currently shorted, reflecting a slight improvement in market sentiment. The stock has shown a 52-week price change of +57.18%, outperforming the S&amp;P 500's 17.25% gain over the same period, signaling strong past performance.
 **Valuations:**  
 International Paper's valuation metrics present a mixed case. The price-to-book ratio of 2.35 is reasonable, though not particularly cheap. The enterprise value-to-revenue ratio of 1.82 and enterprise value-to-EBITDA ratio of 16.69 suggest the company is trading at a premium relative to its earnings power. Analysts' target prices range from $47 to $66, with a mean target of $56.95, close to the current trading price, indicating limited upside potential in the near term.  
 The trailing PEG ratio of 0.82 suggests the stock may be undervalued relative to its growth prospects, but this must be weighed against the company's modest revenue growth and industry headwinds.
 **Economic Outlook:**  
 The broader economic environment poses challenges for International Paper. The U.S. economy is showing signs of deceleration, with GDP expected to shrink by 1.5% in Q1 2025. Trade tensions, particularly the imposition of tariffs on Canadian and Mexican goods, could disrupt supply chains and increase input costs for the company, given its reliance on raw materials and cross-border trade. Additionally, rising interest rates and weakening consumer confidence may dampen demand for packaging products, particularly in discretionary sectors.  
 On the positive side, the Federal Reserve's efforts to control inflation could stabilize input costs over time, and the company's diversified operations may help mitigate some of the macroeconomic risks. However, the paper and packaging industry remains sensitive to economic cycles, and the current environment suggests potential headwinds in the near term.
 **Summary:**  
 **Thesis:** International Paper is a stable player in the paper and packaging industry, with reasonable financial health and a history of strong stock performance.  
 **Edge:** The company benefits from its scale, diversified operations, and cash flow generation, which provide resilience in challenging economic conditions.  
 **Risk:** Macroeconomic headwinds, including trade tariffs, slowing GDP growth, and rising interest rates, could pressure margins and demand in the near term.  
 **Score: 62**</t>
  </si>
  <si>
    <t>CPT</t>
  </si>
  <si>
    <t>**Investment Report: Camden Property Trust**
 **Recent News:**  
 Camden Property Trust has not been in the news over the past week, indicating a lack of significant developments or announcements. This absence of news suggests stability in operations but also a lack of immediate catalysts for price movement.
 **Financials:**  
 Camden Property Trust operates in the multi-family residential REIT sector, which is generally considered a defensive industry. The firm’s financial metrics reveal a mixed picture. The stock is trading near its 52-week high of $127.69, reflecting a strong recovery from its 52-week low of $94.75, with a year-over-year price increase of 28.3%, outperforming the S&amp;P 500's 17.2% gain. The dividend yield of 3.39% is slightly above its five-year average of 3.23%, making it attractive for income-focused investors. However, the payout ratio of 274.67% raises concerns about the sustainability of the dividend, especially given the firm's declining earnings growth (-81.7%) and flat revenue growth (-0.3%).  
 The company’s trailing P/E ratio of 83.69 and forward P/E of 77.49 indicate a high valuation relative to earnings, which may be a concern in a rising interest rate environment. The price-to-book ratio of 2.92 is also elevated, suggesting the stock is trading at a premium compared to its book value. Camden’s gross margins of 61.47% and EBITDA margins of 56.82% are strong, reflecting operational efficiency, but the return on equity (3.49%) and return on assets (2.07%) are modest, indicating limited profitability relative to its asset base.
 Debt levels are notable, with a debt-to-equity ratio of 73.49% and total debt of $3.49 billion. While the company generates healthy operating cash flow ($774.88 million) and free cash flow ($677.36 million), the quick ratio (0.051) and current ratio (0.107) highlight liquidity constraints, which could pose challenges in a tightening credit environment.
 **Valuations:**  
 Camden’s valuation metrics suggest the stock is priced for growth, but the lack of earnings and revenue growth raises questions about whether this premium is justified. Analysts have a median price target of $127, close to the current price, indicating limited upside potential in the near term. The recommendation mean of 2.48 (between "buy" and "hold") reflects cautious optimism among analysts, but the high trailing P/E and forward P/E ratios suggest the stock may be overvalued relative to its fundamentals.
 **Economic Outlook:**  
 The broader economic environment presents both opportunities and risks for Camden Property Trust. The multi-family residential REIT sector typically benefits from economic uncertainty, as demand for rental properties remains stable even during downturns. However, the U.S. economy is showing signs of deceleration, with GDP expected to shrink by 1.5% in Q1 2025. Rising interest rates and inflationary pressures could increase borrowing costs for Camden, further straining its balance sheet. Additionally, the recent tariffs and trade tensions may indirectly impact consumer confidence and spending, potentially affecting rental demand in certain markets.
 **Summary of Thesis, Edge, and Risk:**  
 Camden Property Trust offers a stable dividend yield and operates in a defensive sector, which could provide resilience during economic downturns. Its strong margins and operational efficiency are key strengths. However, the high valuation, declining earnings growth, and elevated debt levels pose significant risks, particularly in a rising interest rate environment. The lack of near-term growth catalysts and liquidity constraints further limit the stock's appeal in the short term.
 **Score: 58**</t>
  </si>
  <si>
    <t>TSCO</t>
  </si>
  <si>
    <t>**Investment Report: Tractor Supply**
 **Recent News:**  
 Tractor Supply has not been in the news over the past week, indicating a lack of significant developments or disruptions. This absence of news suggests stability in operations but also a lack of immediate catalysts for stock movement. The company operates in the Other Specialty Retail industry, which may face headwinds from broader economic challenges and shifting consumer spending patterns.
 **Financials:**  
 Tractor Supply's financial performance reflects a mixed picture. The company has a market capitalization of $29.18 billion and a trailing price-to-earnings (P/E) ratio of 26.91, which is relatively high compared to its forward P/E of 4.93. This discrepancy suggests that analysts expect significant earnings growth in the near term, though the broader economic slowdown could temper these expectations. The company’s dividend yield of 1.66% is above its five-year average of 1.41%, indicating a commitment to returning value to shareholders despite recent earnings pressures.
 Revenue growth stands at 3.1% year-over-year, while earnings growth has declined by 3.9%, reflecting margin compression. Gross margins remain healthy at 36.26%, but operating margins of 8.44% and EBITDA margins of 12.87% suggest some operational inefficiencies. The company’s return on equity (ROE) is robust at 49.83%, driven by high leverage, as evidenced by a debt-to-equity ratio of 238.93%. This high leverage could pose risks in a rising interest rate environment or during economic downturns.
 Short interest has increased, with 6.71% of shares outstanding currently shorted, up from the prior month. This indicates growing bearish sentiment among investors, potentially due to concerns about the company’s ability to navigate macroeconomic challenges.
 **Valuations:**  
 Tractor Supply’s price-to-book (P/B) ratio of 12.87 is significantly higher than the industry average, suggesting the stock is trading at a premium relative to its book value. The enterprise value-to-revenue (EV/Revenue) ratio of 2.32 and enterprise value-to-EBITDA (EV/EBITDA) ratio of 18.07 also indicate a relatively expensive valuation. However, the forward P/E of 4.93 implies that the market expects strong earnings growth, which could justify the premium if realized.
 The stock is trading near its 50-day moving average of $54.98 and its 200-day moving average of $55.22, indicating a lack of strong momentum in either direction. The 52-week price range of $48.30 to $61.53 shows limited volatility, but the current price of $55.35 is closer to the upper end of this range, suggesting limited upside in the short term.
 **Economic Outlook:**  
 The broader economic environment presents challenges for Tractor Supply. The U.S. economy is showing signs of deceleration, with GDP expected to contract by 1.5% in Q1 2025. Rising jobless claims and weakening consumer confidence could impact discretionary spending, which is critical for specialty retail. Additionally, the implementation of new tariffs on Canadian, Mexican, and Chinese goods could increase input costs and pressure margins further. However, the company’s focus on rural and agricultural markets may provide some insulation from urban-centric economic headwinds.
 The Federal Reserve’s restrictive monetary policy and elevated interest rates could also weigh on consumer spending and increase the cost of servicing debt for highly leveraged companies like Tractor Supply. On the positive side, moderating inflation could provide some relief in the form of stable input costs.
 **Summary:**  
 Tractor Supply’s thesis lies in its strong market position in the rural and agricultural retail sector, supported by healthy gross margins and robust ROE. Its edge comes from its focus on niche markets that may be less affected by urban economic challenges. However, risks include high leverage, declining earnings growth, and potential margin pressures from tariffs and a slowing economy. The stock’s premium valuation and lack of near-term catalysts suggest limited upside in the short term.
 **Score: 58**</t>
  </si>
  <si>
    <t>APA</t>
  </si>
  <si>
    <t>**Investment Report: APA Corporation**
 **Recent News:**  
 APA Corporation recently reported Q4 earnings of $0.79 per share, falling short of the Zacks Consensus Estimate of $0.97 per share. This represents a significant decline from the $1.15 per share reported in the same quarter last year, reflecting an 18% year-over-year drop in earnings. The earnings miss highlights challenges in maintaining profitability amidst fluctuating commodity prices and operational pressures. The market reacted negatively, with APA's stock hitting a 52-week low of $18.66, signaling investor concerns over the company's near-term outlook.
 **Financials:**  
 APA's financial metrics reveal a mixed picture. The company has a trailing P/E ratio of 8.32 and a forward P/E of 6.87, suggesting the stock is undervalued relative to its earnings potential. However, the company's earnings growth has contracted sharply by 83.5%, and its return on equity (ROE) stands at 22.7%, which, while solid, is overshadowed by declining profitability. APA's debt-to-equity ratio of 105.03% indicates a highly leveraged balance sheet, which could pose risks in a rising interest rate environment or during periods of economic uncertainty. The company’s gross margins (67.4%) and EBITDA margins (67.3%) remain strong, reflecting operational efficiency, but the decline in net income and earnings growth raises concerns about sustainability.
 APA's dividend yield of 4.83% is attractive, especially compared to its five-year average of 2.74%, but the payout ratio of 44% suggests the company is maintaining a conservative approach to dividend distributions. This could provide some stability for income-focused investors, though the broader financial challenges may limit future dividend growth.
 **Valuations:**  
 APA's price-to-book ratio of 1.37 and price-to-sales ratio of 0.71 indicate the stock is trading at a discount relative to its peers in the Oil &amp; Gas Exploration &amp; Production industry. The enterprise value-to-EBITDA ratio of 2.19 further supports the view that APA is undervalued. However, the stock's 52-week performance (-32%) significantly lags the S&amp;P 500's 17% gain over the same period, reflecting broader market skepticism about the company's ability to navigate current headwinds.
 Analyst sentiment is cautious, with a recommendation mean of 2.77 (between "Hold" and "Underperform") and a median price target of $27, implying a potential upside of approximately 44% from current levels. However, the wide range of price targets ($22 to $49) underscores uncertainty about APA's future performance.
 **Economic Outlook:**  
 The macroeconomic environment presents both opportunities and challenges for APA. Oil and gas prices remain volatile due to geopolitical tensions, including the ongoing trade disputes and tariffs imposed by the U.S. administration. While APA could benefit from higher energy prices if global supply disruptions persist, the company's high leverage and declining earnings growth make it vulnerable to any downturn in commodity prices. Additionally, the broader U.S. economic slowdown, with GDP projected to shrink by 1.5% in Q1 2025, could dampen energy demand, further pressuring APA's revenue growth.
 The company's exposure to geopolitical risks, such as U.S.-China trade tensions and potential retaliatory tariffs, could also impact its operations and profitability. On the positive side, APA's strong operating margins and efficient cost structure may help it weather short-term challenges better than some of its peers.
 **Summary:**  
 **Thesis:** APA Corporation is undervalued based on its low valuation multiples and strong operating margins, but its declining earnings growth and high leverage raise concerns about its ability to sustain profitability in a challenging macroeconomic environment.  
 **Edge:** The company’s attractive dividend yield and operational efficiency provide some stability, while its discounted valuation offers potential upside if energy prices recover.  
 **Risk:** High debt levels, declining earnings, and exposure to volatile commodity prices and geopolitical risks could weigh on the stock's performance in the near term.
 **Score: 58**</t>
  </si>
  <si>
    <t>CZR</t>
  </si>
  <si>
    <t>**Investment Report: Caesars Entertainment**
 **Recent News:**  
 Caesars Entertainment has faced a prolonged period of stagnation in its stock price, trading near multi-year lows despite broader market volatility. The company recently reported a positive surprise in its Q4 2024 earnings, with an EPS of $0.05, outperforming expectations of a loss. This marks a significant improvement from the prior year's loss of $0.34 per share. However, the company continues to grapple with challenges in both its digital and physical operations, exacerbated by high operating and financial leverage. The stagnant stock performance reflects investor concerns over its ability to navigate these risks effectively, despite the potential for significant returns if operational improvements materialize.
 **Financials:**  
 Caesars Entertainment's financial position highlights both opportunities and risks. The company has a market capitalization of $6.67 billion and trades at a forward P/E ratio of 23.49, suggesting moderate valuation relative to its earnings growth potential. However, its debt-to-equity ratio of 589.08 is alarmingly high, indicating significant financial leverage. The enterprise value of $31.8 billion underscores the heavy debt burden, which could constrain future growth and flexibility. 
 Revenue for the trailing twelve months stands at $11.24 billion, with gross margins of 51.81% and EBITDA margins of 32.01%, reflecting strong operational efficiency. However, revenue growth has declined by 0.9%, and the company reported a net loss of $278 million, highlighting ongoing profitability challenges. Free cash flow remains negative at -$52.75 million, further emphasizing liquidity concerns. Despite these issues, Caesars has $866 million in cash, providing some buffer against short-term financial pressures.
 **Valuations:**  
 The stock is trading at a price-to-sales ratio of 0.59 and a price-to-book ratio of 1.60, both of which suggest the company is undervalued relative to its peers in the Casinos &amp; Gaming industry. Analysts have a median price target of $51, representing significant upside from the current price of approximately $33. However, the high short interest ratio of 4.04 and a short percentage of float at 9.53% indicate bearish sentiment among investors, reflecting skepticism about the company's ability to overcome its challenges.
 **Economic Outlook:**  
 The broader economic environment poses additional risks to Caesars Entertainment. The U.S. economy is showing signs of deceleration, with GDP expected to contract in Q1 2025. Rising jobless claims and weakening consumer confidence could negatively impact discretionary spending, including gaming and entertainment. Additionally, the company's high beta of 2.97 suggests that its stock is highly sensitive to market volatility, which could be exacerbated by ongoing trade tensions and tariff implementations. On the positive side, moderating inflation and potential Federal Reserve rate cuts later in the year could provide some relief to consumer spending and borrowing costs.
 **Summary of Thesis, Edge, and Risk:**  
 Caesars Entertainment presents a mixed investment case. The thesis centers on its potential for significant upside if operational improvements and debt management strategies succeed. The company's edge lies in its strong brand presence, operational efficiency, and undervalued stock price relative to its peers. However, the risks are substantial, including high financial leverage, declining revenue growth, and exposure to macroeconomic headwinds. The company's ability to navigate these challenges will be critical to unlocking value for shareholders.
 **Score: 58**</t>
  </si>
  <si>
    <t>ROK</t>
  </si>
  <si>
    <t>**Investment Report: Rockwell Automation**
 **Recent News:**  
 Rockwell Automation has not been in the news over the past week, indicating a lack of significant developments or announcements. This absence of news suggests stability but also highlights the need to focus on financial performance and broader economic factors to assess the company's investment potential.
 **Financials:**  
 Rockwell Automation's stock has shown some volatility, with a recent trading range between $277.85 and $292.16. The company offers a dividend yield of 1.82%, slightly above its five-year average of 1.71%, reflecting a consistent return to shareholders. However, the payout ratio of 63% indicates a significant portion of earnings is allocated to dividends, which could limit reinvestment flexibility.  
 The firm's trailing price-to-earnings (P/E) ratio of 34.66 is notably higher than its forward P/E of 24.44, suggesting expectations of earnings growth. However, recent earnings data shows a quarterly decline of 14.4%, and revenue growth has contracted by 8.3%, raising concerns about near-term performance. The company's profit margins (11.39%) and return on equity (24.85%) remain strong, but the decline in earnings and revenue growth could weigh on future profitability.  
 Rockwell's balance sheet shows a high debt-to-equity ratio of 113.25, indicating significant leverage. While the company generates healthy free cash flow of $937 million, its quick ratio of 0.62 and current ratio of 1.08 suggest limited short-term liquidity. The enterprise value-to-EBITDA ratio of 22.98 indicates the stock may be overvalued relative to its earnings potential.
 **Valuations:**  
 Rockwell Automation's stock is trading at a price-to-book ratio of 9.31, significantly above the industry average, which could signal overvaluation. The stock's 52-week performance has been flat (-0.18%), underperforming the S&amp;P 500's 17.25% gain over the same period. Analyst sentiment remains moderately positive, with a mean price target of $306.31, representing a potential upside of approximately 6.7% from the current price. However, the high target price of $365 and low target of $215 reflect a wide range of uncertainty.
 **Economic Outlook:**  
 The broader economic environment poses challenges for Rockwell Automation. The U.S. economy is showing signs of deceleration, with GDP expected to shrink by 1.5% in Q1 2025. Rising tariffs on key trading partners, including Canada, Mexico, and China, could disrupt supply chains and increase input costs for industrial automation companies like Rockwell. Additionally, the company's exposure to global markets may be impacted by retaliatory trade measures and slowing industrial activity.  
 On the positive side, Rockwell's focus on automation and industrial technology positions it well for long-term growth as companies increasingly adopt automation to improve efficiency. However, near-term headwinds, including declining revenue and earnings growth, as well as macroeconomic uncertainty, could limit upside potential.
 **Summary of Thesis, Edge, and Risk:**  
 Rockwell Automation benefits from strong profit margins, robust free cash flow, and a leading position in the industrial automation sector. However, declining revenue and earnings growth, high leverage, and macroeconomic headwinds, including tariffs and slowing global growth, present significant risks. The stock's valuation appears stretched, and its performance has lagged broader market indices, suggesting limited near-term upside. While the company's long-term prospects remain intact, near-term challenges could weigh on its performance.
 **Score: 58**</t>
  </si>
  <si>
    <t>CAG</t>
  </si>
  <si>
    <t>**Investment Report: Conagra Brands**
 **Recent News:**  
 Conagra Brands has not been in the spotlight recently, with no significant news or developments over the past week. This lack of news suggests stability in operations but also indicates no immediate catalysts for significant price movement in the short term.
 **Financials:**  
 Conagra Brands is trading near the lower end of its 52-week range, with a current price of $25.97 compared to a high of $33.24. The stock offers an attractive dividend yield of 5.48%, significantly above its five-year average of 3.71%, which may appeal to income-focused investors. However, the payout ratio of 135.92% raises concerns about the sustainability of the dividend, especially given the company's modest earnings growth (-1.3%) and revenue growth (-0.4%) over the past year.
 The company’s forward P/E ratio of 9.68 suggests undervaluation relative to its trailing P/E of 25.29, indicating expectations of improved earnings in the future. However, its high debt-to-equity ratio of 96.17 and weak liquidity metrics (quick ratio of 0.196 and current ratio of 0.703) highlight financial constraints that could limit flexibility in navigating economic challenges.
 Conagra's gross margins of 27.47% and EBITDA margins of 19.04% are solid for the packaged foods industry, but its profit margins of 4.13% are relatively thin, reflecting challenges in cost management or pricing power. The company’s free cash flow of $1.28 billion provides some cushion, but its total debt of $8.46 billion remains a significant burden.
 **Valuations:**  
 The stock's price-to-book ratio of 1.41 and price-to-sales ratio of 1.04 suggest it is trading at a reasonable valuation compared to its peers. Analysts have a median price target of $27.50, implying a modest upside of approximately 5.9% from current levels. However, the recommendation mean of 2.83 (on a scale where 1 is a strong buy and 5 is a sell) indicates a "hold" consensus, reflecting limited enthusiasm for the stock in the near term.
 **Economic Outlook:**  
 The broader economic environment poses challenges for Conagra Brands. Rising tariffs on Canadian and Mexican goods, as well as increased costs from Chinese export controls, could pressure input costs for the packaged foods industry. Additionally, weakening consumer confidence and a potential economic slowdown in the U.S. may dampen demand for discretionary food products. However, Conagra's focus on packaged and shelf-stable goods could provide some resilience in a downturn, as these products are often considered staples.
 The company's low beta of 0.173 suggests limited sensitivity to broader market volatility, which could make it a relatively stable holding in uncertain economic conditions. However, the overall risk score of 9, driven by high compensation risk and audit risk, highlights governance concerns that could weigh on investor sentiment.
 **Summary:**  
 Conagra Brands offers a high dividend yield and appears undervalued based on forward earnings, but its financial leverage and weak liquidity metrics present significant risks. The company’s modest growth and thin profit margins limit its ability to navigate rising input costs and economic headwinds. While its low beta provides stability, governance risks and a lack of near-term catalysts temper the investment thesis.
 **Thesis:** Stable dividend payer with potential undervaluation.  
 **Edge:** Low beta and defensive product portfolio.  
 **Risk:** High debt, weak liquidity, and governance concerns.
 **Score: 58**</t>
  </si>
  <si>
    <t>WY</t>
  </si>
  <si>
    <t>**Investment Report: Weyerhaeuser (Timber REITs Industry)**
 **Recent News:**  
 Weyerhaeuser has not been in the headlines over the past week, indicating a lack of significant corporate developments or announcements. This absence of news suggests stability but also highlights the need to focus on broader economic and industry trends to assess the company's prospects.
 **Financials:**  
 Weyerhaeuser's financial performance reflects a mixed picture. The company has a market capitalization of $22.78 billion and a dividend yield of 2.79%, slightly above its five-year average of 2.67%, which may appeal to income-focused investors. However, its payout ratio of 148% raises concerns about the sustainability of its dividend, especially given its declining earnings growth (-63% year-over-year) and revenue growth (-3.7%). The company's trailing price-to-earnings (P/E) ratio of 58.13 and forward P/E of 36.5 suggest a premium valuation relative to its earnings, which could be a risk in a slowing economic environment.
 Weyerhaeuser's balance sheet shows a debt-to-equity ratio of 53.84, which is manageable but could become a concern if interest rates remain elevated. The company has a solid current ratio of 1.79, indicating sufficient liquidity to cover short-term obligations. Free cash flow of $546 million and operating cash flow of $1 billion provide some financial flexibility, though these figures may come under pressure if economic conditions worsen.
 **Valuations:**  
 The stock is trading at a price-to-book ratio of 2.34, which is reasonable for a REIT but slightly elevated compared to its historical averages. The enterprise value-to-EBITDA ratio of 22.54 is on the higher side, reflecting a premium valuation that may not be justified given the company's declining profitability. Analysts have a median price target of $35, implying a potential upside of approximately 12.5% from the current price of $31.25. However, the high P/E ratios and weak earnings growth suggest that the stock may be overvalued relative to its fundamentals.
 **Economic Outlook:**  
 The broader economic environment poses challenges for Weyerhaeuser. The U.S. economy is showing signs of deceleration, with GDP expected to contract by 1.5% in Q1 2025. Rising jobless claims, a record trade deficit, and weakening consumer confidence could dampen demand for timber and related products. Additionally, President Trump's tariffs on Canadian and Mexican goods may disrupt supply chains and increase costs for the timber industry, as Canada is a major exporter of lumber to the U.S. On the positive side, moderating inflation and potential Federal Reserve rate cuts later in the year could provide some relief.
 **Summary of Thesis, Edge, and Risk:**  
 Weyerhaeuser's appeal lies in its stable dividend yield and strong liquidity position, which provide a buffer against short-term economic headwinds. However, its high valuation metrics, declining earnings and revenue growth, and exposure to macroeconomic risks such as tariffs and a slowing economy present significant challenges. The company's ability to navigate these risks while maintaining its dividend and operational efficiency will be critical to its performance.
 **Score: 55**</t>
  </si>
  <si>
    <t>CPB</t>
  </si>
  <si>
    <t>**Investment Report: Campbell Soup Company (CPB)**
 **Recent News:**  
 Campbell Soup Company has been the subject of mixed expectations regarding its upcoming earnings report. While some analysts highlight its strong history of earnings surprises, others predict a decline in Q2 earnings, citing a lack of the "key ingredients" for another beat. This divergence reflects uncertainty about the company's ability to navigate current market conditions effectively. The broader economic environment, including rising costs and potential shifts in consumer spending, may weigh on its near-term performance.
 **Financials:**  
 Campbell Soup's financial metrics present a mixed picture. The company has a market capitalization of $12.3 billion and a trailing price-to-earnings (P/E) ratio of 22.56, which is relatively high compared to its forward P/E of 12.11, suggesting expectations of improved earnings in the future. Its dividend yield of 3.89% is above its five-year average of 3.15%, making it attractive for income-focused investors. However, the payout ratio of 80.87% indicates limited room for dividend growth without significant earnings improvement.
 The company's revenue growth of 10.1% year-over-year is a positive sign, but earnings growth has declined by 7.7%, reflecting margin pressures. Gross margins stand at 31.34%, while operating margins are at 15.66%, indicating some resilience in profitability despite challenges. However, the high debt-to-equity ratio of 215.32% raises concerns about financial leverage, especially in a rising interest rate environment. Free cash flow of $683 million and operating cash flow of $1.24 billion provide some cushion, but liquidity ratios (quick ratio of 0.476 and current ratio of 0.905) suggest limited short-term flexibility.
 **Valuations:**  
 Campbell Soup's stock is trading near its 52-week low of $36.92, significantly below its 52-week high of $52.81. The price-to-book ratio of 3.20 indicates a premium valuation relative to its book value, which may not be justified given the company's declining earnings growth. The enterprise value-to-EBITDA ratio of 10.76 suggests the stock is fairly valued compared to peers in the packaged foods industry. Analyst price targets range from $39 to $63, with a median target of $46, implying moderate upside potential from current levels.
 **Economic Outlook:**  
 The broader economic environment poses challenges for Campbell Soup. Rising input costs, driven by inflation and potential tariff impacts, could pressure margins further. The company's reliance on consumer staples provides some insulation from economic downturns, but shifts in consumer preferences toward healthier and fresher options may limit growth. Additionally, the company's high debt levels could become a concern if interest rates remain elevated or rise further. On the positive side, Campbell's strong brand recognition and stable demand for its products provide a degree of resilience in uncertain times.
 **Summary of Thesis, Edge, and Risk:**  
 Campbell Soup's investment thesis hinges on its strong brand and stable demand in the consumer staples sector, which provides a defensive edge in volatile markets. However, the company's high debt levels, declining earnings growth, and potential margin pressures from rising costs and changing consumer preferences present significant risks. While the stock's current valuation and dividend yield may appeal to income-focused investors, the near-term outlook remains uncertain, particularly given mixed expectations for its upcoming earnings report.
 **Score: 55**</t>
  </si>
  <si>
    <t>MOS</t>
  </si>
  <si>
    <t>**Investment Report: Mosaic Company (MOS)**
 **Recent News:**  
 Mosaic's Q4 2024 earnings and revenue fell short of expectations, with earnings per share (EPS) of $0.45 missing the consensus estimate of $0.53. This marks a decline from $0.71 EPS in the same quarter a year ago. The underperformance was driven by lower selling prices and volumes in the Potash segment, compounded by external disruptions such as strikes and hurricanes. Weak fertilizer prices have been a persistent challenge, reflecting broader industry headwinds. These results highlight the company's vulnerability to commodity price fluctuations and operational disruptions, which have weighed on its financial performance.
 **Financials:**  
 Mosaic's financial metrics reveal a mixed picture. The company has a trailing price-to-earnings (P/E) ratio of 42.42, which is significantly higher than its forward P/E of 9.48, indicating expectations of improved earnings in the future. However, its earnings growth has contracted by 52.5% year-over-year, and revenue growth has declined by 10.6%, reflecting the challenging operating environment. The company's gross margin of 14.92% and operating margin of 5.86% are relatively modest, suggesting limited pricing power in a competitive market.
 Mosaic's balance sheet shows a debt-to-equity ratio of 36.37, which is manageable but indicates some leverage. The current ratio of 1.08 suggests adequate short-term liquidity, though the quick ratio of 0.33 highlights potential challenges in meeting immediate obligations without relying on inventory. Free cash flow of $641.9 million and operating cash flow of $1.3 billion provide some financial flexibility, but the company's profitability metrics, such as return on equity (1.68%) and return on assets (2.90%), are underwhelming.
 **Valuations:**  
 Mosaic's stock is trading near its 52-week low of $23.05, with a price-to-book ratio of 0.64, indicating that the stock is undervalued relative to its book value. The dividend yield of 3.68% is attractive, especially compared to its five-year average of 1.56%, but the high payout ratio of 152.73% raises concerns about the sustainability of dividend payments. Analysts have a median price target of $31, suggesting potential upside from current levels, though the stock's recent underperformance (-23.43% over the past year) reflects investor caution.
 **Economic Outlook:**  
 The broader macroeconomic environment presents challenges for Mosaic. The global agricultural sector is grappling with weak fertilizer prices, which have been exacerbated by geopolitical tensions, trade disruptions, and slowing economic growth. President Trump's recent tariffs on Canada, Mexico, and China could further disrupt supply chains and increase input costs for agricultural producers, potentially dampening demand for fertilizers. Additionally, rising interest rates and a decelerating U.S. economy may weigh on capital-intensive industries like agriculture.
 On the positive side, long-term trends such as global population growth and the need for sustainable agricultural practices could support demand for fertilizers over time. However, near-term headwinds, including volatile commodity prices and geopolitical uncertainties, are likely to persist.
 **Summary:**  
 Mosaic's investment thesis hinges on its position as a key player in the fertilizers and agricultural chemicals industry, with potential upside from its undervalued stock price and attractive dividend yield. However, the company's edge is limited by its exposure to weak fertilizer prices and operational disruptions, while risks include declining earnings, revenue contraction, and macroeconomic uncertainties.
 **Score: 55**</t>
  </si>
  <si>
    <t>NTAP</t>
  </si>
  <si>
    <t>**Investment Report: NetApp**
 **Recent News:**  
 NetApp's recent earnings report revealed a mixed performance, with earnings per share of $1.91 meeting expectations but slightly declining from $1.94 a year ago. The company missed revenue expectations and issued weaker guidance for fiscal year 2025, citing reduced demand for its data storage services. This has led to a decline in its stock price, which hit a 52-week low of $95.19. Despite these challenges, analysts remain cautiously optimistic about NetApp's long-term prospects, suggesting that the revenue shortfall may not reflect broader IT spending trends. However, the lowered annual forecast indicates near-term headwinds, particularly in the face of a slowing macroeconomic environment.
 **Financials:**  
 NetApp's financial metrics present a mixed picture. The company has a trailing price-to-earnings (P/E) ratio of 17.73 and a forward P/E of 12.63, suggesting that the stock is relatively inexpensive based on future earnings expectations. Its gross margins remain strong at 70.62%, and the company generates healthy free cash flow of $1.13 billion. However, revenue growth is modest at 2.2%, and earnings growth has declined by 2.7% year-over-year. The company's debt-to-equity ratio of 226.13 is notably high, indicating significant leverage, which could pose risks in a rising interest rate environment. Additionally, its quick ratio of 0.755 and current ratio of 0.932 suggest limited short-term liquidity.
 **Valuations:**  
 NetApp's valuation metrics indicate a potential discount relative to its historical performance and industry peers. The stock's price-to-sales ratio of 2.99 and enterprise value-to-revenue ratio of 3.12 are reasonable for a company in the Technology Hardware, Storage &amp; Peripherals industry. However, its price-to-book ratio of 19.53 is elevated, reflecting market skepticism about its growth prospects. The dividend yield of 2.08% is below its five-year average of 2.71%, but the payout ratio of 38.15% suggests the dividend is sustainable. Analysts' target prices range from $110 to $153, with a median target of $120, implying potential upside from current levels.
 **Economic Outlook:**  
 NetApp operates in a challenging macroeconomic environment marked by slowing global growth and rising geopolitical tensions. The U.S. economy is projected to contract in Q1 2025, and trade tensions, particularly with China, could disrupt supply chains and increase costs for technology companies. Additionally, the broader technology sector has faced significant volatility, with declining investor sentiment following a strong 2024. While NetApp's core business in data storage remains essential for enterprises, reduced IT spending and economic uncertainty could weigh on its near-term performance.
 **Summary of Thesis, Edge, and Risk:**  
 NetApp's strong gross margins and free cash flow generation highlight its operational efficiency, while its forward P/E ratio suggests potential undervaluation. However, the company's high leverage, weak revenue growth, and reduced guidance for fiscal year 2025 present significant risks. The broader economic slowdown and trade tensions add further uncertainty. While NetApp's long-term prospects remain intact, near-term challenges could limit upside potential.
 **Score: 55**</t>
  </si>
  <si>
    <t>**Investment Report: Tesla, Inc.**
 **Recent News:**  
 Tesla has faced significant challenges in 2025, with its stock losing over 40% of its value from a recent peak. This decline is driven by a combination of factors, including CEO Elon Musk's controversial political involvement, macroeconomic headwinds, and a sharp 45% drop in European sales in January. Despite these setbacks, Tesla continues to pursue growth initiatives, such as launching a ride-hailing service in California and expanding operations in India. Analysts remain divided on Tesla's outlook, with some optimistic about its AI and robotics advancements, while others express concerns over declining sales and market volatility. Tesla's market cap has fallen below $1 trillion, and it is currently one of the worst-performing stocks on the S&amp;P 500 in 2025.
 **Financials:**  
 Tesla's financial metrics reveal a mixed picture. The company maintains a high valuation with a trailing P/E ratio of 138.85 and a forward P/E of 87.85, indicating significant growth expectations despite recent challenges. Its price-to-sales ratio of 9.37 and price-to-book ratio of 12.56 suggest the stock remains expensive relative to its peers. Tesla's profit margins are modest at 7.26%, and its earnings have contracted significantly, with quarterly earnings growth down 70.8% year-over-year. Revenue growth has slowed to just 2.1%, reflecting weaker demand and competitive pressures. The company holds $36.56 billion in cash, providing a strong liquidity position, but its free cash flow is negative at -$826.88 million, raising concerns about operational efficiency. Debt levels are manageable with a debt-to-equity ratio of 18.49, and Tesla's current ratio of 2.03 indicates solid short-term liquidity.
 **Valuations:**  
 Tesla's valuation metrics remain elevated despite the recent stock decline. The enterprise value-to-revenue ratio of 9.15 and enterprise value-to-EBITDA ratio of 68.58 highlight the premium investors are willing to pay for Tesla's growth potential. However, these valuations may be difficult to justify given the company's slowing revenue growth and declining profitability. Analyst price targets range widely, from $135 to $550, with a median target of $384.83, suggesting mixed sentiment about Tesla's future performance. The recommendation mean of 2.74 (between "hold" and "underperform") reflects cautious optimism tempered by significant risks.
 **Economic Outlook:**  
 Tesla's performance is heavily influenced by macroeconomic conditions, including rising interest rates, trade tensions, and slowing global growth. The U.S. economy is showing signs of deceleration, with GDP expected to contract in Q1 2025. Tariffs on steel, aluminum, and automotive imports could increase production costs for Tesla, while retaliatory tariffs from Europe and China may further pressure international sales. Additionally, consumer confidence is weakening, which could dampen demand for Tesla's premium electric vehicles. On the positive side, Tesla's focus on AI and robotics may position it well for long-term growth in emerging technologies, but these initiatives are unlikely to offset near-term challenges.
 **Summary:**  
 Tesla's thesis lies in its leadership in electric vehicles and innovation in AI and robotics, which provide a long-term growth edge. However, the company faces significant risks, including declining sales, high valuations, and macroeconomic headwinds. While Tesla's strong liquidity and brand recognition are advantages, its slowing revenue growth and negative free cash flow raise concerns about its ability to sustain current valuations.  
 **Score: 55**</t>
  </si>
  <si>
    <t>INTC</t>
  </si>
  <si>
    <t>**Investment Report: Intel Corporation**
 **Recent News:**  
 Intel has faced a turbulent period marked by both optimism and challenges. The stock initially surged on news that Nvidia and Broadcom are testing Intel's manufacturing technology, signaling potential validation of its foundry ambitions. However, the broader tech sector's struggles and Intel's own financial difficulties led to a 4.2% decline in its stock price. The company has delayed its $28 billion Ohio chip factory project to 2030, reflecting capital constraints and strategic recalibration. Despite these setbacks, Intel's focus on new product developments, such as Panther Lake and Nova Lake, and advancements in AI with its Xeon 6 processors, highlight its commitment to innovation. However, Intel continues to face stiff competition in the AI accelerator market, which could limit its ability to capitalize on this growing sector.
 **Financials:**  
 Intel's financial performance remains under pressure, with a net loss of $18.76 billion over the last fiscal year and negative profit margins of -35.32%. Revenue has declined by 7.4% year-over-year, and free cash flow is deeply negative at -$13.2 billion, indicating significant cash burn. The company's debt-to-equity ratio of 48.28% suggests a moderately leveraged balance sheet, though its total cash reserves of $22.06 billion provide some liquidity cushion. Intel's forward P/E ratio of 23.44 indicates that the market is pricing in a recovery, but this valuation may be optimistic given its current challenges. The stock's price-to-book ratio of 0.99 suggests it is trading near its book value, potentially signaling undervaluation if the company can stabilize its operations.
 **Valuations:**  
 Intel's valuation metrics present a mixed picture. The stock is trading at a significant discount to its 52-week high of $46.63, currently hovering around $22.52. Analysts' target prices range from $17.70 to $31.00, with a median target of $23.00, reflecting cautious optimism. The dividend yield of 2.24% is attractive, but the payout ratio of over 200% raises concerns about sustainability. Intel's enterprise value-to-revenue ratio of 2.50 and enterprise value-to-EBITDA ratio of 17.66 suggest the company is relatively expensive compared to peers, given its declining profitability and revenue growth.
 **Economic Outlook:**  
 The broader economic environment poses additional challenges for Intel. The U.S. economy is showing signs of deceleration, with GDP expected to contract in Q1 2025. Trade tensions, particularly with China, could disrupt Intel's supply chain and increase costs, while tariffs on semiconductor components may further pressure margins. However, the company's focus on domestic manufacturing aligns with U.S. government incentives for reshoring critical industries, which could provide long-term benefits. The tech sector's recent volatility and rotation into other industries may limit near-term upside for Intel, but its strategic investments in AI and advanced chip technologies could position it for growth in the medium to long term.
 **Summary:**  
 Intel's thesis lies in its potential for long-term recovery through innovation in AI and advanced chip technologies, supported by its undervaluation relative to historical levels. Its edge stems from its strategic pivot toward foundry services and domestic manufacturing, which could benefit from geopolitical trends and government incentives. However, risks include ongoing financial struggles, delayed capital projects, and intense competition in key markets, particularly AI and semiconductors.
 **Score: 55**</t>
  </si>
  <si>
    <t>IFF</t>
  </si>
  <si>
    <t>**Investment Report: International Flavors &amp; Fragrances (IFF)**
 **Recent News:**  
 There have been no significant updates or developments regarding International Flavors &amp; Fragrances (IFF) in the past week. The absence of news suggests stability in the company's operations but also indicates a lack of immediate catalysts for significant price movement in the short term.
 **Financials:**  
 IFF's recent trading activity shows a slight decline in its stock price, with a day low of $80.60 and a high of $83.42, compared to its previous close of $81.81. The stock is trading near its 52-week low of $75.57, significantly below its 52-week high of $106.77, reflecting a challenging year for the company. The dividend yield of 1.96% is below its five-year average of 2.82%, and the payout ratio of 168% raises concerns about the sustainability of its dividend policy given its current earnings.
 The company’s trailing price-to-earnings (P/E) ratio of 85.18 is notably high, indicating that the stock is expensive based on historical earnings. However, the forward P/E of 17.55 suggests expectations of improved profitability in the future. The price-to-book ratio of 1.49 indicates the stock is trading at a modest premium to its book value, which may appeal to value-oriented investors.
 IFF's revenue growth of 2.5% year-over-year is modest, and its profit margins remain thin, with a net profit margin of just 2.12%. The company’s gross margin of 35.91% is healthy for the specialty chemicals industry, but operating margins are extremely low at 0.13%, reflecting high operating costs. Additionally, the company’s free cash flow is negative (-$999.75 million), which could limit its ability to invest in growth or reduce its debt burden.
 The balance sheet shows a debt-to-equity ratio of 69.16, indicating a relatively high level of leverage. Total debt stands at $9.62 billion, while cash reserves are only $469 million, resulting in a weak quick ratio of 0.52. This raises concerns about the company’s liquidity and ability to manage its debt obligations in a rising interest rate environment.
 **Valuations:**  
 Analyst sentiment remains cautiously optimistic, with a mean price target of $100.05, representing a potential upside of approximately 22% from the current price. The recommendation mean of 1.86 (on a scale where 1.0 is a strong buy) suggests that analysts generally view the stock favorably. However, the wide range of price targets ($77.00 to $120.00) reflects uncertainty about the company’s future performance.
 The enterprise value-to-revenue ratio of 2.60 and enterprise value-to-EBITDA ratio of 17.19 suggest the stock is priced at a premium relative to its revenue and earnings before interest, taxes, depreciation, and amortization. These metrics indicate that investors are paying a high price for the company’s current earnings and cash flow generation.
 **Economic Outlook:**  
 The broader economic environment presents challenges for IFF. The U.S. economy is showing signs of deceleration, with GDP expected to contract in Q1 2025. Rising tariffs on key trading partners, including Canada, Mexico, and China, could disrupt global supply chains and increase input costs for IFF, which operates in a highly globalized industry. Additionally, elevated interest rates and weakening consumer confidence may dampen demand for the company’s products in the near term.
 On the positive side, IFF’s diversified portfolio of specialty chemicals and ingredients positions it to benefit from long-term trends in consumer goods, such as increased demand for natural flavors and fragrances. However, the company’s high leverage and negative free cash flow could limit its ability to capitalize on these opportunities in the short term.
 **Summary of Thesis, Edge, and Risk:**  
 IFF’s valuation metrics suggest the stock is currently under pressure, trading near its 52-week low. While the forward P/E ratio indicates potential for earnings recovery, the company’s high leverage, negative free cash flow, and thin profit margins present significant risks. The broader economic slowdown and rising tariffs could further strain the company’s operations. However, IFF’s strong market position in the specialty chemicals industry and its potential for long-term growth in consumer goods provide a foundation for recovery if it can address its operational inefficiencies and improve cash flow.
 **Score: 55**</t>
  </si>
  <si>
    <t>KVUE</t>
  </si>
  <si>
    <t>**Investment Report: Kenvue (Personal Care Products Industry)**
 **Recent News:**  
 Kenvue has not been in the news over the past week, indicating a lack of significant developments or announcements. This absence of news suggests stability but also highlights the need to focus on the company's financials and broader economic conditions to assess its investment potential.
 **Financials:**  
 Kenvue's financial performance reflects a mixed picture. The company has a market capitalization of $45.47 billion and a dividend yield of 3.47%, which is attractive for income-focused investors. However, its trailing price-to-earnings (P/E) ratio of 44.06 is relatively high, indicating that the stock may be overvalued based on past earnings. The forward P/E of 19.5 suggests expectations of improved profitability, but this still places the valuation above the industry average. 
 The company's revenue growth has been stagnant, with a slight decline of 0.1% year-over-year, and earnings growth has contracted by 10.4%. Despite this, Kenvue maintains strong gross margins of 58.14% and EBITDA margins of 23.07%, reflecting operational efficiency. The debt-to-equity ratio of 90.18% is concerning, as it indicates a high level of leverage, which could pose risks in a rising interest rate environment. Additionally, the quick ratio of 0.56 and current ratio of 0.96 suggest limited short-term liquidity.
 Kenvue's free cash flow of $1.62 billion and operating cash flow of $1.77 billion provide some financial flexibility, but the company's enterprise value-to-EBITDA ratio of 14.9 indicates that the stock is not particularly cheap compared to its earnings before interest, taxes, depreciation, and amortization.
 **Valuations:**  
 Kenvue's stock is trading near its 52-week high of $24.46, with a current price-to-book ratio of 4.71, which is elevated compared to peers in the personal care products industry. Analysts have a median price target of $24.00, suggesting limited upside from current levels. The recommendation mean of 2.53 (on a scale where 1 is a strong buy and 5 is a sell) indicates a "hold" consensus among analysts.
 **Economic Outlook:**  
 The broader economic environment presents challenges for Kenvue. The U.S. economy is showing signs of deceleration, with GDP expected to contract in Q1 2025. Rising jobless claims and weakening consumer confidence could impact discretionary spending, including personal care products. Additionally, the ongoing trade tensions and tariffs may increase input costs for Kenvue, potentially squeezing margins further. However, the slight cooling of inflation could provide some relief in terms of cost pressures.
 **Summary of Thesis, Edge, and Risk:**  
 Kenvue's strong gross margins and consistent dividend yield provide a stable income stream, making it appealing for conservative investors. However, the company's high leverage, stagnant revenue growth, and elevated valuation metrics limit its near-term upside potential. The broader economic slowdown and potential cost pressures from tariffs add to the risks. While Kenvue's operational efficiency is a key strength, its high debt levels and limited liquidity could pose challenges in a tightening economic environment.
 **Score: 55**</t>
  </si>
  <si>
    <t>BBY</t>
  </si>
  <si>
    <t>**Investment Report: Best Buy Co., Inc.**
 **Recent News:**  
 Best Buy is poised to release its fourth-quarter financial results on March 4, with expectations of strong holiday electronics sales potentially driving an earnings beat. However, the company faces significant headwinds, including increasing competition from e-commerce platforms, weakening consumer demand, and uncertainties surrounding tariffs. The recent imposition of tariffs on Canadian, Mexican, and Chinese goods could pressure Best Buy's supply chain and pricing strategies, potentially impacting margins. Analysts have flagged a downside risk to a fair value of $65.9, suggesting that the current stock price may not fully reflect these challenges. Despite these risks, the company's dividend yield and valuation metrics may attract income-focused investors.
 **Financials:**  
 Best Buy's financial performance reflects a mixed picture. The company has a trailing P/E ratio of 14.85 and a forward P/E of 12.68, indicating a relatively attractive valuation compared to historical averages. Its dividend yield of 4.18% is above its five-year average of 3.59%, signaling a strong income-generating potential. However, the company's revenue growth has declined by 3.2% year-over-year, reflecting broader consumer weakness and potential market share erosion. Best Buy's gross margin of 22.42% and operating margin of 3.66% are stable but could face pressure from tariff-related cost increases. The debt-to-equity ratio of 132.41% highlights a leveraged balance sheet, which could limit financial flexibility in a challenging economic environment.
 **Valuations:**  
 Best Buy's stock is trading at a price-to-sales ratio of 0.44 and a price-to-book ratio of 6.02, suggesting the market is pricing in limited growth prospects. The stock's 52-week range of $69.29 to $103.71 indicates that it is currently trading closer to the midpoint, reflecting investor caution. Analysts' target prices range from $80 to $117, with a mean target of $97.76, implying potential upside if the company can navigate its challenges effectively. However, the short interest ratio of 6.91 and a short percentage of float at 9.88% indicate bearish sentiment among some market participants.
 **Economic Outlook:**  
 The broader economic environment presents additional challenges for Best Buy. The U.S. economy is showing signs of deceleration, with GDP expected to contract by 1.5% in Q1 2025. Rising jobless claims and weakening consumer confidence could further dampen discretionary spending on electronics, a key revenue driver for Best Buy. Additionally, the recent tariffs on Canadian, Mexican, and Chinese goods could exacerbate supply chain disruptions and increase costs, potentially squeezing margins. While inflation appears to be moderating, the Federal Reserve's restrictive monetary policy and elevated interest rates could weigh on consumer purchasing power.
 **Summary of Thesis, Edge, and Risk:**  
 Best Buy's near-term outlook is clouded by macroeconomic headwinds, tariff uncertainties, and competitive pressures from e-commerce rivals. However, its strong dividend yield and relatively low valuation metrics may provide a cushion for long-term investors. The company's ability to manage costs, maintain market share, and adapt to changing consumer behavior will be critical in determining its performance. Risks include further revenue declines, margin compression from tariffs, and broader economic weakness impacting consumer spending.
 **Score: 55**</t>
  </si>
  <si>
    <t>BA</t>
  </si>
  <si>
    <t>**Investment Report: Boeing**
 **Recent News:**  
 Boeing is undergoing a strategic turnaround under CEO Kelly Ortberg, emphasizing transparency and key performance indicators (KPIs) to improve production and quality. The resumption of 737 MAX deliveries to China is a positive development, as China accounts for a significant portion of Boeing's single-aisle aircraft market, holding a 47% share of deliveries. However, supply chain disruptions and delays in certifying new seating configurations are hindering aircraft deliveries, a challenge shared with competitor Airbus. Norwegian's purchase of 10 Boeing 737-800 aircraft from its leased fleet signals continued demand for Boeing's products, but the company faces ongoing reputational and operational challenges, including a history of safety incidents and labor disputes. The departure of Stephanie Pope as COO adds to leadership uncertainty, though the company has shown resilience with recent stock gains.
 **Financials:**  
 Boeing's financial position remains precarious. The company reported a negative net income of $11.88 billion and a trailing EPS of -$18.35, reflecting ongoing profitability challenges. Its forward P/E ratio of 361.83 suggests that the market is pricing in significant future growth, but this valuation appears stretched given the company's current fundamentals. Boeing's profit margins (-17.76%) and operating margins (-25.63%) are deeply negative, highlighting inefficiencies and cost pressures. The company carries substantial debt of $55.96 billion, with a quick ratio of 0.386, indicating limited short-term liquidity. Free cash flow is also negative at -$9.85 billion, further constraining financial flexibility. Despite these challenges, Boeing has a market capitalization of $127.56 billion, reflecting investor confidence in its long-term recovery potential.
 **Valuations:**  
 Boeing's stock is trading at $170.10 (bid price), near the lower end of its 52-week range ($137.03–$203.80). The price-to-sales ratio of 1.92 is relatively modest, but the price-to-book ratio is negative due to a book value of -$5.22 per share, underscoring the company's financial strain. Analysts have a median price target of $200, suggesting potential upside, but the high forward P/E ratio and negative margins raise concerns about the sustainability of such valuations. Institutional ownership remains strong at 75.57%, indicating continued confidence from large investors.
 **Economic Outlook:**  
 Boeing's performance is closely tied to macroeconomic and geopolitical factors. The resumption of 737 MAX deliveries to China is a positive sign, but escalating trade tensions between the U.S. and China could pose risks to future sales. Supply chain disruptions, exacerbated by global economic uncertainties, continue to delay production and deliveries. Additionally, the broader aerospace and defense industry faces headwinds from rising interest rates, which could impact financing for new aircraft purchases. On the defense side, Boeing may face challenges as the U.S. pauses military aid to Ukraine, potentially affecting defense contracts. However, the company's focus on operational improvements and its strong position in the commercial aviation market provide a foundation for long-term recovery.
 **Summary of Thesis, Edge, and Risk:**  
 Boeing's turnaround strategy under Kelly Ortberg and the resumption of 737 MAX deliveries to China are positive developments, but the company faces significant financial and operational challenges. Its high debt levels, negative margins, and supply chain disruptions pose risks to near-term performance. The stock's valuation appears stretched given its current fundamentals, though strong institutional ownership and a dominant market position in commercial aviation provide a long-term edge. Geopolitical tensions and macroeconomic uncertainties add further risk, making Boeing's recovery trajectory uncertain in the short term.
 **Score: 55**</t>
  </si>
  <si>
    <t>IRM</t>
  </si>
  <si>
    <t>**Investment Report: Iron Mountain (IRM)**
 **Recent News:**  
 Iron Mountain has not been in the news over the past week, indicating a lack of significant recent developments or announcements. This absence of news suggests stability in its operations but also a lack of immediate catalysts for price movement.
 **Financials:**  
 Iron Mountain's stock has experienced a decline in recent trading, with its price falling from an open of $92.84 to a low of $90.00, reflecting broader market volatility. The company offers a dividend yield of 3.37%, which is below its five-year average of 5.22%, potentially signaling a less attractive income opportunity compared to its historical performance. The payout ratio of 447.54% is unusually high, raising concerns about the sustainability of its dividend policy. 
 The firm's trailing price-to-earnings (P/E) ratio of 147.89 and forward P/E of 46.03 indicate a premium valuation, which may not be justified given its modest profit margins of 2.93%. Additionally, Iron Mountain's price-to-sales ratio of 4.31 and enterprise value-to-EBITDA ratio of 21.05 suggest the stock is trading at elevated levels relative to its revenue and earnings before interest, taxes, depreciation, and amortization. 
 The company's financial health is mixed. While it has a significant total debt of $16.37 billion, its operating cash flow of $1.20 billion provides some reassurance about its ability to service debt. However, the negative free cash flow of -$408.3 million raises concerns about its ability to fund growth or maintain its dividend without external financing. 
 **Valuations:**  
 Iron Mountain's stock is trading closer to its 52-week low of $73.53 than its high of $130.24, reflecting a significant pullback. Analysts have a mean target price of $117.63, suggesting potential upside, but the wide range between the high target of $140.00 and the low target of $45.00 indicates uncertainty about the company's future performance. The recommendation mean of 2.29 (between "buy" and "hold") reflects cautious optimism among analysts.
 **Economic Outlook:**  
 The broader economic environment presents challenges for Iron Mountain. The U.S. economy is showing signs of deceleration, with GDP expected to shrink in Q1 2025. Rising jobless claims, a record trade deficit, and weakening consumer confidence could weigh on demand for Iron Mountain's services. Additionally, the company's high beta of 1.08 suggests it is more volatile than the market, which could amplify downside risks in a turbulent economic environment. 
 On the positive side, Iron Mountain's revenue growth of 11.4% and earnings growth of 258.3% year-over-year are encouraging, indicating resilience in its core business. Its gross margins of 56.15% and EBITDA margins of 33.21% highlight operational efficiency, which could help it weather economic headwinds.
 **Summary of Thesis, Edge, and Risk:**  
 Iron Mountain's appeal lies in its strong operational margins and revenue growth, which demonstrate its ability to generate consistent cash flow. However, its elevated valuation metrics, high payout ratio, and negative free cash flow raise concerns about its financial sustainability. The broader economic slowdown and market volatility further compound risks, particularly for a company with significant debt and a high beta. While the stock's pullback may present a potential buying opportunity, the lack of immediate catalysts and economic uncertainty warrant caution.
 **Score: 55**</t>
  </si>
  <si>
    <t>HRL</t>
  </si>
  <si>
    <t>**Investment Report: Hormel Foods Corporation**
 **Recent News:**  
 Hormel Foods reported a challenging first quarter for fiscal 2025, with declines in both net sales and earnings. The company faced a 4.2% drop in volumes, and earnings per share (EPS) of $0.35 missed the consensus estimate of $0.37, down from $0.41 a year ago. The earnings shortfall was primarily driven by higher input costs and supply chain disruptions at its Planters brand's distribution facility. Despite these headwinds, Hormel's revenue exceeded expectations, providing a modest boost to its stock price. However, ongoing struggles in its turkey and nut segments continue to weigh on performance, reflecting broader operational inefficiencies and cost pressures.
 **Financials:**  
 Hormel's financial metrics reveal a mixed picture. The company maintains a strong dividend yield of 4.05%, significantly above its five-year average of 2.55%, which may appeal to income-focused investors. However, its payout ratio of 82.43% suggests limited room for dividend growth without earnings improvement. Hormel's trailing price-to-earnings (P/E) ratio of 21.36 and forward P/E of 17.44 indicate a valuation that is not overly stretched but reflects moderate growth expectations. The company's gross margin of 16.73% and operating margin of 7.96% are under pressure, partly due to rising input costs and supply chain inefficiencies. Additionally, earnings growth has declined by 22.5% year-over-year, and revenue growth is nearly flat at -0.3%, signaling challenges in driving top-line and bottom-line expansion.
 Hormel's balance sheet remains relatively stable, with a current ratio of 2.45 and a quick ratio of 1.27, indicating sufficient liquidity to meet short-term obligations. However, its debt-to-equity ratio of 35.55% is higher than ideal for a company in the packaged foods industry, potentially limiting financial flexibility. Free cash flow of $615.78 million and operating cash flow of $1.17 billion provide some cushion, but these figures may come under pressure if operational challenges persist.
 **Valuations:**  
 Hormel's stock is trading near its 52-week low of $27.59, with a market cap of $16.21 billion. The price-to-book ratio of 2.02 suggests the stock is not excessively overvalued relative to its assets. However, the enterprise value-to-EBITDA ratio of 13.82 is on the higher side, reflecting the market's cautious optimism about the company's ability to navigate current challenges. Analyst sentiment is lukewarm, with a mean recommendation of "hold" and a target median price of $31.16, implying limited upside from current levels.
 **Economic Outlook:**  
 The broader economic environment presents additional challenges for Hormel. Rising input costs, exacerbated by recent tariffs on steel and aluminum, could further pressure margins. The ongoing trade tensions and retaliatory tariffs from key trading partners like Canada, Mexico, and China may disrupt supply chains and increase costs for imported raw materials. Additionally, consumer confidence is weakening amid broader economic uncertainty, which could dampen demand for Hormel's products. However, the company's low beta of 0.21 suggests it is less volatile than the broader market, potentially offering some stability in a turbulent economic environment.
 **Summary of Thesis, Edge, and Risk:**  
 Hormel Foods faces significant near-term challenges, including higher input costs, supply chain disruptions, and underperformance in key segments like turkey and nuts. While its strong dividend yield and stable liquidity provide some support, declining earnings growth and flat revenue growth highlight operational inefficiencies. The stock's valuation appears fair, with limited upside potential in the short term. Hormel's edge lies in its established brand portfolio and ability to generate consistent cash flow, but these strengths are offset by risks from rising costs, trade tensions, and weak consumer sentiment.
 **Score: 55**</t>
  </si>
  <si>
    <t>DOC</t>
  </si>
  <si>
    <t>**Investment Report: Healthpeak Properties (Health Care REITs)**
 **Recent News:**  
 Healthpeak Properties has not been in the news over the past week, indicating a lack of significant developments or announcements. This absence of news suggests stability but also highlights the need to focus on financial and macroeconomic factors to assess the firm's current position.
 **Financials:**  
 Healthpeak Properties is trading near the midpoint of its 52-week range ($16.66 - $23.26), with a recent close of $20.46. The stock offers an attractive dividend yield of 5.96%, well above its five-year average of 5.14%, which may appeal to income-focused investors. However, the payout ratio of 333% raises concerns about the sustainability of its dividend, especially given the firm's declining earnings growth (-93.6% quarterly) and negative earnings growth trajectory (-95.1% year-over-year). 
 The company’s profitability metrics, such as a profit margin of 9.0% and return on equity of 3.35%, are modest, reflecting challenges in generating robust returns. Healthpeak's debt-to-equity ratio of 99.62% indicates a high reliance on leverage, which could be a risk in a rising interest rate environment. Despite this, the firm maintains a solid operating cash flow of $1.07 billion and free cash flow of $798 million, which may provide some cushion for its financial obligations.
 Valuation metrics show a trailing P/E of 56.67 and a forward P/E of 81.6, suggesting the stock is trading at a premium relative to its earnings. The price-to-book ratio of 1.70 is reasonable for a REIT, but the enterprise value-to-EBITDA ratio of 16.34 indicates the firm is relatively expensive compared to peers. Analysts remain optimistic, with a mean target price of $24.68, implying a potential upside of approximately 20.6% from current levels.
 **Valuations:**  
 Healthpeak's valuation appears stretched, particularly given its weak earnings growth and high payout ratio. The elevated P/E ratios suggest that the market is pricing in future growth or stability in cash flows, which may not materialize if macroeconomic conditions worsen. The firm's gross margin of 67.1% and EBITDA margin of 53.9% are strong, but these are offset by its high leverage and declining earnings.
 **Economic Outlook:**  
 The broader economic environment poses challenges for Healthpeak Properties. The U.S. economy is showing signs of deceleration, with GDP expected to shrink by 1.5% in Q1 2025. Rising jobless claims and weakening consumer confidence could impact the healthcare sector indirectly, as healthcare REITs rely on stable occupancy rates and tenant financial health. Additionally, the Federal Reserve's restrictive monetary policy and elevated interest rates increase borrowing costs, which could pressure Healthpeak's heavily leveraged balance sheet. However, the firm's focus on healthcare properties, a relatively defensive sector, may provide some resilience during economic downturns.
 **Summary of Thesis, Edge, and Risk:**  
 Healthpeak Properties offers a high dividend yield and operates in the defensive healthcare REIT sector, which could provide stability in uncertain economic times. However, its stretched valuation, declining earnings growth, and high leverage present significant risks. The firm's ability to sustain its dividend and manage debt in a high-interest-rate environment will be critical to its performance. While analysts see potential upside, the macroeconomic headwinds and internal financial challenges warrant caution.
 **Score: 55**</t>
  </si>
  <si>
    <t>DOW</t>
  </si>
  <si>
    <t>**Investment Report: Dow Inc. (DOW)**
 **Recent News:**  
 Dow Inc. recently closed at $38.11, reflecting a -0.83% decline from the prior trading session. This movement occurred despite broader market gains, suggesting company-specific pressures or sector-related challenges. The stock also hit a 52-week low of $36.01 during the session, indicating heightened selling pressure. The broader commodity chemicals industry has faced headwinds from slowing global demand and trade uncertainties, which may have contributed to Dow's underperformance. Additionally, the company's exposure to cyclical industries makes it particularly sensitive to macroeconomic slowdowns and geopolitical developments, such as the recent escalation in tariffs.
 **Financials:**  
 Dow Inc.'s financial metrics reveal a mixed picture. The company offers an attractive dividend yield of 7.35%, significantly above its five-year average of 5.45%, which may appeal to income-focused investors. However, the high payout ratio of 178% raises concerns about the sustainability of these dividends, especially given the company's negative free cash flow of -$127 million. The firm's trailing price-to-earnings (P/E) ratio of 22.97 is relatively high compared to its forward P/E of 11.59, suggesting expectations of improved earnings in the future. However, the company's revenue growth has declined by 2% year-over-year, and gross margins remain thin at 10.9%, reflecting challenges in maintaining profitability amid rising input costs and weaker demand.
 Dow's balance sheet shows a debt-to-equity ratio of 99%, indicating a high level of leverage. While the company has $2.57 billion in cash, its total debt of $17.67 billion poses risks, particularly in a rising interest rate environment. The current ratio of 1.61 suggests adequate short-term liquidity, but the quick ratio of 0.74 highlights potential challenges in meeting immediate obligations without relying on inventory sales.
 **Valuations:**  
 Dow's price-to-sales ratio of 0.59 and price-to-book ratio of 1.46 suggest the stock is trading at a discount relative to its historical valuations and peers. Analysts have a median price target of $45, implying a potential upside of approximately 18% from current levels. However, the stock's 52-week change of -33% significantly underperforms the S&amp;P 500's gain of 17%, reflecting investor concerns about the company's near-term prospects. The trailing PEG ratio of 0.42 indicates that the stock may be undervalued relative to its growth potential, but this assumes the company can achieve its forward earnings estimates.
 **Economic Outlook:**  
 The macroeconomic environment presents significant challenges for Dow Inc. The U.S. economy is showing signs of deceleration, with GDP expected to contract by 1.5% in Q1 2025. Additionally, the recent implementation of tariffs on steel, aluminum, and other goods could increase input costs for Dow, further pressuring margins. The company's reliance on global trade and exposure to cyclical industries make it vulnerable to the ongoing trade tensions between the U.S., China, and other trading partners. On the positive side, moderating inflation and potential Federal Reserve rate cuts later in the year could provide some relief, particularly if global demand stabilizes.
 **Summary:**  
 **Thesis:** Dow Inc. offers a high dividend yield and appears undervalued based on certain metrics, such as its price-to-sales and PEG ratios.  
 **Edge:** The company's scale and diversified product portfolio position it to benefit from any recovery in global demand or easing of trade tensions.  
 **Risk:** High leverage, declining revenue growth, and exposure to cyclical industries pose significant risks, particularly in the current economic environment.
 **Score: 55**</t>
  </si>
  <si>
    <t>EIX</t>
  </si>
  <si>
    <t>**Investment Report: Edison International (EIX)**
 **Recent News:**  
 Edison International's Q4 earnings report revealed a miss on expectations, with earnings per share (EPS) of $1.05 falling short of the Zacks Consensus Estimate of $1.08. This represents a decline from $1.28 EPS in the same quarter last year, reflecting a 17.9% year-over-year drop. The earnings miss, coupled with declining profitability, highlights challenges in managing costs and maintaining operational efficiency. The broader macroeconomic environment, including rising interest rates and inflationary pressures, may have contributed to these results, as utility companies often face higher borrowing costs and operational expenses in such conditions.
 **Financials:**  
 Edison International's financial metrics present a mixed picture. The company offers an attractive dividend yield of 6.08%, significantly above its five-year average of 4.33%, which may appeal to income-focused investors. However, the high payout ratio of 95.69% raises concerns about the sustainability of these dividends, especially given the company's negative free cash flow of -$1.55 billion. The firm's debt-to-equity ratio of 212.86% is notably high, indicating heavy reliance on debt financing, which could become increasingly burdensome in a high-interest-rate environment. Additionally, the company's return on equity (ROE) of 7.2% and return on assets (ROA) of 2.89% are modest, reflecting limited efficiency in generating returns from its equity and assets.
 Edison International's trailing price-to-earnings (P/E) ratio of 16.7 is reasonable compared to the broader market, but its forward P/E of 9.7 suggests expectations of improved earnings. The price-to-book (P/B) ratio of 1.53 indicates the stock is trading at a slight premium to its book value, which is not unusual for utility companies. However, the firm's enterprise value-to-EBITDA ratio of 9.8 suggests the stock is not significantly undervalued relative to its earnings before interest, taxes, depreciation, and amortization.
 **Valuations:**  
 Edison International's stock has experienced a significant decline, with a 52-week change of -18.88%, underperforming the S&amp;P 500's 17.25% gain over the same period. The stock is currently trading near its 52-week low of $49.06, well below its 52-week high of $88.77. Analysts' target prices indicate potential upside, with a mean target price of $71.49 and a median target of $70. However, the wide range between the high target of $94.89 and the low target of $48 suggests uncertainty about the company's future performance.
 **Economic Outlook:**  
 The broader economic environment poses challenges for Edison International. Rising interest rates increase the cost of servicing its substantial debt, while inflationary pressures may erode margins. Additionally, the company's negative free cash flow and high debt levels limit its financial flexibility to invest in growth initiatives or weather economic downturns. On the positive side, utility companies like Edison International often benefit from stable demand for electricity, providing a degree of resilience in uncertain economic conditions. The company's revenue growth of 7.5% year-over-year is a positive indicator, suggesting some ability to pass on higher costs to customers.
 **Summary of Thesis, Edge, and Risk:**  
 Edison International offers a high dividend yield and stable revenue growth, which may appeal to income-focused investors. However, the company's high debt levels, declining profitability, and negative free cash flow present significant risks. The stock's recent underperformance and proximity to its 52-week low may indicate potential value, but the sustainability of its dividend and ability to navigate a challenging economic environment remain key concerns. The firm's edge lies in its position as a regulated utility with stable demand, but risks include rising interest rates, inflationary pressures, and operational inefficiencies.
 **Score: 55**</t>
  </si>
  <si>
    <t>MCHP</t>
  </si>
  <si>
    <t>**Investment Report: Microchip Technology**
 **Recent News:**  
 Microchip Technology has announced a workforce reduction of approximately 2,000 employees as part of a restructuring initiative. This decision reflects the company's response to a challenging macroeconomic environment and declining revenue growth, as evidenced by a 41.9% year-over-year revenue contraction. While layoffs may improve cost efficiency and profitability in the long term, they also signal potential headwinds in demand and operational challenges. The announcement has likely contributed to heightened market volatility, with the stock trading between $57.36 and $62.64 in recent sessions.
 **Financials:**  
 Microchip Technology's financial metrics reveal a mixed picture. The company has a trailing price-to-earnings (P/E) ratio of 101.67, significantly higher than its forward P/E of 22.29, indicating expectations of improved earnings in the future. However, its revenue growth has been negative, and profit margins remain modest at 6.49%. The company's gross margins of 57.95% suggest strong pricing power, but operating margins of just 3.35% highlight inefficiencies. Debt levels are concerning, with a debt-to-equity ratio of 112.48%, though the current ratio of 2.25 indicates sufficient liquidity to meet short-term obligations. Free cash flow of $1.36 billion provides some financial flexibility, but the high leverage could limit strategic options.
 **Valuations:**  
 The stock is trading at a price-to-book ratio of 5.17, which is relatively high compared to industry peers, suggesting it may be overvalued on a book value basis. The enterprise value-to-revenue ratio of 7.86 and enterprise value-to-EBITDA ratio of 26.27 further indicate a premium valuation. Despite these metrics, the dividend yield of 3.09% is attractive, especially given the company's history of consistent payouts. Analyst sentiment remains cautiously optimistic, with a mean price target of $64.69, implying modest upside potential from current levels.
 **Economic Outlook:**  
 The broader semiconductor industry faces significant challenges, including slowing global demand, geopolitical tensions, and supply chain disruptions. Recent tariffs imposed by the U.S. on key trading partners, including China, Canada, and Mexico, could exacerbate cost pressures and reduce international sales. Additionally, the Federal Reserve's restrictive monetary policy and signs of a slowing U.S. economy may weigh on consumer and enterprise spending, further dampening demand for semiconductors. However, long-term growth drivers such as artificial intelligence, automotive electrification, and 5G infrastructure remain intact, offering potential tailwinds for the sector.
 **Summary:**  
 Microchip Technology's restructuring efforts aim to address declining revenue and improve operational efficiency, but they also highlight near-term challenges in demand and profitability. The company's high leverage and premium valuation add to the risks, though its strong gross margins and dividend yield provide some support. The broader economic environment, including trade tensions and slowing growth, poses additional headwinds. While the long-term outlook for the semiconductor industry remains positive, Microchip Technology's near-term prospects are clouded by uncertainty.
 **Thesis:** Microchip Technology is undergoing restructuring to navigate a challenging environment, but its high leverage and declining revenue growth are significant concerns.  
 **Edge:** Strong gross margins and a solid dividend yield provide some stability.  
 **Risk:** High debt levels, negative revenue growth, and macroeconomic headwinds could weigh on performance.
 **Score: 55**</t>
  </si>
  <si>
    <t>SWKS</t>
  </si>
  <si>
    <t>**Investment Report: Skyworks Solutions**
 **Recent News:**  
 Skyworks Solutions has not been in the news over the past week, indicating no major announcements or developments. This lack of news suggests stability but also highlights the absence of catalysts that could drive significant short-term price movements.
 **Financials:**  
 Skyworks Solutions is currently trading near its 52-week low of $62.01, significantly below its 52-week high of $120.86, reflecting a 33.6% decline over the past year. The stock's trailing price-to-earnings (P/E) ratio of 20.17 is higher than its forward P/E of 10.24, suggesting expectations of improved earnings in the future. However, the company has experienced a 30% decline in earnings growth and an 11.1% drop in revenue growth, indicating recent operational challenges.
 The firm maintains strong liquidity, with a quick ratio of 3.90 and a current ratio of 5.94, signaling its ability to meet short-term obligations. Its debt-to-equity ratio of 18.64 is relatively low, reflecting prudent financial management. Skyworks also has a robust free cash flow of $972 million, which supports its dividend payments. The dividend yield of 4.2% is attractive, especially compared to its five-year average of 2.03%, but the high payout ratio of 84.92% raises concerns about sustainability if earnings continue to decline.
 **Valuations:**  
 Skyworks' price-to-book ratio of 1.65 and price-to-sales ratio of 2.60 suggest the stock is trading at a reasonable valuation relative to its assets and revenue. However, the trailing PEG ratio of 2.31 indicates the stock may be overvalued when factoring in its declining earnings growth. Analysts have a median price target of $70, implying modest upside potential from current levels, but the recommendation mean of 2.96 (close to "hold") reflects cautious sentiment.
 **Economic Outlook:**  
 The semiconductor industry faces headwinds from global economic uncertainty, trade tensions, and slowing demand. Skyworks, with its significant exposure to consumer electronics, is particularly vulnerable to reduced consumer spending and supply chain disruptions. The recent tariffs imposed by the U.S. on China, Canada, and Mexico could further pressure the company's margins and revenue, given its reliance on international markets. Additionally, the broader economic slowdown, as indicated by a projected 1.5% GDP contraction in Q1 2025, could weigh on demand for semiconductors.
 On the positive side, Skyworks' strong cash position and low debt provide a buffer against macroeconomic challenges. Its focus on high-margin products, as evidenced by gross margins of 40.94%, could help mitigate some of the revenue pressures. However, the company's declining earnings and revenue growth remain significant concerns in the near term.
 **Summary:**  
 **Thesis:** Skyworks Solutions offers a compelling dividend yield and reasonable valuation metrics, but its declining earnings and revenue growth, coupled with macroeconomic and industry-specific challenges, limit its near-term upside.  
 **Edge:** The company's strong liquidity and cash flow provide stability, allowing it to weather economic uncertainties better than some peers.  
 **Risk:** The high payout ratio, declining growth metrics, and exposure to trade tensions and consumer demand fluctuations pose significant risks to its performance.
 **Score: 55**</t>
  </si>
  <si>
    <t>TFX</t>
  </si>
  <si>
    <t>**Investment Report: Teleflex**
 **Recent News:**  
 Teleflex has announced a transformative strategy involving the acquisition of BIOTRONIK's vascular intervention business and a planned split into two independent, publicly traded companies. While these moves aim to unlock shareholder value and expand its portfolio, the market has reacted negatively, with shares dropping over 20%. Concerns center on weak revenue growth, declining gross margins, and execution risks associated with the acquisition and restructuring. The vascular intervention market, while strategically relevant, is not a high-growth segment, and Teleflex's smaller market presence raises questions about its ability to compete effectively. Additionally, the spin-off of its urology, acute care, and contract manufacturing units is seen as a bold but uncertain move to streamline operations and focus on core growth areas.
 **Financials:**  
 Teleflex's financial performance reflects a mixed picture. The company reported fourth-quarter earnings of $3.89 per share, exceeding estimates and improving from $3.38 a year ago. However, gross margins have declined, signaling potential cost pressures. The company’s trailing price-to-earnings (P/E) ratio of 90.69 is significantly higher than its forward P/E of 8.85, suggesting expectations of improved profitability post-restructuring. Teleflex's revenue growth of 2.8% is modest, and its profit margins remain thin at 2.29%. The balance sheet shows a manageable debt-to-equity ratio of 41.02, supported by a healthy current ratio of 2.27. Free cash flow of $426 million provides some financial flexibility, but the company’s enterprise value-to-EBITDA ratio of 11.06 indicates a valuation that may not fully reflect the risks of its strategic initiatives.
 **Valuations:**  
 Teleflex's stock has experienced significant volatility, trading near its 52-week low of $128.55, far below its high of $249.91. The price-to-book ratio of 1.46 suggests the stock is trading at a reasonable valuation relative to its assets. However, the market's skepticism is evident in the sharp decline in share price, reflecting concerns about execution risks and the uncertain benefits of the acquisition and spin-off. Analyst sentiment is cautious, with a mean price target of $186.11 and a recommendation leaning toward "hold." The trailing PEG ratio of 0.68 indicates potential undervaluation if the company can deliver on its growth and profitability targets.
 **Economic Outlook:**  
 Teleflex faces a challenging macroeconomic environment. The U.S. economy is showing signs of deceleration, with GDP contraction expected in Q1 2025. Rising tariffs on medical equipment and other goods could increase input costs, further pressuring margins. Additionally, the broader healthcare equipment industry is grappling with supply chain disruptions and pricing pressures. However, the company’s focus on high-margin, innovative medical devices could provide some insulation from these headwinds if execution risks are managed effectively.
 **Summary of Thesis, Edge, and Risk:**  
 Teleflex's strategic transformation, including the acquisition of BIOTRONIK's vascular intervention business and the planned spin-off, represents a bold attempt to refocus its business and unlock shareholder value. The company’s edge lies in its ability to leverage its existing expertise in medical devices to expand into adjacent markets. However, the risks are significant, including execution challenges, integration risks, and the potential for further margin compression. The market's skepticism is evident in the sharp decline in share price, reflecting concerns about the uncertain benefits of these initiatives.
 **Score: 55**</t>
  </si>
  <si>
    <t>SWK</t>
  </si>
  <si>
    <t>**Investment Report: Stanley Black &amp; Decker**
 **Recent News:**  
 There have been no significant updates or announcements regarding Stanley Black &amp; Decker in the past week. This lack of news suggests stability in the company's operations but also indicates no immediate catalysts for significant price movement in the short term.
 **Financials:**  
 Stanley Black &amp; Decker's financial performance reflects a mixed picture. The company is trading near its 52-week low of $77.70, with a current price-to-book ratio of 1.49, indicating a valuation close to its book value. The trailing price-to-earnings (PE) ratio of 44.49 is high, suggesting the stock is expensive based on past earnings, but the forward PE of 15.32 implies expectations of improved profitability in the future. The dividend yield of 3.79% is attractive, especially compared to its five-year average of 2.79%, but the high payout ratio of 172.49% raises concerns about the sustainability of these dividends.
 The company's revenue growth has been slightly negative (-0.4%), reflecting challenges in maintaining top-line performance. Profit margins remain thin, with a net profit margin of 1.92% and operating margins of 6.35%. The debt-to-equity ratio of 75.63% highlights a leveraged balance sheet, which could pose risks in a rising interest rate environment. However, the company has a reasonable free cash flow of $767 million, which provides some financial flexibility.
 **Valuations:**  
 Stanley Black &amp; Decker's valuation metrics suggest a company that is under pressure but may offer long-term value. The enterprise value-to-revenue ratio of 1.28 and enterprise value-to-EBITDA ratio of 12.73 indicate the market is pricing in some level of operational risk. Analyst price targets range from $87 to $120.15, with a median target of $96, suggesting potential upside from current levels. However, the recommendation mean of 2.65 (between "hold" and "underperform") reflects cautious sentiment among analysts.
 **Economic Outlook:**  
 The broader macroeconomic environment presents challenges for Stanley Black &amp; Decker. The U.S. economy is showing signs of deceleration, with GDP expected to shrink in Q1 2025. Rising tariffs on steel and aluminum, as well as broader trade tensions, could increase input costs for the company, which operates in the industrial machinery and components sector. Additionally, weakening consumer confidence and construction spending could dampen demand for the company's products. On the positive side, moderating inflation and potential Federal Reserve rate cuts later in the year could provide some relief.
 **Summary of Thesis, Edge, and Risk:**  
 Stanley Black &amp; Decker's current valuation and dividend yield may appeal to income-focused investors, but the high payout ratio and leveraged balance sheet raise concerns about financial sustainability. The company's forward PE suggests optimism for improved earnings, but macroeconomic headwinds, including tariffs and slowing economic growth, could weigh on performance. The lack of recent news or catalysts limits short-term upside potential, while the company's exposure to cyclical industries adds risk in a slowing economy.
 **Score: 55**</t>
  </si>
  <si>
    <t>POOL</t>
  </si>
  <si>
    <t>**Investment Report: Pool Corporation (Ticker: POOL)**
 **Recent News:**  
 There have been no significant news developments for Pool Corporation in the past week. This lack of news suggests stability in the company's operations but also indicates no immediate catalysts for significant price movement in the short term.
 **Financials:**  
 Pool Corporation's financial performance reflects a mixed picture. The company has a trailing price-to-earnings (P/E) ratio of 30.43 and a forward P/E of 28.61, indicating a premium valuation compared to the broader market. The dividend yield of 1.38% is above its five-year average of 0.96%, suggesting an attractive income component for investors, though the payout ratio of 41.59% remains conservative, leaving room for future dividend growth. 
 The company has a market capitalization of $12.95 billion and a robust free cash flow of $510 million, which supports its dividend payments and operational flexibility. However, revenue growth has declined by 1.6% year-over-year, and earnings growth has contracted by 26.1%, reflecting challenges in maintaining profitability amid a slowing economic environment. Gross margins of 29.66% and EBITDA margins of 12.46% remain healthy but are under pressure due to rising costs and weaker demand.
 Debt levels are notable, with a debt-to-equity ratio of 99.88%, indicating significant leverage. While the current ratio of 2.05 suggests adequate short-term liquidity, the quick ratio of 0.465 highlights potential challenges in meeting immediate obligations without relying on inventory sales. The company's return on equity (ROE) of 33.59% is strong, showcasing efficient use of shareholder capital, but declining earnings growth could weigh on this metric in the future.
 **Valuations:**  
 Pool Corporation's stock is trading at $347, near its 50-day moving average of $343.84 but below its 200-day moving average of $351.81. The stock has declined 15.16% over the past year, underperforming the S&amp;P 500, which has gained 17.25% in the same period. The price-to-book ratio of 10.19 indicates a high premium relative to its book value, which may deter value-focused investors. Analysts have a target mean price of $366.50, suggesting limited upside potential of approximately 5.6% from current levels.
 Short interest stands at 7.34% of shares outstanding, with a short ratio of 9.17, indicating some bearish sentiment in the market. Institutional ownership exceeds 100%, reflecting strong confidence from large investors, though insider ownership remains low at 5.53%.
 **Economic Outlook:**  
 The broader economic environment poses challenges for Pool Corporation. The U.S. economy is showing signs of deceleration, with GDP expected to contract by 1.5% in Q1 2025. Rising tariffs on Canadian, Mexican, and Chinese goods could increase input costs for Pool Corporation, particularly if the company relies on imported materials for its products. Consumer confidence is weakening, which could impact discretionary spending on pool-related products and services, a key revenue driver for the company.
 On the positive side, inflation appears to be moderating, which could alleviate some cost pressures in the medium term. However, the Federal Reserve's restrictive monetary policy and elevated interest rates may continue to weigh on consumer spending and housing-related investments, both of which are critical to Pool Corporation's business.
 **Summary of Thesis, Edge, and Risk:**  
 Pool Corporation operates in a niche market with strong brand recognition and a history of profitability. Its robust free cash flow and healthy dividend yield provide a cushion for investors during periods of economic uncertainty. However, declining revenue and earnings growth, coupled with high leverage and a premium valuation, present significant risks. The broader economic slowdown and potential tariff-related cost increases further compound these challenges. While the company remains fundamentally sound, near-term headwinds could limit upside potential.
 **Score: 55**</t>
  </si>
  <si>
    <t>**Investment Report: Franklin Resources**
 **Recent News:**  
 Franklin Resources has not been in the spotlight recently, with no significant news or developments in the past week. This lack of news suggests stability but also indicates no immediate catalysts for growth or significant changes in the firm's operations or strategy.
 **Financials:**  
 Franklin Resources is currently trading near its 52-week low of $18.83, with a recent close at $20.25. The stock has experienced a 26.76% decline over the past year, underperforming the S&amp;P 500, which has gained 17.25% in the same period. The firm's trailing price-to-earnings (P/E) ratio of 31.02 is notably high, but its forward P/E of 7.63 suggests expectations of improved earnings in the future. The dividend yield of 6.32% is significantly above its five-year average of 4.66%, which may attract income-focused investors, though the high payout ratio of 195.31% raises concerns about the sustainability of these dividends.
 The firm's revenue growth of 13.1% year-over-year is a positive indicator, but earnings growth has declined by 42.3%, reflecting challenges in profitability. Margins remain modest, with operating margins at 14.85% and net profit margins at 4.32%. The company has a strong current ratio of 5.36, indicating robust liquidity, but its free cash flow is negative at -$1.13 billion, which could limit flexibility for reinvestment or debt reduction. Debt-to-equity stands at 24.26%, a manageable level, though the firm’s enterprise value-to-EBITDA ratio of 8.40 suggests it is not significantly undervalued compared to peers.
 **Valuations:**  
 Franklin Resources is trading at a price-to-book ratio of 0.83, indicating the stock is valued below its book value, which could signal an undervalued opportunity. However, the market's cautious stance is reflected in the recommendation mean of 3.38 (hold) from analysts, with a target median price of $21.50, suggesting limited upside potential in the near term. The short interest ratio of 6.38 indicates moderate bearish sentiment, though not alarmingly high.
 **Economic Outlook:**  
 The broader economic environment presents challenges for Franklin Resources. The U.S. economy is showing signs of deceleration, with GDP expected to shrink by 1.5% in Q1 2025. Rising jobless claims, a record trade deficit, and weakening consumer confidence could weigh on asset management firms like Franklin Resources, as market volatility and economic uncertainty may deter investors from deploying capital. Additionally, the firm's beta of 1.45 suggests it is more volatile than the market, which could amplify downside risks in a turbulent economic environment.
 On the positive side, the Federal Reserve's efforts to control inflation and potential rate cuts later in the year could provide a tailwind for financial markets, benefiting asset managers. However, the firm's exposure to global markets and the ongoing trade tensions, particularly with China, could pose additional risks to its performance.
 **Summary of Thesis, Edge, and Risk:**  
 Franklin Resources offers a high dividend yield and trades below book value, which may appeal to value and income investors. Its forward P/E suggests potential for earnings recovery, and its strong liquidity position provides some financial stability. However, declining earnings growth, negative free cash flow, and a high payout ratio raise concerns about the sustainability of its dividends and long-term profitability. The broader economic slowdown and market volatility further compound risks, particularly given the firm's high beta and exposure to global markets. While the stock may present a value opportunity, the lack of near-term catalysts and economic headwinds suggest caution.
 **Score: 55**</t>
  </si>
  <si>
    <t>BF.B</t>
  </si>
  <si>
    <t>**Investment Report: Brown–Forman Corporation**
 **Recent News:**  
 Brown–Forman Corporation, a leading player in the Distillers &amp; Vintners industry, has not been featured in any significant news over the past week. The absence of recent developments suggests stability in its operations but also indicates a lack of immediate catalysts for growth or market excitement. This could reflect a steady, long-term business model, but it may also imply limited short-term momentum.
 **Financials:**  
 The lack of a trailing PEG ratio for Brown–Forman suggests either an absence of sufficient earnings growth data or challenges in projecting its growth relative to its valuation. This could indicate that the company is either in a mature phase with slower growth or facing uncertainties in its earnings trajectory. Historically, Brown–Forman has been known for its strong brand portfolio, including Jack Daniel's, which provides a stable revenue base. However, the absence of clear growth metrics raises questions about its ability to outperform in the near term, especially in a challenging macroeconomic environment.
 **Valuations:**  
 Without a trailing PEG ratio, it is difficult to assess the company's valuation relative to its growth prospects. Brown–Forman has traditionally traded at a premium due to its strong brand equity and consistent dividend payouts. However, in the current economic climate, where investors are increasingly cautious about overvalued stocks, the lack of clarity on growth metrics could weigh on its attractiveness. The company's valuation may still appeal to long-term, income-focused investors, but short-term valuation concerns could limit upside potential.
 **Economic Outlook:**  
 The broader economic environment presents mixed implications for Brown–Forman. On one hand, the Distillers &amp; Vintners industry tends to exhibit resilience during economic slowdowns, as consumer demand for alcoholic beverages remains relatively stable. On the other hand, rising tariffs and trade tensions, particularly those affecting Canada, Mexico, and Europe, could disrupt supply chains or increase costs for imported materials. Additionally, inflationary pressures and weakening consumer confidence may impact discretionary spending, potentially affecting premium product sales. However, Brown–Forman's strong brand recognition and global presence could help mitigate some of these risks.
 **Summary:**  
 Brown–Forman's thesis lies in its strong brand portfolio and historical resilience in the face of economic challenges. Its edge is its global market presence and ability to generate consistent cash flows. However, the lack of recent news, unclear growth metrics, and potential exposure to macroeconomic risks such as tariffs and inflation create uncertainties for short-term performance.
 Score: 55</t>
  </si>
  <si>
    <t>WBA</t>
  </si>
  <si>
    <t>**Investment Report: Walgreens Boots Alliance (WBA)**
 **Recent News:**  
 Walgreens Boots Alliance has recently garnered attention due to speculation about a potential buyout by Sycamore Partners, which aims to split the company into three distinct units. This news has driven a short-term rally in the stock price, closing at $11.23, up 1.72% in the latest trading session. However, skepticism remains, with analysts like Deutsche Bank cautioning that the optimism surrounding the deal may be overblown. Additionally, Walgreens has agreed to a $595 million settlement with Everly Health Solutions over a COVID-19 testing contract dispute, which could weigh on its financials. Despite broader market declines, Walgreens' stock has shown resilience, reflecting investor interest in the buyout speculation and its high dividend yield.
 **Financials:**  
 Walgreens' financial position reveals significant challenges. The company reported a net loss of $8.83 billion over the trailing twelve months, translating to a negative trailing EPS of -$10.24. Its profit margins are deeply negative at -5.87%, and return on equity is a concerning -80.85%. The debt-to-equity ratio is alarmingly high at 281.32%, indicating a heavily leveraged balance sheet. Liquidity metrics are weak, with a quick ratio of 0.27 and a current ratio of 0.64, suggesting limited short-term financial flexibility. However, the company generates substantial revenue, with total revenue of $150.41 billion and a modest revenue growth rate of 7.5%. Free cash flow of $4.33 billion provides some cushion, though it may not be sufficient to offset its debt burden and operational challenges.
 **Valuations:**  
 Walgreens' valuation metrics present a mixed picture. The stock trades at a forward P/E ratio of 6.98, which appears attractive compared to the broader market and its historical averages. Its price-to-book ratio of 0.89 suggests the stock is trading below its book value, potentially signaling undervaluation. The dividend yield of 9.36% is significantly higher than its five-year average of 6.33%, making it appealing to income-focused investors. However, the sustainability of this dividend is questionable given the company's high payout ratio of 290.91% and negative earnings. The enterprise value-to-EBITDA ratio of 14.55 indicates that the stock may not be as cheap as it appears when considering its debt load.
 **Economic Outlook:**  
 Walgreens operates in the drug retail industry, which is generally considered defensive and less sensitive to economic cycles. However, the current macroeconomic environment poses challenges. Rising tariffs and trade tensions could increase costs for imported goods, while slowing GDP growth and weakening consumer confidence may dampen retail spending. Additionally, Walgreens faces industry-specific pressures, including competition from online retailers and the need to adapt to changing consumer preferences. The company's high leverage and ongoing legal settlements further constrain its ability to navigate these headwinds effectively.
 **Summary of Thesis, Edge, and Risk:**  
 Walgreens Boots Alliance's potential buyout by Sycamore Partners has sparked investor interest, but the deal's feasibility remains uncertain. The company's valuation metrics suggest it may be undervalued, particularly given its high dividend yield and low price-to-book ratio. However, its financial health is concerning, with significant debt, negative earnings, and weak liquidity. The defensive nature of the drug retail industry provides some stability, but macroeconomic and industry-specific challenges could limit upside potential. The primary risk lies in the company's ability to manage its debt and sustain its dividend amid operational and legal pressures.
 **Score: 45**</t>
  </si>
  <si>
    <t>LUV</t>
  </si>
  <si>
    <t>**Investment Report: Southwest Airlines**
 **Recent News:**  
 Southwest Airlines is navigating a challenging period marked by significant operational and cultural shifts. The company recently announced its first mass layoff in history, cutting 15% of its headquarters staff, which has raised concerns among employees about the erosion of its historically unique and employee-friendly culture. This move is part of a broader turnaround strategy under the influence of activist investor Elliott Management. While such restructuring efforts aim to improve efficiency and profitability, they risk alienating employees and disrupting operations. Additionally, the Federal Aviation Administration (FAA) has opened an investigation into a runway incident involving a Southwest jet at Chicago Midway, which could further strain the airline's reputation and operational reliability. These developments come at a time when the airline industry is already under pressure from rising costs and economic uncertainty.
 **Financials:**  
 Southwest Airlines' financial performance reflects a mixed picture. The company has a market capitalization of $18.14 billion and trades at a trailing price-to-earnings (P/E) ratio of 40.28, which is significantly higher than its forward P/E of 19.25, indicating expectations of improved earnings in the future. However, its profit margins remain thin, with a net income margin of just 1.69%. The airline's revenue growth of 1.6% year-over-year is modest, and its return on equity (ROE) of 4.46% is below industry averages, signaling limited efficiency in generating shareholder returns. Southwest's balance sheet shows a debt-to-equity ratio of 77.86%, which, while manageable, could become a concern if cash flows remain under pressure. The company holds $8.73 billion in cash, providing a cushion, but its free cash flow is negative at -$2.1 billion, reflecting challenges in generating liquidity. Dividend payments remain stable, with a yield of 2.32%, but the high payout ratio of 94.74% raises questions about sustainability.
 **Valuations:**  
 Southwest Airlines' stock is trading at a price-to-book (P/B) ratio of 1.75, suggesting a slight premium relative to its book value. The stock has underperformed over the past year, with a 52-week change of -9.74%, compared to the S&amp;P 500's gain of 17.25%. Analyst sentiment is lukewarm, with a mean recommendation of "hold" and a target median price of $31, close to its current trading range. The stock's beta of 1.1 indicates slightly higher volatility than the broader market, which could amplify risks in the current uncertain environment.
 **Economic Outlook:**  
 The broader economic environment poses additional challenges for Southwest Airlines. The U.S. economy is showing signs of deceleration, with GDP expected to contract in Q1 2025. Rising jobless claims and weakening consumer confidence could dampen demand for air travel, particularly for budget carriers like Southwest. Additionally, the airline industry faces headwinds from elevated fuel costs, potential tariff impacts on supply chains, and increased regulatory scrutiny. While Southwest's turnaround plan may yield long-term benefits, near-term risks remain significant, especially as the company navigates cultural shifts and operational challenges.
 **Summary:**  
 Southwest Airlines is undergoing a critical transformation, driven by activist investor involvement and a need to address operational inefficiencies. While the company has a strong cash position and a recognizable brand, its high payout ratio, thin margins, and negative free cash flow highlight financial vulnerabilities. The FAA investigation and employee dissatisfaction add to operational risks, while broader economic headwinds could pressure demand. The stock's valuation suggests limited upside in the near term, with significant execution risks tied to its turnaround strategy.
 **Thesis:** Southwest Airlines' turnaround plan could unlock value over the long term, but near-term challenges, including cultural shifts, operational risks, and economic headwinds, weigh heavily on its outlook.  
 **Edge:** The company's strong cash reserves and brand recognition provide a buffer during this transitional phase.  
 **Risk:** Execution risks, employee dissatisfaction, and economic uncertainty could undermine the turnaround effort.
 **Score: 45**</t>
  </si>
  <si>
    <t>CE</t>
  </si>
  <si>
    <t>**Investment Report: Celanese Corporation**
 **Recent News:**  
 Celanese Corporation has not been in the news over the past week, indicating a lack of significant developments or announcements. This absence of news may reflect a period of operational stability or a lack of material catalysts in the short term.
 **Financials:**  
 Celanese's stock has experienced significant volatility, with a recent trading range between $46.995 and $52.1, marking its 52-week low at $46.995. The company’s market capitalization stands at $5.14 billion, with a price-to-book ratio of 0.99, suggesting the stock is trading near its book value. However, the firm’s financial health raises concerns, as it reported a net loss of $1.51 billion in the most recent fiscal year, resulting in a trailing EPS of -$13.86. Despite this, forward EPS is projected at $9.62, implying potential earnings recovery.
 Celanese's revenue over the trailing twelve months was $10.28 billion, but revenue growth has declined by 7.7%, reflecting challenges in its operating environment. The company’s gross margin of 23.6% and EBITDA margin of 17.49% indicate moderate profitability, though operating margins are relatively thin at 7.6%. The firm’s debt-to-equity ratio of 230.92% highlights a highly leveraged balance sheet, with total debt of $12.95 billion significantly outweighing its cash reserves of $962 million. Free cash flow of $509.5 million provides some liquidity, but the quick ratio of 0.67 suggests potential short-term liquidity constraints.
 Dividend payments remain minimal, with a dividend yield of 0.24%, far below the five-year average of 2.28%. This reflects a conservative payout strategy, likely influenced by the company’s financial challenges.
 **Valuations:**  
 Celanese’s forward P/E ratio of 4.89 suggests the stock is undervalued relative to its earnings potential, assuming the company can achieve its forward EPS target. The price-to-sales ratio of 0.50 further supports the notion of undervaluation, as the stock trades at a significant discount to its revenue. However, the enterprise value-to-EBITDA ratio of 9.77 indicates that the company’s high debt levels inflate its valuation on an enterprise basis. Analysts’ target prices range from $46 to $120, with a mean target of $65.5, suggesting potential upside from current levels if the company can execute a turnaround.
 **Economic Outlook:**  
 The broader macroeconomic environment presents headwinds for Celanese. The U.S. economy is showing signs of deceleration, with GDP contraction expected in Q1 2025 and rising jobless claims. Trade tensions, particularly the imposition of tariffs on Canadian, Mexican, and Chinese goods, could disrupt supply chains and increase input costs for Celanese, which operates in the specialty chemicals industry. Additionally, the company’s exposure to global markets may be impacted by slowing demand and geopolitical uncertainties.
 On the positive side, moderating inflation and potential Federal Reserve rate cuts later in the year could provide some relief to the broader economy, potentially stabilizing demand for Celanese’s products. However, the company’s high leverage and declining revenue growth make it particularly vulnerable to economic downturns.
 **Summary:**  
 Celanese’s investment thesis hinges on its valuation, which appears attractive based on forward earnings and revenue multiples. The company’s edge lies in its established position in the specialty chemicals industry and its potential for earnings recovery. However, significant risks include its high debt levels, declining revenue growth, and exposure to macroeconomic headwinds such as trade tensions and slowing global demand. The lack of recent news or catalysts further limits short-term upside potential.
 **Score: 45**</t>
  </si>
  <si>
    <t>LW</t>
  </si>
  <si>
    <t>**Investment Report: Lamb Weston Holdings (LW)**
 **Recent News:**  
 Lamb Weston has faced significant challenges over the past months, with its stock declining over 30% in the last quarter and halving since mid-2023. The company has been grappling with weak demand, rising costs, and intense competition, which have led to profit warnings and a reduced outlook for 2025. Market share losses and inflationary pressures have further exacerbated the situation, resulting in declining margins and increased financial leverage. Despite these headwinds, the company's current valuation appears more reasonable compared to its previously high multiples, potentially offering a better long-term risk-reward balance.
 **Financials:**  
 Lamb Weston’s financial performance reflects its ongoing struggles. Revenue growth has contracted by 7.6% year-over-year, and gross margins stand at 23.7%, indicating pressure from higher input costs. Operating margins are at 10.5%, while net profit margins are a modest 5.8%. The company’s debt-to-equity ratio of 251.7% highlights significant financial leverage, which could pose risks in a rising interest rate environment. Free cash flow is negative at -$195 million, further underscoring liquidity challenges. However, the forward price-to-earnings (P/E) ratio of 10.04 suggests that the market has already priced in much of the downside, and the dividend yield of 2.85% provides some income stability for investors.
 **Valuations:**  
 Lamb Weston’s valuation metrics indicate a mixed picture. The stock is trading at a price-to-sales ratio of 1.13 and a price-to-book ratio of 4.37, which are relatively low compared to historical levels. The forward P/E of 10.04 is significantly lower than the trailing P/E of 19.69, reflecting expectations of improved earnings in the future. However, the company’s enterprise value-to-EBITDA ratio of 9.27 suggests that it is not deeply undervalued relative to its peers in the packaged foods and meats industry. Analysts’ target prices range from $60 to $82, with a median target of $68, indicating potential upside from current levels.
 **Economic Outlook:**  
 The broader economic environment presents additional challenges for Lamb Weston. Rising inflation and higher interest rates are increasing input costs and financing expenses, while weak consumer confidence and slowing economic growth are dampening demand for discretionary food products. The company’s reliance on international markets could also expose it to risks from escalating trade tensions and tariffs, particularly given the recent U.S. trade policies targeting key trading partners. However, moderating inflation and potential Federal Reserve rate cuts later in the year could provide some relief to cost pressures.
 **Summary of Thesis, Edge, and Risk:**  
 Lamb Weston faces significant near-term challenges, including weak demand, rising costs, and competitive pressures, which have led to declining margins and increased financial leverage. However, the stock’s current valuation appears more reasonable, and the forward P/E suggests potential for earnings recovery. The company’s dividend yield provides some stability, but risks remain elevated due to negative free cash flow, high debt levels, and macroeconomic uncertainties. While the long-term outlook may improve as the company adapts to these challenges, the near-term environment remains volatile and uncertain.
 **Score: 45**</t>
  </si>
  <si>
    <t>KEY</t>
  </si>
  <si>
    <t>**Investment Report: KeyCorp (Regional Banks Industry)**
 **Recent News:**  
 KeyCorp has not been in the headlines over the past week, which suggests a lack of significant developments or announcements. This absence of news may indicate stability but also reflects limited catalysts for immediate market movement. However, the broader macroeconomic environment, including rising interest rates and trade tensions, could indirectly impact the regional banking sector, including KeyCorp.
 **Financials:**  
 KeyCorp's recent financial performance highlights several challenges. The firm reported a negative net income of $306 million in the most recent quarter, translating to a trailing EPS of -$0.32. This reflects operational difficulties, as evidenced by negative profit margins (-3.8%) and operating margins (-47.3%). Revenue growth has also contracted significantly, with a year-over-year decline of 42.9%, signaling headwinds in its core business operations.
 Despite these challenges, KeyCorp maintains a forward P/E ratio of 10.88, suggesting that analysts expect a recovery in earnings, with forward EPS projected at $1.56. The firm's dividend yield of 4.73% is attractive, though the payout ratio of 107.89% raises concerns about the sustainability of these distributions given the current financial strain.
 KeyCorp's balance sheet shows a total debt of $15.78 billion against $3.28 billion in cash, resulting in a high enterprise value of $33.77 billion. The price-to-book ratio of 1.20 indicates the stock is trading slightly above its book value, which is reasonable for the banking sector but not particularly undervalued. However, the firm's return on assets (-0.09%) and return on equity (-0.99%) are negative, reflecting inefficiencies in asset utilization and shareholder returns.
 **Valuations:**  
 KeyCorp's stock is trading near the lower end of its 52-week range ($13.11-$20.04), with a current price of approximately $16.82. The stock has underperformed the S&amp;P 500 over the past year, with a 52-week change of 15.3% compared to the S&amp;P's 17.2%. Analyst sentiment remains cautiously optimistic, with a mean target price of $20.97, implying a potential upside of around 25%. However, the high target price of $43.00 appears overly ambitious given the firm's current financial struggles.
 Short interest has increased, with 25.5 million shares shorted, up from 18.6 million in the prior month. This suggests growing bearish sentiment among investors, likely driven by concerns over the firm's profitability and revenue decline.
 **Economic Outlook:**  
 The regional banking sector faces a challenging macroeconomic environment. Rising interest rates, while generally beneficial for net interest margins, could dampen loan demand and increase credit risks. Additionally, the broader economic slowdown, as evidenced by a projected 1.5% GDP contraction in Q1 2025, may weigh on KeyCorp's performance. Trade tensions and tariffs could further disrupt regional economies, potentially impacting the bank's commercial lending portfolio.
 KeyCorp's exposure to these risks is compounded by its negative revenue growth and operational inefficiencies. However, the firm's relatively stable dividend and forward earnings expectations suggest some resilience, provided it can navigate the current economic headwinds.
 **Summary of Thesis, Edge, and Risk:**  
 KeyCorp's investment thesis hinges on its potential for earnings recovery, as reflected in its forward P/E ratio and analyst price targets. The firm's dividend yield provides a degree of income stability, which may appeal to income-focused investors. However, its negative profitability metrics, declining revenue, and high payout ratio highlight significant risks. The broader economic slowdown and rising short interest further underscore the challenges facing the firm. While the stock appears reasonably valued relative to its book value, the lack of near-term catalysts and operational headwinds limit its appeal.
 **Score: 45**</t>
  </si>
  <si>
    <t>CCI</t>
  </si>
  <si>
    <t>**Investment Report: Crown Castle Inc. (CCI)**
 **Recent News:**  
 Crown Castle Inc., a leading provider of wireless infrastructure in the U.S., has recently faced challenges that could impact its near-term performance. The company announced a delay in filing its Form 10-K for the fiscal year ending December 31, 2024, raising concerns about internal operational efficiency and financial transparency. This delay may signal potential issues in its accounting or reporting processes, which could erode investor confidence. Additionally, the company has been grappling with underperformance in its fiber segment, a critical growth area, as it faces increasing competition and operational inefficiencies. These developments come at a time when the broader telecom infrastructure industry is under pressure due to rising interest rates and slowing economic growth, which could dampen demand for new infrastructure investments.
 **Financials:**  
 Crown Castle's financial metrics present a mixed picture. The company offers an attractive dividend yield of 6.65%, significantly above its five-year average of 4.27%, which may appeal to income-focused investors. However, its payout ratio of 221.99% raises sustainability concerns, especially given its high debt-to-equity ratio of 559.59%. The firm's total debt of $29.64 billion dwarfs its cash reserves of $194 million, highlighting a heavily leveraged balance sheet. While the company maintains strong gross margins of 72.15% and EBITDA margins of 60.58%, its revenue growth has turned negative (-0.9%), reflecting challenges in expanding its top line. Earnings growth of 14.3% in the most recent quarter is a positive, but the broader financial picture suggests limited flexibility to navigate economic headwinds.
 **Valuations:**  
 Crown Castle's valuation metrics indicate that the stock may be overvalued relative to its growth prospects. The trailing P/E ratio of 33.99 and forward P/E of 35.77 are significantly higher than the broader market and its peers in the REIT sector, suggesting limited upside potential. The price-to-book ratio of 7.87 further underscores the premium investors are paying for the stock, despite its recent underperformance (a 52-week change of -15.66% compared to the S&amp;P 500's gain of 17.25%). Analysts' target prices range from $84 to $135, with a median target of $107.50, indicating modest upside from current levels but also reflecting uncertainty in the stock's trajectory.
 **Economic Outlook:**  
 The macroeconomic environment poses additional challenges for Crown Castle. Rising interest rates increase the cost of capital for heavily leveraged companies like CCI, potentially squeezing margins and limiting growth opportunities. The broader economic slowdown, as evidenced by a projected 1.5% contraction in U.S. GDP for Q1 2025, could further dampen demand for telecom infrastructure. Additionally, the company's reliance on long-term contracts with telecom providers may shield it from immediate revenue declines but limits its ability to quickly adapt to changing market conditions. The ongoing trade tensions and tariffs could also indirectly impact the company by increasing costs for materials and equipment.
 **Summary of Thesis, Edge, and Risk:**  
 Crown Castle's high dividend yield and strong margins provide a degree of stability, making it appealing to income-focused investors. However, its heavy debt load, negative revenue growth, and operational challenges in the fiber segment raise significant concerns. The delay in filing its Form 10-K adds an additional layer of uncertainty, potentially signaling deeper issues within the company. While the stock may offer modest upside based on analysts' price targets, its elevated valuation and exposure to macroeconomic headwinds limit its attractiveness in the near term. The primary risk lies in its ability to manage its debt and sustain its dividend amid a challenging economic and competitive landscape.
 **Score: 45**</t>
  </si>
  <si>
    <t>ZBRA</t>
  </si>
  <si>
    <t>**Investment Report: Zebra Technologies (ZBRA)**
 **Recent News:**  
 Zebra Technologies has faced significant headwinds recently, with rising operational costs, high debt levels, and unfavorable foreign currency movements impacting its performance. These challenges have raised concerns about the company's ability to maintain profitability and growth in the near term. The broader macroeconomic environment, including trade tensions and slowing global growth, may exacerbate these issues, particularly for a company with international exposure like Zebra Technologies.
 **Financials:**  
 Zebra Technologies' financial metrics reveal a mixed picture. The company has a trailing P/E ratio of 30.14 and a forward P/E of 19.13, indicating that while the stock is priced for growth, it may be overvalued relative to its current earnings. The company's debt-to-equity ratio of 65.87 highlights its significant leverage, which could become a liability in a rising interest rate environment or during periods of economic uncertainty. Despite these concerns, Zebra has demonstrated solid profitability metrics, with a return on equity (ROE) of 15.95% and gross margins of 48.44%. However, its quick ratio of 0.947 suggests potential liquidity challenges, particularly if operational costs continue to rise.
 The company's revenue growth of 32.2% year-over-year is a positive indicator, but this growth may not be sustainable given the current economic climate and rising costs. Additionally, the firm's free cash flow of $807.88 million and operating cash flow of $1.01 billion provide some financial flexibility, though these figures may come under pressure if profitability declines further.
 **Valuations:**  
 Zebra Technologies' price-to-book ratio of 4.41 and enterprise value-to-EBITDA ratio of 18.38 suggest that the stock is trading at a premium compared to its peers in the Electronic Equipment &amp; Instruments industry. While analysts have a mean target price of $391.60, representing potential upside from the current price, the stock's recent performance and broader market conditions may limit its ability to reach these levels in the short term. The company's beta of 1.679 indicates higher volatility compared to the broader market, which could amplify downside risks in a turbulent economic environment.
 **Economic Outlook:**  
 The macroeconomic environment presents additional challenges for Zebra Technologies. The U.S. economy is showing signs of deceleration, with GDP expected to contract in Q1 2025. Rising tariffs on key trading partners, including Canada, Mexico, and China, could further disrupt supply chains and increase input costs for Zebra. Additionally, the strengthening U.S. dollar may continue to create unfavorable foreign currency impacts, reducing the competitiveness of Zebra's products in international markets. These factors, combined with slowing consumer confidence and rising jobless claims, could weigh on the company's near-term performance.
 **Summary of Thesis, Edge, and Risk:**  
 Zebra Technologies faces a challenging environment characterized by rising costs, high debt levels, and unfavorable currency movements. While the company has demonstrated strong revenue growth and profitability metrics, its high valuation and significant leverage pose risks in the current economic climate. The macroeconomic backdrop, including trade tensions and slowing global growth, further compounds these challenges. Zebra's edge lies in its established market position and innovative product offerings, but these strengths may not be sufficient to offset near-term headwinds. The primary risk is the potential for declining profitability and cash flow, which could pressure the stock further.
 **Score: 45**</t>
  </si>
  <si>
    <t>SRE</t>
  </si>
  <si>
    <t>**Investment Report: Sempra (Multi-Utilities Industry)**
 **Recent News:**  
 Sempra's recent earnings report has significantly impacted its stock performance, with a 20% decline making it the worst performer in the S&amp;P 500 for the day. The company reported fourth-quarter earnings of $1.50 per share, an improvement from $1.13 in the prior year but below the Zacks Consensus Estimate of $1.63. Revenue of $3.76 billion also fell short of expectations by 23.1%. Additionally, Sempra lowered its 2025 earnings outlook, citing regulatory challenges and a higher-cost environment. This combination of missed expectations and a cautious forward outlook has raised concerns about the company's near-term growth prospects. Broader market weakness, driven by declining consumer confidence and losses in major tech firms, has further exacerbated the negative sentiment surrounding Sempra.
 **Financials:**  
 Sempra's financial metrics reveal a mixed picture. The company maintains a relatively low beta of 0.776, indicating lower volatility compared to the broader market. Its trailing P/E ratio of 16.16 and forward P/E of 13.89 suggest the stock is trading at a reasonable valuation relative to its earnings, though the recent earnings miss and lowered guidance may pressure these multiples. The dividend yield of 3.6% is above its five-year average of 3.15%, which could attract income-focused investors, but the payout ratio of 56.11% indicates limited room for dividend growth given the current earnings environment. Sempra's debt-to-equity ratio of 98.74% highlights a high leverage level, which could become a concern in a rising cost environment. Additionally, the company reported negative free cash flow of -$4.45 billion, reflecting challenges in managing its capital expenditures and operational cash flow.
 **Valuations:**  
 Sempra's price-to-book ratio of 1.53 is relatively modest, suggesting the stock is not overvalued based on its book value. However, its enterprise value-to-revenue ratio of 6.81 and enterprise value-to-EBITDA ratio of 16.95 indicate a premium valuation compared to some peers in the utilities sector. Analysts have a target mean price of $83.10, representing potential upside from the current price, but the lowered earnings outlook and regulatory headwinds may lead to downward revisions in these targets. The stock's 52-week range of $64.89 to $95.77 shows it is trading closer to its lows, reflecting the market's cautious stance.
 **Economic Outlook:**  
 The broader economic environment poses additional challenges for Sempra. Rising regulatory costs and a higher interest rate environment could weigh on the company's profitability and ability to service its debt. The recent decline in consumer confidence and broader market volatility may also dampen investor sentiment toward utility stocks, which are often viewed as defensive but may face headwinds in a slowing economy. On the positive side, Sempra's gross margins of 40.95% and operating margins of 25.81% indicate a solid underlying business model, though these metrics may come under pressure if cost challenges persist.
 **Summary of Thesis, Edge, and Risk:**  
 Sempra's recent earnings miss and lowered guidance highlight near-term challenges, including regulatory pressures and a higher-cost environment. While the company's dividend yield and relatively low valuation metrics may appeal to some investors, its high leverage and negative free cash flow raise concerns about financial flexibility. The broader economic slowdown and market volatility further complicate the outlook. Sempra's edge lies in its established position in the utilities sector and strong operating margins, but these strengths may be overshadowed by near-term risks, including regulatory uncertainty and cost pressures.
 **Score: 45**</t>
  </si>
  <si>
    <t>VTRS</t>
  </si>
  <si>
    <t>**Investment Report: Viatris Inc.**
 **Recent News:**  
 Viatris Inc. has faced significant challenges following its fourth-quarter 2024 earnings report. The company underperformed Wall Street expectations, with earnings per share of $0.54 missing the $0.57 consensus and revenues of $3.52 billion falling short of the $3.61 billion forecast. This represents an 8% year-over-year revenue decline, reflecting operational and market difficulties. The stock price dropped 15% in response, signaling investor concerns. Compounding these issues, Viatris' 2025 outlook is clouded by a $385 million EBITDA impact due to operational disruptions at its Indore plant in India, which is under U.S. FDA import restrictions. While the company has made progress in debt reduction and strategic initiatives, these efforts have not been sufficient to offset the broader financial and operational headwinds.
 **Financials:**  
 Viatris' financial metrics reveal a mixed picture. The company trades at a forward P/E ratio of 3.49, indicating a low valuation relative to forward earnings, but this is overshadowed by weak profitability and operational challenges. The firm reported a net loss of $634 million in the trailing twelve months, with a negative profit margin of -4.3%. Revenue growth has declined by 8.1%, and gross margins stand at 39.7%, which is relatively healthy but insufficient to counteract the broader revenue and operational pressures. The company’s debt-to-equity ratio of 75.38 highlights a significant leverage burden, though its current ratio of 1.65 suggests adequate short-term liquidity. Viatris' dividend yield of 5.21% may appeal to income-focused investors, but the sustainability of this payout could be questioned given the firm's financial struggles.
 **Valuations:**  
 Viatris appears undervalued based on its price-to-book ratio of 0.60 and price-to-sales ratio of 0.76, both of which are well below industry averages. However, these low valuations reflect market skepticism about the company’s ability to navigate its current challenges. The enterprise value-to-EBITDA ratio of 5.72 suggests the stock is attractively priced relative to its earnings before interest, taxes, depreciation, and amortization, but the operational risks and declining revenue growth temper this optimism. Analyst sentiment is cautious, with a "hold" recommendation and a target median price of $13.50, implying potential upside from the current price but contingent on improved execution and resolution of regulatory issues.
 **Economic Outlook:**  
 The broader economic environment presents additional challenges for Viatris. The U.S. economy is showing signs of deceleration, with GDP contraction expected in Q1 2025 and rising jobless claims. Trade tensions and tariffs could further disrupt global supply chains, potentially impacting Viatris' cost structure and market access. Additionally, the pharmaceutical industry faces ongoing regulatory scrutiny, which could exacerbate the company's existing issues with the FDA. On the positive side, moderating inflation and potential Federal Reserve rate cuts later in the year could provide some relief to the broader market, though Viatris' specific challenges may limit its ability to benefit from these macroeconomic trends.
 **Summary of Thesis, Edge, and Risk:**  
 Viatris' investment thesis hinges on its low valuation and high dividend yield, which may attract value-oriented investors. The company's edge lies in its global pharmaceutical portfolio and strategic focus on debt reduction. However, significant risks include operational disruptions at the Indore plant, declining revenues, and regulatory challenges. These factors, combined with a weak 2025 outlook, create a challenging environment for the company to deliver near-term value.
 **Score: 42**</t>
  </si>
  <si>
    <t>EL</t>
  </si>
  <si>
    <t>**Investment Report: Estée Lauder Companies (The)**
 **Recent News:**  
 There have been no significant updates or developments regarding Estée Lauder Companies in the past week. This lack of news suggests stability in the company's operations but also indicates no immediate catalysts for significant stock movement.
 **Financials:**  
 Estée Lauder's recent financial performance reflects challenges, with a trailing twelve-month net income of -$700 million and a negative trailing EPS of -$1.94. The company is currently trading at a forward P/E ratio of 25.99, indicating that the market expects a recovery in earnings, as reflected in the forward EPS of $2.70. However, the company's profit margins are negative (-4.61%), and revenue growth has declined by 6.4% year-over-year, signaling operational and demand-side pressures.
 The stock's price has been under pressure, with a 52-week change of -51.19%, significantly underperforming the S&amp;P 500's 17.25% gain over the same period. The stock is trading near its 52-week low of $62.29, far below its high of $159.54, suggesting a steep decline in investor confidence. The price-to-book ratio of 6.06 indicates a premium valuation relative to its book value, which may not be justified given the current financial struggles.
 On the balance sheet, Estée Lauder has a high debt-to-equity ratio of 225.07%, reflecting significant leverage. While the company holds $2.59 billion in cash, its total debt of $9.38 billion raises concerns about its ability to manage liabilities, especially in a high-interest-rate environment. Liquidity metrics, such as a quick ratio of 0.83 and a current ratio of 1.37, suggest moderate short-term financial flexibility but highlight potential risks if cash flow generation weakens further.
 The company maintains a dividend yield of 1.95%, above its five-year average of 1.35%, which may attract income-focused investors. However, the payout ratio of 471.43% is unsustainable, given the negative earnings, and raises questions about the company's ability to maintain its dividend policy.
 **Valuations:**  
 Estée Lauder's valuation metrics reflect a mixed picture. The forward P/E of 25.99 suggests optimism for a turnaround, but this optimism may be premature given the company's current financial struggles and declining revenue. The enterprise value-to-EBITDA ratio of 13.76 is relatively high, indicating that the stock is not cheap compared to its earnings potential. Additionally, the price-to-sales ratio of 1.66 is reasonable for the personal care products industry but does not provide a compelling discount given the company's negative profit margins and revenue contraction.
 Analyst sentiment is cautious, with a recommendation mean of 2.84 (between "hold" and "underperform") and a target median price of $73.50, close to the current trading range. This suggests limited upside potential in the near term.
 **Economic Outlook:**  
 The broader economic environment poses challenges for Estée Lauder. The U.S. economy is showing signs of deceleration, with GDP expected to shrink in Q1 2025. Rising tariffs on imports from Canada, Mexico, and China could increase input costs for Estée Lauder, particularly if the company relies on international supply chains. Additionally, weakening consumer confidence and higher unemployment could dampen demand for discretionary products like cosmetics and personal care items.
 On the positive side, inflation appears to be moderating, which could alleviate some cost pressures. However, the company's high leverage and declining revenue growth make it vulnerable to any further economic downturns or disruptions in global trade.
 **Summary of Thesis, Edge, and Risk:**  
 Estée Lauder faces significant headwinds, including declining revenue, negative profit margins, and high leverage. While the stock's steep decline may suggest a potential value opportunity, the company's financial struggles and lack of near-term catalysts limit its attractiveness. The dividend yield provides some support, but its sustainability is questionable given the payout ratio. The broader economic slowdown and potential tariff impacts add further risks. The company's edge lies in its strong brand portfolio and historical resilience in the personal care products industry, but these strengths are currently overshadowed by operational and macroeconomic challenges.
 **Score: 42**</t>
  </si>
  <si>
    <t>ACGL</t>
  </si>
  <si>
    <t>**Investment Report: Arch Capital Group**
 **Recent News:**  
 Arch Capital Group has not been in the headlines over the past week, indicating a lack of immediate catalysts or disruptions. This absence of news suggests stability in operations, but it also means the firm is not currently benefiting from any significant positive developments or market-moving announcements.
 **Financials:**  
 Arch Capital Group demonstrates strong financial fundamentals. The company has a trailing price-to-earnings (P/E) ratio of 8.31, which is significantly below the broader market average, indicating potential undervaluation. Its forward P/E of 10.29 suggests modest earnings growth expectations. The firm’s profit margins are robust at 24.73%, and its return on equity (ROE) of 22.01% reflects efficient capital utilization. 
 The company’s balance sheet is solid, with a debt-to-equity ratio of 13.89, which is relatively low for the industry, and a substantial free cash flow of $10.38 billion. Arch Capital’s book value per share of $53.33 and a price-to-book ratio of 1.74 further highlight its reasonable valuation. However, earnings growth has been under pressure, with a quarterly decline of 59.9%, which could weigh on investor sentiment in the near term.
 **Valuations:**  
 Arch Capital’s stock is trading at $92.91, near its 50-day average of $91.82 but below its 200-day average of $100.12. This suggests the stock has faced some downward pressure recently, likely due to broader market conditions rather than company-specific issues. The stock is trading closer to its 52-week low of $86.84 than its high of $116.47, which could present an opportunity for value-oriented investors. Analyst sentiment remains positive, with a mean price target of $114.60, implying a potential upside of approximately 23%. The recommendation mean of 1.87 (on a scale where 1.0 is a strong buy) underscores confidence in the stock’s long-term prospects.
 **Economic Outlook:**  
 The broader economic environment presents mixed signals for Arch Capital. The U.S. economy is showing signs of deceleration, with GDP contraction expected in Q1 2025 and rising jobless claims. However, the property and casualty insurance industry tends to be resilient during economic downturns, as demand for insurance products remains relatively stable. Arch Capital’s low beta of 0.60 indicates reduced sensitivity to market volatility, which could make it an attractive option in uncertain times. On the downside, the firm’s earnings growth has been negatively impacted, which may reflect challenges in underwriting profitability or investment income amid higher interest rates.
 **Summary of Thesis, Edge, and Risk:**  
 Arch Capital Group offers a compelling value proposition with its strong profitability metrics, reasonable valuation, and robust cash flow generation. Its low beta and stable industry positioning provide a defensive edge in a volatile market environment. However, risks include declining earnings growth and potential headwinds from a slowing economy, which could impact premium growth or investment returns. The lack of recent news also suggests limited near-term catalysts to drive significant stock price appreciation.
 **Score:** 78</t>
  </si>
  <si>
    <t>**Investment Report: Autodesk**
 **Recent News:**  
 Autodesk has delivered robust fiscal fourth-quarter results for 2025, exceeding Wall Street expectations on both earnings and revenue. The company reported non-GAAP earnings per share of $2.29, surpassing estimates by $0.15, and revenue of $1.639 billion, reflecting year-over-year growth despite foreign exchange headwinds. This performance is underpinned by strong renewal rates and the integration of artificial intelligence into its operations and customer offerings. Additionally, Autodesk announced a restructuring plan, including a 9% workforce reduction (approximately 1,350 employees), aimed at optimizing its transition to direct billing, self-service sales, and a greater focus on cloud services and AI. This strategic shift has been well-received by investors, as evidenced by a rise in the company's stock price. Looking forward, Autodesk has provided optimistic guidance, forecasting annual revenue and profit above analyst expectations, driven by sustained demand for its design and engineering software across industries.
 **Financials:**  
 Autodesk's financial metrics reflect a strong position in the application software industry. The company has a market capitalization of $58.62 billion and a trailing price-to-earnings (P/E) ratio of 53.03, with a forward P/E of 29.63, indicating expectations of significant earnings growth. Revenue growth stands at 11.6% year-over-year, while earnings growth is at 7.7%, supported by gross margins of 91.96% and operating margins of 23.25%. The company generated $2.08 billion in free cash flow, highlighting its ability to fund operations and strategic initiatives. However, Autodesk's debt-to-equity ratio of 97.63 suggests a relatively high leverage level, which could pose risks in a rising interest rate environment. The company’s return on equity (ROE) of 49.69% and return on assets (ROA) of 8.25% demonstrate strong profitability and efficient asset utilization.
 **Valuations:**  
 Autodesk's valuation metrics suggest a premium relative to the broader market, reflecting its strong growth prospects and dominant position in the design and engineering software space. The stock is trading at a price-to-sales (P/S) ratio of 9.56 and a price-to-book (P/B) ratio of 22.21, which are elevated compared to industry averages. Analysts have a mean target price of $337.08, representing a potential upside from the current trading range. The recommendation mean of 1.81 (on a scale where 1.0 is a strong buy) indicates a favorable outlook among analysts. However, the stock's beta of 1.51 suggests higher volatility compared to the market, which could amplify risks in uncertain economic conditions.
 **Economic Outlook:**  
 Autodesk operates in a challenging macroeconomic environment marked by slowing U.S. GDP growth, rising jobless claims, and trade tensions. However, the company's focus on AI and cloud services positions it well to capitalize on long-term trends in digital transformation and automation. The restructuring plan to streamline operations and enhance efficiency aligns with broader industry shifts toward subscription-based and cloud-driven business models. While foreign exchange headwinds and elevated interest rates could weigh on near-term performance, Autodesk's strong renewal rates and diversified customer base provide resilience. The broader technology sector has faced recent volatility, but Autodesk's niche focus and strong fundamentals may shield it from broader market pressures.
 **Summary:**  
 Autodesk's thesis is built on its strong financial performance, strategic focus on AI and cloud services, and robust demand for its software solutions. Its edge lies in its dominant market position, high renewal rates, and ability to adapt to evolving industry trends. However, risks include high leverage, macroeconomic uncertainties, and potential volatility in the technology sector.
 **Score:** 85</t>
  </si>
  <si>
    <t>AES</t>
  </si>
  <si>
    <t>**Investment Report: AES Corporation**
 **Recent News**  
 AES Corporation recently reported Q4 earnings of $0.54 per share, significantly surpassing the consensus estimate of $0.34 per share. However, this figure represents a decline from $0.73 per share in the same quarter last year. The company has also provided an optimistic outlook for 2025, forecasting higher-than-expected annual profits driven by new renewable energy projects and growth in its utilities segment. This aligns with AES's strategic focus on expanding its renewable energy portfolio, which positions the company to benefit from the global transition to cleaner energy sources. The positive earnings surprise and forward-looking guidance have likely bolstered investor confidence, despite broader economic uncertainties.
 **Financials**  
 AES's financial metrics present a mixed picture. The company has a trailing P/E ratio of 4.72 and a forward P/E of 5.51, indicating a relatively low valuation compared to its earnings potential. Its dividend yield of 6.71% is significantly above its five-year average of 3.21%, suggesting an attractive income opportunity for investors. However, AES's high debt-to-equity ratio of 352.88% raises concerns about its leverage, particularly in a rising interest rate environment. The company's free cash flow is negative at -$8.32 billion, which could limit its ability to fund new projects without additional borrowing. On the positive side, AES has demonstrated strong earnings growth of 120.6% and EBITDA margins of 27.14%, reflecting operational efficiency.
 **Valuations**  
 AES's current price-to-book ratio of 2.42 and price-to-sales ratio of 0.65 suggest that the stock is trading at a discount relative to its book value and revenue. The stock is near its 52-week low of $9.88, significantly below its 52-week high of $22.21, indicating potential upside if the company can execute its growth strategy effectively. Analyst sentiment remains favorable, with a mean price target of $14.94, representing a substantial premium to the current trading price of approximately $11.18. The recommendation mean of 2.07 (Buy) further underscores the positive outlook from analysts.
 **Economic Outlook**  
 The broader economic environment presents challenges for AES. The U.S. economy is showing signs of deceleration, with GDP expected to contract in Q1 2025. Rising jobless claims and weakening consumer confidence could dampen demand for energy. Additionally, President Trump's tariffs on steel and aluminum imports may increase input costs for infrastructure projects, potentially impacting AES's margins. However, the company's focus on renewable energy aligns with long-term global trends and could provide a hedge against economic headwinds. The recent cooling of inflation and potential for future Federal Reserve rate cuts may also alleviate some financial pressures.
 **Summary**  
 **Thesis**: AES Corporation is well-positioned to capitalize on the growing demand for renewable energy, supported by its strong earnings growth and operational efficiency.  
 **Edge**: The company's low valuation metrics and high dividend yield offer an attractive entry point for investors seeking both growth and income.  
 **Risk**: High leverage and negative free cash flow pose significant risks, particularly in a challenging macroeconomic environment.
 **Score**: 78</t>
  </si>
  <si>
    <t>AFL</t>
  </si>
  <si>
    <t>**Investment Report: Aflac (Life &amp; Health Insurance Industry)**
 **Recent News**:  
 Aflac has not been in the news over the past week, indicating a period of stability without any major announcements or disruptions. This lack of news suggests that the company is operating within its usual parameters, with no immediate catalysts or risks emerging from external developments.
 **Financials**:  
 Aflac's financial performance reflects a strong and stable position within the Life &amp; Health Insurance industry. The company has a trailing price-to-earnings (P/E) ratio of 11.44, which is below the industry average, indicating that the stock may be undervalued relative to its earnings. The forward P/E of 15.36 suggests expectations of moderate earnings growth. Aflac's profit margins are robust at 28.76%, and its return on equity (ROE) of 22.64% highlights efficient use of shareholder capital. 
 The company has a solid dividend yield of 2.12%, supported by a low payout ratio of 20.77%, which indicates ample room for dividend sustainability and potential growth. Aflac's five-year average dividend yield of 2.34% aligns with its current yield, reflecting consistency in shareholder returns. Additionally, the company has a strong free cash flow of $4.85 billion, which further supports its ability to maintain dividends and reinvest in growth opportunities.
 Aflac's balance sheet shows a manageable debt-to-equity ratio of 37.80%, and its quick and current ratios of 1.62 and 1.82, respectively, indicate strong liquidity. The company’s total cash position of $7.83 billion provides a cushion against potential economic headwinds. However, the enterprise value-to-EBITDA ratio of 9.35 suggests the stock is fairly valued relative to its earnings before interest, taxes, depreciation, and amortization.
 **Valuations**:  
 Aflac's stock is trading near the upper end of its 52-week range, with a recent close of $109.47 compared to a 52-week high of $115.50. The price-to-book ratio of 2.32 is reasonable for the insurance sector, reflecting a fair valuation relative to its book value. Analysts' target prices range from $93.00 to $122.00, with a mean target of $105.07, slightly below the current price, suggesting limited upside in the near term. The recommendation mean of 2.93 (on a scale where 1 is a strong buy and 5 is a sell) indicates a "hold" consensus among analysts.
 **Economic Outlook**:  
 The broader economic environment presents mixed signals for Aflac. The U.S. economy is showing signs of deceleration, with GDP expected to shrink by 1.5% in Q1 2025. Rising jobless claims and weakening consumer confidence could dampen demand for insurance products. However, Aflac's focus on supplemental insurance products, which are often less sensitive to economic cycles, may provide some insulation from broader economic challenges. Additionally, the Federal Reserve's efforts to control inflation could stabilize financial markets, benefiting Aflac's investment portfolio.
 The ongoing trade tensions and tariffs introduced by the Trump administration may indirectly impact Aflac if they lead to broader economic disruptions. However, the company's international operations, particularly in Japan, provide diversification and reduce reliance on the U.S. market.
 **Summary**:  
 Aflac's investment thesis is built on its strong financial fundamentals, including robust profit margins, consistent dividend payments, and efficient capital allocation. Its edge lies in its stable business model and focus on supplemental insurance, which provides resilience during economic downturns. The primary risk is the broader economic slowdown, which could impact consumer spending and demand for insurance products. Additionally, the stock's current valuation suggests limited upside in the near term, with analysts largely recommending a "hold" position.
 **Score**: 75</t>
  </si>
  <si>
    <t>ALB</t>
  </si>
  <si>
    <t>**Investment Report: Albemarle Corporation**
 **Recent News:**  
 Albemarle Corporation has not been in the news over the past week, leaving its stock performance and valuation to be driven by broader market trends and internal financial metrics. The lack of recent developments may indicate a period of operational stability, but it also suggests no immediate catalysts for significant price movement.
 **Financials:**  
 Albemarle's financial performance reflects a challenging environment. The company reported a net loss of $1.32 billion over the trailing twelve months, resulting in negative profit margins (-21.93%) and a trailing EPS of -$11.20. Revenue has declined significantly, with a year-over-year contraction of 47.7%, highlighting potential demand or pricing pressures in its specialty chemicals business. Gross margins are extremely thin at 1.57%, and EBITDA margins are negative, indicating operational inefficiencies or high fixed costs.
 The company’s balance sheet shows a manageable debt-to-equity ratio of 35.77, supported by a current ratio of 1.95 and a quick ratio of 1.15, suggesting adequate liquidity to meet short-term obligations. However, free cash flow is deeply negative at -$1.23 billion, raising concerns about Albemarle's ability to fund operations and growth without external financing. Total cash on hand is $1.19 billion, which provides some buffer but may not be sufficient if cash burn continues at current levels.
 **Valuations:**  
 Albemarle's stock is trading near its 52-week low of $69.83, significantly below its 52-week high of $137.50, reflecting a 29.59% decline over the past year. The price-to-book ratio of 1.06 suggests the stock is trading close to its book value, which may appeal to value-oriented investors. However, the forward P/E ratio of 38.02 indicates a high valuation relative to expected earnings, especially given the company's current financial struggles. The dividend yield of 2.1% is above its five-year average of 1.14%, but the payout ratio of 57.97% raises questions about the sustainability of dividends given the negative earnings and cash flow.
 **Economic Outlook:**  
 The broader economic environment presents headwinds for Albemarle. The U.S. economy is showing signs of deceleration, with GDP expected to contract in Q1 2025. Trade tensions, particularly the imposition of tariffs on key trading partners like China, Canada, and Mexico, could exacerbate cost pressures for Albemarle, which operates in a global supply chain. Additionally, rising interest rates and weakening consumer confidence may further dampen demand for specialty chemicals, particularly in industrial and automotive applications.
 On the positive side, Albemarle's exposure to the lithium market, a key component in electric vehicle (EV) batteries, could provide long-term growth opportunities. However, the current revenue contraction and operational inefficiencies suggest the company is not fully capitalizing on this potential.
 **Summary of Thesis, Edge, and Risk:**  
 Albemarle Corporation faces significant challenges, including declining revenues, negative profit margins, and weak cash flow. While the stock appears undervalued based on its price-to-book ratio, the high forward P/E and operational inefficiencies limit its attractiveness. The company's exposure to the lithium market offers a potential long-term growth driver, but near-term economic and trade uncertainties, coupled with internal financial struggles, present substantial risks. Albemarle's ability to stabilize operations and improve margins will be critical to unlocking value for shareholders.
 **Score:** 45</t>
  </si>
  <si>
    <t>AMCR</t>
  </si>
  <si>
    <t>**Investment Report: Amcor (AMCR)**
 **Recent News**  
 Amcor has been highlighted as a strong value stock by Zacks Style Scores, emphasizing its appeal to value-oriented investors. This recognition stems from its attractive valuation metrics and consistent dividend payouts, which align with the preferences of income-focused and long-term investors. The company's ability to maintain a high dividend yield, currently at 5.04%, despite broader market volatility, underscores its stability in the Paper &amp; Plastic Packaging Products &amp; Materials industry. However, the broader economic environment, including trade tensions and slowing global growth, could pose challenges to its operations.
 **Financials**  
 Amcor's financial performance reflects a mixed picture. The company has a market capitalization of $14.64 billion and a trailing price-to-earnings (P/E) ratio of 18.42, which is slightly elevated compared to its forward P/E of 12.82, indicating expectations of earnings growth. Its dividend yield of 5.04% is well above its five-year average of 4.44%, making it an attractive option for income investors. However, the payout ratio of 91.2% suggests limited room for dividend growth unless earnings improve significantly.  
 The company's revenue growth has been stagnant, with a slight decline of 0.3% year-over-year, while earnings growth has been more robust at 22.8%. This divergence indicates that cost management and operational efficiencies are driving profitability rather than top-line expansion. Amcor's gross margin of 20.17% and EBITDA margin of 14.08% are reasonable for its industry, but its high debt-to-equity ratio of 197.44% raises concerns about financial leverage, especially in a rising interest rate environment.  
 **Valuations**  
 Amcor's valuation metrics suggest it is trading at a reasonable level relative to its peers. Its price-to-sales ratio of 1.08 and price-to-book ratio of 3.87 are in line with industry norms. The stock's 52-week range of $8.80 to $11.48 indicates that it is currently trading closer to its upper range, reflecting investor confidence. Analyst price targets range from $10.83 to $12.30, with a mean target of $11.51, suggesting limited upside potential from current levels.  
 The company's enterprise value-to-EBITDA ratio of 11.37 is slightly higher than the industry average, which could indicate that the market is pricing in its strong cash flow generation capabilities. However, its trailing PEG ratio of 2.03 suggests that the stock may not be undervalued when factoring in its growth prospects.
 **Economic Outlook**  
 Amcor operates in a sector that is sensitive to global economic conditions and trade policies. The recent escalation in tariffs and trade tensions, particularly between the U.S., Canada, and China, could impact its supply chain and input costs. Additionally, slowing global growth and rising interest rates may dampen demand for packaging products, particularly in discretionary consumer goods.  
 On the positive side, Amcor's diversified product portfolio and global footprint provide some insulation against regional economic challenges. Its focus on sustainability and innovation in packaging materials aligns with long-term industry trends, potentially positioning it for growth as demand for eco-friendly solutions increases.
 **Summary**  
 **Thesis**: Amcor's strong dividend yield, reasonable valuation, and operational efficiency make it a stable choice in the packaging industry.  
 **Edge**: Its focus on cost management and sustainability initiatives provides a competitive advantage in a challenging economic environment.  
 **Risk**: High financial leverage and exposure to global trade tensions could pressure margins and limit growth potential.
 **Score**: 72</t>
  </si>
  <si>
    <t>AMP</t>
  </si>
  <si>
    <t>**Investment Report: Ameriprise Financial**
 **Recent News:**  
 Ameriprise Financial has not been in the headlines over the past week, suggesting a period of stability without any major disruptions or announcements. This lack of news could indicate that the firm is operating within expected parameters, with no immediate catalysts or risks emerging from external developments.
 **Financials:**  
 Ameriprise Financial's recent performance reflects a strong position within the Asset Management &amp; Custody Banks industry. The firm’s trailing price-to-earnings (P/E) ratio of 16.1 and forward P/E of 13.77 suggest a valuation that is reasonable, particularly given its robust earnings growth of 196.6% year-over-year. The company’s profit margins of 18.97% and return on equity (ROE) of 68.31% highlight its efficiency in generating shareholder returns, significantly outperforming industry averages.  
 The firm’s dividend yield of 1.1% is below its five-year average of 1.71%, which may reflect the stock's strong price appreciation over the past year (up 30.23%). However, the low payout ratio of 17.52% indicates ample room for future dividend growth. The company’s free cash flow of $2.84 billion and operating cash flow of $6.59 billion further reinforce its financial stability and ability to sustain shareholder returns.  
 Ameriprise’s balance sheet shows a debt-to-equity ratio of 70.39, which is relatively high but manageable given its strong cash position of $8.15 billion. The quick ratio of 1.78 and current ratio of 2.60 suggest sufficient liquidity to cover short-term obligations.  
 **Valuations:**  
 Ameriprise is trading at a price-to-book (P/B) ratio of 9.78, which is elevated compared to peers, reflecting the market's confidence in its earnings power and growth prospects. The stock is currently trading near its 50-day average of $539.25, but well above its 200-day average of $486.36, indicating strong momentum over the past six months. Analysts have a median price target of $570, implying a modest upside from current levels, with a high target of $642 suggesting potential for further gains if the firm continues to execute well.  
 The trailing PEG ratio of 1.08 indicates that the stock is fairly valued relative to its growth prospects, making it an attractive option for long-term investors seeking exposure to the asset management sector.  
 **Economic Outlook:**  
 The broader economic environment presents both challenges and opportunities for Ameriprise. The U.S. economy is showing signs of deceleration, with GDP expected to contract in Q1 2025. Rising jobless claims and weakening consumer confidence could weigh on asset inflows, particularly if market volatility persists. However, Ameriprise’s strong financial position and diversified revenue streams should help it navigate these headwinds.  
 The Federal Reserve’s restrictive monetary policy has kept interest rates elevated, which could benefit Ameriprise’s net interest income from its financial products. Additionally, the firm’s exposure to equity markets means it could benefit from any recovery in market sentiment, particularly if inflation moderates and the Fed pivots to a more accommodative stance later in the year.  
 **Summary of Thesis, Edge, and Risk:**  
 Ameriprise Financial is well-positioned within the asset management industry, supported by strong earnings growth, high profitability, and a robust balance sheet. Its ability to generate significant free cash flow and maintain a low payout ratio provides flexibility for future dividend increases or share buybacks. The firm’s valuation metrics suggest it is fairly priced, with room for upside if market conditions improve.  
 However, risks include potential declines in asset inflows due to economic uncertainty and market volatility. Additionally, the firm’s high debt-to-equity ratio could become a concern if interest rates remain elevated for an extended period.  
 **Score:** 82</t>
  </si>
  <si>
    <t>AON</t>
  </si>
  <si>
    <t>**Investment Report: Aon (Insurance Brokers Industry)**
 **Recent News**:  
 Aon has not been in the headlines over the past week, suggesting a period of stability without any major disruptions or announcements. This lack of news could indicate that the company is operating within expected parameters, with no immediate catalysts or risks emerging in the short term.
 **Financials**:  
 Aon’s financial performance reflects a strong position within the insurance brokerage industry. The firm’s trailing price-to-earnings (P/E) ratio of 32.8 and forward P/E of 23.5 suggest that the market is pricing in significant future growth, though the valuation appears elevated compared to broader market averages. The company’s earnings growth of 43.8% in the most recent quarter and revenue growth of 22.9% year-over-year highlight robust operational performance. Aon’s profit margins are healthy, with a net profit margin of 16.9% and EBITDA margins of 32.3%, indicating strong cost management and operational efficiency.
 The company’s dividend yield of 0.66% is below its five-year average of 0.77%, reflecting a focus on reinvestment and growth rather than high shareholder payouts. Aon’s payout ratio of 21.1% suggests ample room for future dividend increases. The firm’s free cash flow of $3.4 billion and operating cash flow of $3.03 billion further reinforce its financial stability.
 However, Aon’s debt-to-equity ratio of 278.3% is notably high, signaling significant leverage. While this is not uncommon in the insurance brokerage industry, it does increase financial risk, particularly in a rising interest rate environment. The company’s quick ratio of 0.22 and current ratio of 1.02 indicate limited short-term liquidity, which could be a concern if market conditions deteriorate.
 **Valuations**:  
 Aon’s stock is trading near its 52-week high of $412.97, reflecting strong investor confidence. The price-to-book ratio of 14.44 is significantly above the industry average, suggesting that the stock may be overvalued relative to its book value. The enterprise value-to-EBITDA ratio of 20.8 also indicates a premium valuation, which could limit upside potential in the near term. Analyst sentiment is mixed, with a recommendation mean of 2.55 (between "hold" and "buy") and a target median price of $395.50, slightly below the current trading price.
 **Economic Outlook**:  
 The broader economic environment presents both opportunities and challenges for Aon. The insurance brokerage industry is generally resilient to economic downturns, as demand for risk management services remains steady. However, the current macroeconomic backdrop of slowing GDP growth, rising jobless claims, and trade tensions could weigh on corporate clients, potentially impacting Aon’s revenue growth. Additionally, the Federal Reserve’s restrictive monetary policy and elevated interest rates could increase borrowing costs for Aon, given its high leverage.
 On the positive side, Aon’s global presence and diversified revenue streams position it well to navigate economic uncertainties. The company’s strong return on equity (95.6%) and return on assets (6.6%) highlight its ability to generate value for shareholders, even in challenging conditions.
 **Summary**:  
 **Thesis**: Aon’s strong financial performance, robust earnings growth, and operational efficiency make it a leader in the insurance brokerage industry.  
 **Edge**: The company’s global scale, diversified revenue streams, and ability to generate significant free cash flow provide a competitive advantage.  
 **Risk**: Elevated leverage and premium valuation metrics could limit upside potential, particularly in a slowing economic environment with rising interest rates.
 **Score**: 78</t>
  </si>
  <si>
    <t>**Investment Report: Amphenol Corporation (APH)**
 **Recent News**  
 Amphenol has seen a 27% rise in its share price over the past year, driven by strategic acquisitions and increased demand in sectors like artificial intelligence (AI) and aerospace. These developments have positioned the company as a key player in high-growth industries. However, concerns about its valuation have emerged, as the stock trades at a premium compared to its historical averages. Analysts highlight Amphenol's strong growth attributes, suggesting it could continue to outperform the market, particularly as it capitalizes on its diversified product portfolio and exposure to emerging technologies.
 **Financials**  
 Amphenol's financial performance reflects robust growth. The company reported a trailing price-to-earnings (P/E) ratio of 33.05 and a forward P/E of 29.38, indicating expectations of continued earnings expansion. Revenue growth stands at an impressive 29.8% year-over-year, supported by strong demand across its end markets. Net income to common shareholders reached $2.42 billion, with a profit margin of 15.92%, showcasing operational efficiency. The company also boasts a healthy return on equity (ROE) of 26.71%, underscoring its ability to generate shareholder value.
 Amphenol's balance sheet is solid, with a current ratio of 2.37 and a quick ratio of 1.62, indicating strong liquidity. However, its debt-to-equity ratio of 73.87% suggests a relatively high level of leverage, which could pose risks in a rising interest rate environment. Free cash flow of $1.64 billion and operating cash flow of $2.81 billion provide ample resources for reinvestment and shareholder returns. The dividend yield of 0.99% is modest but consistent with the company's growth-oriented strategy.
 **Valuations**  
 Amphenol's valuation metrics suggest a premium relative to its peers. The price-to-sales ratio of 5.05 and price-to-book ratio of 7.84 are elevated, reflecting investor confidence in its growth prospects. The trailing PEG ratio of 2.37 indicates that the stock may be slightly overvalued relative to its earnings growth. Analysts' target prices range from $63 to $102, with a mean target of $84.08, suggesting potential upside from current levels. However, the stock's recent pullback to $63.16 from its 52-week high of $79.39 may present an opportunity for long-term investors.
 **Economic Outlook**  
 Amphenol operates in a challenging macroeconomic environment marked by trade tensions and slowing global growth. The recent escalation of tariffs by the U.S. on key trading partners, including China, Canada, and Mexico, could disrupt supply chains and increase input costs for the company. However, Amphenol's diversified global footprint and exposure to high-growth sectors like AI and aerospace may help mitigate these risks. Additionally, its strong cash flow and operational efficiency position it well to navigate economic headwinds.
 **Summary**  
 **Thesis**: Amphenol's strategic positioning in high-growth industries like AI and aerospace, combined with its strong financial performance and operational efficiency, supports its long-term growth potential.  
 **Edge**: The company's diversified product portfolio and exposure to emerging technologies provide a competitive advantage in a rapidly evolving market.  
 **Risk**: Elevated valuations and macroeconomic uncertainties, including trade tensions and rising input costs, could weigh on near-term performance.
 **Score**: 78</t>
  </si>
  <si>
    <t>APTV</t>
  </si>
  <si>
    <t>**Investment Report: Aptiv PLC (APTV)**
 **Recent News**  
 Aptiv PLC has been highlighted as a top value stock for long-term investors by Zacks Premium research, emphasizing its potential across value, growth, and momentum investment styles. This recognition underscores Aptiv's strong fundamentals and its positioning within the automotive parts and equipment industry, particularly as the sector navigates challenges such as supply chain disruptions and evolving consumer preferences. The company's focus on advanced technologies, including autonomous driving and electrification, aligns with long-term industry trends, providing a competitive edge.
 **Financials**  
 Aptiv's financial metrics reflect a mixed performance. The company trades at a trailing P/E ratio of 9.20 and a forward P/E of 9.17, indicating a relatively low valuation compared to its peers. Its price-to-book ratio of 1.71 and price-to-sales ratio of 0.75 further highlight its undervaluation. However, earnings growth has been negative, with a quarterly decline of 70.4%, and revenue growth has been flat at -0.2%. Despite these challenges, Aptiv maintains a healthy operating cash flow of $2.45 billion and free cash flow of $1.54 billion, which supports its ability to invest in innovation and manage its debt obligations.
 The company's balance sheet shows a debt-to-equity ratio of 97.83, reflecting a high level of leverage. However, its current ratio of 1.53 and quick ratio of 1.05 indicate adequate liquidity to meet short-term obligations. Gross margins of 18.94% and EBITDA margins of 15.56% suggest operational efficiency, though there is room for improvement in profitability.
 **Valuations**  
 Aptiv's stock has experienced a 52-week decline of 18%, underperforming the S&amp;P 500's 17.25% gain over the same period. The stock is currently trading near its 52-week low of $51.47, with a recent close at $65.12. Analyst sentiment remains positive, with a mean target price of $80.03, representing a potential upside of approximately 23%. The recommendation mean of 1.77 (on a scale where 1.0 is a strong buy) reflects strong confidence in the stock's prospects.
 **Economic Outlook**  
 The broader economic environment presents both challenges and opportunities for Aptiv. The automotive industry is facing headwinds from rising tariffs, particularly on steel and aluminum, which could increase input costs. Additionally, geopolitical tensions and trade uncertainties may disrupt global supply chains. However, Aptiv's focus on advanced technologies positions it to benefit from the ongoing shift toward electric and autonomous vehicles, which are expected to drive long-term growth in the sector.
 The company's beta of 1.785 indicates higher volatility compared to the broader market, suggesting that its stock may be more sensitive to macroeconomic fluctuations. However, its strong institutional ownership (108.27%) reflects confidence from large investors in its ability to navigate these challenges.
 **Summary**  
 **Thesis**: Aptiv is a fundamentally strong company with a focus on innovation in electrification and autonomous driving, aligning with long-term industry trends. Its undervaluation and positive analyst sentiment suggest significant upside potential.  
 **Edge**: The company's operational efficiency, robust cash flow, and strategic positioning in high-growth areas provide a competitive advantage.  
 **Risk**: High leverage, negative earnings growth, and exposure to macroeconomic uncertainties, including tariffs and supply chain disruptions, pose risks to its near-term performance.
 **Score**: 78</t>
  </si>
  <si>
    <t>**Investment Report: Broadcom (Semiconductors Industry)**
 **Recent News**  
 Broadcom has faced notable stock volatility, driven by concerns surrounding the AI sector and its reported testing of Intel's chip manufacturing processes. Despite these challenges, the company remains a key player in the AI space, with analysts optimistic about its long-term growth potential. Broadcom's advancements in AI data center interconnect technology and its planned release of a 3nm XPU in late 2025 highlight its commitment to innovation. While the stock has declined over 20% from its peak, some analysts view this as a potential buying opportunity, citing the company's strong fundamentals and its recent entry into the $1 trillion market cap club as evidence of its robust growth trajectory.
 **Financials**  
 Broadcom's financial performance reflects a mix of strengths and challenges. The company boasts a trailing annual revenue growth of 16.4% and impressive gross margins of 75.2%, underscoring its operational efficiency. Its EBITDA margin of 49.18% and free cash flow of $28.3 billion further highlight its strong cash-generating capabilities. However, the firm's high debt-to-equity ratio of 166.03% raises concerns about leverage, particularly in a rising interest rate environment. Broadcom's trailing P/E ratio of 144.13 suggests a premium valuation, though its forward P/E of 30.37 indicates expectations of significant earnings growth. The company's dividend yield of 1.18% is below its five-year average of 2.56%, reflecting a focus on reinvestment over shareholder payouts.
 **Valuations**  
 Broadcom's current price-to-book ratio of 3.16 and price-to-sales ratio of 17.03 suggest a valuation above industry averages, which may deter value-focused investors. However, its trailing PEG ratio of 0.564 indicates that the stock may be undervalued relative to its growth potential. Analyst sentiment remains overwhelmingly positive, with a mean price target of $246.58, representing significant upside from its recent trading levels. The recommendation mean of 1.41 (strong buy) further underscores confidence in the company's prospects.
 **Economic Outlook**  
 The broader economic environment presents both opportunities and risks for Broadcom. The ongoing trade tensions, particularly between the U.S. and China, could disrupt supply chains and impact semiconductor demand. However, Broadcom's strong positioning in the AI and data center markets aligns with secular growth trends, providing a buffer against macroeconomic headwinds. The Federal Reserve's restrictive monetary policy and potential economic slowdown may weigh on consumer and enterprise spending, but the company's focus on high-growth, high-margin segments should help mitigate these risks.
 **Summary**  
 **Thesis**: Broadcom's leadership in AI and data center technologies positions it well for long-term growth, despite near-term volatility.  
 **Edge**: Its strong cash flow, high margins, and innovative product pipeline provide a competitive advantage in the semiconductor industry.  
 **Risk**: Elevated debt levels and macroeconomic uncertainties, including trade tensions and potential economic slowdown, could pressure performance.
 **Score**: 78</t>
  </si>
  <si>
    <t>AVY</t>
  </si>
  <si>
    <t>**Investment Report: Avery Dennison**
 **Recent News:**  
 Avery Dennison has not been featured in recent news, indicating a lack of significant developments or disruptions. This stability may reflect a steady operational environment, though it also suggests no immediate catalysts for dramatic stock movement in the short term.
 **Financials:**  
 Avery Dennison's financial performance demonstrates solid fundamentals. The company has a market capitalization of $14.69 billion and a trailing price-to-earnings (P/E) ratio of 21.32, which is slightly above the forward P/E of 17.67, indicating expectations of earnings growth. The firm’s dividend yield of 1.87% is above its five-year average of 1.59%, suggesting an attractive income opportunity for investors, particularly in a volatile market. The payout ratio of 39.52% reflects a sustainable dividend policy, supported by strong free cash flow of $779.5 million.
 The company’s revenue growth of 3.6% and earnings growth of 22.4% year-over-year highlight its ability to expand both top-line and bottom-line performance. Gross margins of 28.9% and operating margins of 14% indicate efficient cost management and profitability. However, the debt-to-equity ratio of 146.08% is relatively high, signaling a leveraged balance sheet that could pose risks in a rising interest rate environment. The quick ratio of 0.64 and current ratio of 1.075 suggest adequate liquidity, though not exceptionally strong.
 **Valuations:**  
 Avery Dennison's stock is trading at $185.44-$190.39, near its 52-week low of $178.72 and significantly below its 52-week high of $233.48. This decline, coupled with a price-to-book ratio of 6.42, suggests the stock may be undervalued relative to its historical performance. Analysts have a median price target of $208, implying a potential upside of approximately 10%-12% from current levels. The recommendation mean of 2.0 (equivalent to a "Buy") and strong institutional ownership of 96.5% reflect confidence in the company’s long-term prospects.
 **Economic Outlook:**  
 The broader economic environment presents mixed implications for Avery Dennison. The U.S. economy is showing signs of deceleration, with GDP contraction expected in Q1 2025 and rising jobless claims. Trade tensions, particularly the imposition of tariffs on Canadian, Mexican, and Chinese goods, could disrupt supply chains and increase input costs for Avery Dennison, which operates in the packaging materials industry. However, the company’s diversified product portfolio and global presence may help mitigate these risks. Additionally, moderating inflation and potential Federal Reserve rate cuts later in the year could provide a more favorable macroeconomic backdrop.
 **Summary of Thesis, Edge, and Risk:**  
 Avery Dennison offers a compelling investment case based on its strong earnings growth, sustainable dividend policy, and potential upside from current valuations. Its edge lies in its operational efficiency and ability to generate consistent cash flow, even in challenging economic conditions. However, risks include its high leverage, exposure to trade policy uncertainties, and potential cost pressures from tariffs. While the stock appears undervalued, near-term volatility in the broader market could weigh on performance.
 **Score:** 78</t>
  </si>
  <si>
    <t>AXON</t>
  </si>
  <si>
    <t>**Investment Report: Axon Enterprise**
 **Recent News**  
 Axon Enterprise has demonstrated robust growth, with a 33.6% year-over-year revenue increase in its latest quarterly earnings, surpassing market expectations. Despite recent stock volatility driven by federal budget concerns, the company has issued optimistic guidance for 2025, emphasizing international expansion and cloud services. CEO Rick Smith's vision to reduce gun use in policing and make bullets obsolete aligns with Axon's innovative product portfolio, including TASER devices and law enforcement software. Analysts highlight a $129 billion market opportunity, reflecting Axon's potential to capture significant market share in public safety technology. The stock has rebounded following the earnings report, signaling renewed investor confidence.
 **Financials**  
 Axon Enterprise's financial performance underscores its growth trajectory. The company boasts a market capitalization of $40.1 billion and a 67.7% increase in its stock price over the past year, outperforming the S&amp;P 500. Revenue growth of 33.1% year-over-year and earnings growth of 123.3% reflect strong operational execution. However, the trailing price-to-earnings (P/E) ratio of 109.3 and forward P/E of 84.8 suggest a premium valuation, indicative of high growth expectations. Axon's gross margins of 59.6% and profit margins of 18.1% highlight its ability to generate substantial profitability. The company maintains a healthy balance sheet with $986 million in cash, a current ratio of 2.3, and manageable debt levels, with a debt-to-equity ratio of 31.6%.
 **Valuations**  
 Axon's valuation metrics reflect its growth potential but also highlight its elevated pricing relative to peers. The price-to-sales ratio of 19.3 and price-to-book ratio of 17.2 are significantly above industry averages, suggesting that investors are pricing in substantial future growth. Analysts' target prices range from $413.11 to $800, with a mean target of $665.03, indicating potential upside from the current price of $528.45. The recommendation mean of 1.76 (on a scale where 1.0 is a strong buy) underscores positive sentiment among analysts.
 **Economic Outlook**  
 Macroeconomic conditions present both opportunities and risks for Axon. The U.S. economy is facing deceleration, with GDP contraction expected in Q1 2025 and rising jobless claims. However, Axon's focus on public safety technology positions it as a relatively defensive play in uncertain economic times. Federal budget concerns could impact government spending on law enforcement, a key market for Axon, but the company's international expansion strategy and cloud services growth may mitigate domestic risks. Additionally, Axon's innovative product offerings align with long-term trends in public safety and technology adoption.
 **Summary**  
 **Thesis**: Axon Enterprise is well-positioned for long-term growth, driven by its innovative product portfolio, strong financial performance, and focus on international markets and cloud services.  
 **Edge**: The company's mission to transform public safety technology and its leadership in TASER devices and software solutions provide a competitive advantage in a growing market.  
 **Risk**: Elevated valuations and potential federal budget constraints could weigh on near-term performance, while macroeconomic headwinds may impact customer spending.
 **Score**: 85</t>
  </si>
  <si>
    <r>
      <t xml:space="preserve">**Investment Report: AutoZone, Inc. (AZO)**
 **Recent News**  
 AutoZone is set to release its second-quarter financial results on March 4, drawing significant attention from analysts and investors. The stock has been trending on platforms like </t>
    </r>
    <r>
      <rPr>
        <rFont val="&quot;Helvetica Neue&quot;"/>
        <color rgb="FF1155CC"/>
        <sz val="8.0"/>
        <u/>
      </rPr>
      <t>Zacks.com</t>
    </r>
    <r>
      <rPr>
        <rFont val="&quot;Helvetica Neue&quot;"/>
        <sz val="8.0"/>
      </rPr>
      <t>, indicating heightened interest in its performance. Analysts have adjusted their price expectations, reflecting both optimism and caution ahead of the earnings report. The stock recently hit its 52-week high of $3,517.89, suggesting strong momentum, but the broader economic environment and potential headwinds in consumer spending could temper expectations.
 **Financials**  
 AutoZone's financial metrics highlight its robust profitability and operational efficiency. The company boasts a trailing price-to-earnings (P/E) ratio of 23.26 and a forward P/E of 19.95, indicating a reasonable valuation relative to its earnings growth potential. Its profit margins of 14.18% and gross margins of 53.13% underscore its ability to maintain strong pricing power and cost control. However, earnings growth has been flat (-0.1%), and revenue growth is modest at 2.1%, reflecting potential challenges in expanding its top line. 
 The company has a market capitalization of $58.36 billion and an enterprise value of $129.04 billion, with a significant debt load of $12.65 billion. While its operating cash flow of $2.99 billion and free cash flow of $1.33 billion provide some financial flexibility, its quick ratio of 0.098 and current ratio of 0.835 suggest liquidity constraints. These figures highlight the importance of maintaining strong cash generation to service its debt and fund operations.
 **Valuations**  
 AutoZone's stock is trading near its 52-week high, with a price-to-sales ratio of 3.14 and a price-to-book ratio of -12.51 due to its negative book value. Analysts' target prices range from $2,750 to $3,950, with a mean target of $3,604.12, indicating limited upside from current levels. The recommendation mean of 1.87 (Buy) reflects overall positive sentiment, but the stock's valuation metrics suggest it may be fully valued, especially given its modest growth outlook.
 **Economic Outlook**  
 The broader economic environment presents mixed signals for AutoZone. While the automotive retail industry benefits from a resilient demand for vehicle maintenance and repair, macroeconomic headwinds such as rising interest rates, slowing GDP growth, and potential consumer spending pressures could weigh on discretionary purchases. Additionally, the recent implementation of tariffs on Canadian and Mexican goods may indirectly impact supply chain costs, though AutoZone's domestic focus could mitigate direct exposure.
 **Summary**  
 **Thesis**: AutoZone's strong profitability, operational efficiency, and market leadership position it well in the automotive retail sector.  
 **Edge**: Its ability to maintain high margins and generate consistent cash flow provides a competitive advantage.  
 **Risk**: Slowing revenue growth, liquidity constraints, and macroeconomic headwinds could limit near-term upside.
 **Score**: 75</t>
    </r>
  </si>
  <si>
    <t>BDX</t>
  </si>
  <si>
    <t>**Investment Report: Becton Dickinson (BDX)**
 **Recent News**  
 Becton Dickinson (BDX) has been highlighted as a strong growth and value stock by Zacks Style Scores, emphasizing its potential appeal to a variety of investment styles. The firm's consistent performance and strategic positioning in the healthcare equipment industry have garnered attention for its long-term value. This recognition aligns with its robust fundamentals and ability to navigate market challenges effectively. The company's focus on innovation and operational efficiency continues to support its reputation as a reliable player in the sector.
 **Financials**  
 Becton Dickinson's financial metrics reflect a stable and well-managed company. The firm has a market capitalization of $65.6 billion and a trailing price-to-earnings (P/E) ratio of 38.52, which is relatively high but offset by a forward P/E of 14.52, indicating expectations of significant earnings growth. The company has demonstrated steady revenue growth, with total revenue of $20.64 billion and a revenue growth rate of 9.8% year-over-year. Its gross margin of 46.27% and EBITDA margin of 26.63% highlight strong operational efficiency.
 The firm's dividend yield of 1.76% is above its five-year average of 1.41%, reflecting a commitment to returning value to shareholders. With a payout ratio of 65.49%, the dividend appears sustainable given its free cash flow of $3.36 billion. However, the company's debt-to-equity ratio of 74.42% suggests a relatively high leverage level, which could pose risks in a rising interest rate environment. Nonetheless, its operating cash flow of $3.65 billion and quick ratio of 0.44 indicate sufficient liquidity to manage short-term obligations.
 **Valuations**  
 Becton Dickinson's valuation metrics suggest a mixed picture. Its price-to-book ratio of 2.60 is reasonable for the healthcare equipment industry, and its enterprise value-to-EBITDA ratio of 15.22 is in line with industry peers. Analysts have a positive outlook on the stock, with a mean target price of $276.77, representing a potential upside from its current price of $229.92. The recommendation mean of 1.71 (on a scale where 1.0 is a strong buy) underscores strong analyst confidence in the stock's prospects.
 **Economic Outlook**  
 The broader economic environment presents both opportunities and challenges for Becton Dickinson. The healthcare sector remains resilient amid economic uncertainty, supported by demographic trends such as an aging population and increasing demand for medical devices. However, macroeconomic headwinds, including potential recessionary pressures and elevated interest rates, could impact consumer and institutional spending. Additionally, trade tensions and tariffs may affect supply chains and input costs, though Becton Dickinson's global presence and operational scale provide some insulation.
 **Summary**  
 **Thesis**: Becton Dickinson is a well-positioned healthcare equipment company with strong revenue growth, robust margins, and a solid dividend policy. Its forward P/E suggests significant earnings growth potential, supported by its operational efficiency and market leadership.  
 **Edge**: The firm's ability to innovate and maintain high gross margins, coupled with its resilience in a defensive sector, provides a competitive advantage.  
 **Risk**: Elevated debt levels and potential macroeconomic challenges, including rising interest rates and trade disruptions, could weigh on performance.
 **Score**: 85</t>
  </si>
  <si>
    <t>BK</t>
  </si>
  <si>
    <t>**Investment Report: Bank of New York Mellon (BNY Mellon)**
 **Recent News**  
 BNY Mellon has been in the spotlight due to its strategic partnership with OpenAI, aimed at integrating advanced artificial intelligence tools into its operations. This collaboration is expected to enhance the bank's proprietary AI platform, Eliza, potentially improving operational efficiency and client services. The move aligns with the broader trend of financial institutions leveraging AI to gain a competitive edge. Additionally, BNY Mellon has been upgraded to a "Buy" rating by analysts, reflecting optimism about its growth prospects in 2025. The stock is also nearing a technical buy point, signaling potential momentum in the near term. These developments underscore the bank's focus on innovation and its ability to adapt to evolving market dynamics.
 **Financials**  
 BNY Mellon's financial performance remains robust, with a trailing price-to-earnings (P/E) ratio of 15.23 and a forward P/E of 13.53, indicating a reasonable valuation relative to its earnings growth. The bank's earnings per share (EPS) growth is notable, with trailing EPS at $5.80 and forward EPS projected at $6.53, supported by a strong earnings growth rate of 6.41%. The firm also boasts a healthy dividend yield of 2.11%, with a payout ratio of 30.69%, suggesting a sustainable dividend policy. Its return on equity (ROE) of 10.99% and return on assets (ROA) of 1.1% reflect efficient management of shareholder capital and assets. Additionally, the bank's revenue growth of 12.9% year-over-year highlights its ability to expand its top line despite macroeconomic challenges.
 **Valuations**  
 BNY Mellon's price-to-book (P/B) ratio of 1.71 is attractive, especially when compared to its historical averages and industry peers. The stock's 52-week performance has been strong, with a 59.15% increase, significantly outperforming the S&amp;P 500's 17.25% gain over the same period. Analysts have set a median price target of $94, with a high target of $104, indicating potential upside from its current price. The trailing PEG ratio of 0.69 further underscores the stock's undervaluation relative to its growth prospects.
 **Economic Outlook**  
 The broader economic environment presents both opportunities and risks for BNY Mellon. While the U.S. economy is showing signs of deceleration, the financial sector has demonstrated relative strength. Rising interest rates have historically benefited custody banks like BNY Mellon, as they earn higher yields on client deposits. However, geopolitical uncertainties, trade tensions, and potential recessionary pressures could weigh on market sentiment. The bank's strong balance sheet, with $158.69 billion in cash and manageable debt levels, positions it well to navigate these challenges. Its partnership with OpenAI and focus on technological innovation could provide a competitive edge in an increasingly digital financial landscape.
 **Summary**  
 **Thesis**: BNY Mellon is well-positioned for growth, supported by its strategic AI partnership, strong financial performance, and attractive valuation metrics.  
 **Edge**: The bank's focus on innovation and its ability to leverage AI for operational efficiency set it apart from competitors.  
 **Risk**: Macroeconomic headwinds, including potential recessionary pressures and geopolitical uncertainties, could impact its performance.
 **Score**: 85</t>
  </si>
  <si>
    <t>**Investment Report: Booking Holdings Inc. (BKNG)**
 **Recent News**  
 Booking Holdings has garnered significant attention recently, particularly following its fourth-quarter 2024 earnings call. CEO Glenn Fogel highlighted the company's robust performance and its strategic focus on adapting to the AI-driven transformation in the travel industry. This proactive approach to leveraging AI technologies positions Booking Holdings to maintain its competitive edge in a rapidly evolving market. However, the broader economic environment, including rising tariffs and geopolitical uncertainties, could weigh on consumer travel demand, potentially impacting the company's near-term performance.
 **Financials**  
 Booking Holdings reported strong financial metrics, reflecting its resilience and operational efficiency. The company achieved a trailing price-to-earnings (P/E) ratio of 28.67 and a forward P/E of 23.57, indicating expectations of continued earnings growth. Its profit margins remain robust at 24.78%, supported by high gross margins of 85.87%. Revenue growth of 14.4% year-over-year demonstrates the company's ability to capitalize on the post-pandemic travel recovery. Additionally, the firm boasts a healthy free cash flow of $7.45 billion and a quick ratio of 1.24, underscoring its strong liquidity position.
 Despite these strengths, the company's negative book value (-$122.02 per share) and high price-to-book ratio (-40.54) highlight its reliance on intangible assets and brand equity. While this is typical for asset-light business models in the travel sector, it may pose risks during periods of economic uncertainty.
 **Valuations**  
 Booking Holdings' stock has performed well over the past year, with a 52-week change of +46.23%, significantly outperforming the S&amp;P 500's 17.25% gain. The stock is currently trading near its 50-day average of $4,905.70, suggesting some consolidation after a strong rally. Analysts remain optimistic, with a mean target price of $5,620.36, representing a potential upside of approximately 13% from current levels. The recommendation mean of 1.8 (Buy) reflects broad confidence in the company's growth prospects.
 However, the stock's trailing PEG ratio of 1.44 indicates that it is not undervalued, and its enterprise value-to-EBITDA ratio of 19.97 suggests a premium valuation. Investors may need to weigh these valuations against the company's growth trajectory and competitive positioning.
 **Economic Outlook**  
 The macroeconomic environment presents mixed signals for Booking Holdings. On one hand, the company's strong financials and strategic focus on AI innovation position it well for long-term growth. On the other hand, the global economic slowdown, rising tariffs, and geopolitical tensions could dampen consumer confidence and discretionary spending on travel. Additionally, the U.S. economy's projected contraction in Q1 2025 (-1.5% GDP growth) and weakening consumer confidence may pose near-term headwinds for the travel industry.
 **Summary**  
 **Thesis**: Booking Holdings is a market leader in the travel industry with strong financials, robust margins, and a forward-looking strategy centered on AI innovation.  
 **Edge**: Its ability to adapt to technological disruptions and capitalize on post-pandemic travel trends provides a competitive advantage.  
 **Risk**: Economic uncertainties, including tariffs and slowing GDP growth, could impact consumer travel demand and weigh on near-term performance.
 **Score**: 78</t>
  </si>
  <si>
    <t>BKR</t>
  </si>
  <si>
    <t>**Investment Report: Baker Hughes (BKR)**
 **Recent News**  
 Baker Hughes has entered into a partnership with Frontier Infrastructure to advance large-scale carbon capture and storage (CCS) projects in the United States. This collaboration aligns with the growing global emphasis on decarbonization and energy transition, positioning Baker Hughes as a key player in the emerging CCS market. The partnership could enhance the company's long-term growth prospects by diversifying its revenue streams and leveraging its expertise in energy technology. This move also reflects Baker Hughes' strategic focus on sustainability and innovation, which could attract institutional investors prioritizing environmental, social, and governance (ESG) factors.
 **Financials**  
 Baker Hughes demonstrates solid financial health with a market capitalization of $43.17 billion and a trailing price-to-earnings (P/E) ratio of 14.63, which is relatively attractive compared to industry peers. The company has shown robust earnings growth of 1.68% and revenue growth of 7.7% year-over-year, indicating strong operational performance. Its profit margins of 10.7% and EBITDA margins of 16.5% highlight efficient cost management and profitability. Additionally, Baker Hughes maintains a healthy dividend yield of 2.06%, supported by a low payout ratio of 28.19%, suggesting room for future dividend growth.
 The company's balance sheet is stable, with a manageable debt-to-equity ratio of 39.26% and a current ratio of 1.33, indicating sufficient liquidity to meet short-term obligations. Free cash flow of $1.97 billion and operating cash flow of $3.33 billion further underscore its financial flexibility. However, the quick ratio of 0.81 suggests a potential reliance on inventory for liquidity, which could be a concern in a volatile market environment.
 **Valuations**  
 Baker Hughes is trading at a price-to-book (P/B) ratio of 2.55 and a price-to-sales (P/S) ratio of 1.55, both of which are reasonable given its growth trajectory and market position. Analysts have a bullish outlook on the stock, with a mean target price of $51.58, representing a potential upside of approximately 18% from its current price. The recommendation mean of 1.74 (Buy) and the high number of analyst opinions (26) reflect strong confidence in the company's prospects.
 The stock's beta of 1.29 indicates higher volatility compared to the broader market, which could amplify both risks and returns. Its trailing PEG ratio of 2.55 suggests that the stock is fairly valued relative to its growth potential, though not deeply undervalued.
 **Economic Outlook**  
 The macroeconomic environment presents both opportunities and challenges for Baker Hughes. The global push for energy transition and decarbonization is driving demand for CCS technologies, which aligns with the company's recent partnership and strategic initiatives. However, the broader economic slowdown, trade tensions, and elevated interest rates could weigh on industrial activity and energy demand, potentially impacting Baker Hughes' core oil and gas services business.
 The ongoing trade disputes, particularly the U.S. tariffs on steel and aluminum, could increase input costs for Baker Hughes, affecting its margins. Additionally, geopolitical uncertainties and fluctuating oil prices may create headwinds for the company's traditional energy services segment. Despite these challenges, Baker Hughes' diversification into CCS and other clean energy technologies positions it well to navigate the evolving energy landscape.
 **Summary**  
 **Thesis**: Baker Hughes is well-positioned to benefit from the energy transition through its focus on carbon capture and storage, supported by strong financials and a reasonable valuation.  
 **Edge**: The company's strategic pivot toward sustainability and innovation provides a competitive advantage in a rapidly changing energy market.  
 **Risk**: Macroeconomic uncertainties, trade tensions, and potential volatility in oil prices could pose challenges to its traditional business segments.
 **Score**: 78</t>
  </si>
  <si>
    <t>BR</t>
  </si>
  <si>
    <t>**Investment Report: Broadridge Financial Solutions (BR)**
 **Recent News**  
 Broadridge Financial Solutions has been highlighted as a top long-term stock by Zacks Focus List, emphasizing its potential for market-beating performance. This recognition underscores the company's strong fundamentals and its position as a leader in the data processing and outsourced services industry. The firm's ability to maintain relevance in a competitive market is bolstered by its focus on innovation and its role in providing critical financial technology solutions. However, the broader economic environment, including rising interest rates and geopolitical uncertainties, could pose challenges to its growth trajectory.
 **Financials**  
 Broadridge's financial performance reflects a robust growth profile. The company reported a trailing twelve-month revenue of $6.68 billion, with a revenue growth rate of 13.1% year-over-year. Its net income of $759 million and profit margins of 11.36% indicate solid profitability. The firm has demonstrated strong earnings growth of 103.4% and quarterly revenue growth of 13.1%, showcasing its ability to scale operations effectively. 
 The company’s trailing P/E ratio of 38.31 and forward P/E of 26.18 suggest that the stock is priced at a premium, reflecting investor confidence in its future earnings potential. However, its price-to-book ratio of 12.86 and enterprise value-to-EBITDA ratio of 19.65 indicate that the stock may be overvalued relative to its book value and cash flow generation. The dividend yield of 1.46% is slightly below its five-year average of 1.61%, but the payout ratio of 52.58% suggests that the dividend is sustainable.
 Broadridge's balance sheet shows a high debt-to-equity ratio of 173.54%, which could be a concern in a rising interest rate environment. However, the company generates strong free cash flow of $1.07 billion, which provides a cushion for debt servicing and future investments. Its return on equity of 35.34% and return on assets of 8.86% highlight efficient use of capital and assets.
 **Valuations**  
 Broadridge's stock is trading near its 52-week high of $246.58, reflecting strong investor sentiment. The stock has outperformed the S&amp;P 500 over the past year, with a 52-week change of 19.89% compared to the S&amp;P's 17.25%. Analyst price targets range from $220 to $260, with a median target of $249.50, suggesting limited upside potential from current levels. The recommendation mean of 2.75 (on a scale where 1 is a strong buy and 5 is a sell) indicates a "hold" consensus among analysts.
 **Economic Outlook**  
 Broadridge operates in a sector that is relatively insulated from direct tariff impacts, but broader economic headwinds could influence its performance. The U.S. economy is showing signs of deceleration, with GDP expected to contract in Q1 2025. Rising interest rates and weakening consumer confidence could dampen market activity, potentially affecting demand for Broadridge's financial technology services. However, the company's focus on innovation and its role in automating and streamlining financial processes position it well to benefit from long-term trends in digital transformation and regulatory compliance.
 **Summary**  
 **Thesis**: Broadridge Financial Solutions is a market leader in financial technology with strong revenue and earnings growth, robust profitability, and a sustainable dividend. Its focus on innovation and critical role in financial services provide a competitive edge.  
 **Edge**: The company benefits from long-term trends in digital transformation and regulatory compliance, which should drive demand for its services. Its strong free cash flow and efficient capital utilization further enhance its investment appeal.  
 **Risk**: High debt levels and premium valuation metrics could pose risks, particularly in a rising interest rate environment. Broader economic uncertainties may also impact market activity and client spending.
 **Score**: 78</t>
  </si>
  <si>
    <t>**Investment Report: Blackstone Inc.**
 **Recent News:**  
 Blackstone Inc. is preparing to list shares of Cirsa, a Spanish gambling company, on the Madrid Stock Exchange in mid-April through an initial public offering (IPO). This move aligns with Blackstone's strategy of monetizing its private equity investments and capitalizing on favorable market conditions in Europe. The IPO could unlock significant value for Blackstone, as Cirsa operates in a resilient industry with strong cash flow potential. However, the timing of the IPO amidst global economic uncertainty and heightened market volatility may pose challenges in achieving optimal valuation.
 **Financials:**  
 Blackstone's financial metrics reflect a robust position, though some valuation concerns persist. The firm has a market capitalization of $193.19 billion and a trailing price-to-earnings (P/E) ratio of 43.67, which is relatively high compared to its forward P/E of 27.19, indicating expectations of strong earnings growth. The company has demonstrated impressive earnings growth of 3.6% and revenue growth of 1.18% year-over-year, supported by its diversified asset management portfolio. Blackstone's return on equity (ROE) of 28.95% and return on assets (ROA) of 12.98% highlight its operational efficiency and profitability.
 The dividend yield of 2.45% is slightly below its five-year average of 3.43%, reflecting a focus on reinvestment and growth. However, the high payout ratio of 95.3% suggests limited room for dividend expansion. Blackstone's debt-to-equity ratio of 63.03% is manageable, though it indicates reliance on leverage to fund operations and investments. The firm's quick ratio of 0.86 and current ratio of 0.88 suggest adequate liquidity to meet short-term obligations.
 **Valuations:**  
 Blackstone's stock is trading at a price-to-book (P/B) ratio of 14.84, significantly above the industry average, which may indicate overvaluation. The enterprise value-to-revenue ratio of 11.33 further underscores the premium valuation. Analysts have a median price target of $180, representing a modest upside from the current trading range, with a recommendation mean of 2.375 (Buy). The stock has shown resilience, with a 52-week price change of +29.11%, outperforming the S&amp;P 500's +17.25% over the same period.
 **Economic Outlook:**  
 The macroeconomic environment presents mixed signals for Blackstone. The global economy is facing headwinds from trade tensions, rising interest rates, and slowing growth, which could impact asset valuations and investor sentiment. However, Blackstone's diversified portfolio and focus on alternative investments, such as private equity and real estate, provide a hedge against market volatility. The firm's exposure to European markets through the Cirsa IPO could benefit from the relative stability of the region compared to other global markets.
 The U.S. economy's deceleration, as evidenced by a projected Q1 GDP contraction of 1.5%, may weigh on Blackstone's domestic operations. However, the firm's global footprint and ability to capitalize on emerging opportunities, such as the Cirsa IPO, position it well to navigate these challenges. Additionally, Blackstone's focus on innovation and strategic investments in high-growth sectors, such as technology and infrastructure, could drive long-term value creation.
 **Summary of Thesis, Edge, and Risk:**  
 Blackstone's upcoming Cirsa IPO highlights its ability to unlock value from its private equity portfolio, leveraging its expertise in alternative asset management. The firm's strong financial performance, operational efficiency, and global diversification provide a competitive edge. However, risks include high valuation metrics, reliance on leverage, and potential challenges from macroeconomic headwinds and market volatility. The success of the Cirsa IPO and Blackstone's ability to adapt to changing economic conditions will be critical to sustaining its growth trajectory.
 **Score:** 78</t>
  </si>
  <si>
    <t>CARR</t>
  </si>
  <si>
    <t>**Investment Report: Carrier Global Corporation**
 **Recent News:**  
 Carrier Global has not been in the headlines over the past week, indicating a lack of significant developments or disruptions. This absence of news suggests stability in operations but also a lack of immediate catalysts for the stock. The broader macroeconomic environment, including trade tensions and slowing U.S. economic growth, may indirectly impact the company, particularly given its exposure to global supply chains and construction markets.
 **Financials:**  
 Carrier Global's financial performance reflects a mixed picture. The company has a market capitalization of $54.66 billion and a trailing price-to-earnings (P/E) ratio of 51.85, which is significantly higher than its forward P/E of 20.81. This suggests expectations of strong earnings growth in the near future. The firm’s profit margins are healthy at 24.92%, and its revenue growth of 19.3% year-over-year is a positive indicator of operational momentum. However, the trailing PEG ratio of 432.29 highlights potential overvaluation concerns relative to its growth rate.
 The company’s dividend yield of 1.39% and payout ratio of 80.74% indicate a commitment to returning capital to shareholders, though the high payout ratio may limit future dividend growth. Carrier’s balance sheet shows a debt-to-equity ratio of 89.23, which is relatively high and could pose risks in a rising interest rate environment. However, the company’s free cash flow of $5.31 billion provides a cushion to manage debt obligations and fund operations.
 **Valuations:**  
 Carrier Global’s stock is trading at $62.87, near its 52-week low of $53.33 and well below its 52-week high of $83.32. The price-to-book ratio of 3.95 and price-to-sales ratio of 2.43 suggest the stock is moderately valued compared to its peers in the building products industry. Analyst sentiment remains positive, with a mean price target of $79.42, representing a potential upside of approximately 26% from current levels. The recommendation mean of 2.04 (on a scale where 1.0 is a strong buy) further underscores optimism among analysts.
 **Economic Outlook:**  
 The broader economic environment presents both challenges and opportunities for Carrier Global. The U.S. economy is showing signs of deceleration, with GDP expected to shrink by 1.5% in Q1 2025. This slowdown, coupled with rising jobless claims and weakening consumer confidence, could dampen demand for Carrier’s products in the residential and commercial construction markets. Additionally, President Trump’s tariffs on steel and aluminum imports may increase input costs, potentially pressuring margins. However, Carrier’s exposure to energy-efficient and climate-focused solutions aligns with long-term trends in sustainability, which could drive demand despite near-term economic headwinds.
 **Summary of Thesis, Edge, and Risk:**  
 Carrier Global’s strong revenue growth, healthy profit margins, and robust free cash flow position it well for long-term success. The company’s focus on energy-efficient solutions provides a competitive edge in a market increasingly driven by sustainability. However, risks include its high valuation metrics, elevated debt levels, and potential margin pressures from rising input costs and slowing economic growth. While the stock appears undervalued relative to its historical highs, broader macroeconomic uncertainties could weigh on performance in the near term.
 **Score:** 72</t>
  </si>
  <si>
    <t>**Investment Report: Carnival Corporation (CCL)**
 **Recent News**  
 Carnival Corporation has garnered attention as a potential value stock, with analysts highlighting its strong bookings for 2025 and 2026, alongside its efforts to reduce net debt. Despite a recent dip in stock price due to tax concerns, no immediate tax liabilities are expected, suggesting the decline may be an overreaction. Analysts have maintained a bullish outlook, citing Carnival's robust earnings growth potential and operational recovery post-pandemic. The company has also been recognized for its long-term value proposition, supported by improving fundamentals and a favorable industry outlook.
 **Financials**  
 Carnival's financial performance reflects a company in recovery mode. The trailing price-to-earnings (P/E) ratio of 16.15 and forward P/E of 13.52 suggest the stock is attractively valued relative to its earnings growth potential. The company has achieved a profit margin of 7.66% and a return on equity (ROE) of 23.75%, indicating efficient use of shareholder capital. However, its debt-to-equity ratio of 312.18% remains a significant concern, reflecting the high leverage Carnival took on during the pandemic to sustain operations. The company’s gross margins of 53.53% and EBITDA margins of 24.28% highlight its ability to generate strong cash flows, with operating cash flow reaching $5.92 billion. Carnival's revenue growth of 10% year-over-year demonstrates a steady recovery in demand for cruise travel.
 **Valuations**  
 Carnival's stock is trading at a price-to-book (P/B) ratio of 3.29, which is higher than the industry average, reflecting investor optimism about its recovery. The stock has gained 50.6% over the past year, outperforming the S&amp;P 500's 17.2% increase, signaling strong market confidence. Analysts have set a median price target of $31, representing a potential upside of approximately 30% from its current price of $23.93. The recommendation mean of 1.83 (on a scale where 1.0 is a strong buy) further underscores the positive sentiment among analysts.
 **Economic Outlook**  
 The broader economic environment presents both opportunities and risks for Carnival. The easing of inflationary pressures and potential Federal Reserve rate cuts later in the year could support consumer discretionary spending, benefiting the cruise industry. However, the U.S. economy is showing signs of deceleration, with GDP expected to contract in Q1 2025. Rising jobless claims and weakening consumer confidence could dampen demand for leisure travel. Additionally, Carnival's high debt levels make it vulnerable to rising interest rates, though the company’s strong cash flow generation provides some cushion.
 **Summary**  
 **Thesis**: Carnival is well-positioned for long-term growth, supported by strong bookings, improving profitability, and a recovering cruise industry.  
 **Edge**: The company’s ability to generate robust cash flows and its focus on debt reduction enhance its financial stability, while its valuation remains attractive relative to growth prospects.  
 **Risk**: High leverage and potential economic headwinds, including weakening consumer confidence, pose significant risks to its recovery trajectory.
 **Score**: 78</t>
  </si>
  <si>
    <t>CEG</t>
  </si>
  <si>
    <t>**Investment Report: Constellation Energy Corporation (CEG)**
 **Recent News**  
 Constellation Energy Corporation (CEG) has been highlighted in recent financial discussions, particularly regarding its stock's technical performance and options trading strategies. The stock is reportedly approaching a key breakout region, which could signal potential price movements. Additionally, comparisons with other energy sector stocks, such as Antero Resources, suggest that CEG has been a relatively strong performer within its industry. However, the broader energy sector has faced challenges, including fluctuating commodity prices and regulatory uncertainties, which could influence CEG's trajectory.
 **Financials**  
 CEG's financial metrics reflect a mixed picture. The company has a trailing price-to-earnings (P/E) ratio of 19.52 and a forward P/E of 25.95, indicating that the market expects slower earnings growth in the near term. Its dividend yield of 0.62% is modest, with a low payout ratio of 11.86%, suggesting a conservative approach to capital allocation. The company's profit margins are healthy, with a net profit margin of 15.91% and an EBITDA margin of 29.64%, demonstrating strong operational efficiency. However, revenue growth has declined by 7.1% year-over-year, which could be a concern for sustained performance.
 CEG's balance sheet shows a debt-to-equity ratio of 66.44, which is relatively high but manageable given its robust free cash flow of $4.23 billion. The company holds $3.02 billion in cash, providing liquidity to navigate potential challenges. Its return on equity (ROE) of 30.12% is impressive, indicating effective use of shareholder capital.
 **Valuations**  
 CEG's current price-to-book (P/B) ratio of 5.52 is above the industry average, suggesting that the stock may be overvalued relative to its book value. The stock's 52-week range of $155.60 to $352.00 shows significant volatility, with the current price near the lower end of this range. Analyst sentiment remains positive, with a mean target price of $317.34 and a median target of $328.50, implying potential upside from current levels. However, the stock's beta of 0.884 indicates lower volatility compared to the broader market, which could appeal to risk-averse investors.
 **Economic Outlook**  
 The broader economic environment presents both opportunities and risks for CEG. The U.S. economy is showing signs of deceleration, with GDP contraction expected in Q1 2025. Trade tensions and tariffs could impact energy markets, potentially affecting CEG's input costs and pricing power. On the positive side, the Federal Reserve's efforts to control inflation may stabilize energy demand in the medium term. Additionally, the ongoing transition to clean energy and increased focus on sustainability could benefit CEG, given its position in the electric utilities sector.
 **Summary**  
 **Thesis**: Constellation Energy Corporation demonstrates strong operational efficiency and profitability, supported by robust free cash flow and a solid ROE. Its position in the electric utilities sector provides stability amid economic uncertainty.  
 **Edge**: The company's liquidity and conservative dividend policy offer resilience, while its technical chart suggests potential for near-term price movements.  
 **Risk**: Declining revenue growth and broader economic headwinds, including trade tensions and slowing GDP, could weigh on performance. The stock's high valuation metrics may also limit upside potential.
 **Score**: 72</t>
  </si>
  <si>
    <t>CFG</t>
  </si>
  <si>
    <t>**Investment Report: Citizens Financial Group**
 **Recent News:**  
 Citizens Financial Group has not been in the spotlight over the past week, with no significant news or developments reported. This lack of news suggests stability in operations but also indicates no immediate catalysts for significant price movement in the short term.
 **Financials:**  
 Citizens Financial Group exhibits a solid financial foundation with a market capitalization of $19.69 billion and a price-to-book ratio of 0.896, indicating the stock is trading below its book value. This valuation suggests the market may be undervaluing the company relative to its assets. The trailing price-to-earnings (P/E) ratio of 14.87 and forward P/E of 11.64 reflect a reasonable valuation, particularly when considering the firm's earnings growth of 145.8% and quarterly revenue growth of 0.4%. 
 The company maintains a healthy dividend yield of 3.67%, supported by a payout ratio of 55.45%, which is sustainable given its profitability. Citizens Financial's return on equity (ROE) of 6.21% and return on assets (ROA) of 0.69% are modest but consistent with the regional banking industry. The firm’s total cash position of $11.64 billion provides a strong liquidity buffer, though its total debt of $14.58 billion warrants monitoring in a rising interest rate environment.
 **Valuations:**  
 The stock is trading near its 50-day average of $45.75, suggesting recent price stability. However, it remains well below its 52-week high of $49.25, offering potential upside if market conditions improve. Analysts have a mean target price of $53.67, representing a 17% upside from the current price, with a recommendation mean of 2.1 (indicating a "Buy"). The price-to-sales ratio of 2.77 is reasonable for the sector, and the stock's beta of 1.32 suggests higher volatility compared to the broader market.
 **Economic Outlook:**  
 The broader economic environment presents challenges for regional banks like Citizens Financial Group. The U.S. economy is showing signs of deceleration, with GDP expected to contract by 1.5% in Q1 2025. Rising jobless claims and weakening consumer confidence could dampen loan demand and increase credit risks. Additionally, the ongoing trade tensions and tariffs may indirectly impact regional banks through slower economic activity in their operating regions. However, moderating inflation and the potential for Federal Reserve rate cuts later in the year could provide relief for the banking sector by reducing funding costs and improving net interest margins.
 **Summary of Thesis, Edge, and Risk:**  
 Citizens Financial Group offers a compelling valuation with its stock trading below book value and a strong dividend yield, making it attractive for income-focused investors. Its earnings growth and liquidity position provide a solid foundation for weathering economic headwinds. However, the firm faces risks from a slowing economy, potential credit quality deterioration, and higher volatility due to its beta. The lack of recent news or catalysts may limit short-term price appreciation, but the stock's undervaluation and analyst optimism suggest potential upside over the medium term.
 **Score:** 72</t>
  </si>
  <si>
    <t>CL</t>
  </si>
  <si>
    <t>**Investment Report: Colgate-Palmolive (Household Products Industry)**
 **Recent News**:  
 Colgate-Palmolive has not been in the headlines over the past week, indicating stability in its operations and no major disruptions or announcements. This lack of news suggests the company is maintaining its steady course, which aligns with its reputation as a defensive stock in the consumer staples sector.
 **Financials**:  
 Colgate-Palmolive's financial metrics reflect its position as a mature, stable company. The stock is trading near its 50-day average of $89.10, slightly below its 200-day average of $95.99, indicating some recent underperformance relative to its longer-term trend. The company has a trailing price-to-earnings (P/E) ratio of 26.44 and a forward P/E of 24.04, suggesting moderate valuation compression as earnings are expected to grow modestly. 
 The dividend yield of 2.19% is slightly below its five-year average of 2.3%, but the payout ratio of 56.41% indicates the dividend is well-covered by earnings. Colgate's beta of 0.39 highlights its low volatility, making it a defensive play in uncertain markets. However, the company's debt-to-equity ratio of 1564.71% is notably high, reflecting significant leverage, though this is somewhat mitigated by strong cash flows, with free cash flow at $3.4 billion and operating cash flow at $4.1 billion.
 Profit margins remain robust, with gross margins at 60.6% and operating margins at 20.93%, underscoring the company's efficiency in managing costs. However, revenue growth has been flat (-0.1%), which could be a concern if the company cannot reignite top-line growth in the face of economic headwinds.
 **Valuations**:  
 Colgate-Palmolive's valuation metrics suggest it is trading at a premium compared to the broader market, which is typical for a defensive stock with strong brand equity and consistent cash flows. The price-to-sales ratio of 3.75 and enterprise value-to-EBITDA ratio of 17.08 indicate the market is pricing in the company's stability and resilience. Analysts have a median price target of $99, representing a modest upside from current levels, with a recommendation mean of 2.26 (between "Buy" and "Hold").
 **Economic Outlook**:  
 The broader economic environment presents mixed implications for Colgate-Palmolive. As a consumer staples company, it is relatively insulated from economic downturns, as demand for its products tends to remain stable even during recessions. However, the company's exposure to global markets could be impacted by trade tensions, particularly with tariffs on Canadian, Mexican, and Chinese goods potentially increasing input costs. Additionally, the slowing U.S. economy, with GDP projected to shrink by 1.5% in Q1 2025, could weigh on consumer sentiment, though this is less likely to affect essential household products.
 **Summary**:  
 **Thesis**: Colgate-Palmolive offers a defensive investment opportunity with strong margins, reliable cash flows, and a stable dividend, making it attractive in volatile markets.  
 **Edge**: The company's low beta and strong brand equity provide stability, while its efficient cost management supports profitability.  
 **Risk**: High leverage and flat revenue growth could pose challenges, particularly if economic conditions worsen or input costs rise due to trade policies.  
 **Score**: 78</t>
  </si>
  <si>
    <t>CLX</t>
  </si>
  <si>
    <t>**Investment Report: Clorox (CLX)**
 **Recent News:**  
 Clorox's IGNITE strategy, which focuses on innovation, cost-saving measures, and operational efficiency, continues to progress well. The company has been leveraging robust pricing strategies to offset inflationary pressures and supply chain challenges. These efforts have helped Clorox maintain its competitive position in the household products industry, even as broader economic conditions remain uncertain. The IGNITE plan's emphasis on long-term growth and efficiency aligns with Clorox's historical focus on steady performance and shareholder returns.
 **Financials:**  
 Clorox's financial performance reflects a mixed picture. The company has a trailing price-to-earnings (P/E) ratio of 42.36, which is significantly higher than its forward P/E of 21.38, indicating expectations of improved earnings in the near future. The dividend yield of 3.12% is above its five-year average of 2.88%, making it attractive for income-focused investors. However, the payout ratio of 131.88% suggests that dividends are being funded beyond earnings, which could be a concern if cash flow weakens.  
 Clorox's revenue growth has declined by 15.3% year-over-year, reflecting challenges in maintaining sales momentum. Despite this, earnings growth of 10.56% and quarterly earnings growth of 107.5% highlight the company's ability to manage costs effectively. Gross margins of 44.51% and operating margins of 13.88% remain healthy, supported by pricing initiatives and cost-saving measures. However, the company's debt-to-equity ratio of 2555.37% is exceptionally high, raising concerns about leverage and financial flexibility.  
 **Valuations:**  
 Clorox's valuation metrics suggest a premium relative to its peers. The price-to-sales ratio of 2.68 and enterprise value-to-EBITDA ratio of 17.75 indicate that the stock is trading at elevated levels. The trailing PEG ratio of 0.72, however, suggests that the stock may offer value relative to its earnings growth potential. Analysts' target prices range from $138 to $189, with a mean target of $164.46, slightly above the current price of $155.54. This indicates limited upside potential in the short term, with a consensus recommendation of "hold."
 **Economic Outlook:**  
 The broader economic environment presents both challenges and opportunities for Clorox. Rising interest rates and slowing GDP growth could weigh on consumer spending, particularly for discretionary household products. However, Clorox's focus on essential goods provides some insulation from economic downturns. The company's ability to implement pricing strategies and cost-saving measures will be critical in navigating inflationary pressures and potential supply chain disruptions.  
 The recent escalation in trade tensions, including tariffs on Canadian and Mexican goods, could impact input costs and supply chains. Clorox's reliance on global suppliers may expose it to higher costs, though its strong pricing power could mitigate some of these effects. Additionally, the company's high debt levels could become a concern if interest rates remain elevated, increasing borrowing costs.
 **Summary:**  
 Clorox's thesis lies in its strong brand equity, robust pricing power, and focus on operational efficiency through the IGNITE strategy. Its edge comes from its ability to manage costs effectively and maintain healthy margins despite revenue challenges. However, risks include high leverage, declining revenue growth, and potential macroeconomic headwinds such as rising interest rates and trade disruptions.
 **Score:** 65</t>
  </si>
  <si>
    <t>**Investment Report: Cencora (COR)**
 **Recent News**  
 Cencora has been highlighted as a strong growth candidate due to its robust fundamentals and strategic positioning in the healthcare distribution sector. The company benefits from steady revenue growth driven by increasing healthcare demand and an aging population. Recent developments include a reduced stake in Walgreens, which has allowed Cencora to focus on its core operations and enhance shareholder returns through share repurchase programs. Strategic acquisitions, such as Retina Consultants of America, further solidify its long-term growth trajectory. Management's guidance of 10% annual EPS growth underscores confidence in its operational strategy and market positioning.
 **Financials**  
 Cencora's financial metrics reflect a stable and growing business. The company has a market capitalization of $49.47 billion and a forward P/E ratio of 15.61, suggesting a reasonable valuation relative to its growth potential. Its trailing P/E of 36.22 indicates that past earnings were impacted by one-time factors or lower profitability, but forward estimates show significant improvement. Revenue growth of 12.8% year-over-year highlights the company's ability to capitalize on rising healthcare demand. However, net income growth has faced challenges, with earnings declining by 16.1% in the most recent quarter, reflecting potential margin pressures or higher operating costs.
 Cencora's dividend yield of 0.87% and a payout ratio of 29.5% indicate a sustainable dividend policy, supported by its strong cash position of $3.22 billion. However, the company’s high debt-to-equity ratio of 2,689.43% raises concerns about leverage, though its BBB+ credit rating suggests manageable risk. Operating cash flow and free cash flow are currently negative, which could limit flexibility in the short term but may improve as strategic investments begin to yield returns.
 **Valuations**  
 Cencora's price-to-sales ratio of 0.16 and enterprise-to-revenue ratio of 0.185 indicate that the stock is trading at a low valuation relative to its revenue base, which is typical for the healthcare distribution industry. The forward PEG ratio of 0.99 suggests that the stock is fairly valued when considering its expected growth rate. Analysts have a median price target of $280, representing a potential upside of approximately 10.5% from the current price of $253.54. The recommendation mean of 1.88 (on a scale where 1 is a strong buy) reflects strong analyst confidence in the stock.
 **Economic Outlook**  
 The broader economic environment presents both opportunities and risks for Cencora. Rising healthcare demand, driven by demographic trends, provides a tailwind for the company. However, macroeconomic challenges, including potential recessionary pressures and trade policy uncertainties, could impact consumer spending and healthcare budgets. Additionally, inflationary pressures and elevated interest rates may increase operating costs and debt servicing expenses. Despite these headwinds, Cencora's strong market position and strategic initiatives position it well to navigate these challenges.
 **Summary**  
 **Thesis**: Cencora is well-positioned to benefit from long-term healthcare demand growth, supported by its strategic acquisitions, share repurchase programs, and operational efficiency.  
 **Edge**: The company’s economic moat, low valuation metrics, and strong analyst support provide a competitive advantage in the healthcare distribution sector.  
 **Risk**: High leverage and negative cash flow pose short-term risks, particularly in a challenging macroeconomic environment.
 **Score**: 85</t>
  </si>
  <si>
    <t>CPAY</t>
  </si>
  <si>
    <t>**Investment Report: Corpay**
 **Recent News:**  
 Corpay has not been in the headlines over the past week, indicating a lack of significant developments or announcements. This absence of news suggests stability in operations but also a lack of immediate catalysts for price movement. In a volatile macroeconomic environment, this neutrality could be seen as a positive, as the firm avoids direct exposure to recent geopolitical or economic disruptions.
 **Financials:**  
 Corpay's financial performance reflects a mixed picture. The company has a market capitalization of $25.7 billion and a trailing price-to-earnings (P/E) ratio of 26.18, which is relatively high compared to its forward P/E of 16.50. This suggests expectations of significant earnings growth in the near future. However, earnings quarterly growth has declined by 3.9%, and earnings growth overall is slightly negative at -1.1%, which could temper optimism.
 Revenue growth remains solid at 10.4% year-over-year, supported by strong gross margins of 78.1% and EBITDA margins of 53.0%. These figures highlight Corpay's ability to generate substantial profitability from its operations. However, the firm's debt-to-equity ratio of 254.17 is concerning, indicating a high reliance on leverage. While the company has $1.55 billion in cash, its total debt of $7.99 billion significantly outweighs this, raising questions about its financial flexibility in a rising interest rate environment.
 The stock has shown strong performance over the past year, with a 52-week change of +30.8%, outperforming the S&amp;P 500's +17.2%. However, the stock is trading near its 52-week high of $400.81, which could limit upside potential in the short term. The current price-to-book ratio of 8.20 also suggests the stock is trading at a premium relative to its book value.
 **Valuations:**  
 Corpay's valuation metrics indicate a company priced for growth, but with some risks. The forward P/E of 16.50 is more reasonable than the trailing P/E, reflecting optimism about future earnings. Analysts have a median price target of $417, representing a modest upside from the current price range. However, the high price-to-sales ratio of 6.47 and enterprise value-to-EBITDA ratio of 15.22 suggest the stock is not cheap, especially given the broader market's recent volatility.
 The firm's profitability metrics, such as return on equity (31.2%) and return on assets (6.6%), are strong, indicating efficient use of capital. However, the negative earnings growth and high debt levels could weigh on future performance if economic conditions deteriorate further.
 **Economic Outlook:**  
 Corpay operates in the transaction and payment processing services industry, which is sensitive to macroeconomic conditions. The current economic environment, marked by slowing GDP growth, rising jobless claims, and trade tensions, could impact consumer and business spending, potentially affecting transaction volumes. However, the firm's high gross margins and profitability provide a cushion against economic headwinds.
 The Federal Reserve's restrictive monetary policy and elevated interest rates could pose challenges for Corpay, given its high debt levels. On the other hand, the firm's strong institutional ownership (94.7%) and insider ownership (5.6%) suggest confidence in its long-term prospects.
 **Summary of Thesis, Edge, and Risk:**  
 Corpay's strong profitability metrics and solid revenue growth provide a compelling case for its operational efficiency and market position. The firm's edge lies in its high gross margins and ability to generate significant free cash flow, which could support debt servicing and future investments. However, risks include its high leverage, negative earnings growth, and premium valuation, which could limit upside potential in the short term, especially in a challenging macroeconomic environment.
 **Score:** 68</t>
  </si>
  <si>
    <t>CTVA</t>
  </si>
  <si>
    <t>**Investment Report: Corteva**
 **Recent News:**  
 Corteva has not been in the headlines over the past week, which suggests a period of stability without any major disruptions or announcements. This lack of news could indicate that the company is operating within expected parameters, with no immediate catalysts or risks emerging in the short term. However, the broader macroeconomic environment, including trade tensions and potential tariff impacts, could indirectly affect the agricultural chemicals industry, particularly if input costs or export markets are disrupted.
 **Financials:**  
 Corteva's financial performance reflects a solid position within the Fertilizers &amp; Agricultural Chemicals industry. The company has a market capitalization of $41.4 billion and a relatively low beta of 0.79, indicating lower volatility compared to the broader market. Its trailing price-to-earnings (PE) ratio of 49.51 is high, but the forward PE of 18.82 suggests expectations of significant earnings growth. The company’s gross margins of 43.64% and EBITDA margins of 18.80% highlight strong operational efficiency, while revenue growth of 7.3% year-over-year demonstrates steady expansion.
 Corteva's dividend yield of 1.08% is slightly below its five-year average of 1.2%, but the payout ratio of 54.1% indicates a sustainable dividend policy. The company also maintains a healthy balance sheet, with a debt-to-equity ratio of 13.23, which is low for the industry, and a current ratio of 1.45, reflecting adequate liquidity to meet short-term obligations. Free cash flow of $2.78 billion further supports its financial flexibility.
 **Valuations:**  
 Corteva's valuation metrics suggest a mixed picture. The price-to-book ratio of 1.74 is reasonable, indicating the stock is not excessively overvalued relative to its book value. The enterprise value-to-EBITDA ratio of 13.10 is slightly elevated, which could imply the market is pricing in future growth potential. Analysts remain optimistic, with a mean target price of $69.04, representing a potential upside from the current price of approximately $60. The recommendation mean of 1.78 (on a scale where 1.0 is a strong buy) underscores positive sentiment among analysts.
 **Economic Outlook:**  
 The broader economic environment presents both opportunities and risks for Corteva. The agricultural chemicals industry could benefit from increased demand for crop protection products as global food security concerns rise. However, the recent escalation in trade tensions, particularly with tariffs on Canadian, Mexican, and Chinese goods, could disrupt supply chains or increase input costs. Additionally, a slowing U.S. economy, as indicated by negative GDP growth projections for Q1 2025, may weigh on overall market sentiment, though Corteva's essential products may provide some insulation from economic downturns.
 **Summary of Thesis, Edge, and Risk:**  
 Corteva's strong financial position, steady revenue growth, and operational efficiency provide a solid foundation for long-term performance. Its low debt levels and robust free cash flow offer flexibility to navigate potential macroeconomic challenges. The company's edge lies in its essential role within the agricultural supply chain, which positions it well to benefit from rising global food demand. However, risks include potential disruptions from trade policies, input cost inflation, and broader economic headwinds that could dampen near-term performance.
 **Score:** 78</t>
  </si>
  <si>
    <t>DHI</t>
  </si>
  <si>
    <t>**Investment Report: D.R. Horton (DHI)**
 **Recent News**  
 D.R. Horton, a leading homebuilder, is positioned for a potential rally as long-term Treasury yields are expected to decline below 4% in 2025. The company's performance has been sensitive to interest rate fluctuations, particularly due to its exposure to first-time homebuyers. Recent underperformance has been attributed to higher rates, which have pressured affordability and demand. To counteract these challenges, D.R. Horton has implemented rate buydowns and buyer incentives, which, while necessary to attract customers, have compressed average selling prices and gross margins. However, the anticipated easing of rates could significantly improve affordability, catalyzing demand and driving a recovery in the stock.
 **Financials**  
 D.R. Horton exhibits strong financial fundamentals despite recent headwinds. The company trades at a trailing P/E of 8.89 and a forward P/E of 7.89, indicating a valuation discount relative to its historical averages and peers. Its price-to-book ratio of 1.60 reflects a reasonable valuation, especially given its robust book value of $78.53 per share. The firm maintains a healthy profit margin of 12.7% and generates substantial free cash flow of $4.54 billion, supporting its ability to navigate economic challenges. However, earnings and revenue growth have faced slight declines, with quarterly earnings growth down 10.8% and revenue growth contracting by 1.5%. The company's debt-to-equity ratio of 20.28 is manageable, supported by a strong current ratio of 6.77, indicating ample liquidity to meet short-term obligations.
 **Valuations**  
 D.R. Horton’s valuation metrics suggest the stock is undervalued. The trailing PEG ratio of 0.50 highlights its attractive growth-adjusted valuation. Analysts have a median price target of $168, representing a 32% upside from the current price of $126.81. The stock's dividend yield of 1.26%, while modest, is supported by a low payout ratio of 9.2%, leaving room for potential increases. The stock has underperformed the S&amp;P 500 over the past year, with a 52-week change of -16.1%, but this underperformance could reverse as macroeconomic conditions improve.
 **Economic Outlook**  
 The broader economic environment presents both challenges and opportunities for D.R. Horton. The U.S. housing market has been under pressure due to elevated mortgage rates, which have dampened affordability and demand. However, the Federal Reserve's restrictive monetary policy appears to be taking effect, with inflation showing signs of moderation. If the Fed begins cutting rates later in 2025, as some analysts anticipate, mortgage rates could decline, providing a tailwind for the housing market. Additionally, D.R. Horton's focus on first-time homebuyers positions it to benefit disproportionately from improved affordability.
 **Summary**  
 **Thesis**: D.R. Horton is well-positioned to capitalize on a potential decline in interest rates, which would improve housing affordability and drive demand. Its strong financial position and undervalued metrics provide a solid foundation for growth.  
 **Edge**: The company's focus on first-time homebuyers and its ability to adapt through rate buydowns and incentives give it a competitive advantage in a challenging market.  
 **Risk**: Prolonged high interest rates or a deeper economic slowdown could further pressure demand and margins, delaying recovery.
 **Score**: 85</t>
  </si>
  <si>
    <t>DLR</t>
  </si>
  <si>
    <t>**Investment Report: Digital Realty Trust (DLR)**
 **Recent News**  
 Digital Realty Trust has experienced a significant correction in its stock price, which analysts suggest is justified and presents a potential buying opportunity. The correction aligns the stock closer to fair value estimates, offering a double-digit upside potential. The REIT's strong Q4 2024 performance, strategic acquisitions, and expanded partnerships have bolstered its financial health and growth prospects. Additionally, the company's FY 2025 guidance for Funds From Operations (FFO) per share indicates the possibility of a dividend increase, enhancing its appeal as a dividend-focused investment. These developments position Digital Realty as a key player in the data center REIT sector, particularly as demand for data storage and cloud services continues to grow.
 **Financials**  
 Digital Realty's financial metrics reflect a mixed picture. The company has a market capitalization of $53.2 billion and a dividend yield of 3.12%, slightly below its five-year average of 3.45%. Its payout ratio of 303% suggests that dividends are currently funded by sources beyond net income, which could raise sustainability concerns. The stock trades at a trailing P/E of 96.47 and a forward P/E of 128.36, indicating a premium valuation relative to earnings. However, its price-to-book ratio of 2.54 and enterprise value-to-revenue ratio of 12.76 suggest that the market recognizes its asset quality and revenue-generating potential.  
 The company's revenue grew by 4.5% year-over-year, with EBITDA margins at a robust 44.4%, reflecting operational efficiency. However, its debt-to-equity ratio of 79.46% highlights a significant reliance on leverage, which could be a concern in a rising interest rate environment. On the positive side, Digital Realty has a strong cash position of $3.91 billion and generated $2.24 billion in free cash flow, providing liquidity to support its operations and growth initiatives.
 **Valuations**  
 Digital Realty's stock is trading at $153.20-$158.45, below its 50-day average of $171.74 and 200-day average of $163.02, indicating a recent pullback. Analysts have a median price target of $200.50, suggesting a potential upside of approximately 27% from current levels. The stock's beta of 0.676 indicates lower volatility compared to the broader market, making it a relatively stable investment in uncertain times. However, its trailing PEG ratio of 2.41 suggests that the stock may be overvalued relative to its growth prospects.
 **Economic Outlook**  
 The broader economic environment presents both opportunities and risks for Digital Realty. The ongoing trade tensions and tariffs could impact the cost of materials and construction for new data centers. However, the increasing reliance on digital infrastructure, driven by AI, cloud computing, and data analytics, provides a strong tailwind for the data center industry. Digital Realty's strategic acquisitions and partnerships position it well to capitalize on these trends. Additionally, its international presence could help mitigate risks associated with U.S.-specific economic challenges.
 **Summary**  
 **Thesis**: Digital Realty Trust is well-positioned to benefit from the growing demand for data centers, supported by its strong operational performance, strategic acquisitions, and potential for dividend growth.  
 **Edge**: The company's scale, partnerships, and robust cash flow generation provide a competitive advantage in the data center REIT sector.  
 **Risk**: High leverage and premium valuations could pose challenges, particularly in a rising interest rate environment or if economic conditions deteriorate further.
 **Score**: 78</t>
  </si>
  <si>
    <t>DVA</t>
  </si>
  <si>
    <t>**Investment Report: DaVita Inc.**
 **Recent News:**  
 DaVita Inc., a leading provider of kidney care services, has not been in the news over the past week. The absence of recent developments suggests stability in its operations, though it also indicates a lack of immediate catalysts for significant stock movement. This neutrality in news flow may reflect a steady operational environment but could also imply limited short-term momentum.
 **Financials:**  
 DaVita's financial performance reflects a mixed picture. The company trades at a trailing price-to-earnings (P/E) ratio of 13.32 and a forward P/E of 12.70, indicating a relatively attractive valuation compared to broader market averages. Its profit margins stand at 7.31%, supported by strong earnings growth of 90.9% year-over-year and revenue growth of 4.7%. These figures highlight operational efficiency and resilience in a challenging macroeconomic environment.
 The company’s enterprise value-to-EBITDA ratio of 9.20 suggests a reasonable valuation for a firm with stable cash flows. However, DaVita's debt-to-equity ratio of 576.99 is notably high, reflecting significant leverage. While the company generates robust operating cash flow of $2.02 billion and free cash flow of $1.18 billion, the high debt levels could pose risks in a rising interest rate environment.
 DaVita's stock has shown some volatility, with a 52-week range of $125.64 to $179.60. The current price of approximately $143 is below its 50-day average of $159.93 and its 200-day average of $152.43, suggesting recent downward pressure. The stock's beta of 0.989 indicates moderate volatility, closely aligned with the broader market.
 **Valuations:**  
 DaVita's price-to-sales ratio of 0.89 and enterprise value-to-revenue ratio of 1.92 suggest the stock is undervalued relative to its revenue generation capabilities. However, its price-to-book ratio of 95.15 is exceptionally high, reflecting a low book value per share of $1.50. This disparity may indicate that the market values DaVita more for its earnings power and cash flow generation than its asset base.
 Analyst sentiment is neutral, with a recommendation mean of 2.9 (hold) and a target median price of $165, implying a potential upside of approximately 15% from current levels. The stock's short interest ratio of 6.0 indicates moderate bearish sentiment, though not at alarming levels.
 **Economic Outlook:**  
 The broader economic environment presents both challenges and opportunities for DaVita. The U.S. economy is showing signs of deceleration, with GDP expected to contract in Q1 2025. Rising jobless claims and weakening consumer confidence could impact healthcare spending. However, DaVita operates in the essential healthcare services sector, which tends to be more resilient during economic downturns.
 The Federal Reserve's restrictive monetary policy and elevated interest rates could increase the cost of servicing DaVita's substantial debt. On the other hand, moderating inflation and potential rate cuts later in the year could provide relief. The healthcare sector's defensive nature and DaVita's focus on chronic kidney care position it well to weather economic uncertainties.
 **Summary:**  
 DaVita's investment thesis is supported by its strong earnings growth, stable cash flows, and relatively attractive valuation metrics. Its edge lies in its essential healthcare services, which provide resilience in economic downturns. However, the high debt levels and lack of recent catalysts pose risks, particularly in a high-interest-rate environment. The stock's current valuation and analyst price targets suggest moderate upside potential, but the leverage and macroeconomic headwinds warrant caution.
 **Score:** 68</t>
  </si>
  <si>
    <t>ELV</t>
  </si>
  <si>
    <t>**Investment Report: Elevance Health**
 **Recent News**  
 Elevance Health, a leading health insurer and pharmacy benefit manager, has been under market pressure due to heightened political uncertainty. Despite this, analysts have highlighted the company's strong financial health and profitability, suggesting a significant margin of safety for investors. The contrarian view emphasizes that the current market sentiment may undervalue Elevance's operational resilience and long-term potential. The firm's ability to navigate challenges in the healthcare sector, coupled with its robust fundamentals, positions it as a compelling opportunity for those willing to look beyond short-term volatility.
 **Financials**  
 Elevance Health's financial metrics reflect a solid foundation. The company boasts a market capitalization of $89.92 billion and a trailing price-to-earnings (P/E) ratio of 15.40, which is attractive compared to the broader market. Its forward P/E of 11.32 suggests expectations of earnings growth. The dividend yield of 1.72% is above its five-year average of 1.18%, indicating a shareholder-friendly approach. With a payout ratio of just 25.39%, the dividend appears sustainable. 
 The firm's balance sheet is strong, with $34.68 billion in cash and a quick ratio of 1.32, ensuring liquidity. While total debt stands at $34.35 billion, the debt-to-equity ratio of 82.91 is manageable given its consistent cash flow generation. Free cash flow of $6.92 billion and operating cash flow of $5.81 billion further underscore its financial stability. However, earnings growth has declined by 50.2% year-over-year, reflecting challenges in the current environment.
 **Valuations**  
 Elevance Health's valuation metrics suggest it is trading at a discount. The price-to-book ratio of 2.18 and enterprise value-to-revenue ratio of 0.51 indicate that the stock is undervalued relative to its peers. Analysts' target prices range from $405 to $625, with a mean target of $494.29, implying significant upside potential from the current price of approximately $396.88. The trailing PEG ratio of 0.86 further supports the view that the stock is attractively priced for its growth prospects.
 **Economic Outlook**  
 The broader economic environment presents both challenges and opportunities for Elevance Health. The U.S. economy is showing signs of deceleration, with GDP contraction expected in Q1 2025. Rising unemployment and weakening consumer confidence could impact healthcare spending. However, the healthcare sector tends to be more resilient during economic downturns due to its essential nature. Political uncertainty, including potential changes to healthcare policies under the Trump administration, adds a layer of risk but also creates opportunities for well-positioned firms like Elevance to adapt and thrive.
 **Summary**  
 **Thesis**: Elevance Health's strong financial health, undervalued stock price, and resilience in the face of political and economic uncertainty make it a compelling investment opportunity.  
 **Edge**: The firm's robust cash flow, sustainable dividend, and operational efficiency provide a margin of safety, while its undervaluation offers significant upside potential.  
 **Risk**: Political uncertainty and declining earnings growth pose challenges, but the company's financial strength mitigates these risks.
 **Score**: 85</t>
  </si>
  <si>
    <t>**Investment Report: Emerson Electric (EMR)**
 **Recent News**  
 Emerson Electric has been highlighted for its robust performance across its business segments and its commitment to shareholder-friendly policies. The company’s diversified operations, which span automation solutions and commercial/residential solutions, have allowed it to maintain resilience despite macroeconomic uncertainties. Emerson's focus on innovation and operational efficiency continues to support its competitive edge in the electrical components and equipment industry. Additionally, its consistent dividend payouts and share repurchase programs underscore its commitment to returning value to shareholders.
 **Financials**  
 Emerson Electric's financial metrics reflect a solid foundation. The company has a market capitalization of $66 billion and a trailing P/E ratio of 33.01, which is higher than its forward P/E of 18.54, indicating expectations of earnings growth. Its profit margins stand at 13.74%, supported by strong gross margins of 52.44% and EBITDA margins of 26.93%. Revenue growth, while modest at 1.4%, demonstrates stability in a challenging economic environment. The company’s free cash flow of $3.88 billion and operating cash flow of $3.69 billion provide ample liquidity to fund operations, dividends, and strategic investments.
 Emerson's dividend yield of 1.74% is slightly below its five-year average of 2.33%, reflecting a higher stock price relative to historical levels. The payout ratio of 59.23% suggests the dividend is sustainable. The company’s debt-to-equity ratio of 31.30% is manageable, and its current ratio of 1.54 indicates a healthy ability to meet short-term obligations.
 **Valuations**  
 Emerson Electric's price-to-book ratio of 3.22 and price-to-sales ratio of 3.76 suggest the stock is trading at a premium compared to some peers in the industrial sector. However, its forward PEG ratio of 1.62 indicates that the stock is reasonably valued relative to its expected earnings growth. Analyst sentiment remains positive, with a mean price target of $141.90, representing potential upside from its current trading range. The recommendation mean of 1.76 (on a scale where 1.0 is a strong buy) further supports a favorable outlook.
 **Economic Outlook**  
 The broader economic environment presents both challenges and opportunities for Emerson Electric. The U.S. economy is showing signs of deceleration, with GDP contraction expected in Q1 2025 and rising jobless claims. Trade tensions, particularly the imposition of tariffs on Canada, Mexico, and China, could disrupt supply chains and increase input costs for industrial companies like Emerson. However, the company’s global footprint and diversified operations may help mitigate these risks. Additionally, its focus on automation and energy efficiency aligns with long-term trends in industrial innovation, providing a buffer against short-term economic headwinds.
 **Summary**  
 **Thesis**: Emerson Electric benefits from strong operational performance, a diversified business model, and a commitment to shareholder returns. Its financial stability and growth prospects position it well in the industrial sector.  
 **Edge**: The company’s focus on automation and energy efficiency, coupled with its ability to generate consistent cash flow, provides a competitive advantage in navigating economic uncertainties.  
 **Risk**: Macroeconomic challenges, including trade tensions and slowing economic growth, could pressure margins and revenue growth in the near term.
 **Score**: 85</t>
  </si>
  <si>
    <t>ETR</t>
  </si>
  <si>
    <t>**Investment Report: Entergy Corporation (ETR)**
 **Recent News**  
 Entergy Corporation (ETR), a key player in the electric utilities sector, has been outperforming its peers in 2025. This performance is notable given the broader market volatility and economic uncertainties. Entergy's stock has benefited from its defensive nature, as utility companies often attract investors during periods of economic slowdown. However, the sector's overall performance has been mixed, with rising interest rates and inflationary pressures impacting operational costs and capital expenditures. Entergy's ability to maintain investor confidence amidst these challenges highlights its relative strength within the utilities space.
 **Financials**  
 Entergy's financial metrics reveal a mixed picture. The company has a trailing price-to-earnings (P/E) ratio of 35.87, which is significantly higher than its forward P/E of 11.36, indicating expectations of substantial earnings growth. However, its earnings growth has been negative, with a quarterly decline of 71%, reflecting challenges in profitability. The company's revenue growth is modest at 0.6%, and its profit margins stand at 8.89%, which is relatively low compared to other sectors but typical for utilities. 
 Entergy's dividend yield of 2.75% is below its five-year average of 3.76%, suggesting that the stock's recent price appreciation has outpaced dividend growth. The payout ratio of 93.67% indicates that most of its earnings are being returned to shareholders, leaving limited room for reinvestment. Additionally, the company's free cash flow is negative, at -$2.01 billion, which raises concerns about its ability to fund future growth without increasing debt.
 The balance sheet shows a high debt-to-equity ratio of 190.28%, reflecting the capital-intensive nature of the utilities industry. While this level of leverage is not uncommon for utility companies, it does increase financial risk, particularly in a rising interest rate environment. Entergy's return on equity (ROE) of 6.95% and return on assets (ROA) of 2.84% are modest, indicating limited efficiency in generating returns from its asset base.
 **Valuations**  
 Entergy's stock is trading near its 52-week high of $88.38, with a price-to-book (P/B) ratio of 2.50. This valuation suggests that the market has priced in optimism about the company's future prospects. However, the enterprise value-to-EBITDA ratio of 13.19 indicates that the stock is not particularly cheap compared to its peers. Analysts have a median price target of $87.50, which is close to the current trading price, suggesting limited upside potential in the near term. The recommendation mean of 2.05 (indicating a "buy") reflects overall positive sentiment among analysts, but the high valuation metrics warrant caution.
 **Economic Outlook**  
 The broader economic environment presents both opportunities and risks for Entergy. The U.S. economy is showing signs of deceleration, with GDP expected to contract in Q1 2025. This could benefit Entergy as a defensive stock, as utilities are considered essential services with relatively stable demand. However, rising interest rates and inflationary pressures could increase borrowing costs and operational expenses, potentially squeezing margins further. Additionally, the ongoing trade tensions and tariffs could indirectly impact the sector by increasing costs for imported materials and equipment.
 **Summary**  
 **Thesis**: Entergy's strong performance relative to its peers and its defensive nature make it an attractive option in a volatile market.  
 **Edge**: The company's stable revenue base and essential service offerings provide resilience during economic downturns.  
 **Risk**: High leverage, negative free cash flow, and elevated valuation metrics pose significant risks, particularly in a rising interest rate environment.
 **Score**: 65</t>
  </si>
  <si>
    <t>EVRG</t>
  </si>
  <si>
    <t>**Investment Report: Evergy Inc. (EVRG)**
 **Recent News**  
 Evergy Inc. reported its Q4 earnings, showing a year-over-year increase in both earnings and revenues. However, the company missed analysts' expectations slightly, with earnings per share (EPS) of $0.35 compared to the consensus estimate of $0.36. This represents an improvement from $0.27 EPS in the same quarter last year, reflecting growth but also highlighting challenges in meeting market expectations. The rise in operating and maintenance expenses has tempered the positive impact of revenue growth, suggesting cost pressures that could weigh on margins in the near term. Evergy's continued investments in energy efficiency programs and customer growth remain a key driver of its performance, but rising costs may limit the immediate benefits of these initiatives.
 **Financials**  
 Evergy's financial metrics indicate a stable but cautious outlook. The company has a trailing price-to-earnings (P/E) ratio of 18.34 and a forward P/E of 17.21, suggesting moderate valuation levels relative to its earnings growth. Its dividend yield of 3.87% aligns with its five-year average, making it attractive for income-focused investors. However, the company's high debt-to-equity ratio of 142.31% and negative free cash flow of -$679 million highlight significant leverage and potential liquidity concerns. Despite these challenges, Evergy's return on equity (ROE) of 9.01% and earnings growth of 35.8% demonstrate its ability to generate shareholder value. The company's gross margins of 51.9% and EBITDA margins of 44.8% reflect strong operational efficiency, though rising costs could erode these margins if not managed effectively.
 **Valuations**  
 Evergy's stock is trading near its 52-week high of $69.90, with a price-to-book ratio of 1.61, indicating a premium valuation compared to its book value. Analysts have a median target price of $67.94, slightly below the current trading price, suggesting limited upside potential in the short term. The recommendation mean of 1.86 (on a scale where 1.0 is a strong buy) indicates a generally favorable outlook from analysts, though the stock's recent performance may already reflect much of this optimism. The company's enterprise value-to-EBITDA ratio of 11.53 is slightly elevated, reflecting the market's confidence in its long-term growth prospects but also signaling potential overvaluation relative to peers.
 **Economic Outlook**  
 The broader economic environment presents mixed implications for Evergy. Rising interest rates and a slowing U.S. economy could increase the cost of capital and pressure consumer demand, potentially impacting utility revenues. However, utilities like Evergy are often considered defensive investments during economic downturns due to their stable cash flows and essential services. The company's focus on energy efficiency and infrastructure investments aligns with long-term trends in renewable energy and sustainability, which could provide growth opportunities despite near-term economic headwinds. Additionally, Evergy's beta of 0.60 indicates lower volatility compared to the broader market, making it a relatively stable option in uncertain times.
 **Summary**  
 **Thesis**: Evergy's consistent revenue growth, strong operational margins, and focus on energy efficiency position it well for long-term stability.  
 **Edge**: Its defensive nature and attractive dividend yield make it appealing in a slowing economic environment.  
 **Risk**: Rising costs, high leverage, and limited short-term upside could weigh on performance.
 **Score**: 72</t>
  </si>
  <si>
    <t>EXPE</t>
  </si>
  <si>
    <t>**Investment Report: Expedia Group (EXPE)**
 **Recent News**  
 Expedia Group has been upgraded to a Zacks Rank #2 (Buy), reflecting optimism about its earnings potential. This upgrade suggests that analysts expect the company to outperform in the near term, potentially driven by improving operational efficiencies or favorable market conditions. However, the company has also confirmed layoffs, signaling cost-cutting measures to streamline operations. While layoffs may improve margins in the short term, they could indicate challenges in maintaining growth or adapting to a shifting travel industry landscape.
 **Financials**  
 Expedia's financial performance shows a mixed picture. The company has a trailing price-to-earnings (P/E) ratio of 21.62, which is higher than its forward P/E of 13.47, indicating expectations of significant earnings growth. The trailing PEG ratio of 0.88 further supports this growth narrative, suggesting the stock is undervalued relative to its earnings growth potential. Revenue growth of 10.3% year-over-year and earnings growth of 139.4% highlight strong operational performance. However, the company's debt-to-equity ratio of 235.58 is notably high, raising concerns about financial leverage. Despite this, Expedia maintains a healthy free cash flow of $1.86 billion, which provides flexibility for debt servicing and reinvestment.
 The company’s gross margins of 89.46% and operating margins of 11.18% are robust, reflecting strong pricing power and operational efficiency. However, liquidity metrics such as a quick ratio of 0.57 and a current ratio of 0.72 suggest limited short-term financial flexibility, which could be a concern in a volatile macroeconomic environment.
 **Valuations**  
 Expedia's stock is trading near its 52-week high of $207.73, with a current price-to-book ratio of 16.01, significantly above the industry average. This premium valuation may reflect investor confidence in the company's growth prospects, but it also limits the margin of safety for new investors. The stock's dividend yield of 0.81% is below its five-year average of 0.96%, indicating limited income appeal. Analyst price targets range from $163 to $290, with a median target of $210, suggesting moderate upside potential from current levels.
 **Economic Outlook**  
 The broader economic environment presents both opportunities and risks for Expedia. The travel industry is recovering from pandemic-related disruptions, supported by pent-up demand and increased consumer spending on experiences. However, macroeconomic headwinds such as rising interest rates, elevated inflation, and geopolitical uncertainties could dampen consumer confidence and discretionary spending. Additionally, the recent escalation in trade tensions and tariffs may indirectly impact the travel sector by increasing costs and reducing global economic activity.
 Expedia's high beta of 1.83 indicates that its stock is more volatile than the broader market, making it particularly sensitive to economic fluctuations. While the company's strong earnings growth and operational efficiency position it well to navigate these challenges, its high debt levels and limited liquidity could pose risks in a downturn.
 **Summary**  
 **Thesis**: Expedia's strong earnings growth, robust margins, and improving operational efficiency make it an attractive player in the recovering travel industry.  
 **Edge**: The company's ability to generate significant free cash flow and its focus on cost-cutting measures provide a competitive advantage in a challenging macroeconomic environment.  
 **Risk**: High financial leverage, limited liquidity, and exposure to economic volatility could weigh on performance, particularly if consumer spending weakens or macroeconomic conditions deteriorate.
 **Score**: 75</t>
  </si>
  <si>
    <t>**Investment Report: Extra Space Storage (EXR)**
 **Recent News**  
 Extra Space Storage reported Q4 2024 results that exceeded expectations, with funds from operations (FFO) of $2.03 per share, slightly above the consensus estimate of $2.02. This marks a modest improvement from the $2.02 FFO reported in the same quarter last year. The company also experienced year-over-year growth in occupancy, which contributed to higher revenues. However, the performance was partially offset by a decline in same-store net operating income (NOI), reflecting some operational challenges. The results highlight the company's ability to maintain stable performance in a competitive self-storage market, though margin pressures remain a concern.
 **Financials**  
 Extra Space Storage's financial metrics reflect a mixed picture. The company has a trailing price-to-earnings (P/E) ratio of 38.21 and a forward P/E of 32.22, indicating a premium valuation compared to the broader market. Its dividend yield of 4.25% is attractive, especially when compared to its five-year average of 3.31%, suggesting a strong income component for investors. However, the payout ratio of 160.8% raises questions about the sustainability of its dividend policy in the long term.  
 The company has a robust market capitalization of $33.97 billion and a price-to-book ratio of 2.34, which is reasonable for a real estate investment trust (REIT). Debt levels are relatively high, with a debt-to-equity ratio of 87.67, reflecting the capital-intensive nature of the self-storage industry. The quick and current ratios of 0.328 indicate limited short-term liquidity, which could be a concern in a rising interest rate environment. On the positive side, EXR's gross margins of 72.87% and EBITDA margins of 67.84% demonstrate strong operational efficiency.
 **Valuations**  
 EXR's stock is trading near its 50-day average of $152.17, suggesting stability in its recent price movements. The stock has a 52-week range of $131.02 to $184.87, with the current price closer to the midpoint, indicating limited immediate upside potential. Analyst sentiment is neutral, with a mean recommendation of "hold" and a target median price of $166, representing a modest 8.5% upside from current levels. The stock's beta of 0.918 suggests lower volatility compared to the broader market, making it a relatively defensive play.
 **Economic Outlook**  
 The broader economic environment presents both opportunities and risks for Extra Space Storage. Rising interest rates and economic deceleration could pressure consumer spending and discretionary storage demand. However, the self-storage industry has historically been resilient during economic downturns, as individuals and businesses often require storage solutions during periods of transition. The company's ability to grow occupancy year-over-year despite macroeconomic headwinds is a positive indicator of its operational strength.  
 On the downside, the company's high debt levels could become a burden if borrowing costs rise further. Additionally, the recent implementation of tariffs and geopolitical uncertainties could indirectly impact consumer confidence and spending, potentially affecting demand for storage services.
 **Summary**  
 **Thesis**: Extra Space Storage demonstrates stable operational performance with strong occupancy growth and efficient margins, making it a reliable income-generating REIT.  
 **Edge**: Its defensive nature and historical resilience during economic downturns provide a buffer against macroeconomic uncertainties.  
 **Risk**: High debt levels and a stretched payout ratio could pose challenges in a rising interest rate environment, while margin pressures from lower same-store NOI remain a concern.  
 **Score**: 72</t>
  </si>
  <si>
    <t>F</t>
  </si>
  <si>
    <t>**Investment Report: Ford Motor Company**
 **Recent News**  
 Ford Motor Company reported a 9% decline in February auto sales, reflecting ongoing challenges in its core business. This drop comes amid a broader bearish sentiment surrounding the company, particularly in its electric vehicle (EV) segment, which saw an 11% year-over-year revenue decline and significant EBIT losses. The EV segment's underperformance has raised concerns about Ford's ability to compete in the rapidly growing EV market. Additionally, speculation about a potential dividend cut has further dampened investor confidence, despite the current dividend yield nearing 6.5%. While Ford's recent earnings beat expectations, its forward guidance and operational struggles have led to skepticism about its near-term growth prospects.
 **Financials**  
 Ford's financial metrics present a mixed picture. The company trades at a low trailing price-to-earnings (P/E) ratio of 6.43 and an even lower forward P/E of 5.37, suggesting that the stock is undervalued relative to its earnings potential. However, its high debt-to-equity ratio of 358.6% raises concerns about financial leverage, especially in a rising interest rate environment. The company's gross margins (8.38%) and operating margins (1.82%) remain thin, reflecting operational inefficiencies. Free cash flow stands at $832.75 million, which, while positive, is modest given the scale of Ford's operations. The company's enterprise value-to-EBITDA ratio of 15.4 indicates that it is not as attractively valued when considering its debt load and earnings before interest, taxes, depreciation, and amortization.
 **Valuations**  
 Ford's stock is trading near its 52-week low of $9.10, significantly below its 52-week high of $14.85. The price-to-book ratio of 0.83 suggests that the stock is trading below its book value, which could indicate undervaluation. However, the market's skepticism is evident in the stock's 24% decline over the past year, underperforming the S&amp;P 500's 17% gain during the same period. Analysts' target prices range from $8.00 to $17.00, with a median target of $10.00, reflecting a cautious outlook. The recommendation mean of 2.92 (close to "hold") underscores the lack of strong bullish sentiment.
 **Economic Outlook**  
 Ford faces significant headwinds from macroeconomic and industry-specific factors. The U.S. economy is showing signs of deceleration, with GDP expected to contract in Q1 2025. Rising tariffs on steel, aluminum, and automotive imports could further pressure Ford's cost structure and pricing power. Additionally, the company's reliance on traditional internal combustion engine (ICE) vehicles, which remain its primary profit driver, exposes it to regulatory risks and shifting consumer preferences toward EVs. While Ford has made substantial investments in EVs, its inability to gain traction in this segment raises questions about its long-term competitiveness.
 **Summary**  
 **Thesis**: Ford's low valuation metrics and high dividend yield may appeal to value-oriented investors, but its operational challenges, particularly in the EV segment, and macroeconomic headwinds limit its near-term upside.  
 **Edge**: The stock's current price-to-book ratio and forward P/E suggest potential undervaluation, offering a margin of safety for long-term investors.  
 **Risk**: High debt levels, weak EV performance, and potential dividend cuts pose significant risks, compounded by a challenging economic environment and rising input costs.  
 **Score**: 45</t>
  </si>
  <si>
    <t>**Investment Report: Freeport-McMoRan Inc. (FCX)**
 **Recent News**  
 Freeport-McMoRan (FCX), a leading copper producer, has garnered significant attention due to its exposure to macroeconomic and geopolitical developments. The stock recently received an upgrade from Jefferies, which has contributed to a 2.2% premarket rise. Additionally, the announcement of potential Trump tariffs on copper has provided a short-term boost to the stock, as such measures could increase domestic demand for U.S.-produced copper. However, the implementation timeline for these tariffs remains uncertain, and the broader implications of escalating trade tensions could weigh on the global copper market. Analysts have also highlighted the company's strong operational progress but cautioned against high production costs and declining copper prices, which could pressure margins.
 **Financials**  
 Freeport-McMoRan's financial performance reflects a mixed picture. The company has a market capitalization of $51.06 billion and a trailing price-to-earnings (P/E) ratio of 27.33, which is relatively high compared to its forward P/E of 16.45, suggesting expectations of earnings growth. However, earnings have contracted, with quarterly earnings growth down 29.4% year-over-year. Revenue has also declined by 3.1%, indicating challenges in maintaining top-line growth. The company maintains a solid current ratio of 2.42, reflecting strong liquidity, but its quick ratio of 0.92 suggests potential short-term liquidity constraints. Freeport-McMoRan's debt-to-equity ratio of 33.84 is manageable, but the company must carefully balance its $9.74 billion in total debt against its $3.92 billion in cash reserves.
 The company generated $7.16 billion in operating cash flow and $2.36 billion in free cash flow over the past year, demonstrating its ability to fund operations and investments. However, its return on equity (ROE) of 15.69% and return on assets (ROA) of 8.08% are moderate, reflecting the capital-intensive nature of its business. Gross margins of 39.55% and EBITDA margins of 37.46% indicate solid profitability, but these figures could come under pressure if copper prices continue to decline.
 **Valuations**  
 Freeport-McMoRan's valuation metrics suggest a premium relative to its historical averages and industry peers. The stock trades at a price-to-book (P/B) ratio of 2.90, which is above the industry norm, and its trailing PEG ratio of 6.01 indicates that the stock may be overvalued relative to its growth prospects. The dividend yield of 1.63% is below its five-year average of 3.73%, reflecting a reduced income appeal for dividend-focused investors. Analysts have a median price target of $48, implying a potential upside of approximately 34% from current levels, but this is contingent on improved copper market dynamics and operational execution.
 **Economic Outlook**  
 The broader economic environment presents both opportunities and risks for Freeport-McMoRan. Copper prices are highly sensitive to global economic activity, and the current slowdown in U.S. GDP growth, coupled with escalating trade tensions, could dampen demand. On the other hand, the long-term outlook for copper remains favorable due to its critical role in renewable energy and electric vehicle (EV) infrastructure. However, near-term headwinds, including high production costs and geopolitical uncertainties, could weigh on the company's performance. The potential for Trump tariffs on copper may provide a temporary boost to domestic producers like Freeport-McMoRan, but retaliatory measures and global supply chain disruptions could offset these benefits.
 **Summary**  
 **Thesis**: Freeport-McMoRan benefits from its position as a leading copper producer and its exposure to long-term growth drivers such as renewable energy and EVs.  
 **Edge**: The company's strong liquidity and operational cash flow provide a buffer against short-term challenges.  
 **Risk**: Declining copper prices, high production costs, and geopolitical uncertainties could pressure margins and earnings.
 **Score**: 65</t>
  </si>
  <si>
    <t>FE</t>
  </si>
  <si>
    <t>**Investment Report: FirstEnergy (FE)**
 **Recent News**  
 FirstEnergy's Q4 earnings report revealed a mixed performance. The company reported earnings of $0.67 per share, falling short of the consensus estimate of $0.70 per share. However, this still marked an improvement from $0.62 per share in the same quarter last year. Revenue increased year-over-year, reflecting modest growth in its operations. FirstEnergy continues to focus on its long-term capital investment plan aimed at strengthening its infrastructure, which could position the company for future stability and growth. However, the earnings miss and the ongoing challenges in the broader economic environment may weigh on investor sentiment in the near term.
 **Financials**  
 FirstEnergy's financial metrics present a mixed picture. The company has a trailing P/E ratio of 23.3, which is relatively high compared to its forward P/E of 13.71, suggesting expectations of improved earnings in the future. The dividend yield of 4.38% is attractive, especially for income-focused investors, but the high payout ratio of 99.12% raises concerns about the sustainability of these dividends. The company's debt-to-equity ratio of 176.87% is significantly elevated, indicating a heavy reliance on debt financing, which could be a risk in a rising interest rate environment. Additionally, free cash flow is negative at -$1.7 billion, which may limit the company's ability to fund its capital investment plans without further borrowing.
 **Valuations**  
 FirstEnergy's price-to-book ratio of 1.83 and price-to-sales ratio of 1.72 suggest the stock is trading at a reasonable valuation relative to its peers in the electric utilities sector. However, the company's enterprise value-to-EBITDA ratio of 11.62 is on the higher side, indicating that the market may already be pricing in some of the anticipated benefits from its infrastructure investments. Analyst sentiment remains cautiously optimistic, with a mean price target of $43.81, representing a potential upside from the current price of $39.30. The recommendation mean of 2.39 (between "Buy" and "Hold") reflects a moderate level of confidence in the stock.
 **Economic Outlook**  
 The broader economic environment poses challenges for FirstEnergy. The U.S. economy is showing signs of deceleration, with GDP expected to shrink in Q1 2025. Rising jobless claims and weakening consumer confidence could dampen electricity demand, particularly in industrial and commercial segments. Additionally, the company's high debt levels could become a burden if interest rates remain elevated. On the positive side, FirstEnergy's focus on infrastructure investments aligns with long-term trends in grid modernization and renewable energy integration, which could provide growth opportunities in the future.
 **Summary**  
 **Thesis**: FirstEnergy's long-term capital investment plan and stable revenue growth position it as a potential beneficiary of infrastructure modernization trends.  
 **Edge**: The company's attractive dividend yield and focus on infrastructure improvements provide a defensive appeal in a volatile market.  
 **Risk**: High debt levels, negative free cash flow, and a challenging macroeconomic environment could weigh on near-term performance.
 **Score**: 65</t>
  </si>
  <si>
    <t>FRT</t>
  </si>
  <si>
    <t>**Investment Report: Federal Realty Investment Trust (FRT)**
 **Recent News**  
 Federal Realty Investment Trust (FRT) continues to solidify its position as a leader in the Retail REIT sector, focusing on high-quality retail and mixed-use properties in affluent markets. The recent acquisition of the Del Monte Shopping Center highlights FRT's strategy of targeting high-traffic, premium locations to drive long-term growth. This acquisition aligns with its portfolio's strong fundamentals, including a 96.2% lease rate and 94.1% occupancy. However, recent commentary suggests that FRT's preferred stock and bonds lack "alpha," indicating limited outperformance potential compared to other investment-grade options. This perception may weigh on investor sentiment in the short term, despite the company's operational strengths.
 **Financials**  
 FRT's financial metrics reflect a stable and well-managed REIT. The company boasts a $7.75 billion property portfolio with an 8.9% asset yield and a 6.4% funds-from-operations (FFO) yield. Its dividend yield of 4.17% is slightly below its five-year average of 4.26%, but the payout ratio of 128% suggests limited room for dividend growth without further earnings expansion. The firm's debt-to-equity ratio of 133.2% is relatively high, though manageable given its investment-grade credit rating (BAA1 by Moody's). FRT's EBITDA margins of 62.3% and gross margins of 68.1% underscore its operational efficiency, while its free cash flow of $387.8 million provides a cushion for ongoing investments and debt servicing.
 **Valuations**  
 FRT's current valuation metrics suggest a premium relative to peers. The stock trades at a trailing P/E of 30.84 and a forward P/E of 34.36, both above the broader REIT sector averages. Its price-to-book ratio of 3.0 further reflects a valuation premium, likely due to its high-quality portfolio and strong market positioning. However, the stock's trailing PEG ratio of 4.41 indicates that growth expectations may already be priced in, limiting upside potential. Analysts' target prices range from $107 to $142, with a median target of $118, suggesting modest upside from current levels.
 **Economic Outlook**  
 The broader economic environment presents mixed implications for FRT. On one hand, the company's focus on affluent markets may insulate it from broader economic slowdowns, as these areas tend to exhibit more resilient consumer spending. On the other hand, rising interest rates and economic deceleration could pressure REIT valuations and increase borrowing costs. Additionally, the retail sector faces headwinds from shifting consumer preferences and e-commerce competition, though FRT's mixed-use properties and high occupancy rates provide some protection against these trends.
 **Summary**  
 **Thesis**: Federal Realty Investment Trust is a high-quality REIT with a strong portfolio of premium retail and mixed-use properties, supported by robust operational metrics and a stable dividend.  
 **Edge**: Its focus on affluent markets and high-traffic locations provides resilience against economic volatility and retail sector challenges.  
 **Risk**: Elevated valuation metrics, high debt levels, and broader economic headwinds could limit near-term upside potential.
 **Score**: 65</t>
  </si>
  <si>
    <t>GL</t>
  </si>
  <si>
    <t>**Investment Report: Globe Life (GL)**
 **Recent News**  
 Globe Life (GL) has garnered attention as a potential value investment, with analysts emphasizing its strong earnings estimates and revisions. The Zacks Rank system highlights the stock's favorable positioning, supported by its consistent performance in the life and health insurance sector. However, the broader economic environment, including rising geopolitical tensions and trade uncertainties, could weigh on consumer sentiment and discretionary spending, indirectly impacting the insurance industry.
 **Financials**  
 Globe Life demonstrates solid financial health, with a trailing P/E ratio of 10.77 and a forward P/E of 9.49, indicating a relatively undervalued position compared to industry peers. The company has a market capitalization of $10.78 billion and a price-to-book ratio of 2.04, reflecting a premium valuation relative to its book value. Its profit margins are robust at 18.53%, and return on equity (ROE) is strong at 21.87%, showcasing efficient capital utilization. However, earnings quarterly growth has declined by 7.1%, signaling potential headwinds in the near term.
 The company maintains a modest dividend yield of 0.85%, with a low payout ratio of 8.04%, suggesting ample room for future dividend growth. Globe Life's revenue growth of 3.6% and earnings growth of 4.7% indicate steady, albeit modest, expansion. The firm's debt-to-equity ratio of 58.65% is manageable, though it reflects a reliance on leverage, which could pose risks in a rising interest rate environment.
 **Valuations**  
 Globe Life's valuation metrics suggest it is attractively priced for long-term investors. The stock is trading near its 52-week high of $131.35, with a 52-week change of 0.89%, underperforming the S&amp;P 500's 17.25% gain over the same period. Analysts have a median price target of $140, representing a potential upside of approximately 7% from current levels. The company's enterprise value-to-EBITDA ratio of 9.08 and price-to-sales ratio of 1.87 further underscore its reasonable valuation.
 **Economic Outlook**  
 The macroeconomic environment presents mixed implications for Globe Life. While the Federal Reserve's restrictive monetary policy has begun to cool inflation, the broader economy is showing signs of deceleration, with GDP expected to contract in Q1 2025. Rising jobless claims and weakening consumer confidence could dampen demand for discretionary insurance products. However, Globe Life's focus on life and health insurance, which are often considered essential services, may provide some insulation from economic downturns.
 The company's beta of 0.77 indicates lower volatility compared to the broader market, making it a relatively stable investment in uncertain times. Additionally, its strong institutional ownership of 85.62% reflects confidence from large investors.
 **Summary**  
 **Thesis**: Globe Life offers a compelling value proposition with strong profitability metrics, reasonable valuation, and a stable dividend. Its focus on essential insurance products provides resilience in a slowing economy.  
 **Edge**: The company's low payout ratio and strong ROE position it for sustained growth and potential dividend increases.  
 **Risk**: Economic headwinds, including rising unemployment and reduced consumer spending, could impact revenue growth. Additionally, its reliance on leverage may pose challenges in a high-interest-rate environment.  
 **Score**: 78</t>
  </si>
  <si>
    <t>GM</t>
  </si>
  <si>
    <t>**Investment Report: General Motors (GM)**
 **Recent News**  
 General Motors has taken significant steps to enhance its competitive positioning. The appointment of its first Chief Artificial Intelligence Officer signals a strategic focus on integrating AI into its operations, particularly in vehicle technology and business processes. This move aligns with the broader industry trend of leveraging AI to improve efficiency and product offerings. Additionally, GM's electric vehicle (EV) market share has doubled to 12%, reflecting strong progress in the rapidly growing EV sector. However, the company's exposure to tariffs, particularly under the new U.S. trade policies, poses a potential risk to its supply chain and profitability. On the financial front, GM has increased its quarterly dividend by 25% and announced a $6 billion share buyback program, demonstrating confidence in its financial health and commitment to returning value to shareholders. These actions have positively impacted its stock price, which rose over 5% following the announcements.
 **Financials**  
 GM's financial metrics highlight a strong valuation and profitability profile. The company trades at a trailing P/E ratio of 7.44 and a forward P/E of 4.48, indicating a significant discount compared to industry averages. Its price-to-book ratio of 0.75 further underscores its undervaluation relative to its book value. GM's revenue growth of 11% year-over-year and a net income of $7.19 billion reflect solid operational performance. However, its gross margin of 12.35% and operating margin of 2.5% suggest room for improvement in cost management. The company maintains a robust cash position of $22 billion, which supports its dividend increase and share buyback program. However, its high debt-to-equity ratio of 199.65% raises concerns about leverage, particularly in a rising interest rate environment.
 **Valuations**  
 GM's valuation metrics suggest it is undervalued relative to its peers. The enterprise value-to-revenue ratio of 0.85 and enterprise value-to-EBITDA ratio of 8.49 indicate that the market has not fully priced in its revenue-generating potential. Analysts have a median price target of $59, representing a significant upside from its current price of approximately $47. The company's dividend yield of 0.98% is below its five-year average of 4.06%, but the recent dividend hike signals a potential return to higher yields in the future.
 **Economic Outlook**  
 The broader economic environment presents both opportunities and challenges for GM. The U.S. economy is showing signs of deceleration, with GDP expected to contract in Q1 2025. Rising tariffs on Canadian, Mexican, and Chinese imports could increase input costs for GM, particularly in its automotive manufacturing operations. However, the company's focus on EVs positions it well to benefit from long-term trends toward electrification and sustainability. Additionally, its strategic investments in AI and shareholder returns could help offset near-term economic headwinds.
 **Summary**  
 **Thesis**: GM's strong EV market share growth, strategic focus on AI, and shareholder-friendly financial maneuvers position it as a compelling investment in the automotive sector.  
 **Edge**: Undervalued valuation metrics and a robust cash position provide a cushion against economic uncertainties.  
 **Risk**: High leverage and exposure to tariffs could pressure margins and profitability in the near term.
 **Score**: 78</t>
  </si>
  <si>
    <t>HAL</t>
  </si>
  <si>
    <t>**Investment Report: Halliburton (HAL)**
 **Recent News**  
 Halliburton's collaboration with Sekal to deliver a fully automated on-bottom drilling system to Equinor represents a significant technological advancement in the oil and gas services industry. This innovation optimizes well placement through real-time automation, potentially enhancing operational efficiency and reducing costs for clients. Such developments could strengthen Halliburton's competitive position in a challenging market environment. However, despite this positive news, Halliburton's stock has recently declined, closing at $25.92, a 1.18% drop, reflecting broader market pressures and potential investor concerns about near-term headwinds.
 **Financials**  
 Halliburton's financial metrics indicate a mixed picture. The company trades at a trailing P/E of 8.84 and a forward P/E of 7.69, suggesting a relatively low valuation compared to historical norms and industry peers. The dividend yield of 2.58% is above its five-year average of 1.98%, indicating a potentially attractive income opportunity for investors. However, the stock has reached its 52-week low of $24.75, down significantly from its high of $41.56, reflecting a 25% decline over the past year. This underperformance contrasts with the S&amp;P 500's 17% gain over the same period, highlighting sector-specific challenges.
 Operationally, Halliburton's revenue growth has declined by 2.2%, and earnings growth has contracted by 4.1%, signaling potential difficulties in maintaining profitability amid a slowing global economy. The company's profit margins remain modest, with a net margin of 10.9% and EBITDA margin of 21.8%. On the balance sheet, Halliburton has a debt-to-equity ratio of 83.16%, which, while manageable, could limit financial flexibility in a rising interest rate environment. The company maintains a healthy current ratio of 2.05, indicating sufficient liquidity to meet short-term obligations.
 **Valuations**  
 Halliburton's price-to-book ratio of 2.07 and price-to-sales ratio of 0.95 suggest the stock is undervalued relative to its book value and revenue generation. Analysts' target prices range from $28 to $41, with a mean target of $34.33, implying a potential upside of 32% from the current price. However, the trailing PEG ratio of 1.76 indicates that growth expectations may not fully justify the valuation, especially given the recent decline in earnings and revenue growth.
 **Economic Outlook**  
 The broader macroeconomic environment presents challenges for Halliburton. The global economy is slowing, with the U.S. GDP projected to shrink by 1.5% in Q1 2025. Trade tensions, particularly the imposition of tariffs on steel and aluminum, could increase input costs for the oil and gas services industry. Additionally, geopolitical uncertainties, including the U.S.-China trade war and potential disruptions in energy markets, may weigh on demand for drilling services. On the positive side, Halliburton's technological advancements and focus on automation could position it well to capture market share as the industry seeks efficiency gains.
 **Summary**  
 **Thesis**: Halliburton's innovative drilling solutions and attractive valuation metrics provide a compelling case for long-term potential.  
 **Edge**: The company's technological advancements, such as the automated drilling system, could enhance its competitive position in a cost-sensitive industry.  
 **Risk**: Macroeconomic headwinds, declining revenue and earnings growth, and sector-specific challenges could limit near-term performance.
 **Score**: 65</t>
  </si>
  <si>
    <t>HPE</t>
  </si>
  <si>
    <t>**Investment Report: Hewlett Packard Enterprise (HPE)**
 **Recent News**:  
 Hewlett Packard Enterprise (HPE) has not been in the spotlight over the past week, with no significant announcements or developments. This lack of news suggests stability in operations but also indicates no immediate catalysts for significant price movement. The absence of updates may reflect a steady business environment, though it leaves the stock more susceptible to broader market trends and macroeconomic factors.
 **Financials**:  
 HPE's financial metrics present a mixed but generally stable picture. The company is trading near its book value with a price-to-book ratio of 0.99, indicating that the stock is fairly valued relative to its assets. Its trailing price-to-earnings (P/E) ratio of 9.86 and forward P/E of 9.06 suggest the stock is attractively priced compared to the broader market, particularly in the technology sector, which often commands higher multiples. The dividend yield of 2.62% is solid, though slightly below its five-year average of 3.32%, reflecting a modest decline in yield attractiveness.
 The company has demonstrated strong earnings growth, with quarterly earnings growth of 112.8% and revenue growth of 15.1%. These figures highlight HPE's ability to expand its top and bottom lines, even in a challenging macroeconomic environment. However, its profit margins remain modest, with a net profit margin of 8.56% and operating margin of 9.48%, which are lower than some peers in the technology hardware sector.
 HPE's balance sheet shows a manageable but notable level of debt, with a debt-to-equity ratio of 79.88%. While this is not alarming, it does indicate reliance on leverage, which could pose risks in a rising interest rate environment. The company holds $14.31 billion in cash, providing a strong liquidity buffer, and its free cash flow of $2.31 billion supports its dividend payments and potential reinvestment in growth initiatives.
 **Valuations**:  
 HPE's valuation metrics suggest the stock is undervalued relative to its earnings and revenue. Its price-to-sales ratio of 0.83 and enterprise value-to-revenue ratio of 1.02 indicate that the market is pricing the company conservatively. Analyst sentiment remains positive, with a mean recommendation of "buy" and a target median price of $25, representing a potential upside of approximately 30% from current levels. However, the trailing PEG ratio of 3.43 suggests that the stock may be less attractive when factoring in growth expectations.
 **Economic Outlook**:  
 The broader economic environment poses challenges for HPE. The U.S. economy is showing signs of deceleration, with GDP expected to contract in Q1 2025. Rising tariffs on key trading partners, including Canada, Mexico, and China, could disrupt supply chains and increase costs for HPE, which operates in a globalized industry. Additionally, the technology sector has faced increased volatility, with tech stocks underperforming amid broader market weakness. HPE's beta of 1.23 indicates that the stock is more volatile than the market, making it susceptible to these macroeconomic headwinds.
 On the positive side, HPE's focus on enterprise technology solutions, including cloud computing and data storage, positions it well to benefit from long-term trends in digital transformation. The company's strong cash position and consistent dividend payments provide a measure of stability in an uncertain economic environment.
 **Summary**:  
 Hewlett Packard Enterprise offers a compelling valuation with strong earnings and revenue growth, supported by a solid dividend yield and robust cash reserves. However, its modest profit margins, reliance on debt, and exposure to macroeconomic risks, including tariffs and slowing economic growth, present challenges. The stock's low valuation and positive analyst sentiment provide an edge, but its sensitivity to market volatility and economic uncertainty remain key risks.
 **Score**: 72</t>
  </si>
  <si>
    <t>HWM</t>
  </si>
  <si>
    <t>**Investment Report: Howmet Aerospace Inc. (HWM)**
 **Recent News**  
 Howmet Aerospace has experienced a surge in its stock price, driven by robust earnings growth. The company, a leading producer of advanced metal products for the aerospace and defense industries, has demonstrated strong operational performance, which has bolstered investor confidence. The aerospace sector's recovery, coupled with Howmet's ability to capitalize on increasing demand for lightweight, high-performance materials, has positioned the company as a standout performer. This momentum is further supported by its focus on innovation and efficiency, which has allowed it to maintain competitive margins despite broader economic uncertainties.
 **Financials**  
 Howmet's financial performance reflects its strong market position. The company reported a 33.1% quarterly earnings growth and a 9.2% revenue growth, signaling robust operational execution. Its trailing price-to-earnings (P/E) ratio of 46.63 and forward P/E of 41.33 suggest that the market is pricing in continued growth, albeit at a premium valuation. The company’s profit margins of 15.55% and return on equity (ROE) of 26.89% highlight its ability to generate substantial shareholder value. Additionally, Howmet's free cash flow of $777.6 million and operating cash flow of $1.3 billion provide a solid foundation for reinvestment and shareholder returns.
 However, the company’s debt-to-equity ratio of 76.22% indicates a relatively high leverage level, which could pose risks in a rising interest rate environment. Its current ratio of 2.17 suggests adequate short-term liquidity, but the quick ratio of 0.822 indicates potential challenges in meeting immediate obligations without relying on inventory.
 **Valuations**  
 Howmet's stock is trading near its 52-week high of $140.55, reflecting strong investor sentiment. The price-to-book ratio of 11.81 and enterprise value-to-revenue multiple of 7.85 indicate a premium valuation compared to industry peers. Analysts have a mean target price of $139.86, closely aligned with the current trading range, suggesting limited upside in the near term. However, the recommendation mean of 1.56 ("buy") and the high target price of $159.65 indicate that some analysts see further growth potential.
 **Economic Outlook**  
 The broader economic environment presents both opportunities and challenges for Howmet. The aerospace and defense sectors are benefiting from increased global defense spending and a recovery in commercial aviation. However, macroeconomic headwinds, including potential recessionary pressures and trade uncertainties, could impact demand. President Trump's recent tariffs on steel and aluminum imports may increase input costs for Howmet, potentially pressuring margins. On the other hand, the company's focus on high-value, differentiated products may allow it to pass on cost increases to customers.
 **Summary**  
 **Thesis**: Howmet Aerospace is well-positioned to benefit from the recovery in aerospace and defense markets, supported by strong earnings growth, robust margins, and a focus on innovation.  
 **Edge**: Its leadership in advanced metal products and ability to maintain high profitability metrics provide a competitive advantage.  
 **Risk**: Elevated valuations, high leverage, and potential cost pressures from tariffs could weigh on performance in the near term.  
 **Score**: 78</t>
  </si>
  <si>
    <t>**Investment Report: IBM (International Business Machines Corporation)**
 **Recent News**  
 IBM has recently completed the acquisition of HashiCorp, a move aimed at enhancing its hybrid cloud and AI capabilities. This acquisition aligns with IBM's strategic focus on expanding its product portfolio in high-growth areas, particularly in cloud computing and artificial intelligence. However, the market reaction has been muted, with IBM's stock declining by 2% since its last earnings report. This suggests that investors may be cautious about the integration risks or the immediate financial impact of the acquisition. Additionally, IBM remains a trending stock, indicating sustained interest from market participants, but this attention may also reflect concerns about its near-term performance.
 **Financials**  
 IBM's financial metrics present a mixed picture. The company has a trailing price-to-earnings (P/E) ratio of 39.03, which is relatively high compared to its forward P/E of 23.58, suggesting expectations of improved earnings in the future. Its dividend yield of 2.65% is below its five-year average of 4.6%, indicating that the stock may be overvalued relative to its historical yield. IBM's debt-to-equity ratio of 213.18% is notably high, raising concerns about its leverage, especially in a rising interest rate environment. On the positive side, IBM has a strong gross margin of 56.65% and a free cash flow of $7.38 billion, which provides some financial flexibility. However, its earnings growth has been negative (-12.9%), and revenue growth remains sluggish at 1%, reflecting challenges in driving top-line expansion.
 **Valuations**  
 IBM's current price-to-book ratio of 8.49 is significantly higher than the industry average, suggesting that the stock may be overvalued based on its book value. The enterprise value-to-revenue ratio of 4.40 and enterprise value-to-EBITDA ratio of 26.42 also indicate a premium valuation. Analysts have a mixed outlook, with a target mean price of $254.51 and a median price of $270, implying limited upside from current levels. The recommendation mean of 2.43 (on a scale where 1 is a strong buy and 5 is a sell) leans toward a cautious "buy," reflecting tempered optimism.
 **Economic Outlook**  
 The broader economic environment poses challenges for IBM. The U.S. economy is showing signs of deceleration, with GDP expected to contract in Q1 2025. Rising trade tensions, particularly with China, could impact IBM's global operations and supply chain. Additionally, the technology sector has faced increased volatility, with investors rotating out of tech stocks amid concerns about valuations and slowing growth. While IBM's focus on hybrid cloud and AI positions it in high-growth areas, the competitive landscape remains intense, and macroeconomic headwinds could weigh on its performance.
 **Summary**  
 **Thesis**: IBM's strategic acquisition of HashiCorp and its focus on hybrid cloud and AI provide long-term growth potential.  
 **Edge**: Strong gross margins and free cash flow offer financial stability to support strategic initiatives.  
 **Risk**: High leverage, sluggish revenue growth, and macroeconomic uncertainties could limit near-term upside.
 **Score**: 65</t>
  </si>
  <si>
    <t>INVH</t>
  </si>
  <si>
    <t>**Investment Report: Invitation Homes (INVH)**
 **Recent News**  
 Invitation Homes, a leading single-family residential REIT, recently reported its Q4 2024 earnings, showcasing a net income of $0.23 per share, surpassing analyst expectations of $0.18. Funds from operations (FFO), a key metric for REITs, came in at $0.47 per share, matching consensus estimates and reflecting a modest year-over-year growth from $0.45. These results highlight the company's ability to maintain stable operational performance despite broader economic uncertainties. Additionally, the firm's dividend yield of 3.41% is notably above its five-year average of 2.49%, signaling a commitment to returning value to shareholders.
 **Financials**  
 Invitation Homes exhibits a robust financial profile with a market capitalization of $21.06 billion and a price-to-book ratio of 2.16, indicating a premium valuation relative to its book value. The company maintains healthy operating margins of 27.63% and EBITDA margins of 55.12%, reflecting efficient cost management and strong rental income generation. Revenue growth of 5.8% year-over-year further underscores the resilience of its business model. However, the firm's debt-to-equity ratio of 84.07% suggests a high reliance on leverage, a common characteristic in the REIT sector but one that warrants monitoring in a rising interest rate environment.
 The company’s free cash flow of $971.91 million and operating cash flow of $1.08 billion provide a solid liquidity position to support ongoing operations and dividend payouts. However, its trailing P/E ratio of 46.45 and trailing PEG ratio of 15.75 indicate a relatively high valuation, which could limit upside potential in the near term.
 **Valuations**  
 Invitation Homes trades at a forward P/E of 46.45, which is elevated compared to the broader market and reflects investor confidence in its growth prospects. The stock's dividend payout ratio of 152.7% is high, suggesting that dividends are funded through a combination of earnings and other sources, a typical practice for REITs. Analysts have a median price target of $36.00, representing a modest upside from its current price of $34.01. The stock's 52-week range of $30.13 to $37.80 indicates limited volatility, with the current price near the midpoint of this range.
 **Economic Outlook**  
 The macroeconomic environment presents both opportunities and challenges for Invitation Homes. Rising interest rates and a potential economic slowdown could pressure housing affordability, potentially increasing demand for rental properties. However, the company's high leverage could become a concern if borrowing costs rise further. Additionally, the recent implementation of tariffs and geopolitical uncertainties may indirectly impact consumer confidence and housing markets, though the single-family rental sector is generally more insulated from such macroeconomic shocks.
 **Summary**  
 **Thesis**: Invitation Homes benefits from a stable and growing rental market, supported by strong operational metrics and consistent dividend payouts. Its scale and focus on single-family rentals position it well to capitalize on shifting housing preferences.  
 **Edge**: The company’s ability to generate robust cash flows and maintain high occupancy rates provides a competitive advantage in the REIT space.  
 **Risk**: Elevated leverage and high valuation metrics could limit near-term upside, particularly in a rising interest rate environment.
 **Score**: 78</t>
  </si>
  <si>
    <t>ISRG</t>
  </si>
  <si>
    <t>**Investment Report: Intuitive Surgical, Inc. (ISRG)**
 **Recent News**  
 Intuitive Surgical has garnered significant attention recently, with analysts and investors closely monitoring its performance. Despite concerns over the Trump administration's tariffs, which have created headwinds for many companies, Intuitive Surgical's stock remains resilient, trading within a flat base. The company's high Relative Strength Rating suggests that it is outperforming many of its peers, even amid broader market volatility. However, the tariffs could increase costs for medical equipment manufacturers, potentially pressuring margins if the company relies on imported components or materials. 
 **Financials**  
 Intuitive Surgical's financial position remains robust, with a market capitalization of $202.2 billion and a strong balance sheet. The company has no dividend payout, reflecting its focus on reinvestment for growth. Its trailing price-to-earnings (P/E) ratio of 88.31 and forward P/E of 72.13 indicate a premium valuation, which is typical for high-growth companies. The firm has demonstrated solid revenue growth of 25.2% year-over-year, with total revenue reaching $8.35 billion. Profit margins are healthy at 27.8%, supported by gross margins of 67.5%. Additionally, the company has a strong cash position of $4.01 billion and minimal debt, with a debt-to-equity ratio of 0.88, highlighting its financial stability.
 Earnings growth of 11.8% and revenue growth of 25.2% underscore the company's ability to expand its operations and maintain profitability. Free cash flow of $1.2 billion further supports its capacity to invest in innovation and operational efficiency. However, the trailing PEG ratio of 3.96 suggests that the stock may be overvalued relative to its growth prospects.
 **Valuations**  
 Intuitive Surgical's stock is trading near the upper end of its 52-week range, with a high of $616.00 and a low of $364.17. The current price-to-book ratio of 12.30 reflects a premium valuation, which is consistent with its strong market position and growth potential. Analysts have set a median price target of $640.00, indicating potential upside from current levels. However, the high valuation metrics, including enterprise value-to-EBITDA of 71.00, suggest that the stock is priced for perfection, leaving little room for error in execution or external challenges.
 **Economic Outlook**  
 The broader economic environment presents mixed implications for Intuitive Surgical. On one hand, the healthcare sector is generally less sensitive to economic cycles, providing some insulation from macroeconomic headwinds. On the other hand, the Trump administration's tariffs could disrupt supply chains and increase costs for medical device manufacturers. Additionally, the slowing U.S. economy, with GDP projected to shrink by 1.5% in Q1 2025, could dampen hospital budgets and delay capital expenditures on surgical systems. However, the company's innovative products and strong market position in robotic-assisted surgery may help it maintain demand despite these challenges.
 **Summary**  
 **Thesis**: Intuitive Surgical is a leader in robotic-assisted surgery, with strong financials, robust revenue growth, and a dominant market position. Its innovative product offerings and high margins provide a competitive edge in the healthcare equipment industry.  
 **Edge**: The company's strong cash position, minimal debt, and consistent revenue growth position it well to weather economic uncertainties and invest in future growth.  
 **Risk**: Elevated valuations and potential cost pressures from tariffs pose risks, particularly if economic conditions further deteriorate or if the company faces supply chain disruptions.
 **Score**: 78</t>
  </si>
  <si>
    <t>J</t>
  </si>
  <si>
    <t>**Investment Report: Jacobs Solutions**
 **Recent News:**  
 Jacobs Solutions has not been in the news over the past week, indicating a lack of significant developments or announcements. This absence of news suggests stability in operations but also highlights the need to focus on broader economic and industry trends to assess the company's near-term prospects.
 **Financials:**  
 Jacobs Solutions exhibits a solid financial foundation with a market capitalization of $15.34 billion and a manageable debt-to-equity ratio of 60.42%. The company has a healthy current ratio of 1.26, indicating sufficient liquidity to cover short-term obligations. Its trailing price-to-earnings (P/E) ratio of 34.20 is relatively high, but the forward P/E of 18.82 suggests expectations of strong earnings growth. The company’s profit margins stand at 5.30%, and its return on equity (ROE) is 8.17%, reflecting moderate profitability.  
 Jacobs Solutions has demonstrated consistent revenue growth, with a 4.4% year-over-year increase in total revenue, reaching $11.62 billion. The company also maintains a robust free cash flow of $1.13 billion, which supports its dividend payments and potential reinvestment in growth initiatives. The dividend yield of 1.0% is slightly above its five-year average of 0.75%, indicating a shareholder-friendly approach.  
 **Valuations:**  
 The stock is trading at a price-to-book (P/B) ratio of 3.66, which is higher than the industry average, suggesting a premium valuation. However, the enterprise value-to-revenue ratio of 1.49 and enterprise value-to-EBITDA ratio of 13.91 are reasonable for a company in the construction and engineering sector. Analysts have a positive outlook, with a mean target price of $153.30, representing a potential upside from the current price of $124.97. The recommendation mean of 2.11 (on a scale where 1.0 is a strong buy) further underscores the favorable sentiment among analysts.
 **Economic Outlook:**  
 The broader economic environment presents mixed signals for Jacobs Solutions. The U.S. economy is facing deceleration, with GDP expected to shrink by 1.5% in Q1 2025. Rising tariffs on steel, aluminum, and other materials could increase input costs for construction and engineering firms, potentially pressuring margins. However, Jacobs Solutions' diversified operations and strong cash position may help mitigate these challenges. Additionally, the company could benefit from increased infrastructure spending, particularly if government policies prioritize domestic projects to counteract trade disruptions.
 **Summary of Thesis, Edge, and Risk:**  
 Jacobs Solutions is well-positioned in the construction and engineering industry, supported by strong financials, consistent revenue growth, and a robust cash flow profile. Its valuation metrics suggest room for upside, particularly if the company can capitalize on infrastructure spending and navigate rising input costs effectively. However, risks include potential margin compression from tariffs and broader economic headwinds, such as slowing GDP growth and weakening consumer confidence.
 **Score:** 78</t>
  </si>
  <si>
    <t>JBHT</t>
  </si>
  <si>
    <t>**Investment Report: J.B. Hunt Transport Services (JBHT)**
 **Recent News**:  
 J.B. Hunt Transport Services has not been in the headlines over the past week, suggesting a period of operational stability. However, the broader macroeconomic environment, including trade tensions and slowing economic growth, could indirectly impact the company, given its reliance on freight volumes and cross-border trade.
 **Financials**:  
 J.B. Hunt's financial performance reflects a mixed picture. The company has a trailing price-to-earnings (P/E) ratio of 28.38 and a forward P/E of 21.98, indicating expectations of earnings growth. However, its revenue growth has declined by 4.8% year-over-year, reflecting challenges in the freight and logistics sector. The company's profit margins stand at 4.72%, with EBITDA margins of 13.17%, showcasing operational efficiency despite revenue pressures. 
 The firm maintains a manageable debt-to-equity ratio of 44.58%, supported by a current ratio of 1.055, indicating adequate liquidity to meet short-term obligations. Free cash flow of $592.7 million and operating cash flow of $1.48 billion provide a solid financial cushion. However, the company's gross margins of 18.9% suggest limited pricing power in a competitive industry. 
 Dividend payments remain consistent, with a yield of 1.09%, above its five-year average of 0.85%, signaling shareholder returns even during challenging times. The payout ratio of 30.94% indicates room for dividend sustainability.
 **Valuations**:  
 J.B. Hunt's stock is trading near its 52-week low of $153.12, significantly below its 52-week high of $204.43, reflecting a 19.44% decline over the past year. This underperformance contrasts with the S&amp;P 500's 17.25% gain over the same period, suggesting sector-specific headwinds. The price-to-book ratio of 3.95 and price-to-sales ratio of 1.31 indicate the stock is not excessively overvalued, but the trailing PEG ratio of 2.84 suggests limited growth at current valuation levels.
 Analyst sentiment is neutral, with a median price target of $190, implying a potential upside of approximately 20% from current levels. However, the lack of a strong recommendation key and declining revenue growth may temper expectations.
 **Economic Outlook**:  
 The macroeconomic environment poses challenges for J.B. Hunt. The U.S. economy is projected to contract by 1.5% in Q1 2025, with rising jobless claims and a record trade deficit. President Trump's tariffs on Canada, Mexico, and China, effective March 4, could disrupt cross-border freight volumes, a critical revenue stream for J.B. Hunt. Additionally, slowing consumer confidence and construction spending may reduce demand for freight services. 
 On the positive side, moderating inflation and potential Federal Reserve rate cuts later in the year could provide some relief to the broader economy, potentially stabilizing freight demand. However, the near-term outlook remains uncertain, with trade tensions and economic deceleration likely to weigh on the company's performance.
 **Summary**:  
 **Thesis**: J.B. Hunt's strong cash flow generation and operational efficiency provide a solid foundation, but declining revenue growth and macroeconomic headwinds limit near-term upside.  
 **Edge**: The company's consistent dividend payments and manageable debt levels offer stability in a volatile environment.  
 **Risk**: Trade tensions, economic contraction, and competitive pressures in the freight industry could further erode revenue and margins.
 **Score**: 65</t>
  </si>
  <si>
    <t>JNPR</t>
  </si>
  <si>
    <t>**Investment Report: Juniper Networks (JNPR)**
 **Recent News**  
 Juniper Networks has recently garnered attention due to its upgrade to a Zacks Rank #2 (Buy), reflecting optimism about its earnings potential. The company has also expanded its AI-native routing portfolio, which is expected to enhance deployment speeds, improve troubleshooting capabilities, and deliver sustainable performance. This strategic move aligns with the growing demand for advanced networking solutions, particularly in the context of increasing reliance on AI-driven technologies. These developments position Juniper to capitalize on industry trends, potentially driving revenue growth and market share gains.
 **Financials**  
 Juniper Networks' financial performance presents a mixed picture. The company has a market capitalization of $12 billion and a trailing price-to-earnings (P/E) ratio of 41.9, which is relatively high compared to its forward P/E of 18.2, indicating expectations of significant earnings growth. The firm reported a profit margin of 5.67% and an earnings growth rate of 25.1%, suggesting improving profitability. Revenue growth, however, remains modest at 2.9%, reflecting challenges in achieving top-line expansion.
 The company's dividend yield of 2.43% is slightly below its five-year average of 2.84%, but it remains an attractive feature for income-focused investors. Juniper's payout ratio of 102.33% raises concerns about the sustainability of its dividend, as it exceeds earnings. On the balance sheet, the company has a debt-to-equity ratio of 39.14, which is manageable but indicates some reliance on leverage. Its current ratio of 1.46 and quick ratio of 0.96 suggest adequate liquidity to meet short-term obligations.
 **Valuations**  
 Juniper's stock is trading at a price-to-book ratio of 2.50, which is reasonable for the communications equipment industry. The stock's 52-week range of $33.72 to $39.79 indicates limited volatility, with the current price near the lower end of this range. Analyst price targets suggest a mean price of $39.89, implying a potential upside of approximately 10% from current levels. However, the recommendation mean of 2.82 (Hold) reflects a cautious stance among analysts, with only moderate enthusiasm for the stock.
 **Economic Outlook**  
 The broader economic environment presents both opportunities and risks for Juniper Networks. The ongoing trade tensions, particularly the imposition of tariffs on key trading partners, could disrupt supply chains and increase costs for the company. However, the demand for advanced networking solutions remains robust, driven by the proliferation of AI, cloud computing, and 5G technologies. Juniper's focus on enhancing its AI-native routing portfolio positions it well to benefit from these trends. Additionally, the company's relatively low beta of 0.85 suggests lower sensitivity to market volatility, which could be advantageous in the current uncertain economic climate.
 **Summary**  
 **Thesis**: Juniper Networks is well-positioned to benefit from the growing demand for AI-driven networking solutions, supported by its strategic portfolio expansion and improving earnings prospects.  
 **Edge**: The company's focus on innovation and its relatively stable financial position provide a competitive advantage in a rapidly evolving industry.  
 **Risk**: Elevated payout ratios, modest revenue growth, and potential macroeconomic headwinds, including trade tensions, could weigh on performance.
 **Score**: 72</t>
  </si>
  <si>
    <t>**Investment Report: Keurig Dr Pepper (KDP)**
 **Recent News**  
 Keurig Dr Pepper (KDP) has reported strong fourth-quarter 2024 earnings, with adjusted earnings per share of $0.58, slightly surpassing the consensus estimate of $0.57. Despite a decline in coffee segment sales, the company demonstrated resilience through robust demand for its higher-priced beverages and improved volume/mix performance. This strength in its core beverage portfolio allowed KDP to exceed revenue and profit expectations. The company has also issued an optimistic annual profit forecast, signaling confidence in its ability to navigate current market conditions. These results come amid mixed performance in U.S. equities, with the Dow Jones index rising but broader market volatility persisting.
 **Financials**  
 KDP's financial metrics reflect a stable and profitable business model. The company boasts a market capitalization of $46.3 billion and a trailing price-to-earnings (P/E) ratio of 32.50, which is elevated but supported by its forward P/E of 16.65, indicating expectations of earnings growth. KDP's gross margins of 55.56% and EBITDA margins of 26.90% highlight its strong operational efficiency. The company generated $15.35 billion in total revenue over the trailing twelve months, with a revenue growth rate of 5.3%, showcasing steady expansion in a competitive industry.
 KDP's dividend yield of 2.75% is above its five-year average of 2.21%, making it attractive for income-focused investors. However, its high payout ratio of 84.76% suggests limited room for dividend growth unless earnings improve significantly. The company’s debt-to-equity ratio of 75.61 indicates a leveraged balance sheet, though its free cash flow of $1.29 billion and operating cash flow of $2.22 billion provide adequate liquidity to service its debt obligations.
 **Valuations**  
 KDP's valuation metrics present a mixed picture. Its price-to-book ratio of 1.91 is reasonable compared to industry peers, and its enterprise value-to-revenue multiple of 4.12 reflects a premium valuation, likely justified by its strong brand portfolio and consistent profitability. The stock is trading near its 50-day average of $32.02, suggesting limited recent price momentum. However, with a 52-week high of $38.28, there is potential upside if the company continues to deliver strong results. Analyst sentiment remains positive, with a mean price target of $37.66 and a recommendation key of "buy."
 **Economic Outlook**  
 The broader economic environment presents both challenges and opportunities for KDP. Rising tariffs on Canadian and Mexican imports, effective March 4, could increase input costs for the company, particularly if it sources raw materials or packaging from these regions. However, KDP's ability to pass on higher costs to consumers through premium pricing may mitigate this risk. Additionally, the U.S. economy is showing signs of deceleration, with GDP expected to shrink by 1.5% in Q1 2025. This could weigh on consumer spending, particularly for discretionary items, though KDP's portfolio of staple beverages may provide some insulation.
 The company's beta of 0.63 indicates lower volatility compared to the broader market, making it a relatively defensive play in uncertain economic conditions. Furthermore, its strong brand equity and diversified product offerings position it well to weather macroeconomic headwinds.
 **Summary**  
 **Thesis**: Keurig Dr Pepper's strong brand portfolio, operational efficiency, and ability to exceed earnings expectations underscore its resilience in a competitive market.  
 **Edge**: The company's focus on higher-priced beverages and premium offerings provides a buffer against rising input costs and economic uncertainty.  
 **Risk**: Elevated debt levels and potential tariff-related cost pressures could weigh on margins, while a high payout ratio limits dividend growth potential.
 **Score**: 78</t>
  </si>
  <si>
    <t>KHC</t>
  </si>
  <si>
    <t>**Investment Report: Kraft Heinz (KHC)**
 **Recent News**:  
 Kraft Heinz has not been in the headlines over the past week, indicating a lack of significant corporate developments or external disruptions. This stability may reflect a steady operational environment, though it also suggests no immediate catalysts for price movement.
 **Financials**:  
 Kraft Heinz exhibits a strong dividend profile, with a dividend yield of 5.21%, significantly above its five-year average of 4.53%. This high yield, coupled with a payout ratio of 70.8%, suggests the company is committed to returning value to shareholders, though it leaves limited room for reinvestment. The firm's trailing price-to-earnings (P/E) ratio of 13.86 and forward P/E of 10.20 indicate a relatively undervalued stock compared to broader market averages, particularly given its earnings growth of 1.896% and quarterly earnings growth of 181.5%. However, revenue growth has declined by 4.1%, reflecting challenges in maintaining top-line expansion.
 The company’s gross margin of 34.73% and EBITDA margin of 25.02% highlight its ability to generate solid profitability despite revenue pressures. Operating cash flow of $4.18 billion and free cash flow of $2.18 billion provide a cushion for debt servicing and dividend payments. However, the debt-to-equity ratio of 41.46 and total debt of $20.45 billion remain areas of concern, particularly in a high-interest-rate environment.
 **Valuations**:  
 Kraft Heinz trades at a price-to-book ratio of 0.76, well below 1, indicating the stock is priced at a discount to its book value. This could signal undervaluation, though it may also reflect market skepticism about the company’s growth prospects. The enterprise value-to-EBITDA ratio of 8.77 is reasonable for the packaged foods industry, suggesting the stock is fairly valued relative to its earnings power. Analyst sentiment is mixed, with a mean price target of $33.04, slightly above the current price, and a recommendation key of "hold."
 **Economic Outlook**:  
 The broader economic environment presents both challenges and opportunities for Kraft Heinz. The U.S. economy is showing signs of deceleration, with GDP contraction expected in Q1 2025 and consumer confidence weakening. This could pressure discretionary spending, potentially impacting demand for Kraft Heinz’s products. However, the company’s focus on packaged foods positions it as a defensive play in times of economic uncertainty, as consumers often prioritize essential goods over luxury items during downturns. Additionally, the company’s low beta of 0.38 suggests limited volatility relative to the broader market, making it an attractive option for risk-averse investors.
 The ongoing trade tensions and tariffs imposed by the U.S. on Canada, Mexico, and China could have mixed effects. While Kraft Heinz sources many of its raw materials domestically, any disruptions in global supply chains or increased input costs could weigh on margins. Conversely, its strong U.S. presence may shield it from some of the international trade risks faced by more globally diversified peers.
 **Summary**:  
 Kraft Heinz offers a compelling dividend yield and appears undervalued based on its P/E and price-to-book ratios. Its defensive positioning in the packaged foods industry provides resilience in a slowing economy, though declining revenue growth and high debt levels pose risks. The lack of recent news suggests stability but also a lack of immediate growth catalysts. The company’s edge lies in its strong profitability and cash flow generation, while risks include revenue pressures, high leverage, and potential cost inflation from trade policies.
 **Score**: 72</t>
  </si>
  <si>
    <t>**Investment Report: LKQ Corporation**
 **Recent News:**  
 LKQ Corporation has not been in the headlines over the past week, suggesting a lack of significant recent developments or disruptions. This absence of news may indicate operational stability, but it also leaves the company exposed to broader macroeconomic and industry trends without any immediate catalysts for growth or concern.
 **Financials:**  
 LKQ Corporation's financial performance reflects a mixed picture. The company is trading at a trailing P/E ratio of 15.97 and a forward P/E of 11.60, suggesting that the market expects earnings growth in the near future. The dividend yield of 2.84% and a payout ratio of 45.63% indicate a shareholder-friendly approach, with room to maintain or grow dividends. However, earnings growth has been negative (-8.9%), and revenue growth has also declined (-4.1%), reflecting challenges in the current operating environment.
 The company’s gross margin of 39.19% and EBITDA margin of 12.21% are solid for the Distributors industry, but operating margins of 9.08% suggest some pressure on profitability. LKQ's return on equity (11.35%) and return on assets (5.61%) are respectable but not exceptional, indicating moderate efficiency in generating returns from its assets and equity base.
 Debt levels are a concern, with a debt-to-equity ratio of 92.99% and total debt of $5.61 billion. While the company generates strong operating cash flow ($1.12 billion) and free cash flow ($789 million), the high leverage could pose risks in a rising interest rate environment or during economic slowdowns. Liquidity metrics, such as a quick ratio of 0.47 and a current ratio of 1.71, suggest the company can meet short-term obligations but may face challenges in managing its debt load over the long term.
 **Valuations:**  
 LKQ's price-to-sales ratio of 0.76 and price-to-book ratio of 1.81 indicate that the stock is trading at a reasonable valuation relative to its revenue and book value. The stock is currently priced at $42.19, near the lower end of its 52-week range ($35.56 to $53.68), which could present an opportunity for value investors. Analyst sentiment remains positive, with a mean target price of $51.03 and a recommendation mean of 1.8 (indicating a "buy"). However, the trailing PEG ratio of 2.53 suggests that the stock may be slightly overvalued relative to its growth prospects.
 **Economic Outlook:**  
 The broader economic environment poses challenges for LKQ Corporation. The U.S. economy is showing signs of deceleration, with GDP expected to contract in Q1 2025. Rising tariffs on steel and aluminum, as well as broader trade tensions, could increase input costs for LKQ, which operates in the automotive parts distribution industry. Additionally, weakening consumer confidence and higher unemployment could dampen demand for discretionary automotive repairs and upgrades. However, LKQ's focus on aftermarket parts may provide some resilience, as consumers may opt for cost-effective repairs during economic downturns.
 **Summary of Thesis, Edge, and Risk:**  
 LKQ Corporation offers a stable dividend yield and reasonable valuation, making it attractive for income-focused investors. Its position in the aftermarket automotive parts industry provides some insulation from economic downturns, as consumers may prioritize repairs over new purchases. However, the company faces headwinds from declining revenue and earnings growth, high debt levels, and potential cost pressures from tariffs. The lack of recent news or catalysts further limits short-term upside potential, while broader economic uncertainties could weigh on performance.
 **Score:** 65</t>
  </si>
  <si>
    <t>**Investment Report: Eli Lilly (Pharmaceuticals Industry)**
 **Recent News**  
 Eli Lilly is demonstrating strategic agility and growth potential through several key initiatives. The European Medicines Agency's CHMP has issued a positive opinion for Jaypirca, a drug targeting relapsed or refractory chronic lymphocytic leukemia (CLL) in a post-BTK inhibitor setting. This development positions Eli Lilly to expand its oncology portfolio in Europe, potentially unlocking new revenue streams. Domestically, the company is committing $27 billion to build four new manufacturing plants, a move that aligns with the broader trend of reshoring production to mitigate risks from global trade tensions and tariffs. This investment not only strengthens Eli Lilly's supply chain but also creates 13,000 jobs, reinforcing its role as a significant contributor to the U.S. economy.
 In the competitive weight-loss drug market, Eli Lilly is taking proactive measures to maintain its market share. By reducing the price of its weight-loss drug Zepbound and introducing higher-dose vials at discounted rates, the company is addressing affordability concerns for self-paying patients. This strategy not only enhances patient access but also counters competition from unapproved drug copies, solidifying its position in a high-growth therapeutic area. These initiatives have contributed to Eli Lilly's strong stock performance, which has outpaced the broader market.
 **Financials**  
 Eli Lilly's financial metrics reflect robust growth and profitability. The company reported a trailing price-to-earnings (P/E) ratio of 79.53 and a forward P/E of 41.03, indicating strong earnings growth expectations. Its revenue growth of 44.7% year-over-year and earnings growth of 101.8% underscore its operational efficiency and market demand for its products. Gross margins of 81.31% and operating margins of 42.84% highlight its ability to maintain profitability despite competitive pressures.
 The company's market capitalization stands at $835 billion, with a 52-week price range of $711.40 to $972.53, reflecting investor confidence. However, its high price-to-book ratio of 58.80 and elevated debt-to-equity ratio of 244.62% suggest a reliance on leverage, which could pose risks in a rising interest rate environment. Despite this, Eli Lilly's return on equity (ROE) of 84.26% and return on assets (ROA) of 15.33% indicate efficient use of capital and strong asset performance.
 **Valuations**  
 Eli Lilly's valuation metrics suggest a premium pricing relative to its peers, driven by its strong growth prospects and market leadership. The trailing PEG ratio of 1.35 indicates that the stock's price is justified by its earnings growth, making it an attractive option for growth-oriented investors. Analyst sentiment remains positive, with a mean price target of $995.86 and a recommendation key of "buy." The company's dividend yield of 0.65% and a payout ratio of 44.41% provide additional value for income-focused investors.
 **Economic Outlook**  
 Eli Lilly's strategic investments in U.S. manufacturing align with the current economic environment, characterized by trade tensions and tariff uncertainties. By reducing reliance on foreign supply chains, the company is well-positioned to navigate potential disruptions. Additionally, its focus on high-demand therapeutic areas, such as oncology and weight-loss drugs, ensures resilience against broader economic slowdowns. However, the company's high leverage and reliance on premium pricing could be challenged if economic conditions deteriorate further or if competitive pressures intensify.
 **Summary**  
 **Thesis**: Eli Lilly's strategic investments in manufacturing, innovative product pipeline, and proactive market strategies position it for sustained growth and resilience in a challenging economic environment.  
 **Edge**: The company's strong financial performance, high-margin products, and leadership in high-growth therapeutic areas provide a competitive advantage.  
 **Risk**: Elevated leverage and premium valuations could pose challenges in a rising interest rate environment or during economic downturns.
 **Score**: 88</t>
  </si>
  <si>
    <t>**Investment Report: Lam Research Corporation (LRCX)**
 **Recent News:**  
 Lam Research has experienced a 5.7% decline since its last earnings report, despite a strong year-to-date (YTD) performance with a 15.4% gain. The stock's recent pullback may be attributed to profit-taking after its robust rally, as well as broader market volatility in the semiconductor sector. The company's growth has been fueled by increasing demand for AI-driven semiconductor applications, which has positioned it as a key player in the industry. However, the market's reaction suggests concerns about valuation levels and potential headwinds from macroeconomic factors, including trade tensions and slowing global growth.
 **Financials:**  
 Lam Research's financial performance remains solid, with a trailing price-to-earnings (PE) ratio of 23.03 and a forward PE of 17.75, indicating expectations of earnings growth. The company reported a 24.8% quarterly earnings growth and a 16.4% revenue growth, reflecting strong operational execution. Its gross margins of 47.73% and operating margins of 30.48% highlight its efficiency and profitability. The company also maintains a healthy balance sheet, with a current ratio of 2.54 and a quick ratio of 1.68, ensuring liquidity. Free cash flow of $3.13 billion and a manageable debt-to-equity ratio of 56.57 further support its financial stability.
 Lam Research's dividend yield of 1.2% is slightly above its five-year average of 1.12%, with a payout ratio of 26.14%, indicating room for future dividend growth. The company has also demonstrated strong returns, with a return on equity (ROE) of 50.42% and a return on assets (ROA) of 15.59%, underscoring its ability to generate shareholder value.
 **Valuations:**  
 The stock's price-to-book ratio of 11.05 and enterprise value-to-EBITDA ratio of 18.87 suggest that Lam Research is trading at a premium compared to some of its peers. However, its trailing PEG ratio of 1.40 indicates that the stock's valuation is reasonable relative to its growth prospects. Analysts maintain a positive outlook, with a mean price target of $95.60, representing potential upside from current levels. The recommendation mean of 1.72 (on a scale where 1.0 is a strong buy) reflects strong confidence in the stock's long-term potential.
 **Economic Outlook:**  
 The semiconductor industry faces mixed macroeconomic conditions. On one hand, the sector benefits from secular growth drivers such as AI, cloud computing, and 5G adoption. On the other hand, geopolitical tensions, including U.S.-China trade disputes and new tariffs, could disrupt supply chains and increase costs. Additionally, the broader market is grappling with recession fears, as U.S. GDP is projected to contract in Q1 2025. These factors could weigh on investor sentiment and near-term performance for semiconductor companies, including Lam Research.
 **Summary of Thesis, Edge, and Risk:**  
 Lam Research's strong financial performance, robust growth in AI-driven semiconductor demand, and efficient operations provide a compelling investment thesis. Its edge lies in its leadership position within the semiconductor equipment industry and its ability to capitalize on long-term technological trends. However, risks include valuation concerns, potential impacts from trade tensions, and broader economic uncertainty, which could lead to short-term volatility.
 **Score:** 78</t>
  </si>
  <si>
    <t>**Investment Report: Las Vegas Sands (LVS)**
 **Recent News**  
 Las Vegas Sands (LVS) has seen a 9.3% decline in its stock price since its last earnings report, reflecting investor concerns over its financial performance and broader market conditions. The company reported a year-over-year decline in earnings growth (-15.2%) and revenue growth (-0.7%), signaling challenges in maintaining momentum. The decline in earnings may be attributed to weaker-than-expected recovery in key markets, particularly in Macau, where regulatory uncertainties and slower-than-anticipated tourism recovery have weighed on performance. Additionally, the broader economic slowdown and rising geopolitical tensions, including trade tariffs, may have dampened investor sentiment toward the gaming and hospitality sector.
 **Financials**  
 Las Vegas Sands maintains a strong market position with a market capitalization of $32.5 billion and robust gross margins of 79.4%. However, its financial leverage is notable, with a debt-to-equity ratio of 441.1%, reflecting significant reliance on debt financing. The company's enterprise value of $42.6 billion suggests a premium valuation relative to its revenue and EBITDA, with an enterprise-to-revenue ratio of 3.77 and enterprise-to-EBITDA ratio of 11.32. While LVS has a healthy free cash flow of $1.16 billion and operating cash flow of $3.2 billion, its earnings growth (-10.9%) and revenue growth (-0.7%) indicate near-term headwinds. The trailing P/E ratio of 23.18 and forward P/E ratio of 16.52 suggest that the stock is priced for moderate growth, but the recent earnings miss raises questions about its ability to meet these expectations.
 **Valuations**  
 LVS's dividend yield of 2.24% is below its five-year average of 4.75%, reflecting a more conservative payout strategy amid uncertain market conditions. The stock's price-to-book ratio of 11.28 indicates a high premium relative to its book value, which may deter value-focused investors. Analysts remain optimistic, with a mean target price of $57.95, representing a potential upside of approximately 30% from current levels. However, the stock's 52-week performance (-12.2%) lags behind the S&amp;P 500's 17.2% gain, highlighting relative underperformance.
 **Economic Outlook**  
 The macroeconomic environment poses challenges for LVS. The U.S. economy is showing signs of deceleration, with GDP expected to contract by 1.5% in Q1 2025. Rising trade tensions, particularly with China, could impact LVS's operations in Macau, a critical revenue driver. Additionally, the broader slowdown in consumer confidence and discretionary spending may weigh on the gaming and hospitality industry. On the positive side, inflation appears to be moderating, which could lead to eventual rate cuts by the Federal Reserve, potentially supporting consumer spending in the medium term.
 **Summary**  
 **Thesis**: Las Vegas Sands benefits from a strong market position and high-margin operations, but its near-term outlook is clouded by declining earnings growth, high leverage, and macroeconomic headwinds.  
 **Edge**: The company's robust cash flow and strategic presence in high-growth markets like Macau provide a foundation for long-term recovery.  
 **Risk**: Elevated debt levels, regulatory uncertainties in key markets, and broader economic slowdown pose significant risks to near-term performance.
 **Score**: 55</t>
  </si>
  <si>
    <t>LYB</t>
  </si>
  <si>
    <t>**Investment Report: LyondellBasell Industries (LYB)**
 **Recent News**  
 LyondellBasell has made notable strides in its joint venture with Sipchem, securing feedstock allocation for the production of advanced polyethylene and polypropylene grades. This development highlights the company's focus on leveraging its proprietary technologies, such as the Catalloy line, to produce differentiated and high-value products. This strategic move aligns with the growing demand for specialized polymers in various industries, potentially enhancing LyondellBasell's competitive edge in the specialty chemicals market.  
 Conversely, the company is facing challenges with the impending closure of its Houston refinery, resulting in significant layoffs of 345 workers. This decision reflects broader industry trends of declining profitability in traditional refining operations and a strategic pivot toward higher-margin, value-added chemical production. While this transition may streamline operations and improve long-term profitability, it could weigh on near-term sentiment and operational stability.
 **Financials**  
 LyondellBasell's financial metrics present a mixed picture. The company offers an attractive dividend yield of 6.98%, significantly above its five-year average of 5.3%, which may appeal to income-focused investors. However, the high payout ratio of 127.29% raises concerns about the sustainability of these dividends, especially in a challenging macroeconomic environment.  
 The firm's valuation metrics suggest potential undervaluation. Its forward P/E ratio of 8.53 is well below the trailing P/E of 17.73, indicating expectations of improved earnings. Additionally, the price-to-sales ratio of 0.59 and price-to-book ratio of 1.91 are relatively low, suggesting the stock may be trading at a discount compared to its peers. However, the company's debt-to-equity ratio of 103.82% is elevated, reflecting significant leverage that could pose risks in a rising interest rate environment.  
 Operationally, LyondellBasell's revenue growth has declined by 4.4% year-over-year, and gross margins remain thin at 11.32%. While the company generates solid free cash flow of $1.79 billion, its return on equity (10.57%) and return on assets (4.72%) are modest, indicating limited efficiency in capital utilization.
 **Valuations**  
 Analyst sentiment is cautious, with a consensus "hold" rating and a mean price target of $86.20, representing a modest upside from the current trading range. The stock has underperformed the broader market, with a 52-week decline of 24.29% compared to the S&amp;P 500's gain of 17.25%. This underperformance reflects both sector-specific headwinds and broader economic challenges.
 **Economic Outlook**  
 The macroeconomic environment poses challenges for LyondellBasell. The U.S. economy is showing signs of deceleration, with GDP contraction expected in Q1 2025 and rising jobless claims. Additionally, the imposition of tariffs on key trading partners, including Canada, Mexico, and China, could disrupt supply chains and increase input costs for the chemicals industry. However, the company's focus on differentiated products and strategic partnerships may help mitigate some of these risks.  
 **Summary**  
 **Thesis**: LyondellBasell's focus on high-value specialty chemicals and its strategic partnership with Sipchem position it well for long-term growth.  
 **Edge**: The company's proprietary technologies and strong dividend yield provide a competitive advantage and appeal to income-focused investors.  
 **Risk**: Elevated leverage, declining revenue growth, and macroeconomic headwinds, including tariffs and slowing GDP, pose significant near-term risks.  
 **Score**: 65</t>
  </si>
  <si>
    <r>
      <t xml:space="preserve">**Investment Report: Mastercard (MA)**
 **Recent News**  
 Mastercard has been actively expanding its digital payment ecosystem, particularly in the EEMEA (Eastern Europe, Middle East, and Africa) region. Partnerships with MTN, Emirates NBD, Sadad, and </t>
    </r>
    <r>
      <rPr>
        <rFont val="&quot;Helvetica Neue&quot;"/>
        <color rgb="FF1155CC"/>
        <sz val="8.0"/>
        <u/>
      </rPr>
      <t>Checkout.com</t>
    </r>
    <r>
      <rPr>
        <rFont val="&quot;Helvetica Neue&quot;"/>
        <sz val="8.0"/>
      </rPr>
      <t xml:space="preserve"> aim to leverage Mastercard's technology to drive digital payment adoption. This strategic move aligns with the global trend toward cashless economies and positions Mastercard as a key player in emerging markets with high growth potential. Additionally, Mastercard's collaboration with Ondo Finance to integrate real-world assets into its Multi-Token Network (MTN) highlights its commitment to blockchain innovation and digital asset integration. This initiative could enhance Mastercard's competitive edge in the evolving financial technology landscape. The promotion of Tim Murphy to vice chair further strengthens the company's leadership, particularly in regulatory and strategic initiatives, which are critical in navigating the complex global payments environment.
 **Financials**  
 Mastercard's financial performance remains robust, with a market capitalization of $524 billion and a profit margin of 45.7%, reflecting its strong profitability. The company has demonstrated consistent revenue growth, with a 14.4% year-over-year increase, and earnings growth of 22.3%, signaling operational efficiency and demand resilience. Its trailing P/E ratio of 41.39 and forward P/E of 35.10 indicate a premium valuation, justified by its high growth rates and dominant market position. The dividend yield of 0.53% is modest but aligns with Mastercard's focus on reinvesting in growth opportunities. The company's free cash flow of $14.46 billion and operating cash flow of $14.78 billion provide ample liquidity to fund strategic initiatives and shareholder returns. However, the debt-to-equity ratio of 291.42 is notably high, which could pose risks in a rising interest rate environment.
 **Valuations**  
 Mastercard's stock is trading near its 52-week high of $582.23, reflecting strong investor confidence. The price-to-sales ratio of 18.61 and price-to-book ratio of 81.03 suggest a rich valuation, but these metrics are typical for high-growth, asset-light businesses like Mastercard. Analyst sentiment remains positive, with a mean target price of $618.26, implying potential upside. The recommendation mean of 1.69 (buy) from 36 analysts underscores the market's favorable outlook on the stock. Mastercard's trailing PEG ratio of 2.31 indicates that its growth is priced at a premium, but this is supported by its consistent revenue and earnings expansion.
 **Economic Outlook**  
 The macroeconomic environment presents both opportunities and challenges for Mastercard. The global shift toward digital payments, accelerated by technological advancements and consumer preferences, provides a tailwind for the company. However, geopolitical tensions, trade tariffs, and economic deceleration in key markets could impact cross-border transaction volumes, a significant revenue driver for Mastercard. Additionally, rising interest rates and inflationary pressures may affect consumer spending patterns, potentially dampening transaction growth. Despite these headwinds, Mastercard's strong presence in emerging markets and its focus on innovation position it well to navigate economic uncertainties.
 **Summary**  
 **Thesis**: Mastercard's strategic initiatives in digital payments and blockchain technology, coupled with its strong financial performance, position it as a leader in the evolving payments industry.  
 **Edge**: Its global reach, innovative partnerships, and focus on high-growth markets provide a competitive advantage.  
 **Risk**: High debt levels and macroeconomic uncertainties, including trade tensions and slowing global growth, could weigh on performance.  
 **Score**: 85</t>
    </r>
  </si>
  <si>
    <t>MAA</t>
  </si>
  <si>
    <t>**Investment Report: Mid-America Apartment Communities (MAA)**
 **Recent News**:  
 There have been no significant updates or news regarding Mid-America Apartment Communities (MAA) in the past week. This lack of news suggests stability in the company's operations and no immediate disruptions or catalysts impacting its performance.
 **Financials**:  
 Mid-America Apartment Communities operates in the multi-family residential REIT sector, which has shown resilience amid economic uncertainty. The firm’s stock recently reached its 52-week high of $171.27, reflecting strong investor confidence. Its dividend yield of 3.6% is above its five-year average of 3.22%, indicating an attractive income opportunity for shareholders. However, the payout ratio of 130.96% suggests that dividends are being funded beyond earnings, which could raise sustainability concerns if growth slows.
 The company’s trailing price-to-earnings (P/E) ratio of 38.07 and forward P/E of 41.19 indicate a premium valuation compared to the broader market, reflecting investor optimism about its growth prospects. However, these high multiples may limit upside potential in the near term, especially in a rising interest rate environment. The price-to-book ratio of 3.36 further underscores the stock's elevated valuation relative to its tangible assets.
 MAA’s financial health appears solid, with a profit margin of 24.08% and EBITDA margins of 56.74%, showcasing operational efficiency. The company’s debt-to-equity ratio of 81.74% is relatively high, but manageable given its stable cash flows and strong institutional ownership of 97.55%, which signals confidence from large investors. The firm’s free cash flow of $964 million provides flexibility for debt servicing and potential reinvestment.
 **Valuations**:  
 The stock is trading near its 52-week high, which may limit immediate upside potential. Analysts have a median price target of $162, slightly below the current price, suggesting limited room for appreciation in the short term. The recommendation mean of 2.35 (between "buy" and "hold") reflects cautious optimism among analysts. The elevated valuation metrics, including a price-to-sales ratio of 9.36 and enterprise value-to-EBITDA of 20.21, suggest the stock is priced for perfection, leaving little margin for error.
 **Economic Outlook**:  
 The broader economic environment presents mixed implications for MAA. Rising interest rates and a potential economic slowdown could weigh on the real estate sector, as higher borrowing costs may pressure margins and reduce demand for housing. However, the multi-family residential REIT sector tends to be more defensive, benefiting from consistent rental income even during economic downturns. MAA’s focus on high-growth Sunbelt markets positions it well to capitalize on population migration trends and demand for rental housing.
 The recent implementation of tariffs and geopolitical uncertainties could indirectly impact the company by increasing construction and maintenance costs, potentially squeezing margins. However, MAA’s strong gross margins of 59.28% provide a buffer against such pressures.
 **Summary**:  
 **Thesis**: MAA is a well-managed REIT with strong operational efficiency and a defensive business model, benefiting from stable rental income and exposure to high-growth markets.  
 **Edge**: Its above-average dividend yield and strong institutional backing provide a degree of stability and attractiveness in uncertain markets.  
 **Risk**: Elevated valuations, high payout ratio, and potential macroeconomic headwinds, including rising interest rates and inflationary pressures, could limit near-term upside.
 **Score**: 72</t>
  </si>
  <si>
    <t>MCD</t>
  </si>
  <si>
    <t>**Investment Report: McDonald's Corporation (MCD)**
 **Recent News**  
 McDonald's is currently trading at a discount relative to its industry peers, raising questions about whether this presents a favorable entry point. The company has also made headlines by celebrating the 50th anniversary of its iconic Egg McMuffin, emphasizing its commitment to value by refusing to pass on record-high egg prices to consumers. This strategic move highlights McDonald's focus on maintaining customer loyalty and reinforcing its value-driven breakfast offerings, which could help sustain traffic in a challenging economic environment.
 **Financials**  
 McDonald's financial performance remains robust, with a market capitalization of $217.4 billion and a dividend yield of 2.3%, slightly above its five-year average of 2.25%. The company has a trailing P/E ratio of 26.74 and a forward P/E of 24.13, indicating a premium valuation but one that aligns with its strong profitability metrics. McDonald's profit margins stand at an impressive 31.7%, supported by EBITDA margins of 53.8% and operating margins of 45.1%. However, revenue growth has been slightly negative (-0.3%), reflecting broader economic headwinds and potential saturation in key markets.
 The company's balance sheet shows a high level of debt, with total debt at $51.99 billion compared to $1.12 billion in cash. Despite this, McDonald's generates significant free cash flow of $5.13 billion, which supports its dividend payouts and ongoing investments. The payout ratio of 59.5% suggests that dividends are sustainable, even in a slower growth environment.
 **Valuations**  
 McDonald's is trading near the lower end of its 52-week range, with a recent close of $306.56 compared to a high of $317.90. Analysts have a median price target of $335, implying a potential upside of approximately 9.3%. The stock's beta of 0.706 indicates lower volatility compared to the broader market, making it an attractive option for risk-averse investors. However, the price-to-sales ratio of 8.39 and enterprise value-to-EBITDA ratio of 19.23 suggest that the stock is not deeply undervalued, even at its current levels.
 **Economic Outlook**  
 The broader economic environment presents mixed implications for McDonald's. On one hand, rising tariffs and economic uncertainty could pressure consumer spending, particularly in discretionary categories. However, McDonald's value-oriented menu and global brand strength position it well to capture demand from cost-conscious consumers during economic slowdowns. The company's decision to absorb higher input costs, such as record-high egg prices, rather than passing them on to customers, could further enhance its competitive edge in retaining market share.
 **Summary**  
 **Thesis**: McDonald's remains a fundamentally strong company with robust profitability, a resilient business model, and a commitment to value that resonates with consumers during economic uncertainty.  
 **Edge**: Its ability to maintain customer loyalty through strategic pricing and promotions, coupled with its strong cash flow generation, supports its long-term growth and dividend sustainability.  
 **Risk**: The company's high debt levels and negative revenue growth could pose challenges if economic conditions deteriorate further or if input costs rise significantly.
 **Score**: 85</t>
  </si>
  <si>
    <t>MO</t>
  </si>
  <si>
    <t>**Investment Report: Altria Group, Inc. (MO)**
 **Recent News**  
 Altria Group, Inc. (MO) has garnered significant attention recently, particularly due to its high dividend yield of 7.31%, which stands out against the S&amp;P 500's average yield of 1.2% and the consumer staples sector's 2.7%. This yield positions Altria as a compelling income-generating stock, especially for dividend-focused investors. However, the company's risk profile is accelerating, as highlighted by its reliance on a declining tobacco market and regulatory pressures. Despite these challenges, Altria remains a trending stock, reflecting its appeal to investors seeking stability and income in a volatile market.
 **Financials**  
 Altria's financial performance demonstrates resilience, with a trailing price-to-earnings (P/E) ratio of 8.76 and a forward P/E of 10.71, indicating a relatively undervalued position compared to broader market averages. The company boasts strong profit margins of 55.1% and EBITDA margins of 60.59%, underscoring its operational efficiency. Revenue growth remains modest at 1.6%, but earnings growth of 53.9% highlights the firm's ability to generate substantial profitability despite a challenging environment. Altria's free cash flow of $4.63 billion and operating cash flow of $8.75 billion provide a solid foundation for sustaining its dividend payouts, which are supported by a manageable payout ratio of 61.16%.
 However, the company's balance sheet reveals some vulnerabilities. With total debt of $24.93 billion and a quick ratio of 0.39, Altria's liquidity is constrained, leaving limited room for maneuvering in the face of potential economic or regulatory headwinds. Additionally, the company's negative book value (-$1.32 per share) and high price-to-book ratio (-43.29) reflect its reliance on intangible assets and goodwill, which could pose risks in a downturn.
 **Valuations**  
 Altria's valuation metrics suggest a mixed picture. While its P/E ratios and dividend yield make it attractive for value and income investors, its trailing PEG ratio of 3.99 indicates that the stock may be overvalued relative to its growth prospects. The stock's 52-week price range of $39.72 to $58.04 shows that it is trading near its upper limit, potentially limiting upside in the near term. Analyst sentiment is neutral, with a recommendation mean of 2.57 (hold) and a median price target of $57.64, close to its current trading price of $57.26.
 **Economic Outlook**  
 The broader economic environment presents both opportunities and challenges for Altria. The U.S. economy is showing signs of deceleration, with GDP expected to contract in Q1 2025. This could weigh on consumer spending, particularly for discretionary products like tobacco. Additionally, rising geopolitical tensions and trade tariffs may disrupt supply chains and increase costs. However, Altria's defensive nature as a consumer staples company could provide some insulation against economic volatility. Its high dividend yield may also attract investors seeking income in a low-growth environment.
 **Summary**  
 **Thesis**: Altria's high dividend yield and strong profitability metrics make it an attractive option for income-focused investors, particularly in a volatile market.  
 **Edge**: The company's operational efficiency and robust cash flow generation support its ability to maintain dividend payouts, even amid economic and regulatory challenges.  
 **Risk**: Altria faces significant risks from declining tobacco consumption, regulatory pressures, and a constrained balance sheet, which could limit its ability to adapt to changing market conditions.
 **Score**: 72</t>
  </si>
  <si>
    <t>MRNA</t>
  </si>
  <si>
    <t>**Investment Report: Moderna**
 **Recent News:**  
 Moderna has received approval from the UK's health regulator for its vaccine targeting respiratory syncytial virus (RSV) in individuals aged 60 and over. This development highlights the company's continued efforts to diversify its vaccine portfolio beyond COVID-19. However, the positive news is overshadowed by reports that the Trump administration is reconsidering a $590 million contract for the development of a bird flu vaccine. This potential withdrawal of funding, initially granted during the Biden administration, raises concerns about Moderna's ability to secure government support for its pipeline projects. Additionally, the company has initiated aggressive cost-cutting measures, signaling an attempt to stabilize its financial position and stock performance, which has returned to pre-COVID vaccine approval levels.
 **Financials:**  
 Moderna's financial metrics reveal significant challenges. The company reported a net loss of $3.56 billion in the most recent fiscal year, with negative profit margins (-110%) and EBITDA margins (-116%). Revenue has declined sharply, with a year-over-year contraction of 65.6%, reflecting the waning demand for COVID-19 vaccines. The stock is trading near its 52-week low of $29.25, far below its high of $170.47, indicating a steep decline in investor confidence. Despite these challenges, Moderna maintains a strong liquidity position, with $7.02 billion in cash and a quick ratio of 3.45, which provides some buffer against near-term financial pressures. However, the company's forward price-to-earnings ratio of -3.48 and negative return on equity (-28.77%) highlight ongoing profitability concerns.
 **Valuations:**  
 Moderna's current price-to-book ratio of 1.07 suggests the stock is trading close to its book value, which may indicate undervaluation relative to its assets. However, the enterprise value-to-revenue ratio of 1.67 reflects a cautious market sentiment, given the company's declining revenue and profitability. Analyst price targets range widely, from $25 to $212, with a median target of $45, suggesting mixed expectations about the company's recovery prospects. The recommendation mean of 2.77 (between "hold" and "underperform") reflects a lack of strong conviction among analysts.
 **Economic Outlook:**  
 The broader economic environment poses additional challenges for Moderna. The U.S. economy is showing signs of deceleration, with GDP contraction expected in Q1 2025 and rising jobless claims. Trade tensions and tariffs under the Trump administration could further disrupt global supply chains, potentially impacting Moderna's international operations. On the positive side, the healthcare sector remains a defensive play during economic downturns, and Moderna's focus on vaccines for emerging health threats could provide long-term growth opportunities. However, the company's reliance on government contracts, as evidenced by the bird flu vaccine funding uncertainty, adds a layer of risk in the current political climate.
 **Summary:**  
 Moderna's thesis lies in its innovative vaccine pipeline and strong liquidity position, which provide a foundation for long-term growth. Its edge stems from its mRNA technology platform, which has proven adaptable to various infectious diseases. However, risks include declining COVID-19 vaccine revenues, potential loss of government funding, and ongoing profitability challenges. The stock's recent decline reflects these headwinds, and while the company has the resources to navigate near-term challenges, its recovery depends on successful execution of its pipeline and stabilization of its financial performance.
 **Score:** 45</t>
  </si>
  <si>
    <t>MS</t>
  </si>
  <si>
    <t>**Investment Report: Morgan Stanley (MS)**
 **Recent News**  
 Morgan Stanley has faced mixed developments recently. The Swiss attorney general fined the firm $1 million for a 2010 money laundering case, highlighting potential reputational risks and regulatory scrutiny. While the fine is relatively small for a firm of Morgan Stanley's size, it underscores the importance of compliance in the financial sector. On the other hand, Morgan Stanley remains a highly watched stock, with significant attention from analysts and investors, reflecting its prominence in the finance industry. The firm's performance has outpaced many of its peers, supported by strong earnings growth and a robust market position.
 **Financials**  
 Morgan Stanley's financial metrics indicate solid performance. The firm has a market capitalization of $208.27 billion and a trailing P/E ratio of 16.24, which is in line with industry averages. Its forward P/E ratio of 16.28 suggests stable earnings expectations. The firm has demonstrated impressive earnings growth of 163.6% and revenue growth of 24.9% year-over-year, signaling strong operational momentum. Profit margins stand at 21.77%, and return on equity is a healthy 13.17%, reflecting efficient capital utilization. The dividend yield of 2.78% is slightly below its five-year average of 3.0%, but the payout ratio of 44.65% indicates room for future dividend increases.
 However, the firm's debt-to-equity ratio of 397.03 is notably high, which could pose risks in a rising interest rate environment. Despite this, Morgan Stanley's liquidity appears strong, with a quick ratio of 1.76 and a current ratio of 2.09, supported by $532.66 billion in total cash.
 **Valuations**  
 Morgan Stanley's stock is trading at a price-to-book ratio of 2.19, which is slightly elevated compared to historical norms but justified by its strong earnings growth and market leadership. The stock has gained 49.34% over the past year, significantly outperforming the S&amp;P 500's 17.25% increase. Analysts have a median price target of $141, suggesting modest upside potential from its current price. The recommendation mean of 2.64 (on a scale where 1 is a strong buy and 5 is a sell) indicates a "hold" consensus among analysts.
 **Economic Outlook**  
 The broader economic environment presents both opportunities and challenges for Morgan Stanley. The U.S. economy is showing signs of deceleration, with GDP expected to contract in Q1 2025. Rising jobless claims and a record trade deficit could weigh on consumer and business confidence. However, moderating inflation and the potential for Federal Reserve rate cuts later in the year could provide a tailwind for financial stocks. Morgan Stanley's exposure to global markets and its diversified revenue streams position it well to navigate these uncertainties, though heightened market volatility and geopolitical risks could impact its investment banking and wealth management divisions.
 **Summary**  
 **Thesis**: Morgan Stanley's strong earnings growth, robust liquidity, and market leadership make it a solid player in the finance sector.  
 **Edge**: Its diversified business model and operational efficiency provide resilience in a challenging macroeconomic environment.  
 **Risk**: High debt levels and regulatory scrutiny could pose challenges, particularly in a volatile market or rising rate scenario.
 **Score**: 78</t>
  </si>
  <si>
    <t>**Investment Report: Microsoft Corporation**
 **Recent News**  
 Microsoft is navigating a dynamic landscape marked by innovation and strategic realignments. The company has introduced Dragon Copilot, an AI assistant tailored for healthcare, and is advancing its quantum computing capabilities with the Majorana 1 chip, reinforcing its leadership in cutting-edge technologies. These developments align with Microsoft's broader focus on AI and emerging technologies, which are expected to drive long-term growth. However, the company faces operational challenges, including a global Outlook outage and the decision to phase out Skype in favor of Teams. While the Skype transition reflects a strategic focus on enterprise collaboration tools, it raises questions about Microsoft's ability to manage legacy platforms effectively. Additionally, the scaling back of data center leases could signal a recalibration of its AI infrastructure strategy, potentially impacting its competitive positioning in cloud services. Despite these hurdles, Microsoft's partnerships, such as with Veeam Software, and its involvement in a $22 billion defense opportunity with Anduril Industries, underscore its commitment to diversification and innovation.
 **Financials**  
 Microsoft's financial performance remains robust, with a market capitalization of $2.89 trillion and a trailing P/E ratio of 31.25, reflecting strong investor confidence. The company boasts a profit margin of 35.4% and EBITDA margins of 54.3%, highlighting its operational efficiency. Revenue growth of 12.3% and earnings growth of 10.2% indicate steady expansion, supported by a gross margin of 69.4%. Microsoft's dividend yield of 0.84% and a payout ratio of 24.82% demonstrate its commitment to returning value to shareholders, complemented by a decade-long dividend CAGR of 10.35%. However, the stock has underperformed the S&amp;P 500 over the past year, with a 52-week change of -1.41%, reflecting broader market volatility and sector-specific pressures.
 **Valuations**  
 Microsoft's forward P/E ratio of 25.99 suggests a premium valuation, justified by its strong growth prospects and leadership in high-margin industries like cloud computing and AI. The price-to-book ratio of 9.54 and enterprise value-to-revenue multiple of 11.15 indicate that the stock is priced for growth, supported by a mean analyst price target of $508.05, representing significant upside potential from its current price. The company's free cash flow of $51.96 billion and a return on equity of 34.29% further reinforce its financial strength and ability to invest in future growth.
 **Economic Outlook**  
 The broader economic environment presents mixed signals for Microsoft. While the U.S. economy is showing signs of deceleration, with GDP contraction expected in Q1 2025, Microsoft's diversified revenue streams and focus on high-growth sectors like AI and quantum computing position it to weather macroeconomic headwinds. However, geopolitical tensions, including escalating trade wars and tariffs, could impact its global operations and supply chain. The company's decision to scale back data center leases may also reflect caution in response to economic uncertainty, though it could limit its ability to capitalize on surging demand for cloud services.
 **Summary**  
 **Thesis**: Microsoft's leadership in AI, quantum computing, and cloud services, combined with its strong financial performance, positions it as a resilient player in a challenging economic environment.  
 **Edge**: The company's focus on innovation and strategic partnerships provides a competitive advantage in high-growth industries.  
 **Risk**: Operational challenges, including outages and strategic recalibrations, along with macroeconomic uncertainties, could weigh on near-term performance.
 **Score**: 85</t>
  </si>
  <si>
    <t>**Investment Report: Micron Technology (MU)**
 **Recent News**  
 Micron Technology has recently launched its first 1y (1-gamma) DDR5 memory chip samples, a significant step in addressing the growing demand for high-performance memory solutions driven by artificial intelligence (AI) applications. This development positions Micron as a key player in the AI-driven semiconductor market, which is expected to see robust growth in the coming years. However, the stock has experienced volatility, with a 39% decline from its 52-week high in mid-2024, reflecting broader market pressures and potential concerns about cyclical demand in the semiconductor industry. Despite this, the stock has shown resilience, with a recent 4.5% intraday gain, likely driven by optimism surrounding its new product launch and its strategic alignment with AI trends.
 **Financials**  
 Micron's financial metrics present a mixed picture. The company has a market capitalization of $100.88 billion and a price-to-sales ratio of 3.47, which is reasonable for the semiconductor industry. Its forward price-to-earnings (P/E) ratio of 7.03 suggests that the stock is undervalued relative to its future earnings potential, especially when compared to its trailing P/E of 25.94. The company has a strong balance sheet, with a current ratio of 2.72 and a quick ratio of 1.67, indicating solid liquidity. However, its debt-to-equity ratio of 30.86% and negative free cash flow (-$11 million) highlight some financial constraints, likely due to ongoing investments in R&amp;D and capacity expansion. Revenue growth of 84.3% year-over-year is a standout metric, driven by strong demand for memory and storage solutions, while gross margins of 30.92% and operating margins of 24.96% reflect healthy profitability.
 **Valuations**  
 Micron's valuation metrics suggest a compelling opportunity for long-term investors. The stock is trading at a price-to-book ratio of 2.16, which is attractive given its book value of $42.01 per share. Analyst sentiment remains positive, with a mean target price of $130.10, representing significant upside from its current trading range. The recommendation mean of 1.51 (on a scale where 1.0 is a strong buy) underscores strong institutional confidence in the stock. However, the stock's beta of 1.23 indicates higher volatility, which could be exacerbated by macroeconomic uncertainties and cyclical risks in the semiconductor sector.
 **Economic Outlook**  
 The broader economic environment presents both opportunities and challenges for Micron. The semiconductor industry is poised to benefit from secular growth drivers such as AI, cloud computing, and 5G, but it remains sensitive to global trade tensions and economic slowdowns. Recent tariff escalations between the U.S. and key trading partners, including China, could impact Micron's supply chain and cost structure. Additionally, the U.S. economy is showing signs of deceleration, with GDP contraction expected in Q1 2025, which could weigh on consumer and enterprise spending. However, Micron's focus on high-growth markets like AI and its ongoing innovation in memory technology position it well to navigate these challenges.
 **Summary**  
 **Thesis**: Micron's strategic focus on AI-driven memory solutions and its strong financial position make it a compelling player in the semiconductor industry.  
 **Edge**: The launch of its 1y DDR5 memory chip aligns with growing demand for high-performance computing, providing a competitive edge in a rapidly evolving market.  
 **Risk**: Macroeconomic headwinds, including trade tensions and cyclical demand fluctuations, could impact near-term performance.
 **Score**: 78</t>
  </si>
  <si>
    <t>NDAQ</t>
  </si>
  <si>
    <t>**Investment Report: Nasdaq, Inc. (NDAQ)**
 **Recent News**  
 Nasdaq, Inc. has seen a 1.8% decline in its stock price since its last earnings report, reflecting a mixed market reaction to its financial performance and broader economic conditions. The company reported strong earnings growth of 80.2% year-over-year, supported by a 23.3% increase in revenue growth. However, the stock's high valuation metrics, including a trailing P/E ratio of 42.47 and forward P/E of 26.10, suggest that investors may be cautious about its ability to sustain such growth amid rising macroeconomic uncertainties. Additionally, the broader market's volatility, driven by geopolitical tensions and trade policy shifts, has likely contributed to the stock's recent underperformance.
 **Financials**  
 Nasdaq's financial performance remains robust, with a profit margin of 15.1% and EBITDA margins of 35.4%, indicating strong operational efficiency. The company generated $7.4 billion in total revenue over the trailing twelve months, with a free cash flow of $1.76 billion, providing it with flexibility for reinvestment or shareholder returns. However, its debt-to-equity ratio of 88.6% highlights a relatively high leverage position, which could pose risks in a rising interest rate environment. The company's return on equity (ROE) of 10.12% and return on assets (ROA) of 3.99% are solid but not exceptional, reflecting steady but not extraordinary profitability.
 Nasdaq's dividend yield of 1.16% is below its five-year average of 1.36%, which may make it less attractive to income-focused investors. The payout ratio of 48.7% suggests that the dividend is sustainable, but the company's focus on growth may limit future increases in dividend payouts.
 **Valuations**  
 Nasdaq's valuation metrics indicate that the stock is trading at a premium compared to its historical averages and industry peers. The price-to-book ratio of 4.21 and price-to-sales ratio of 6.37 suggest that the market has high expectations for the company's future growth. However, the trailing PEG ratio of 1.69 indicates that the stock's valuation is somewhat justified by its earnings growth potential. Analysts have a median price target of $90, representing a modest upside from the current price, with a recommendation mean of 2.15 (Buy), reflecting cautious optimism.
 **Economic Outlook**  
 The broader economic environment presents both opportunities and challenges for Nasdaq. The company's revenue growth is supported by increased trading activity and demand for its data and technology services. However, the ongoing trade tensions, rising interest rates, and potential economic slowdown could weigh on market activity and investor sentiment, impacting Nasdaq's core business. Additionally, the company's high leverage could become a concern if borrowing costs rise further.
 Nasdaq's beta of 0.97 suggests that the stock is slightly less volatile than the broader market, which could provide some stability in uncertain times. However, the company's exposure to market activity makes it sensitive to broader economic and geopolitical developments.
 **Summary**  
 **Thesis**: Nasdaq, Inc. benefits from strong revenue and earnings growth, supported by its diversified business model and operational efficiency.  
 **Edge**: The company's leadership in financial exchanges and data services positions it well to capitalize on long-term trends in market digitization and data analytics.  
 **Risk**: High leverage, premium valuation, and sensitivity to macroeconomic and market conditions could limit near-term upside potential.
 **Score**: 72</t>
  </si>
  <si>
    <t>NEE</t>
  </si>
  <si>
    <t>**Investment Report: NextEra Energy (NEE)**
 **Recent News**  
 NextEra Energy has garnered significant attention recently, with analysts and contributors highlighting its potential as a strong dividend stock and a worthwhile investment. The company’s dividend yield of 3.23% is notably higher than its five-year average of 2.29%, suggesting an attractive income opportunity for investors. Analysts have also pointed to changes in the company’s valuation and market positioning as reasons for its renewed appeal. However, the broader economic environment and sector-specific challenges may temper enthusiasm.
 **Financials**  
 NextEra Energy’s financial metrics reflect a mixed picture. The company’s trailing price-to-earnings (P/E) ratio of 21.25 and forward P/E of 19.46 indicate a valuation that is slightly above the utility sector average, suggesting moderate growth expectations. Its profit margins remain robust at 28.06%, supported by strong gross margins of 60.06%. However, revenue growth has declined by 21.7% year-over-year, and earnings growth has contracted by 0.8%, signaling potential headwinds in its core operations.
 The company’s balance sheet shows a high debt-to-equity ratio of 137.3%, which is typical for utility companies but still represents a significant financial obligation. Operating cash flow remains strong at $13.26 billion, but free cash flow is negative at -$14.17 billion, reflecting heavy capital expenditures. This aligns with NextEra’s ongoing investments in renewable energy infrastructure, which could drive long-term growth but may pressure near-term financial flexibility.
 **Valuations**  
 NextEra Energy’s current price-to-book ratio of 2.94 is reasonable for a utility company with a strong focus on renewable energy, but it suggests limited upside compared to its historical valuation. The stock is trading near its 50-day average of $70.50, well below its 200-day average of $75.89, indicating recent weakness. Analysts’ target prices range from $52 to $103, with a mean target of $84.27, implying a potential upside of approximately 19% from current levels. The recommendation mean of 2.13 (on a scale where 1 is a strong buy) reflects a generally positive outlook among analysts.
 **Economic Outlook**  
 The broader economic environment presents challenges for NextEra Energy. Rising interest rates increase the cost of capital, which is particularly impactful for utility companies with high debt levels. Additionally, the U.S. economy is showing signs of deceleration, with GDP expected to contract in Q1 2025. This could dampen demand for energy and weigh on the company’s revenue growth. However, NextEra’s focus on renewable energy positions it well to benefit from long-term trends toward decarbonization and clean energy adoption, supported by favorable regulatory policies.
 **Summary**  
 **Thesis**: NextEra Energy’s strong dividend yield, robust profit margins, and leadership in renewable energy make it an attractive long-term investment.  
 **Edge**: The company’s focus on clean energy infrastructure provides a competitive advantage in a transitioning energy market.  
 **Risk**: High debt levels, negative free cash flow, and declining revenue growth pose near-term challenges, compounded by a slowing economy.
 **Score**: 75</t>
  </si>
  <si>
    <t>NOW</t>
  </si>
  <si>
    <t>**Investment Report: ServiceNow (NOW)**
 **Recent News**  
 ServiceNow has recently seen a modest uptick in its stock price, closing at $929.76, a 0.96% increase from the prior day. This movement contrasts with the broader market's flat performance, suggesting some positive sentiment around the company. A notable driver of this optimism was the announcement of a new business deal, which led to a 2% rise in the stock on a day when the S&amp;P 500 remained unchanged. This indicates that ServiceNow's operational developments are resonating with investors, even amid broader market uncertainty. However, the stock remains below its 50-day average of $1,042.33, reflecting some recent downward pressure.
 **Financials**  
 ServiceNow's financial metrics highlight its strong growth trajectory but also reveal a premium valuation. The company reported trailing twelve-month revenue of $10.98 billion, with a robust revenue growth rate of 21.3% year-over-year. Profit margins stand at 12.97%, supported by high gross margins of 79.18%, indicating efficient cost management. Earnings growth of 29.6% and quarterly earnings growth of 30.2% further underscore its profitability momentum.
 However, the valuation metrics suggest the stock is priced for perfection. The trailing P/E ratio of 132.31 and forward P/E of 54.51 are significantly higher than industry averages, reflecting high investor expectations. The price-to-sales ratio of 17.11 and price-to-book ratio of 19.56 also indicate a premium valuation. Despite these high multiples, the company has a solid balance sheet, with $5.76 billion in cash and manageable debt of $2.28 billion, resulting in a debt-to-equity ratio of 23.71. Free cash flow of $3.28 billion further strengthens its financial position.
 **Valuations**  
 ServiceNow's valuation is supported by its strong growth prospects, as evidenced by its forward EPS of $16.70 and a PEG ratio of 2.10, which is reasonable for a high-growth company. Analysts remain bullish, with a mean price target of $1,153.50, representing a potential upside of 24% from the current price. The high target of $1,426 suggests even greater optimism among some analysts. Institutional ownership of 92.23% reflects confidence from large investors, while a low short interest ratio of 1.79 indicates limited bearish sentiment.
 **Economic Outlook**  
 The broader economic environment presents both opportunities and risks for ServiceNow. The company's focus on enterprise software positions it well to benefit from ongoing digital transformation trends, even as macroeconomic conditions weaken. However, the recent escalation in trade tensions and tariffs could weigh on corporate IT budgets, potentially impacting ServiceNow's growth. Additionally, rising interest rates and economic deceleration may lead to reduced spending by some of its clients, particularly in sectors sensitive to economic cycles.
 **Summary**  
 **Thesis**: ServiceNow's strong revenue and earnings growth, coupled with its high gross margins and robust cash flow, make it a leader in the enterprise software space. Its ability to secure new business deals and maintain high customer retention provides a competitive edge.  
 **Edge**: The company's focus on digital transformation and automation aligns with long-term industry trends, while its strong financial position allows it to weather short-term economic challenges.  
 **Risk**: Elevated valuation metrics leave little room for error, and macroeconomic headwinds, including trade tensions and potential IT budget cuts, could pressure growth.
 **Score**: 78</t>
  </si>
  <si>
    <t>ODFL</t>
  </si>
  <si>
    <t>**Investment Report: Old Dominion Freight Line (ODFL)**
 **Recent News**  
 Old Dominion Freight Line (ODFL) has been recognized for its exceptional operational efficiency and customer service in the less-than-truckload (LTL) trucking industry. With a 99% on-time performance rate and a low claim ratio, the company has established a strong competitive moat. Strategic investments in service centers, fleet expansion, and employee training have fortified its network, enabling consistent market share gains and high profitability. This operational excellence positions ODFL as a leader in the LTL sector, even as the broader transportation industry faces economic headwinds.
 **Financials**  
 ODFL's financial performance reflects its operational strength, though recent metrics indicate some challenges. The company has a trailing price-to-earnings (P/E) ratio of 31.5 and a forward P/E of 29.2, suggesting a premium valuation relative to its peers. Profit margins remain robust, with a net margin of 20.4% and EBITDA margins of 32.5%, underscoring its efficiency. However, earnings and revenue growth have contracted by 16.5% and 7.3%, respectively, reflecting broader economic pressures and potential demand softening. The company maintains a strong balance sheet with low debt (debt-to-equity ratio of 3.97%) and healthy cash flow generation, including $642.8 million in free cash flow. Its dividend yield of 0.63% is modest but sustainable, with a low payout ratio of 18.98%.
 **Valuations**  
 ODFL's valuation metrics suggest a premium pricing, with a price-to-book ratio of 8.64 and a price-to-sales ratio of 6.30. These figures are higher than industry averages, reflecting investor confidence in its operational excellence and market leadership. However, the stock has declined 17.9% over the past year, underperforming the S&amp;P 500, which gained 17.2% in the same period. Analysts' target prices range from $155 to $240, with a median target of $205, indicating potential upside from its current price of $171.88. The recommendation mean of 2.83 (on a scale where 1 is "Strong Buy" and 5 is "Sell") suggests a cautious "Hold" sentiment among analysts.
 **Economic Outlook**  
 The macroeconomic environment presents mixed signals for ODFL. The U.S. economy is showing signs of deceleration, with GDP projected to shrink by 1.5% in Q1 2025. Rising tariffs on Canadian, Mexican, and Chinese goods could disrupt supply chains and increase costs for the transportation sector. However, ODFL's focus on operational efficiency and its ability to pass on costs to customers may mitigate some of these challenges. Additionally, its strong customer service and network investments position it well to capture market share even in a slowing economy. The company's beta of 1.11 indicates moderate sensitivity to market volatility, which could be a factor in the current uncertain environment.
 **Summary**  
 **Thesis**: ODFL's operational excellence, strong financial position, and market leadership provide a solid foundation for long-term growth, even amid economic headwinds.  
 **Edge**: Its superior service quality and strategic investments create a durable competitive advantage in the LTL trucking industry.  
 **Risk**: Economic slowdown, rising tariffs, and declining earnings and revenue growth could pressure near-term performance.
 **Score**: 75</t>
  </si>
  <si>
    <t>**Investment Report: Palo Alto Networks, Inc. (PANW)**
 **Recent News**  
 Palo Alto Networks has garnered significant attention due to its AI-driven security offerings and platform consolidation strategy, which have been key drivers of its recent stock performance. The company is leveraging artificial intelligence to enhance its cybersecurity solutions, a move that aligns with the growing demand for advanced, automated threat detection systems. Additionally, its focus on platform consolidation is appealing to enterprises seeking streamlined and cost-effective cybersecurity solutions. Institutional interest remains strong, as evidenced by the high percentage of shares held by institutions (81.3%), which reflects confidence in the company's long-term growth potential.
 **Financials**  
 Palo Alto Networks exhibits robust financial metrics, with a market capitalization of $121.6 billion and a forward price-to-earnings (P/E) ratio of 25.51, which is relatively attractive for a high-growth technology company. The firm has demonstrated strong revenue growth of 14.3% year-over-year, supported by its innovative product offerings and expanding customer base. However, earnings growth has been negative (-84.7%), reflecting higher operating expenses and investments in R&amp;D to maintain its competitive edge. The company maintains a healthy free cash flow of $3.43 billion, which provides flexibility for further investments and potential acquisitions.
 The balance sheet is solid, with total cash of $3.23 billion and manageable total debt of $970 million, resulting in a low debt-to-equity ratio of 15.22. However, liquidity ratios such as the quick ratio (0.726) and current ratio (0.839) suggest some short-term liquidity constraints, which should be monitored closely. Gross margins of 73.9% and operating margins of 10.6% highlight the firm's ability to generate substantial profitability from its operations.
 **Valuations**  
 Palo Alto Networks is trading at a price-to-sales (P/S) ratio of 14.19 and a price-to-book (P/B) ratio of 19.03, which are elevated compared to industry averages. While these valuations may appear high, they are justified by the company's strong revenue growth, high gross margins, and leadership position in the cybersecurity market. Analysts remain optimistic, with a mean target price of $214.31, representing a potential upside from the current trading levels. The recommendation mean of 1.92 (on a scale where 1.0 is a strong buy) further underscores the positive sentiment among analysts.
 **Economic Outlook**  
 The broader economic environment presents both opportunities and challenges for Palo Alto Networks. The increasing frequency and sophistication of cyberattacks are driving demand for advanced cybersecurity solutions, positioning the company well for sustained growth. However, macroeconomic headwinds, including elevated interest rates and potential recessionary pressures, could impact enterprise IT budgets, potentially slowing the pace of new customer acquisitions. Additionally, geopolitical tensions and trade uncertainties may affect global supply chains and customer spending patterns.
 **Summary**  
 **Thesis**: Palo Alto Networks is well-positioned to capitalize on the growing demand for cybersecurity solutions, driven by its innovative AI-driven offerings and platform consolidation strategy.  
 **Edge**: The company's strong institutional backing, high gross margins, and robust free cash flow provide a competitive advantage in a rapidly evolving industry.  
 **Risk**: Elevated valuations, negative earnings growth, and potential macroeconomic pressures could weigh on the stock in the near term.
 **Score**: 78</t>
  </si>
  <si>
    <t>PARA</t>
  </si>
  <si>
    <t>**Investment Report: Paramount Global (PARA)**
 **Recent News**  
 Paramount Global has been recognized as a top-ranked value stock by Zacks Style Scores, indicating potential for strong portfolio inclusion. However, its recent financial performance reflects a mixed narrative. The company reported a Q4 loss of $0.11 per share, missing consensus estimates of $0.10 and marking a decline from the prior year's $0.04 per share earnings. Despite this, Paramount achieved year-over-year revenue growth, driven by its streaming services and a strategic partnership with Skydance. These gains underscore the company's efforts to pivot toward digital platforms. However, challenges persist in its traditional TV media segments, which are experiencing declines, and rising costs are straining profitability during this transition.
 **Financials**  
 Paramount's financial metrics reveal a complex picture. The company trades at a forward P/E ratio of 6.94, suggesting undervaluation relative to peers. Its price-to-book ratio of 0.47 further supports this view, as the stock is trading significantly below its book value. However, profitability metrics are concerning, with a negative profit margin of -21.19% and a return on equity of -30.95%, reflecting operational inefficiencies and challenges in generating shareholder value. Paramount's debt-to-equity ratio of 94.35 indicates a high leverage level, which could pose risks in a rising interest rate environment. On the positive side, the company has a solid free cash flow of $15.6 billion, which provides some financial flexibility.
 **Valuations**  
 Paramount's valuation metrics suggest it is deeply discounted, with a price-to-sales ratio of 0.28 and an enterprise value-to-revenue ratio of 0.73. These figures indicate that the market is pricing in significant risks, likely tied to its ongoing restructuring and challenges in traditional media. The dividend yield of 1.76% is below its five-year average of 3.27%, reflecting a more conservative payout strategy amid financial pressures. Short interest stands at 10.72% of shares outstanding, signaling bearish sentiment among investors.
 **Economic Outlook**  
 The broader economic environment presents headwinds for Paramount. The U.S. economy is showing signs of deceleration, with GDP contraction expected in Q1 2025 and consumer confidence weakening. Paramount's reliance on advertising revenue from its traditional TV segments could be adversely affected by reduced consumer spending and corporate budget cuts. Additionally, rising costs associated with its digital transition and content production could weigh on margins. However, the company's streaming growth aligns with broader industry trends, offering a potential long-term growth avenue.
 **Summary**  
 **Thesis**: Paramount Global's valuation metrics suggest it is undervalued, with significant upside potential if it successfully navigates its transition to digital platforms.  
 **Edge**: The company's strong streaming growth and strategic partnerships, such as the deal with Skydance, position it well in the evolving media landscape.  
 **Risk**: Paramount faces substantial challenges, including declining traditional media revenues, high leverage, and rising costs, which could hinder profitability and shareholder returns.
 **Score**: 62</t>
  </si>
  <si>
    <t>PEG</t>
  </si>
  <si>
    <t>**Investment Report: Public Service Enterprise Group (PEG)**
 **Recent News**  
 Public Service Enterprise Group (PEG) reported strong fourth-quarter earnings, with earnings per share (EPS) of $0.84, slightly surpassing analyst expectations of $0.83. This marks a significant improvement from $0.54 EPS in the same quarter last year, reflecting operational efficiency and cost management. However, revenue declined by 5.4% year-over-year, indicating challenges in top-line growth amidst a slowing economic environment. The company has also raised its five-year capital spending plan, signaling confidence in future demand for power and a commitment to infrastructure investment. Additionally, PEG has forecasted higher profits for 2025, which aligns with its strategic focus on meeting growing energy needs.
 **Financials**  
 PEG's financial metrics present a mixed picture. The company has a trailing price-to-earnings (P/E) ratio of 23.1 and a forward P/E of 20.1, suggesting moderate valuation levels relative to its earnings growth potential. The dividend yield of 3.11% is slightly below its five-year average of 3.36%, but the payout ratio of 67.8% indicates a sustainable dividend policy. PEG's return on equity (ROE) of 11.2% is solid, though its return on assets (ROA) of 2.9% reflects the capital-intensive nature of the utility sector. The company’s debt-to-equity ratio of 142% is high, highlighting significant leverage, but this is typical for utility firms with stable cash flows. However, the negative free cash flow of $1.51 billion raises concerns about near-term liquidity and funding for its ambitious capital spending plans.
 **Valuations**  
 PEG's current price-to-book (P/B) ratio of 2.53 is reasonable for the utility sector, given its stable earnings and dividend profile. The stock is trading near the midpoint of its 52-week range ($63.31 - $95.22), with a recent close of $81.15. Analyst price targets suggest upside potential, with a median target of $89 and a high target of $102. The recommendation mean of 2.33 (Buy) reflects positive sentiment among analysts, supported by the company's strategic initiatives and earnings growth outlook.
 **Economic Outlook**  
 The broader economic environment presents both opportunities and risks for PEG. The utility sector is generally defensive, benefiting from stable demand even during economic slowdowns. However, the U.S. economy is showing signs of deceleration, with GDP expected to contract in Q1 2025. Rising tariffs and geopolitical uncertainties could impact industrial and commercial energy demand, while inflationary pressures may increase operational costs. On the positive side, PEG's focus on capital investment positions it well to benefit from long-term trends such as electrification and renewable energy adoption.
 **Summary**  
 **Thesis**: PEG's strong earnings performance, increased capital spending, and forecasted profit growth for 2025 highlight its resilience and strategic positioning in the utility sector.  
 **Edge**: The company's stable dividend yield, reasonable valuation, and focus on infrastructure investment provide a solid foundation for long-term growth.  
 **Risk**: Revenue decline, high leverage, and negative free cash flow pose near-term challenges, particularly in a slowing economic environment.
 **Score**: 75</t>
  </si>
  <si>
    <t>**Investment Report: Progressive Corporation (PGR)**
 **Recent News**  
 Progressive Corporation has seen a notable 11.9% increase in its stock price since its last earnings report, driven by strong policy growth and robust earnings. The company continues to benefit from higher auto insurance rates, which have bolstered its revenue and profitability. As a leader in the property and casualty insurance industry, Progressive is well-positioned to capitalize on the rising demand for insurance products, particularly in the auto segment. Analysts have highlighted its momentum, suggesting that the stock remains attractive for growth-oriented investors. However, the broader economic environment and potential regulatory changes could introduce uncertainties.
 **Financials**  
 Progressive's financial performance reflects its strong market position. The company reported a trailing price-to-earnings (P/E) ratio of 19.78 and a forward P/E of 20.66, indicating a slight premium valuation compared to the broader market. Its profit margins stand at 11.26%, supported by a 20% revenue growth rate and 18.5% quarterly earnings growth. The company has a solid return on equity (ROE) of 36.98%, showcasing its ability to generate significant returns for shareholders. Progressive's dividend yield of 1.74% is above its five-year average of 1.54%, reflecting its commitment to returning value to investors. However, its price-to-book ratio of 6.53 suggests the stock is trading at a high valuation relative to its book value.
 The company maintains a manageable debt-to-equity ratio of 26.94, with total debt of $6.89 billion and total cash of $615 million. While its quick and current ratios of 0.205 and 0.27, respectively, indicate limited short-term liquidity, this is typical for insurance companies that rely on premium inflows to manage liabilities. Progressive's enterprise value-to-revenue ratio of 2.28 and enterprise value-to-EBITDA ratio of 15.22 suggest a fair valuation relative to its earnings potential.
 **Valuations**  
 Progressive's stock is trading near its 52-week high of $285.26, significantly above its 52-week low of $189.40. The stock's recent momentum has been fueled by strong earnings and favorable industry dynamics. Analysts have set a median price target of $294, with a high target of $338, indicating potential upside. The company's trailing PEG ratio of 0.1261 highlights its attractive valuation relative to its growth prospects. However, the stock's high price-to-sales ratio of 2.22 and elevated price-to-book ratio may limit further upside in the near term.
 **Economic Outlook**  
 The broader economic environment presents both opportunities and risks for Progressive. Rising auto insurance rates have been a tailwind, but the potential for an economic slowdown could impact consumer spending and demand for insurance products. Additionally, the ongoing trade tensions and tariff implementations could indirectly affect the company's investment portfolio and claims costs. However, Progressive's strong market position and ability to adapt to changing conditions provide a degree of resilience.
 **Summary**  
 **Thesis**: Progressive's strong earnings growth, policy expansion, and leadership in the auto insurance market position it as a solid performer in the property and casualty insurance industry.  
 **Edge**: The company benefits from rising insurance premiums and a robust operational model, delivering high returns on equity and consistent revenue growth.  
 **Risk**: Elevated valuations, potential economic headwinds, and regulatory uncertainties could weigh on the stock's performance in the near term.  
 **Score**: 85</t>
  </si>
  <si>
    <t>**Investment Report: Prologis (PLD)**
 **Recent News**  
 Prologis has demonstrated strong performance year-to-date, with its stock rising 16.1%, reflecting investor confidence in the industrial REIT sector. Despite broader market volatility and economic uncertainties, Prologis has managed to close at $122.77 in its latest trading session, marking a 0.5% daily gain. This resilience is notable given the recent market slip, suggesting that Prologis benefits from favorable sector dynamics and robust operational performance. The company's focus on logistics real estate, which is critical for e-commerce and supply chain operations, positions it well amid ongoing global trade shifts and demand for efficient distribution networks.
 **Financials**  
 Prologis exhibits solid financial metrics, with a market capitalization of $114.5 billion and a dividend yield of 3.26%, which is above its five-year average of 2.49%. The company has a trailing P/E ratio of 30.73 and a forward P/E of 35.10, indicating a premium valuation relative to its earnings. However, its trailing PEG ratio of 0.61 suggests that its growth potential may justify this valuation. Prologis reported strong earnings growth of 102.7% and revenue growth of 16% on a year-over-year basis, supported by high gross margins of 75.95% and EBITDA margins of 70.51%. The firm's return on equity (ROE) of 6.78% and return on assets (ROA) of 2.29% are consistent with its capital-intensive business model.
 The company maintains a healthy operating cash flow of $4.91 billion and free cash flow of $4.58 billion, which supports its dividend payouts and ongoing investments. However, its debt-to-equity ratio of 53.73 and total debt of $31.5 billion highlight the leverage typical of REITs. Prologis' quick ratio of 0.73 and current ratio of 1.00 indicate adequate liquidity to meet short-term obligations.
 **Valuations**  
 Prologis is trading at a price-to-book (P/B) ratio of 2.12, which is reasonable for a high-quality REIT with a strong asset base. Its enterprise value-to-revenue (EV/Revenue) ratio of 17.50 and enterprise value-to-EBITDA (EV/EBITDA) ratio of 24.83 reflect its premium valuation in the industrial REIT space. Analysts have a mean target price of $129.55, with a high estimate of $150.00, suggesting potential upside from current levels. The stock's 52-week range of $100.82 to $135.76 indicates that it is trading closer to the midpoint, offering room for growth if market conditions remain favorable.
 **Economic Outlook**  
 The macroeconomic environment presents both opportunities and risks for Prologis. The ongoing trade tensions and tariffs could disrupt global supply chains, potentially increasing demand for localized logistics facilities—a core strength of Prologis. However, broader economic deceleration, as indicated by a projected 1.5% GDP contraction in Q1 2025, could weigh on industrial activity and tenant demand. Rising interest rates remain a headwind for REITs, as they increase borrowing costs and make dividend yields less attractive compared to fixed-income alternatives. Nonetheless, Prologis' strategic positioning in high-demand logistics markets and its ability to pass on costs through lease escalations provide a buffer against these challenges.
 **Summary**  
 **Thesis**: Prologis benefits from its dominant position in the industrial REIT sector, supported by strong financial performance, robust growth metrics, and favorable long-term demand for logistics real estate.  
 **Edge**: Its focus on e-commerce and supply chain infrastructure positions it to capitalize on structural shifts in global trade and distribution networks.  
 **Risk**: Economic slowdown, rising interest rates, and high leverage could pressure its financial performance and valuation.
 **Score**: 85</t>
  </si>
  <si>
    <t>PRU</t>
  </si>
  <si>
    <t>**Investment Report: Prudential Financial (PRU)**
 **Recent News**  
 Prudential Financial is currently trading at a forward P/E ratio of 7.72, significantly below the industry average, suggesting a potential undervaluation. The firm benefits from its strong asset-based businesses, international operations, and a growing presence in the pension risk transfer market. These factors provide a solid foundation for long-term growth. However, the broader economic environment, including slowing GDP growth and rising trade tensions, could weigh on the firm's near-term performance. Additionally, the firm's "hold" recommendation from analysts reflects cautious sentiment, likely due to macroeconomic uncertainties and sector-specific challenges.
 **Financials**  
 Prudential Financial's financial metrics present a mixed picture. The firm has a robust dividend yield of 4.69%, supported by a payout ratio of 69.33%, which is sustainable given its strong cash flow generation. Its trailing P/E of 15.13 and forward P/E of 7.72 indicate a significant earnings growth expectation, aligning with its forward EPS of $14.69. However, revenue growth has declined by 17% year-over-year, reflecting challenges in the current economic environment. The firm's return on equity (ROE) of 9.49% is respectable but slightly below the industry average, while its return on assets (ROA) of 0.28% highlights the capital-intensive nature of its operations.
 The firm's balance sheet shows a high debt-to-equity ratio of 127.45%, which could pose risks in a rising interest rate environment. However, its total cash position of $40.1 billion provides a cushion against short-term liquidity pressures. The price-to-book ratio of 1.44 suggests the stock is trading at a reasonable valuation relative to its book value.
 **Valuations**  
 Prudential's valuation metrics indicate a potential opportunity for long-term investors. The stock's price-to-sales ratio of 0.57 and enterprise value-to-revenue ratio of 0.59 suggest it is undervalued compared to peers. Additionally, the trailing PEG ratio of 0.68 indicates that the stock is attractively priced relative to its expected growth. Analyst price targets range from $99 to $140, with a mean target of $125.69, implying a potential upside from its current trading price of approximately $112.57.
 **Economic Outlook**  
 The broader economic environment presents both challenges and opportunities for Prudential. The U.S. economy is showing signs of deceleration, with GDP expected to contract in Q1 2025. Rising trade tensions and tariffs could impact consumer confidence and corporate earnings, indirectly affecting Prudential's asset-based businesses. However, the Federal Reserve's efforts to control inflation and the potential for rate cuts later in the year could provide a more favorable environment for financial stocks. Prudential's international operations and pension risk transfer business may also help mitigate domestic economic pressures.
 **Summary**  
 **Thesis**: Prudential Financial's strong dividend yield, undervaluation relative to peers, and growth potential in the pension risk transfer market make it an attractive option for long-term investors.  
 **Edge**: The firm's international diversification and asset-based business model provide resilience against domestic economic headwinds.  
 **Risk**: High debt levels and declining revenue growth, coupled with macroeconomic uncertainties, could weigh on near-term performance.
 **Score**: 75</t>
  </si>
  <si>
    <t>**Investment Report: Royal Caribbean Group (RCL)**
 **Recent News**  
 Royal Caribbean Cruises Ltd. (RCL) has been a focal point for market watchers, with its stock surging nearly 47% over the past six months, significantly outperforming the broader Zacks Leisure and Recreation Services industry, which rose 29.5% in the same period. This strong performance reflects robust investor confidence in the company’s recovery and growth trajectory post-pandemic. However, the broader economic environment, including rising tariffs and geopolitical uncertainties, could pose challenges to the leisure and travel industry. The heightened interest in RCL suggests that investors are closely monitoring its ability to sustain this momentum amid potential headwinds.
 **Financials**  
 RCL's financial performance demonstrates a strong recovery, with earnings growth of 99.3% and revenue growth of 12.9% year-over-year. The company’s trailing price-to-earnings (P/E) ratio of 22.02 and forward P/E of 16.87 indicate that the stock is trading at a premium relative to its current earnings but offers a more attractive valuation based on future earnings expectations. The company’s gross margins of 48.86% and EBITDA margins of 34.69% highlight its operational efficiency, while a return on equity (ROE) of 45.83% underscores its ability to generate significant shareholder value.
 However, RCL's balance sheet reveals some concerns. The company has a high debt-to-equity ratio of 269.17%, reflecting substantial leverage, which could become a burden in a rising interest rate environment. Its quick ratio of 0.076 and current ratio of 0.174 indicate limited short-term liquidity, which may constrain its ability to navigate unexpected financial pressures. Despite these challenges, RCL has demonstrated strong cash flow generation, with operating cash flow of $5.26 billion and free cash flow of $1.07 billion, providing some cushion against its debt obligations.
 **Valuations**  
 RCL's stock is currently trading near its 52-week high of $277.08, with a market capitalization of $64.89 billion. The price-to-book (P/B) ratio of 8.57 suggests the stock is trading at a significant premium to its book value, which may indicate overvaluation. However, the company’s trailing PEG ratio of 0.99 suggests that its growth prospects are reasonably priced relative to its earnings growth. Analyst sentiment remains positive, with a mean price target of $287.34, representing potential upside from current levels, and a recommendation key of "buy" based on 22 analyst opinions.
 **Economic Outlook**  
 The broader economic environment presents mixed signals for RCL. On one hand, the easing of pandemic-related restrictions and pent-up demand for travel have driven strong revenue growth for the company. On the other hand, macroeconomic challenges such as rising tariffs, geopolitical tensions, and a potential economic slowdown could weigh on consumer discretionary spending, particularly in the travel and leisure sector. Additionally, the Federal Reserve’s restrictive monetary policy and elevated interest rates could increase borrowing costs for RCL, given its high debt levels.
 **Summary**  
 **Thesis**: RCL has demonstrated strong operational recovery and earnings growth, supported by robust demand for leisure travel. Its ability to generate significant cash flow and maintain high margins positions it well for continued growth.  
 **Edge**: The company’s strong brand, market leadership, and operational efficiency provide a competitive advantage in the cruise industry.  
 **Risk**: High leverage, limited liquidity, and potential macroeconomic headwinds, including rising tariffs and a slowing economy, could pose challenges to its financial stability and growth prospects.  
 **Score**: 78</t>
  </si>
  <si>
    <t>REG</t>
  </si>
  <si>
    <t>**Investment Report: Regency Centers (REG)**
 **Recent News**  
 Regency Centers has received an 'A-' credit rating with a stable outlook from S&amp;P, reflecting its strong operational performance and disciplined financial management. This rating underscores the company's ability to manage its debt effectively and maintain financial stability, which is critical in the current economic environment. Additionally, Regency Centers has been upgraded to a Zacks Rank #2 (Buy), signaling growing optimism about its earnings potential. This upgrade could attract momentum investors, particularly as the stock has recently reached its 52-week high of $77.92, indicating strong market sentiment.
 **Financials**  
 Regency Centers demonstrates solid financial metrics, with a market capitalization of $14.18 billion and a dividend yield of 3.68%, slightly below its five-year average of 4.23%. The company maintains a payout ratio of 128.67%, which, while high, is typical for REITs that distribute most of their earnings as dividends. Its price-to-book ratio of 2.16 and price-to-sales ratio of 9.44 suggest the stock is trading at a premium, reflecting investor confidence in its stability and growth prospects. However, earnings growth has declined slightly (-3.8% year-over-year), and the trailing P/E ratio of 36.84 indicates a relatively high valuation compared to peers. Regency's EBITDA margin of 62.51% and gross margin of 71.19% highlight its operational efficiency, while its debt-to-equity ratio of 67.45% is manageable given its strong cash flow generation.
 **Valuations**  
 The stock's forward P/E of 37.02 suggests limited immediate upside, as the valuation already reflects high expectations. Analysts have set a target median price of $80, implying a modest 2.7% upside from the current price. Regency's enterprise value-to-EBITDA ratio of 20.07 is on the higher side, indicating that the market is pricing in its stable cash flows and high-quality portfolio of retail properties. The company's return on equity (5.82%) and return on assets (2.86%) are modest but consistent with the REIT industry, where stability often outweighs high returns.
 **Economic Outlook**  
 The broader economic environment presents mixed signals for Regency Centers. On one hand, the U.S. economy is showing signs of deceleration, with GDP expected to shrink by 1.5% in Q1 2025. Rising tariffs and trade tensions could dampen consumer spending, potentially impacting retail tenants. On the other hand, Regency's focus on grocery-anchored shopping centers provides a defensive edge, as these properties tend to perform well even during economic downturns. The company's stable credit rating and strong institutional ownership (104.54%) further reinforce its resilience in a challenging macroeconomic landscape.
 **Summary**  
 **Thesis**: Regency Centers benefits from a high-quality portfolio, strong operational efficiency, and a stable credit rating, making it a reliable player in the Retail REIT sector.  
 **Edge**: Its focus on grocery-anchored centers provides a defensive moat, while its strong institutional backing and stable dividend yield enhance investor confidence.  
 **Risk**: High valuation metrics and declining earnings growth could limit near-term upside, while broader economic headwinds and rising tariffs may pressure retail tenants.
 **Score**: 78</t>
  </si>
  <si>
    <t>**Investment Report: Regeneron Pharmaceuticals (NASDAQ: REGN)**
 **Recent News**  
 Regeneron Pharmaceuticals has received a positive opinion from the European Medicines Agency's Committee for Medicinal Products for Human Use (CHMP) for its drug linvoseltamab, targeting relapsed and refractory multiple myeloma. This recommendation for conditional marketing authorization is a significant milestone, as it positions Regeneron to expand its oncology portfolio and address a critical unmet need in the treatment of multiple myeloma. The approval could provide a new revenue stream and diversify its product offerings, which have historically been dominated by its flagship drug, Eylea. However, the competitive landscape in oncology remains intense, with numerous players vying for market share in this space.
 Despite this positive development, Regeneron has been overshadowed in the biotech sector by the meteoric rise of GLP-1 drug makers like Novo Nordisk and Eli Lilly. The company's stock underperformed in 2024, declining by 18.9%, as investor attention shifted to other high-growth areas. This underperformance may present an opportunity for value-oriented investors, particularly given the company's strong fundamentals.
 **Financials**  
 Regeneron maintains a robust financial position, with a market capitalization of $74.87 billion and a low debt-to-equity ratio of 10.01. The company has a strong liquidity profile, evidenced by a quick ratio of 3.86 and a current ratio of 4.73, which provides ample flexibility to fund R&amp;D and potential acquisitions. Its trailing price-to-earnings (P/E) ratio of 17.85 and forward P/E of 15.12 suggest the stock is reasonably valued compared to its historical averages and peers in the biotech sector.
 The company reported total revenue of $14.2 billion, with a revenue growth rate of 10.3% year-over-year. Gross margins remain healthy at 49.99%, and operating margins are solid at 26.91%. However, earnings growth has been negative, declining by 20.8% year-over-year, reflecting challenges in maintaining profitability amid rising R&amp;D expenses and competitive pressures. Free cash flow of $2.64 billion underscores the company's ability to generate cash, which can be reinvested into growth initiatives.
 **Valuations**  
 Regeneron's price-to-book ratio of 2.50 and enterprise value-to-revenue ratio of 4.84 indicate that the stock is trading at a discount relative to its historical valuation metrics. Analyst sentiment remains favorable, with a mean recommendation of "buy" and a median price target of $950, representing significant upside from its current trading range. The stock's beta of 0.27 suggests low volatility, making it a relatively stable option in a turbulent market environment.
 **Economic Outlook**  
 The broader economic environment presents both challenges and opportunities for Regeneron. The U.S. economy is showing signs of deceleration, with GDP expected to contract in Q1 2025. However, the biotech sector is generally less sensitive to macroeconomic fluctuations, as demand for healthcare products remains relatively inelastic. The recent trade tensions and tariffs are unlikely to have a direct impact on Regeneron, given its focus on pharmaceuticals rather than manufacturing or consumer goods. Additionally, the company's strong cash position and low debt levels provide a buffer against economic uncertainty.
 **Summary**  
 **Thesis**: Regeneron is well-positioned to capitalize on its expanding oncology portfolio, supported by a strong financial foundation and reasonable valuations. The positive CHMP opinion for linvoseltamab could serve as a catalyst for revenue growth and investor interest.  
 **Edge**: The company's robust liquidity, low leverage, and diversified pipeline provide a competitive advantage in navigating both market and economic challenges.  
 **Risk**: Declining earnings growth and intense competition in the biotech sector could weigh on the stock's performance in the near term.
 **Score**: 78</t>
  </si>
  <si>
    <t>RL</t>
  </si>
  <si>
    <t>**Investment Report: Ralph Lauren Corporation (RL)**
 **Recent News**  
 Ralph Lauren Corporation has demonstrated strong momentum in 2025, outperforming many of its peers in the Consumer Discretionary sector. The company posted robust Q4 results, with an 11% revenue increase driven by a strong holiday season and global comparable sales growth of 12%. Strategic initiatives, including higher average unit retail prices (AURs) and reduced discounting, have bolstered gross margins. However, concerns about valuation have emerged, as the stock trades at 24x forward earnings, which some analysts consider stretched for an apparel brand. Despite this, the company’s execution has solidified its market position, making it a strong contender in the luxury apparel space.
 **Financials**  
 Ralph Lauren's financial performance reflects a solid foundation. The company has a market capitalization of $16.2 billion and a trailing price-to-earnings (P/E) ratio of 23.89, with a forward P/E of 20.15. Revenue growth stands at 10.8% year-over-year, supported by gross margins of 68.08%, which are impressive for the industry. The company’s return on equity (ROE) of 27.57% and return on assets (ROA) of 7.94% indicate efficient use of capital. Additionally, Ralph Lauren maintains a healthy dividend yield of 1.22%, with a payout ratio of 29.4%, suggesting room for future dividend growth. However, the debt-to-equity ratio of 105.69% highlights a relatively high leverage level, which could pose risks in a rising interest rate environment.
 **Valuations**  
 Ralph Lauren's valuation metrics suggest a premium pricing relative to its peers. The stock’s price-to-book ratio of 6.39 and enterprise value-to-EBITDA ratio of 15.51 indicate that investors are paying a significant premium for the company’s earnings and assets. While the company’s strong brand equity and operational efficiency justify some of this premium, the current valuation may limit upside potential in the near term. Analysts have a median price target of $310, representing a modest upside from the current price, but the high valuation multiples could deter value-focused investors.
 **Economic Outlook**  
 The broader economic environment presents mixed signals for Ralph Lauren. On one hand, the company benefits from its positioning in the luxury segment, which tends to be more resilient during economic slowdowns. On the other hand, macroeconomic headwinds, including rising tariffs and slowing GDP growth, could weigh on consumer discretionary spending. The U.S. economy is projected to contract by 1.5% in Q1 2025, and consumer confidence is weakening, which may impact demand for high-end apparel. Additionally, the company’s international operations could face challenges from trade tensions and currency fluctuations.
 **Summary**  
 **Thesis**: Ralph Lauren’s strong brand equity, strategic execution, and robust financial performance position it well in the luxury apparel market.  
 **Edge**: The company’s focus on higher AURs, reduced discounting, and operational efficiency has enhanced profitability and market positioning.  
 **Risk**: Elevated valuation multiples and macroeconomic uncertainties, including tariffs and slowing consumer spending, could limit near-term upside.
 **Score**: 72</t>
  </si>
  <si>
    <t>ROP</t>
  </si>
  <si>
    <t>**Investment Report: Roper Technologies (ROP)**
 **Recent News**  
 Roper Technologies continues to demonstrate resilience and growth, driven by the strength of its diversified business portfolio and strategic acquisitions. The company has also maintained a shareholder-friendly approach, as evidenced by its consistent dividend payouts and a dividend yield of 0.56%, slightly above its five-year average. However, challenges persist, including elevated operating costs and a significant long-term debt burden, which could weigh on profitability and financial flexibility. These factors are particularly relevant in the current macroeconomic environment, where rising interest rates and economic uncertainty may amplify the impact of debt servicing costs.
 **Financials**  
 Roper Technologies is trading near its 52-week high of $593.91, reflecting strong investor confidence. The company has a trailing P/E ratio of 40.74 and a forward P/E of 29.26, indicating expectations of robust earnings growth. Its profit margins are healthy at 22.01%, supported by gross margins of 69.3% and EBITDA margins of 39.91%. Revenue growth of 16.3% and earnings growth of 18.5% highlight the company's ability to expand both its top and bottom lines. However, the firm's quick ratio of 0.32 and current ratio of 0.403 suggest limited short-term liquidity, which could be a concern given its total debt of $7.82 billion and a debt-to-equity ratio of 41.47%. Free cash flow of $2.18 billion provides some cushion, but the high leverage remains a risk.
 **Valuations**  
 Roper's price-to-book ratio of 3.33 and price-to-sales ratio of 8.94 indicate a premium valuation compared to industry peers. While these metrics may seem elevated, they are supported by the company's consistent revenue and earnings growth, as well as its strong return on equity of 8.53%. Analysts have a median price target of $620.39, suggesting modest upside potential from current levels. The recommendation mean of 2.0 (Buy) reflects positive sentiment among analysts, with a high price target of $741 indicating significant potential if the company continues to execute well.
 **Economic Outlook**  
 The broader economic environment presents both opportunities and challenges for Roper Technologies. The company's focus on high-margin, niche markets in the electronic equipment and instruments industry positions it well to weather economic headwinds. However, rising interest rates and slowing GDP growth could impact demand for its products and services. Additionally, the ongoing trade tensions and tariffs may disrupt supply chains or increase input costs, potentially pressuring margins. Despite these risks, Roper's diversified revenue streams and strong cash flow generation provide a degree of resilience.
 **Summary**  
 **Thesis**: Roper Technologies benefits from a robust business model, strong revenue and earnings growth, and a shareholder-friendly approach, making it a solid performer in its industry.  
 **Edge**: The company's focus on high-margin, niche markets and its ability to generate consistent free cash flow provide a competitive advantage.  
 **Risk**: High operating costs, significant long-term debt, and potential macroeconomic headwinds, including rising interest rates and trade tensions, pose risks to its financial performance.
 **Score**: 78</t>
  </si>
  <si>
    <t>SBAC</t>
  </si>
  <si>
    <t>**Investment Report: SBA Communications (SBAC)**
 **Recent News**  
 SBA Communications reported strong Q4 results, with both Adjusted Funds From Operations (AFFO) and revenues exceeding analyst expectations. The firm demonstrated robust growth in its core site-leasing and site-development segments, which are critical drivers of its business model. Additionally, the company announced a dividend increase, reflecting confidence in its cash flow stability and commitment to returning value to shareholders. This dividend hike is particularly notable given the firm's five-year average dividend yield of 1.06%, as the current yield of 2.04% represents a significant improvement, potentially attracting income-focused investors.
 **Financials**  
 SBA Communications exhibits solid financial performance, with a trailing P/E ratio of 31.96 and a forward P/E of 24.16, indicating expectations of continued earnings growth. The firm's revenue growth of 2.8% year-over-year, coupled with an impressive earnings growth rate of 59.5%, underscores its operational efficiency and ability to capitalize on market opportunities. Gross margins of 77.3% and EBITDA margins of 66.97% highlight the firm's profitability, which is further supported by a return on assets of 8.83%. However, the company carries a significant debt load of $15.76 billion, resulting in a high enterprise value-to-EBITDA ratio of 21.77, which could pose risks in a rising interest rate environment.
 The firm's free cash flow is currently negative at -$676.96 million, which may raise concerns about its ability to fund future growth initiatives without additional financing. However, its operating cash flow of $1.33 billion provides some reassurance regarding its liquidity position. The quick ratio of 0.20 and current ratio of 0.90 suggest limited short-term liquidity, which could be a vulnerability if market conditions deteriorate.
 **Valuations**  
 SBA Communications is trading at a price-to-sales ratio of 8.90, which is relatively high compared to broader market averages, reflecting the premium investors are willing to pay for its growth prospects and stable cash flows. The stock's 52-week range of $183.64 to $252.64 indicates that it is currently trading closer to the midpoint, with a recent close of $217.90. Analyst sentiment remains positive, with a mean target price of $249.24 and a median target of $250.00, suggesting potential upside of approximately 14% from current levels. The recommendation mean of 1.94 (on a scale where 1.0 is a "Strong Buy") further supports the bullish outlook.
 **Economic Outlook**  
 The broader economic environment presents mixed signals for SBA Communications. On one hand, the firm's core business in telecom tower leasing benefits from the ongoing expansion of 5G networks and increasing data consumption, which are secular growth trends. On the other hand, macroeconomic headwinds, including rising interest rates and potential economic deceleration, could impact the firm's cost of capital and tenant demand. Additionally, the recent escalation in trade tensions and tariffs may indirectly affect the telecom sector by increasing costs for equipment and infrastructure development.
 **Summary**  
 **Thesis**: SBA Communications is well-positioned to benefit from long-term growth in data consumption and 5G deployment, supported by its strong site-leasing and site-development revenue streams.  
 **Edge**: The firm's high margins, earnings growth, and dividend increase highlight its operational strength and shareholder-friendly policies.  
 **Risk**: Elevated debt levels and negative free cash flow could pose challenges, particularly in a rising interest rate environment or during economic slowdowns.  
 **Score**: 78</t>
  </si>
  <si>
    <t>SMCI</t>
  </si>
  <si>
    <t>**Investment Report: Super Micro Computer (SMCI)**
 **Recent News**  
 Super Micro Computer has faced significant volatility due to accounting irregularities and the risk of delisting from the Nasdaq exchange. The company recently filed overdue financial reports, meeting the Nasdaq deadline and alleviating immediate delisting concerns. This development led to a 20% surge in the stock price, reflecting renewed investor confidence. However, the episode has highlighted regulatory risks and governance issues, which could weigh on the company's reputation and valuation. Despite these challenges, Super Micro's advanced technology and strategic partnerships position it well for growth in the high-performance computing and server markets. Institutional investors have shown renewed interest, but concerns about revenue concentration and the potential for further regulatory scrutiny remain.
 **Financials**  
 Super Micro's financial metrics present a mixed picture. The company trades at a trailing P/E of 15.68 and a forward P/E of 8.51, suggesting a relatively attractive valuation compared to its peers. Its price-to-sales ratio of 1.03 and price-to-book ratio of 3.43 indicate that the stock is not overly expensive. However, the firm's profit margins (6.94%) and EBITDA margins (7.67%) are modest, reflecting operational challenges. Revenue growth of 54.9% year-over-year is a strong positive, but the company is grappling with negative free cash flow (-$2.53 billion) and operating cash flow (-$1.99 billion), which could constrain its ability to invest in future growth. The quick ratio of 3.32 and current ratio of 6.38 indicate strong liquidity, but a debt-to-equity ratio of 31.38% suggests moderate leverage.
 **Valuations**  
 Super Micro's stock has experienced significant volatility, with a 52-week range of $17.25 to $122.90. The current market price is well below its 52-week high, reflecting investor caution. Analyst price targets range from $15 to $93, with a mean target of $50.75, indicating potential upside from current levels. However, the stock's beta of 1.20 suggests higher-than-average volatility, which could deter risk-averse investors. The company's enterprise value-to-revenue ratio of 1.21 and enterprise value-to-EBITDA ratio of 15.75 suggest that the market is pricing in some level of operational risk.
 **Economic Outlook**  
 The broader economic environment presents both opportunities and challenges for Super Micro. The ongoing trade tensions and tariffs could disrupt supply chains and increase costs, particularly for a company operating in the technology hardware sector. However, the demand for high-performance computing and server solutions remains robust, driven by trends such as artificial intelligence, cloud computing, and data center expansion. Super Micro's ability to capitalize on these trends will depend on its operational execution and ability to navigate regulatory and governance challenges.
 **Summary**  
 **Thesis**: Super Micro's advanced technology and strong revenue growth position it well for long-term success in the high-performance computing market.  
 **Edge**: The resolution of its Nasdaq compliance issues and renewed institutional interest provide a near-term catalyst for the stock.  
 **Risk**: Regulatory scrutiny, governance concerns, and cash flow challenges could weigh on the company's performance and valuation.
 **Score**: 65</t>
  </si>
  <si>
    <t>SOLV</t>
  </si>
  <si>
    <t>**Investment Report: Solventum**
 **Recent News**  
 Solventum has demonstrated strong financial performance in its latest earnings report, with adjusted EPS of $1.41 exceeding expectations of $1.31 and revenues of $2.074 billion surpassing the forecasted $2.050 billion. This growth was driven by robust sales in its wound care and surgical sterilization product lines. However, despite these positive results, the stock experienced a slight decline of 0.71%, reflecting investor concerns over declining profit margins. The company has forecasted annual profits above estimates, signaling confidence in its operational outlook.  
 In a strategic move, Solventum recently sold its filtration unit for $4.1 billion, a step toward simplifying its business structure. Activist investor Nelson Peltz's Trian Fund Management is advocating for further streamlining, which could unlock additional shareholder value. The company is also in the early stages of a multiyear turnaround effort, which may involve cost-cutting measures and operational improvements. While these initiatives are promising, they introduce execution risks in the near term.
 **Financials**  
 Solventum's financial metrics present a mixed picture. The company has a trailing P/E ratio of 29.04, which is relatively high, but its forward P/E of 14.50 suggests expectations of significant earnings growth. The price-to-sales ratio of 1.68 and price-to-book ratio of 4.68 indicate that the stock is moderately valued compared to its peers in the healthcare technology sector.  
 The company has a market capitalization of $13.85 billion and an enterprise value of $21.10 billion, reflecting its substantial debt load of $8.01 billion. With a debt-to-equity ratio of 270.7%, Solventum's leverage is a concern, particularly in a rising interest rate environment. However, its free cash flow of $1.41 billion and operating cash flow of $1.18 billion provide some reassurance about its ability to service debt.  
 Profit margins remain modest, with a net margin of 5.8% and operating margin of 8.8%. Gross margins of 56.9% are strong, but declining margins have raised questions about cost management. Revenue growth of 1.9% year-over-year is steady but not exceptional, and earnings quarterly growth has declined by 89%, reflecting challenges in maintaining profitability.
 **Valuations**  
 Analyst sentiment on Solventum is neutral, with a recommendation mean of 2.91 (hold). The stock is trading near its 52-week high of $85.92, with a current price of approximately $79.75. The target price range of $71.00 to $88.00 suggests limited upside potential in the short term. The stock's performance has been solid over the past year, with a 52-week change of 15.4%, slightly underperforming the S&amp;P 500's 17.2% gain.  
 The company's enterprise value-to-revenue ratio of 2.56 and enterprise value-to-EBITDA ratio of 12.46 indicate that the stock is fairly valued relative to its earnings potential. However, the high debt levels and declining margins could weigh on its valuation if these issues are not addressed effectively.
 **Economic Outlook**  
 The broader economic environment presents challenges for Solventum. Rising interest rates and slowing economic growth could pressure consumer and institutional spending on healthcare products. Additionally, the company's high debt levels make it vulnerable to higher borrowing costs. On the positive side, Solventum operates in a defensive sector, which tends to perform relatively well during economic downturns.  
 The company's turnaround efforts and focus on high-margin product lines like wound care and surgical sterilization could help offset macroeconomic headwinds. However, execution risks remain, particularly as the company navigates activist investor pressures and implements its restructuring plan.
 **Summary**  
 **Thesis**: Solventum's strong revenue performance and focus on high-margin products provide a solid foundation for growth.  
 **Edge**: The company's strategic divestitures and turnaround efforts could unlock shareholder value over the long term.  
 **Risk**: High debt levels, declining margins, and execution risks from restructuring efforts pose significant challenges.  
 **Score**: 72</t>
  </si>
  <si>
    <t>**Investment Report: S&amp;P Global (SPGI)**
 **Recent News**  
 S&amp;P Global has demonstrated robust growth over the past five years, with its stock appreciating over 80% and currently trading near its all-time high. The company has shown resilience to macroeconomic headwinds, supported by its diversified revenue streams in financial data, analytics, and credit ratings. Analysts remain optimistic about its growth trajectory, citing its ability to capitalize on improving macroeconomic conditions. The firm's strong market position and consistent performance make it a standout in the Financial Exchanges &amp; Data industry.
 **Financials**  
 S&amp;P Global's financial metrics reflect a solid foundation for growth. The company reported a trailing price-to-earnings (P/E) ratio of 42.93 and a forward P/E of 31.49, indicating expectations of continued earnings growth. Its profit margins are strong, with a net margin of 27.1% and EBITDA margins of 49.0%, showcasing operational efficiency. Revenue growth of 14% year-over-year and earnings growth of 55.8% highlight its ability to expand both top-line and bottom-line performance. The firm also maintains a healthy free cash flow of $5.09 billion, supporting its dividend payout and potential reinvestment opportunities.
 The company’s balance sheet is stable, with a manageable debt-to-equity ratio of 32.1% and a return on equity (ROE) of 11.0%, reflecting effective capital utilization. However, its quick ratio of 0.71 and current ratio of 0.85 suggest limited short-term liquidity, which could be a concern in a tightening credit environment.
 **Valuations**  
 S&amp;P Global's valuation metrics indicate a premium relative to the broader market, justified by its strong growth prospects and market leadership. The stock trades at a price-to-book ratio of 4.91 and a price-to-sales ratio of 11.47, reflecting investor confidence in its future earnings potential. Analysts have set a median price target of $610, with a high target of $650, suggesting upside potential from its current price of approximately $533.74. The recommendation mean of 1.46 (strong buy) from 21 analysts further underscores its attractiveness.
 **Economic Outlook**  
 The broader economic environment presents mixed signals for S&amp;P Global. While the U.S. economy is showing signs of deceleration, with GDP contraction expected in Q1 2025, the company’s business model is relatively insulated from direct consumer spending trends. Its reliance on financial data, credit ratings, and analytics positions it well to benefit from increased market activity, even in volatile conditions. However, geopolitical tensions, trade wars, and elevated interest rates could weigh on market sentiment and indirectly impact its operations.
 The firm’s beta of 1.2 suggests slightly higher volatility than the market, which could amplify price swings in the current uncertain environment. Nonetheless, its strong fundamentals and diversified revenue streams provide a buffer against macroeconomic challenges.
 **Summary**  
 **Thesis**: S&amp;P Global is a market leader with strong growth attributes, robust financial performance, and a proven ability to navigate macroeconomic headwinds. Its premium valuation is supported by consistent revenue and earnings growth, making it a compelling long-term play in the Financial Exchanges &amp; Data industry.  
 **Edge**: The company’s diversified revenue streams, operational efficiency, and market leadership position it to capitalize on both stable and volatile market conditions.  
 **Risk**: Potential risks include limited short-term liquidity, sensitivity to market volatility, and broader economic uncertainties stemming from geopolitical tensions and trade policies.
 **Score**: 85</t>
  </si>
  <si>
    <t>**Investment Report: Synchrony Financial (SYF)**
 **Recent News**  
 Synchrony Financial has experienced a significant decline of 13.15% over the past four weeks, placing the stock in technically oversold territory. This sharp drop has been attributed to broader market volatility and sector-specific pressures. However, Wall Street analysts have shown strong consensus in revising earnings estimates upward, suggesting potential for a trend reversal. This optimism is supported by Synchrony's robust earnings growth and its ability to navigate challenging economic conditions effectively. The recent selloff may have been overdone, creating an opportunity for value investors to consider the stock.
 **Financials**  
 Synchrony Financial's financial metrics highlight its strong profitability and operational efficiency. The company boasts a trailing P/E ratio of 6.79, significantly below the industry average, indicating that the stock is undervalued relative to its earnings. Its forward P/E of 8.97 suggests continued earnings growth, supported by a robust earnings growth rate of 82% year-over-year. The firm has a high return on equity (ROE) of 22.96%, reflecting its ability to generate substantial returns on shareholder capital. Additionally, Synchrony maintains a healthy profit margin of 37.26%, underscoring its strong operational performance.
 The company’s dividend yield of 1.65% is below its five-year average of 2.58%, but its low payout ratio of 11.7% indicates ample room for future dividend increases. Synchrony also has a solid balance sheet, with $14.71 billion in cash and manageable debt levels of $15.46 billion. Its operating cash flow of $9.85 billion further supports its financial stability and ability to fund growth initiatives.
 **Valuations**  
 Synchrony Financial is trading at a price-to-book ratio of 1.47, which is reasonable given its strong fundamentals and well above its book value of $39.56 per share. The stock's current price of approximately $57 is well below its 52-week high of $70.93, offering a potential upside. Analysts have set a median price target of $80, representing a 40% upside from current levels, with a high target of $88. The recommendation mean of 1.91 (on a scale where 1.0 is a strong buy) further reflects analysts' confidence in the stock.
 **Economic Outlook**  
 The broader economic environment presents both challenges and opportunities for Synchrony Financial. Rising interest rates and slowing economic growth could pressure consumer spending, potentially impacting Synchrony's credit card and consumer finance business. However, the company has demonstrated resilience, with revenue growth of 20.8% year-over-year and earnings growth of 82%, indicating its ability to adapt to changing market conditions. The recent tariffs and geopolitical uncertainties may weigh on consumer confidence, but Synchrony's strong financial position and diversified portfolio should help mitigate these risks.
 **Summary**  
 **Thesis**: Synchrony Financial is undervalued based on its strong earnings growth, robust profitability, and attractive valuation metrics. The recent selloff appears to be an overreaction, creating a potential buying opportunity.  
 **Edge**: The company's high ROE, strong cash flow, and upward earnings revisions provide a solid foundation for future growth. Analysts' consensus on a significant upside further supports the investment case.  
 **Risk**: Macroeconomic headwinds, including slowing consumer spending and rising interest rates, could impact Synchrony's performance. Additionally, broader market volatility may continue to weigh on the stock in the near term.
 **Score**: 85</t>
  </si>
  <si>
    <t>**Investment Report: Teledyne Technologies**
 **Recent News:**  
 Teledyne Technologies has not been in the spotlight over the past week, with no significant announcements or developments. This lack of news suggests stability in operations but also indicates no immediate catalysts for significant price movement in the short term.
 **Financials:**  
 Teledyne Technologies is trading near its 52-week high of $522.50, reflecting strong investor confidence. The stock's trailing price-to-earnings (P/E) ratio of 29.82 and forward P/E of 23.90 suggest a premium valuation, likely due to its consistent profitability and market leadership in the electronic equipment and instruments industry. The company has a market capitalization of $24 billion and a price-to-book ratio of 2.51, indicating a moderate premium over its book value.
 The firm’s profit margins stand at 14.45%, supported by robust gross margins of 42.94% and EBITDA margins of 24.03%. However, earnings growth has contracted by 37.7% year-over-year, and revenue growth is modest at 5.4%. This slowdown in earnings growth could be a concern, especially in a challenging macroeconomic environment. The company’s return on equity (ROE) of 8.74% and return on assets (ROA) of 4.58% are solid but not exceptional, reflecting efficient use of capital but limited upside potential.
 Teledyne maintains a strong balance sheet with a current ratio of 2.33 and a quick ratio of 1.48, indicating ample liquidity to meet short-term obligations. The debt-to-equity ratio of 29.19% is manageable, though the total debt of $2.79 billion is notable. Free cash flow of $1.02 billion and operating cash flow of $1.19 billion provide a cushion for future investments or debt servicing.
 **Valuations:**  
 Teledyne’s valuation metrics suggest it is priced for growth, with analysts maintaining a "buy" recommendation and a mean target price of $565.94, representing a potential upside of approximately 9.9% from its current levels. The stock’s beta of 1.03 indicates it moves in line with the broader market, offering moderate risk. The company’s enterprise value-to-revenue ratio of 4.62 and enterprise value-to-EBITDA ratio of 19.21 are on the higher side, reflecting investor expectations of continued operational efficiency and market leadership.
 **Economic Outlook:**  
 The broader economic environment presents mixed signals for Teledyne. The U.S. economy is showing signs of deceleration, with GDP expected to shrink by 1.5% in Q1 2025. Rising tariffs on key trading partners, including Canada, Mexico, and China, could disrupt supply chains and increase input costs for Teledyne, potentially pressuring margins. However, the company’s diversified product portfolio and strong institutional ownership (93.2%) may help it weather these challenges. Additionally, its exposure to high-tech and defense-related markets could provide resilience amid geopolitical uncertainties.
 **Summary of Thesis, Edge, and Risk:**  
 Teledyne Technologies is a well-managed company with strong margins, a solid balance sheet, and a history of consistent performance. Its premium valuation reflects investor confidence in its ability to navigate economic headwinds and maintain market leadership. However, slowing earnings growth and potential tariff-related cost pressures pose risks. The company’s edge lies in its diversified product offerings and strong institutional backing, which provide stability in uncertain times.
 **Score:** 78</t>
  </si>
  <si>
    <t>TER</t>
  </si>
  <si>
    <t>**Investment Report: Teradyne (TER)**
 **Recent News**  
 Teradyne's stock has declined by 5.5% since its last earnings report, reflecting investor concerns over its near-term outlook. The company reported solid earnings growth of 24.9% year-over-year, but the market's reaction suggests that expectations were higher, or that forward guidance may have been underwhelming. Additionally, the broader semiconductor sector has faced headwinds due to escalating trade tensions, particularly between the U.S. and China, which could impact demand for semiconductor testing equipment—a core business for Teradyne. The recent tariffs imposed by the U.S. on Chinese goods, coupled with China's retaliatory measures, may weigh on the company's revenue growth in the coming quarters.
 **Financials**  
 Teradyne's financial health remains robust, with a strong current ratio of 2.91 and a quick ratio of 1.72, indicating ample liquidity to manage short-term obligations. The company has a low debt-to-equity ratio of 2.72%, reflecting prudent financial management. Profit margins are healthy, with gross margins at 58.5% and operating margins at 20.5%. The company generated $672 million in operating cash flow and $411 million in free cash flow over the last year, underscoring its ability to fund operations and return capital to shareholders. However, the stock's trailing P/E ratio of 31.86 and forward P/E of 24.89 suggest that it is trading at a premium compared to historical averages, which could limit upside potential in a volatile market environment.
 **Valuations**  
 Teradyne's price-to-book ratio of 6.07 and price-to-sales ratio of 6.07 indicate that the stock is relatively expensive compared to its peers in the semiconductor equipment industry. The company's PEG ratio of 1.49, while reasonable, suggests that growth expectations are already priced in. Analysts have a median price target of $137.50, representing a potential upside of approximately 30% from current levels. However, the stock's recent decline and its position near the lower end of its 52-week range ($95.80 to $163.21) may reflect broader market concerns rather than company-specific issues.
 **Economic Outlook**  
 The semiconductor industry is facing macroeconomic challenges, including slowing global demand, trade tensions, and elevated interest rates. The U.S.-China trade war, in particular, poses a significant risk to Teradyne, as China is a key market for semiconductor equipment. Additionally, the broader U.S. economy is showing signs of deceleration, with GDP expected to contract in Q1 2025. These factors could weigh on capital expenditures by semiconductor manufacturers, potentially impacting Teradyne's order book. On the positive side, the company's exposure to emerging technologies such as AI and 5G could provide long-term growth opportunities, as these sectors drive demand for advanced testing solutions.
 **Summary**  
 **Thesis**: Teradyne is a financially sound company with strong margins and cash flow, positioned to benefit from long-term trends in AI and 5G.  
 **Edge**: Its leadership in semiconductor testing equipment and exposure to high-growth markets provide a competitive advantage.  
 **Risk**: Near-term risks include trade tensions, slowing global demand, and valuation concerns, which could limit upside potential in the short term.
 **Score**: 65</t>
  </si>
  <si>
    <t>**Investment Report: T-Mobile US (TMUS)**
 **Recent News**  
 T-Mobile US has been selected as the exclusive wireless carrier to support New York City's public safety and connectivity initiatives. This partnership highlights T-Mobile's robust 5G network capabilities and its ability to cater to mission-critical operations. This development not only strengthens T-Mobile's position in the wireless telecommunications sector but also underscores its commitment to leveraging technology for public benefit. Additionally, T-Mobile's stock has risen 12.7% since its last earnings report, reflecting strong investor confidence. However, the question remains whether this momentum can be sustained amid broader market uncertainties.
 **Financials**  
 T-Mobile's financial performance remains solid, with a market capitalization of $311.5 billion and a trailing price-to-earnings (P/E) ratio of 28.27. The company has demonstrated strong earnings growth of 48% year-over-year and revenue growth of 6.8%, supported by its expanding 5G network and customer base. Its gross margins of 63.79% and EBITDA margins of 38.18% indicate efficient operations and profitability. However, the company's high debt-to-equity ratio of 186.19% raises concerns about leverage, particularly in a rising interest rate environment. Despite this, T-Mobile's free cash flow of $10.8 billion and operating cash flow of $22.3 billion provide a cushion for debt servicing and future investments.
 **Valuations**  
 T-Mobile's stock is trading near its 52-week high of $276.49, significantly above its 52-week low of $158.84. The forward P/E ratio of 25.57 suggests that the market expects continued earnings growth. Analysts have a median price target of $260, slightly below the current trading price, indicating limited upside in the near term. The price-to-book ratio of 5.06 and enterprise value-to-EBITDA ratio of 13.43 suggest that the stock is fairly valued relative to its peers. The company's dividend yield of 1.31% and payout ratio of 29.3% provide moderate income for investors, though it is not a primary driver of the stock's appeal.
 **Economic Outlook**  
 The broader economic environment presents mixed signals for T-Mobile. While the U.S. economy is showing signs of deceleration, T-Mobile's focus on essential services like public safety and connectivity may insulate it from broader market volatility. However, the company's high leverage could become a concern if interest rates remain elevated or economic conditions worsen. Additionally, the ongoing trade tensions and tariffs could indirectly impact T-Mobile's supply chain and operational costs, though its domestic focus may mitigate these risks.
 **Summary**  
 **Thesis**: T-Mobile's strong financial performance, strategic partnerships, and leadership in 5G technology position it well for sustained growth.  
 **Edge**: Its exclusive partnership with NYC and robust cash flow generation provide a competitive advantage.  
 **Risk**: High leverage and limited near-term upside in stock price could pose challenges, especially in a volatile economic environment.  
 **Score**: 78</t>
  </si>
  <si>
    <t>**Investment Report: United Airlines Holdings (UAL)**
 **Recent News**  
 United Airlines has been highlighted as a strong investment opportunity, with analysts setting a target price of $117 per share. The company's focus on fleet upgrades, international route expansion, and premium services positions it well for long-term growth. Strategic partnerships and loyalty programs are bolstering its competitive edge, while its diverse income streams provide resilience. However, challenges such as rising operational costs and reliability issues remain key risks. Analysts have also noted that United Airlines' financial recovery is gaining momentum, supported by its strategic initiatives.
 **Financials**  
 United Airlines demonstrates solid financial performance, with a trailing price-to-earnings (P/E) ratio of 9.70 and a forward P/E of 7.58, indicating a relatively undervalued position compared to industry peers. The company has achieved significant earnings growth of 64.2% year-over-year, reflecting strong operational recovery. Revenue growth of 7.8% further underscores its ability to capitalize on increased travel demand. Profit margins stand at 5.52%, while EBITDA margins are at 14.18%, showcasing efficient cost management despite rising expenses.
 The company holds $14.47 billion in cash, providing liquidity to support its strategic initiatives, though its debt-to-equity ratio of 236.06% highlights a highly leveraged balance sheet. Free cash flow of $1.8 billion and operating cash flow of $9.44 billion indicate robust cash generation, which is critical for managing debt and funding growth. United Airlines' return on equity (ROE) of 28.63% is particularly strong, reflecting effective use of shareholder capital.
 **Valuations**  
 United Airlines' current stock price of approximately $93.81 is trading below its 52-week high of $116.00, suggesting potential upside. The price-to-book (P/B) ratio of 2.37 is reasonable given the company's growth prospects. Analysts' mean target price of $130.36 and a median target of $131.00 further indicate significant upside potential. The trailing PEG ratio of 0.88 suggests that the stock is attractively valued relative to its growth rate.
 **Economic Outlook**  
 The broader economic environment presents mixed signals for United Airlines. While the travel industry continues to recover from pandemic-related disruptions, macroeconomic headwinds such as elevated interest rates, rising fuel costs, and geopolitical uncertainties could weigh on consumer demand. Additionally, the recent escalation in trade tensions and tariffs may indirectly impact the airline industry through higher costs and reduced global trade activity. However, United Airlines' focus on premium services and international routes may help mitigate some of these risks by targeting higher-margin segments.
 **Summary**  
 **Thesis**: United Airlines is well-positioned for growth, supported by fleet modernization, international expansion, and premium offerings. Its strong financial recovery and undervalued stock price provide a compelling investment case.  
 **Edge**: The company's strategic partnerships, loyalty programs, and focus on high-margin services differentiate it from competitors.  
 **Risk**: High leverage, rising operational costs, and potential macroeconomic headwinds could challenge profitability and growth.
 **Score**: 85</t>
  </si>
  <si>
    <t>UBER</t>
  </si>
  <si>
    <t>**Investment Report: Uber Technologies Inc. (UBER)**
 **Recent News**  
 Uber has delivered strong financial results in its latest quarterly update, signaling robust growth and operational efficiency. The announcement has been well-received by the market, with billionaire investor Bill Ackman acquiring 30.3 million shares through Pershing Square Capital Management. Ackman’s involvement underscores confidence in Uber's long-term growth potential, as his track record often attracts attention from institutional and retail investors alike. This development could bolster investor sentiment and provide a tailwind for Uber's stock performance in the near term.
 **Financials**  
 Uber's financial metrics reflect a company in a strong growth phase. The firm reported a trailing price-to-earnings (P/E) ratio of 16.32, which is relatively attractive compared to its forward P/E of 31.54, indicating expectations of slower earnings growth in the near term. Uber's revenue growth of 20.4% year-over-year and earnings growth of 384% highlight its ability to scale operations effectively. The company has a profit margin of 22.41%, which is impressive for a firm in the competitive passenger transportation industry. Additionally, Uber's free cash flow of $5.27 billion and operating cash flow of $7.14 billion provide a solid financial foundation for future investments and debt management.
 However, Uber's debt-to-equity ratio of 50.88% suggests a moderately leveraged balance sheet, which could pose risks in a rising interest rate environment. The quick ratio of 0.94 and current ratio of 1.07 indicate adequate liquidity to meet short-term obligations, though not excessively strong. The company’s gross margin of 33.19% and EBITDA margin of 8.04% reflect a business model that is becoming increasingly efficient.
 **Valuations**  
 Uber's current stock price of $74.25 (bid) places it at a price-to-book ratio of 7.28, which is relatively high, suggesting the stock may be overvalued based on its book value. However, the price-to-sales ratio of 3.54 is reasonable for a high-growth company. Analysts have a median price target of $90, representing a potential upside of approximately 21% from current levels. The stock has a 52-week range of $54.84 to $87.00, indicating it is trading closer to its upper range, which could limit immediate upside potential.
 **Economic Outlook**  
 The broader economic environment presents mixed implications for Uber. On one hand, the U.S. economy is showing signs of deceleration, with GDP expected to shrink by 1.5% in Q1 2025. Rising jobless claims and weakening consumer confidence could dampen demand for discretionary services like ride-hailing. On the other hand, Uber's strong cash flow and operational efficiency position it well to weather economic headwinds. Additionally, the company's global footprint and diversified revenue streams, including food delivery and freight, provide resilience against localized economic slowdowns.
 The ongoing trade tensions and tariffs imposed by the Trump administration could indirectly impact Uber by increasing costs for its supply chain or reducing consumer spending power. However, Uber's asset-light business model and focus on technology-driven efficiencies may mitigate these risks.
 **Summary**  
 **Thesis**: Uber's strong financial performance, robust revenue growth, and operational efficiency make it a compelling player in the passenger transportation industry. The involvement of high-profile investors like Bill Ackman further validates its long-term growth potential.  
 **Edge**: Uber's diversified revenue streams, global presence, and improving margins provide a competitive advantage in a challenging economic environment.  
 **Risk**: Economic deceleration, rising interest rates, and potential overvaluation could limit short-term upside, while geopolitical and trade uncertainties may pose additional challenges.
 **Score**: 85</t>
  </si>
  <si>
    <t>ULTA</t>
  </si>
  <si>
    <t>**Investment Report: Ulta Beauty**
 **Recent News**  
 Ulta Beauty continues to demonstrate resilience and profitability in a highly competitive discretionary retail sector. The company's focus on organic growth, international expansion, and fostering strong customer loyalty positions it well for sustained performance. Despite competition from Sephora, Ulta's aggressive share buyback program and relatively low valuation multiples suggest management's alignment with shareholder interests and potential for value creation. These factors highlight Ulta's ability to navigate economic uncertainties while maintaining its market position.
 **Financials**  
 Ulta Beauty's financial metrics reflect a solid foundation. The company has a trailing price-to-earnings (P/E) ratio of 13.96 and a forward P/E of 15.25, indicating a reasonable valuation relative to its earnings potential. Its gross margin of 42.48% and operating margin of 12.59% underscore efficient cost management and profitability. However, earnings growth has slightly declined (-2.9% quarterly), which may reflect broader economic pressures. The company's return on equity (ROE) of 55.18% and return on assets (ROA) of 16.94% highlight strong operational efficiency and effective use of capital.
 Ulta's balance sheet shows a debt-to-equity ratio of 91.93, which is relatively high but manageable given its robust operating cash flow of $1.42 billion and free cash flow of $727 million. The quick ratio of 0.215 suggests limited short-term liquidity, but the current ratio of 1.627 indicates sufficient ability to meet near-term obligations. The company’s market capitalization stands at $16.18 billion, with a price-to-sales ratio of 1.42, reflecting a fair valuation in the retail sector.
 **Valuations**  
 Ulta's stock has experienced volatility, with a 52-week range of $318.17 to $574.76. The current price near $347.38 is significantly below its 50-day and 200-day moving averages, suggesting potential undervaluation. Analysts' target prices range from $360 to $538, with a mean target of $456.56, indicating upside potential. The stock's beta of 1.34 reflects moderate sensitivity to market movements, which could amplify volatility in uncertain economic conditions.
 **Economic Outlook**  
 The broader economic environment presents challenges for discretionary retailers like Ulta Beauty. Rising tariffs, slowing GDP growth, and weakening consumer confidence could dampen spending on non-essential goods. However, Ulta's strong brand loyalty and diversified product offerings may help mitigate these risks. The company's ability to adapt to changing consumer preferences and its focus on innovation, such as expanding its digital and omnichannel presence, provide a competitive edge in a challenging market.
 **Summary**  
 **Thesis**: Ulta Beauty's strong profitability, customer loyalty, and strategic growth initiatives position it as a resilient player in the specialty retail sector.  
 **Edge**: The company's aggressive share buybacks, efficient operations, and reasonable valuation multiples offer potential for shareholder value creation.  
 **Risk**: Economic headwinds, including slowing consumer spending and tariff impacts, could pressure earnings and growth in the near term.  
 **Score**: 78</t>
  </si>
  <si>
    <t>WAB</t>
  </si>
  <si>
    <t>**Investment Report: Wabtec Corporation**
 **Recent News:**  
 Wabtec Corporation has not been in the news over the past week, indicating a lack of significant recent developments or announcements. This absence of news suggests stability in operations but also a lack of immediate catalysts for the stock. The broader macroeconomic environment, including trade tensions and slowing economic growth, may indirectly impact the company, particularly given its exposure to the construction machinery and heavy transportation equipment sectors.
 **Financials:**  
 Wabtec's financial performance reflects a solid position with a market capitalization of $31 billion and a trailing price-to-earnings (P/E) ratio of 30.07, which is higher than the industry average, indicating a premium valuation. The forward P/E of 21.39 suggests expectations of earnings growth, albeit at a moderated pace. The company has a dividend yield of 0.54%, slightly below its five-year average of 0.59%, reflecting a conservative payout ratio of 13.25%. 
 Revenue growth of 2.3% year-over-year and earnings growth of 2% indicate steady, albeit modest, expansion. Wabtec's gross margins of 32.76% and EBITDA margins of 20.37% highlight operational efficiency, though its operating margins of 13.51% suggest room for improvement. The company’s return on equity (ROE) of 10.33% and return on assets (ROA) of 5.52% are respectable but not exceptional for the industry.
 Debt levels are manageable, with a debt-to-equity ratio of 42.32%, supported by a free cash flow of $1.2 billion and operating cash flow of $1.83 billion. However, liquidity metrics such as a quick ratio of 0.636 and a current ratio of 1.304 indicate limited short-term flexibility, which could be a concern in a tightening economic environment.
 **Valuations:**  
 Wabtec's stock is trading at a price-to-book (P/B) ratio of 3.08, which is above the industry average, suggesting the stock may be overvalued relative to its book value. The stock's 52-week range of $139.12 to $210.88 places its current price near the midpoint, reflecting a balanced risk-reward profile. Analyst sentiment remains positive, with a mean target price of $215.12, implying a potential upside of approximately 15% from current levels. The recommendation mean of 1.82 (on a scale where 1.0 is a strong buy) underscores confidence in the stock's long-term prospects.
 **Economic Outlook:**  
 The macroeconomic environment presents mixed implications for Wabtec. The U.S. economy is showing signs of deceleration, with GDP expected to contract by 1.5% in Q1 2025. Trade tensions, particularly the imposition of tariffs on steel and aluminum, could increase input costs for Wabtec, pressuring margins. However, the company's exposure to infrastructure and transportation markets may provide resilience, especially if government spending on infrastructure projects increases. Additionally, Wabtec's beta of 1.31 suggests higher sensitivity to market volatility, which could amplify stock movements in the current uncertain environment.
 **Summary of Thesis, Edge, and Risk:**  
 Wabtec's steady financial performance, operational efficiency, and positive analyst sentiment support its long-term investment thesis. The company's edge lies in its established position in the transportation and heavy equipment sectors, which are poised to benefit from infrastructure investments. However, risks include exposure to macroeconomic headwinds, such as slowing growth, trade tensions, and potential cost pressures from tariffs. Liquidity constraints and premium valuations further add to the risk profile.
 **Score:** 72</t>
  </si>
  <si>
    <t>WFC</t>
  </si>
  <si>
    <t>**Investment Report: Wells Fargo (WFC)**
 **Recent News**  
 Wells Fargo has recently garnered attention for its strategic and financial decisions. The announcement of a $0.40 per share quarterly dividend, payable on March 1, underscores the bank's commitment to returning value to shareholders. This dividend reflects a payout ratio of 27.93%, which is sustainable given the firm's strong profitability metrics. However, the decision to abandon its net-zero emissions target by 2050 marks a significant shift in its approach to environmental, social, and governance (ESG) considerations. This move may alienate ESG-focused investors but could appeal to those prioritizing short-term financial performance over long-term sustainability goals. Additionally, bullish sentiment from Wall Street analysts, with a recommendation mean of 2.04 (indicating a "Buy"), suggests confidence in the stock's near-term prospects, potentially driving positive momentum.
 **Financials**  
 Wells Fargo's financial performance remains robust, with a trailing price-to-earnings (P/E) ratio of 14.34 and a forward P/E of 14.03, indicating a fair valuation relative to its earnings growth. The bank's return on equity (ROE) of 10.84% and return on assets (ROA) of 1.03% highlight efficient capital utilization and profitability. Revenue growth remains modest at 0.5%, but earnings growth of 66.3% demonstrates strong operational efficiency and cost management. The firm's dividend yield of 2.04% is slightly below its five-year average of 2.93%, reflecting a higher stock price relative to historical levels. With a price-to-book (P/B) ratio of 1.58, Wells Fargo is trading at a premium to its book value, which is justified by its profitability and market position.
 **Valuations**  
 Wells Fargo's current stock price of $77.09 (as of the latest trading session) is near its 52-week high of $81.50, reflecting strong investor confidence. The stock has outperformed the S&amp;P 500 over the past year, with a 52-week change of 38.37% compared to the S&amp;P's 17.25%. Analyst price targets range from $65.00 to $92.00, with a median target of $86.00, suggesting potential upside of approximately 11.6% from current levels. The bank's enterprise value-to-revenue ratio of 2.50 and price-to-sales ratio of 3.25 indicate a reasonable valuation for a company of its scale and profitability.
 **Economic Outlook**  
 The broader economic environment presents mixed signals for Wells Fargo. The U.S. economy is showing signs of deceleration, with GDP expected to contract by 1.5% in Q1 2025. Rising jobless claims and a record trade deficit could weigh on consumer and business activity, potentially impacting loan demand and credit quality. However, moderating inflation and the possibility of Federal Reserve rate cuts later in the year could provide a tailwind for the banking sector. Wells Fargo's strong capital position, with $381.8 billion in cash and a manageable debt load of $302.6 billion, positions it well to navigate economic uncertainty.
 **Summary**  
 **Thesis**: Wells Fargo's strong profitability, efficient capital utilization, and shareholder-friendly policies make it an attractive option in the diversified banking sector.  
 **Edge**: The bank's robust earnings growth and fair valuation provide a solid foundation for long-term performance, while its strategic decisions align with near-term financial priorities.  
 **Risk**: Economic headwinds, including a potential recession and weakening consumer confidence, could impact loan growth and credit quality, while the abandonment of ESG targets may deter certain investors.  
 **Score**: 78</t>
  </si>
  <si>
    <t>WMB</t>
  </si>
  <si>
    <t>**Investment Report: Williams Companies (Oil &amp; Gas Storage &amp; Transportation)**
 **Recent News**:  
 Williams Companies has not been in the spotlight over the past week, with no significant announcements or developments. This lack of news suggests stability in operations but also indicates no immediate catalysts for significant price movement. The broader macroeconomic environment, including trade tensions and tariff implementations, could indirectly impact the energy sector, particularly in terms of supply chain costs and demand fluctuations.
 **Financials**:  
 Williams Companies is trading near the higher end of its 52-week range ($35.74 - $61.46), with a recent close of $58.18. The company offers a dividend yield of 3.44%, slightly below its five-year average of 5.71%, reflecting a relatively high valuation. The payout ratio of 1.044 indicates that dividends are currently exceeding earnings, which could be a concern if earnings growth remains negative. The trailing PE ratio of 31.65 and forward PE of 27.56 suggest a premium valuation compared to the broader market, likely due to its strong profit margins and stable cash flows.
 The company reported a profit margin of 20.69% and EBITDA margins of 52.02%, highlighting its operational efficiency. However, earnings growth has been negative (-57.3%), and revenue growth of 15.6% may not be sufficient to offset this decline. The debt-to-equity ratio of 182.47% is high, indicating significant leverage, which could pose risks in a rising interest rate environment. Free cash flow of $1.03 billion and operating cash flow of $4.97 billion provide some cushion, but the company's high debt load remains a concern.
 **Valuations**:  
 Williams Companies' price-to-book ratio of 5.66 and enterprise value-to-EBITDA ratio of 17.95 suggest the stock is trading at a premium relative to its peers in the oil and gas storage and transportation industry. Analysts have a median price target of $60.00, close to the current price, indicating limited upside potential in the near term. The recommendation mean of 2.30 (between "buy" and "hold") reflects cautious optimism among analysts.
 **Economic Outlook**:  
 The macroeconomic environment presents mixed signals for Williams Companies. The U.S. economy is showing signs of deceleration, with GDP expected to shrink in Q1 2025. Trade tensions, including tariffs on steel and aluminum, could increase costs for infrastructure projects, potentially impacting the company's capital expenditures. However, the energy sector's resilience and the company's focus on natural gas transportation and storage could provide some insulation from broader economic headwinds. Additionally, the company's strong gross margins (60.04%) and operating margins (28.50%) position it well to weather short-term volatility.
 **Summary**:  
 Williams Companies benefits from strong operational efficiency and stable cash flows, supported by its position in the natural gas transportation and storage market. However, its high leverage, negative earnings growth, and premium valuation present risks, particularly in a slowing economic environment. The lack of recent news or catalysts suggests limited near-term upside, while broader macroeconomic uncertainties, including trade tensions and rising interest rates, could weigh on performance. The company's edge lies in its robust margins and cash flow generation, but its high debt levels and stretched valuation are key risks.
 **Score**: 65</t>
  </si>
  <si>
    <t>XEL</t>
  </si>
  <si>
    <t>**Investment Report: Xcel Energy (Multi-Utilities Industry)**
 **Recent News:**  
 Xcel Energy has not been in the headlines over the past week, indicating a period of operational stability without major disruptions or announcements. This lack of news suggests the company is maintaining its steady course, which aligns with its profile as a utility provider focused on consistent performance and dividend payouts.
 **Financials:**  
 Xcel Energy's financial metrics reflect a stable and mature utility company. The stock is trading near its 52-week high of $73.38, with a current price-to-earnings (P/E) ratio of 20.90 and a forward P/E of 18.77, indicating moderate valuation levels for the sector. The company offers a dividend yield of 3.16%, above its five-year average of 2.96%, which may appeal to income-focused investors. Its payout ratio of 63.66% suggests the dividend is sustainable, supported by consistent earnings growth of 9.4% year-over-year.
 The firm's beta of 0.387 highlights its low volatility compared to the broader market, making it a defensive play in uncertain economic conditions. However, Xcel Energy's revenue growth has declined by 9.4% year-over-year, reflecting challenges in expanding its top line. Despite this, the company maintains healthy profit margins, with gross margins at 44.5% and EBITDA margins at 39.3%, showcasing operational efficiency.
 Debt levels are a concern, with a debt-to-equity ratio of 155.06, indicating significant leverage. While this is common in the utilities sector due to capital-intensive operations, it could pose risks in a high-interest-rate environment. The company's free cash flow is negative at -$3.6 billion, though operating cash flow remains robust at $4.64 billion, suggesting it can manage its debt obligations in the near term.
 **Valuations:**  
 Xcel Energy's price-to-book ratio of 2.12 is reasonable for the utilities sector, reflecting fair valuation relative to its assets. The enterprise value-to-EBITDA ratio of 13.54 is slightly elevated, indicating the market is pricing in the company's stable cash flows and defensive characteristics. Analyst sentiment remains positive, with a "buy" recommendation and a target median price of $73.50, close to its current trading range, suggesting limited upside in the short term.
 **Economic Outlook:**  
 The broader economic environment presents mixed implications for Xcel Energy. The U.S. economy is showing signs of deceleration, with GDP expected to contract in Q1 2025. This could weigh on industrial and commercial energy demand, potentially impacting revenue. However, as a utility provider, Xcel Energy benefits from its essential service nature, which tends to be resilient during economic downturns. Elevated interest rates could increase borrowing costs for the company, given its high leverage, but moderating inflation and potential rate cuts later in the year may provide relief.
 The ongoing trade tensions and tariffs are unlikely to have a direct impact on Xcel Energy, as its operations are primarily domestic and insulated from global supply chain disruptions. However, broader market volatility could influence investor sentiment toward defensive sectors like utilities.
 **Summary of Thesis, Edge, and Risk:**  
 Xcel Energy's investment thesis is rooted in its stability, consistent dividend payouts, and defensive characteristics, making it a reliable choice in uncertain economic conditions. Its edge lies in its operational efficiency and strong profit margins, which support its ability to generate steady cash flows. However, risks include high leverage, declining revenue growth, and potential pressure on industrial energy demand due to economic slowdown. The stock's current valuation suggests limited short-term upside, but its defensive nature and income potential remain attractive for long-term investors.
 **Score:** 72</t>
  </si>
  <si>
    <r>
      <t xml:space="preserve">**Investment Report: ExxonMobil Corporation (XOM)**
 **Recent News**  
 ExxonMobil has been in the spotlight due to its strategic moves and market sentiment. The company recently acquired naphtha shipments for its $10 billion petrochemical complex in southern China, signaling a focus on diversifying its revenue streams and expanding its downstream operations. This investment aligns with ExxonMobil's strategy to capitalize on the growing demand for petrochemicals, particularly in Asia. However, broader market sentiment remains cautious, with some analysts suggesting that the global peak in oil demand could limit ExxonMobil's long-term upside. Additionally, the stock has garnered significant attention from retail investors, as evidenced by its trending status on platforms like </t>
    </r>
    <r>
      <rPr>
        <rFont val="&quot;Helvetica Neue&quot;"/>
        <color rgb="FF1155CC"/>
        <sz val="8.0"/>
        <u/>
      </rPr>
      <t>Zacks.com</t>
    </r>
    <r>
      <rPr>
        <rFont val="&quot;Helvetica Neue&quot;"/>
        <sz val="8.0"/>
      </rPr>
      <t>.
 **Financials**  
 ExxonMobil's financial metrics reflect a stable but cautious outlook. The company has a trailing P/E ratio of 13.74 and a forward P/E of 13.69, indicating a relatively fair valuation compared to its historical averages. Its dividend yield of 3.56% remains attractive, though it is below its five-year average of 4.89%, suggesting a potential shift in investor expectations. The company's profit margins (9.89%) and return on equity (14.51%) are solid but not exceptional, reflecting the challenges of operating in a mature industry with limited growth prospects. Revenue growth has declined by 2% year-over-year, and earnings growth is slightly negative, highlighting the impact of fluctuating oil prices and global economic uncertainty.
 ExxonMobil's balance sheet remains robust, with $23 billion in cash and a manageable debt-to-equity ratio of 17.85. The company generates significant free cash flow ($24.65 billion), which supports its dividend payouts and capital investments. However, its enterprise value-to-EBITDA ratio of 7.77 suggests that the market is pricing in limited growth potential.
 **Valuations**  
 ExxonMobil's stock is trading at a price-to-book ratio of 1.78, which is reasonable for an integrated oil and gas company. The stock's 52-week range of $104.32 to $126.34 indicates that it is currently trading near its lower end, potentially offering a margin of safety for value-oriented investors. Analyst price targets range from $105 to $146, with a mean target of $129.25, suggesting moderate upside potential from current levels. However, the company's trailing PEG ratio of 4.74 indicates that its growth prospects may not justify its current valuation, particularly in a slowing economic environment.
 **Economic Outlook**  
 The macroeconomic environment presents mixed signals for ExxonMobil. The global economy is facing headwinds, including slowing GDP growth, rising trade tensions, and elevated interest rates. These factors could dampen demand for oil and gas, particularly as renewable energy adoption accelerates. President Trump's recent tariffs on Canada, Mexico, and China could further disrupt global trade and supply chains, potentially impacting ExxonMobil's operations and input costs. On the positive side, ExxonMobil's investments in petrochemicals and downstream operations could provide a buffer against declining oil demand, as these segments are less sensitive to crude price fluctuations.
 **Summary**  
 **Thesis**: ExxonMobil's diversified operations and strong cash flow generation provide stability in a challenging macroeconomic environment. Its investments in petrochemicals and downstream operations position it to benefit from long-term demand in these segments.  
 **Edge**: The company's scale, integrated business model, and financial strength give it a competitive advantage in navigating industry challenges.  
 **Risk**: Declining oil demand, geopolitical tensions, and increasing competition from renewable energy sources could limit growth and compress margins.
 **Score**: 65</t>
    </r>
  </si>
  <si>
    <t>XYL</t>
  </si>
  <si>
    <t>**Investment Report: Xylem Inc.**
 **Recent News:**  
 Xylem Inc. has not been in the news over the past week, indicating a lack of significant developments or disruptions. This stability may reflect a steady operational environment, though it also suggests no immediate catalysts for sharp price movements in the short term.
 **Financials:**  
 Xylem's financial performance reflects a solid position within the industrial machinery and components sector. The company has a market capitalization of $31.53 billion and a trailing P/E ratio of 35.56, which is relatively high compared to the broader market, indicating a premium valuation. However, its forward P/E of 27.32 suggests expectations of earnings growth. The company has demonstrated strong profitability metrics, with a profit margin of 10.4% and quarterly earnings growth of 22.6%, supported by revenue growth of 6.5%.  
 Xylem's dividend yield of 1.22% is slightly above its five-year average of 1.15%, reflecting a consistent return to shareholders. The payout ratio of 39.45% indicates a sustainable dividend policy, leaving room for reinvestment in growth initiatives. The company also maintains a healthy balance sheet, with a manageable debt-to-equity ratio of 18.53 and a current ratio of 1.76, suggesting strong liquidity. Free cash flow of $1.05 billion further supports its ability to fund operations and shareholder returns.
 **Valuations:**  
 Xylem's price-to-book ratio of 2.96 and price-to-sales ratio of 3.68 indicate a valuation premium, which may be justified by its consistent growth and profitability. However, its trailing PEG ratio of 2.49 suggests the stock may be slightly overvalued relative to its earnings growth. Analysts remain optimistic, with a mean target price of $146.13, representing potential upside from the current price of $130.89. The recommendation mean of 2.0 (Buy) reflects positive sentiment among analysts, supported by 16 opinions.
 **Economic Outlook:**  
 The broader economic environment presents mixed signals for Xylem. The U.S. economy is showing signs of deceleration, with GDP contraction expected in Q1 2025 and rising jobless claims. However, Xylem's focus on water technology solutions positions it well in a sector with long-term demand drivers, such as infrastructure investment and sustainability initiatives. The company's exposure to global markets could be impacted by trade tensions and tariffs, particularly if supply chains are disrupted or costs increase. Nonetheless, its diversified revenue base and strong cash flow provide resilience against macroeconomic headwinds.
 **Summary:**  
 **Thesis:** Xylem's strong financial performance, consistent dividend policy, and exposure to long-term growth trends in water technology make it an attractive player in the industrial machinery sector.  
 **Edge:** The company's focus on sustainability and infrastructure solutions aligns with global priorities, providing a competitive advantage in a growing market.  
 **Risk:** Elevated valuations and potential macroeconomic pressures, including trade tensions and slowing economic growth, could weigh on near-term performance.
 **Score:** 78</t>
  </si>
  <si>
    <t>Market Cap</t>
  </si>
  <si>
    <t>Investment Report:  
 Assurant (AIZ), a multi-line insurance provider, has demonstrated a strong track record of exceeding earnings expectations, which positions it favorably for its upcoming quarterly report. The firm's ability to consistently deliver positive surprises reflects operational efficiency and effective management, even amidst challenging macroeconomic conditions.  
 **Recent News:**  
 The anticipation of another earnings beat for Assurant is supported by its historical performance and the current combination of favorable factors. This optimism is bolstered by the company's diversified insurance offerings, which provide resilience against sector-specific downturns. However, the broader economic environment, including inflationary pressures and potential market volatility, could pose challenges to maintaining this momentum.  
 **Financials:**  
 Assurant's financial metrics indicate a solid foundation. The company has a trailing price-to-earnings (P/E) ratio of 15.16 and a forward P/E of 11.77, suggesting that the stock is attractively valued relative to its earnings potential. Its dividend yield of 1.49% and a low payout ratio of 20.57% highlight a sustainable dividend policy, appealing to income-focused investors. The firm's return on equity (ROE) of 15.22% underscores its ability to generate strong returns for shareholders.  
 Despite a slight decline in earnings growth (-28%) and earnings quarterly growth (-29.6%), Assurant has managed to achieve revenue growth of 7% year-over-year, reflecting its ability to adapt and expand in a competitive market. The company's gross margins (10.68%) and operating margins (5.97%) are modest but consistent with industry norms.  
 **Valuations:**  
 Assurant's current price-to-book ratio of 2.08 and price-to-sales ratio of 0.93 suggest that the stock is reasonably valued, especially when compared to its peers in the insurance sector. The stock's 52-week performance (+27.41%) has outpaced the S&amp;P 500's gain (+21.93%), indicating strong investor confidence. Analyst sentiment remains positive, with a mean recommendation of "buy" and a target median price of $225, implying potential upside from its recent trading levels.  
 **Economic Outlook:**  
 The broader economic environment presents mixed implications for Assurant. While inflationary pressures and recent tariff implementations could increase operational costs, the company's diversified revenue streams and focus on essential insurance products provide a degree of insulation. Additionally, Assurant's beta of 0.57 indicates lower volatility compared to the broader market, making it a relatively stable investment in uncertain times.  
 **Conclusion:**  
 Assurant's strong financial position, consistent earnings performance, and reasonable valuation metrics make it a compelling player in the multi-line insurance industry. However, macroeconomic challenges, including inflation and potential market disruptions, warrant close monitoring. The firm's ability to navigate these headwinds while maintaining its growth trajectory will be critical in sustaining investor confidence.  
 Score: 85</t>
  </si>
  <si>
    <t>Investment Report:  
Meta Platforms has demonstrated robust performance and strategic focus, positioning itself as a leader in the technology and interactive media space. Recent developments highlight the company's commitment to innovation, particularly in artificial intelligence (AI) and the metaverse. The hiring of Shadi Nayyer, a former TikTok executive, underscores Meta's intent to strengthen its metaverse ecosystem by fostering relationships with developers and creators. This move aligns with its broader strategy to integrate AI tools, such as the DeepSeek model, to enhance ad technology and user engagement.  
Financially, Meta's Q4 earnings report revealed a 21% revenue growth, driven by AI-enhanced ad performance, and a free cash flow of $13.2 billion. Despite a $5 billion loss in its Reality Labs division, the company remains steadfast in its metaverse investments, signaling a long-term vision. Analysts have responded positively, raising price forecasts and maintaining a favorable outlook, with a fair value estimate of $793 per share. Meta's capital expenditure plans of $60-$65 billion for FY25, focused on AI infrastructure, further reinforce its growth trajectory.  
Valuation metrics indicate a strong position, with a trailing price-to-earnings (PE) ratio of 29.24 and a forward PE of 24.10, suggesting reasonable valuation given its growth prospects. The company's gross margins of 81.5% and operating margins of 42.8% reflect operational efficiency, while its return on equity (ROE) of 36.1% highlights effective capital utilization. Meta's balance sheet remains solid, with a quick ratio of 2.57 and a current ratio of 2.73, ensuring liquidity to support its ambitious investments.  
However, challenges persist. The $831 million EU antitrust fine and ongoing legal disputes, including the settlement of a $25 million lawsuit with Donald Trump, could weigh on sentiment. Additionally, the $5 billion loss in Reality Labs raises questions about the profitability timeline of its metaverse initiatives. The broader economic environment, marked by trade tensions and inflationary pressures, may also impact consumer spending and advertising budgets, key revenue drivers for Meta.  
Despite these risks, Meta's strategic focus on AI and the metaverse, coupled with its strong financial performance, positions it well for long-term growth. The company's ability to adapt and innovate in a competitive landscape, as evidenced by its AI advancements and metaverse reorganization, underscores its resilience and potential for sustained value creation.  
 Score: 85</t>
  </si>
  <si>
    <t>Investment Report:  
 Bristol Myers Squibb (BMY) is positioned for potential growth following recent regulatory advancements. The company has received a positive opinion from the Committee for Medicinal Products for Human Use (CHMP) for its Opdivo and Yervoy combination for first-line treatment of hepatocellular carcinoma, as well as Breyanzi for relapsed or refractory follicular lymphoma. These developments align with BMY's strategy to expand its oncology portfolio and strengthen its competitive position in the pharmaceutical industry. The regulatory progress could enhance revenue streams and improve investor sentiment, particularly as the company approaches its Q4 earnings report. Analysts remain optimistic about BMY's ability to exceed earnings expectations, supported by its history of earnings surprises and the strong uptake of its new drugs.
 From a financial perspective, BMY demonstrates solid fundamentals. The company trades at a trailing price-to-earnings (P/E) ratio of 7.71 and a forward P/E of 6.95, indicating an attractive valuation relative to its earnings potential. Its price-to-book ratio of 1.11 further underscores its undervaluation compared to peers. Despite a slight decline in revenue growth (-4.8%), earnings growth remains robust at 3.91%, reflecting operational efficiency and cost management. The company maintains a healthy balance sheet with a quick ratio of 1.41 and a current ratio of 1.84, ensuring sufficient liquidity to meet short-term obligations. However, its debt-to-equity ratio of 74.61% suggests a moderately leveraged position, which warrants monitoring in a rising interest rate environment.
 BMY's dividend yield of 1.38% is below its five-year average of 1.62%, but its low payout ratio of 10.89% indicates ample room for future dividend growth. The company's free cash flow of $621 million and operating cash flow of $1.54 billion provide additional financial flexibility to support strategic initiatives and shareholder returns.
 The broader economic outlook presents mixed implications for BMY. While the pharmaceutical industry is generally resilient to macroeconomic volatility, the recent imposition of tariffs and trade tensions could indirectly impact supply chains and input costs. Additionally, inflationary pressures and potential Federal Reserve policy adjustments may influence market sentiment. However, BMY's focus on innovative therapies and its strong pipeline position it well to navigate these challenges.
 In summary, Bristol Myers Squibb's recent regulatory milestones, attractive valuation metrics, and solid financial health position the company for potential near-term growth. While external economic factors and debt levels require attention, the company's strategic focus on oncology and its ability to deliver earnings surprises provide a favorable outlook.
 Score: 85</t>
  </si>
  <si>
    <t>Investment Report:
 IBM has recently demonstrated a strong resurgence, driven by its strategic pivot towards hybrid cloud and artificial intelligence (AI) under CEO Arvind Krishna. The company's fourth-quarter 2024 earnings report exceeded expectations, with earnings per share of $3.92 surpassing the consensus estimate of $3.78. This performance has been bolstered by robust growth in its AI and software segments, particularly through Red Hat and Automation, with AI bookings reaching an impressive $5 billion. IBM's optimistic revenue growth outlook for 2025, projecting at least a 5% increase, has further solidified investor confidence, leading to a 12-14% surge in its stock price, marking its best performance in over a decade.
 From a financial perspective, IBM's valuation metrics reflect a mixed picture. The company trades at a trailing price-to-earnings (PE) ratio of 29.47 and a forward PE of 23.09, indicating a premium valuation compared to historical levels. Its price-to-book ratio of 6.82 suggests the stock is trading significantly above its book value, which may raise concerns about overvaluation. However, IBM's profitability metrics remain solid, with a return on equity of 25.34% and profit margins of 13.33%, showcasing its ability to generate strong returns for shareholders. The company's dividend yield of 1.25% and a payout ratio of 35.13% highlight its commitment to returning value to investors while maintaining financial flexibility.
 IBM's balance sheet shows a manageable debt-to-equity ratio of 64.78, supported by a current ratio of 1.66, indicating adequate liquidity to meet short-term obligations. The company's free cash flow of $567 million and operating cash flow of $904 million provide a solid foundation for continued investment in growth initiatives, particularly in AI and cloud technologies.
 The broader economic outlook presents both opportunities and challenges for IBM. The recent global technology market volatility, triggered by the emergence of DeepSeek, a Chinese competitor to OpenAI, underscores the competitive pressures in the AI space. However, IBM's established position and strong AI bookings suggest it is well-positioned to navigate this landscape. Additionally, the inflationary pressures and trade tensions stemming from new tariffs could impact IBM's cost structure and supply chain, though its diversified global operations may help mitigate these risks.
 In summary, IBM's recent performance reflects a successful transformation into a hybrid cloud and AI leader, supported by strong financial results and strategic growth initiatives. While its valuation appears elevated, the company's robust profitability, cash flow generation, and optimistic growth outlook position it as a resilient player in the evolving technology landscape.
 Score: 85</t>
  </si>
  <si>
    <t>**Investment Report: Amgen (AMGN)**
 **Recent News:**  
 Amgen has been highlighted as a strong momentum and value stock by analysts, with expectations of earnings growth in its upcoming quarterly report. The company is positioned as a potential outperformer due to its combination of favorable valuation metrics and operational momentum. Analysts are optimistic about Amgen's ability to exceed Wall Street's earnings expectations, which could further bolster investor confidence.
 **Financials:**  
 Amgen's financial performance reflects a stable and profitable business. The company reported a trailing price-to-earnings (P/E) ratio of 32.08 and a forward P/E of 25.20, indicating expectations of earnings growth. Its profit margins stand at 19.27%, supported by strong operating margins of 25.64% and EBITDA margins of 30.94%. Amgen's revenue growth of 5.3% year-over-year demonstrates resilience in a challenging macroeconomic environment. The company also maintains a healthy return on equity (ROE) of 14.89%, showcasing its ability to generate shareholder value.
 Amgen's dividend yield of 0.61% is below its five-year average of 0.63%, but its low payout ratio of 18.99% suggests ample room for future dividend increases. The company has a solid free cash flow of $1.27 billion, which supports its ability to invest in growth opportunities and return capital to shareholders.
 **Valuations:**  
 Amgen's price-to-book ratio of 4.46 and price-to-sales ratio of 6.16 indicate that the stock is trading at a premium compared to its book value and revenue. However, these valuations are consistent with the biotechnology industry's norms, where high growth potential often justifies elevated multiples. Analysts' target prices for Amgen range from $158 to $225, with a mean target of $200.15, suggesting potential upside from its current price of $184.56.
 **Economic Outlook:**  
 Amgen operates in the biotechnology sector, which is relatively insulated from broader macroeconomic challenges such as inflation and trade tensions. However, the company's performance could be influenced by regulatory changes and healthcare policy shifts under the new U.S. administration. The recent market volatility, driven by geopolitical tensions and tariff announcements, has not significantly impacted the healthcare sector, making Amgen a potentially defensive play in uncertain times.
 Amgen's beta of 1.16 indicates slightly higher volatility compared to the broader market, but its strong institutional ownership of 88.94% reflects confidence from large investors. The company's manageable debt-to-equity ratio of 26.78 and current ratio of 1.39 suggest a stable financial position, capable of weathering economic uncertainties.
 **Conclusion:**  
 Amgen's strong financial metrics, growth potential, and favorable valuation make it a compelling player in the biotechnology industry. While broader market volatility and macroeconomic headwinds persist, Amgen's defensive characteristics and operational momentum position it well for the near term. Analysts' optimism about its upcoming earnings report further supports its potential for outperformance.
 **Score: 85**</t>
  </si>
  <si>
    <t>**Investment Report: Blackstone Inc.**
 **Recent News:**  
 Blackstone Inc., the world's largest alternative asset manager, continues to showcase its resilience and growth potential, reporting record assets under management (AUM) exceeding $1 trillion. Despite challenges in its real estate and data center segments, the firm exceeded Q4 2024 earnings expectations with distributable earnings per share of $1.69. Blackstone's strategic focus on diversified investments, including AI data centers and potential stakes in high-value real estate, underscores its adaptability in a competitive environment. However, the emergence of low-cost AI models like China's DeepSeek presents a competitive challenge, particularly in the technology-driven segments of its portfolio.
 **Financials:**  
 Blackstone's financial metrics reflect a strong position. The firm boasts a market capitalization of $61.1 billion and a price-to-earnings (P/E) ratio of 14.69, which is attractive compared to industry peers. Its forward P/E of 11.00 suggests expectations of continued earnings growth. The dividend yield of 2.48% and a payout ratio of 38.7% indicate a commitment to returning value to shareholders while maintaining financial flexibility. Blackstone's total cash reserves of $165.9 billion and significant undrawn capital provide a robust buffer against market volatility and support its ability to pursue strategic investments. However, the firm's operating cash flow is negative, which warrants monitoring as it could signal potential liquidity challenges if sustained.
 **Valuations:**  
 Blackstone's stock is trading near its 52-week high of $87.70, reflecting strong investor confidence. The price-to-book ratio of 1.65 and a trailing PEG ratio of 0.67 suggest the stock is reasonably valued, particularly given its growth prospects. Analyst sentiment remains positive, with a mean target price of $91.03 and a recommendation key of "buy." The firm's revenue growth of 4.7% and earnings growth of 22% further support its valuation, indicating a solid trajectory for future performance.
 **Economic Outlook:**  
 The broader economic environment presents both opportunities and risks for Blackstone. The recent implementation of tariffs by the U.S. administration and the resulting trade tensions could impact global markets, potentially affecting Blackstone's international investments. Additionally, inflationary pressures and potential Federal Reserve rate hikes may influence the firm's cost of capital and investment returns. However, Blackstone's diversified portfolio and focus on alternative assets position it well to navigate these challenges. Its significant exposure to real estate and private equity, coupled with its ability to capitalize on distressed assets, could provide a hedge against broader market volatility.
 **Conclusion:**  
 Blackstone's strong financial position, record AUM, and strategic investments in high-growth areas like AI and real estate highlight its resilience and adaptability. While challenges such as competition from emerging technologies and macroeconomic uncertainties persist, the firm's diversified portfolio and robust cash reserves provide a solid foundation for continued growth. Its valuation metrics and positive earnings trajectory further underscore its potential as a strong performer in the asset management sector.
 **Score: 85**</t>
  </si>
  <si>
    <t>Investment Report:
 Verizon Communications has demonstrated strong operational performance, particularly in its wireless and broadband segments, with nearly one million new postpaid mobile and broadband customers in the fourth quarter. This marks its best subscriber growth in over a decade, signaling robust demand for its services. Despite this, the stock has underperformed over the past year, reflecting broader market challenges and sector-specific pressures.
 The company is positioning itself for long-term growth by exploring a $40 billion opportunity in artificial intelligence by 2030. This strategic focus aims to enhance customer experience and operational efficiency, potentially unlocking new revenue streams and improving margins. Verizon's strong free cash flow and high dividend yield of 6.7% provide a solid foundation for shareholder returns, even in a challenging macroeconomic environment. Its dividend yield is significantly above its five-year average, making it attractive for income-focused investors.
 Financially, Verizon remains stable, with a trailing price-to-earnings (P/E) ratio of 9.66 and a forward P/E of 8.20, indicating a low valuation relative to its earnings potential. The company's gross margins of 60.1% and EBITDA margins of 36.1% highlight its operational efficiency. However, earnings growth has been negative, with a quarterly decline of 30.6%, reflecting some near-term challenges. Verizon's debt-to-equity ratio of 182.6% is high, but its strong operating cash flow of $35.16 billion and free cash flow of $6.67 billion provide the liquidity needed to manage its debt obligations effectively.
 The broader economic outlook presents mixed implications for Verizon. The recent implementation of tariffs and trade tensions could increase inflationary pressures, potentially impacting consumer spending. However, Verizon's essential services and stable cash flows position it as a defensive play in uncertain economic conditions. The company's beta of 0.42 suggests lower volatility compared to the broader market, which could appeal to risk-averse investors during periods of market turbulence.
 Valuation metrics indicate that Verizon is trading at a discount, with a price-to-book ratio of 1.75 and a price-to-sales ratio of 1.25. Analyst sentiment remains positive, with a mean recommendation of "buy" and a median price target of $47, representing significant upside potential from its current price. The stock's 52-week low of $37.59 and high of $45.36 suggest limited downside risk at current levels.
 In summary, Verizon's strong subscriber growth, high dividend yield, and strategic focus on AI provide a compelling case for long-term value creation. While near-term earnings growth remains a concern, the company's stable financials and defensive characteristics make it well-positioned to weather economic uncertainties.
 Score: 85</t>
  </si>
  <si>
    <t>Investment Report: Deere &amp; Company (DE)
 **Recent News**  
 Deere &amp; Company has been highlighted for its strong earnings performance, with analysts suggesting it may exceed expectations in its upcoming quarterly report. The company has demonstrated resilience and adaptability, particularly in navigating agricultural cycles. Recent commentary emphasizes Deere's structural profitability improvements and investments in technology, which have bolstered its margins and positioned it well for the next agricultural upswing. Despite these strengths, Deere's stock has underperformed the broader market in recent sessions, reflecting broader market volatility and sector-specific challenges.
 **Financials**  
 Deere's financial metrics indicate robust profitability and operational efficiency. The company boasts a trailing price-to-earnings (P/E) ratio of 12.47 and a forward P/E of 7.88, suggesting it is attractively valued relative to its earnings potential. Its return on equity (ROE) is an impressive 40.67%, reflecting strong management efficiency in generating returns for shareholders. However, its debt-to-equity ratio of 186.78 indicates a high level of leverage, which could pose risks in a rising interest rate environment. Deere's gross margins of 22.59% and EBITDA margins of 13.95% underscore its ability to maintain profitability despite challenging market conditions. The company's revenue growth of 1.2% and earnings growth of 14.5% further highlight its resilience and growth potential.
 **Valuations**  
 Deere's current price-to-book (P/B) ratio of 3.12 and price-to-sales (P/S) ratio of 0.71 suggest it is trading at a reasonable valuation compared to its peers in the agricultural and farm machinery industry. Analysts have a strong consensus on Deere, with a recommendation mean of 1.39 (indicating a "strong buy") and a target median price of $80, reflecting significant upside potential from its current trading levels. The company's dividend yield of 0.98% is modest but sustainable, with a low payout ratio of 6.24%, leaving room for future increases.
 **Economic Outlook**  
 The broader macroeconomic environment presents both opportunities and challenges for Deere. The agricultural sector is at a cyclical low, with corn and soybean prices subdued, but historical trends suggest an eventual rebound. Deere's strategic investments in technology and its ability to adapt to industry downturns position it well to capitalize on the next agricultural upswing. However, the recent imposition of tariffs by the U.S. administration could disrupt global trade and supply chains, potentially impacting Deere's operations and input costs. Additionally, rising inflation and potential interest rate hikes could weigh on consumer and business spending, posing risks to Deere's growth trajectory.
 **Conclusion**  
 Deere &amp; Company is well-positioned to navigate the current agricultural cycle and capitalize on future growth opportunities. Its strong financial performance, strategic investments, and attractive valuation metrics make it a compelling player in the agricultural and farm machinery industry. However, macroeconomic headwinds, including trade tensions and inflationary pressures, warrant close monitoring.
 Score: 85</t>
  </si>
  <si>
    <t>**Investment Report: L3Harris Technologies (LHX)**
 **Recent News:**  
 L3Harris Technologies has demonstrated robust financial performance in the fourth quarter of 2024, with earnings per share (EPS) of $3.47, surpassing analyst expectations of $3.43. This marks an improvement from $3.35 in the same quarter last year. Revenue growth of 3.4% year-over-year also exceeded estimates, reflecting strong demand for the company's defense products. The firm has issued an optimistic sales forecast for 2025, driven by heightened geopolitical tensions globally, which are expected to sustain demand for advanced defense technologies. This positions L3Harris as a key player in the defense sector, benefiting from increased government defense budgets and international security concerns.
 **Financials:**  
 L3Harris maintains a solid financial foundation with a market capitalization of $40.36 billion and a forward price-to-earnings (P/E) ratio of 14.97, indicating a reasonable valuation relative to its future earnings potential. The company has a dividend yield of 2.19%, slightly above its five-year average of 1.95%, making it attractive for income-focused investors. Its debt-to-equity ratio of 67.73% is manageable, though slightly elevated, reflecting the capital-intensive nature of the defense industry. The firm’s free cash flow of $1.62 billion and operating cash flow of $2.22 billion provide ample liquidity to support operations, debt obligations, and shareholder returns. Additionally, L3Harris has shown steady earnings and revenue growth, with quarterly earnings growth of 4.4% and revenue growth of 7.7%.
 **Valuations:**  
 L3Harris is trading at a price-to-book (P/B) ratio of 2.12, which is reasonable for a company in the aerospace and defense sector. Its trailing P/E ratio of 27.04 is higher than its forward P/E, suggesting expectations of improved profitability in the coming quarters. The company’s gross margin of 26.39% and EBITDA margin of 17.53% highlight its operational efficiency. Analysts remain optimistic, with a mean target price of $264.01, representing significant upside potential from the current price of approximately $213. The recommendation mean of 1.71 (on a scale where 1.0 is a strong buy) underscores strong analyst confidence in the stock.
 **Economic Outlook:**  
 The broader macroeconomic environment presents both opportunities and risks for L3Harris. Heightened geopolitical tensions, including conflicts in Eastern Europe and the Middle East, are likely to sustain demand for defense products. However, the recent imposition of tariffs by the U.S. administration could increase input costs and disrupt supply chains, potentially impacting margins. Additionally, inflationary pressures and a more hawkish Federal Reserve stance could weigh on overall economic growth, indirectly affecting defense budgets. Despite these challenges, the aerospace and defense sector remains relatively insulated from broader economic cycles due to its reliance on government contracts and long-term procurement programs.
 **Conclusion:**  
 L3Harris Technologies is well-positioned to capitalize on increased global defense spending, supported by its strong financial performance, reasonable valuation metrics, and robust demand for its products. While macroeconomic uncertainties and tariff-related risks warrant caution, the company’s solid fundamentals and favorable industry dynamics provide a strong foundation for continued growth.
 **Score: 85**</t>
  </si>
  <si>
    <t>**Investment Report: Nucor Corporation (NUE)**
 **Recent News:**  
 Nucor has experienced a rally in its stock price following the announcement of new tariffs by the Trump administration. These tariffs, aimed at imports from Canada, Mexico, and China, are expected to benefit domestic steel producers by reducing competition from foreign imports. Nucor's CEO, Leon Topalian, expressed optimism about the potential positive impact of these policies on the U.S. steel industry, highlighting the company's strategic positioning to capitalize on the changing trade environment. Additionally, Nucor's better-than-expected Q4 financial results have further bolstered investor confidence, with analysts revising their forecasts upward.
 **Financials:**  
 Nucor's financial performance reflects strong fundamentals. The company reported robust earnings growth of 168.2% and revenue growth of 122.4% on a quarterly basis, showcasing its ability to adapt to market conditions. With a profit margin of 55.04% and EBITDA margins of 63.53%, Nucor demonstrates exceptional operational efficiency. The company maintains a healthy balance sheet, with a quick ratio of 3.50 and a current ratio of 4.27, indicating strong liquidity. Its debt-to-equity ratio of 17.22 is manageable, and free cash flow of $33.73 billion supports its capacity for reinvestment and shareholder returns.
 **Valuations:**  
 Nucor's valuation metrics suggest a mixed picture. The trailing P/E ratio of 46.11 and forward P/E ratio of 26.23 indicate a premium valuation, likely reflecting the market's optimism about the company's growth prospects. However, the trailing PEG ratio of 0.86 suggests that the stock may still offer value relative to its growth potential. The price-to-book ratio of 66.89 is notably high, which could signal overvaluation, but this is partially offset by the company's strong return on equity of 123.77%.
 **Economic Outlook:**  
 The broader economic environment presents both opportunities and risks for Nucor. The new tariffs are expected to provide a tailwind for domestic steel producers by reducing foreign competition, potentially boosting demand for Nucor's products. However, the inflationary impact of these tariffs and the potential for retaliatory measures from trading partners could pose challenges for downstream industries that rely on steel, potentially dampening overall demand. Additionally, the volatility in global markets, particularly in the technology and automotive sectors, may indirectly affect Nucor's performance.
 **Conclusion:**  
 Nucor is well-positioned to benefit from the recent tariff policies, with strong financials and operational efficiency supporting its growth prospects. However, its premium valuation and potential macroeconomic risks warrant cautious optimism. The company's ability to navigate these challenges while capitalizing on favorable trade dynamics will be critical in determining its near-term performance.
 **Score: 85**</t>
  </si>
  <si>
    <t>Investment Report:  
 Gilead Sciences is demonstrating robust performance, driven by strong sales growth in key products and promising advancements in its pipeline. The company's Covid-19 treatment, Veklury, has seen a 9% increase in Q3 2024 sales, reflecting heightened demand amid rising hospitalizations. Additionally, the FDA Accelerated Approval of LIVDELZI for primary biliary cholangitis (PBC) and the potential for EMA approval in early 2025 highlight Gilead's ability to innovate and expand its therapeutic offerings. TRODELVY, another key product, has achieved a 17% year-over-year sales increase, with potential for further growth in oncology applications. These developments underscore Gilead's strong positioning in the biotechnology sector and its capacity to capitalize on emerging healthcare needs.
 Financially, Gilead exhibits a solid foundation with a market capitalization of $122.6 billion and a forward P/E ratio of 12.96, indicating a reasonable valuation relative to its earnings potential. The company maintains a healthy dividend yield of 3.17%, supported by a manageable payout ratio of 34%, which aligns with its history of shareholder returns. Gilead's gross margins of 77.8% and operating margins of 41.96% reflect strong operational efficiency. However, the firm's debt-to-equity ratio of 126.4% suggests a relatively high leverage level, which warrants monitoring, particularly in a rising interest rate environment. Despite a decline in earnings growth (-42.2%), revenue growth of 7% and free cash flow of $9.08 billion provide a stable financial backdrop.
 Valuation metrics indicate that Gilead is trading near its 52-week high of $99.45, with a price-to-book ratio of 6.63. Analyst sentiment remains positive, with a mean price target of $100.96 and a "buy" recommendation consensus. The company's trailing PEG ratio of 0.56 suggests that its growth potential is attractively priced, particularly in light of its expanding product portfolio and strong cash flow generation.
 The broader economic outlook presents mixed implications for Gilead. While the biotechnology sector remains resilient to macroeconomic volatility, the recent imposition of tariffs and inflationary pressures could indirectly affect healthcare costs and supply chains. However, Gilead's focus on essential treatments and its ability to innovate in high-demand areas like oncology and rare diseases position it well to navigate these challenges. The company's low beta of 0.19 indicates limited sensitivity to broader market fluctuations, providing a degree of stability in uncertain economic conditions.
 In summary, Gilead Sciences is well-positioned for continued growth, supported by strong product performance, a promising pipeline, and solid financials. While high leverage and broader economic uncertainties pose risks, the company's operational efficiency and innovation-driven strategy provide a compelling case for its long-term potential.
 Score: 85</t>
  </si>
  <si>
    <t>**Investment Report: Roper Technologies**
 **Recent News:**  
 Roper Technologies demonstrated robust financial performance in 2024, with a 14% increase in revenue and a 16% rise in free cash flow. The company exceeded analysts' expectations for Q4, reporting $1.88 billion in revenue (above the $1.84 billion forecast) and earnings per share of $4.81 (beating the $4.72 consensus). This growth was primarily driven by strong demand in its Application Software segment, which underscores the company's strategic focus on high-margin, recurring revenue streams. Roper's disciplined capital allocation strategy, including $3.6 billion spent on mergers and acquisitions and $5 billion reserved for future deals, positions it well for continued expansion. The market responded positively, with the stock rising 7% post-earnings announcement. Additionally, Roper's forward guidance for annual revenue growth exceeded Wall Street estimates, signaling confidence in sustained demand for its software products.
 **Financials:**  
 Roper's financial health remains solid, with a market capitalization of $48.5 billion and a manageable net debt of $7.4 billion. The company operates with a high return on equity (43.2%) and strong profit margins (9.8%), reflecting efficient operations and a focus on high-value segments. Its trailing price-to-earnings (P/E) ratio of 23.16 and forward P/E of 21.80 suggest a reasonable valuation relative to its growth prospects. The company also maintains a healthy free cash flow of $1.1 billion, which supports its dividend payments and acquisition strategy. However, its debt-to-equity ratio of 114.3% indicates a reliance on leverage, which could pose risks in a rising interest rate environment.
 **Valuations:**  
 Roper's price-to-sales ratio of 2.30 and enterprise value-to-EBITDA ratio of 16.30 are in line with industry peers, reflecting fair valuation. Analysts maintain a positive outlook, with a mean target price of $167.29, representing potential upside from current levels. The company's dividend yield of 1.03% is modest but sustainable, with a payout ratio of 22.7%. Roper's trailing PEG ratio of 1.96 suggests that its valuation is supported by its earnings growth trajectory.
 **Economic Outlook:**  
 The broader macroeconomic environment presents challenges, including inflationary pressures from new tariffs and potential trade disruptions. However, Roper's focus on software and recurring revenue streams insulates it from some of the volatility affecting hardware and manufacturing sectors. The company's beta of 1.1 indicates slightly higher sensitivity to market movements, but its strong fundamentals and diversified portfolio provide resilience. The recent global tech selloff, driven by competition from Chinese AI advancements, has not significantly impacted Roper, as its core business is less exposed to direct competition in this area.
 **Conclusion:**  
 Roper Technologies is well-positioned for continued growth, supported by strong financial performance, a disciplined acquisition strategy, and robust demand for its software products. While macroeconomic uncertainties and leverage levels warrant monitoring, the company's recurring revenue model and operational efficiency provide a solid foundation for navigating potential headwinds.
 **Score: 85**</t>
  </si>
  <si>
    <t>**Investment Report: Palo Alto Networks (PANW)**
 **Recent News:**  
 Palo Alto Networks has been highlighted for its strong earnings surprise history, with analysts suggesting it is well-positioned to exceed expectations in its upcoming quarterly report. The stock has also garnered significant attention from market participants, reflecting its status as a trending investment. Recently, Palo Alto Networks closed at $187.42, marking a modest gain of 1.08%, which outperformed broader market indices. This resilience amidst broader market volatility underscores investor confidence in the company's fundamentals and growth prospects.
 **Financials:**  
 Palo Alto Networks demonstrates robust financial performance, with a market capitalization of approximately $120 billion and a trailing price-to-earnings (P/E) ratio of 47.48. The company has shown impressive earnings growth of 59.1% and revenue growth of 12.1% year-over-year, supported by strong profit margins of 32.1% and gross margins of 74.35%. Its free cash flow of $2.5 billion and operating cash flow of $3.26 billion highlight its ability to generate substantial liquidity. However, the company's quick ratio of 0.77 and current ratio of 0.89 suggest limited short-term liquidity, which could pose challenges in a tightening economic environment. Debt-to-equity stands at 27.28%, indicating manageable leverage levels.
 **Valuations:**  
 Palo Alto Networks trades at a forward P/E of 50.75, reflecting a premium valuation compared to the broader market. Its price-to-sales ratio of 14.94 and price-to-book ratio of 11.49 further emphasize its high valuation. While these metrics may appear elevated, they are consistent with the company's strong growth trajectory and leadership in the cybersecurity industry. Analyst sentiment remains positive, with a mean price target of $202.08 and a median target of $212.50, suggesting potential upside from current levels.
 **Economic Outlook:**  
 The broader macroeconomic environment presents mixed signals for Palo Alto Networks. The recent imposition of tariffs and trade tensions could disrupt supply chains and increase costs for technology companies. Additionally, the global technology sector has faced significant headwinds, as evidenced by the sharp decline in Nvidia's valuation following competitive pressures from Chinese AI advancements. However, cybersecurity remains a critical and growing industry, with increasing demand driven by heightened geopolitical risks and the proliferation of digital transformation initiatives. Palo Alto Networks' strong positioning in this space may help it weather broader market challenges.
 **Conclusion:**  
 Palo Alto Networks exhibits strong financial performance, robust growth metrics, and a favorable industry outlook, positioning it as a leader in the cybersecurity sector. While its premium valuation and liquidity constraints warrant caution, its consistent earnings surprises and positive analyst sentiment suggest resilience in the face of macroeconomic uncertainties. The company's ability to capitalize on the growing demand for cybersecurity solutions will be a key determinant of its near-term performance.
 **Score: 85**</t>
  </si>
  <si>
    <t>**Investment Report: O'Reilly Automotive (ORLY)**
 **Recent News:**  
 O'Reilly Automotive is poised for a strong Q4 performance, with Wall Street analysts anticipating earnings growth and a potential earnings beat. The company is seen as having favorable conditions for exceeding expectations, driven by its operational efficiency and robust market position in the automotive retail sector. This optimism reflects confidence in O'Reilly's ability to navigate current economic challenges and maintain its growth trajectory.
 **Financials:**  
 O'Reilly Automotive's stock has demonstrated resilience, reaching a 52-week high of $1,317.99, with a year-to-date gain of 23.06%, outperforming the S&amp;P 500's 21.93% increase. The company boasts a market capitalization of $75.98 billion and a trailing P/E ratio of 32.58, indicating a premium valuation relative to its earnings. Its forward P/E of 29.21 suggests expectations of continued earnings growth. O'Reilly's profit margins remain solid at 14.52%, supported by strong gross margins of 51.21% and EBITDA margins of 22.41%. The company has also shown steady revenue growth of 3.8% and earnings growth of 6.4% year-over-year, reflecting its ability to generate consistent profitability.
 The firm's financial health is supported by robust operating cash flow of $2.94 billion and free cash flow of $1.43 billion, which provide flexibility for reinvestment and shareholder returns. However, its quick ratio of 0.08 and current ratio of 0.70 indicate limited short-term liquidity, which could pose risks in a challenging economic environment. Additionally, O'Reilly carries a significant debt load of $7.71 billion, though its strong cash generation helps mitigate concerns about leverage.
 **Valuations:**  
 O'Reilly's valuation metrics suggest a premium pricing, with an enterprise value-to-revenue ratio of 5.08 and an enterprise value-to-EBITDA ratio of 22.68. These figures reflect the market's confidence in the company's growth prospects and operational efficiency. Analysts' price targets range from $870 to $1,500, with a mean target of $1,307.67, closely aligned with the current trading price. The recommendation mean of 1.9 (indicating a "buy") underscores positive sentiment among analysts.
 **Economic Outlook:**  
 The broader economic environment presents both opportunities and challenges for O'Reilly Automotive. The imposition of tariffs by the U.S. government could increase costs for automotive parts, potentially pressuring margins. However, the company's strong pricing power and operational efficiency may help offset these headwinds. Additionally, the ongoing recovery in consumer spending and vehicle maintenance demand supports a favorable outlook for the automotive retail sector. O'Reilly's ability to adapt to supply chain disruptions and inflationary pressures will be critical to sustaining its growth.
 **Conclusion:**  
 O'Reilly Automotive is well-positioned to deliver solid financial performance, supported by its strong market position, consistent revenue and earnings growth, and robust cash flow generation. While its premium valuation and high debt levels warrant caution, the company's operational efficiency and favorable industry dynamics provide a strong foundation for continued success. The upcoming earnings report will be a key indicator of its ability to navigate current economic challenges and capitalize on growth opportunities.
 **Score: 85**</t>
  </si>
  <si>
    <t>Investment Report:
 **Recent News:**  
 Northrop Grumman remains a key player in the Aerospace &amp; Defense industry, benefiting from heightened global military spending and increased demand for advanced defense systems. The company’s $91.5 billion backlog, driven by programs like the B-21 Raider stealth bomber, positions it for sustained revenue growth. Despite challenges such as supply chain disruptions and competition from Chinese advancements in defense technology, Northrop Grumman's focus on innovation in artificial intelligence and autonomous systems strengthens its competitive edge. Analysts maintain a positive outlook, with a price target of $545, citing steady growth prospects for 2025. The company also continues to reward shareholders through consistent dividend growth and share buybacks, enhancing its appeal as a reliable income-generating investment. Recent earnings exceeded expectations, with $6.39 per share, reflecting strong demand for military equipment amid geopolitical tensions, although sales slightly missed forecasts.
 **Financials:**  
 Northrop Grumman demonstrates solid financial health, with a market capitalization of $113.3 billion and a profit margin of 10.6%. The company maintains a strong cash position of $10.3 billion, supporting its ability to invest in R&amp;D and shareholder returns. Its current ratio of 2.36 indicates robust liquidity, while free cash flow of $6.57 billion underscores its operational efficiency. However, revenue growth has declined by 10.4% year-over-year, reflecting broader industry challenges. The trailing P/E ratio of 23.64 and forward P/E of 30.94 suggest the stock is trading at a premium, potentially pricing in future growth expectations. Debt-to-equity stands at 86.96%, which is manageable given the company’s consistent cash flow generation.
 **Valuations:**  
 Northrop Grumman’s valuation metrics indicate a mixed picture. While the price-to-sales ratio of 2.27 and price-to-book ratio of 7.98 are higher than industry averages, they reflect the premium investors are willing to pay for its strategic positioning and technological leadership. The dividend yield of 2.08% is below its five-year average of 1.1%, but the company’s history of dividend growth and buybacks provides confidence in its shareholder return strategy. Analysts’ median price target of $89.50 suggests moderate upside potential, though the stock’s recent performance has been impacted by broader market volatility.
 **Economic Outlook:**  
 The Aerospace &amp; Defense sector is poised for growth amid rising geopolitical tensions and increased defense budgets globally. However, Northrop Grumman faces headwinds from macroeconomic factors, including inflationary pressures and potential disruptions from new U.S. tariffs on key trading partners. These tariffs could increase costs for raw materials and components, potentially impacting margins. Additionally, the broader market downturn, particularly in the technology sector, may weigh on investor sentiment. Despite these challenges, Northrop Grumman’s strong backlog and focus on innovation position it well to navigate economic uncertainties and capitalize on long-term defense spending trends.
 **Conclusion:**  
 Northrop Grumman’s strategic focus on advanced defense technologies, robust financial position, and strong backlog support its long-term growth prospects. While near-term challenges such as supply chain issues and macroeconomic uncertainties may weigh on performance, the company’s consistent shareholder returns and leadership in key defense programs make it a resilient player in the Aerospace &amp; Defense industry.
 Score: 85</t>
  </si>
  <si>
    <t>Investment Report:  
 Meta Platforms has demonstrated robust performance and strategic focus, positioning itself as a leader in the technology and interactive media space. Recent developments highlight the company's commitment to innovation, particularly in artificial intelligence (AI) and the metaverse. The hiring of Shadi Nayyer, a former TikTok executive, underscores Meta's intent to strengthen its metaverse ecosystem by fostering relationships with developers and creators. This move aligns with its broader strategy to integrate AI tools, such as the DeepSeek model, to enhance ad technology and user engagement.  
 Financially, Meta's Q4 earnings report revealed a 21% revenue growth, driven by AI-enhanced ad performance, and a free cash flow of $13.2 billion. Despite a $5 billion loss in its Reality Labs division, the company remains steadfast in its metaverse investments, signaling a long-term vision. Analysts have responded positively, raising price forecasts and maintaining a favorable outlook, with a fair value estimate of $793 per share. Meta's capital expenditure plans of $60-$65 billion for FY25, focused on AI infrastructure, further reinforce its growth trajectory.  
 Valuation metrics indicate a strong position, with a trailing price-to-earnings (PE) ratio of 29.24 and a forward PE of 24.10, suggesting reasonable valuation given its growth prospects. The company's gross margins of 81.5% and operating margins of 42.8% reflect operational efficiency, while its return on equity (ROE) of 36.1% highlights effective capital utilization. Meta's balance sheet remains solid, with a quick ratio of 2.57 and a current ratio of 2.73, ensuring liquidity to support its ambitious investments.  
 However, challenges persist. The $831 million EU antitrust fine and ongoing legal disputes, including the settlement of a $25 million lawsuit with Donald Trump, could weigh on sentiment. Additionally, the $5 billion loss in Reality Labs raises questions about the profitability timeline of its metaverse initiatives. The broader economic environment, marked by trade tensions and inflationary pressures, may also impact consumer spending and advertising budgets, key revenue drivers for Meta.  
 Despite these risks, Meta's strategic focus on AI and the metaverse, coupled with its strong financial performance, positions it well for long-term growth. The company's ability to adapt and innovate in a competitive landscape, as evidenced by its AI advancements and metaverse reorganization, underscores its resilience and potential for sustained value creation.  
 Score: 85</t>
  </si>
  <si>
    <t>Investment Report:  
 Hess Corporation has demonstrated robust financial performance, primarily driven by its operations in Guyana, which have become a cornerstone of its growth strategy. The company's fourth-quarter earnings exceeded expectations, with an adjusted EPS of $1.76 and revenue of $3.23 billion, reflecting higher production volumes in both the U.S. and Guyana. This success underscores the strategic importance of its Guyana operations, which continue to offset weaker performance in North America. Additionally, Hess Midstream LP has shown strong results, with a 21% increase in shares over the past year and expanding EBITDA margins, signaling operational efficiency and growth potential.  
 The company's financials reveal a solid foundation. Hess maintains a trailing PE ratio of 10.6 and a forward PE of 8.96, indicating a relatively attractive valuation compared to industry peers. Its price-to-book ratio of 1.2 and enterprise value-to-revenue ratio of 1.27 further highlight its reasonable valuation. The company has a healthy market capitalization of $26.9 billion and a manageable debt-to-equity ratio of 53.7%, supported by strong operating cash flow of $5.15 billion and free cash flow of $1.91 billion. However, its quick ratio of 0.47 suggests limited short-term liquidity, which could pose challenges in a volatile macroeconomic environment.  
 Valuation metrics are complemented by positive analyst sentiment, with a mean price target of $24.48 and a recommendation key of "buy." Hess's dividend yield of 2.4% is below its five-year average of 3.36%, but its payout ratio of 26.9% indicates room for future dividend growth. The company's earnings and revenue growth rates of 8.6% and 10.1%, respectively, reflect its ability to capitalize on favorable market conditions and operational efficiencies.  
 The broader economic outlook presents both opportunities and risks. Rising production in Guyana positions Hess to benefit from global energy demand, even as new U.S. sanctions on Russia's energy sector and ongoing trade tensions create uncertainty in the oil and gas market. Additionally, inflationary pressures and potential interest rate adjustments could impact operational costs and investor sentiment. Despite these challenges, Hess's strategic focus on high-growth assets and its partnership with Exxon Mobil in Guyana provide a competitive edge.  
 Overall, Hess Corporation's strong financial performance, attractive valuation, and strategic positioning in Guyana make it a resilient player in the integrated oil and gas industry. However, macroeconomic headwinds and liquidity constraints warrant close monitoring in the near term.  
 Score: 85</t>
  </si>
  <si>
    <t>**Investment Report: Fox Corporation (Class A)**
 **Recent News:**  
 Fox Corporation (FOXA) has garnered significant attention as a strong investment candidate, with a recent upgrade to a Zacks Rank #1 (Strong Buy). This reflects growing optimism about its earnings potential, driven by robust advertising revenues and streaming growth. Despite challenges such as rising costs and evolving consumer preferences, the company has demonstrated resilience, achieving a 52-week high. Analysts are closely monitoring its upcoming Q2 earnings report, which is expected to highlight its ability to capitalize on these growth drivers. The stock's appeal spans value, growth, and momentum strategies, suggesting broad investor interest.
 **Financials:**  
 Fox Corporation's financial performance underscores its strong fundamentals. The company boasts a trailing P/E ratio of 12.70 and a forward P/E of 13.42, indicating a reasonable valuation relative to its earnings. Its profit margins of 13.4% and operating margins of 26.7% reflect efficient operations, while revenue growth of 11.1% year-over-year highlights its ability to expand in a competitive media landscape. The company maintains a solid balance sheet, with a current ratio of 2.59 and a quick ratio of 2.24, ensuring liquidity to meet short-term obligations. Additionally, Fox's return on equity (17.7%) and return on assets (7.4%) demonstrate effective capital utilization. However, its debt-to-equity ratio of 70.27% suggests a moderately leveraged position, which warrants monitoring in a rising interest rate environment.
 **Valuations:**  
 FOXA's price-to-sales ratio of 1.61 and price-to-book ratio of 2.11 indicate that the stock is trading at a reasonable valuation compared to its peers in the broadcasting industry. The company's enterprise value-to-revenue ratio of 1.96 and enterprise value-to-EBITDA ratio of 9.29 further support its attractive valuation. With a dividend yield of 1.06% and a low payout ratio of 12.96%, Fox offers a modest income component while retaining ample room for reinvestment in growth initiatives. Analysts' target price range of $39 to $62, with a mean of $49.61, suggests mixed sentiment on the stock's near-term upside potential, though its recent momentum may push it beyond these estimates.
 **Economic Outlook:**  
 Fox Corporation operates in a challenging macroeconomic environment marked by inflationary pressures and shifting consumer behavior. The broader broadcasting industry faces headwinds from rising content production costs and competition from digital platforms. However, Fox's focus on live sports, news, and streaming positions it well to capture advertising dollars and maintain audience engagement. The company's beta of 0.77 indicates lower volatility compared to the broader market, which could make it a relatively stable option amid ongoing market uncertainty. Additionally, its strong cash position of $4.05 billion provides flexibility to navigate economic challenges and invest in strategic growth areas.
 **Conclusion:**  
 Fox Corporation's strong fundamentals, reasonable valuation, and strategic positioning in the broadcasting industry make it a compelling investment opportunity. While challenges such as cost pressures and debt levels exist, the company's ability to generate consistent revenue growth and maintain profitability supports its long-term potential. The upcoming Q2 earnings report will be a key indicator of its ability to sustain momentum and capitalize on its strengths in a competitive market.
 **Score: 85**</t>
  </si>
  <si>
    <t>Investment Report:
 Enphase Energy, a key player in the Semiconductor Materials &amp; Equipment industry, is currently positioned as a contrarian opportunity due to its significant stock price decline of 85% over the past two years. Despite this, the company remains fundamentally strong, with consistent profitability and robust free cash flow generation. Analysts highlight its undervaluation, with forward P/E ratios at historic lows, and a conservative balance sheet that ensures liquidity, as current assets comfortably exceed liabilities. The stock recently closed at $62.05, reflecting a 1.94% increase, signaling potential investor optimism ahead of its Q4 earnings report on February 4.
 **Recent News:**  
 Enphase Energy's upcoming earnings report is anticipated to showcase strong top-line growth, driven by new product launches and increased shipments of microinverters and batteries. This aligns with the company's strategy to expand its product portfolio and capitalize on the growing demand for renewable energy solutions. The stock's recent outperformance relative to the broader market suggests that investors may be positioning for a positive earnings surprise. However, the broader macroeconomic environment, including trade tensions and tariff impacts, could weigh on sentiment in the semiconductor sector.
 **Financials:**  
 Enphase Energy demonstrates solid financial health, with a market capitalization of $71.1 billion and a manageable debt-to-equity ratio of 13.91. The company maintains a strong current ratio of 2.31 and a quick ratio of 1.97, indicating ample liquidity. Profit margins remain robust, with a net margin of 29.92% and EBITDA margins of 55.18%. Despite a slight decline in revenue growth (-3.9%) and earnings growth (-15.2%), the company continues to generate substantial free cash flow of $4.44 billion, supporting its dividend yield of 3.1%. Valuation metrics, including a trailing P/E of 10.20 and forward P/E of 10.94, suggest the stock is attractively priced relative to its earnings potential.
 **Valuations:**  
 Enphase Energy's price-to-book ratio of 2.41 and enterprise value-to-revenue ratio of 2.90 indicate a reasonable valuation compared to industry peers. Analyst sentiment remains favorable, with a mean price target of $146.16, representing significant upside from current levels. The recommendation mean of 2.09 (indicating a "buy") further underscores confidence in the company's long-term prospects.
 **Economic Outlook:**  
 The broader economic environment presents mixed signals for Enphase Energy. While the renewable energy sector benefits from long-term tailwinds such as the global energy transition and supportive policies, the semiconductor industry faces near-term challenges from trade tensions and tariffs. The recent imposition of tariffs by the U.S. administration could disrupt supply chains and increase input costs, potentially impacting margins. However, Enphase's strong balance sheet and operational efficiency position it well to navigate these challenges.
 In summary, Enphase Energy's combination of strong fundamentals, undervaluation, and growth potential in the renewable energy market makes it an intriguing opportunity. The upcoming earnings report will be a critical catalyst, with the potential to validate the company's strategic initiatives and financial resilience.
 Score: 85</t>
  </si>
  <si>
    <t>**Investment Report: UnitedHealth Group**
 **Recent News:**  
 UnitedHealth Group has not been in the news over the past week, indicating a period of stability without any major announcements or disruptions. This lack of recent developments suggests that the company is operating within its expected trajectory, with no immediate external catalysts impacting its performance.
 **Financials:**  
 UnitedHealth Group's stock has shown some volatility recently, with a daily range between $735.80 and $753.28, reflecting broader market uncertainty. The company maintains a strong market capitalization of $48.2 billion and a robust profit margin of 17.13%, highlighting its profitability. Its trailing price-to-earnings (PE) ratio of 19.09 and forward PE ratio of 14.87 suggest that the stock is reasonably valued relative to its earnings growth potential. The dividend yield of 0.86% and a low payout ratio of 16.66% indicate a sustainable dividend policy, with room for future increases.
 The company’s financial health is supported by strong cash flows, with $4.91 billion in operating cash flow and $2.59 billion in free cash flow. However, its debt-to-equity ratio of 167.99% is relatively high, which could pose risks in a rising interest rate environment. Despite this, the return on equity (ROE) of 31.40% and return on assets (ROA) of 9.49% demonstrate efficient use of capital and assets to generate returns.
 **Valuations:**  
 UnitedHealth Group's price-to-book ratio of 5.65 and price-to-sales ratio of 3.22 suggest that the stock is trading at a premium compared to its book value and revenue. However, these valuations are consistent with its strong profitability and growth metrics. Analysts remain optimistic, with a mean target price of $836.74, representing potential upside from the current trading levels. The recommendation mean of 2.43 (on a scale where 1 is a strong buy and 5 is a sell) further underscores positive sentiment among analysts.
 **Economic Outlook:**  
 The broader economic environment presents mixed signals for UnitedHealth Group. The recent implementation of tariffs and inflationary pressures could indirectly impact healthcare costs and consumer spending. However, the managed healthcare industry is generally resilient to economic downturns, as healthcare services remain essential. UnitedHealth Group's diversified revenue streams and strong market position provide a buffer against macroeconomic headwinds. Additionally, its modest earnings and revenue growth rates of 4% and 6%, respectively, indicate steady, albeit unspectacular, expansion.
 **Conclusion:**  
 UnitedHealth Group remains a fundamentally strong company with solid profitability, efficient operations, and a sustainable dividend policy. While its high debt levels warrant monitoring, its robust cash flows and market leadership position mitigate these concerns. The stock's valuation appears reasonable given its growth prospects and industry resilience, though broader market volatility and economic uncertainties could weigh on short-term performance.
 Score: 82</t>
  </si>
  <si>
    <t>**Investment Report: GoDaddy (GDDY)**
 **Recent News:**  
 GoDaddy has gained significant attention following a 194% surge in its stock price, driven by its strategic marketing efforts, including a high-profile Super Bowl commercial featuring Walton Goggins. This comes at a time when the broader technology sector, including Nvidia, has faced substantial challenges due to competitive pressures from Chinese AI advancements like DeepSeek. GoDaddy's ability to capitalize on its brand visibility and differentiate itself in the Internet Services &amp; Infrastructure industry has positioned it as a standout performer amidst market volatility.
 **Financials:**  
 GoDaddy's financial metrics reflect a solid foundation. The company boasts a trailing P/E ratio of 10.37 and a forward P/E of 9.01, indicating a relatively attractive valuation compared to industry peers. Its profit margins of 19.04% and operating margins of 28.29% highlight strong operational efficiency. Revenue growth of 5.2% year-over-year, coupled with earnings growth of 28.4%, underscores its ability to generate consistent top-line and bottom-line expansion. Additionally, GoDaddy's free cash flow of $1.26 billion and operating cash flow of $1.46 billion provide ample liquidity to support future growth initiatives.
 However, the company's debt-to-equity ratio of 67.54% suggests a moderately leveraged balance sheet, which could pose risks in a rising interest rate environment. Its quick ratio of 0.48 and current ratio of 0.63 indicate limited short-term liquidity, which may require careful management of working capital.
 **Valuations:**  
 GoDaddy's stock is trading at a price-to-book ratio of 2.22, reflecting a reasonable valuation relative to its book value. The enterprise value-to-revenue ratio of 2.3 and enterprise value-to-EBITDA ratio of 8.81 suggest that the market is pricing the company fairly, given its growth prospects and profitability. Analyst sentiment remains positive, with a "buy" recommendation and a target median price of $130, implying modest upside potential from current levels.
 **Economic Outlook:**  
 The broader economic environment presents both opportunities and challenges for GoDaddy. The recent tariffs imposed by the U.S. administration and the resulting trade tensions could create headwinds for the technology sector. However, GoDaddy's focus on internet services and infrastructure positions it as a relatively insulated player, less exposed to supply chain disruptions compared to hardware-focused companies. Additionally, its marketing-driven growth strategy could benefit from increased consumer spending during the Super Bowl season, providing a near-term catalyst for revenue growth.
 **Conclusion:**  
 GoDaddy's recent performance highlights its ability to navigate a challenging macroeconomic environment and leverage strategic marketing to drive growth. While its financials and valuations remain solid, the company's leveraged balance sheet and limited short-term liquidity warrant close monitoring. Overall, GoDaddy appears well-positioned to capitalize on its momentum in the near term, though broader market volatility and economic uncertainties could influence its trajectory.
 **Score: 78**</t>
  </si>
  <si>
    <t>Investment Report: HCA Healthcare (HCA)
 **Recent News**  
 HCA Healthcare has been highlighted as a strong growth and value stock by Zacks Style Scores, emphasizing its potential to outperform the market. This recognition reflects the company's robust operational performance and its ability to attract investor interest across different investment styles. The focus on HCA's growth and value attributes suggests confidence in its ability to deliver consistent returns, even amid broader market volatility.
 **Financials**  
 HCA Healthcare demonstrates solid financial performance, with a market capitalization of $14.25 billion and a profit margin of 12.1%, indicating efficient operations. The company has shown strong revenue growth of 25.9% year-over-year, supported by a gross margin of 59.7% and EBITDA margins of 54.8%. Its earnings quarterly growth of 33.7% further underscores its ability to scale profitability. However, the company's debt-to-equity ratio of 96.6% highlights a significant reliance on leverage, which could pose risks in a rising interest rate environment. HCA's free cash flow of $374.7 million and operating cash flow of $1.02 billion provide a cushion for ongoing operations and potential investments.
 **Valuations**  
 HCA's valuation metrics present a mixed picture. The trailing price-to-earnings (P/E) ratio of 41.59 and forward P/E of 50.32 suggest the stock is trading at a premium relative to its earnings, which may deter value-focused investors. However, its price-to-book ratio of 1.66 and enterprise value-to-revenue ratio of 9.32 indicate reasonable valuations compared to its industry peers. The dividend yield of 5.81% is attractive, especially for income-focused investors, and the payout ratio of 2.45% suggests the dividend is sustainable. Analysts maintain a positive outlook, with a mean target price of $25.29, representing potential upside from current levels.
 **Economic Outlook**  
 The broader economic environment presents both opportunities and challenges for HCA Healthcare. The healthcare sector is generally resilient to economic downturns, providing stability amid market volatility. However, the recent implementation of tariffs and inflationary pressures could increase operational costs, particularly for medical supplies and equipment. Additionally, the ongoing wildfires in California may strain healthcare facilities in affected regions, potentially impacting HCA's operations. Despite these challenges, the company's strong cash flow and operational efficiency position it well to navigate economic headwinds.
 **Conclusion**  
 HCA Healthcare's strong revenue growth, profitability, and operational efficiency make it a compelling player in the healthcare facilities industry. While its high leverage and premium valuation may raise concerns, its robust cash flow and dividend yield provide a counterbalance. The company's ability to adapt to economic challenges and maintain growth underscores its potential as a resilient investment in the current market environment.
 Score: 78</t>
  </si>
  <si>
    <t>Investment Report: CMS Energy (CMS)
 **Recent News**: CMS Energy has been highlighted as a top value stock for long-term investors, according to Zacks Style Scores. This recognition underscores the company's strong fundamentals and potential for sustained growth. The utility sector, known for its stability, positions CMS Energy as a reliable choice amidst broader market volatility. The firm's focus on delivering consistent returns through dividends and operational efficiency aligns with its reputation as a dependable investment.
 **Financials**: CMS Energy demonstrates solid financial performance with a trailing price-to-earnings (P/E) ratio of 18.99 and a forward P/E of 18.54, indicating reasonable valuation levels for a utility company. The firm has a dividend yield of 3.12%, slightly above its five-year average of 2.93%, reflecting its commitment to returning value to shareholders. Earnings growth of 43.8% and revenue growth of 4.2% highlight the company's ability to expand in a challenging economic environment. However, the firm's high debt-to-equity ratio of 187.1% and negative free cash flow of $620 million suggest a reliance on debt financing, which could pose risks in a rising interest rate environment.
 **Valuations**: CMS Energy's price-to-book ratio of 2.52 and price-to-sales ratio of 2.66 are in line with industry norms, suggesting the stock is fairly valued. The company's enterprise value-to-EBITDA ratio of 13.28 indicates a premium valuation, which may be justified by its strong profit margins (gross margin of 42.3% and operating margin of 23.5%). Analyst sentiment remains positive, with a mean price target of $71.86, representing potential upside from current levels.
 **Economic Outlook**: The utility sector is generally resilient to economic downturns, making CMS Energy a defensive play amid current market uncertainties. The recent imposition of tariffs and inflationary pressures could increase operational costs, but the regulated nature of the utility industry allows for cost pass-through mechanisms, mitigating potential impacts. Additionally, CMS Energy's low beta of 0.41 indicates reduced volatility compared to the broader market, making it an attractive option for risk-averse investors.
 **Conclusion**: CMS Energy's strong earnings growth, consistent dividend payouts, and stable financial performance position it as a compelling investment in the multi-utilities industry. However, its high leverage and negative free cash flow warrant close monitoring, particularly in a rising interest rate environment. The company's ability to navigate these challenges while maintaining profitability will be key to its long-term success.
 Score: 78</t>
  </si>
  <si>
    <t>Investment Report:
 **Recent News:**  
 Arch Capital Group (ACGL) has faced recent challenges, with analysts predicting a decline in earnings for the upcoming report. This sentiment has been reflected in the stock's performance, as it slid 1.36% in a recent trading session, closing at $95.21. The market's reaction suggests cautious investor sentiment, potentially driven by broader economic uncertainties and sector-specific pressures. Despite this, the stock remains within its 52-week range, though closer to its lower end, indicating some resilience amidst market volatility.
 **Financials:**  
 Arch Capital Group demonstrates strong profitability metrics, with a trailing P/E ratio of 6.25 and a forward P/E of 10.44, suggesting the stock is attractively valued relative to its earnings. The company boasts a robust profit margin of 33.86% and a return on equity of 30.44%, highlighting its operational efficiency. Revenue growth of 41.8% and earnings growth of 36.2% year-over-year further underscore its solid financial performance. However, the company's debt-to-equity ratio of 12.24 indicates a relatively high leverage level, which could pose risks in a rising interest rate environment.
 **Valuations:**  
 Arch Capital's price-to-book ratio of 1.63 and price-to-sales ratio of 2.08 suggest the stock is reasonably valued compared to its peers in the property and casualty insurance industry. The company's enterprise value-to-revenue ratio of 2.02 and enterprise value-to-EBITDA ratio of 6.58 further support this view. Analyst sentiment remains positive, with a mean recommendation of "buy" and a target median price of $120, implying significant upside potential from current levels.
 **Economic Outlook:**  
 The broader economic environment presents mixed signals for Arch Capital. The recent imposition of tariffs and inflationary pressures could impact the insurance industry, particularly in terms of claims costs and investment returns. However, Arch Capital's strong cash flow generation, with free cash flow of $6.64 billion, positions it well to navigate these challenges. Additionally, the company's exposure to property and casualty insurance may benefit from increased demand for risk mitigation in a volatile economic climate.
 **Conclusion:**  
 While Arch Capital faces near-term headwinds, including potential earnings pressure and broader market volatility, its strong financial fundamentals and reasonable valuation provide a solid foundation for long-term performance. The company's robust profitability and growth metrics, coupled with positive analyst sentiment, suggest it remains a compelling player in the property and casualty insurance sector. However, macroeconomic uncertainties and high leverage warrant close monitoring.
 Score: 78</t>
  </si>
  <si>
    <t>**Investment Report: Cboe Global Markets**
 **Recent News:**  
 Cboe Global Markets has announced plans to introduce 24-hour trading for U.S. equities on its EDGX Equities Exchange. This initiative aims to cater to increasing international investor demand for continuous access to American markets. This move could position Cboe as a leader in global trading accessibility, potentially increasing trading volumes and revenue. However, the operational and technological challenges of implementing 24-hour trading may require significant investment and could introduce risks related to execution and liquidity during off-peak hours. Additionally, the firm is set to report earnings next week, with Wall Street anticipating growth, though analysts suggest the company may not meet the criteria for an earnings beat.
 **Financials:**  
 Cboe's financial metrics reflect a stable but not overly aggressive growth profile. The company has a trailing P/E ratio of 23.34 and a forward P/E of 14.10, indicating expectations of earnings growth. Its dividend yield of 1.58% is below its five-year average of 2.95%, suggesting a conservative payout strategy. The firm has a beta of 0.616, indicating lower volatility compared to the broader market, which may appeal to risk-averse investors. Cboe's revenue growth has declined by 4.3% year-over-year, which could be a concern, but its forward EPS of 8.64 suggests optimism for future profitability. The company maintains a strong institutional ownership of 87.7%, reflecting confidence from large investors.
 **Valuations:**  
 Cboe's market capitalization stands at $30.28 billion, with a price-to-sales ratio of 0.13, which is relatively low and may indicate undervaluation. The stock is trading near its 52-week high of $132.84, suggesting strong recent performance. Analysts have a median price target of $142, implying potential upside from current levels. However, the firm's negative book value (-$13.17) and modest profit margins (0.57%) highlight areas of financial vulnerability. The enterprise value-to-EBITDA ratio of 11.36 suggests the stock is reasonably priced relative to its earnings before interest, taxes, depreciation, and amortization.
 **Economic Outlook:**  
 The broader economic environment presents mixed implications for Cboe. The recent market volatility, driven by geopolitical tensions, tariffs, and inflationary pressures, could increase trading activity, benefiting exchanges like Cboe. However, the global technology sector's downturn and potential trade disruptions may dampen investor sentiment, impacting trading volumes. Additionally, the Federal Reserve's cautious stance on interest rate adjustments could influence market dynamics, indirectly affecting Cboe's performance.
 **Conclusion:**  
 Cboe's strategic move to offer 24-hour trading aligns with global market trends and could enhance its competitive position. While the firm demonstrates financial stability and growth potential, challenges such as declining revenue growth and operational risks from its new initiative warrant attention. The stock's valuation appears reasonable, with room for upside if the company successfully executes its strategy and meets earnings expectations.
 **Score: 78**</t>
  </si>
  <si>
    <t>Investment Report:  
 Berkshire Hathaway, a multi-sector holdings giant, remains a cornerstone of diversified investment portfolios. Despite no recent news, its financial performance and valuation metrics provide a comprehensive view of its current position amidst a volatile macroeconomic environment.  
 **Recent News:**  
 The absence of significant news surrounding Berkshire Hathaway in the past week suggests stability in its operations. However, broader market conditions, including the global tech selloff and trade tensions, may indirectly influence its portfolio of investments, particularly in sectors like technology, energy, and consumer goods. The firm's diversified holdings could act as a buffer against sector-specific downturns, but the macroeconomic headwinds may still weigh on its overall performance.  
 **Financials:**  
 Berkshire Hathaway's financial metrics reflect a solid foundation. The firm boasts a market capitalization of $179.1 billion and a trailing P/E ratio of 14.35, which is relatively attractive compared to the broader market. Its forward P/E of 12.66 indicates expectations of earnings growth, supported by a modest earnings growth rate of 7.2% and quarterly growth of 6.2%. The dividend yield of 4.04% is above its five-year average, signaling shareholder-friendly policies.  
 However, the firm's revenue growth has contracted by 3.1%, reflecting challenges in its operating environment. The debt-to-equity ratio of 131.9% is relatively high, suggesting a leveraged balance sheet, though its strong return on equity (42.41%) and return on assets (7.22%) indicate efficient use of capital. The free cash flow of $1.41 billion and operating cash flow of $2.1 billion provide liquidity to navigate short-term challenges.  
 **Valuations:**  
 Berkshire Hathaway's price-to-book ratio of 5.91 suggests it is trading at a premium relative to its book value, which may reflect investor confidence in its long-term prospects. The enterprise value-to-revenue ratio of 0.529 and enterprise value-to-EBITDA ratio of 8.41 indicate reasonable valuations for a company of its scale and diversification. Analyst sentiment remains positive, with a mean recommendation of "buy" and a target median price of $100, implying potential upside from its current trading range.  
 **Economic Outlook:**  
 The broader economic environment presents mixed signals for Berkshire Hathaway. The recent imposition of tariffs and trade tensions could impact its industrial and consumer-facing holdings, while inflationary pressures may weigh on consumer spending and corporate margins. However, its diversified portfolio and exposure to defensive sectors could mitigate some of these risks. The firm's beta of 1.493 suggests higher sensitivity to market volatility, which may be exacerbated by ongoing macroeconomic uncertainties.  
 In summary, Berkshire Hathaway's strong financial foundation and diversified portfolio position it well to weather current market challenges. While macroeconomic headwinds and sector-specific risks persist, its valuation metrics and cash flow generation provide a degree of resilience.  
 Score: 78</t>
  </si>
  <si>
    <t>**Investment Report: Amphenol Corporation (APH)**
 **Recent News:**  
 Amphenol has recently shown signs of potential recovery after a period of declining stock performance. A hammer chart pattern has emerged, suggesting that the stock may have found a support level. This technical indicator, combined with upward revisions in earnings estimates, points to a possible trend reversal in the near term. The positive sentiment around earnings revisions reflects confidence in the company's ability to navigate current market challenges and maintain profitability.
 **Financials:**  
 Amphenol's financial health remains robust, supported by strong revenue growth of 26.2% year-over-year and earnings growth of 17.1%. The company reported a trailing price-to-earnings (P/E) ratio of 36.52 and a forward P/E of 27.67, indicating expectations of continued earnings expansion. Its profit margins are solid, with a net income margin of 15.4% and EBITDA margins of 25.2%. The company also maintains a healthy balance sheet, with a current ratio of 1.99 and a quick ratio of 1.21, reflecting strong liquidity. However, its debt-to-equity ratio of 57.57% suggests moderate leverage, which is manageable given its consistent cash flow generation, including $2.8 billion in operating cash flow and $1.66 billion in free cash flow.
 Amphenol's dividend yield of 0.91% is modest but sustainable, with a payout ratio of 28.37%. The company has a history of steady dividend payments, supported by its strong cash position of $1.58 billion. Additionally, its return on equity (ROE) of 25.29% and return on assets (ROA) of 10.76% highlight efficient use of capital and assets to generate shareholder value.
 **Valuations:**  
 Amphenol's valuation metrics suggest it is trading at a premium compared to its peers in the electronic components industry. Its price-to-book ratio of 8.94 and enterprise value-to-EBITDA ratio of 25.56 are relatively high, reflecting investor confidence in its growth prospects. Analysts have a positive outlook, with a mean target price of $84.08, representing potential upside from its current trading range. The recommendation mean of 1.94 (on a scale where 1.0 is a strong buy) further underscores the favorable sentiment among analysts.
 **Economic Outlook:**  
 Amphenol operates in the electronic components industry, which is sensitive to macroeconomic conditions and global supply chain dynamics. The recent imposition of tariffs by the U.S. administration on imports from Canada, Mexico, and China could increase input costs and disrupt supply chains, potentially impacting margins. However, Amphenol's diversified product portfolio and global footprint may help mitigate these risks. Additionally, the company's exposure to high-growth sectors such as automotive, industrial, and communications positions it well to capitalize on long-term trends like electrification, automation, and 5G deployment.
 The broader technology sector has faced headwinds recently, with significant declines in market valuations due to competitive pressures from emerging technologies like China's DeepSeek. While this has created volatility, Amphenol's focus on specialized electronic components rather than consumer-facing technologies may shield it from direct competition in this space.
 **Conclusion:**  
 Amphenol's strong financial performance, solid growth metrics, and favorable analyst sentiment suggest resilience despite broader market challenges. While its valuation is on the higher side, the company's consistent cash flow, robust margins, and exposure to transformative industries provide a compelling case for long-term growth. However, macroeconomic uncertainties, including tariffs and inflationary pressures, warrant close monitoring.
 **Score: 78**</t>
  </si>
  <si>
    <t>Investment Report:
 Biogen (BIIB), a prominent player in the biotechnology industry, has garnered attention for its consistent ability to surpass earnings expectations. The firm's strong track record of earnings surprises suggests robust operational efficiency and effective cost management. This history of outperformance positions Biogen as a company with the potential to deliver another positive earnings surprise in its upcoming quarterly report.
 From a financial perspective, the absence of a trailing PEG ratio indicates a lack of sufficient data to evaluate the firm's growth relative to its valuation. This could be due to variability in earnings or challenges in projecting future growth rates. While this limits a comprehensive valuation analysis, Biogen's historical performance and market position remain key factors to consider.
 The broader economic outlook presents both opportunities and challenges for Biogen. The biotechnology sector often demonstrates resilience during periods of economic uncertainty, as demand for innovative healthcare solutions persists. However, macroeconomic headwinds, including inflationary pressures and potential trade disruptions, could impact operational costs and global supply chains. Additionally, the recent volatility in the technology and broader equity markets may influence investor sentiment toward high-growth sectors like biotechnology.
 In summary, Biogen's strong earnings history and established market presence provide a solid foundation for optimism regarding its near-term performance. However, the lack of clarity in growth valuation metrics and potential macroeconomic challenges warrant cautious monitoring.
 Score: 78</t>
  </si>
  <si>
    <t>Investment Report:
 C.H. Robinson Worldwide (CHRW), a prominent player in the Air Freight &amp; Logistics industry, has recently demonstrated resilience and strong performance in its latest quarterly earnings report. The company reported earnings per share (EPS) of $1.21 for Q4 2024, surpassing Wall Street's consensus estimate of $1.12. This marks a significant improvement compared to the $0.50 EPS recorded in the same quarter a year ago, reflecting robust operational efficiency and effective cost management. The earnings beat highlights the firm's ability to navigate a challenging macroeconomic environment and deliver value to shareholders.
 Recent news emphasizes C.H. Robinson's position as a strong value stock, supported by favorable metrics under the Zacks Style Scores framework. This suggests that the company is well-regarded for its valuation, growth potential, and momentum, making it an attractive option for investors seeking stability and long-term returns. However, the absence of a trailing PEG ratio limits a deeper analysis of its valuation relative to growth expectations.
 From a financial perspective, the firm's ability to outperform earnings expectations is a positive indicator of its operational health. However, the broader economic outlook presents potential challenges. The recent imposition of tariffs by the U.S. administration, coupled with inflationary pressures, could disrupt global trade and supply chains, directly impacting the logistics and freight industry. Additionally, the ongoing volatility in the stock market, particularly in sectors tied to global trade, may weigh on the company's near-term performance.
 Despite these headwinds, C.H. Robinson's strong Q4 results and its reputation as a value stock suggest that it is well-positioned to weather economic uncertainties. The firm's ability to adapt to changing market conditions and maintain profitability will be critical in sustaining its performance in the coming months.
 Score: 78</t>
  </si>
  <si>
    <t>**Investment Report: Devon Energy Corporation (DVN)**
 **Recent News:**  
 Devon Energy has garnered attention due to its strong earnings history and potential to exceed expectations in its upcoming quarterly report. The company has consistently delivered positive earnings surprises, which has bolstered investor confidence. However, the broader macroeconomic environment, including new tariffs and potential trade disruptions, could indirectly impact the energy sector by influencing global demand and pricing dynamics.
 **Financials:**  
 Devon Energy demonstrates solid financial metrics, with a trailing price-to-earnings (P/E) ratio of 9.50 and a forward P/E of 10.60, indicating a relatively attractive valuation compared to industry peers. The company offers a robust dividend yield of 5.04%, significantly above its five-year average of 3.98%, reflecting its commitment to returning value to shareholders. However, earnings growth has declined by 37.1% year-over-year, and revenue growth, while positive at 8.7%, is modest. The company’s gross margins of 76.35% and EBITDA margins of 74.46% highlight its operational efficiency, but the negative free cash flow of -$5.56 billion raises concerns about liquidity and capital allocation.
 **Valuations:**  
 Devon Energy's price-to-book ratio of 1.29 and price-to-sales ratio of 5.24 suggest the stock is reasonably valued, especially given its strong profitability metrics, including a return on equity (ROE) of 12.27%. The stock is trading near its 52-week low of $150, well below its 52-week high of $214.50, which may present an opportunity for value-oriented investors. Analyst sentiment remains positive, with a mean target price of $210.30 and a "buy" recommendation, supported by 30 analyst opinions.
 **Economic Outlook:**  
 The energy sector faces mixed signals in the current macroeconomic environment. While new U.S. sanctions on Russia's energy sector could tighten global supply and support oil prices, the imposition of tariffs and potential trade disruptions may dampen global economic growth and energy demand. Devon Energy's exposure to oil and gas exploration and production makes it sensitive to these external factors. Additionally, the company's debt-to-equity ratio of 33.57% is manageable but warrants monitoring in a rising interest rate environment.
 **Conclusion:**  
 Devon Energy's strong operational performance, attractive dividend yield, and reasonable valuation metrics position it as a solid player in the oil and gas sector. However, declining earnings growth, negative free cash flow, and broader economic uncertainties could weigh on its near-term performance. The company's ability to navigate these challenges while maintaining profitability will be critical in determining its investment potential.
 **Score: 78**</t>
  </si>
  <si>
    <t>Investment Report: Camden Property Trust (CPT)
 **Recent News**  
 Camden Property Trust (CPT) continues to benefit from its portfolio of diverse A/B quality multi-family residential properties, which are strategically located in high-demand urban and suburban markets. The company has also invested in technological enhancements to improve operational efficiency and tenant experience, which positions it well for long-term growth. However, the broader real estate investment trust (REIT) sector faces challenges from elevated supply in the multi-family housing market and persistently high interest rates, which increase borrowing costs and weigh on profitability.
 **Financials**  
 Camden Property Trust demonstrates solid financial health, with a trailing price-to-earnings (PE) ratio of 17.36 and a forward PE of 11.02, indicating a relatively attractive valuation compared to its historical performance. The company’s dividend yield of 1.24% is below its five-year average of 1.76%, reflecting a conservative payout ratio of 20.73%, which leaves room for future dividend growth. CPT’s revenue growth of 6.4% year-over-year and operating margins of 29.71% highlight its ability to generate consistent cash flow despite macroeconomic headwinds. However, earnings growth has slightly declined (-0.9%), reflecting the impact of rising costs and market pressures.
 The company’s balance sheet remains robust, with total cash of $50.98 billion exceeding total debt of $52.87 billion, providing financial flexibility. Its price-to-book ratio of 1.32 suggests the stock is trading near its intrinsic value, while its return on equity (ROE) of 7.48% indicates efficient use of shareholder capital. Additionally, CPT’s enterprise value-to-revenue ratio of 3.04 aligns with industry norms, further supporting its valuation.
 **Valuations**  
 CPT’s stock has shown resilience, with a 52-week price change of +51.63%, outperforming the S&amp;P 500’s 21.93% gain over the same period. The stock is currently trading near its 52-week high of $208.63, reflecting strong investor confidence. Analyst sentiment remains positive, with a mean price target of $212.02 and a recommendation key of "buy." However, the elevated short ratio of 6.72 indicates some bearish sentiment, likely tied to concerns over interest rate pressures and elevated supply in the housing market.
 **Economic Outlook**  
 The macroeconomic environment presents mixed signals for Camden Property Trust. High interest rates continue to challenge the broader REIT sector, increasing the cost of capital and potentially dampening property valuations. Additionally, elevated supply in the multi-family housing market could pressure rental growth rates. However, CPT’s focus on high-quality properties and its ability to leverage technology for operational efficiency provide a competitive edge. The company’s strong cash position and prudent financial management mitigate risks associated with economic uncertainty.
 **Conclusion**  
 Camden Property Trust is well-positioned within the multi-family residential REIT sector, supported by a strong balance sheet, consistent revenue growth, and strategic investments in technology. While macroeconomic challenges such as high interest rates and elevated supply persist, CPT’s operational efficiency and high-quality property portfolio provide a solid foundation for long-term performance. The stock’s current valuation and positive analyst sentiment suggest moderate upside potential, though near-term volatility may arise from broader economic pressures.
 Score: 78</t>
  </si>
  <si>
    <t>Investment Report:
 Charles River Laboratories (CRL), a prominent player in the Life Sciences Tools &amp; Services industry, is poised for its fourth-quarter earnings release, with growth anticipated in its Manufacturing and Research Models &amp; Services (RMS) segments. This reflects the company's ability to capitalize on demand for its specialized services, which cater to the pharmaceutical and biotechnology sectors. However, broader economic and market conditions may temper near-term performance.
 **Recent News:**  
 The company's focus on its Manufacturing and RMS segments suggests a strategic alignment with high-growth areas in the life sciences industry. These segments are likely benefiting from increased outsourcing trends in drug development and manufacturing, as well as the growing demand for preclinical research services. However, the broader market volatility, particularly in the technology and healthcare sectors, could weigh on investor sentiment, even for fundamentally strong companies like CRL.
 **Financials:**  
 CRL's financial metrics indicate a mixed picture. The company has demonstrated solid revenue growth of 14.8% year-over-year, supported by earnings growth of 19.7%. Its trailing price-to-earnings (P/E) ratio of 46.29 and forward P/E of 23.62 suggest that the market expects significant future earnings growth. However, its profit margins remain modest at 2.79%, and its gross margin of 19.66% indicates room for operational efficiency improvements. The company's debt-to-equity ratio of 73.12% highlights a relatively high leverage position, which could pose risks in a rising interest rate environment. On the positive side, CRL's free cash flow of $916 million and operating cash flow of $1.22 billion provide a solid liquidity cushion.
 **Valuations:**  
 CRL's current price-to-book ratio of 4.93 and enterprise value-to-revenue ratio of 1.45 suggest that the stock is trading at a premium relative to its book value and revenue. While this may reflect the company's strong growth prospects, it also indicates that the stock may be vulnerable to broader market corrections or sector-specific headwinds. Analyst sentiment remains positive, with a mean price target of $151.64, representing a modest upside from current levels. The recommendation mean of 1.92 (on a scale where 1.0 is a strong buy) underscores the stock's attractiveness among analysts.
 **Economic Outlook:**  
 The macroeconomic environment presents both opportunities and challenges for CRL. The ongoing trade tensions and tariffs could disrupt global supply chains, potentially impacting the company's operations or input costs. Additionally, inflationary pressures and a potentially hawkish Federal Reserve stance could increase borrowing costs, affecting highly leveraged companies like CRL. However, the life sciences sector remains relatively resilient to economic cycles, and CRL's diversified revenue streams position it well to navigate these challenges.
 **Conclusion:**  
 Charles River Laboratories is well-positioned for growth, driven by its focus on high-demand segments and robust revenue expansion. However, its high valuation, modest profit margins, and elevated debt levels warrant caution, particularly in the current volatile market environment. While the company's fundamentals remain strong, external economic factors and market sentiment could influence its near-term performance.
 Score: 78</t>
  </si>
  <si>
    <t>**Investment Report: Air Products and Chemicals (APD)**
 **Recent News:**  
 Air Products and Chemicals (APD) is set to release its quarterly earnings report for the period ending December 2024. While Wall Street anticipates earnings growth, analysts suggest that the company may not have the optimal combination of factors to surpass expectations. This tempered outlook reflects a cautious sentiment, despite the company's historical stability and strong market presence in the industrial gases sector. The focus will likely be on key performance metrics beyond headline earnings, such as operational efficiency, margin expansion, and growth in strategic markets.
 **Financials:**  
 APD's stock has shown resilience, trading near its 52-week high of $155.35, with a recent close at $151.52. The company maintains a robust market capitalization of $42.4 billion, supported by a trailing P/E ratio of 33.63 and a forward P/E of 26.31. These valuation metrics suggest that the market has priced in expectations of steady growth, though the relatively high P/E ratios indicate a premium valuation compared to broader industrial peers. The stock's average daily trading volume remains healthy, reflecting consistent investor interest. Analysts' price targets range from $135 to $165, with a mean target of $151.94, aligning closely with the current trading price.
 **Valuations:**  
 APD's valuation metrics highlight its position as a premium player in the industrial gases industry. The forward P/E ratio of 26.31 suggests optimism about future earnings growth, though it also implies limited room for error in meeting or exceeding expectations. The trailing PEG ratio of 2.56 indicates that the stock may be slightly overvalued relative to its growth prospects. However, the company's strong fundamentals and strategic investments in hydrogen and clean energy projects could justify its elevated valuation over the long term.
 **Economic Outlook:**  
 The broader macroeconomic environment presents both challenges and opportunities for APD. The recent imposition of tariffs by the U.S. administration could increase input costs for industrial players, potentially pressuring margins. However, APD's global footprint and diversified revenue streams may help mitigate these risks. Additionally, the company's focus on sustainable and clean energy solutions aligns with long-term trends favoring decarbonization and ESG-driven investments. While short-term volatility in energy markets and trade tensions could weigh on performance, APD's strategic positioning in high-growth markets like hydrogen and industrial gases provides a solid foundation for future growth.
 **Conclusion:**  
 Air Products and Chemicals faces a mixed near-term outlook, with earnings growth expected but tempered by cautious analyst sentiment. The company's premium valuation reflects confidence in its long-term prospects, particularly in clean energy and industrial gases. However, macroeconomic headwinds, including tariffs and potential cost pressures, could pose challenges in the short term. Investors will closely monitor the upcoming earnings report for insights into the company's operational performance and ability to navigate these uncertainties.
 **Score: 78**</t>
  </si>
  <si>
    <t>**Investment Report: Costco Wholesale Corporation**
 **Recent News:**  
 Costco recently reached a tentative three-year contract agreement with the International Brotherhood of Teamsters union, averting a potential strike involving 18,000 employees across over 50 stores. This resolution mitigates the risk of operational disruptions and demonstrates Costco's ability to navigate labor challenges effectively. The agreement follows tensions caused by pay raises for non-union employees, which had initially created friction with union members. Additionally, Costco plans to increase hourly pay for most U.S. store workers to over $30, reflecting its commitment to employee compensation and retention. However, the company is facing scrutiny from 19 Republican attorneys general over its diversity and inclusion programs, which could lead to reputational and regulatory risks. Despite these developments, Costco's stock performance has been mixed, with recent declines amid broader market volatility.
 **Financials:**  
 Costco's financial position remains robust, with a market capitalization of $446.49 billion and a trailing price-to-earnings (P/E) ratio of 58.99, indicating a premium valuation. The company has demonstrated steady earnings growth of 8.8% and revenue growth of 1% year-over-year, supported by its strong operating cash flow of $11.34 billion. Costco's gross margin of 12.61% and operating margin of 3.82% reflect its efficient cost management in a competitive retail environment. The company maintains a healthy return on equity (ROE) of 30.27%, showcasing its ability to generate shareholder value. However, its quick ratio of 0.39 and current ratio of 0.97 suggest limited short-term liquidity, which could be a concern in the event of unexpected financial pressures.
 **Valuations:**  
 Costco's forward P/E ratio of 50.31 and price-to-book ratio of 18.87 highlight its premium valuation relative to peers in the consumer staples sector. The stock is trading near its 52-week high of $1,009.61, reflecting investor confidence in its long-term growth prospects. Analysts have a median target price of $1,059, indicating potential upside from current levels. However, the trailing PEG ratio of 5.89 suggests that the stock may be overvalued relative to its earnings growth rate. Costco's dividend yield of 0.47% is modest but consistent, supported by a sustainable payout ratio of 26.44%.
 **Economic Outlook:**  
 Costco operates in the consumer staples sector, which tends to be resilient during periods of economic uncertainty. However, the broader macroeconomic environment presents challenges, including inflationary pressures and potential disruptions from new tariffs imposed by the U.S. government. These factors could impact consumer spending and supply chain costs, posing risks to Costco's margins. Additionally, the recent volatility in the stock market, particularly in the technology sector, may weigh on investor sentiment. Despite these headwinds, Costco's strong brand, loyal customer base, and focus on value-oriented offerings position it well to navigate economic uncertainties.
 **Conclusion:**  
 Costco's ability to resolve labor disputes and its commitment to employee compensation underscore its operational resilience. While the company faces valuation concerns and macroeconomic headwinds, its strong financial performance and defensive positioning in the consumer staples sector provide a solid foundation for long-term growth. However, near-term risks, including regulatory scrutiny and broader market volatility, warrant careful monitoring.
 **Score: 78**</t>
  </si>
  <si>
    <t>Investment Report: Ross Stores (ROST)
 **Recent News**  
 Ross Stores has demonstrated resilience in the current volatile market environment, closing at $147.92 with a 1.31% gain in its most recent trading session. This performance contrasts with broader market declines, particularly in the technology sector, and highlights the company's ability to navigate economic headwinds. The positive movement may reflect investor confidence in Ross Stores' value-oriented retail model, which tends to perform well during periods of economic uncertainty as consumers seek affordable options.
 **Financials**  
 Ross Stores exhibits strong financial metrics, with a trailing price-to-earnings (P/E) ratio of 23.69 and a forward P/E of 14.96, suggesting potential earnings growth. The company has a robust profit margin of 16.21% and impressive return on equity (ROE) of 44.26%, indicating efficient use of shareholder capital. Revenue growth of 17.5% and earnings growth of 15.4% further underscore the company's operational strength. However, the firm's high debt-to-equity ratio of 298.39% and weak liquidity metrics, such as a quick ratio of 0.087 and current ratio of 0.19, raise concerns about its ability to manage short-term obligations. Additionally, the negative free cash flow of -$1.62 billion warrants attention, as it may limit financial flexibility.
 **Valuations**  
 Ross Stores' stock is trading near its 52-week high of $277.08, significantly above its 52-week low of $113.10. The price-to-book ratio of 9.96 suggests the stock is trading at a premium relative to its book value, which may indicate overvaluation. However, the company's gross margin of 48.73% and EBITDA margin of 35.14% reflect strong operational efficiency, which could justify the higher valuation. Analyst sentiment remains positive, with a mean target price of $280.16 and a "buy" recommendation, supported by 21 analyst opinions.
 **Economic Outlook**  
 The broader economic environment presents mixed implications for Ross Stores. The recent implementation of tariffs by the U.S. government may increase costs for imported goods, potentially pressuring margins. However, Ross Stores' focus on discounted retail positions it well to attract cost-conscious consumers during periods of inflation and economic uncertainty. The company's ability to maintain revenue growth despite macroeconomic challenges suggests resilience, though its high debt levels could become a concern if interest rates rise further.
 **Conclusion**  
 Ross Stores has shown strong financial performance and operational efficiency, supported by its value-oriented business model. While the company faces risks from high leverage and potential cost pressures due to tariffs, its ability to grow revenue and earnings in a challenging environment is a positive indicator. The stock's current valuation appears elevated, but its defensive positioning in the retail sector may provide stability amid broader market volatility.
 Score: 78</t>
  </si>
  <si>
    <t>**Investment Report: Pfizer Inc.**
 **Recent News:**  
 Pfizer is navigating a transitional phase as the COVID-19 pandemic's impact on its revenue diminishes. With health experts predicting a smaller COVID-19 wave this winter, the company faces pressure to drive growth through its non-COVID treatments. Analysts have highlighted Pfizer as a momentum stock with potential for market-beating performance, supported by its undervaluation and strategic focus on operational improvements. The company's stock price, currently at $26.55, is considered undervalued relative to its potential, with a discounted cash flow (DCF) analysis suggesting a value of $50 if Pfizer successfully executes its growth initiatives. Additionally, the absence of a proxy fight with activist investor Starboard has provided stability, allowing management to focus on enhancing R&amp;D productivity, expanding margins, and optimizing capital allocation.
 **Financials:**  
 Pfizer's financial metrics reflect a mixed picture. The company has a market capitalization of $148.5 billion and a forward price-to-earnings (P/E) ratio of 8.94, indicating a relatively attractive valuation compared to its trailing P/E of 34.93. Its dividend yield of 6.49% is significantly above its five-year average of 4.36%, making it appealing to income-focused investors. However, Pfizer's debt-to-equity ratio of 73.41% suggests a leveraged balance sheet, which could pose risks in a rising interest rate environment. The company's gross margins of 69.78% and operating margins of 32.99% are strong, reflecting its ability to generate profitability from its operations. Revenue growth of 31.2% year-over-year is a positive indicator, though much of this growth may still be tied to its COVID-19 portfolio.
 **Valuations:**  
 Pfizer's current price-to-book ratio of 1.61 and price-to-sales ratio of 2.50 suggest the stock is trading at a discount relative to its historical valuation and peers in the pharmaceutical industry. Analysts' target prices range from $25 to $42, with a median target of $30.50, indicating potential upside from current levels. The company's trailing PEG ratio of 0.20 further underscores its undervaluation, particularly if it can sustain growth through new product launches and operational efficiencies.
 **Economic Outlook:**  
 The broader economic environment presents challenges and opportunities for Pfizer. Rising inflation and potential trade tensions could increase input costs, while the Federal Reserve's hawkish stance may lead to higher borrowing costs, impacting Pfizer's leveraged balance sheet. However, the pharmaceutical industry is generally resilient to economic downturns, and Pfizer's focus on R&amp;D and pipeline development positions it well for long-term growth. The company's ability to diversify away from COVID-19-related revenues will be critical in maintaining investor confidence and achieving sustainable growth.
 **Conclusion:**  
 Pfizer's current valuation, strong dividend yield, and strategic focus on operational improvements make it an intriguing investment in the pharmaceutical sector. However, its reliance on transitioning away from COVID-19 revenues and its leveraged balance sheet present risks that require careful monitoring. The company's ability to execute on its growth initiatives and deliver on its pipeline will be key to unlocking its full potential.
 **Score: 78**</t>
  </si>
  <si>
    <t>Investment Report:
 Kenvue (KVUE), a prominent player in the Personal Care Products industry, is positioned for potential outperformance in its upcoming Q4 earnings report. Recent analysis suggests the company has the right mix of factors to exceed market expectations, which could bolster investor confidence in the short term.
 **Recent News:**  
 Kenvue's anticipated earnings beat reflects its operational resilience and ability to navigate a challenging macroeconomic environment. Despite broader market volatility, particularly in the technology sector, Kenvue's focus on consumer staples provides a defensive edge. The company's stable demand for personal care products positions it well amidst economic uncertainty, as these goods are less sensitive to discretionary spending cuts.
 **Financials:**  
 Kenvue's financial metrics highlight a solid foundation. The firm boasts a market capitalization of $28.18 billion and a trailing price-to-earnings (P/E) ratio of 27.34, which, while slightly elevated, aligns with its defensive industry profile. Its forward P/E of 20.87 suggests expectations of earnings growth. The dividend yield of 2.79% is attractive, particularly in a volatile market, though the payout ratio of 75.25% indicates limited room for dividend expansion without earnings growth. The company's gross margins of 35.92% and operating margins of 15.00% underscore its efficiency in managing costs, though revenue growth has slightly contracted by 0.7% year-over-year.
 Kenvue's balance sheet reveals a high debt-to-equity ratio of 173.60%, which could be a concern in a rising interest rate environment. However, its return on equity (ROE) of 26.04% and return on assets (ROA) of 6.09% demonstrate effective utilization of its capital. The company’s free cash flow of $478 million and operating cash flow of $1.54 billion provide liquidity to support operations and debt obligations.
 **Valuations:**  
 Kenvue's price-to-book ratio of 7.72 indicates a premium valuation compared to its book value, reflecting investor confidence in its brand strength and market position. The enterprise value-to-revenue ratio of 2.68 and enterprise value-to-EBITDA ratio of 16.85 suggest the company is trading at a higher multiple relative to its earnings potential, which may limit upside unless earnings growth accelerates.
 **Economic Outlook:**  
 The broader economic environment presents mixed implications for Kenvue. The recent imposition of tariffs and inflationary pressures could increase input costs, potentially squeezing margins. However, as a provider of essential personal care products, Kenvue is less exposed to demand fluctuations compared to discretionary sectors. Its low beta of 0.395 indicates reduced sensitivity to market volatility, making it a relatively stable investment in uncertain times.
 Kenvue's ability to maintain profitability amidst a slight decline in revenue growth reflects its operational efficiency and strong market positioning. The upcoming earnings report will be a critical indicator of its capacity to sustain growth and manage external pressures.
 Score: 78</t>
  </si>
  <si>
    <t>**Investment Report: Linde plc (LIN)**
 **Recent News:**  
 Linde plc, a global leader in industrial gases, is set to release its Q4 2024 earnings, with Wall Street analysts closely monitoring key performance metrics. The company has consistently demonstrated strong operational efficiency and market leadership, particularly in sectors like healthcare, energy, and manufacturing. However, the broader economic environment, including inflationary pressures and trade disruptions, may influence its near-term performance. Analysts are optimistic about Linde's ability to maintain robust margins, given its pricing power and diversified revenue streams.
 **Financials:**  
 Linde's financial metrics reflect a solid operational foundation. The company reported a trailing price-to-earnings (PE) ratio of 87.61 and a forward PE of 35.72, indicating expectations of significant earnings growth. Its gross margins of 80.91% and EBITDA margins of 40.54% underscore its strong profitability. However, the company's high debt-to-equity ratio of 218.08% suggests a leveraged balance sheet, which could pose risks in a rising interest rate environment. Linde's free cash flow is currently negative (-$1.31 billion), which may limit its ability to fund growth initiatives without additional financing. Despite this, its operating cash flow of $6.03 billion highlights its ability to generate cash from core operations.
 **Valuations:**  
 Linde's stock is trading at a price-to-book ratio of 51.21, significantly above the industry average, reflecting a premium valuation. The company's enterprise value-to-EBITDA ratio of 45.67 also suggests a high valuation relative to its earnings before interest, taxes, depreciation, and amortization. While these metrics indicate that the stock is expensive, they may also reflect investor confidence in Linde's market position and growth prospects. Analysts' target prices range from $580 to $1,190, with a mean target of $972.77, suggesting potential upside from its current price of approximately $811.
 **Economic Outlook:**  
 The broader macroeconomic environment presents both challenges and opportunities for Linde. The recent imposition of tariffs by the U.S. administration could disrupt global trade and supply chains, potentially impacting Linde's operations. However, the company's exposure to essential industries like healthcare and energy provides a degree of resilience. Additionally, Linde's beta of 0.43 indicates lower volatility compared to the broader market, making it a relatively stable investment in uncertain times. The company's strong revenue growth of 20.4% year-over-year further highlights its ability to navigate challenging economic conditions.
 **Conclusion:**  
 Linde plc remains a dominant player in the industrial gases industry, supported by strong profitability, robust revenue growth, and a diversified business model. However, its high valuation and leveraged balance sheet warrant caution, particularly in a volatile macroeconomic environment. The company's ability to sustain its margins and navigate trade disruptions will be critical in determining its near-term performance.
 **Score: 78**</t>
  </si>
  <si>
    <t>Investment Report:
 **Recent News:**  
 Valero Energy has shown resilience in a challenging market environment, leveraging its industry-leading low operating costs to outperform Wall Street expectations for Q4 2024. The company reported an adjusted EPS of $0.64, significantly above the consensus estimate of $0.13, though notably lower than the $3.55 EPS from the prior year. This decline reflects pressures from reduced refining and renewable diesel segment profits, as well as narrower crack spreads. However, Valero's competitive cost structure has provided a buffer against market volatility. Looking ahead, the company is positioned to benefit from improved refining margins in 2025 as 2 million barrels per day of capacity exit the market, reducing competition. Risks such as regulatory changes and natural disasters, including the recent California wildfires, remain potential headwinds. Valero's strong free cash flow yield continues to support shareholder returns through dividends and buybacks.
 **Financials:**  
 Valero's financial metrics highlight its solid position within the industry. The company maintains a dividend yield of 3.24%, supported by a manageable payout ratio of 37.2%. Its trailing P/E ratio of 15.87 and forward P/E of 12.19 suggest a reasonable valuation relative to earnings expectations. The price-to-book ratio of 1.71 indicates the stock is trading at a modest premium to its book value, reflecting investor confidence in its operational efficiency. Valero's debt-to-equity ratio of 38.59 is manageable, and its current ratio of 1.57 demonstrates adequate liquidity. Despite a decline in earnings and revenue growth (-84.8% and -15.2%, respectively), the company generated robust free cash flow of $4.79 billion, underscoring its ability to weather short-term challenges.
 **Valuations:**  
 Valero's valuation metrics suggest it remains attractively priced compared to peers in the Oil &amp; Gas Refining &amp; Marketing industry. Its enterprise value-to-revenue ratio of 0.41 and enterprise value-to-EBITDA ratio of 6.72 indicate a relatively low valuation for a company with strong cash flow generation. Analyst sentiment remains positive, with a mean price target of $148.39, representing potential upside from the current trading range. The recommendation mean of 1.95 (Buy) reflects confidence in the company's ability to navigate market challenges and capitalize on improving industry dynamics.
 **Economic Outlook:**  
 The broader macroeconomic environment presents mixed signals for Valero. The recent imposition of tariffs by the U.S. administration could disrupt global trade and supply chains, potentially impacting energy demand. However, the new sanctions on Russia's energy sector may tighten global oil supply, supporting refining margins. Additionally, the California wildfires have caused significant economic damage, but Valero's geographic diversification mitigates direct exposure to this event. The company's ability to maintain low operating costs and adapt to shifting market conditions positions it well to navigate these uncertainties.
 **Conclusion:**  
 Valero Energy's strong operational efficiency, robust free cash flow, and shareholder-friendly initiatives provide a solid foundation in a volatile market. While challenges such as declining margins and regulatory risks persist, the company's competitive advantages and improving industry dynamics in 2025 offer a favorable outlook. Valero's valuation remains attractive, and its financial stability supports its ability to weather short-term headwinds while positioning for long-term growth.
 Score: 78</t>
  </si>
  <si>
    <t>Investment Report:
 Paychex, a prominent player in the Human Resource &amp; Employment Services industry, has shown resilience in its financial performance despite the absence of recent news. The firm’s stock has demonstrated strong momentum, with a 52-week change of 38.2%, significantly outperforming the S&amp;P 500's 21.9% gain over the same period. The stock is trading near its 52-week high of $718.44, reflecting investor confidence in its growth trajectory.
 **Financials:**  
 Paychex exhibits robust profitability metrics, with a profit margin of 14.47% and a return on equity of 24.64%, indicating efficient capital utilization. The company’s trailing price-to-earnings (PE) ratio of 28.77 and forward PE of 23.68 suggest a premium valuation, but this is supported by steady earnings growth of 7% and revenue growth of 1.2%. The firm’s dividend yield of 0.98% is below its five-year average of 1.45%, reflecting the stock's price appreciation. Additionally, the payout ratio of 28% indicates a sustainable dividend policy.
 The company maintains a solid balance sheet, with a manageable debt-to-equity ratio of 78.98% and free cash flow of $2.47 billion, providing flexibility for future investments or shareholder returns. However, liquidity metrics such as the quick ratio of 0.47 and current ratio of 0.96 suggest limited short-term liquidity, which could be a concern in a tightening economic environment.
 **Valuations:**  
 Paychex’s price-to-book ratio of 7.41 and enterprise value-to-EBITDA ratio of 19.25 indicate a relatively high valuation compared to industry peers. However, the firm’s strong fundamentals and consistent growth may justify this premium. Analyst sentiment remains positive, with a recommendation mean of 1.68 (indicating a "buy") and a target median price of $777, suggesting potential upside from current levels.
 **Economic Outlook:**  
 The broader economic environment presents mixed signals for Paychex. The recent implementation of tariffs and trade tensions could weigh on business sentiment and hiring activity, potentially impacting demand for HR and payroll services. However, the company’s focus on small and medium-sized enterprises (SMEs) may provide some insulation, as SMEs often rely on outsourcing HR functions to manage costs. Additionally, Paychex’s recurring revenue model and diversified client base position it well to weather economic uncertainties.
 **Risk Factors:**  
 Paychex faces moderate risks, with an overall risk score of 7. Audit and shareholder rights risks are notable, which could affect governance and investor confidence. The firm’s beta of 1.43 indicates higher volatility compared to the broader market, which may amplify stock price movements in response to macroeconomic developments.
 In summary, Paychex demonstrates strong financial health and growth potential, supported by a resilient business model and favorable analyst sentiment. However, its high valuation and exposure to economic headwinds warrant cautious optimism in the near term.
 Score: 78</t>
  </si>
  <si>
    <t>Investment Report:
 **Recent News:**  
 There have been no significant updates or developments regarding Welltower in the past week. The absence of news suggests stability in the company's operations, but it also indicates a lack of immediate catalysts for significant price movement in the short term.
 **Financials:**  
 Welltower's financial performance reflects a strong position within the Health Care REITs industry. The stock is trading near its 52-week high of $79.29, with a recent close at $78.8, indicating robust investor confidence. The company has a market capitalization of $256.99 billion and a price-to-book ratio of 1.59, suggesting a moderate premium over its book value. Its trailing PE ratio of 14.55 and forward PE ratio of 11.31 highlight a reasonable valuation relative to earnings, with forward expectations indicating potential growth.
 The dividend yield of 2.25% is below its five-year average of 3.02%, reflecting the stock's recent price appreciation. The payout ratio of 30.15% suggests that the dividend is sustainable, supported by strong cash flows. However, earnings and revenue growth have shown slight declines, with earnings growth at -4.1% and revenue growth at -1.8%, which could signal challenges in maintaining growth momentum.
 Welltower's balance sheet is solid, with total cash of $365.31 billion exceeding its total debt of $309.55 billion. This liquidity provides flexibility for future investments or debt management. Operating margins of 31.97% and profit margins of 23.23% indicate efficient operations and profitability.
 **Valuations:**  
 The stock's price-to-sales ratio of 3.30 and enterprise-to-revenue ratio of 2.59 suggest that the company is fairly valued compared to its revenue generation. Analyst sentiment remains positive, with a recommendation mean of 2.04 (indicating a "buy") and a target median price of $86, implying potential upside from current levels. The short interest ratio of 1.95 is low, reflecting limited bearish sentiment among investors.
 **Economic Outlook:**  
 The broader macroeconomic environment presents mixed implications for Welltower. The recent tariffs and trade tensions could increase inflationary pressures, potentially impacting the cost of capital and operational expenses. However, as a Health Care REIT, Welltower operates in a relatively defensive sector that is less sensitive to economic cycles. The aging population and growing demand for senior housing and healthcare facilities provide a favorable long-term growth outlook for the company.
 The recent volatility in the broader market, particularly in the technology sector, may drive investors toward more stable and income-generating assets like REITs. However, rising interest rates could pose a risk to REIT valuations, as higher rates may increase borrowing costs and make fixed-income alternatives more attractive.
 **Conclusion:**  
 Welltower's strong financial position, reasonable valuation, and defensive industry positioning make it a resilient option in the current economic environment. While short-term growth may be constrained by broader economic headwinds and modest earnings declines, the company's long-term prospects remain solid, supported by demographic trends and operational efficiency.
 Score: 78</t>
  </si>
  <si>
    <t>Investment Report:
 Zoetis, a leading player in the pharmaceuticals industry, has shown resilience despite broader market volatility. The firm has not been in the news recently, which suggests stability in its operations amidst a turbulent macroeconomic environment. However, the lack of recent developments may also indicate limited near-term catalysts for significant stock movement.
 **Financials:**  
 Zoetis' financial performance reflects a solid foundation. The company has a trailing price-to-earnings (PE) ratio of 20.64 and a forward PE of 12.64, indicating a potential undervaluation relative to its future earnings growth. Its earnings quarterly growth of 53.1% and revenue growth of 4% highlight strong operational performance. The firm maintains robust profitability metrics, with gross margins of 71.9% and EBITDA margins of 33.67%, showcasing its ability to generate substantial returns from its revenue base. Additionally, the return on equity (ROE) of 8.71% and return on assets (ROA) of 4.61% reflect efficient use of capital.
 Zoetis' dividend yield of 0.88% is modest but sustainable, with a low payout ratio of 18.32%, leaving room for reinvestment in growth opportunities. The company’s free cash flow of $1.22 billion and operating cash flow of $1.58 billion further reinforce its financial stability. However, its debt-to-equity ratio of 53.61% and quick ratio of 0.574 suggest a moderate reliance on debt, which could pose risks in a rising interest rate environment.
 **Valuations:**  
 The stock is trading at a price-to-book ratio of 1.74, which is reasonable given its profitability and growth prospects. Zoetis' enterprise value-to-revenue ratio of 3.64 and enterprise value-to-EBITDA ratio of 10.8 indicate a fair valuation compared to industry peers. Analysts' target prices range from $105 to $150, with a mean target of $124.81, suggesting potential upside from the current price of $106.27. However, the stock has declined 14.2% over the past year, underperforming the S&amp;P 500, which gained 21.9% in the same period.
 **Economic Outlook:**  
 The broader economic environment presents challenges for Zoetis. The recent implementation of tariffs by the U.S. government could increase input costs and disrupt supply chains, potentially impacting the firm's margins. Additionally, inflationary pressures and a more hawkish Federal Reserve stance could weigh on consumer spending and investor sentiment. However, Zoetis' focus on the pharmaceuticals sector, which tends to be less cyclical, may provide some insulation from macroeconomic headwinds.
 **Conclusion:**  
 Zoetis demonstrates strong financial health and operational efficiency, with promising growth metrics and a reasonable valuation. However, the lack of recent news and the broader economic uncertainties may limit near-term upside potential. The firm's moderate debt levels and exposure to potential tariff-related cost increases warrant close monitoring. Overall, Zoetis remains a fundamentally sound company with long-term growth potential, though short-term performance may be influenced by external factors.
 Score: 78</t>
  </si>
  <si>
    <t>**Investment Report: Sysco Corporation**
 **Recent News:**  
 Sysco Corporation reported its fiscal 2025 second-quarter earnings, with an adjusted EPS of $0.93, slightly exceeding analysts' expectations of $0.92. This marks an improvement from the prior year's $0.89 per share, reflecting the company's ability to manage costs effectively and maintain solid performance across its International, SYGMA, and National sales businesses. Additionally, Sysco announced an enhancement to its share buyback program, signaling confidence in its financial stability and commitment to returning value to shareholders. These developments highlight Sysco's resilience in a challenging macroeconomic environment, particularly as inflationary pressures and trade disruptions weigh on the broader economy.
 **Financials:**  
 Sysco's financial metrics indicate a stable position within the food distribution industry. The company has a trailing P/E ratio of 18.54 and a forward P/E of 14.57, suggesting a reasonable valuation relative to its earnings growth potential. Its dividend yield of 2.65% is slightly above its five-year average, providing an attractive income component for investors. However, Sysco's debt-to-equity ratio of 599.73 is notably high, reflecting significant leverage, which could pose risks in a rising interest rate environment. Despite this, the company maintains a healthy operating cash flow of $2.96 billion and free cash flow of $1.99 billion, supporting its ability to service debt and fund shareholder returns.
 **Valuations:**  
 Sysco's price-to-sales ratio of 0.44 and enterprise value-to-revenue ratio of 0.63 suggest the stock is trading at a discount compared to its revenue generation capabilities. Analysts' target prices range from $77 to $95, with a median target of $84, indicating potential upside from the current price of approximately $72. The recommendation mean of 2.15 (on a scale where 1.0 is a strong buy) reflects a generally favorable outlook among analysts. However, the stock's 52-week performance shows a decline of 9.31%, underperforming the S&amp;P 500's gain of 21.93%, which may reflect broader market challenges and sector-specific headwinds.
 **Economic Outlook:**  
 Sysco operates in a sector that is relatively insulated from economic volatility due to the essential nature of food distribution. However, the company faces potential challenges from rising input costs, supply chain disruptions, and the inflationary impact of new tariffs imposed by the U.S. government. These factors could pressure margins despite Sysco's strong cost management. Additionally, the broader market's reaction to geopolitical tensions and trade uncertainties may weigh on investor sentiment in the near term. Sysco's international operations could also face headwinds from currency fluctuations and global economic slowdowns.
 **Conclusion:**  
 Sysco's solid earnings performance and enhanced share buyback program underscore its operational strength and shareholder focus. While the company's high leverage and exposure to macroeconomic risks warrant caution, its stable cash flows, attractive dividend yield, and reasonable valuation metrics provide a foundation for long-term resilience. The food distribution industry remains a defensive play in uncertain economic conditions, positioning Sysco as a steady performer despite broader market volatility.
 **Score: 78**</t>
  </si>
  <si>
    <t>**Investment Report:**
 Seagate Technology (NASDAQ: STX) has experienced a strong rally in 2025, with its stock surging 25% year-to-date, driven by robust fiscal Q2 earnings. The company exceeded expectations on both revenue and earnings, signaling operational resilience and effective cost management. This performance has propelled the stock to trade near $108 per share, reflecting investor confidence in its near-term prospects.
 **Recent News:**
 Seagate's fiscal Q2 results highlight its ability to navigate a challenging macroeconomic environment. The company reported strong revenue growth of 49.1% year-over-year, supported by improving demand for data storage solutions. This growth is particularly notable given the broader technology sector's struggles, including the recent global tech market crash triggered by Chinese AI advancements. Seagate's focus on enterprise storage and cloud solutions appears to have insulated it from the volatility affecting other tech firms. However, the broader economic uncertainty and potential trade disruptions from new U.S. tariffs could pose risks to its supply chain and cost structure.
 **Financials:**
 Seagate's financial metrics underscore its solid performance. The company reported a trailing price-to-earnings (P/E) ratio of 16.99 and a forward P/E of 9.55, suggesting that the stock remains attractively valued relative to its earnings growth potential. Its gross margins of 28.9% and operating margins of 18.6% reflect efficient operations, while a return on assets (ROA) of 7.9% indicates effective asset utilization. However, the company's balance sheet shows some vulnerabilities, with a quick ratio of 0.63 and total debt of $5.68 billion, which could limit financial flexibility in a rising interest rate environment.
 Seagate's dividend yield of 2.84% is below its five-year average of 3.85%, but the payout ratio of 72.35% suggests the dividend is sustainable. The company also generated $211 million in free cash flow, providing additional support for shareholder returns. Despite these strengths, the negative book value of -$7.09 per share highlights potential risks tied to its leveraged position.
 **Valuations:**
 Seagate's current valuation metrics suggest a favorable risk-reward profile. The stock trades at a price-to-sales ratio of 2.72, which is reasonable given its revenue growth and profitability. Analysts have a median price target of $120, implying further upside potential of approximately 11% from current levels. The trailing PEG ratio of 0.31 indicates that the stock is undervalued relative to its growth prospects, making it an attractive option in the technology hardware sector.
 **Economic Outlook:**
 The broader economic environment presents mixed signals for Seagate. The recent imposition of U.S. tariffs on imports from Canada, Mexico, and China could disrupt global supply chains and increase input costs, potentially pressuring margins. Additionally, the Federal Reserve's hawkish stance on inflation may lead to higher borrowing costs, which could impact Seagate's ability to manage its debt effectively. On the other hand, the company's focus on enterprise and cloud storage positions it well to benefit from the ongoing digital transformation and data growth trends.
 **Conclusion:**
 Seagate Technology has demonstrated strong operational performance and resilience in a volatile market environment. While macroeconomic risks such as tariffs and rising interest rates could pose challenges, the company's attractive valuation, robust revenue growth, and focus on high-demand storage solutions provide a solid foundation for continued performance. However, its leveraged balance sheet and exposure to global trade dynamics warrant close monitoring.
 **Score: 78**</t>
  </si>
  <si>
    <t>**Investment Report: Exelon Corporation**
 **Recent News:**  
 Exelon Corporation has not been in the headlines over the past week, indicating a period of operational stability without major disruptions or announcements. This lack of news suggests that the company is maintaining its course without significant external shocks or internal developments.
 **Financials:**  
 Exelon’s stock is trading near its 52-week high of $41.19, with a recent close at $40.00. The company has demonstrated steady performance, with a trailing price-to-earnings (PE) ratio of 16.70 and a forward PE of 15.41, indicating moderate valuation levels relative to its earnings. The dividend yield of 3.8% is slightly above its five-year average of 3.56%, reflecting a consistent return to shareholders. However, the payout ratio of 61.73% suggests that a significant portion of earnings is allocated to dividends, leaving less room for reinvestment.
 Exelon’s beta of 0.61 highlights its lower volatility compared to the broader market, making it a relatively defensive investment. The company’s profit margins are modest, with a net income margin of 10.6% and operating margins of 19.17%. Revenue growth of 2.9% year-over-year is stable but not particularly aggressive, aligning with the utility sector's typical growth profile.
 On the balance sheet, Exelon carries a high debt-to-equity ratio of 173.22%, which is common for utility companies due to their capital-intensive nature. However, the company’s free cash flow is negative at -$2.15 billion, which could be a concern if sustained over the long term. Operating cash flow remains positive at $5.55 billion, providing some reassurance about liquidity.
 **Valuations:**  
 Exelon’s price-to-book ratio of 1.53 is reasonable for the utility sector, reflecting a fair valuation relative to its assets. The enterprise value-to-EBITDA ratio of 12.07 suggests the company is valued slightly higher than some peers, but this is not unusual for a stable, dividend-paying utility. Analyst sentiment is generally positive, with a recommendation mean of 2.32 (indicating a "buy") and a target median price of $43.00, implying a potential upside of approximately 7.5% from current levels.
 **Economic Outlook:**  
 The broader macroeconomic environment presents mixed implications for Exelon. The recent imposition of tariffs and trade tensions could lead to inflationary pressures, potentially increasing costs for energy infrastructure and materials. However, as a utility company, Exelon benefits from its essential service nature, which provides a degree of insulation from economic volatility. The company’s low beta and stable cash flows position it well in uncertain times, particularly as investors may seek defensive sectors amid market turbulence.
 The ongoing focus on environmental, social, and governance (ESG) factors could also benefit Exelon, as utilities are increasingly transitioning to cleaner energy sources. Exelon’s ability to adapt to regulatory changes and invest in sustainable energy infrastructure will be critical for its long-term growth.
 **Conclusion:**  
 Exelon Corporation is a stable player in the electric utilities industry, offering consistent dividends and moderate growth. While its high debt levels and negative free cash flow warrant caution, its defensive characteristics and essential service nature make it a resilient option in a volatile market. The company’s valuation appears reasonable, with potential for modest upside based on analyst targets. However, macroeconomic headwinds, including inflation and trade tensions, could pose challenges to cost management and profitability.
 **Score: 78**</t>
  </si>
  <si>
    <t>**Investment Report: Equity Residential (EQR)**
 **Recent News:**  
 Equity Residential reported robust fourth-quarter earnings, with an EPS of $1.10, significantly exceeding analysts' expectations of $0.41. The company's funds from operations (FFO) per share stood at $1, aligning with consensus estimates and maintaining parity with the prior year's performance. This strong showing is attributed to the firm's strategic portfolio diversification and investments in technology, which have enabled it to effectively manage high supply levels while capitalizing on sustained demand in the multifamily residential real estate sector. These results underscore the company's operational resilience and ability to adapt to market dynamics.
 **Financials:**  
 Equity Residential's financial metrics reflect a stable and well-positioned business. The firm has a market capitalization of $27.5 billion and a dividend yield of 3.82%, slightly above its five-year average of 3.72%, making it an attractive option for income-focused investors. However, its payout ratio of 113.43% suggests that dividends are being funded beyond earnings, which could raise sustainability concerns if earnings growth remains subdued. The company’s trailing PE ratio of 29.68 and forward PE ratio of 42.49 indicate a premium valuation relative to its earnings, which may reflect investor confidence in its long-term prospects but also suggests limited immediate upside. 
 The firm's debt-to-equity ratio of 76.03% is moderate for the REIT sector, though its quick ratio of 0.027 and current ratio of 0.104 highlight limited short-term liquidity. Revenue growth of 3.4% year-over-year and gross margins of 63.64% demonstrate steady operational performance, while EBITDA margins of 61.08% reflect strong profitability. However, earnings growth has declined by 16.8%, which could weigh on future valuation metrics.
 **Valuations:**  
 Equity Residential's price-to-book ratio of 2.46 suggests the stock is trading at a premium relative to its net asset value, which is common for high-quality REITs with strong portfolios. The enterprise value-to-revenue ratio of 12.21 and enterprise value-to-EBITDA ratio of 19.98 indicate that the market is pricing in the company's stable cash flow generation and operational efficiency. Analyst sentiment remains positive, with a mean target price of $78.20, representing a potential upside from the current price of $70.09. However, the trailing PEG ratio of 7.42 highlights that the stock may be overvalued relative to its growth prospects.
 **Economic Outlook:**  
 The broader macroeconomic environment presents both opportunities and challenges for Equity Residential. Rising inflation and the potential for higher interest rates could increase borrowing costs and pressure margins. However, the multifamily residential sector remains resilient, supported by strong rental demand and limited housing supply in key urban markets. The company's geographic diversification and focus on high-demand areas position it well to weather economic uncertainties. Additionally, the recent market volatility in the technology sector and trade tensions may drive investors toward defensive sectors like real estate, potentially benefiting Equity Residential.
 **Conclusion:**  
 Equity Residential's strong earnings performance and operational efficiency highlight its resilience in a challenging economic environment. While the stock's valuation appears elevated, its stable cash flows, attractive dividend yield, and exposure to the robust multifamily residential market provide a solid foundation for long-term growth. However, declining earnings growth and high payout ratios warrant close monitoring, particularly in the context of rising interest rates and inflationary pressures.
 **Score: 78**</t>
  </si>
  <si>
    <t>Investment Report:
 McCormick &amp; Company, a leader in the Packaged Foods &amp; Meats industry, has shown resilience in its financial performance despite broader market volatility. The firm has not been in the news recently, suggesting stability in its operations without any major disruptions or announcements.
 **Financials:**  
 McCormick's stock has traded within a narrow range recently, with a day low of $284.26 and a high of $290.90, reflecting relative stability. The company offers a strong dividend yield of 2.45%, above its five-year average of 2.25%, supported by a sustainable payout ratio of 58.65%. This indicates McCormick's commitment to returning value to shareholders while maintaining financial health. The firm's beta of 0.735 suggests lower volatility compared to the broader market, making it a defensive play in uncertain economic conditions.
 The company’s trailing price-to-earnings (PE) ratio of 25.44 and forward PE of 23.18 indicate a premium valuation, which is typical for a market leader with strong brand equity and consistent cash flows. However, its trailing PEG ratio of 2.61 suggests that growth may be slower relative to its valuation. Revenue growth of 2.7% year-over-year and gross margins of 56.62% highlight McCormick's ability to maintain profitability despite rising input costs and inflationary pressures.
 **Valuations:**  
 McCormick's market capitalization stands at $207.86 billion, with an enterprise value of $259.11 billion, reflecting its strong position in the industry. The price-to-sales ratio of 8.01 is relatively high, indicating that the stock may be priced for perfection. Analysts have a median target price of $320, suggesting moderate upside potential from current levels. The recommendation mean of 1.95 (on a scale where 1.0 is a strong buy) indicates positive sentiment among analysts.
 **Economic Outlook:**  
 The broader economic environment presents mixed signals for McCormick. The recent implementation of tariffs by the U.S. government could increase costs for imported raw materials, potentially pressuring margins. However, McCormick's strong brand and pricing power may allow it to pass on these costs to consumers. Additionally, the company's focus on packaged foods positions it well in a market where consumer demand for convenience and at-home dining remains robust.
 The company's relatively low debt-to-equity ratio and strong free cash flow of $7.3 billion provide a cushion against macroeconomic uncertainties. However, earnings growth has been slightly negative (-1.3%), and quarterly earnings growth has declined by 2.7%, which could weigh on investor sentiment if not reversed in upcoming quarters.
 **Conclusion:**  
 McCormick &amp; Company remains a stable and defensive investment in the current volatile market environment. While its premium valuation and modest growth rates may limit short-term upside, its strong dividend yield, robust cash flow, and market leadership provide a solid foundation for long-term investors. The company’s ability to navigate inflationary pressures and potential tariff impacts will be key to sustaining its performance.
 Score: 78</t>
  </si>
  <si>
    <t>**Investment Report: Medtronic (MDT)**
 **Recent News:**  
 Medtronic's stock has shown resilience, closing at $91.99 with a modest gain of +0.63% in the latest trading session. This performance outpaced broader market indices, reflecting investor confidence in the company's stability amidst a volatile macroeconomic environment. The healthcare equipment sector, known for its defensive characteristics, has likely benefited from increased demand for medical devices and services, even as other sectors face headwinds from geopolitical tensions and trade disruptions.
 **Financials:**  
 Medtronic's financial health remains robust, supported by a market capitalization of $116.1 billion and a strong dividend yield of 3.2%, which is above its five-year average of 2.65%. The company has demonstrated solid earnings growth of 35.6% and revenue growth of 2.8% year-over-year, signaling operational efficiency and steady demand for its products. Its trailing P/E ratio of 27.69 is higher than its forward P/E of 15.54, indicating expectations of significant earnings growth in the near term. Additionally, Medtronic's gross margins of 65.5% and EBITDA margins of 27.7% highlight its ability to maintain profitability despite rising costs in the current inflationary environment.
 The company also boasts a healthy balance sheet, with a current ratio of 2.13 and a quick ratio of 1.35, reflecting strong liquidity. However, its debt-to-equity ratio of 57.86% suggests a moderate level of leverage, which could pose risks if interest rates rise further. Free cash flow of $4.9 billion and operating cash flow of $6.9 billion provide ample resources for reinvestment and shareholder returns.
 **Valuations:**  
 Medtronic's price-to-book ratio of 2.36 and price-to-sales ratio of 3.56 suggest the stock is fairly valued relative to its peers in the healthcare equipment industry. Analyst sentiment remains positive, with a mean price target of $94.96 and a median target of $95.00, indicating limited upside potential in the short term. The recommendation mean of 2.32 (on a scale where 1 is a strong buy and 5 is a sell) underscores a generally favorable outlook, supported by 26 analyst opinions.
 **Economic Outlook:**  
 The broader economic environment presents both challenges and opportunities for Medtronic. The imposition of new tariffs and trade tensions could disrupt global supply chains, potentially increasing input costs for medical device manufacturers. However, Medtronic's diversified global operations and strong institutional ownership (85.4%) provide a buffer against these risks. Additionally, the healthcare sector's relative insulation from economic cycles positions Medtronic well to weather macroeconomic uncertainties, including inflationary pressures and potential interest rate hikes.
 The company's beta of 0.85 indicates lower volatility compared to the broader market, making it an attractive option for risk-averse investors seeking stability. Furthermore, Medtronic's focus on innovation and its ability to capitalize on long-term trends in healthcare, such as aging populations and increased demand for advanced medical technologies, support its growth prospects.
 **Conclusion:**  
 Medtronic's strong financial performance, solid dividend yield, and defensive positioning in the healthcare sector make it a resilient player in the current economic climate. While short-term upside may be limited due to valuation constraints, the company's long-term fundamentals remain compelling, supported by steady revenue growth, robust margins, and a focus on innovation.
 **Score: 78**</t>
  </si>
  <si>
    <t>Investment Report:
 **Recent News:**  
 Walmart is actively pursuing growth opportunities through strategic investments and service expansions. The company’s $4 billion investment in Canada aims to enhance its supply chain and build new stores, signaling a commitment to strengthening its market position in North America. Additionally, Walmart's expansion of same-day prescription delivery across 49 states demonstrates its focus on competing with Amazon and traditional pharmacies in the healthcare space. However, challenges such as low customer satisfaction ratings could hinder its ability to fully capitalize on these initiatives. Despite this, Walmart's status as a "Dividend King" and its consistent dividend payouts provide a stable income stream for shareholders, reinforcing its appeal as a long-term investment.
 **Financials:**  
 Walmart's financial data reflects a mixed picture. The company has a market capitalization of $24.92 billion and a price-to-sales ratio of 0.63, indicating a relatively low valuation compared to its revenue. However, its profit margins are negative (-28.34%), and it reported a net loss of $11.22 billion in the most recent fiscal year. The company’s debt-to-equity ratio of 111.15% highlights a high level of leverage, which could pose risks in a rising interest rate environment. On the positive side, Walmart has a strong free cash flow of $20.28 billion, which supports its ability to fund growth initiatives and maintain dividend payments. Its gross margins of 41.58% and EBITDA margins of 18.05% suggest operational efficiency, despite revenue growth declining by 3.6%.
 **Valuations:**  
 Walmart's forward price-to-earnings (P/E) ratio of 57.63 is relatively high, reflecting investor optimism about its future earnings potential. However, its price-to-book ratio of 0.71 suggests the stock is trading below its book value, which could indicate undervaluation. Analyst sentiment remains positive, with a mean recommendation of "buy" and a target median price of $12.00, implying potential upside from current levels. The stock's beta of 1.48 indicates higher volatility compared to the broader market, which may appeal to investors seeking momentum but could deter risk-averse investors.
 **Economic Outlook:**  
 The broader economic environment presents both opportunities and challenges for Walmart. The recent implementation of tariffs by the U.S. government could increase costs for imported goods, potentially impacting Walmart's supply chain and pricing strategy. However, as a consumer staples retailer, Walmart is well-positioned to weather economic uncertainty, as demand for essential goods tends to remain stable during downturns. The company’s focus on expanding its healthcare offerings and improving its supply chain aligns with long-term trends in consumer behavior and could provide a competitive edge in a challenging macroeconomic landscape.
 **Conclusion:**  
 Walmart's strategic investments and service expansions highlight its commitment to growth, but financial challenges such as negative profit margins and high leverage warrant caution. The company’s strong cash flow and dividend history provide a solid foundation, while its valuation metrics suggest potential for upside. However, broader economic headwinds, including tariffs and inflationary pressures, could weigh on performance in the near term.
 Score: 72</t>
  </si>
  <si>
    <t>**Investment Report: Newmont Corporation (NEM)**
 **Recent News:**  
 Newmont Corporation has been in the spotlight due to its strategic moves aimed at optimizing its portfolio and cost structure. The company recently completed a divestiture program, highlighted by the sale of its Porcupine Operation for $425 million. This transaction marks a significant step in Newmont's efforts to streamline operations and focus on high-value assets. Additionally, the company has undergone a major acquisition, signaling its intent to consolidate its position in the gold mining industry. CEO Tom Palmer has emphasized the importance of demonstrating the value of Newmont's portfolio and improving cost efficiency, which could enhance long-term profitability.
 **Financials:**  
 Newmont's financial performance reflects a mixed picture. The company reported a trailing twelve-month revenue of $16.99 billion, with a gross margin of 38.6% and EBITDA margins of 35.4%, indicating strong operational efficiency. However, profitability metrics are concerning, with a net loss of $1.29 billion and negative profit margins of -7.1%. The trailing EPS stands at -$2.19, though forward EPS is projected at $3.83, suggesting expectations of a turnaround. The company's debt-to-equity ratio of 30.4% is manageable, but free cash flow is negative at -$1.94 billion, reflecting challenges in liquidity management. On the positive side, Newmont holds $3.06 billion in cash, providing some financial flexibility.
 **Valuations:**  
 Newmont's valuation metrics present a mixed outlook. The stock trades at a forward P/E ratio of 11.26, which is relatively attractive for the industry, and its price-to-book ratio of 1.66 suggests the stock is not overvalued relative to its assets. However, the company's enterprise value-to-EBITDA ratio of 9.13 indicates a moderate premium, reflecting investor confidence in its operational efficiency. The dividend yield of 2.34% is below its five-year average of 3.18%, but the payout ratio of 180% raises concerns about the sustainability of dividends in the near term.
 **Economic Outlook:**  
 The broader economic environment presents both opportunities and risks for Newmont. Gold prices often benefit from economic uncertainty, and with rising inflationary pressures and geopolitical tensions, demand for gold as a safe-haven asset could increase. However, the company's exposure to rising operational costs and potential disruptions in global trade due to new tariffs could weigh on its margins. Additionally, the recent volatility in the stock market, particularly in the technology sector, may shift investor focus toward more stable assets like gold, potentially benefiting Newmont.
 **Conclusion:**  
 Newmont's strategic divestitures and acquisitions position it well for long-term growth, but near-term challenges such as negative profitability and cash flow constraints remain. The company's valuation appears reasonable, and its operational efficiency is a positive factor. However, the sustainability of its dividend and the broader economic environment will be critical in determining its performance over the next month.
 **Score: 72**</t>
  </si>
  <si>
    <t>**Investment Report: Healthpeak Properties (DOC)**
 **Recent News:**  
 Healthpeak Properties, a healthcare-focused real estate investment trust (REIT), reported mixed fourth-quarter 2024 earnings. The company exceeded expectations for funds from operations (FFO) at $0.46 per share, slightly above the consensus estimate of $0.45, and maintained its performance from the prior year. However, net income per share fell short at $0.01, missing the forecast of $0.05. Despite this, Healthpeak demonstrated resilience by increasing both revenue and its dividend, reflecting confidence in its cash flow stability. The company's performance is supported by favorable demographic trends, such as rising healthcare spending and an aging population, which drive demand for healthcare facilities. However, higher interest expenses, likely due to elevated borrowing costs in a rising rate environment, have weighed on profitability.
 **Financials:**  
 Healthpeak's financial metrics reveal a mixed picture. The company has a strong market capitalization of $42.78 billion and a dividend yield of 1.38%, slightly below its five-year average. Its payout ratio of 21.12% suggests a conservative approach to dividend sustainability. The REIT's price-to-earnings (P/E) ratio of 15.46 (trailing) and forward P/E of 12.66 indicate a reasonable valuation relative to its earnings potential. Revenue growth of 13.3% year-over-year is a positive sign, supported by robust operating margins of 33.29% and EBITDA margins of 56.05%. However, earnings growth has declined slightly (-1.2%), reflecting challenges in managing costs, particularly interest expenses. The debt-to-equity ratio of 81.97% is relatively high, which is typical for REITs but could pose risks in a high-interest-rate environment. 
 **Valuations:**  
 Healthpeak's price-to-book ratio of 3.94 suggests the stock is trading at a premium to its book value, which is common for REITs with high-quality assets. The enterprise value-to-EBITDA ratio of 7.58 indicates a fair valuation compared to industry peers. Analyst sentiment remains positive, with a mean recommendation of "buy" and a target median price of $163.50, implying potential upside from the current price of $139.03. However, the stock has underperformed the S&amp;P 500 over the past year, with a 52-week change of -4.81% compared to the S&amp;P's gain of 21.93%.
 **Economic Outlook:**  
 The broader economic environment presents both opportunities and risks for Healthpeak. The aging U.S. population and increased healthcare spending provide a strong tailwind for the healthcare REIT sector. However, macroeconomic challenges, including rising interest rates and inflationary pressures, could increase borrowing costs and compress margins. Additionally, the recent implementation of tariffs and trade tensions may indirectly impact the broader economy, potentially affecting tenant demand in the healthcare sector. Healthpeak's ability to navigate these challenges while capitalizing on demographic trends will be critical to its performance.
 **Conclusion:**  
 Healthpeak Properties is positioned to benefit from long-term demographic trends and a growing healthcare market. While its revenue growth and dividend increase are encouraging, the decline in net income and elevated debt levels highlight the challenges of operating in a high-interest-rate environment. The stock's valuation appears reasonable, with potential upside based on analyst targets, but macroeconomic uncertainties and sector-specific risks warrant caution in the near term.
 **Score: 72**</t>
  </si>
  <si>
    <t>**Investment Report: Dollar Tree, Inc. (DLTR)**
 **Recent News:**  
 Dollar Tree has garnered significant attention from investors, reflecting its position as a key player in the Consumer Staples Merchandise Retail industry. The company’s ability to attract interest amidst a volatile macroeconomic environment suggests resilience and potential opportunities for growth. However, the broader economic challenges, including inflationary pressures and trade disruptions, may weigh on consumer spending, potentially impacting Dollar Tree's performance in the near term.
 **Financials:**  
 Dollar Tree's financial metrics indicate a stable yet cautious outlook. The company has a trailing price-to-earnings (P/E) ratio of 28.04 and a forward P/E of 25.99, suggesting moderate valuation levels relative to its earnings growth. The dividend yield of 1.34% is slightly below its five-year average, reflecting a conservative payout strategy. The company’s profit margins stand at 12.26%, supported by gross margins of 28.47%, indicating efficient cost management. However, the quick ratio of 0.916 and current ratio of 1.709 highlight a need for careful liquidity management, especially in a challenging economic environment.
 Dollar Tree's revenue growth of 3.1% and earnings growth of 30.1% demonstrate its ability to expand profitability despite modest top-line growth. The company’s free cash flow of $463.39 million and operating cash flow of $615.61 million provide a solid foundation for operational stability. However, the total debt of $5.3 billion and an enterprise value-to-EBITDA ratio of 23.44 suggest a relatively high leverage position, which could pose risks if economic conditions deteriorate further.
 **Valuations:**  
 Dollar Tree’s stock is trading near its 50-day average of $440.47, but below its 200-day average of $454.95, indicating some recent downward pressure. The stock’s 52-week range of $396.06 to $542.75 highlights significant volatility, with the current price closer to the lower end of the range. Analyst sentiment remains positive, with a mean target price of $480.29 and a recommendation key of "buy." However, the trailing PEG ratio of 2.44 suggests the stock may be slightly overvalued relative to its growth prospects.
 **Economic Outlook:**  
 The broader economic environment presents mixed implications for Dollar Tree. As a discount retailer, the company may benefit from increased consumer demand for value-oriented products during periods of economic uncertainty. However, the recent implementation of tariffs and inflationary pressures could increase input costs and strain profit margins. Additionally, the ongoing volatility in the stock market, particularly in the technology sector, may create broader market instability, indirectly affecting consumer confidence and spending.
 **Conclusion:**  
 Dollar Tree’s strong operational performance and ability to attract investor attention underscore its resilience in a challenging economic landscape. However, the company faces headwinds from macroeconomic factors, including inflation, trade disruptions, and potential shifts in consumer behavior. While its financial position remains stable, the high leverage and modest revenue growth warrant caution. The stock’s valuation appears reasonable but not deeply undervalued, suggesting limited upside potential in the short term.
 **Score: 72**</t>
  </si>
  <si>
    <t>Investment Report:  
 Boston Scientific, a prominent player in the Health Care Equipment industry, is poised for growth in the Asia Pacific region, particularly in China and Japan, as indicated by recent pre-Q4 earnings expectations. This regional strength could offset broader macroeconomic challenges and position the company for sustained revenue growth. However, the firm faces mixed financial and valuation metrics that warrant closer examination.  
 **Recent News:**  
 Boston Scientific's anticipated strong performance in the Asia Pacific region highlights its ability to capitalize on emerging markets, particularly in China and Japan. This growth is likely driven by increased demand for advanced medical devices and the company's strategic focus on expanding its footprint in high-growth regions. However, the broader economic environment, including inflationary pressures and potential trade disruptions due to new U.S. tariffs, could pose risks to its supply chain and cost structure.  
 **Financials:**  
 Boston Scientific's financial data presents a mixed picture. The company has a robust market capitalization of $121.6 billion and a strong gross margin of 75.87%, reflecting its ability to maintain profitability in its core operations. However, the firm reported a net loss of $7.26 billion, resulting in negative trailing EPS of -$3.58 and a profit margin of -15.3%. Despite these challenges, forward EPS of $7.03 and a forward P/E ratio of 8.65 suggest optimism for future earnings growth. The company's revenue growth of 8.4% year-over-year and free cash flow of $17.5 billion indicate solid operational performance.  
 On the balance sheet, Boston Scientific's high debt-to-equity ratio of 299.05% raises concerns about leverage, though its quick ratio of 1.02 and current ratio of 1.24 suggest adequate liquidity to meet short-term obligations. The firm's return on equity (ROE) of -31.33% reflects the impact of its net loss, but its return on assets (ROA) of 6.07% indicates efficient asset utilization.  
 **Valuations:**  
 Boston Scientific's valuation metrics reveal a premium relative to its book value, with a price-to-book ratio of 7.09. The stock is trading near its 52-week high of $61.10, suggesting limited immediate upside potential. Analyst sentiment is neutral, with a recommendation mean of 2.62 (hold) and a target median price of $63.00, implying modest upside from current levels. The trailing PEG ratio of 2.06 indicates that the stock may be slightly overvalued relative to its growth prospects.  
 **Economic Outlook:**  
 The broader economic environment presents both opportunities and risks for Boston Scientific. The company's strong presence in the Asia Pacific region positions it well to benefit from growing healthcare demand in emerging markets. However, the recent implementation of U.S. tariffs on imports from China and other trading partners could increase input costs and disrupt supply chains, potentially impacting margins. Additionally, inflationary pressures and rising interest rates may weigh on consumer and institutional spending in the healthcare sector.  
 In summary, Boston Scientific's strong growth in the Asia Pacific region and solid operational performance are offset by concerns about its high leverage, negative profitability, and potential macroeconomic headwinds. While the company's forward-looking metrics suggest optimism, the stock's current valuation and broader economic risks warrant a cautious approach in the near term.  
 Score: 72</t>
  </si>
  <si>
    <t>**Investment Report: Allegion in the Building Products Industry**
 **Recent News:**  
 Allegion has not been in the spotlight recently, with no significant news or developments reported in the past week. This lack of news suggests stability in operations but also indicates no immediate catalysts for significant price movement.
 **Financials:**  
 Allegion's financial performance reflects a strong position within its industry. The company has a trailing price-to-earnings (P/E) ratio of 19.62 and a forward P/E of 24.11, indicating a premium valuation relative to its earnings. The dividend yield of 2.14% is slightly below its five-year average of 2.27%, suggesting that the stock's recent price appreciation has outpaced dividend growth. The payout ratio of 40.95% indicates a sustainable dividend policy, supported by robust profit margins of 31.64%. 
 The company has demonstrated impressive earnings growth of 181.5% year-over-year, though revenue growth has been flat at -0.1%. This disparity suggests that Allegion has focused on improving operational efficiency and profitability rather than expanding its top line. The return on equity (ROE) of 22.58% and return on assets (ROA) of 4.97% highlight strong management effectiveness in generating returns for shareholders.
 Allegion's balance sheet shows a debt-to-equity ratio of 79.82, which is relatively high but manageable given its consistent operating cash flow of $3.65 billion. However, the negative free cash flow of -$3.22 billion raises concerns about capital allocation and potential liquidity pressures. The quick ratio of 1.30 and current ratio of 1.52 indicate adequate short-term liquidity.
 **Valuations:**  
 Allegion's stock is trading near its 52-week high of $339.05, reflecting a 53.75% increase over the past year, significantly outperforming the S&amp;P 500's 21.93% gain. The price-to-book ratio of 4.42 suggests the stock is trading at a premium relative to its book value, which may limit upside potential unless earnings growth continues to accelerate. Analysts have a mean target price of $351.23, implying limited upside from current levels. The recommendation mean of 2.0 ("buy") indicates positive sentiment among analysts, supported by 22 opinions.
 **Economic Outlook:**  
 The broader macroeconomic environment presents mixed signals for Allegion. The recent imposition of tariffs by the U.S. government could increase input costs for building products, potentially pressuring margins. However, Allegion's strong gross margins of 32.49% and EBITDA margins of 35.51% provide a cushion against such headwinds. The ongoing volatility in the technology sector and broader market may also shift investor focus toward more stable, dividend-paying companies like Allegion.
 The company's beta of 0.826 suggests lower volatility compared to the broader market, making it an attractive option in uncertain economic conditions. However, the flat revenue growth and negative free cash flow warrant caution, as they may limit the company's ability to invest in growth initiatives or weather prolonged economic challenges.
 **Conclusion:**  
 Allegion's strong profitability metrics, stable dividend policy, and lower volatility make it a resilient player in the building products industry. However, its high valuation, flat revenue growth, and negative free cash flow could limit near-term upside potential. The broader economic environment, including tariff impacts and inflationary pressures, may also weigh on performance. While the stock remains fundamentally sound, its current price levels suggest limited room for significant appreciation in the next month.
 **Score: 72**</t>
  </si>
  <si>
    <t>Investment Report: Packaging Corporation of America (PKG)
 **Recent News**  
 Packaging Corporation of America has demonstrated resilience in its recent performance, with strong revenue growth driven by robust demand in its packaging segment and strategic price increases. Despite these positives, the company faced challenges in Q4 2024, missing earnings expectations with $2.47 per share versus the anticipated $2.51. However, this still marked an improvement from $2.13 per share a year earlier. Sales growth was supported by higher volumes and favorable price/mix dynamics. The company has been proactive in managing inflationary pressures through cost efficiencies and pricing strategies, which are expected to bolster margins in the future. Nonetheless, the stock has faced significant pressure, becoming the worst performer in the S&amp;P 500 following its earnings report. Despite this, analysts have upgraded their outlook, reflecting confidence in the company's long-term potential.
 **Financials**  
 PKG's financial metrics reveal a mixed picture. The company has a trailing price-to-earnings (PE) ratio of 20.68 and a forward PE of 16.17, indicating expectations of earnings growth. Its dividend yield of 4.24% is attractive, though the high payout ratio of 83.16% suggests limited room for dividend growth. The company has a strong market capitalization of $60.92 billion and a 52-week price range of $67.67 to $118.07, with the current price near $96.14. PKG's gross margins of 39.22% and EBITDA margins of 28.15% highlight its operational efficiency, while its return on equity (ROE) of 16.88% reflects solid profitability. However, the debt-to-equity ratio of 166.62% raises concerns about leverage, particularly in a rising interest rate environment. The quick ratio of 0.515 and current ratio of 0.809 indicate potential liquidity constraints.
 **Valuations**  
 PKG's valuation metrics suggest a moderate growth outlook. The price-to-book ratio of 3.38 is above the industry average, reflecting investor confidence but also a potential premium. The enterprise value-to-revenue ratio of 4.24 and enterprise value-to-EBITDA ratio of 15.07 indicate that the company is trading at a relatively high multiple compared to its earnings and revenue. Analysts' target prices range from $89 to $147, with a mean target of $110.55, suggesting potential upside from current levels. The recommendation mean of 2.33 (buy) reflects a generally positive sentiment among analysts.
 **Economic Outlook**  
 The broader economic environment presents both opportunities and challenges for PKG. The company's focus on packaging positions it well to benefit from resilient demand in consumer goods and e-commerce. However, macroeconomic headwinds, including inflationary pressures and potential disruptions from new tariffs imposed by the U.S. administration, could impact input costs and supply chains. Additionally, the Federal Reserve's cautious stance on interest rates may affect borrowing costs, particularly given PKG's high leverage. The recent volatility in the stock market, driven by geopolitical tensions and trade uncertainties, adds another layer of risk.
 **Conclusion**  
 Packaging Corporation of America is navigating a complex environment with a mix of strengths and challenges. While its operational efficiency, revenue growth, and strategic pricing initiatives are commendable, concerns about leverage, liquidity, and broader economic headwinds weigh on its near-term outlook. The company's recent earnings miss and subsequent stock performance highlight the need for cautious optimism. However, its long-term prospects remain supported by its strong market position and the potential for margin expansion.
 Score: 72</t>
  </si>
  <si>
    <t>**Investment Report: Otis Worldwide**
 **Recent News:**  
 Otis Worldwide's Q4 earnings report highlighted a mixed performance. While earnings per share (EPS) of $0.93 fell short of the consensus estimate of $0.95, it marked an improvement from $0.87 in the prior year. The New Equipment segment underperformed, weighing on overall results, but the Service segment demonstrated resilience with gains. Despite the earnings miss, the company projects modest net sales growth of 1.2% and a stronger EPS growth of 9% for 2025, supported by disciplined financial management, low capital expenditures, and a history of robust dividend growth. Challenges persist in international markets, particularly in China, where economic uncertainty and competitive pressures remain significant. However, Otis benefits from favorable financial conditions, including lower interest rates and consistent stock buybacks, which have bolstered shareholder returns. Analysts have upgraded the stock with a 2026 price target of $115, reflecting optimism about its long-term growth potential.
 **Financials:**  
 Otis Worldwide's financial position remains solid, with a market capitalization of $57.2 billion and a trailing price-to-earnings (P/E) ratio of 13.83, which is relatively attractive compared to industry peers. The forward P/E of 11.85 suggests expectations of earnings growth. The company maintains a strong balance sheet, with a quick ratio of 4.73 and a current ratio of 5.34, indicating ample liquidity to meet short-term obligations. However, the debt-to-equity ratio of 83.65 highlights a significant reliance on leverage, which could pose risks in a rising interest rate environment. Free cash flow is currently negative at -$217 million, but operating cash flow remains positive at $4.38 billion, providing some financial flexibility. Dividend yield stands at 1.2%, with a payout ratio of 12.75%, underscoring the company's commitment to returning capital to shareholders while maintaining financial stability.
 **Valuations:**  
 Otis trades at a price-to-book ratio of 3.07, reflecting a premium valuation relative to its book value. The stock's 52-week range of $90.04 to $125.50 indicates that it is trading closer to the lower end of its range, potentially offering a buying opportunity for long-term investors. Analysts' price targets range from $93 to $134, with a median target of $119, suggesting upside potential from current levels. The company's gross margins of 18.49% and operating margins of 13.92% are solid, though revenue growth has declined by 5.2% year-over-year, reflecting challenges in its core markets.
 **Economic Outlook:**  
 The broader macroeconomic environment presents both opportunities and risks for Otis Worldwide. The recent imposition of tariffs by the U.S. administration could disrupt global supply chains and increase input costs, particularly for companies with significant international exposure like Otis. Additionally, the slowdown in China's economy and heightened competition in the region could weigh on the company's New Equipment segment. However, Otis's strong Service segment, which provides recurring revenue, offers a buffer against economic volatility. Lower interest rates and ongoing infrastructure investments in key markets could also support demand for Otis's products and services in the medium to long term.
 **Conclusion:**  
 Otis Worldwide faces near-term challenges, including international headwinds and a mixed earnings performance, but its strong financial position, recurring revenue from the Service segment, and shareholder-friendly policies provide a foundation for long-term growth. While the stock's recent decline reflects market concerns, its valuation and dividend growth history suggest potential for recovery as macroeconomic conditions stabilize.
 **Score: 72**</t>
  </si>
  <si>
    <t>**Investment Report: Realty Income Corp. (O)**
 **Recent News:**  
 Realty Income Corp., a prominent player in the Retail REITs sector, has garnered attention for its stability and consistent dividend payouts. Despite broader market volatility, the stock recently closed at $54.32, reflecting a modest 0.48% increase. However, it underperformed relative to the broader market, which has been impacted by macroeconomic uncertainties. Investors have shown interest in strategies like covered calls, which could yield attractive returns if the stock remains stable. While Realty Income remains a favored choice for income-focused investors, competition from other REITs, such as Alpine, highlights the need for careful evaluation of its relative value.
 **Financials:**  
 Realty Income's financial metrics underscore its reputation as a reliable dividend payer. The company boasts a dividend yield of 5.8%, significantly above its five-year average of 4.82%, making it appealing in a high-interest-rate environment. Its payout ratio of 296.24% suggests a heavy reliance on cash flow rather than net income to sustain dividends, a common practice for REITs. The firm's revenue growth of 28.6% year-over-year and EBITDA margins of 89.45% reflect strong operational efficiency. However, earnings growth has declined by 8.9%, and its trailing P/E ratio of 51.9 and forward P/E of 37.3 indicate a premium valuation compared to peers. The debt-to-equity ratio of 68.94% is manageable but highlights the importance of interest rate trends for its cost of capital.
 **Valuations:**  
 Realty Income's price-to-book ratio of 1.24 suggests the stock is trading at a slight premium to its book value, which is reasonable for a high-quality REIT. Its enterprise value-to-revenue ratio of 14.79 and enterprise value-to-EBITDA ratio of 16.53 indicate that the market values its cash flow generation capabilities highly. Analyst sentiment remains positive, with a mean price target of $62.20, implying a potential upside of approximately 14.5% from current levels. However, the stock's beta of 0.996 suggests it is closely correlated with broader market movements, which could introduce volatility amid economic uncertainty.
 **Economic Outlook:**  
 The broader economic environment presents mixed implications for Realty Income. Rising inflation and the potential for higher interest rates could increase borrowing costs, pressuring profitability. However, the company's focus on net lease agreements, which often include inflation-linked rent escalations, provides a degree of protection against inflationary pressures. Additionally, its diversified tenant base and focus on essential retail properties, such as grocery stores and pharmacies, position it well to weather economic downturns. The recent tariffs and trade tensions may indirectly impact consumer spending, but Realty Income's exposure to non-discretionary retail tenants mitigates this risk.
 **Conclusion:**  
 Realty Income remains a solid choice within the Retail REITs sector, supported by its strong dividend yield, operational efficiency, and inflation-resistant lease structure. However, its premium valuation and sensitivity to interest rate movements warrant caution. While the stock offers stability and income potential, broader economic headwinds and market volatility could limit near-term upside.
 **Score: 72**</t>
  </si>
  <si>
    <t>**Investment Report: Waste Management**
 **Recent News:**  
 Waste Management's stock experienced a notable 5% surge despite missing Q4 2024 earnings per share (EPS) estimates. The company reported $5.893 billion in revenue, reflecting robust market demand and a 4% year-over-year growth. However, its EPS of $1.70 fell short of the consensus estimate of $1.79 and was slightly lower than the $1.74 reported in the same quarter last year. The stock's positive movement suggests that investors prioritized the strong revenue performance over the EPS miss, indicating confidence in the company's operational strength and market positioning.
 **Financials:**  
 Waste Management's financial metrics highlight a solid operational foundation. The company boasts a market capitalization of $24.41 billion and a profit margin of 21.43%, reflecting its ability to generate consistent profitability. Its trailing price-to-earnings (P/E) ratio of 39.27 and forward P/E of 32.01 suggest a premium valuation, likely due to its stable cash flows and defensive business model. The company maintains a healthy current ratio of 2.02, indicating strong liquidity, and generated $752 million in operating cash flow, with $647 million in free cash flow, underscoring its ability to fund operations and growth initiatives. However, a debt-to-equity ratio of 120.47% signals a relatively high leverage level, which could pose risks in a rising interest rate environment.
 **Valuations:**  
 Waste Management's stock is trading near its 52-week high of $423.56, with a price-to-book ratio of 15.23, reflecting a premium valuation compared to its peers. The enterprise value-to-revenue ratio of 8.96 and enterprise value-to-EBITDA ratio of 25.81 further indicate that the stock is priced for growth. Analysts' target prices range from $340 to $430, with a median target of $396, suggesting limited upside potential from current levels. The recommendation mean of 2.73 (on a scale where 1 is "Strong Buy" and 5 is "Sell") indicates a "Hold" consensus among analysts.
 **Economic Outlook:**  
 The broader macroeconomic environment presents both opportunities and challenges for Waste Management. The company's defensive business model positions it well in times of economic uncertainty, as waste management services are essential and less sensitive to economic cycles. However, the recent implementation of tariffs and rising inflationary pressures could increase operational costs, particularly in fuel and transportation, which are significant expense categories for the company. Additionally, the ongoing California wildfires may create short-term demand for waste removal and cleanup services, potentially boosting revenue in affected regions.
 **Conclusion:**  
 Waste Management's strong revenue growth and robust cash flow generation highlight its resilience and operational efficiency. However, the stock's premium valuation and high leverage warrant caution, particularly in a challenging macroeconomic environment with inflationary pressures and rising interest rates. While the company's essential services provide a defensive buffer, limited upside potential based on current valuations and analyst targets suggests a balanced risk-reward profile in the near term.
 **Score: 72**</t>
  </si>
  <si>
    <t>**Investment Report: Occidental Petroleum**
 **Recent News:**  
 Occidental Petroleum has renewed its joint venture with Ecopetrol in the U.S. Permian Basin, a key oil-producing region. This partnership underscores Occidental's strategic focus on leveraging its assets in high-potential areas. Despite recent underperformance and the stock nearing 52-week lows, the company has received continued support from Berkshire Hathaway, signaling confidence in its long-term prospects. Occidental's Q3 FY2024 earnings exceeded expectations, driven by strong production levels, effective cost management, and improved debt metrics. Analysts are optimistic about the potential for further earnings growth in Q4, supported by increased production and synergies from the CrownRock acquisition. These developments position Occidental as a potential long-term value play amid current market volatility.
 **Financials:**  
 Occidental's financial performance reflects a mixed picture. The company trades at a trailing P/E of 12.7 and a forward P/E of 11.9, suggesting a relatively attractive valuation compared to industry peers. Its price-to-book ratio of 1.65 indicates the stock is trading modestly above its book value. Gross margins of 61.8% and EBITDA margins of 47.7% highlight strong operational efficiency. However, earnings and revenue growth have been under pressure, with earnings declining by 18% year-over-year and revenue growth stagnating at 0.2%. The company's debt-to-equity ratio of 79.1% remains elevated, though debt management has improved, and operating cash flow of $11.3 billion provides a solid liquidity base. Free cash flow, however, remains negative, reflecting ongoing capital expenditures and investments.
 **Valuations:**  
 Occidental's current share price of $46.65 is near its 52-week low of $45.17, significantly below the median analyst target price of $60. This suggests potential upside if the company can deliver on production growth and operational improvements. The dividend yield of 1.89% is below its five-year average of 3.66%, reflecting a conservative payout ratio of 23%. While the stock has underperformed the S&amp;P 500 over the past year, its valuation metrics and improving fundamentals may attract value-oriented investors.
 **Economic Outlook:**  
 The broader macroeconomic environment presents challenges for Occidental. The recent imposition of tariffs by the U.S. administration could increase inflationary pressures, potentially impacting energy demand. Additionally, geopolitical risks, including sanctions on Russia's energy sector, may create volatility in global oil markets. However, Occidental's focus on the Permian Basin, a cost-competitive region, positions it well to navigate these uncertainties. The company's ability to manage costs and maintain production efficiency will be critical in sustaining profitability amid fluctuating oil prices.
 **Conclusion:**  
 Occidental Petroleum is navigating a complex environment marked by market volatility and macroeconomic headwinds. While near-term challenges persist, the company's improving fundamentals, strategic partnerships, and operational efficiency provide a foundation for potential recovery. The stock's current valuation and long-term growth prospects, supported by Berkshire Hathaway's backing, suggest it may offer value for patient investors.
 **Score: 72**</t>
  </si>
  <si>
    <t>**Investment Report: MSCI**
 **Recent News:**  
 MSCI's fourth-quarter 2024 results have drawn mixed reactions from analysts. While the company demonstrated strong growth in key areas such as ESG (Environmental, Social, and Governance) products, private assets, and asset-based fees, it also faced challenges in meeting revenue expectations. Revenue grew by 7.7% year-over-year, and adjusted EPS rose by 13.6%, reflecting positive client purchasing trends and robust fund inflows. However, underperformance in international indexes and a challenging demand environment for financial information services have tempered enthusiasm. Analysts remain divided, with some maintaining a "Buy" rating due to MSCI's strategic focus on recurring revenue and client retention, while others express concerns about valuation and reliance on lower-growth segments. The company's 2025 outlook suggests modest revenue growth and flat free cash flow, with limited potential for significant upside surprises.
 **Financials:**  
 MSCI's financial performance reflects a mix of strengths and vulnerabilities. The company has a high profit margin of 43.1% and strong EBITDA margins of 57.9%, indicating operational efficiency. Earnings growth of 9.2% and revenue growth of 15.9% highlight its ability to expand despite macroeconomic challenges. However, its trailing P/E ratio of 41.54 and forward P/E of 30.38 suggest a demanding valuation, particularly in a volatile market environment. The company's dividend yield of 1.02% is modest but supported by a sustainable payout ratio of 40.6%. MSCI's balance sheet shows a quick ratio of 0.83 and a current ratio of 0.93, indicating adequate liquidity, though its total debt of $4.63 billion remains a concern. Free cash flow of $1.12 billion provides some financial flexibility.
 **Valuations:**  
 MSCI's valuation metrics indicate a premium relative to its peers, driven by its strong market position and growth in ESG and private asset products. However, its price-to-sales ratio of 16.29 and enterprise value-to-EBITDA ratio of 32.9 suggest that the stock is priced for perfection, leaving little room for error. The stock's 52-week range of $439.95 to $642.45 shows significant volatility, with the current price of $596.77 near the upper end of this range. Analysts' target prices range from $530 to $723, with a median target of $675, reflecting cautious optimism.
 **Economic Outlook:**  
 The broader economic environment presents both opportunities and risks for MSCI. The company's focus on ESG and private assets aligns with long-term trends in sustainable investing and alternative asset growth. However, macroeconomic headwinds, including inflationary pressures from new tariffs and potential trade disruptions, could weigh on client activity and demand for financial data services. Additionally, the recent volatility in the technology sector and broader market uncertainty may impact MSCI's asset-based fee revenue. Despite these challenges, MSCI's recurring revenue model and strong institutional client base provide a degree of resilience.
 **Conclusion:**  
 MSCI's strong operational performance and growth in high-demand areas like ESG and private assets position it well for long-term success. However, concerns about valuation, reliance on lower-growth segments, and macroeconomic uncertainties temper the near-term outlook. While the company's fundamentals remain solid, the demanding valuation and limited upside potential in the short term suggest a cautious approach.
 **Score: 72**</t>
  </si>
  <si>
    <t>**Investment Report: Kimberly-Clark**
 **Recent News:**  
 Kimberly-Clark's recent performance reflects a mixed outlook. The company met Q4 2024 earnings expectations, but concerns linger over its GAAP margins and long-term shareholder value due to its focus on returning cash to shareholders. Despite these challenges, Kimberly-Clark remains a compelling option for income-focused investors, as it continues to uphold its reputation as a Dividend King. The company has initiated a multiyear transformation program, restructuring into three segments, which is expected to drive strong annual profit growth, surpassing Wall Street expectations. A recent dividend hike has also bolstered investor confidence, helping to offset some of the concerns surrounding earnings pressures.
 **Financials:**  
 Kimberly-Clark's financial metrics present a mixed picture. The company boasts a strong dividend yield of 4.45%, supported by a history of consistent payouts. However, its payout ratio of 177.78% raises questions about the sustainability of its dividend policy. The stock is trading at a forward P/E ratio of 29.98, which is relatively high compared to its trailing P/E of 41.15, suggesting expectations of improved earnings growth. The company has a solid balance sheet with a quick ratio of 3.26, indicating strong liquidity, but its debt-to-equity ratio of 78.64% highlights significant leverage. Kimberly-Clark's gross margins of 68.71% and EBITDA margins of 60.91% reflect strong operational efficiency, while revenue growth of 13.8% and earnings growth of 5.4% indicate steady progress.
 **Valuations:**  
 Kimberly-Clark's stock is trading near the lower end of its historical range, with a price-to-book ratio of 1.42 and a price-to-sales ratio of 7.63. While these metrics suggest the stock may be undervalued relative to its historical performance, its trailing PEG ratio of 88.04 indicates that the stock is expensive when factoring in its growth rate. Analysts have a median price target of $25.00, representing modest upside potential from current levels. The recommendation mean of 2.43 (indicating a "buy") reflects cautious optimism among analysts.
 **Economic Outlook:**  
 Kimberly-Clark operates in the household products industry, which tends to be resilient during periods of economic uncertainty. However, the broader macroeconomic environment presents challenges. Rising inflation, driven by new tariffs and trade tensions, could increase input costs for Kimberly-Clark, potentially pressuring margins. Additionally, the company's reliance on international markets exposes it to currency fluctuations and geopolitical risks. Despite these headwinds, Kimberly-Clark's strong brand portfolio and focus on operational efficiency position it well to navigate the current economic landscape.
 **Conclusion:**  
 Kimberly-Clark's status as a Dividend King and its ongoing transformation program provide a foundation for long-term growth. However, concerns about its high payout ratio, leverage, and valuation metrics temper the outlook. While the company is well-positioned to weather economic challenges, its near-term performance may be constrained by macroeconomic pressures and earnings challenges.
 **Score: 72**</t>
  </si>
  <si>
    <t>Investment Report:  
 Cintas, operating in the Diversified Support Services industry, has shown resilience despite a lack of recent news. The firm’s financial performance and valuation metrics provide a mixed picture, influenced by broader economic conditions and sector-specific challenges.
 **Recent News:**  
 The absence of recent news suggests stability in operations, but it also indicates no significant developments or catalysts that could drive short-term market sentiment. This neutrality may reflect a steady operational environment, though it leaves the stock more exposed to macroeconomic factors and industry trends.
 **Financials:**  
 Cintas exhibits a strong market position with a market capitalization of $149.4 billion and a solid dividend yield of 2.86%, supported by a sustainable payout ratio of 36.64%. The firm’s trailing PE ratio of 13.38 and forward PE of 8.61 suggest a relatively attractive valuation compared to historical averages, though earnings growth has been under pressure, with a decline of 7.4% year-over-year. Revenue growth has also contracted by 2.4%, reflecting potential challenges in demand or pricing power.  
 The company’s operating margins remain robust at 24.61%, indicating efficient cost management. However, the negative operating cash flow of $49.1 billion raises concerns about liquidity and operational efficiency. The firm’s return on equity (3.87%) and return on assets (0.34%) are modest, suggesting limited profitability relative to its asset base.  
 **Valuations:**  
 Cintas trades at a price-to-book ratio of 0.78, which is below 1, indicating the stock may be undervalued relative to its book value. The enterprise value-to-revenue ratio of 0.336 further supports the notion of a potentially undervalued stock. Analyst sentiment remains positive, with a recommendation mean of 1.85 (buy) and a target median price of $91, implying upside potential from the current price levels.  
 **Economic Outlook:**  
 The broader economic environment presents headwinds for Cintas. The recent implementation of tariffs and trade tensions could increase input costs and disrupt supply chains, particularly for firms reliant on international trade. Additionally, inflationary pressures and potential Federal Reserve tightening may dampen consumer and business spending, indirectly affecting demand for support services.  
 The technology sector’s volatility, as seen in the recent market selloff, may also impact Cintas indirectly, given its diversified client base. However, the firm’s relatively low beta of 1.426 suggests it is less exposed to market-wide fluctuations compared to higher-beta stocks.  
 **Conclusion:**  
 Cintas demonstrates a stable operational foundation with attractive valuation metrics and a strong dividend profile. However, declining earnings and revenue growth, coupled with macroeconomic uncertainties, pose challenges to near-term performance. The firm’s ability to navigate these headwinds while maintaining operational efficiency will be critical in determining its investment value over the next month.  
 Score: 72</t>
  </si>
  <si>
    <t>Investment Report:
 **Recent News:**  
 Aon has demonstrated strong performance in its Q4 earnings, reporting $4.42 per share, surpassing the consensus estimate of $4.24. This marks a significant improvement from $3.89 per share in the same quarter last year. The results were driven by robust organic growth and synergies from the NFP acquisition, particularly in the health and benefits brokerage business. However, rising costs have exerted pressure on margins, which could temper the positive momentum. The company's global expansion in its core commercial risk and health solutions segments has been a key driver of growth, positioning it well in a competitive market.
 **Financials:**  
 Aon's financial metrics reflect a mixed picture. The company has a trailing P/E ratio of 53.52 and a forward P/E of 30.76, indicating a premium valuation relative to its earnings growth. Its profit margins stand at a healthy 23%, supported by strong gross margins of 92.31%. The firm has demonstrated solid revenue growth of 31.2% year-over-year, with earnings growth of 28.4%, showcasing its ability to capitalize on market opportunities. Aon's return on equity (10.48%) and return on assets (6.09%) are respectable, though not exceptional. The company maintains a strong liquidity position, with a quick ratio of 3.03 and a current ratio of 3.11, and has manageable debt levels with a debt-to-equity ratio of 14.89%.
 **Valuations:**  
 Aon's stock is trading near its 52-week high of $363.03, with a current price-to-book ratio of 5.20, suggesting it is priced at a premium compared to its book value. The enterprise value-to-revenue ratio of 12.12 and enterprise value-to-EBITDA ratio of 35.76 further indicate a high valuation. Analyst sentiment is cautious, with a recommendation mean of 2.91 (close to "hold") and a target median price of $360, which is near the current trading levels. This suggests limited upside potential in the short term.
 **Economic Outlook:**  
 The broader macroeconomic environment presents challenges for Aon. Rising inflationary pressures, exacerbated by new tariffs and trade tensions, could increase operational costs and impact client demand. Additionally, the recent volatility in the financial markets, particularly in the technology sector, may create uncertainty for corporate clients, potentially affecting Aon's risk and insurance solutions business. However, Aon's diversified global presence and focus on essential services like health and benefits brokerage provide some insulation from these headwinds.
 **Conclusion:**  
 Aon's strong Q4 performance and robust revenue growth highlight its operational strength and ability to execute on strategic initiatives. However, rising costs, premium valuations, and macroeconomic uncertainties may limit near-term upside. While the company remains fundamentally sound, its current valuation and external pressures suggest a cautious outlook for the next month.
 Score: 72</t>
  </si>
  <si>
    <t>Investment Report: APA Corporation
 **Recent News**: APA Corporation has not been in the spotlight recently, with no significant news or developments reported in the past week. This lack of news suggests stability in operations but also indicates no immediate catalysts for significant price movement.
 **Financials**: APA Corporation demonstrates strong profitability metrics, with a trailing price-to-earnings (PE) ratio of 3.05 and a forward PE of 5.59, indicating the stock is trading at a low valuation relative to its earnings. The company has a robust profit margin of 24.82% and a high return on equity (ROE) of 61.86%, reflecting efficient use of shareholder capital. However, the debt-to-equity ratio of 105.03% highlights a leveraged balance sheet, which could pose risks in a rising interest rate environment. The company’s gross margins of 69.95% and EBITDA margins of 56.36% underscore its strong operational efficiency.
 The dividend yield of 4.56% is attractive, especially given the low payout ratio of 14.2%, suggesting the dividend is sustainable. However, the current dividend yield is below the five-year average of 2.72%, which may indicate a decline in share price over the past year. The stock has experienced a 52-week change of -28.15%, underperforming the S&amp;P 500's gain of 21.93% over the same period.
 **Valuations**: APA Corporation's price-to-book ratio of 1.55 and price-to-sales ratio of 0.89 suggest the stock is undervalued compared to its peers in the Oil &amp; Gas Exploration &amp; Production industry. The enterprise value-to-EBITDA ratio of 3.05 further supports the view that the company is attractively priced. Analyst sentiment is mixed, with a recommendation mean of 2.77 (between "hold" and "buy") and a target median price of $27.00, implying a potential upside from the current price of $21.93.
 **Economic Outlook**: The broader macroeconomic environment presents both opportunities and challenges for APA Corporation. The recent U.S. sanctions on Russia's energy sector could tighten global energy supply, potentially supporting higher oil and gas prices, which would benefit APA's revenue and margins. However, the new tariffs imposed by the Trump administration may increase costs for energy companies reliant on imported equipment or materials, potentially pressuring margins. Additionally, the inflationary environment and potential Federal Reserve hawkishness could increase borrowing costs, which is a concern given APA's high debt levels.
 **Conclusion**: APA Corporation is a fundamentally strong company with attractive valuations and solid profitability metrics. However, its high leverage and exposure to macroeconomic risks, such as rising interest rates and trade tensions, warrant caution. The lack of recent news or developments suggests limited short-term catalysts, but the company remains well-positioned to benefit from favorable energy market dynamics in the medium to long term.
 Score: 72</t>
  </si>
  <si>
    <t>**Investment Report: Carnival Corporation (CCL)**
 **Recent News:**  
 Carnival Corporation has reached a 52-week high, with its stock price surging over 352% from its 2022 lows. This performance reflects a strong recovery in the cruise industry, bolstered by robust demand for leisure travel. The stock's recent rally was further fueled by optimism surrounding Royal Caribbean's earnings, which signaled continued strength in the sector. However, the rapid rise in Carnival's stock price raises questions about whether the current valuation leaves room for further upside.
 **Financials:**  
 Carnival's financial performance shows signs of recovery, with revenue growth of 21.3% year-over-year and earnings growth of 16.7%. The company reported a net income of $1.54 billion, translating to a trailing EPS of $1.70 and a forward EPS of $3.04. Despite these improvements, Carnival's debt levels remain high, with a total debt of $12.88 billion and a debt-to-equity ratio of 85.6%. The company's EBITDA margin of 13.4% and operating margin of 12.7% indicate moderate profitability, though gross margins of 28.3% suggest room for operational efficiency improvements. Carnival's free cash flow of $1.35 billion is a positive sign, providing some financial flexibility.
 **Valuations:**  
 Carnival's trailing P/E ratio of 37.1 and forward P/E ratio of 21.1 suggest that the stock is priced for significant growth. Its price-to-book ratio of 3.86 indicates a premium valuation relative to its book value. Analysts have a median price target of $79, implying potential upside from current levels, though the stock's recent rally may have already priced in much of the optimism. The company's dividend yield of 1.38% is modest, with a payout ratio of 44.4%, reflecting a balanced approach to returning capital to shareholders while managing its financial obligations.
 **Economic Outlook:**  
 The broader economic environment presents both opportunities and risks for Carnival. The recovery in global travel and leisure industries has been a tailwind, but macroeconomic headwinds such as rising inflation and potential trade disruptions could impact consumer spending on discretionary activities like cruises. Additionally, Carnival's high debt levels make it sensitive to interest rate fluctuations, which could increase borrowing costs. The recent tariffs imposed by the U.S. government and retaliatory measures from trading partners may also affect consumer sentiment and spending patterns.
 **Conclusion:**  
 Carnival Corporation has demonstrated a strong recovery, supported by robust demand in the cruise industry and improving financial metrics. However, its high debt levels and premium valuation suggest that the stock may face challenges in sustaining its upward momentum, particularly in a volatile macroeconomic environment. While the company's fundamentals are improving, the recent surge in its stock price may limit near-term upside potential.
 **Score: 72**</t>
  </si>
  <si>
    <t>**Investment Report: Advanced Micro Devices (AMD)**
 **Recent News:**  
 Advanced Micro Devices (AMD) is navigating a critical period as it prepares to release its fourth-quarter earnings. The company's AI strategy is under the spotlight, particularly its Instinct MI300X accelerators, which are positioned as cost-effective alternatives to Nvidia's dominant offerings. The recent launch of DeepSeek, a Chinese AI model, has intensified demand for efficient AI chips, potentially benefiting AMD. However, the competitive landscape remains challenging, with Nvidia maintaining a stronghold in the AI market. A downgrade from Melius Research reflects concerns about AMD's ability to sustain profitability amidst heightened competition. The upcoming earnings report will be pivotal in assessing AMD's ability to capitalize on AI opportunities and address investor skepticism.
 **Financials:**  
 AMD's financial metrics present a mixed picture. The company has a trailing price-to-earnings (P/E) ratio of 15.86 and a forward P/E of 15.24, suggesting a reasonable valuation relative to its earnings potential. Its gross margins of 45.2% and profit margins of 22% indicate solid operational efficiency. However, revenue growth has declined by 40.4% year-over-year, reflecting challenges in its core markets. AMD's balance sheet shows a manageable debt-to-equity ratio of 50.14 and a strong cash position of $9.16 billion, providing financial flexibility. The company's free cash flow of $2.89 billion underscores its ability to invest in growth initiatives, particularly in AI and custom chip development.
 **Valuations:**  
 AMD's current price-to-book ratio of 2.39 and enterprise value-to-revenue ratio of 3.62 suggest the stock is trading at a moderate premium compared to its peers. The stock's 52-week performance has been strong, with a 39.6% increase, outperforming the S&amp;P 500's 21.9% gain. Analyst sentiment is cautious, with a "hold" recommendation and a median price target of $106, close to its current trading range. This indicates limited upside potential in the near term unless AMD delivers a strong earnings report or demonstrates significant progress in its AI strategy.
 **Economic Outlook:**  
 The broader semiconductor industry faces headwinds from global economic uncertainty and trade tensions. The recent U.S. tariffs on China, Canada, and Mexico could disrupt supply chains and increase costs for AMD. Additionally, the global technology sector has been shaken by the emergence of DeepSeek, which has pressured Nvidia and other chipmakers. While AMD's AI products are well-positioned to capture market share in the inference segment, the competitive environment and macroeconomic challenges may weigh on its growth prospects. The Federal Reserve's potential hawkish stance to combat inflation could also impact market sentiment and valuations in the technology sector.
 **Conclusion:**  
 AMD's competitive AI offerings and solid financial position provide a foundation for growth, particularly in the AI inference market. However, declining revenue growth, intense competition, and macroeconomic uncertainties pose significant challenges. The upcoming earnings report will be a critical indicator of AMD's ability to navigate these headwinds and leverage its AI strategy for long-term success.
 **Score: 72**</t>
  </si>
  <si>
    <t>Investment Report:  
 Monster Beverage, a leader in the soft drinks and non-alcoholic beverages industry, has shown resilience despite broader market volatility. The firm has not been in the news recently, which suggests stability but also a lack of immediate catalysts for significant price movement.  
 **Financials:**  
 Monster Beverage's financial performance reflects a mixed picture. The company has a trailing P/E ratio of 30.45 and a forward P/E of 25.48, indicating a premium valuation compared to the broader market. Its price-to-book ratio of 7.99 suggests the stock is trading at a high multiple relative to its book value. The firm’s profit margins of 21.66% and EBITDA margins of 28.41% highlight strong operational efficiency, while its return on equity (23.52%) and return on assets (14.59%) are robust, signaling effective management of resources.  
 Revenue growth has been modest at 1.3%, and earnings growth has declined by 11.6%, reflecting potential challenges in maintaining profitability amid rising costs or competitive pressures. The company’s free cash flow of $1.2 billion and a strong current ratio of 3.13 indicate solid liquidity and financial health, which positions it well to weather economic uncertainties.  
 **Valuations:**  
 Monster Beverage's stock has declined 13.54% over the past year, underperforming the S&amp;P 500, which gained 21.93% in the same period. The stock is trading closer to its 52-week low of $43.32 than its high of $61.23, suggesting potential undervaluation if the company can address its growth challenges. Analyst sentiment remains positive, with a mean target price of $55.17, representing a potential upside from the current price.  
 **Economic Outlook:**  
 The broader economic environment presents both risks and opportunities for Monster Beverage. Rising inflation, exacerbated by new tariffs, could increase input costs, potentially pressuring margins. However, the company’s strong cash position and low debt-to-equity ratio of 13.99% provide a buffer against macroeconomic headwinds. Additionally, its beta of 0.742 indicates lower volatility compared to the market, making it a relatively defensive play in uncertain times.  
 The soft drinks industry remains resilient, with steady demand even during economic downturns. Monster Beverage’s strong brand and market position could help it maintain its competitive edge, though the lack of significant recent news or innovation may limit near-term growth catalysts.  
 **Conclusion:**  
 Monster Beverage is a financially stable company with strong margins and liquidity, but it faces challenges in reigniting growth. Its premium valuation and recent underperformance relative to the market suggest cautious optimism, with potential upside if the company can capitalize on its strengths and navigate economic pressures effectively.  
 Score: 72</t>
  </si>
  <si>
    <t>Investment Report: Fortive Corporation (FTV)
 **Recent News**  
 Fortive is set to report its earnings next week, with Wall Street anticipating growth. However, analysts suggest the company may lack the optimal combination of factors for an earnings beat. This cautious sentiment reflects broader market uncertainties, particularly in the industrial machinery sector, which is sensitive to macroeconomic pressures such as tariffs and supply chain disruptions. Fortive's performance will be closely watched, especially given its exposure to global markets and its reliance on steady industrial demand.
 **Financials**  
 Fortive's financial metrics indicate a stable but not overly aggressive growth trajectory. The company has a trailing price-to-earnings (PE) ratio of 32.10 and a forward PE of 19.44, suggesting expectations of improved earnings in the future. Its profit margins are healthy at 14.36%, supported by strong gross margins of 59.75%. Revenue growth of 2.7% and earnings growth of 3.3% reflect modest expansion, while free cash flow of $1.11 billion underscores its ability to generate liquidity. However, the company's debt-to-equity ratio of 38.26% indicates a moderate level of leverage, which could pose risks in a rising interest rate environment. 
 Fortive's dividend yield of 0.39% is below its five-year average, reflecting a conservative payout strategy. The company's beta of 1.17 suggests slightly higher volatility compared to the broader market, which could amplify risks in the current uncertain economic climate.
 **Valuations**  
 Fortive's valuation metrics are mixed. Its price-to-book ratio of 2.64 and enterprise value-to-revenue ratio of 5.02 suggest the stock is priced at a premium relative to its book value and revenue. However, the trailing PEG ratio of 1.33 indicates that the stock's valuation is reasonable when accounting for its earnings growth. Analyst sentiment remains positive, with a mean price target of $89.11, representing potential upside from its current trading range. The recommendation mean of 2.09 (on a scale where 1 is a strong buy) further supports a generally favorable outlook.
 **Economic Outlook**  
 The broader economic environment presents challenges for Fortive. The recent implementation of tariffs by the U.S. administration could disrupt supply chains and increase input costs, potentially pressuring margins. Additionally, inflationary pressures and the Federal Reserve's cautious stance on interest rate cuts may dampen industrial activity, which is a key driver for Fortive's business. However, the company's diversified portfolio and focus on essential industrial components may provide some resilience against these headwinds.
 **Conclusion**  
 Fortive's financial stability, modest growth, and reasonable valuation metrics position it as a steady performer in the industrial machinery sector. However, macroeconomic uncertainties, including trade tensions and inflationary pressures, could weigh on its near-term performance. The upcoming earnings report will be a critical indicator of the company's ability to navigate these challenges and deliver on growth expectations.
 Score: 72</t>
  </si>
  <si>
    <t>Investment Report:  
 Masco, a prominent player in the Building Products industry, has shown resilience in its financial performance despite the absence of recent news. The firm’s stock has demonstrated a steady trading range, with a 52-week high of $576.94 and a low of $428.86, reflecting a 20.6% increase over the past year. This performance aligns closely with the S&amp;P 500's 21.9% gain, indicating a stable market presence.  
 **Financials:**  
 Masco's financial metrics highlight its strong profitability and operational efficiency. The company boasts a profit margin of 45.26% and an EBITDA margin of 61.65%, underscoring its ability to generate substantial earnings from its revenue base. Revenue growth of 12.8% year-over-year and earnings growth of 4.1% further demonstrate its capacity for consistent expansion. The firm’s return on equity (ROE) of 177.58% is particularly noteworthy, signaling exceptional shareholder value creation.  
 The company maintains a healthy cash position with $11.4 billion in total cash and a free cash flow of $13.57 billion, which supports its dividend payout. Masco’s dividend yield of 0.55% is modest but sustainable, with a low payout ratio of 19.27%. However, the firm’s debt-to-equity ratio of 244.84% indicates a high leverage level, which could pose risks in a rising interest rate environment.  
 **Valuations:**  
 Masco’s valuation metrics suggest a premium pricing relative to its peers. The trailing price-to-earnings (P/E) ratio of 40.60 and forward P/E of 30.07 indicate high investor expectations for future growth. The price-to-book ratio of 69.73 is significantly elevated, reflecting strong market confidence but also potential overvaluation. The enterprise value-to-revenue ratio of 18.76 and enterprise value-to-EBITDA ratio of 30.43 further reinforce the perception of a richly valued stock.  
 **Economic Outlook:**  
 The broader economic environment presents mixed implications for Masco. The recent imposition of tariffs by the U.S. administration could increase input costs for building materials, potentially squeezing margins. However, the company’s robust gross margins and operational efficiency may provide a buffer against such pressures. Additionally, the ongoing recovery in the housing and construction sectors could support demand for Masco’s products, offsetting some of the macroeconomic headwinds.  
 **Conclusion:**  
 Masco’s strong financial performance and operational efficiency position it well within the Building Products industry. However, its high leverage and premium valuation warrant caution, particularly in the context of potential economic disruptions from tariffs and inflationary pressures. The firm’s ability to sustain growth and profitability amidst these challenges will be critical in determining its near-term investment value.  
 Score: 72</t>
  </si>
  <si>
    <t>**Investment Report: Lockheed Martin Corporation (LMT)**
 **Recent News:**  
 Lockheed Martin, a leading U.S. defense contractor, has faced mixed developments recently. The company secured a $383 million contract for the Trident II D5 Missile Program, reinforcing its position as a key player in the defense sector. However, its Q4 2024 earnings report revealed challenges, with revenue declining 1.6% year-over-year to $18.6 billion, falling short of Wall Street expectations. Despite beating earnings per share (EPS) estimates at $7.67, unplanned charges, particularly in classified programs, led to a 20% year-over-year decline in full-year EPS and a $2 billion charge. These issues have raised concerns about execution risks and delayed F-35 technology upgrades, which could weigh on 2025 profitability. The stock dropped 7.4% following the earnings release, marking its largest one-day decline in over three years. Analysts have revised the price target to $565, suggesting a potential 24% upside, but caution remains due to operational risks.
 **Financials:**  
 Lockheed Martin's financial metrics reflect both strengths and vulnerabilities. The company maintains a strong dividend yield of 2.62% (five-year average) and a payout ratio of 45.6%, appealing to income-focused investors. Its forward price-to-earnings (P/E) ratio of 15.32 suggests a reasonable valuation compared to its trailing P/E of 20.41, indicating potential for earnings recovery. However, the company's debt-to-equity ratio of 268.35% highlights a highly leveraged balance sheet, which could pose risks in a rising interest rate environment. Revenue growth remains modest at 1.3%, while earnings growth is nearly flat at 1%. Operating margins of 12.7% and EBITDA margins of 14.3% are solid but not exceptional for the industry. The company’s free cash flow of $5.3 billion provides some financial flexibility, though it may need to address its high debt levels.
 **Valuations:**  
 Lockheed Martin's current stock price of approximately $456 trades below its 50-day and 200-day moving averages of $496.80 and $514.95, respectively, reflecting recent market pessimism. The stock's price-to-book ratio of 14.93 is high, indicating a premium valuation relative to its book value. However, the forward P/E and revised price target suggest potential upside if the company can address its operational challenges. The market appears to be pricing in near-term risks, creating a potential opportunity for long-term investors if execution improves.
 **Economic Outlook:**  
 The broader macroeconomic environment presents both opportunities and challenges for Lockheed Martin. Increased geopolitical tensions and rising defense budgets globally could support demand for the company’s products and services. However, the U.S. economy faces inflationary pressures and potential trade disruptions due to new tariffs, which could impact supply chains and input costs. Additionally, the Federal Reserve's cautious stance on interest rate cuts may increase borrowing costs, further pressuring highly leveraged companies like Lockheed Martin. The defense sector remains relatively insulated from broader economic cycles, but execution risks in classified programs and delays in key projects like the F-35 upgrades could weigh on near-term performance.
 **Conclusion:**  
 Lockheed Martin remains a dominant player in the defense industry with strong long-term prospects, supported by its robust contract pipeline and dividend yield. However, near-term challenges, including execution risks, high leverage, and delayed upgrades, have created headwinds. While the stock's recent decline may present a buying opportunity, the company must demonstrate improved operational performance to regain investor confidence.
 **Score: 72**</t>
  </si>
  <si>
    <t>Investment Report:  
 FirstEnergy, a prominent player in the Electric Utilities industry, has shown stable performance in recent trading sessions, with its stock price fluctuating between $212.27 and $217.47. Despite the absence of recent news, the company's financial metrics and broader economic conditions provide insights into its current position and potential trajectory.
 **Recent Financials:**  
 FirstEnergy's market capitalization stands at $123.24 billion, reflecting its significant presence in the utilities sector. The stock has demonstrated a strong year-over-year performance, with a 52-week change of 53.12%, outperforming the S&amp;P 500's 21.93% gain. The company’s trailing price-to-earnings (P/E) ratio of 41.82 suggests a premium valuation, though its forward P/E of 21.22 indicates expectations of improved earnings in the near term.  
 The firm’s profit margins of 15.22% and EBITDA margins of 43.56% highlight its operational efficiency, supported by a gross margin of 61.06%. However, earnings growth has been under pressure, with a decline of 37.2% year-over-year, and quarterly earnings growth contracted by 40.8%. Revenue growth, while modest at 7%, indicates steady demand for its services.  
 **Valuation and Risk Metrics:**  
 FirstEnergy's price-to-book ratio of 4.45 and enterprise value-to-revenue multiple of 7.36 suggest the stock is trading at a premium relative to its book value and revenue. The company’s debt-to-equity ratio of 89.41% reflects a high leverage position, which is typical for utility companies but could pose risks in a rising interest rate environment. The quick ratio of 0.215 and current ratio of 1.066 indicate limited short-term liquidity, though the firm’s operating cash flow of $6 billion and free cash flow of $4.48 billion provide some financial flexibility.  
 Analyst sentiment remains positive, with a recommendation mean of 1.61 (indicating a "buy") and a target median price of $235, suggesting potential upside from current levels. However, risks such as audit and board governance are flagged as moderate, with an overall risk score of 1, indicating relatively low exposure to governance-related issues.  
 **Economic Outlook and Industry Context:**  
 The broader macroeconomic environment presents mixed signals for FirstEnergy. The recent imposition of tariffs and trade tensions could lead to inflationary pressures, potentially increasing operational costs for the company. However, as a utility provider, FirstEnergy benefits from the essential nature of its services, which tend to exhibit inelastic demand even during economic downturns.  
 The ongoing California wildfires and broader climate-related challenges underscore the importance of infrastructure resilience, which could lead to increased regulatory scrutiny and potential capital expenditures for utility firms. Additionally, the Federal Reserve's cautious stance on interest rate cuts may impact FirstEnergy's cost of capital, given its high leverage.  
 **Conclusion:**  
 FirstEnergy's strong market performance and operational efficiency are tempered by challenges such as declining earnings growth and high leverage. While the company remains a stable player in the Electric Utilities sector, broader economic uncertainties and potential regulatory pressures could weigh on its near-term outlook.  
 Score: 72</t>
  </si>
  <si>
    <t>**Investment Report: Fox Corporation (Class B)**
 **Recent News:**  
 Fox Corporation has not been in the headlines over the past week, indicating a lack of significant developments or disruptions. This stability may reflect a steady operational environment, though it also suggests no immediate catalysts for growth or volatility.
 **Financials:**  
 Fox Corporation's financial performance demonstrates a solid foundation. The company has a trailing price-to-earnings (P/E) ratio of 12.03, which is relatively low and suggests the stock may be undervalued compared to its earnings. However, the forward P/E ratio of 20.93 indicates expectations of slower earnings growth in the near term. The company has shown strong earnings growth of 117.1% year-over-year, supported by revenue growth of 11.1%, which is a positive indicator of operational efficiency and market demand. 
 The firm maintains healthy liquidity, with a quick ratio of 2.24 and a current ratio of 2.59, suggesting it is well-positioned to meet short-term obligations. Fox also has a manageable debt-to-equity ratio of 70.27%, though its total debt of $8.14 billion is notable. The company’s free cash flow of $1.27 billion and operating cash flow of $1.99 billion provide a cushion for debt servicing and potential reinvestment. 
 Fox's dividend yield of 1.11% is below its five-year average of 1.55%, which may not appeal to income-focused investors. However, the payout ratio of 12.96% indicates the dividend is sustainable and leaves room for potential increases. The company’s beta of 0.77 suggests lower volatility compared to the broader market, making it a relatively stable investment in uncertain times.
 **Valuations:**  
 Fox Corporation's price-to-book ratio of 1.99 and price-to-sales ratio of 1.61 suggest the stock is fairly valued relative to its assets and revenue. The stock is trading near its 52-week high of $49.32, reflecting strong recent performance, with a 52-week change of 65.64%, significantly outperforming the S&amp;P 500's 21.93% gain over the same period. This momentum may indicate investor confidence, though it also raises concerns about limited upside potential in the short term.
 **Economic Outlook:**  
 The broader economic environment presents challenges for Fox Corporation. The recent tariffs imposed by the U.S. administration could increase costs for businesses and reduce consumer spending, potentially impacting advertising revenue—a key driver for broadcasting companies. Additionally, inflationary pressures and potential Federal Reserve tightening could weigh on consumer sentiment and discretionary spending, indirectly affecting Fox's revenue streams. However, Fox's strong operating margins of 26.74% and gross margins of 35.52% suggest resilience in maintaining profitability despite external pressures.
 **Conclusion:**  
 Fox Corporation exhibits strong financial health, robust earnings growth, and operational efficiency. However, its valuation near a 52-week high and potential macroeconomic headwinds may limit short-term upside. The lack of recent news or developments suggests a stable but unexciting near-term outlook. While the company is well-positioned to weather economic challenges, its growth prospects may be tempered by broader market conditions.
 **Score: 72**</t>
  </si>
  <si>
    <t>Investment Report:  
 Alliant Energy, a key player in the Electric Utilities industry, has shown stable performance in recent trading sessions, with its stock price fluctuating between $51.855 and $52.935. The firm has a relatively low beta of 0.67, indicating lower volatility compared to the broader market, which is particularly appealing in the current uncertain economic environment.  
 ### Recent News:  
 There have been no significant updates or developments regarding Alliant Energy in the past week. This lack of news suggests a period of operational stability, though it also highlights the absence of catalysts that could drive short-term stock price movements.  
 ### Financials:  
 Alliant Energy's financial metrics reflect a solid foundation. The company boasts a strong dividend yield of 7.75%, significantly above its five-year average of 8.03%, making it an attractive option for income-focused investors. Its payout ratio of 66.89% indicates a sustainable dividend policy, supported by consistent cash flow generation. The trailing price-to-earnings (P/E) ratio of 8.08 and forward P/E of 9.55 suggest the stock is reasonably valued, though not deeply undervalued.  
 The firm's profit margins are robust, with a net margin of 50.51% and EBITDA margins of 59.99%, reflecting efficient operations. However, the quick ratio of 0.27 and current ratio of 0.44 indicate weaker short-term liquidity, which could pose challenges in a tightening credit environment.  
 ### Valuations:  
 Alliant Energy's market capitalization stands at $89.35 billion, with an enterprise value of $112.56 billion, resulting in an enterprise-to-revenue ratio of 5.53. While these figures suggest a premium valuation relative to revenue, the company's strong profitability metrics and stable cash flows justify this premium to some extent. Analysts' target prices range from $42 to $73, with a mean target of $56.20, indicating moderate upside potential from current levels.  
 ### Economic Outlook:  
 The broader macroeconomic environment presents mixed implications for Alliant Energy. The recent imposition of tariffs and trade tensions could lead to inflationary pressures, potentially increasing operational costs. However, as a utility company, Alliant Energy benefits from its defensive nature, as demand for electricity remains relatively inelastic even during economic downturns. Additionally, the firm's low beta and strong dividend yield make it a potential safe haven for investors amid market volatility.  
 ### Conclusion:  
 Alliant Energy's strong profitability, stable dividend policy, and defensive positioning in the Electric Utilities sector make it a resilient option in the current economic climate. However, its weaker liquidity metrics and lack of recent catalysts may limit short-term upside potential.  
 Score: 72</t>
  </si>
  <si>
    <t>**Investment Report: Dominion Energy (D)**
 **Recent News:**  
 Dominion Energy's stock showed resilience in the latest trading session, closing at $56.32, up 1.31% despite broader market declines. This performance reflects investor confidence in the company's stability amidst a volatile macroeconomic environment. The utility sector, known for its defensive characteristics, may be attracting attention as broader markets face headwinds from geopolitical tensions, inflationary pressures, and trade disruptions.
 **Financials:**  
 Dominion Energy's financial metrics highlight a mixed picture. The company has a trailing price-to-earnings (P/E) ratio of 11.79 and a forward P/E of 12.06, suggesting a relatively low valuation compared to historical averages. Its dividend yield of 2.97% is attractive, particularly in a high-interest-rate environment, and the payout ratio of 36.7% indicates a sustainable dividend policy. However, the company's earnings growth has been negative (-20.2% quarterly), and its debt-to-equity ratio of 250.87% raises concerns about leverage, especially in a rising interest rate environment. The enterprise value-to-EBITDA ratio of 11.4 suggests the company is moderately valued relative to its earnings before interest, taxes, depreciation, and amortization.
 Dominion's revenue growth of 4.2% year-over-year is modest but steady, aligning with the utility sector's typical performance. The company's return on equity (ROE) of 20.88% is strong, indicating effective use of shareholder capital, though its return on assets (ROA) of 4.25% is more modest, reflecting the capital-intensive nature of the utility business.
 **Valuations:**  
 Dominion Energy's stock is trading at a price-to-book (P/B) ratio of 2.33, which is reasonable for the utility sector. The stock's 52-week range of $66.43 to $168.07 shows significant volatility, with the current price near the lower end of this range. Analyst price targets suggest a mean price of $88.69, indicating potential upside from current levels. However, the stock's 52-week change of -47.1% significantly underperforms the S&amp;P 500's 21.9% gain, reflecting challenges specific to the company or sector.
 **Economic Outlook:**  
 The broader economic environment presents both challenges and opportunities for Dominion Energy. The recent imposition of tariffs and trade tensions could increase input costs for the company, while inflationary pressures may impact operational expenses. However, as a utility company, Dominion benefits from relatively inelastic demand for its services, providing a degree of insulation from economic downturns. The company's beta of 0.449 indicates lower volatility compared to the broader market, making it a potentially attractive option for risk-averse investors during uncertain times.
 Dominion's high debt levels could be a concern if interest rates rise further, increasing borrowing costs. However, its strong cash flow generation, with free cash flow of $1.27 billion and operating cash flow of $3.32 billion, provides a buffer to manage debt obligations and maintain dividend payments.
 **Conclusion:**  
 Dominion Energy's recent stock performance, coupled with its stable dividend and defensive characteristics, positions it as a relatively safe investment in a volatile market. However, concerns about high leverage, negative earnings growth, and sector-specific challenges warrant caution. The company's ability to navigate rising costs and maintain profitability will be critical in determining its near-term performance.
 **Score: 68**</t>
  </si>
  <si>
    <t>**Investment Report: Molson Coors Beverage Company (TAP)**
 **Recent News:**  
 Molson Coors has entered a strategic partnership with Fever-Tree, a premium mixer brand, to expand its non-alcoholic beverage portfolio in the U.S. market. This move aligns with the company's strategy to diversify beyond traditional alcoholic beverages and tap into the growing demand for premium mixers and non-alcoholic options. This partnership could enhance Molson Coors' market presence and revenue streams in a segment that has shown resilience and growth potential, particularly as consumer preferences shift toward healthier and premium beverage choices. Additionally, Molson Coors has demonstrated a strong track record of earnings surprises, which may indicate effective cost management and operational efficiency despite challenging market conditions.
 **Financials:**  
 Molson Coors' financial metrics reflect a mixed picture. The company trades at a trailing P/E ratio of 12.02 and a forward P/E of 8.94, suggesting it is undervalued relative to its earnings potential. Its price-to-book ratio of 0.83 further supports the notion of undervaluation. However, the company has faced declining earnings growth (-51.5%) and revenue growth (-7.8%) on a quarterly basis, which raises concerns about its ability to sustain long-term growth. The gross margin of 38.8% and EBITDA margin of 20.7% indicate solid profitability, but the debt-to-equity ratio of 48.8% highlights a moderately leveraged balance sheet. Free cash flow of $671 million and a dividend yield of 3.21% provide some reassurance of financial stability and shareholder returns.
 **Valuations:**  
 Molson Coors' current stock price of approximately $53.59 is near its 52-week low of $49.19, significantly below its 52-week high of $69.18. Analyst price targets range from $47 to $75, with a mean target of $62.80, suggesting potential upside. The stock's beta of 0.83 indicates lower volatility compared to the broader market, making it a relatively defensive play in uncertain economic conditions. However, the company's trailing PEG ratio of 2.57 suggests that its valuation may not fully account for its slower growth prospects.
 **Economic Outlook:**  
 The broader economic environment presents challenges for Molson Coors. Rising inflation, trade tariffs, and potential supply chain disruptions could increase input costs, particularly for raw materials and transportation. Additionally, the recent global tech market crash and geopolitical uncertainties may weigh on consumer spending, particularly in discretionary categories like beverages. However, the company's focus on premium and non-alcoholic segments through its Fever-Tree partnership could help mitigate some of these risks by targeting higher-margin and resilient consumer segments.
 **Conclusion:**  
 Molson Coors is navigating a challenging macroeconomic environment with strategic initiatives aimed at diversification and growth. While its valuation metrics suggest the stock is undervalued, declining earnings and revenue growth remain concerns. The Fever-Tree partnership and strong dividend yield provide reasons for cautious optimism, but broader economic headwinds and operational risks warrant close monitoring.
 **Score: 68**</t>
  </si>
  <si>
    <t>Investment Report:  
 Workday, Inc. (WDAY), a prominent player in the application software industry, has recently announced a partnership with Nayya to enhance its AI-driven health benefits offerings for employees. This collaboration leverages Nayya's data integration and analytics capabilities on Workday's "Built on Workday" platform, aiming to deliver improved outcomes and return on investment for employees. This strategic move aligns with Workday's focus on innovation and employee-centric solutions, potentially strengthening its competitive position in the enterprise software market. However, the broader economic and market conditions may temper the immediate impact of this development.
 **Recent News:**  
 The partnership with Nayya underscores Workday's commitment to integrating advanced technologies like AI to address critical employee needs. By focusing on health benefits, Workday is tapping into a growing demand for personalized and efficient employee solutions. This initiative could enhance customer retention and attract new clients, particularly in a competitive market where differentiation through innovation is key. However, the broader technology sector's recent volatility, driven by the global tech market crash and competition from emerging players like China's DeepSeek, may overshadow the positive sentiment from this announcement.
 **Financials:**  
 Workday's financial metrics present a mixed picture. The company has a trailing price-to-earnings (PE) ratio of 20.10 and a forward PE of 17.72, suggesting moderate valuation levels relative to its earnings growth. Its profit margins stand at 13.67%, and EBITDA margins are robust at 40.04%, indicating strong operational efficiency. However, revenue growth has slightly declined (-0.5%), and free cash flow is negative (-$2.49 billion), reflecting potential challenges in managing cash amid high debt levels (debt-to-equity ratio of 154.33). The company's total revenue of $13.76 billion and operating cash flow of $4.95 billion highlight its scale and ability to generate cash from operations, but the negative free cash flow warrants caution.
 **Valuations:**  
 Workday's price-to-book ratio of 2.01 and enterprise value-to-revenue ratio of 4.88 suggest that the stock is reasonably valued compared to its peers in the application software industry. The stock's 52-week range of $46.79 to $73.38 indicates a recovery from its lows, with a current price near the higher end of this range. Analyst sentiment remains positive, with a mean target price of $72.54 and a recommendation key of "buy." However, the company's trailing PEG ratio of 2.17 suggests that its growth may not fully justify its valuation, particularly in a challenging macroeconomic environment.
 **Economic Outlook:**  
 The broader economic environment poses significant headwinds for Workday. The recent implementation of tariffs by the U.S. administration and the resulting inflationary pressures could dampen corporate spending on enterprise software solutions. Additionally, the global tech market's volatility, driven by competition from emerging technologies, may impact investor sentiment toward technology stocks, including Workday. While the company's focus on AI-driven solutions positions it well for long-term growth, near-term challenges such as rising costs and potential trade disruptions could weigh on its performance.
 **Conclusion:**  
 Workday's strategic partnership with Nayya highlights its commitment to innovation and addressing employee needs, which could strengthen its market position over time. However, the company's financials reveal some vulnerabilities, including negative free cash flow and high debt levels, which may limit its flexibility in navigating a challenging economic environment. While the stock's valuation appears reasonable, broader market volatility and economic uncertainties could temper its near-term performance.  
 Score: 68</t>
  </si>
  <si>
    <t>Investment Report:  
 Keurig Dr Pepper (KDP), a prominent player in the Soft Drinks &amp; Non-alcoholic Beverages industry, has shown resilience despite broader market volatility. The firm has not been in the news recently, suggesting stability in its operations and no immediate disruptions. However, the macroeconomic environment, including inflationary pressures and trade tensions, could indirectly impact consumer spending and input costs for the company.  
 **Financials:**  
 KDP's financial performance reflects a mixed picture. The company has a trailing price-to-earnings (PE) ratio of 38.6, which is relatively high, indicating that the stock may be overvalued compared to its earnings. However, the forward PE of 17.6 suggests expectations of improved profitability in the future. The dividend yield of 3.85% is attractive for income-focused investors, though the payout ratio of 146.36% raises concerns about the sustainability of these dividends.  
 The firm's revenue growth has been slightly negative (-0.4%), and earnings growth has declined (-12.6%), reflecting challenges in maintaining momentum. Despite this, KDP maintains strong gross margins of 57.9% and EBITDA margins of 22.3%, showcasing its ability to generate healthy profits from its operations. The return on equity (ROE) of 9.88% is modest but indicates efficient use of shareholder capital.  
 KDP's balance sheet shows a debt-to-equity ratio of 82.93, highlighting significant leverage. While the company generates solid free cash flow ($1.52 billion), the high debt levels could pose risks in a rising interest rate environment. Liquidity metrics, such as a quick ratio of 0.58 and a current ratio of 0.999, suggest limited short-term financial flexibility.  
 **Valuations:**  
 The stock is trading at a price-to-book ratio of 3.82, which is above the industry average, indicating a premium valuation. The enterprise value-to-revenue ratio of 3.14 and enterprise value-to-EBITDA ratio of 14.03 suggest that the market has priced in expectations of steady cash flow generation. Analyst sentiment remains cautiously optimistic, with a mean target price of $24.44, representing potential upside from the current price of $21.29.  
 **Economic Outlook:**  
 The broader economic environment poses challenges for KDP. Rising inflation, driven by new tariffs and supply chain disruptions, could increase input costs for raw materials and packaging. Additionally, potential trade tensions with Canada and Mexico, key trading partners, may impact the supply chain and pricing strategies. However, KDP's strong brand portfolio and market position in the non-alcoholic beverage sector provide some insulation from economic headwinds, as demand for its products tends to remain relatively stable even during downturns.  
 **Conclusion:**  
 Keurig Dr Pepper's financial stability, strong margins, and attractive dividend yield make it a solid player in its industry. However, high leverage, declining earnings growth, and macroeconomic uncertainties could weigh on its near-term performance. While the stock offers potential upside based on analyst targets, its premium valuation and external risks warrant a cautious outlook for the next month.  
 Score: 65</t>
  </si>
  <si>
    <t>**Investment Report: NetApp (NTAP)**
 **Recent News:**  
 NetApp has recently crossed above its 200-day moving average, a key technical indicator often interpreted as a bullish signal for long-term momentum. This development suggests that investor sentiment around the stock may be improving, potentially driven by confidence in the company's fundamentals or broader market trends. However, technical indicators alone do not account for macroeconomic pressures or sector-specific challenges, which remain significant in the current environment.
 **Financials:**  
 NetApp's financial performance reflects a mixed but generally stable outlook. The company has a trailing price-to-earnings (P/E) ratio of 22.05 and a forward P/E of 15.18, indicating expectations of earnings growth. Its profit margins are solid at 17.01%, supported by strong gross margins of 71.12%. The company has demonstrated robust earnings growth of 69.6% and revenue growth of 7.6% year-over-year, signaling operational efficiency and demand resilience. Additionally, NetApp's free cash flow of $1.23 billion and operating cash flow of $1.57 billion highlight its ability to generate liquidity, which is critical in a volatile economic environment.
 However, the company's debt-to-equity ratio of 285.04% is notably high, raising concerns about leverage and financial flexibility. While NetApp holds $3.02 billion in cash, its total debt of $2.65 billion could pose risks if interest rates rise further or if cash flows are disrupted. The quick ratio of 0.82 and current ratio of 0.96 suggest limited short-term liquidity, which may constrain the company's ability to navigate unexpected challenges.
 **Valuations:**  
 NetApp's valuation metrics present a mixed picture. The stock trades at a price-to-book ratio of 21.52, significantly above the industry average, which may indicate overvaluation relative to its book value. However, its enterprise value-to-revenue ratio of 4.01 and enterprise value-to-EBITDA ratio of 16.16 are within reasonable ranges for the technology hardware sector. Analysts' target prices range from $116 to $160, with a median target of $140, suggesting potential upside from the current price of approximately $119.55. The dividend yield of 1.64% is below its five-year average of 2.81%, reflecting a lower income return for investors.
 **Economic Outlook:**  
 NetApp operates in the Technology Hardware, Storage &amp; Peripherals industry, which has been significantly impacted by recent macroeconomic developments. The global technology sector has faced headwinds following the launch of DeepSeek, a Chinese competitor to OpenAI's ChatGPT, which has disrupted market dynamics and led to a sharp selloff in tech stocks. Additionally, the imposition of new tariffs by the U.S. administration on imports from key trading partners could exacerbate supply chain challenges and increase costs for technology companies, including NetApp.
 Despite these challenges, NetApp's strong gross margins and operational efficiency may help it weather short-term disruptions. However, the company's high leverage and relatively low liquidity ratios could limit its ability to adapt to prolonged economic uncertainty or competitive pressures. The broader market volatility and bearish sentiment in the technology sector may also weigh on NetApp's stock performance in the near term.
 **Conclusion:**  
 NetApp's recent technical breakout above the 200-day moving average is a positive signal, but it must be weighed against the company's high leverage, sector-specific challenges, and broader macroeconomic uncertainties. While the firm demonstrates strong profitability and cash flow generation, its valuation metrics and liquidity constraints warrant caution. The stock's performance will likely depend on its ability to navigate competitive pressures and macroeconomic headwinds in the coming months.
 **Score: 65**</t>
  </si>
  <si>
    <t>**Investment Report: Altria Group Inc. (NYSE: MO)**
 **Recent News:**  
 Altria Group, a prominent player in the tobacco industry and the domestic producer of Marlboro cigarettes, has recently faced a mixed set of developments. The company reported a strong Q4 performance, with adjusted earnings per share (EPS) of $1.29 and revenues of $5.11 billion, both exceeding analysts' expectations. Despite this, its share price has declined by 9.35%, reflecting investor concerns over challenges such as declining cigarette volumes, rising competition from rival vaping products, and counterfeit e-vape issues. Additionally, a U.S. trade tribunal's ban on certain Altria vaping devices due to a patent dispute with Juul Labs has further complicated its smoke-free product strategy. To counter these headwinds, Altria has initiated a $1 billion share buyback program and is focusing on price increases and margin expansion. However, its 2025 guidance has disappointed investors, raising questions about its ability to navigate a competitive and regulatory landscape.
 **Financials:**  
 Altria's financial position reflects both strengths and vulnerabilities. The company boasts a high dividend yield of 8%, making it the highest-yielding stock in the S&amp;P 500, which is attractive to income-focused investors. Its trailing price-to-earnings (P/E) ratio of 22.59 and forward P/E of 19.43 suggest moderate valuation levels relative to its earnings potential. However, the company faces significant debt, with a debt-to-equity ratio of 152.98, and its free cash flow is negative at -$2.08 billion, indicating potential liquidity concerns. Altria's gross margins of 51.15% and operating margins of 31.77% remain robust, but earnings growth has declined by 9.1% year-over-year, reflecting challenges in its core business. The company's return on equity (ROE) of 9.84% is respectable but not exceptional for its industry.
 **Valuations:**  
 Altria's current share price is trading near its 52-week high of $96.74, with a price-to-book ratio of 2.17. Analysts' target prices range from $81 to $106, with a median target of $95, suggesting limited upside potential from current levels. The company's enterprise value-to-revenue ratio of 6.24 and enterprise value-to-EBITDA ratio of 13.49 indicate a premium valuation, which may not be fully justified given its declining cigarette volumes and competitive pressures in the vaping market.
 **Economic Outlook:**  
 The broader economic environment presents additional challenges for Altria. Rising inflation and the potential for higher interest rates could pressure consumer spending, particularly on discretionary products like tobacco. Furthermore, regulatory risks remain elevated, as evidenced by the recent ban on some of Altria's vaping devices. The company's reliance on price increases to offset declining volumes may face limits if consumers shift to lower-cost alternatives or illicit products. On the positive side, Altria's high dividend yield and focus on shareholder returns through buybacks may provide some stability in a volatile market.
 **Conclusion:**  
 Altria's strong dividend yield and robust margins make it an attractive option for income-focused investors. However, the company faces significant headwinds, including declining cigarette volumes, regulatory challenges, and competition in the smoke-free product space. While its share buyback program and pricing strategies may support earnings in the near term, the long-term outlook is clouded by structural challenges in the tobacco industry and increasing competition from alternative nicotine products.
 **Score: 65**</t>
  </si>
  <si>
    <t>**Investment Report: Starbucks Corporation**
 **Recent News:**  
 Starbucks has recently reached a 52-week high following its fiscal Q1 2025 earnings report, which exceeded expectations. Despite a 4% decline in same-store sales and a 6% drop in global transactions, the company reported earnings per share (EPS) of $0.69, surpassing the consensus estimate of $0.66. This performance is attributed to the "Back to Starbucks" turnaround strategy under CEO Brian Niccol, which includes initiatives such as digital menus and ceramic plates to enhance customer experience. However, challenges persist, including rising coffee prices and a 6% sales decline in China, a key growth market. While analysts have raised price targets, concerns remain about declining comparable sales and operating margins, which could weigh on long-term profitability.
 **Financials:**  
 Starbucks' financial metrics reflect a mixed picture. The company has a trailing price-to-earnings (P/E) ratio of 34.89 and a forward P/E of 29.52, indicating a premium valuation relative to its earnings growth. The dividend yield of 2.43% is slightly above its five-year average of 2.07%, suggesting a commitment to returning value to shareholders. However, the company's profit margins (10.4%) and revenue growth (-3.2%) highlight ongoing operational challenges. Starbucks' total debt of $25.8 billion and a quick ratio of 0.52 indicate a relatively leveraged balance sheet, which could limit financial flexibility in a rising interest rate environment. Free cash flow of $2.15 billion provides some cushion, but earnings growth has contracted by 24.6% year-over-year, reflecting the impact of macroeconomic headwinds and operational inefficiencies.
 **Valuations:**  
 Starbucks' stock is trading near its 52-week high of $110.34, with a market capitalization of $122.86 billion. The enterprise value-to-revenue ratio of 3.76 and enterprise value-to-EBITDA ratio of 20.31 suggest the stock is priced at a premium compared to its peers in the restaurant industry. Analysts' target prices range from $76 to $125, with a median target of $108.50, indicating limited upside potential from current levels. The recommendation mean of 2.43 (between "buy" and "hold") reflects cautious optimism among analysts, tempered by concerns over declining key metrics and operational risks.
 **Economic Outlook:**  
 Starbucks faces a challenging macroeconomic environment. Rising coffee prices, driven by supply chain disruptions and climate-related issues, are pressuring input costs. Additionally, the company's exposure to China, where sales have declined by 6%, poses a risk amid geopolitical tensions and slower economic recovery in the region. Domestically, inflationary pressures and potential consumer spending slowdowns could impact discretionary spending on premium coffee products. However, the company's turnaround strategy and focus on digital innovation may help mitigate some of these challenges over the medium term.
 **Conclusion:**  
 While Starbucks has demonstrated resilience through its turnaround strategy and exceeded earnings expectations, the company faces significant headwinds, including declining same-store sales, rising input costs, and macroeconomic uncertainties. The stock's premium valuation and limited upside potential, coupled with operational challenges, suggest a cautious outlook for the next month.
 **Score: 65**</t>
  </si>
  <si>
    <t>Investment Report:  
 Campbell Soup Company, a key player in the Packaged Foods &amp; Meats industry, has shown stable performance in recent trading sessions, with no significant news impacting its operations or market perception in the past week. The company's stock has traded within a range of $289.83 to $299.47, reflecting moderate volatility.  
 **Financials:**  
 Campbell Soup's financial metrics indicate a mixed outlook. The company has a trailing price-to-earnings (PE) ratio of 78.29 and a forward PE of 43.62, suggesting a high valuation relative to its earnings. Its price-to-sales ratio of 18.79 and price-to-book ratio of 17.93 further highlight its premium valuation. Despite these high multiples, the company maintains strong profitability, with profit margins of 23.87% and gross margins of 87.79%, indicating efficient cost management and robust pricing power.  
 The firm's revenue growth of 18.8% year-over-year is a positive indicator, though earnings growth has declined by 6.5%, reflecting potential cost pressures or operational challenges. Campbell Soup's return on equity (ROE) of 27.07% and return on assets (ROA) of 10.87% demonstrate strong shareholder value creation and asset utilization. However, its debt-to-equity ratio of 61.91% suggests a moderately leveraged balance sheet, which could pose risks in a rising interest rate environment.  
 **Valuations:**  
 The stock's current price is trading near its 200-day moving average of $288.10, indicating relative stability. However, its 52-week high of $328.99 and low of $241.29 suggest limited upside potential in the short term. Analyst sentiment remains positive, with a recommendation mean of 1.68 (buy) and a target median price of $337.50, implying potential upside from current levels.  
 **Economic Outlook:**  
 The broader economic environment presents challenges for Campbell Soup. The recent implementation of tariffs by the U.S. government could increase input costs for packaged food companies, particularly if supply chains are disrupted. Additionally, inflationary pressures may impact consumer purchasing power, potentially affecting demand for discretionary food products. However, Campbell Soup's strong brand recognition and focus on staple food products may provide some insulation from economic volatility.  
 **Conclusion:**  
 Campbell Soup Company exhibits strong profitability and revenue growth, but its high valuation metrics and declining earnings growth raise concerns about its near-term upside potential. The broader economic environment, including inflation and trade tensions, could pose additional challenges. While the company's fundamentals remain solid, its premium valuation and external headwinds suggest a cautious outlook for the next month.  
 Score: 65</t>
  </si>
  <si>
    <t>**Investment Report: Crown Castle Inc. (CCI)**
 **Recent News:**  
 Crown Castle Inc., a leading telecom tower REIT, has been in the spotlight due to potential asset sales. Reports indicate that Zayo Group, backed by EQT, is leading negotiations to acquire Crown Castle's fiber unit in a deal valued at over $8 billion. Additionally, TPG is reportedly in advanced talks for the same assets. These developments suggest Crown Castle is strategically repositioning its portfolio, potentially focusing more on its core tower business. While the sale could provide significant liquidity, it also raises questions about the long-term growth strategy and the impact on recurring revenue streams from its fiber assets.
 **Financials:**  
 Crown Castle's financial metrics reflect a mixed picture. The company has a trailing P/E ratio of 764.56, indicating a high valuation relative to earnings, though its forward P/E of 90.53 suggests expectations of improved profitability. The firm has a robust market capitalization of $97.93 billion and a strong revenue growth rate of 31.7% year-over-year. However, its profit margins remain modest at 4.84%, and its debt-to-equity ratio of 27.40 highlights significant leverage. The company’s free cash flow of $1.21 billion and operating cash flow of $1.33 billion provide some financial flexibility, which could be bolstered by proceeds from the potential asset sale.
 **Valuations:**  
 Crown Castle's stock has experienced a 15.8% decline over the past three months, reflecting investor concerns about its valuation and strategic direction. The stock is trading near its 52-week high of $411.30, with a price-to-book ratio of 41.74, indicating a premium valuation. Analysts maintain a "buy" recommendation with a mean target price of $381.82, suggesting limited upside from current levels. The company's enterprise value-to-revenue ratio of 24.48 and enterprise value-to-EBITDA ratio of 459.18 further underscore its high valuation relative to peers.
 **Economic Outlook:**  
 The broader macroeconomic environment presents challenges for Crown Castle. Rising inflation and potential interest rate hikes could increase the cost of capital, impacting REITs like Crown Castle that rely on debt financing. Additionally, the recent tariffs and trade tensions may indirectly affect the telecom sector by increasing costs for equipment and infrastructure. However, the ongoing demand for 5G infrastructure and data connectivity provides a favorable long-term growth backdrop for Crown Castle's core tower business.
 **Conclusion:**  
 Crown Castle's potential asset sale could unlock value and streamline its operations, but it also introduces uncertainty regarding its future revenue composition. The company's high valuation metrics and recent stock decline reflect investor caution amid these strategic shifts. While the long-term demand for telecom infrastructure remains strong, near-term headwinds from macroeconomic factors and strategic realignment may weigh on performance.
 **Score: 65**</t>
  </si>
  <si>
    <t>Investment Report:  
 Caesars Entertainment, a prominent player in the Casinos &amp; Gaming industry, is navigating a challenging macroeconomic environment with no significant recent news to influence its trajectory. The firm’s financials and valuation metrics provide a mixed picture, reflecting both opportunities and risks.  
 **Recent News:**  
 The absence of recent developments for Caesars Entertainment suggests stability in its operations, but it also highlights a lack of catalysts to drive short-term investor sentiment. This could leave the stock more exposed to broader market trends and macroeconomic factors, such as the ongoing trade tensions and inflationary pressures.  
 **Financials:**  
 Caesars Entertainment's financial performance shows moderate growth, with a revenue increase of 10.9% year-over-year. The company’s EBITDA margin of 18.5% and operating margin of 11.9% indicate reasonable profitability for the industry. However, its high debt-to-equity ratio of 198.7% raises concerns about leverage, especially in a rising interest rate environment. The firm’s free cash flow of $576.75 million and operating cash flow of $1.18 billion provide some reassurance regarding liquidity, though its quick ratio of 0.206 and current ratio of 0.612 suggest limited short-term financial flexibility.  
 The company’s trailing P/E ratio of 20.84 and forward P/E ratio of 11.45 indicate a valuation that is more attractive on a forward-looking basis, supported by an expected EPS growth to $3.41. However, its price-to-book ratio of 2.99 and enterprise value-to-EBITDA ratio of 11.78 suggest the stock is not deeply undervalued. The dividend yield of 3.25% is slightly above its five-year average, which may appeal to income-focused investors.  
 **Valuations:**  
 Caesars Entertainment’s stock has declined 12.6% over the past year, underperforming the S&amp;P 500, which gained 21.9% in the same period. The stock is trading near its 52-week low of $37.61, which could present a potential entry point for value-oriented investors. Analyst sentiment is neutral, with a recommendation mean of 2.67 (hold) and a target median price of $46.50, implying a potential upside of approximately 20% from current levels.  
 **Economic Outlook:**  
 The broader economic environment poses challenges for Caesars Entertainment. The recent tariffs imposed by the U.S. government could increase costs for the company, particularly if supply chains are disrupted. Additionally, inflationary pressures and potential interest rate hikes may weigh on consumer discretionary spending, which is critical for the Casinos &amp; Gaming industry. However, the company’s beta of 0.181 suggests lower volatility relative to the broader market, which could provide some stability in turbulent times.  
 **Conclusion:**  
 Caesars Entertainment faces a mixed outlook, with solid revenue growth and profitability metrics offset by high leverage and macroeconomic headwinds. While the stock’s valuation appears reasonable, the lack of recent catalysts and broader economic uncertainties may limit its near-term upside.  
 Score: 65</t>
  </si>
  <si>
    <t>Investment Report: Cisco Systems (CSCO)
 **Recent News**: Cisco Systems recently closed at $59.43, reflecting a modest gain of +0.59% in its latest trading session. While this indicates some resilience, the stock's performance lags behind broader market indices, which have been more volatile due to macroeconomic uncertainties. The company's steady movement amidst a turbulent market suggests a degree of stability, but it also highlights limited momentum in the short term.
 **Financials**: Cisco's financial metrics present a mixed picture. The company has a market capitalization of $81.6 billion and a trailing price-to-earnings (PE) ratio of 48.73, which is relatively high compared to its forward PE of 42.39. This suggests expectations of earnings growth, albeit at a slower pace. Cisco's dividend yield of 0.76% is below its five-year average of 0.97%, indicating a slight decline in income attractiveness for dividend-focused investors. The firm's profit margins (16.8%) and return on equity (40.5%) are strong, reflecting efficient operations and profitability. However, its debt-to-equity ratio of 70.57 raises concerns about leverage, especially in a rising interest rate environment.
 **Valuations**: Cisco's price-to-book ratio of 18.97 and enterprise value-to-revenue ratio of 8.73 suggest the stock is trading at a premium relative to its book value and revenue. While this may reflect investor confidence in the company's long-term prospects, it also indicates limited upside potential in the near term. The stock's 52-week change of +29.8% outpaces the S&amp;P 500's +21.9%, signaling strong past performance, but the high valuation metrics may temper future growth expectations.
 **Economic Outlook**: The broader economic environment poses challenges for Cisco. The recent imposition of tariffs by the U.S. administration could disrupt global supply chains, potentially impacting Cisco's cost structure and margins. Additionally, the global technology sector has been under pressure following the launch of DeepSeek, a Chinese competitor to OpenAI, which has caused significant market volatility. While Cisco's core business in communications equipment may be less directly affected than semiconductor companies like Nvidia, the overall sentiment in the tech sector remains cautious. Rising inflation and potential Federal Reserve tightening could further weigh on the company's valuation.
 **Conclusion**: Cisco Systems demonstrates operational strength and profitability, but its high valuation and exposure to macroeconomic risks, including trade tensions and sector-wide volatility, suggest limited short-term upside. The company's stable performance amidst market turbulence is a positive, but broader economic headwinds and high leverage warrant caution.
 Score: 65</t>
  </si>
  <si>
    <t>**Investment Report: United Parcel Service (UPS)**
 **Recent News:**  
 United Parcel Service (UPS) is navigating a challenging period marked by strategic shifts and market reactions. The company's decision to reduce its service with Amazon, its largest customer, by over 50% by mid-2026 has raised concerns about revenue stability. This move, aimed at focusing on more profitable business segments, led to a sharp 16% drop in UPS's stock price. Additionally, the company's 2025 revenue guidance of $89 billion fell short of the $94.9 billion expected by analysts, further dampening investor sentiment. Despite these setbacks, UPS continues to invest in digital transformation initiatives, such as RFID and Digital Access Program (DAP) technology, to enhance operational efficiency. While Q4 earnings exceeded expectations, the weaker overall results and Amazon-related news overshadowed the positive performance.
 **Financials:**  
 UPS's financial metrics reflect a mixed picture. The company offers an attractive dividend yield of 5.5%, significantly above its five-year average of 3.32%, though the high payout ratio of 98.34% raises questions about sustainability. The stock's trailing P/E ratio of 16.49 and forward P/E of 12.52 suggest a reasonable valuation, but the recent decline in share price has pushed it near its 52-week low of $109.40. UPS's profit margins remain modest, with a net margin of 6.25% and operating margin of 9.22%. The company's debt-to-equity ratio of 155.43% indicates a high level of leverage, though its quick ratio of 1.03 and current ratio of 1.15 suggest adequate liquidity. Free cash flow of $4.1 billion and operating cash flow of $9.2 billion provide some financial flexibility.
 **Valuations:**  
 UPS's valuation metrics indicate potential undervaluation following the recent stock price drop. The price-to-sales ratio of 1.05 and price-to-book ratio of 5.63 are within industry norms. Analysts' target prices range from $82 to $179, with a mean target of $133.17, suggesting upside potential from the current price. However, the company's enterprise value-to-EBITDA ratio of 11.19 reflects a premium valuation compared to some peers, which may limit near-term gains.
 **Economic Outlook:**  
 The broader economic environment presents headwinds for UPS. The recent implementation of tariffs by the U.S. government could disrupt global trade and supply chains, potentially impacting UPS's logistics operations. Inflationary pressures and rising labor costs are also weighing on profitability. However, UPS's focus on efficiency gains and digital transformation may help mitigate some of these challenges over time. The company's decision to reduce reliance on Amazon aligns with its strategy to prioritize higher-margin business, though it introduces near-term revenue uncertainty.
 **Conclusion:**  
 UPS is at a crossroads, balancing strategic shifts with operational challenges. While the company's dividend yield and efficiency initiatives are positives, the high payout ratio, revenue guidance miss, and Amazon-related concerns weigh on its near-term outlook. The broader economic environment, including trade tensions and inflation, adds further complexity. UPS's valuation suggests potential for recovery, but risks remain elevated in the short term.
 **Score: 65**</t>
  </si>
  <si>
    <t>**Investment Report: Texas Instruments (TXN)**
 **Recent News:**  
 Texas Instruments (TXN) has faced mixed investor sentiment following its latest earnings report. While the company exceeded revenue expectations, its muted outlook for the upcoming quarter led to a 7.5% drop in its stock price. This reflects concerns about near-term growth, particularly as the semiconductor industry grapples with cyclical headwinds. However, analysts have highlighted the company's potential for a rebound in 2025, supported by its high dividend yield and robust long-term outlook. The stock has also garnered significant attention from investors, indicating its relevance in the current market environment.
 **Financials:**  
 Texas Instruments maintains a strong financial position, with a market capitalization of $165 billion and a healthy current ratio of 4.31, indicating ample liquidity. The company offers an attractive dividend yield of 2.71%, above its five-year average of 2.64%, which may appeal to income-focused investors. However, its payout ratio of 96.65% suggests limited room for further dividend growth without earnings improvement. The firm's trailing price-to-earnings (P/E) ratio of 34.73 and forward P/E of 25.03 indicate a premium valuation, which may be challenging to justify given its recent earnings contraction (-20.3% quarterly growth) and revenue decline (-8.4% year-over-year). Additionally, free cash flow is currently negative, reflecting operational pressures.
 **Valuations:**  
 Texas Instruments trades at a price-to-book ratio of 9.56, significantly higher than the industry average, suggesting the stock may be overvalued relative to its peers. Its enterprise value-to-revenue ratio of 12.02 and enterprise value-to-EBITDA ratio of 27.38 further highlight its premium valuation. Despite these metrics, the stock's 52-week performance (+16.57%) has lagged behind the S&amp;P 500's 21.93% gain, indicating underperformance relative to the broader market. Analyst sentiment is mixed, with a "hold" recommendation and a median price target of $200, implying modest upside potential from current levels.
 **Economic Outlook:**  
 The semiconductor industry faces a challenging macroeconomic environment, with global trade tensions and tariffs adding uncertainty to supply chains. Texas Instruments, as a key player in the sector, is not immune to these pressures. The recent launch of DeepSeek, a Chinese AI competitor, has disrupted the technology landscape, further weighing on investor confidence in the semiconductor space. Additionally, rising inflation and potential Federal Reserve tightening could dampen consumer and industrial demand for semiconductors. However, Texas Instruments' diversified end markets and focus on analog and embedded processing solutions position it well for long-term growth once the industry stabilizes.
 **Conclusion:**  
 Texas Instruments is navigating a difficult period marked by declining earnings and revenue growth, coupled with broader industry challenges. While its strong dividend yield and liquidity provide a cushion, its high valuation and near-term headwinds limit its attractiveness in the short term. The company's long-term prospects remain solid, but investors may need to exercise patience as the semiconductor cycle plays out and macroeconomic conditions improve.
 **Score: 65**</t>
  </si>
  <si>
    <t>Investment Report:  
 McDonald's (MCD) is navigating a complex financial and operational environment as it approaches its Q4 earnings report. Recent news highlights challenges such as rising costs and declining profits in key markets like India, where its operator Westlife Foodworld reported a 59% drop in third-quarter profit due to increased store openings and promotional spending. Despite these pressures, McDonald's continues to focus on growth through expansion and value-driven offerings, leveraging its franchisor model to maintain stable revenue streams. However, the company faces headwinds from high commodity prices and traffic challenges, which could weigh on its near-term performance.  
 Financially, McDonald's exhibits mixed signals. The stock has seen a slight decline, recently closing at $291.15, underperforming the broader market. Key metrics such as a trailing P/E of 15.87 and forward P/E of 10.57 suggest the stock is relatively attractively valued compared to its historical averages. The company's gross margins of 72.44% and operating margins of 27.46% remain robust, reflecting its ability to manage costs effectively despite inflationary pressures. However, earnings growth has contracted by 11%, and revenue growth is modest at 1.6%, indicating limited momentum in the current environment.  
 The broader economic outlook presents additional challenges. High commodity prices and inflationary pressures, exacerbated by recent tariffs and trade tensions, could further strain McDonald's cost structure. Consumer spending may also be impacted by rising inflation, potentially affecting traffic and sales. On the positive side, McDonald's strong cash flow generation, with free cash flow of $679.6 million, provides a cushion to weather short-term volatility and invest in strategic initiatives.  
 Valuation metrics indicate a mixed picture. The company's enterprise value-to-revenue ratio of 3.41 and enterprise value-to-EBITDA ratio of 11.96 suggest a premium valuation, which may limit upside potential in the near term. However, its dividend yield of 2.13%, supported by a five-year average yield of 1.52%, makes it an attractive option for income-focused investors.  
 In summary, McDonald's faces a challenging near-term outlook due to rising costs, modest revenue growth, and broader economic headwinds. While its strong margins and cash flow generation provide resilience, the upcoming earnings report will be critical in determining its trajectory. The stock's valuation appears reasonable, but external pressures and operational challenges may limit significant upside in the short term.  
 Score: 65</t>
  </si>
  <si>
    <t>Investment Report:
 Darden Restaurants, a prominent player in the restaurant industry, is currently navigating a challenging macroeconomic environment marked by inflationary pressures and potential consumer spending shifts. Despite the absence of recent company-specific news, its financial performance and valuation metrics provide insights into its current standing and future prospects.
 **Recent News and Economic Context:**  
 The broader economic landscape is characterized by rising inflation and potential trade disruptions due to new tariffs imposed by the U.S. administration. These factors could impact consumer discretionary spending, including dining out, which is a key driver for Darden's revenue. Additionally, the ongoing volatility in the stock market, particularly in sectors sensitive to consumer behavior, may weigh on investor sentiment toward the restaurant industry.
 **Financial Performance:**  
 Darden's financials reveal a mixed picture. The company has a trailing price-to-earnings (PE) ratio of 14.2 and a forward PE of 9.26, suggesting that the market anticipates earnings growth despite recent challenges. Its dividend yield of 4.71% is attractive, especially compared to its five-year average of 3.07%, indicating a commitment to returning value to shareholders. However, the payout ratio of 65.99% suggests limited room for dividend growth without significant earnings improvement.
 The company's revenue growth of 6% year-over-year is a positive indicator, but its earnings growth has declined sharply by 96.1%, reflecting margin pressures. Operating margins stand at 1.59%, and gross margins at 13.81%, both of which are relatively low for the industry. The debt-to-equity ratio of 110.12% highlights a leveraged balance sheet, which could pose risks in a rising interest rate environment.
 **Valuation and Market Position:**  
 Darden's current price-to-book ratio of 0.94 indicates that the stock is trading below its book value, which may signal undervaluation. However, its enterprise value-to-EBITDA ratio of 10.17 suggests that the market is pricing in some level of operational risk. The stock's 52-week performance shows a decline of 23.43%, underperforming the S&amp;P 500's gain of 21.93% over the same period. This underperformance may reflect investor concerns about the company's ability to navigate current economic challenges.
 **Economic Outlook and Industry Impact:**  
 The restaurant industry is particularly sensitive to changes in consumer spending, which could be affected by inflation and potential economic slowdowns. Darden's relatively low beta of 0.54 indicates lower volatility compared to the broader market, which may provide some stability in turbulent times. However, the company's high debt levels and declining earnings growth could limit its ability to invest in growth initiatives or weather prolonged economic headwinds.
 In summary, while Darden Restaurants offers an attractive dividend yield and appears undervalued based on certain metrics, its declining earnings growth, leveraged balance sheet, and exposure to macroeconomic risks present significant challenges. The company's ability to adapt to changing consumer behavior and manage costs will be critical in determining its near-term performance.
 Score: 62</t>
  </si>
  <si>
    <t>Investment Report:  
 Hasbro, a prominent player in the Leisure Products industry, is navigating a challenging environment marked by mixed financial performance and broader economic uncertainties.  
 **Recent News:**  
 There have been no significant updates or developments regarding Hasbro in the past week. This lack of news suggests stability in operations but also indicates no immediate catalysts for growth or market sentiment shifts.  
 **Financials:**  
 Hasbro's recent financial data reflects a mixed picture. The company is trading near the lower end of its 52-week range ($46.09 - $73.46), with a current price-to-book ratio of 6.14, indicating a premium valuation relative to its book value. The forward price-to-earnings (P/E) ratio of 13.04 suggests moderate expectations for future earnings growth. However, the firm reported a trailing twelve-month net loss of $641.2 million, resulting in negative trailing earnings per share (EPS) of -$4.64. This highlights ongoing profitability challenges.  
 On the positive side, Hasbro maintains a strong dividend yield of 4.84%, supported by a forward annual dividend rate of $2.80. The payout ratio of 325.58% raises concerns about the sustainability of dividends, given the company's negative profit margins (-14.83%) and declining revenue growth (-14.8%). The gross margin of 56.52% and operating margin of 23.56% indicate operational efficiency, but these are overshadowed by the overall net losses.  
 **Valuations:**  
 Hasbro's enterprise value-to-revenue ratio of 2.48 and enterprise value-to-EBITDA ratio of 13.9 suggest the company is relatively expensive compared to its earnings potential. Analysts remain optimistic, with a mean target price of $76.79 and a "buy" recommendation, reflecting confidence in the company's long-term prospects. However, the high debt-to-equity ratio of 305.02% and declining revenue growth signal financial leverage concerns and potential headwinds in the near term.  
 **Economic Outlook:**  
 The broader economic environment poses challenges for Hasbro. The recent imposition of tariffs by the U.S. administration could increase input costs for manufacturing and disrupt supply chains, particularly if the company relies on imports from affected regions. Additionally, inflationary pressures and potential trade tensions may dampen consumer spending, impacting demand for discretionary products like toys and games.  
 Despite these challenges, Hasbro's relatively low beta of 0.62 suggests lower volatility compared to the broader market, which could provide some stability during periods of economic uncertainty. The company's strong institutional ownership (88.77%) indicates confidence among large investors, though short interest at 3.09% of shares outstanding reflects some bearish sentiment.  
 **Conclusion:**  
 Hasbro faces a complex mix of opportunities and risks. While its dividend yield and operational efficiency are attractive, the company's profitability challenges, high debt levels, and exposure to macroeconomic headwinds warrant caution. The lack of recent news or significant developments further underscores the need for a longer-term perspective on the company's recovery and growth potential.  
 Score: 62</t>
  </si>
  <si>
    <t>Investment Report:
 Host Hotels &amp; Resorts, a leading player in the Hotel &amp; Resort REITs industry, is navigating a challenging macroeconomic environment marked by inflationary pressures and geopolitical uncertainties. Despite the absence of recent company-specific news, its financial performance and valuation metrics provide insights into its current position and potential trajectory.
 **Recent Financial Performance:**
 Host Hotels &amp; Resorts' stock has experienced a decline, with its current price nearing its 52-week low of $15.71, significantly below its 52-week high of $21.31. The stock's beta of 1.344 indicates higher volatility compared to the broader market, which could amplify price swings in the current uncertain economic climate. The company reported a trailing price-to-earnings (PE) ratio of 16.01 and a forward PE of 18.03, suggesting a modest valuation relative to its earnings, though forward earnings expectations indicate potential headwinds.
 The firm's revenue growth of 9.2% year-over-year is a positive indicator, reflecting resilience in its operations despite broader economic challenges. However, earnings growth has contracted by 25.2%, and quarterly earnings growth declined by 26.1%, signaling profitability pressures. The company's profit margins stand at 12.9%, with EBITDA margins of 27.1%, reflecting solid operational efficiency but also highlighting the impact of rising costs.
 **Dividend and Valuation Metrics:**
 Host Hotels &amp; Resorts offers a dividend yield of 4.79%, above its five-year average of 4.49%, which may appeal to income-focused investors. However, its payout ratio of 77.7% suggests limited room for dividend growth, especially given the earnings contraction. The price-to-book ratio of 1.72 indicates the stock is trading at a premium to its book value, which is not uncommon for REITs but may limit upside potential in a rising interest rate environment.
 **Debt and Liquidity:**
 The company maintains a debt-to-equity ratio of 81.95, reflecting a relatively high leverage position. While its quick ratio of 2.59 and current ratio of 2.59 indicate strong short-term liquidity, the total debt of $5.64 billion could pose challenges if interest rates rise further or if economic conditions deteriorate. The firm's free cash flow of $1.16 billion and operating cash flow of $1.47 billion provide some cushion to manage debt obligations and maintain operations.
 **Economic and Industry Outlook:**
 The broader economic environment, characterized by inflationary pressures and potential trade disruptions due to new tariffs, could weigh on consumer spending and travel demand, directly impacting the hospitality sector. Additionally, the recent California wildfires and geopolitical tensions may create localized disruptions in key markets. However, the company's diversified portfolio and operational scale may help mitigate some of these risks.
 The REIT sector as a whole faces challenges from rising interest rates, which increase borrowing costs and make dividend yields less attractive compared to fixed-income alternatives. Host Hotels &amp; Resorts' relatively high leverage and declining earnings growth may exacerbate these pressures.
 **Valuation and Analyst Sentiment:**
 Analyst sentiment remains cautiously optimistic, with a mean target price of $20.58 and a median target price of $21.00, suggesting potential upside from current levels. The recommendation mean of 1.76 (indicating a "buy") reflects confidence in the company's long-term prospects, though near-term challenges persist.
 **Conclusion:**
 Host Hotels &amp; Resorts is positioned as a stable income-generating REIT with a strong liquidity profile and operational efficiency. However, declining earnings growth, high leverage, and broader economic uncertainties present significant risks. While the stock's current valuation and dividend yield may provide some support, the near-term outlook remains clouded by macroeconomic headwinds and sector-specific challenges.
 Score: 62</t>
  </si>
  <si>
    <t>Investment Report:
 **Recent News:**  
 Ventas, a prominent player in the Health Care REITs industry, has not been in the news recently, indicating a lack of significant developments or disruptions. This stability may reflect a steady operational environment, though it also suggests no immediate catalysts for growth or concern.
 **Financials:**  
 Ventas exhibits a mixed financial profile. The firm’s dividend yield of 2.98% is below its five-year average of 4.28%, which may indicate a less attractive income proposition for dividend-focused investors. The payout ratio of 90% suggests that a significant portion of earnings is allocated to dividends, leaving limited room for reinvestment or growth. The company’s forward P/E ratio of 133.39 is notably high, signaling that the stock may be overvalued relative to its earnings potential. Additionally, Ventas reported a negative net income of $66.5 million, with a trailing EPS of -$0.14, reflecting profitability challenges. However, the firm’s revenue growth of 8% and strong EBITDA margins of 38.71% highlight operational efficiency and steady top-line expansion.
 The company’s debt-to-equity ratio of 136.68% is elevated, indicating significant leverage. While this is common in the REIT sector due to the capital-intensive nature of real estate investments, it poses risks in a rising interest rate environment. Ventas’ total cash of $1.1 billion and free cash flow of $1.04 billion provide some liquidity cushion, but the high enterprise value-to-EBITDA ratio of 20.95 suggests the stock may be expensive relative to its earnings before interest, taxes, depreciation, and amortization.
 **Valuations:**  
 Ventas is trading at a price-to-book ratio of 2.64, which is relatively high for a REIT, potentially signaling overvaluation. The stock’s 52-week performance shows a 33.97% increase, outperforming the S&amp;P 500’s 21.93% gain over the same period. However, the firm’s current price is near its 50-day average of $60.36, suggesting limited short-term momentum. Analyst sentiment remains positive, with a recommendation mean of 1.7 (indicating a "buy") and a target median price of $70, implying potential upside from current levels.
 **Economic Outlook:**  
 The broader economic environment presents challenges for Ventas. Rising inflationary pressures, exacerbated by new tariffs, could increase operational costs and impact tenant affordability in the healthcare sector. Additionally, the Federal Reserve’s potential hawkish stance to combat inflation may lead to higher interest rates, increasing the cost of debt servicing for highly leveraged firms like Ventas. However, the healthcare REIT sector benefits from demographic tailwinds, such as an aging population, which supports long-term demand for healthcare facilities.
 **Conclusion:**  
 While Ventas demonstrates operational efficiency and revenue growth, its high leverage, negative profitability, and elevated valuation metrics raise concerns. The broader economic environment, including inflation and interest rate risks, could further pressure the firm. However, the positive analyst sentiment and demographic trends in the healthcare sector provide some optimism for long-term growth.
 Score: 62</t>
  </si>
  <si>
    <t>Investment Report: Intuit Inc. (INTU)
 **Recent News**  
 Intuit Inc. has garnered significant attention from investors, as highlighted by its frequent mentions on financial platforms. This interest is likely driven by its position in the application software industry, which remains a critical sector despite recent macroeconomic challenges. However, the broader technology market has faced headwinds, including the global tech selloff triggered by the emergence of DeepSeek, a Chinese AI competitor. While Intuit is not directly tied to the chip industry, the overall negative sentiment in the tech sector could weigh on its stock performance in the short term.
 **Financials**  
 Intuit's financial performance presents a mixed picture. The company has a trailing price-to-earnings (P/E) ratio of 15.54 and a forward P/E of 8.82, suggesting that the stock may be undervalued relative to its future earnings potential. However, the firm's profit margins are negative (-3.0%), and it reported a net loss of $413.6 million in the most recent quarter, reflecting challenges in maintaining profitability. Earnings growth has declined significantly (-58.6%), although revenue growth remains positive at 5.1%. The company's gross margins of 25.35% and operating margins of 19.67% indicate some operational efficiency, but these are overshadowed by its negative return on equity (-0.94%) and substantial free cash flow deficit (-$7.65 billion).  
 Intuit's balance sheet shows a current ratio of 4.42, indicating strong short-term liquidity, but its debt-to-equity ratio of 5.60 raises concerns about its leverage. The company holds $1.04 billion in cash, which provides some financial flexibility, but its total debt of $890.3 million could limit its ability to navigate prolonged economic challenges.
 **Valuations**  
 The stock is trading at a price-to-book ratio of 0.77, suggesting it is undervalued relative to its book value. Additionally, its enterprise value-to-revenue ratio of 2.21 and enterprise value-to-EBITDA ratio of 12.33 are within reasonable ranges for the industry. Analysts have a median price target of $20.00, representing modest upside potential from its current trading levels. However, the recommendation mean of 2.88 (on a scale where 1 is a strong buy and 5 is a sell) indicates a cautious "hold" sentiment among analysts.
 **Economic Outlook**  
 The broader economic environment poses challenges for Intuit. The recent tariffs imposed by the U.S. government on key trading partners, combined with inflationary pressures, could dampen consumer and business spending, potentially affecting demand for Intuit's software solutions. Additionally, the volatility in the technology sector, exacerbated by the global tech selloff, may create headwinds for the stock. However, Intuit's focus on essential financial and tax software could provide some resilience, as these services are often considered necessities for businesses and individuals.
 **Conclusion**  
 While Intuit has strong liquidity and appears undervalued based on certain metrics, its negative profitability, declining earnings growth, and broader economic uncertainties present significant risks. The company's ability to navigate these challenges will depend on its operational execution and the stabilization of the macroeconomic environment.
 Score: 62</t>
  </si>
  <si>
    <t>Investment Report:  
 West Pharmaceutical Services, operating in the Health Care Supplies industry, presents a mixed investment profile based on its recent financial performance and broader economic conditions.  
 **Recent News:**  
 There have been no significant updates or developments regarding the company in the past week. This lack of news suggests stability but also indicates no immediate catalysts for growth or concern.  
 **Financials:**  
 West Pharmaceutical Services is trading near the midpoint of its 52-week range ($26.73 - $36.27), with a current price-to-earnings (P/E) ratio of 56.94, which is significantly higher than the industry average, indicating a premium valuation. The forward P/E of 28.92 suggests expectations of improved earnings, though the trailing PEG ratio of 10.99 highlights concerns about growth relative to valuation.  
 The company has faced challenges, with earnings quarterly growth declining by 88.3% and revenue growth contracting by 16.9%. Despite these setbacks, the firm maintains a healthy current ratio of 2.01, indicating strong liquidity, and a manageable debt-to-equity ratio of 51.34%. Profit margins remain modest at 7.43%, with gross margins at 18.79%.  
 Dividend yield stands at 2.58%, slightly below its five-year average of 2.75%, reflecting a stable but not particularly high income return. The payout ratio of 108.22% raises concerns about the sustainability of dividends, as it exceeds earnings.  
 **Valuations:**  
 The stock's price-to-book ratio of 2.25 suggests it is trading at a reasonable premium to its book value. However, the enterprise value-to-EBITDA ratio of 21.65 indicates the stock is relatively expensive compared to its earnings before interest, taxes, depreciation, and amortization. Analyst sentiment remains positive, with a recommendation mean of 1.75 (indicating a "buy") and a target median price of $35, implying potential upside from current levels.  
 **Economic Outlook:**  
 The broader macroeconomic environment poses challenges for West Pharmaceutical Services. The recent imposition of tariffs and inflationary pressures could increase input costs, particularly for a company reliant on global supply chains. Additionally, the health care sector may face headwinds from potential regulatory changes under the current U.S. administration.  
 The company's beta of 1.43 suggests higher volatility compared to the broader market, which could amplify risks in the current uncertain economic climate. However, its strong institutional ownership (88.05%) reflects confidence from large investors.  
 **Conclusion:**  
 West Pharmaceutical Services demonstrates resilience through its liquidity and market positioning but faces significant challenges in earnings growth and valuation. The broader economic environment, including inflationary pressures and trade disruptions, could weigh on its performance in the near term. While the stock has potential upside based on analyst targets, its high valuation metrics and declining growth warrant caution.  
 Score: 62</t>
  </si>
  <si>
    <t>Investment Report:
 MetLife, a prominent player in the Life &amp; Health Insurance industry, faces a mixed outlook as it navigates rising expenses and a challenging macroeconomic environment. Recent news suggests that the company's fourth-quarter earnings may be pressured by higher operating costs and lower net investment income, which could weigh on profitability. This comes at a time when the broader financial sector is grappling with inflationary pressures and market volatility.
 **Recent News:**  
 MetLife's anticipated earnings growth for Q4 appears to be constrained by elevated expenses, a trend that could reflect broader industry challenges such as rising claims costs and administrative overhead. Additionally, lower net investment income, likely influenced by market fluctuations and a less favorable interest rate environment, may further dampen results. These factors could limit the company's ability to deliver robust earnings growth in the near term.
 **Financials:**  
 MetLife's financial metrics present a mixed picture. The company has a trailing price-to-earnings (P/E) ratio of 36.17 and a forward P/E of 31.88, indicating a relatively high valuation compared to its earnings growth. The firm's profit margins stand at a healthy 21.15%, supported by strong operating margins of 29.36% and EBITDA margins of 30.37%. However, revenue growth remains modest at 1.3%, and earnings growth is projected at 8.1%, which may not justify the elevated valuation multiples. The company's total debt of $2.08 billion and a quick ratio of 0.598 suggest some liquidity constraints, though its operating cash flow of $983.66 million provides a degree of financial stability.
 **Valuations:**  
 MetLife's current market price hovers near its 50-day moving average of $1,260.16, but it remains below its 200-day average of $1,355.42, reflecting recent market weakness. The stock's 52-week range of $1,133.46 to $1,546.93 indicates significant volatility, with the current price closer to the lower end of this range. Analysts' target prices suggest limited upside, with a median target of $1,350.00 and a recommendation mean of 2.93, leaning toward a "hold" rating.
 **Economic Outlook:**  
 The broader economic environment poses challenges for MetLife. Rising inflation, driven in part by new tariffs and trade tensions, could increase claims costs and administrative expenses. Additionally, market volatility, particularly in the technology sector, may impact the company's investment portfolio returns. However, MetLife's strong gross margins of 59.48% and its ability to generate free cash flow of $773.19 million provide some resilience against these headwinds.
 **Conclusion:**  
 MetLife's near-term outlook is clouded by rising expenses and lower investment income, which could weigh on earnings growth. While the company benefits from strong margins and cash flow generation, its modest revenue growth and elevated valuation multiples may limit upside potential. The broader economic environment, characterized by inflationary pressures and market volatility, adds further uncertainty. Investors may need to monitor upcoming earnings results and management's ability to control costs and navigate the challenging macroeconomic landscape.
 Score: 62</t>
  </si>
  <si>
    <t>**Investment Report: Bank of America (BAC)**
 **Recent News:**  
 Bank of America (BAC) faces a complex environment as new tariffs introduced by the Trump administration create uncertainty around interest rate policy. Tariffs on imports from Canada, Mexico, and China could lead to inflationary pressures, potentially influencing the Federal Reserve's stance on interest rate cuts. For a bank like BAC, which is sensitive to interest rate movements, this ambiguity could impact its net interest income and overall profitability. Additionally, the broader economic uncertainty stemming from trade tensions may weigh on consumer and business confidence, potentially affecting loan demand and credit quality.
 **Financials:**  
 Bank of America's recent financial performance reflects mixed signals. The stock has seen a decline, with a recent close of $32.56 and a 52-week range of $28.34 to $44.01, indicating significant volatility. The trailing price-to-earnings (P/E) ratio of 126.56 appears inflated due to a sharp decline in earnings, while the forward P/E of 12.86 suggests expectations of recovery. The bank's dividend yield of 2.09% is slightly below its five-year average of 2.06%, but its low payout ratio of 4.64% indicates room for dividend stability or growth. However, earnings growth has been negative (-94.5%), and net income to common shareholders stands at a modest $121 million, reflecting challenges in profitability.
 BAC's balance sheet shows a high debt-to-equity ratio of 166.13, which could be a concern in a rising interest rate environment. The bank's return on equity (ROE) of 1.63% and return on assets (ROA) of 0.32% are below industry averages, signaling inefficiencies in generating returns. On the positive side, revenue growth of 3.8% and gross margins of 37.47% suggest some resilience in its core operations.
 **Valuations:**  
 Bank of America's price-to-book (P/B) ratio of 2.05 is higher than many of its peers in the diversified banking sector, indicating that the stock may be overvalued relative to its book value. The market capitalization of $161.55 billion positions BAC as a major player in the industry, but its enterprise value of $27.99 billion reflects the impact of its significant debt load. Analyst sentiment is cautious, with a recommendation mean of 2.75 (between "hold" and "underperform") and a target median price of $38, suggesting limited upside potential in the near term.
 **Economic Outlook:**  
 The macroeconomic environment presents both risks and opportunities for Bank of America. The inflationary impact of tariffs could lead to higher interest rates, which would benefit BAC's net interest margin. However, prolonged trade tensions and potential retaliatory tariffs could dampen economic growth, increasing the risk of loan defaults and reducing demand for credit. Additionally, the recent tech sector selloff and broader market volatility may weigh on investor sentiment, further pressuring financial stocks.
 **Conclusion:**  
 Bank of America operates in a challenging environment marked by trade uncertainty, inflationary pressures, and market volatility. While the bank's revenue growth and dividend stability are positive factors, its high debt levels, weak earnings growth, and sensitivity to interest rate movements pose significant risks. The stock's valuation metrics suggest limited near-term upside, and the broader economic outlook remains uncertain. BAC's performance will likely hinge on the resolution of trade tensions and the Federal Reserve's monetary policy decisions in the coming months.
 **Score: 55**</t>
  </si>
  <si>
    <t>Investment Report:
 **Recent News:**  
 Coterra has not been in the news over the past week, indicating a lack of significant developments or announcements. This absence of news suggests stability in operations but also a lack of catalysts to drive short-term investor sentiment.
 **Financials:**  
 Coterra's financial performance reflects a mixed picture. The company has a strong dividend yield of 7.01%, significantly above its five-year average of 4.21%, which may appeal to income-focused investors. However, its payout ratio of 221.99% raises concerns about the sustainability of these dividends, as it indicates the company is paying out more than its earnings. The trailing PE ratio of 31.68 and forward PE of 33.18 suggest the stock is trading at a premium compared to its earnings, which could deter value-oriented investors. 
 The firm's revenue growth has declined slightly by 0.9% year-over-year, while earnings growth remains positive at 14.3%. This divergence highlights cost management and operational efficiency but also signals challenges in expanding top-line revenue. The gross margin of 72.15% and EBITDA margin of 60.58% are robust, reflecting strong profitability within the oil and gas exploration and production sector. However, the high debt-to-equity ratio of 559.59% and weak liquidity metrics (quick ratio of 0.365 and current ratio of 0.536) indicate financial leverage and potential vulnerability to rising interest rates or economic downturns.
 **Valuations:**  
 Coterra's stock has declined 17.07% over the past year, underperforming the S&amp;P 500, which gained 21.93% in the same period. The stock is trading near its 52-week low of $84.20, well below its 52-week high of $120.92, suggesting potential undervaluation if the company can address its challenges. However, the price-to-book ratio of 7.34 is relatively high, indicating the stock may still be expensive relative to its net asset value. Analyst sentiment is neutral, with a "hold" recommendation and a target median price of $112, implying moderate upside potential from current levels.
 **Economic Outlook:**  
 The broader macroeconomic environment presents both opportunities and risks for Coterra. The recent U.S. sanctions on Russia's energy sector could tighten global oil and gas supply, potentially supporting higher commodity prices and benefiting producers like Coterra. However, the new tariffs imposed by the Trump administration may increase costs for energy companies reliant on imported equipment or materials, potentially pressuring margins. Additionally, the inflationary environment and potential Federal Reserve rate hikes could increase borrowing costs, further straining Coterra's already leveraged balance sheet.
 **Conclusion:**  
 Coterra's strong profitability metrics and attractive dividend yield are offset by concerns about its high debt levels, declining revenue growth, and premium valuation. While the stock's recent underperformance and proximity to its 52-week low may attract contrarian investors, the broader economic uncertainties and company-specific risks warrant caution in the near term.
 Score: 55</t>
  </si>
  <si>
    <t>Investment Report:  
 International Flavors &amp; Fragrances (IFF), a key player in the Specialty Chemicals industry, has shown mixed financial performance and valuation metrics amidst a challenging macroeconomic environment.  
 **Recent News:**  
 There have been no significant updates or developments regarding the company in the past week. This lack of news suggests stability in operations but also indicates no immediate catalysts for growth or risk mitigation.  
 **Financials:**  
 IFF's financial performance reflects a company navigating through operational challenges. The firm reported a negative profit margin of -20.33%, driven by a net loss of $2.32 billion over the trailing twelve months. Despite this, revenue growth of 3.7% year-over-year and EBITDA of $1.88 billion indicate some operational resilience. However, free cash flow remains negative at -$868.5 million, highlighting liquidity pressures. The company's debt-to-equity ratio of 66.12% underscores a significant leverage position, which could be a concern in a rising interest rate environment.  
 Dividend metrics show a current yield of 1.84%, below its five-year average of 2.83%, reflecting a reduced payout ratio of 54%. This suggests a cautious approach to capital allocation, likely aimed at preserving cash amid financial headwinds.  
 **Valuations:**  
 IFF's forward P/E ratio of 18.98 and price-to-book ratio of 1.50 suggest the stock is trading at a moderate valuation relative to its peers. However, the enterprise value-to-EBITDA ratio of 16.71 indicates a premium valuation, which may not be justified given the company's negative profitability and high debt levels. Analyst sentiment remains optimistic, with a "buy" recommendation and a target median price of $105, implying potential upside from the current price of $85.38.  
 **Economic Outlook:**  
 The broader macroeconomic environment presents challenges for IFF. The recent imposition of tariffs by the U.S. administration could disrupt global supply chains and increase input costs for the Specialty Chemicals industry. Additionally, inflationary pressures and potential Federal Reserve tightening may further strain consumer demand and operational costs. However, IFF's diversified product portfolio and exposure to essential industries like food, beverages, and personal care may provide some insulation against economic volatility.  
 **Conclusion:**  
 While IFF demonstrates resilience through revenue growth and operational scale, its negative profitability, high leverage, and liquidity concerns weigh on its near-term outlook. The broader economic environment, including trade tensions and inflation, adds further uncertainty. The stock's valuation suggests some optimism, but risks remain elevated.  
 Score: 55</t>
  </si>
  <si>
    <t>**Investment Report: Invitation Homes**
 **Recent News:**  
 There have been no significant developments or announcements regarding Invitation Homes in the past week. This lack of news suggests stability in the company's operations, but it also indicates no immediate catalysts for significant price movement in the short term.
 **Financials:**  
 Invitation Homes, a leading player in the Single-Family Residential REITs industry, is currently trading near its 52-week low of $30.13, with a recent close at $31.15. The stock has underperformed the S&amp;P 500 over the past year, with a 52-week change of -4.8% compared to the S&amp;P 500's gain of 21.9%. The company has a market capitalization of $19 billion and a price-to-book ratio of 1.92, which is relatively modest for the REIT sector. However, its trailing P/E ratio of 43.12 and forward P/E of 42.14 suggest a premium valuation, which may be a concern given the current macroeconomic environment.
 The firm's dividend yield of 3.72% is slightly above its trailing annual yield of 3.6%, but it remains below its five-year average of 2.47%. This indicates a relatively stable income stream for investors, though the high payout ratio of 191.67% raises questions about the sustainability of the dividend in the long term. Additionally, earnings growth has been negative (-28.6%), and revenue growth has slowed to 5.8%, reflecting potential challenges in maintaining profitability.
 **Valuations:**  
 Invitation Homes' enterprise value-to-revenue ratio of 10.61 and enterprise value-to-EBITDA ratio of 19.26 indicate a high valuation relative to its earnings and cash flow generation. The company's debt-to-equity ratio of 90.85% highlights its reliance on leverage, which could pose risks in a rising interest rate environment. Despite these concerns, the company's gross margins of 58.55% and EBITDA margins of 55.10% demonstrate strong operational efficiency.
 Analyst sentiment remains moderately positive, with a recommendation mean of 2.42 (Buy) and a target median price of $36.50, suggesting potential upside from current levels. However, the stock's trailing PEG ratio of 14.42 indicates that its growth prospects may not justify its current valuation.
 **Economic Outlook:**  
 The broader macroeconomic environment presents challenges for Invitation Homes. Rising inflation, driven in part by new tariffs and trade tensions, could increase costs for the company and reduce consumer purchasing power, potentially impacting rental demand. Additionally, the Federal Reserve's potential shift to a more hawkish stance could lead to higher interest rates, increasing borrowing costs for the heavily leveraged REIT sector. However, the ongoing housing shortage in the U.S. may provide some support for rental demand, particularly in the single-family segment.
 **Conclusion:**  
 Invitation Homes faces a mixed outlook. While its operational efficiency and stable dividend yield are positives, its high valuation, slowing growth, and reliance on debt are concerns in the current economic environment. The lack of recent news or catalysts suggests limited short-term upside, and broader macroeconomic headwinds could weigh on the stock's performance.
 Score: 55</t>
  </si>
  <si>
    <t>Investment Report:
 Lennar, a prominent player in the homebuilding industry, is navigating a challenging macroeconomic environment marked by rising inflationary pressures and potential economic slowdowns. Despite the absence of recent firm-specific news, its financial performance and valuation metrics provide insights into its current positioning.
 **Recent Financials:**  
 Lennar's stock has shown some volatility, with a recent trading range between $44.23 and $45.37. The firm’s trailing price-to-earnings (PE) ratio of 22.92 and forward PE of 15.19 suggest a valuation that reflects moderate growth expectations. However, the company’s earnings and revenue growth have faced headwinds, with earnings declining by 24.3% and revenue contracting by 4% year-over-year. This indicates potential challenges in maintaining profitability amidst a slowing housing market.
 The company’s profit margins remain healthy, with gross margins at 76.43% and operating margins at 19.20%. However, the decline in earnings growth and a high debt-to-equity ratio of 384.21% raise concerns about its financial leverage and ability to navigate prolonged economic uncertainty. Lennar’s return on equity (ROE) of 45.17% is robust, reflecting efficient use of equity capital, but the high debt levels could pose risks if market conditions deteriorate further.
 **Valuations and Dividends:**  
 Lennar’s price-to-book ratio of 9.51 is significantly above industry norms, suggesting the stock may be overvalued relative to its book value. The dividend yield of 1.84% is modest, and the payout ratio of 40.82% indicates a sustainable dividend policy. However, the five-year average dividend yield of 4.75% highlights a reduction in yield, potentially reflecting a more cautious approach to capital allocation.
 **Economic Outlook:**  
 The broader economic environment poses challenges for Lennar. Rising tariffs and inflationary pressures could increase input costs for homebuilders, while higher interest rates may dampen housing demand. Additionally, the recent California wildfires could impact housing supply and demand dynamics in key markets, potentially affecting Lennar’s operations. The company’s beta of 1.12 indicates slightly higher sensitivity to market volatility, which could exacerbate stock price fluctuations in the current uncertain environment.
 **Risk Factors:**  
 Lennar faces elevated risks, as indicated by its overall risk score of 10. Governance concerns, including board and compensation risks, may weigh on investor confidence. Furthermore, the firm’s short interest ratio of 5.32 suggests a moderate level of bearish sentiment among investors.
 In summary, while Lennar demonstrates strong profitability metrics and a solid market position, its high leverage, declining growth rates, and exposure to macroeconomic headwinds present notable challenges. The stock’s valuation appears stretched, and the broader economic environment may limit near-term upside potential.
 Score: 55</t>
  </si>
  <si>
    <t>Investment Report:  
 Cadence Design Systems, a key player in the Application Software industry, is currently navigating a challenging macroeconomic environment. Despite no recent news directly impacting the firm, its financial performance and valuation metrics provide insight into its current position and potential trajectory.
 **Recent Financial Performance:**  
 Cadence Design Systems has experienced a decline in its stock price, with a recent close of $36.05 and a day low of $34.455. The stock is trading below its 200-day average of $37.56, reflecting a downward trend over the past year, with a 52-week change of -16.9%, underperforming the S&amp;P 500's 21.9% gain. The firm’s revenue growth has contracted by 4% year-over-year, and its profit margins are negative at -3.2%, indicating challenges in maintaining profitability. Additionally, the company reported a net loss of $361 million in its most recent fiscal year, with a trailing EPS of -$1.68.  
 **Valuation and Risk Metrics:**  
 Cadence's forward P/E ratio of 27.71 suggests that the market expects future earnings growth, but this optimism may be tempered by its high debt-to-equity ratio of 599.43, signaling significant leverage. The enterprise value-to-revenue ratio of 2.95 and enterprise value-to-EBITDA ratio of 9.06 indicate that the company is relatively expensive compared to its revenue and earnings before interest, taxes, depreciation, and amortization. Furthermore, the firm's free cash flow is negative at -$217.75 million, raising concerns about its ability to fund operations and growth without external financing.  
 **Economic and Industry Outlook:**  
 The broader economic environment presents headwinds for Cadence. The recent imposition of tariffs by the U.S. government on key trading partners, coupled with inflationary pressures, could increase costs for software and technology firms reliant on global supply chains. Additionally, the global technology sector has been shaken by the emergence of DeepSeek, a Chinese AI competitor, which has led to significant valuation declines for major tech companies. While Cadence is not directly tied to AI hardware, the overall bearish sentiment in the tech sector could weigh on its stock performance.  
 **Key Strengths and Weaknesses:**  
 Cadence benefits from strong institutional support, with institutions holding over 100% of its float, and a recommendation mean of 1.82 ("buy") from analysts, reflecting confidence in its long-term potential. However, its high beta of 2.96 indicates significant volatility, and its negative return on equity (-6.38%) and return on assets (4.48%) highlight inefficiencies in generating returns from its capital base. The firm's gross margins of 52% and EBITDA margins of 32.5% suggest operational efficiency, but these are overshadowed by its overall financial struggles.  
 **Conclusion:**  
 Cadence Design Systems faces a mixed outlook in the near term. While its valuation metrics and institutional support suggest potential for recovery, its high leverage, negative profitability, and exposure to broader economic and industry challenges present significant risks. The firm's ability to navigate these headwinds and capitalize on its operational strengths will be critical in determining its performance over the next month.  
 Score: 45</t>
  </si>
  <si>
    <t>**Investment Report: Agilent Technologies**
 **Recent News:**  
 Agilent Technologies has not been in the spotlight recently, with no major news or announcements in the past week. This lack of news suggests stability in operations but also indicates no immediate catalysts for significant stock movement. The absence of updates may reflect a steady business environment, though it leaves the firm exposed to broader market and macroeconomic trends.
 **Financials:**  
 Agilent Technologies, a key player in the Life Sciences Tools &amp; Services industry, is currently trading near $97.88, with a 52-week range of $84.7 to $129.17. The stock has declined approximately 19.7% over the past year, underperforming the S&amp;P 500, which has gained 21.9% in the same period. The company’s trailing price-to-earnings (P/E) ratio of 28.99 is relatively high, but its forward P/E of 14.38 suggests expectations of improved earnings in the future. 
 Agilent’s profit margins stand at 13.27%, supported by strong gross margins of 59.68%, indicating efficient cost management. However, earnings growth has been a concern, with a significant decline of 63.9% year-over-year. Revenue growth remains modest at 4.1%, reflecting steady but unspectacular performance. The company’s return on equity (ROE) of 11.54% and return on assets (ROA) of 4.19% are moderate, signaling reasonable but not exceptional profitability.
 The firm maintains a solid balance sheet, with a quick ratio of 1.21 and a current ratio of 1.33, indicating sufficient liquidity to cover short-term obligations. However, its debt-to-equity ratio of 97% is relatively high, which could pose risks in a rising interest rate environment. Free cash flow of $682.68 million and operating cash flow of $1.56 billion provide a cushion for ongoing operations and potential investments.
 **Valuations:**  
 Agilent’s price-to-book (P/B) ratio of 3.08 is slightly elevated compared to industry peers, suggesting the stock may not be deeply undervalued. The enterprise value-to-revenue ratio of 4.46 and enterprise value-to-EBITDA ratio of 15.8 indicate a premium valuation, which may be justified by its strong market position but could limit upside potential in the near term. Analyst sentiment remains positive, with a recommendation mean of 1.76 (indicating a "buy") and a target median price of $113.13, implying a potential upside of approximately 16% from current levels.
 **Economic Outlook:**  
 The broader macroeconomic environment presents challenges for Agilent. The recent imposition of tariffs by the U.S. government could disrupt global supply chains and increase input costs, potentially pressuring margins. Additionally, inflationary pressures and the Federal Reserve’s cautious stance on interest rate cuts may weigh on consumer and business spending, indirectly affecting demand for Agilent’s products. The global technology sector’s recent volatility, driven by competition from Chinese advancements, could also create uncertainty for Agilent, though its focus on life sciences tools may insulate it somewhat from these disruptions.
 **Conclusion:**  
 Agilent Technologies is a fundamentally sound company with strong gross margins and a solid cash flow position. However, declining earnings growth, high debt levels, and a challenging macroeconomic environment could limit near-term performance. While the stock appears fairly valued, its forward P/E suggests potential for recovery if earnings improve. The lack of recent news or catalysts, combined with broader market volatility, may result in subdued performance over the next month.
 **Score:** 65</t>
  </si>
  <si>
    <t>**Investment Report: Apple Inc. (AAPL)**
 **Recent News:**  
 Apple Inc. is navigating a complex landscape marked by both opportunities and challenges. The recent imposition of tariffs on Chinese goods poses a significant risk to Apple's profitability, potentially leading to higher product prices and margin pressures. Historically, Apple has managed to mitigate such risks, but the current geopolitical climate may limit its ability to do so. Despite these headwinds, Apple's fiscal Q1 2025 earnings exceeded expectations, driven by robust growth in its services segment, which now constitutes a substantial portion of its revenue. However, iPhone sales have declined, particularly in China, where competition and delays in AI feature rollouts have contributed to an 11% drop in sales. This underscores the growing importance of Apple's diversification into services and emerging technologies.
 The company has also faced volatility in its stock price, with a recent dip following tariff announcements, though it rebounded after the strong earnings report. Other developments include the cancellation of its Mac-connected AR glasses project, legal challenges in Germany over antitrust issues, and a promising collaboration with SpaceX to integrate Starlink satellite connectivity into iPhones. These moves highlight Apple's focus on innovation and strategic partnerships, even as it faces near-term challenges.
 **Financials:**  
 Apple's financial performance remains strong, with a market capitalization of $3.43 trillion and a trailing price-to-earnings (P/E) ratio of 36.19, reflecting its premium valuation. The company's services segment continues to drive revenue growth, offsetting declines in hardware sales. However, earnings growth has contracted by 34.1% year-over-year, and revenue growth is modest at 6.1%. Apple's gross margins of 46.2% and operating margins of 31.2% remain industry-leading, supported by its high-margin services business. The company also boasts a robust free cash flow of $110.85 billion, providing flexibility for investments and shareholder returns. However, its debt-to-equity ratio of 209.06% indicates a high level of leverage, which could be a concern in a rising interest rate environment.
 **Valuations:**  
 Apple's forward P/E ratio of 27.58 suggests that the market expects continued growth, particularly in its services and AI initiatives. However, its price-to-book ratio of 60.53 and enterprise value-to-EBITDA ratio of 27.07 indicate a rich valuation, which may limit upside potential in the near term. Analysts' target prices range from $197 to $325, with a median target of $254, suggesting limited upside from current levels. The company's dividend yield of 0.42% is modest but sustainable, given its low payout ratio of 15.71%.
 **Economic Outlook:**  
 The broader economic environment presents challenges for Apple. The new tariffs on Chinese goods could exacerbate inflationary pressures and disrupt supply chains, impacting Apple's cost structure and pricing strategy. Additionally, the global technology sector is under pressure following the launch of DeepSeek, a Chinese competitor to OpenAI's ChatGPT, which has led to significant declines in tech stocks, including Apple. However, Apple's strong brand, diversified revenue streams, and focus on innovation position it well to weather these challenges over the long term.
 **Conclusion:**  
 Apple faces a mixed outlook in the near term, with strong services growth and innovation offset by declining hardware sales, tariff-related risks, and a high valuation. While its financial strength and strategic initiatives provide a solid foundation, the current macroeconomic and geopolitical environment may weigh on its performance in the coming month.
 **Score:** 72</t>
  </si>
  <si>
    <t>**Investment Report:**
 **Recent News:**  
 AbbVie has demonstrated resilience and strong performance in its latest earnings report for Q4 2024. The company reported revenues of $15.1 billion and adjusted earnings of $2.16 per share, exceeding Wall Street expectations. This success was largely driven by the robust growth of its newer immunology drugs, Skyrizi and Rinvoq, which have effectively offset the revenue decline from Humira due to its patent expiration. Despite challenges such as setbacks in mergers and acquisitions and the impact of Medicare Part D redesign, AbbVie has raised its sales forecast for Skyrizi and Rinvoq to over $31 billion by 2027. The company projects high single-digit revenue growth through 2029, reflecting confidence in its diversified product portfolio. Following the earnings announcement, AbbVie's stock experienced a notable surge, signaling strong investor confidence in its growth trajectory.
 **Financials:**  
 AbbVie’s financial metrics highlight its solid position in the biotechnology sector. The company has a market capitalization of $190.9 billion and a forward price-to-earnings (P/E) ratio of 19.01, which is relatively attractive given its growth prospects. Its profit margins stand at 25.59%, and it boasts a strong return on equity (ROE) of 35.36%, indicating efficient use of shareholder capital. The company’s gross margins of 88.66% and EBITDA margins of 38.83% underscore its operational efficiency. AbbVie also maintains a healthy free cash flow of $6.62 billion, which supports its ability to invest in R&amp;D, pay dividends, and manage debt. However, its debt-to-equity ratio of 41.79% suggests a moderate level of leverage, which should be monitored in the context of rising interest rates.
 **Valuations:**  
 AbbVie’s stock is trading at a trailing P/E ratio of 35.43, which is higher than its forward P/E of 19.01, reflecting expectations of significant earnings growth. The price-to-book ratio of 13.42 is elevated, but this is typical for a high-margin biotechnology company with strong intellectual property assets. Analysts have a positive outlook on the stock, with a mean target price of $573.34, representing substantial upside potential from its current levels. The recommendation mean of 1.92 (on a scale where 1.0 is a strong buy) further underscores the favorable sentiment among analysts.
 **Economic Outlook:**  
 AbbVie operates in a challenging macroeconomic environment marked by inflationary pressures and trade uncertainties. However, the biotechnology sector is relatively insulated from broader economic volatility due to its focus on essential healthcare products. The company’s strong pipeline of innovative drugs and its ability to navigate patent cliffs position it well for sustained growth. Additionally, AbbVie’s lack of major product exclusivity losses in the near term provides stability in its revenue streams. While the broader market faces headwinds from tariffs and geopolitical tensions, AbbVie’s focus on immunology and oncology—areas with high demand and growth potential—offers a defensive investment profile.
 **Conclusion:**  
 AbbVie’s strong financial performance, robust product pipeline, and optimistic growth projections make it a compelling player in the biotechnology industry. While challenges such as Medicare policy changes and moderate leverage exist, the company’s operational efficiency and strategic focus on high-growth areas provide a solid foundation for continued success. The recent surge in stock price reflects market confidence in AbbVie’s ability to deliver on its long-term growth strategy.
 **Score:** 85</t>
  </si>
  <si>
    <t>**Investment Report: Airbnb (ABNB)**
 **Recent News:**  
 Airbnb has garnered attention for its innovative use of artificial intelligence (AI) to connect landlords and tenants, enhancing its platform's efficiency and reach. This strategic integration of AI has allowed Airbnb to tap into previously inaccessible vacation property markets, positioning it as a leader in leveraging technology within the hospitality sector. Despite broader market challenges, Airbnb's focus on AI-driven solutions has been a key differentiator, potentially offering a competitive edge in a rapidly evolving industry.
 **Financials:**  
 Airbnb's financial performance reflects a mixed picture. The company has a trailing price-to-earnings (PE) ratio of 52.54, indicating a premium valuation compared to its forward PE of 23.33, which suggests expectations of significant earnings growth. Its gross margins of 71.1% and EBITDA margins of 61.7% highlight strong operational efficiency. However, the stock has faced pressure, with a 52-week change of -17.24%, underperforming the S&amp;P 500's 21.93% gain over the same period. The company's revenue growth of 10.9% and earnings growth of 6.48% demonstrate steady progress, though not at a pace to offset broader market concerns. Additionally, Airbnb's debt-to-equity ratio of 58.76% indicates moderate leverage, which could pose risks in a rising interest rate environment.
 **Valuations:**  
 Airbnb's current price-to-book ratio of 0.89 suggests the stock is trading below its book value, which may indicate undervaluation. However, its enterprise value-to-revenue ratio of 11.35 and enterprise value-to-EBITDA ratio of 18.38 suggest a relatively high valuation compared to peers in the Hotels, Resorts &amp; Cruise Lines industry. Analyst sentiment remains cautiously optimistic, with a mean price target of $119.25, representing potential upside from its current trading range. The recommendation mean of 2.42 (on a scale where 1 is a strong buy and 5 is a sell) reflects a general "buy" consensus among analysts.
 **Economic Outlook:**  
 Airbnb operates in a challenging macroeconomic environment marked by inflationary pressures, trade tensions, and geopolitical uncertainties. The recent imposition of tariffs by the U.S. government could indirectly impact consumer spending and travel demand, potentially affecting Airbnb's revenue streams. Additionally, the broader market volatility, particularly in the technology sector, may weigh on investor sentiment toward growth-oriented companies like Airbnb. However, the company's strong cash position of $562.6 million and free cash flow of $1.37 billion provide a buffer against economic headwinds.
 **Conclusion:**  
 Airbnb's innovative use of AI and strong operational metrics position it as a resilient player in the hospitality industry. However, its premium valuation, coupled with macroeconomic uncertainties and market volatility, may limit short-term upside potential. While the company's long-term growth prospects remain intact, near-term performance could be influenced by broader economic and market conditions.
 **Score:** 72</t>
  </si>
  <si>
    <t>**Investment Report: Abbott Laboratories (ABT)**
 **Recent News:**  
 Abbott Laboratories has garnered attention due to its strong performance in the Core Diagnostics business, which continues to drive optimism among investors. This segment benefits from robust demand for diagnostic solutions, particularly in a healthcare environment increasingly focused on precision medicine and early disease detection. However, the company faces challenges from unfavorable foreign exchange (forex) impacts, which could weigh on its international revenue and profitability. The forex headwinds are particularly relevant given Abbott's significant global operations, exposing it to currency fluctuations.
 **Financials:**  
 Abbott's financial position remains solid, with a market capitalization of $222.79 billion and a trailing price-to-earnings (P/E) ratio of 16.81, indicating a reasonable valuation relative to its earnings. The forward P/E of 22.64 suggests expectations of moderate earnings growth. The company has demonstrated steady revenue growth, with a 4.9% year-over-year increase, and earnings growth of 14.6%, reflecting operational efficiency and strong demand in key segments. Abbott's gross margin of 55.91% and operating margin of 18.75% highlight its ability to maintain profitability despite macroeconomic pressures.
 The company also maintains a healthy balance sheet, with a manageable debt-to-equity ratio of 37.59% and a current ratio of 1.60, indicating sufficient liquidity to meet short-term obligations. Abbott's free cash flow of $6.40 billion underscores its ability to reinvest in growth opportunities and sustain its dividend payments. The dividend yield of 2.02% is above its five-year average of 1.66%, making it attractive for income-focused investors.
 **Valuations:**  
 Abbott's price-to-book ratio of 5.60 and price-to-sales ratio of 5.41 suggest the stock is trading at a premium compared to its peers in the healthcare equipment industry. However, this premium may be justified by its strong market position, consistent revenue growth, and innovative product pipeline. Analyst sentiment remains positive, with a mean price target of $133.08, representing modest upside potential from current levels. The recommendation mean of 1.73 (on a scale where 1.0 is a strong buy) reflects confidence in the company's long-term prospects.
 **Economic Outlook:**  
 The broader economic environment presents mixed implications for Abbott. On one hand, the healthcare sector is relatively resilient to economic downturns, and Abbott's diversified portfolio positions it well to weather macroeconomic challenges. On the other hand, the recent implementation of tariffs and trade tensions could indirectly impact Abbott's supply chain and cost structure, particularly for imported components. Additionally, forex volatility remains a concern, as a stronger U.S. dollar could erode international revenue.
 Despite these challenges, Abbott's focus on innovation and its leadership in diagnostics and medical devices provide a strong foundation for growth. The company's ability to adapt to changing market dynamics and its commitment to shareholder returns through dividends and share buybacks further enhance its investment appeal.
 **Score:** 85</t>
  </si>
  <si>
    <t>**Investment Report: Accenture (ACN)**
 **Recent News:**  
 Accenture has demonstrated strong momentum in early 2025, with its stock price nearing a 52-week high. The company has positioned itself as a leader in artificial intelligence (AI) consulting, helping clients integrate advanced AI solutions. This strategic focus has allowed Accenture to capitalize on the growing demand for AI-driven transformation across industries. Despite broader market volatility, Accenture's shares have risen 17% over the past six months, reflecting investor confidence in its operational execution and growth prospects. However, some analysts suggest the stock may be overbought, with potential resistance at current levels.
 **Financials:**  
 Accenture's financial performance highlights its resilience and operational efficiency. The company reported a trailing price-to-earnings (PE) ratio of 7.44 and a forward PE of 5.23, indicating relatively attractive valuations compared to its peers. Its earnings growth of 120.6% and quarterly earnings growth of 117.3% underscore its ability to generate robust profitability. However, revenue growth has declined by 4.2%, signaling potential challenges in maintaining top-line expansion. The company's gross margins of 19.44% and EBITDA margins of 27.14% reflect strong cost management and operational leverage. Accenture's dividend yield of 0.63% is modest but consistent, supported by a payout ratio of 47.46%.
 **Valuations:**  
 Accenture's current price-to-book ratio of 2.31 and enterprise value-to-revenue multiple of 3.34 suggest the stock is trading at a premium, likely due to its leadership in AI consulting and strong earnings growth. The company's market capitalization of $76.15 billion and enterprise value of $41.04 billion highlight its scale and market position. However, its debt-to-equity ratio of 352.88% raises concerns about leverage, which could limit financial flexibility in a rising interest rate environment.
 **Economic Outlook:**  
 The broader macroeconomic environment presents mixed signals for Accenture. The recent global tech market crash, driven by competition from Chinese AI advancements, has created headwinds for the technology sector. However, Accenture's focus on enabling AI adoption positions it as a beneficiary of the ongoing digital transformation. The U.S. economy faces inflationary pressures and potential trade disruptions due to new tariffs, which could impact client budgets and demand for consulting services. Despite these challenges, Accenture's diversified client base and expertise in high-demand areas like AI and digital transformation provide a degree of resilience.
 **Conclusion:**  
 Accenture's strong earnings growth, leadership in AI consulting, and operational efficiency make it a standout performer in the IT consulting sector. However, its high leverage, declining revenue growth, and premium valuation warrant caution. The broader economic environment, including inflationary pressures and trade uncertainties, could pose risks to its growth trajectory. While the company's fundamentals remain solid, its stock may face near-term resistance after recent gains.
 **Score:** 78</t>
  </si>
  <si>
    <t>**Investment Report: Adobe Inc.**
 **Recent News:**  
 Adobe Inc. recently announced the departure of its Chief Strategy Officer, Scott Belsky, who will be joining the independent movie studio A24. Belsky's exit could signal a shift in leadership dynamics, potentially impacting Adobe's strategic direction, particularly in its creative and digital media segments. While this departure may raise concerns about continuity in leadership, Adobe's strong institutional framework and established market position are likely to mitigate any immediate operational disruptions. Additionally, Wall Street analysts have maintained a generally positive outlook on Adobe, with recommendations leaning towards a "buy" rating, reflecting confidence in the company's long-term prospects despite short-term uncertainties.
 **Financials:**  
 Adobe's financial performance reflects a mixed picture. The company has a trailing price-to-earnings (P/E) ratio of 102.03, which is significantly higher than its forward P/E of 23.16, indicating expectations of robust earnings growth in the near future. Adobe's revenue growth of 17.6% year-over-year and earnings growth of 161.1% highlight its ability to scale operations effectively. However, its profit margins remain modest at 7.52%, and its gross margins of 52.12% suggest room for improvement in operational efficiency. The company's balance sheet is relatively strong, with a current ratio of 2.50 and a quick ratio of 1.58, indicating solid liquidity. Adobe also maintains a manageable debt-to-equity ratio of 3.93, supported by a free cash flow of $2.22 billion.
 **Valuations:**  
 Adobe's stock is currently trading near its 52-week low of $112.80, significantly below its 52-week high of $227.30. This sharp decline reflects broader market pressures, particularly in the technology sector, which has been affected by the recent global tech selloff. Despite this, Adobe's price-to-book ratio of 3.25 and enterprise value-to-revenue ratio of 7.65 suggest that the stock may be undervalued relative to its long-term growth potential. Analyst price targets range from $110 to $250, with a median target of $168, indicating substantial upside potential from current levels.
 **Economic Outlook:**  
 The broader economic environment poses challenges for Adobe. The recent global technology market crash, driven by competition from Chinese AI advancements, has weighed heavily on sentiment in the tech sector. Additionally, the U.S. economy faces inflationary pressures from new tariffs, which could dampen consumer and enterprise spending on software solutions. However, Adobe's diversified product portfolio and strong positioning in the digital media and marketing software markets provide resilience against macroeconomic headwinds. The company's focus on subscription-based revenue streams also offers stability in uncertain times.
 **Conclusion:**  
 Adobe's recent leadership change and the broader tech sector downturn present short-term challenges. However, its strong financial fundamentals, growth potential, and market leadership in creative and digital solutions position it well for recovery and long-term growth. While external economic factors may weigh on performance in the near term, Adobe's valuation metrics and analyst sentiment suggest that the stock remains an attractive opportunity for patient investors.
 **Score:** 78</t>
  </si>
  <si>
    <t>**Investment Report: Analog Devices (ADI)**
 **Recent News:**  
 Analog Devices has not been in the spotlight recently, with no major news or developments in the past week. This lack of news suggests stability in the company's operations but also indicates no immediate catalysts for significant price movement. However, the broader semiconductor industry has faced headwinds due to the global tech market downturn, particularly following the emergence of DeepSeek, a Chinese AI competitor. While Analog Devices is not directly tied to AI chips like Nvidia, the sector-wide sentiment could weigh on its stock performance.
 **Financials:**  
 Analog Devices' financial metrics reflect a mixed picture. The company has a trailing price-to-earnings (PE) ratio of 62.57, which is significantly higher than its forward PE of 22.97, indicating expectations of improved earnings in the future. However, earnings growth has been negative, with quarterly earnings declining by 55.3% year-over-year. Revenue growth has also contracted by 24.8%, reflecting challenges in the current macroeconomic environment. Despite these setbacks, the company maintains strong profitability metrics, with gross margins of 57.85% and EBITDA margins of 44.96%, showcasing its ability to generate healthy returns from its operations.
 The dividend yield of 1.65% is slightly below its five-year average of 1.78%, but the payout ratio of 107.23% raises concerns about the sustainability of the dividend if earnings remain under pressure. The company has a solid balance sheet, with a manageable debt-to-equity ratio of 23.07 and a current ratio of 1.69, indicating sufficient liquidity to meet short-term obligations.
 **Valuations:**  
 Analog Devices is trading at a price-to-book ratio of 2.90, which is reasonable for a high-margin semiconductor company. However, its enterprise value-to-revenue ratio of 12.02 and enterprise value-to-EBITDA ratio of 26.73 suggest the stock is priced at a premium relative to its peers. The stock is currently trading near its 52-week low of $182.57, well below its 52-week high of $244.14, which may present an opportunity for long-term investors if the company can navigate the current challenges.
 Analyst sentiment remains positive, with a mean price target of $250.98, representing a potential upside from current levels. The recommendation mean of 1.94 (on a scale where 1.0 is a strong buy) indicates confidence in the stock's long-term prospects.
 **Economic Outlook:**  
 The semiconductor industry is facing a challenging macroeconomic environment, with global trade tensions and new tariffs imposed by the U.S. administration adding to supply chain uncertainties. Analog Devices, which operates in a highly cyclical industry, may experience further pressure if these trade disruptions persist. Additionally, the broader tech market's recent volatility could weigh on investor sentiment, even though Analog Devices is less exposed to the AI-driven competition that has impacted companies like Nvidia.
 On the positive side, Analog Devices' diversified product portfolio and focus on industrial, automotive, and communications markets provide some insulation from the more volatile consumer electronics segment. The company's strong cash flow generation and liquidity position also offer resilience in navigating the current economic headwinds.
 **Conclusion:**  
 Analog Devices is a fundamentally strong company with robust margins and a solid balance sheet. However, the recent decline in earnings and revenue growth, coupled with broader industry challenges, may limit near-term upside. While the stock appears undervalued relative to its historical highs, the premium valuation metrics and macroeconomic uncertainties warrant caution. The company's long-term prospects remain intact, but short-term performance may be constrained by external factors.
 **Score:** 65</t>
  </si>
  <si>
    <t>**Investment Report: Archer Daniels Midland (ADM)**
 **Recent News:**  
 Archer Daniels Midland (ADM) is navigating a challenging environment as it prepares to release its Q4 earnings report. Analysts anticipate a decline in earnings, citing unfavorable market conditions and lower crop prices. Additionally, ADM is reportedly planning global layoffs to reduce costs, reflecting the pressure on profitability. These developments highlight the company's efforts to adapt to a difficult macroeconomic landscape, but they also signal potential short-term operational disruptions. The layoffs, while aimed at cost efficiency, may impact employee morale and operational continuity in the near term.
 **Financials:**  
 ADM's financial metrics reveal a mixed picture. The company has a trailing price-to-earnings (P/E) ratio of 14.05 and a forward P/E of 10.71, suggesting that the stock is relatively undervalued compared to its historical earnings. However, earnings growth has declined by 42.4% year-over-year, and revenue growth has contracted by 11.7%, reflecting the broader challenges in the agricultural sector. ADM's gross margins stand at 7.44%, and operating margins are at 2.22%, both of which are modest and indicate limited pricing power in a competitive market. The company's debt-to-equity ratio of 52.87% is manageable but highlights a reliance on leverage, which could be a concern in a rising interest rate environment.
 ADM's dividend yield of 3.79% is attractive, especially given its payout ratio of 54.78%, which suggests the dividend is sustainable. However, the company's free cash flow of $2.14 billion and operating cash flow of $4.73 billion may face pressure if profitability continues to decline.
 **Valuations:**  
 ADM's price-to-book ratio of 1.06 indicates that the stock is trading close to its book value, which could appeal to value-oriented investors. The enterprise value-to-revenue ratio of 0.41 and enterprise value-to-EBITDA ratio of 9.19 suggest that the company is reasonably valued relative to its revenue and earnings before interest, taxes, depreciation, and amortization. However, the stock's 52-week performance has declined by 4%, underperforming the S&amp;P 500's 21.9% gain over the same period, reflecting investor concerns about the company's growth prospects.
 **Economic Outlook:**  
 The agricultural sector is facing headwinds from lower crop prices, which are eroding margins for companies like ADM. Additionally, the broader macroeconomic environment, including inflationary pressures and trade uncertainties due to new tariffs, could further impact ADM's cost structure and revenue streams. The company's global operations may also be affected by geopolitical tensions and supply chain disruptions. On the positive side, ADM's diversified portfolio and global reach provide some resilience, and its focus on cost-cutting measures may help mitigate the impact of these challenges over time.
 **Conclusion:**  
 ADM is currently navigating a difficult operating environment characterized by declining earnings, lower crop prices, and macroeconomic uncertainties. While the company's valuation metrics suggest it may be undervalued, the near-term outlook remains challenging due to declining profitability and revenue growth. ADM's dividend yield and cost-cutting initiatives provide some support, but the broader economic and industry-specific challenges may weigh on the stock's performance in the short term.
 **Score:** 62</t>
  </si>
  <si>
    <t>**Investment Report:**
 **Recent News:**  
 Automatic Data Processing (ADP) has delivered a strong fiscal second-quarter performance, with revenues of $5.05 billion, an 8% year-over-year increase, surpassing analyst expectations of $4.97 billion. Earnings per share (EPS) also exceeded forecasts at $2.35 versus $2.29. This growth is driven by robust demand for human capital management (HCM) and payroll services, particularly among small and medium-sized businesses. ADP's ability to outperform in a challenging macroeconomic environment, coupled with its Dividend King status and stable AA- credit rating, underscores its resilience. The company's proactive approach to integrating AI advancements into its offerings positions it well to navigate potential technological disruptions. Notably, ADP's stock rose 1.7% on a day of broader market declines, reflecting investor confidence in its fundamentals and reaffirmed fiscal 2025 outlook.
 **Financials:**  
 ADP's financial metrics highlight its strong operational performance. The company boasts a trailing price-to-earnings (P/E) ratio of 32.08 and a forward P/E of 28.26, indicating a premium valuation supported by consistent earnings growth. Its profit margins remain healthy, with a net margin of 19.7% and EBITDA margin of 29.4%. Revenue growth of 7.1% and earnings growth of 12.5% year-over-year further demonstrate its ability to capitalize on market opportunities. ADP's dividend yield of 2.06% aligns with its five-year average, supported by a sustainable payout ratio of 59.8%. The company maintains a strong cash position of $6.77 billion, though its debt-to-equity ratio of 176.65 suggests a reliance on leverage, which warrants monitoring in a rising interest rate environment.
 **Valuations:**  
 ADP's stock trades near its 52-week high of $311.67, reflecting investor optimism. Its price-to-book ratio of 27.58 and enterprise value-to-EBITDA ratio of 21.67 indicate a high valuation relative to peers. However, these metrics are justified by its consistent revenue and earnings growth, strong market positioning, and ability to generate free cash flow of $2.61 billion. Analyst price targets range from $281.11 to $350, with a median target of $310, suggesting limited upside in the near term. The recommendation mean of 2.72 (on a scale where 1 is "Strong Buy" and 5 is "Sell") indicates a "Hold" consensus among analysts.
 **Economic Outlook:**  
 ADP operates in a sector that is relatively insulated from macroeconomic volatility, as demand for payroll and HCM services remains steady even during economic downturns. However, broader market pressures, including inflationary concerns from new tariffs and potential trade disruptions, could indirectly impact its client base. The company's focus on small and medium-sized businesses, which are more vulnerable to economic headwinds, may pose a risk. Nonetheless, ADP's strategic investments in AI and technology enhancements position it to remain competitive in an evolving market landscape.
 **Conclusion:**  
 ADP's strong financial performance, robust margins, and strategic positioning in the HCM and payroll services market make it a resilient player in the current economic environment. While its high valuation limits immediate upside potential, its consistent dividend growth and ability to adapt to technological advancements provide a solid foundation for long-term stability.
 **Score:** 85</t>
  </si>
  <si>
    <t>**Investment Report: Autodesk Inc. (NASDAQ: ADSK)**
 **Recent News:**  
 Autodesk has recently garnered positive attention following an upgrade by Mizuho from "neutral" to "outperform," accompanied by a significant price target increase from $280 to $400. This bullish sentiment reflects confidence in Autodesk's growth potential, likely driven by its strong positioning in the application software industry and its ability to capitalize on increasing demand for design and engineering software. The stock responded positively, rising 3.7% to $310, signaling investor optimism. This upgrade comes amidst broader market volatility, suggesting Autodesk's resilience and appeal as a high-quality growth stock.
 **Financials:**  
 Autodesk's financial performance highlights its robust profitability and growth metrics. The company reported a trailing price-to-earnings (P/E) ratio of 60.76 and a forward P/E of 33.08, indicating expectations of strong earnings growth. Its revenue growth of 11.9% year-over-year and earnings growth of 26.2% underscore its ability to expand in a competitive market. Gross margins of 91.92% and operating margins of 23.65% reflect its efficient cost structure and pricing power. However, the company's debt-to-equity ratio of 105.21% suggests a leveraged balance sheet, which could pose risks in a rising interest rate environment. Despite this, Autodesk maintains a healthy free cash flow of $1.63 billion, providing flexibility for strategic investments and debt servicing.
 **Valuations:**  
 Autodesk's valuation metrics indicate a premium relative to the broader market, with a price-to-book ratio of 35.33 and an enterprise value-to-EBITDA ratio of 49.49. While these figures suggest the stock is expensive, they are consistent with high-growth software companies that command premium valuations due to their scalability and recurring revenue models. Analysts' consensus target price of $330.15, with a high of $400, implies potential upside from current levels, supported by strong institutional ownership of 94.24%.
 **Economic Outlook:**  
 The broader macroeconomic environment presents mixed implications for Autodesk. The recent imposition of tariffs and trade tensions could disrupt supply chains and increase costs for some of its customers, potentially dampening demand. However, Autodesk's focus on digital transformation and its subscription-based model may insulate it from short-term economic headwinds. Additionally, its high gross margins and strong cash flow position it well to weather inflationary pressures. The ongoing volatility in the technology sector, exacerbated by the recent global tech selloff, could create near-term challenges but also opportunities for long-term investors.
 **Conclusion:**  
 Autodesk's strong financial performance, positive analyst sentiment, and strategic positioning in the application software industry make it a compelling growth story. However, its high valuation and leveraged balance sheet warrant caution, particularly in a volatile macroeconomic environment. The company's ability to sustain its growth trajectory and navigate external challenges will be key to its performance in the coming months.
 **Score:** 78</t>
  </si>
  <si>
    <t>**Investment Report: Ameren Corporation**
 **Recent News:**  
 Ameren Corporation has not been in the spotlight recently, with no significant news or developments reported in the past week. This lack of news suggests stability in its operations, but it also indicates no immediate catalysts for significant price movement in the short term.
 **Financials:**  
 Ameren's financial performance reflects a mixed picture. The company is trading near its 52-week low of $67.96, with a current price-to-book ratio of 1.02, indicating the stock is trading close to its book value. Its trailing price-to-earnings (PE) ratio of 14.53 and forward PE of 11.13 suggest a relatively attractive valuation compared to historical utility sector averages. However, the company's earnings and revenue growth have been under pressure, with earnings growth declining by 74.7% and revenue growth contracting by 8.6% year-over-year.  
 Ameren's dividend yield of 2.17% is below its five-year average of 2.6%, which may be less appealing to income-focused investors. However, the payout ratio of 30.22% indicates the dividend is well-covered by earnings, providing some reassurance of sustainability. The company also maintains a strong institutional ownership of 94.5%, reflecting confidence from large investors.
 **Valuations:**  
 Ameren's valuation metrics suggest the stock is reasonably priced, with a price-to-sales ratio of 1.01 and an enterprise value-to-revenue ratio of 0.94. The forward earnings per share (EPS) of $6.71 implies potential for improved profitability, though this is contingent on the company overcoming its current earnings contraction. Analyst sentiment remains moderately positive, with a recommendation mean of 2.32 (indicating a "buy") and a target median price of $83, representing a potential upside from current levels.
 **Economic Outlook:**  
 The broader macroeconomic environment presents challenges for Ameren. The recent imposition of tariffs and trade tensions could indirectly impact the utility sector through higher input costs and inflationary pressures. Additionally, the Federal Reserve's potential hawkish stance to combat inflation may lead to higher interest rates, which could increase Ameren's cost of capital given its debt-to-equity ratio of 22.31. However, as a utility company, Ameren's business model is generally more resilient to economic downturns due to the essential nature of its services.
 **Conclusion:**  
 Ameren's stable operations and reasonable valuation metrics are offset by declining earnings and revenue growth, as well as broader economic headwinds. While the stock offers some defensive characteristics typical of the utility sector, its near-term performance may be constrained by macroeconomic challenges and internal growth pressures. The lack of recent news or developments further suggests limited short-term catalysts for significant price appreciation.
 **Score:** 65</t>
  </si>
  <si>
    <t>**Investment Report: American Electric Power (AEP)**
 **Recent News:**  
 There have been no significant updates or developments regarding American Electric Power (AEP) in the past week. The absence of news suggests stability in the company's operations, but it also indicates a lack of immediate catalysts for significant stock movement.
 **Financials:**  
 American Electric Power's financial metrics reflect its position as a stable utility company with a focus on dividend payouts. The firm offers a strong dividend yield of 3.5%, significantly above its five-year average of 2.48%, which may appeal to income-focused investors. However, the payout ratio of 158% raises concerns about the sustainability of these dividends, as it indicates the company is paying out more than its earnings.  
 The stock's trailing price-to-earnings (PE) ratio of 44.78 and forward PE of 27.32 suggest a premium valuation compared to the broader market, which may be justified by its defensive nature and consistent cash flows. However, the high price-to-book ratio of 23.79 and elevated debt-to-equity ratio of 439.34% highlight significant leverage, which could pose risks in a rising interest rate environment.  
 AEP's gross margins of 70.85% and operating margins of 45.17% are robust, reflecting efficient operations. The company also maintains a healthy free cash flow of $4.89 billion, which supports its ability to service debt and fund dividends. However, its quick ratio of 0.42 and current ratio of 0.48 indicate limited short-term liquidity, which could be a concern if unexpected financial pressures arise.
 **Valuations:**  
 The stock is currently trading at $184.95, near the lower end of its 52-week range ($170.46 - $243.56). This suggests that the stock has experienced some downward pressure, potentially making it more attractive for long-term investors. Analysts' target prices range from $195 to $255, with a mean target of $229.85, indicating potential upside. The recommendation mean of 1.87 (on a scale where 1.0 is a "strong buy") reflects positive sentiment among analysts.  
 Despite these positives, the stock's valuation metrics, such as its trailing PEG ratio of 1.15, suggest that growth expectations are already priced in. The company's beta of 0.84 indicates lower volatility compared to the broader market, aligning with its defensive utility sector profile.
 **Economic Outlook:**  
 The broader macroeconomic environment presents mixed implications for AEP. The recent imposition of tariffs and rising inflationary pressures could increase costs for utility companies, particularly if energy prices are affected. However, as a utility provider, AEP benefits from its essential service nature, which tends to make it more resilient during economic downturns.  
 The Federal Reserve's potential shift to a more hawkish stance to combat inflation could increase borrowing costs, which may weigh on AEP given its high debt levels. Additionally, the ongoing volatility in the stock market, particularly in the technology sector, may drive investors toward defensive sectors like utilities, potentially supporting AEP's stock price.
 **Conclusion:**  
 American Electric Power demonstrates strong operational efficiency and offers an attractive dividend yield, making it appealing for income-focused investors. However, its high leverage, premium valuation, and limited short-term liquidity present risks, particularly in the current macroeconomic environment. While the stock's recent price decline may offer a more favorable entry point, the sustainability of its dividend and the impact of rising interest rates warrant close monitoring.
 **Score:** 72</t>
  </si>
  <si>
    <t>**Investment Report: AES Corporation**
 **Recent News:**  
 AES Corporation has not been in the news over the past week, indicating a lack of significant developments or disruptions. This stability may reflect a steady operational environment, though it also suggests no immediate catalysts for substantial price movement.
 **Financials:**  
 AES Corporation's financial performance demonstrates a solid position within the Independent Power Producers &amp; Energy Traders industry. The company has a market capitalization of $80.94 billion and a trailing price-to-earnings (P/E) ratio of 20.67, which is slightly elevated compared to the industry average, suggesting moderate investor confidence in its earnings growth. The forward P/E of 17.66 indicates expectations of improved profitability in the near term. 
 The dividend yield of 1.99% is below its five-year average of 4.34%, reflecting a lower income return for investors compared to historical levels. However, the payout ratio of 45.89% suggests the dividend is sustainable. AES has a strong return on equity (ROE) of 113.29%, driven by its high leverage, as evidenced by a debt-to-equity ratio of 295.44%. While this leverage amplifies returns, it also increases financial risk, particularly in a rising interest rate environment.
 The company’s revenue growth is modest at 0.4%, with gross margins of 45.07% and EBITDA margins of 24.87%, indicating efficient cost management. Free cash flow of $3.13 billion and operating cash flow of $1.99 billion provide liquidity to support operations and potential investments. However, the quick ratio of 0.95 and current ratio of 1.43 suggest limited short-term financial flexibility.
 **Valuations:**  
 AES is trading at a price-to-book (P/B) ratio of 17.60, significantly above the industry average, which may indicate overvaluation relative to its book value. The enterprise value-to-EBITDA ratio of 10.28 is reasonable for the sector, reflecting a balanced valuation when considering the company's earnings before interest, taxes, depreciation, and amortization. Analyst sentiment remains positive, with a recommendation mean of 2.16 (buy) and a target median price of $165, implying a modest upside from the current price of $149.18.
 **Economic Outlook:**  
 The broader macroeconomic environment presents challenges for AES Corporation. The recent imposition of tariffs by the U.S. government could increase input costs for energy producers, potentially pressuring margins. Additionally, inflationary pressures and the Federal Reserve's cautious stance on interest rate cuts may lead to higher borrowing costs, which could strain AES's heavily leveraged balance sheet. However, the company's focus on renewable energy and its role in the transition to cleaner energy sources position it well for long-term growth, particularly as global demand for sustainable energy solutions continues to rise.
 **Conclusion:**  
 AES Corporation exhibits strong operational efficiency and profitability metrics, supported by stable cash flows and a positive outlook for renewable energy. However, its high leverage and elevated valuation metrics pose risks, particularly in the current macroeconomic environment. While the company is well-positioned for long-term growth, near-term headwinds such as tariff impacts and potential interest rate hikes may limit upside potential over the next month.
 **Score:** 72</t>
  </si>
  <si>
    <t>**Investment Report:**
 **Recent News:**  
 Aflac's fourth-quarter performance is anticipated to face challenges due to weaker operations in its Japan segment. Japan, a significant contributor to Aflac's revenue, has seen declining premiums, which could weigh on the company's overall results. This development highlights the firm's vulnerability to regional market dynamics, particularly in a key international market. The broader macroeconomic environment, including currency fluctuations and slower economic growth in Japan, may exacerbate these challenges. However, Aflac's diversified operations in the U.S. could provide some stability, offsetting the impact of weaker Japanese performance.
 **Financials:**  
 Aflac's financial metrics reveal a mixed picture. The company has a market capitalization of $81.08 billion and a trailing price-to-earnings (P/E) ratio of 44.91, which is relatively high compared to its forward P/E of 30.66, indicating expectations of improved earnings in the future. The firm's profit margins stand at 16.96%, supported by strong gross margins of 83.07%. However, earnings growth has been negative, with a quarterly decline of 68.7%, reflecting the challenges in its operations. Revenue growth, on the other hand, has been modest at 9.9%, suggesting some resilience in its core business. Aflac's return on equity (ROE) of 20.87% is robust, indicating effective utilization of shareholder capital, though its return on assets (ROA) is lower at 4.66%.
 The company maintains a healthy liquidity position, with $11.25 billion in total cash and a current ratio of 1.62. Its debt-to-equity ratio of 26.61% is manageable, though it reflects a moderate level of leverage. Free cash flow of $3.36 billion underscores Aflac's ability to generate cash, which is critical for sustaining operations and shareholder returns.
 **Valuations:**  
 Aflac's stock is trading at a price-to-book (P/B) ratio of 9.75, significantly above the industry average, suggesting that the stock may be overvalued relative to its book value. The trailing PEG ratio of 19.18 further indicates that the stock is expensive when considering its growth prospects. The stock has experienced a 52-week decline of 9.24%, underperforming the S&amp;P 500's 21.93% gain over the same period. Analyst sentiment is neutral, with a recommendation mean of 2.86 (hold) and a target median price of $138, slightly above the current trading range.
 **Economic Outlook:**  
 The broader macroeconomic environment presents headwinds for Aflac. The recent implementation of tariffs by the U.S. administration and the potential for a trade war could disrupt global markets, including Japan, where Aflac has significant exposure. Additionally, rising inflationary pressures and potential Federal Reserve rate hikes may impact consumer spending and investment, indirectly affecting the insurance industry. However, Aflac's strong operating margins of 40.86% and its ability to generate consistent cash flow position it to weather short-term economic uncertainties.
 **Conclusion:**  
 Aflac faces near-term challenges due to weaker performance in its Japan segment and broader macroeconomic uncertainties. While its financial position remains solid, high valuations and declining earnings growth raise concerns about the stock's attractiveness in the short term. The company's ability to navigate these challenges and leverage its U.S. operations will be critical in determining its performance in the coming months.
 **Score:** 62</t>
  </si>
  <si>
    <t>**Investment Report:**
 **Recent News:**  
 There have been no significant updates or developments regarding American International Group (AIG) in the past week. The absence of news suggests stability in the company's operations, but it also indicates a lack of immediate catalysts for significant price movement in the short term.
 **Financials:**  
 AIG's financial performance reflects a strong position within the multi-line insurance industry. The company has demonstrated robust earnings growth of 52.1% and revenue growth of 11% on a year-over-year basis, signaling effective operational management and resilience in a challenging macroeconomic environment. AIG's profit margins stand at 8.04%, which is healthy for the industry, and its return on equity (ROE) of 22.56% highlights efficient use of shareholder capital. 
 The company’s trailing price-to-earnings (P/E) ratio of 50.73 and forward P/E of 38.25 suggest that the stock is trading at a premium valuation, reflecting high investor expectations for future growth. However, the price-to-book (P/B) ratio of 9.63 indicates that the stock is significantly overvalued relative to its book value, which could be a concern for value-focused investors. AIG's enterprise value-to-EBITDA ratio of 23.03 also points to a relatively expensive valuation compared to peers.
 AIG's balance sheet shows a manageable debt-to-equity ratio of 61.18, supported by strong operating cash flow of $112.7 billion and free cash flow of $54.3 billion. The company holds $88 billion in cash, providing liquidity to navigate potential economic uncertainties. However, the quick ratio of 0.83 and current ratio of 1.09 suggest limited short-term liquidity, which could be a risk in a volatile market environment.
 **Valuations:**  
 AIG's stock has performed well over the past year, with a 52-week price change of 40.51%, outperforming the S&amp;P 500's 21.93% gain. The stock is currently trading near its 52-week high of $241.77, which may limit upside potential in the near term. Analyst sentiment remains positive, with a recommendation mean of 1.41 (strong buy) and a target median price of $245, implying limited room for further appreciation from current levels.
 **Economic Outlook:**  
 The broader macroeconomic environment presents mixed signals for AIG. The recent implementation of tariffs by the U.S. government and the potential for inflationary pressures could impact consumer spending and business activity, indirectly affecting demand for insurance products. Additionally, the ongoing volatility in the financial markets, particularly in the technology sector, may create uncertainty for institutional investors, which could influence AIG's investment portfolio performance. However, AIG's diversified revenue streams and strong cash position provide a buffer against these challenges.
 **Conclusion:**  
 AIG is a fundamentally strong company with solid earnings growth and a healthy balance sheet. However, its premium valuation and limited short-term liquidity could pose risks in the current uncertain economic environment. While the company is well-positioned for long-term growth, the lack of immediate catalysts and the broader market volatility may limit its near-term upside potential.
 **Score:** 72</t>
  </si>
  <si>
    <t>**Investment Report: Arthur J. Gallagher &amp; Co. (AJG)**
 **Recent News:**  
 Arthur J. Gallagher &amp; Co. (AJG) reported strong fourth-quarter earnings, with earnings per share (EPS) of $2.13, surpassing analyst expectations of $2.02. This marks a significant improvement from $1.85 per share in the same quarter last year. The company's performance was driven by higher adjusted revenues, improved EBITDAC (Earnings Before Interest, Taxes, Depreciation, Amortization, and Change in Working Capital), and reduced expenses. These results highlight AJG's ability to capitalize on its core business of insurance brokerage and risk management services, even in a challenging macroeconomic environment.
 **Financials:**  
 AJG's financial metrics reflect a robust position. The company has a trailing price-to-earnings (P/E) ratio of 47.61 and a forward P/E of 23.36, indicating expectations of strong future earnings growth. Its revenue growth of 11.9% year-over-year and earnings growth of 8.6% demonstrate consistent operational efficiency. The gross margin of 43.5% and EBITDA margin of 31.7% underscore its profitability. AJG's return on equity (ROE) of 10.32% is solid, reflecting effective use of shareholder capital. However, the debt-to-equity ratio of 70.27% suggests a relatively high leverage level, which could pose risks in a rising interest rate environment.
 The company maintains a dividend yield of 0.87%, with a payout ratio of 36.92%, indicating a sustainable dividend policy. Its free cash flow of $2.75 billion further supports its ability to fund operations, dividends, and potential growth initiatives.
 **Valuations:**  
 AJG's stock is trading near its 52-week high of $316.72, with a current price-to-book (P/B) ratio of 5.56, which is higher than the industry average. This premium valuation reflects investor confidence in the company's growth prospects and operational resilience. Analysts have a median target price of $308, close to the current trading range, suggesting limited short-term upside. However, the trailing PEG ratio of 1.07 indicates that the stock is reasonably valued relative to its growth potential.
 **Economic Outlook:**  
 The broader macroeconomic environment presents both opportunities and challenges for AJG. The insurance brokerage industry tends to be resilient during economic uncertainty, as businesses and individuals prioritize risk management. However, the recent implementation of tariffs and inflationary pressures could impact AJG's clients, potentially affecting demand for its services. Additionally, rising interest rates may increase borrowing costs, which could weigh on AJG's leveraged balance sheet.
 Despite these challenges, AJG's strong revenue growth and operational efficiency position it well to navigate the current economic landscape. Its diversified revenue streams and global presence provide a buffer against localized economic disruptions.
 **Conclusion:**  
 Arthur J. Gallagher &amp; Co. has demonstrated strong financial performance and operational resilience, supported by consistent revenue and earnings growth. While its valuation appears stretched, the company's robust margins, sustainable dividend policy, and ability to adapt to economic challenges make it a solid player in the insurance brokerage industry. However, macroeconomic headwinds, including inflation and rising interest rates, warrant close monitoring.
 **Score:** 85</t>
  </si>
  <si>
    <t>**Investment Report: Akamai Technologies**
 **Recent News:**  
 Akamai Technologies has not been in the news over the past week, suggesting no major developments or announcements. This lack of news may indicate stability but also reflects limited catalysts for immediate market movement.
 **Financials:**  
 Akamai's recent financial performance highlights significant challenges. The company reported a net loss of $1.97 billion, with negative profit margins (-28.8%) and negative return on equity (-17.7%). Revenue growth has contracted sharply by 41.4%, reflecting a challenging operating environment. The firm's gross margins are also negative (-11.8%), indicating inefficiencies in managing costs relative to revenue. Additionally, free cash flow is negative at -$1.79 billion, raising concerns about liquidity and operational sustainability.  
 On the balance sheet, Akamai holds $1.66 billion in cash, providing some buffer, but its total debt of $3.71 billion results in a debt-to-equity ratio of 35.3%, which is moderately high. The quick ratio of 1.51 and current ratio of 2.44 suggest the company can meet short-term obligations, but the long-term financial health remains under pressure.  
 **Valuations:**  
 Akamai's valuation metrics reflect a mixed picture. The price-to-book ratio of 1.18 indicates the stock is trading close to its book value, which may appeal to value-oriented investors. However, the forward P/E ratio of 238.18 is extremely high, signaling that the market may have overly optimistic expectations for future earnings recovery. The enterprise value-to-revenue ratio of 2.15 is reasonable, but the enterprise value-to-EBITDA ratio is negative, reflecting ongoing operational losses.  
 The stock has experienced a 25.5% decline over the past year, underperforming the S&amp;P 500, which gained 21.9% in the same period. The 52-week range of $71.97 to $143.19 shows the stock is trading near its lows, which could indicate undervaluation if the company can address its challenges. Analyst sentiment is cautiously optimistic, with a mean price target of $115.20, significantly above the current price of $80.23.  
 **Economic Outlook:**  
 The broader macroeconomic environment poses additional risks for Akamai. The recent tariffs imposed by the U.S. government could disrupt supply chains and increase costs for technology companies, further pressuring margins. Additionally, the global technology sector has been hit hard by the emergence of Chinese AI competitors, which has led to significant market value losses for major players like Nvidia. While Akamai operates in the Internet Services &amp; Infrastructure industry, it is not immune to these broader sectoral headwinds.  
 The company's beta of 1.55 suggests higher volatility compared to the market, which could amplify downside risks in the current uncertain economic climate. Furthermore, the negative revenue growth and operational inefficiencies make it challenging for Akamai to capitalize on potential opportunities in the evolving technology landscape.  
 **Conclusion:**  
 Akamai Technologies faces significant financial and operational challenges, compounded by a difficult macroeconomic environment. While the stock's valuation metrics suggest potential undervaluation, the company's negative growth, profitability issues, and high forward P/E ratio raise concerns about its ability to deliver near-term value. The broader technology sector's volatility and trade-related uncertainties further add to the risks.  
 **Score:** 42</t>
  </si>
  <si>
    <t>**Investment Report: Albemarle Corporation (ALB)**
 **Recent News:**  
 Albemarle Corporation, a leading player in the specialty chemicals industry, demonstrated resilience in the latest trading session, closing at $86.28 with a modest gain of 0.44%. This performance stands out against broader market declines, reflecting investor confidence in the company's fundamentals despite challenging macroeconomic conditions. Albemarle's position as a key supplier of lithium, a critical component in electric vehicle (EV) batteries, continues to underpin its strategic importance in the global energy transition. However, the broader market volatility, driven by geopolitical tensions and trade disruptions, may pose near-term challenges.
 **Financials:**  
 Albemarle's financial metrics reveal a mixed picture. The company has a trailing price-to-earnings (P/E) ratio of 36.89 and a forward P/E of 21.13, indicating expectations of earnings growth. Its gross margins of 70.32% and operating margins of 16.60% highlight strong profitability, while a return on equity (ROE) of 11.40% reflects efficient use of shareholder capital. However, earnings growth has contracted slightly (-1.9%), and quarterly revenue growth is modest at 1.8%, suggesting a slowdown in momentum. The company's debt-to-equity ratio of 3.24 is low, indicating prudent financial management, and its quick ratio of 1.07 and current ratio of 1.26 suggest adequate liquidity to meet short-term obligations.
 **Valuations:**  
 Albemarle's stock is trading at a price-to-book (P/B) ratio of 4.09, which is relatively high compared to its peers, reflecting a premium valuation. The stock has experienced a 24% decline over the past year, underperforming the S&amp;P 500, which gained 21.93% in the same period. Analysts remain optimistic, with a mean target price of $263.09 and a median target of $275.00, significantly above the current price. This suggests potential upside if the company can navigate near-term headwinds and capitalize on long-term growth opportunities in the EV and renewable energy sectors.
 **Economic Outlook:**  
 The broader economic environment presents both risks and opportunities for Albemarle. The imposition of new tariffs by the U.S. administration could disrupt global supply chains and increase input costs, potentially pressuring margins. Additionally, the recent tech market crash and geopolitical uncertainties may weigh on investor sentiment. However, Albemarle's exposure to the growing EV market and its strategic role in the lithium supply chain position it well for long-term growth. The company's ability to maintain strong margins and manage costs will be critical in navigating the current economic landscape.
 **Conclusion:**  
 Albemarle Corporation's strong profitability, strategic positioning in the EV supply chain, and optimistic analyst targets suggest potential for long-term value creation. However, near-term challenges, including modest revenue growth, earnings contraction, and broader market volatility, warrant caution. The company's ability to adapt to macroeconomic pressures and sustain its competitive edge in the specialty chemicals industry will be key determinants of its performance in the coming months.
 **Score:** 72</t>
  </si>
  <si>
    <t>**Investment Report: Align Technology (ALGN)**
 **Recent News:**  
 Align Technology is preparing to release its Q4 2024 earnings, with analysts focusing on the performance of its Systems &amp; Services segment. This division is expected to drive results, reflecting the company's strategic emphasis on expanding its product offerings and services. The anticipation of strong results in this segment suggests Align's ability to adapt to market demands and maintain its competitive edge in the healthcare supplies industry. However, broader market volatility and macroeconomic challenges could temper investor sentiment.
 **Financials:**  
 Align Technology's financial metrics indicate a solid foundation. The company has a trailing P/E ratio of 12.42 and a forward P/E of 10.15, suggesting a relatively attractive valuation compared to its historical performance and industry peers. Its revenue growth of 14.7% year-over-year highlights robust operational performance, while a return on equity (ROE) of 23.78% underscores efficient capital utilization. The company maintains a healthy market capitalization of $50.84 billion, with a manageable debt-to-equity ratio of 38.83, reflecting prudent financial management. Additionally, Align's free cash flow of $2.98 billion and operating cash flow of $8.45 billion provide ample liquidity to support growth initiatives and shareholder returns.
 **Valuations:**  
 Align's price-to-book ratio of 2.70 and price-to-sales ratio of 0.81 suggest the stock is trading at a reasonable valuation relative to its assets and revenue. The company's dividend yield of 1.91%, while modest, is supported by a low payout ratio of 23.59%, indicating room for potential dividend growth. Analyst sentiment remains positive, with a mean price target of $223.76, representing a potential upside from the current trading range. The recommendation mean of 2.05 (on a scale where 1 is a strong buy) further reflects confidence in the stock's prospects.
 **Economic Outlook:**  
 Align Technology operates in a challenging macroeconomic environment marked by inflationary pressures and trade uncertainties. The recent imposition of tariffs by the U.S. administration could impact supply chains and input costs, potentially affecting margins. However, Align's focus on innovation and its strong Systems &amp; Services segment may help mitigate these risks. The healthcare supplies industry remains resilient, supported by demographic trends and increasing demand for advanced medical technologies. Align's beta of 0.48 indicates lower volatility compared to the broader market, which could make it an attractive option in uncertain times.
 **Conclusion:**  
 Align Technology is well-positioned to deliver solid Q4 results, driven by its Systems &amp; Services business and strong financial performance. While macroeconomic challenges and market volatility pose risks, the company's robust fundamentals, reasonable valuation, and positive analyst sentiment suggest potential for growth. Align's ability to navigate external pressures and capitalize on industry trends will be key to sustaining its momentum.
 **Score:** 85</t>
  </si>
  <si>
    <t>**Investment Report: Allstate Corporation (ALL)**
 **Recent News:**  
 Allstate Corporation is undergoing a strategic shift by divesting its Group Health business to Nationwide for $1.25 billion. This move aligns with Allstate's focus on its core property and casualty insurance operations. The sale is expected to free up $0.9 billion in deployable capital, which could be reinvested into higher-margin areas or used for shareholder returns. However, the divestiture is projected to reduce the company's return on equity (ROE) by 75 basis points, reflecting a potential short-term impact on profitability metrics. Additionally, Allstate's upcoming Q4 earnings are anticipated to benefit from increased premiums and improved auto insurance profitability, signaling operational strength in its core business.
 **Financials:**  
 Allstate's financial performance remains robust, with a trailing price-to-earnings (PE) ratio of 26.84 and a forward PE of 22.53, indicating expectations of earnings growth. The company has demonstrated strong profitability, with a net income of $94.27 billion and profit margins of 27.74%. Its return on equity (ROE) of 32.10% and return on assets (ROA) of 16.48% highlight efficient capital utilization. Revenue growth of 15.1% year-over-year and earnings growth of 36.6% further underscore its operational momentum. The company maintains a healthy balance sheet, with a manageable debt-to-equity ratio of 9.32 and significant free cash flow of $41.10 billion, providing flexibility for future investments or shareholder distributions.
 **Valuations:**  
 Allstate's stock is trading near its 52-week high of $207.08, reflecting strong investor confidence. The price-to-book ratio of 7.91 suggests a premium valuation, which may be justified by its consistent earnings growth and profitability. Analysts have a positive outlook, with a mean target price of $216.56, representing potential upside from current levels. The company's dividend yield of 0.39% and a low payout ratio of 5.31% indicate room for future dividend increases, enhancing its appeal to income-focused investors.
 **Economic Outlook:**  
 The broader economic environment presents mixed signals for Allstate. The recent California wildfires, with estimated damages of $250-275 billion, could lead to higher claims in the property and casualty insurance sector, potentially impacting Allstate's short-term profitability. However, the company's strong underwriting practices and diversified portfolio may mitigate these risks. Additionally, the inflationary pressures from new tariffs and potential trade disruptions could affect consumer spending and economic growth, indirectly influencing Allstate's business. Despite these challenges, the company's focus on core operations and its ability to adapt to changing market conditions position it well for sustained growth.
 **Score:** 85</t>
  </si>
  <si>
    <t>**Investment Report: Applied Materials (AMAT)**
 **Recent News:**  
 Applied Materials (AMAT) has experienced a slight decline in its stock price, closing at $178.80, down 0.86% from the prior day. This movement aligns with broader market volatility, particularly in the semiconductor sector, which has been under pressure due to macroeconomic uncertainties and competitive developments. The recent launch of DeepSeek, a Chinese AI competitor, has disrupted the global technology landscape, leading to significant sell-offs in tech stocks, including those in the semiconductor industry. While AMAT has not been directly implicated in the AI competition, the broader market sentiment has weighed on its valuation.
 **Financials:**  
 Applied Materials demonstrates strong financial health, with a market capitalization of $145.31 billion and robust profitability metrics. The company boasts a profit margin of 27.74% and a return on equity of 43.91%, reflecting efficient operations and strong shareholder returns. Its trailing P/E ratio of 20.79 and forward P/E of 17.21 suggest a reasonable valuation relative to its earnings growth. The firm has a solid balance sheet, with a current ratio of 2.86 and a quick ratio of 1.95, indicating strong liquidity. Additionally, AMAT has a manageable debt-to-equity ratio of 35.41% and generates significant free cash flow of $4.40 billion, supporting its dividend yield of 0.86%.
 **Valuations:**  
 AMAT's stock is trading at a price-to-book ratio of 7.82 and a price-to-sales ratio of 5.41, which are slightly elevated compared to historical averages but not excessive for a leading semiconductor equipment provider. Analysts maintain a positive outlook, with a mean target price of $210.86, representing a potential upside of approximately 18% from the current price. The recommendation mean of 1.84 (on a scale where 1.0 is a strong buy) underscores the favorable sentiment among analysts.
 **Economic Outlook:**  
 The semiconductor industry faces headwinds from geopolitical tensions, including U.S.-China trade disputes and the Trump administration's recent tariffs on imports from China, Canada, and Mexico. These tariffs could disrupt supply chains and increase costs for semiconductor manufacturers, indirectly affecting AMAT. Additionally, the global tech market's recent volatility, driven by competitive pressures from Chinese advancements in AI, has created uncertainty for the sector. However, AMAT's diversified product portfolio and exposure to long-term growth drivers, such as AI, 5G, and advanced chip manufacturing, position it well to navigate these challenges.
 **Conclusion:**  
 While Applied Materials has been impacted by broader market trends and sector-specific challenges, its strong financial position, reasonable valuation, and alignment with transformative technologies provide a solid foundation for long-term growth. However, short-term volatility in the semiconductor industry and macroeconomic uncertainties may weigh on the stock in the near term.
 **Score:** 75</t>
  </si>
  <si>
    <t>**Investment Report:**
 Amcor, a key player in the Paper &amp; Plastic Packaging Products &amp; Materials industry, is poised to release its Q2 earnings, with expectations of volume growth across its segments. This anticipated performance reflects the company's ability to navigate a challenging macroeconomic environment, leveraging its diversified product portfolio and global presence.
 **Recent News:**  
 Amcor's upcoming earnings report is expected to highlight gains in volume across its business segments, signaling resilience despite broader economic uncertainties. This growth could be attributed to the company's focus on innovation and sustainable packaging solutions, aligning with increasing consumer and regulatory demand for environmentally friendly products. However, the broader economic backdrop, including inflationary pressures and trade disruptions, may weigh on margins.
 **Financials:**  
 Amcor's financial metrics present a mixed picture. The company boasts a robust market capitalization of $222.2 billion and a healthy dividend yield of 0.86%, supported by a low payout ratio of 19.87%. Its trailing P/E ratio of 22.61 and forward P/E of 18.07 suggest moderate valuation levels, though the price-to-book ratio of 7.50 indicates a premium relative to its book value. The firm's revenue growth of 8% and earnings growth of 5.8% reflect steady expansion, while gross margins of 55.7% and operating margins of 20.9% underscore operational efficiency. However, a high debt-to-equity ratio of 186.82% raises concerns about leverage, particularly in a rising interest rate environment.
 **Valuations:**  
 Amcor's stock has performed well over the past year, with a 52-week change of 54.36%, significantly outpacing the S&amp;P 500's 21.93% gain. The stock is trading near its 52-week high of $326.27, suggesting limited immediate upside. Analyst sentiment is cautious, with a mean recommendation of "hold" and a target median price of $315, close to the current trading level. The trailing PEG ratio of 2.00 indicates that the stock may be slightly overvalued relative to its growth prospects.
 **Economic Outlook:**  
 The broader economic environment presents both opportunities and challenges for Amcor. The company's focus on sustainable packaging positions it well to benefit from long-term trends in environmental, social, and governance (ESG) investing. However, recent tariffs and trade tensions could disrupt supply chains and increase input costs, potentially pressuring margins. Additionally, inflationary pressures and a more hawkish Federal Reserve stance could impact consumer spending and demand for packaged goods.
 **Conclusion:**  
 Amcor's strong operational performance and focus on sustainability are key strengths, but high leverage and potential macroeconomic headwinds warrant caution. While the company is well-positioned for long-term growth, near-term valuation concerns and external risks may limit upside potential in the next month.
 **Score:** 72</t>
  </si>
  <si>
    <t>**Investment Report: Ametek (AME)**
 **Recent News:**  
 Ametek is positioned for potential earnings growth, with analysts anticipating a likely earnings beat in its upcoming report. This optimism stems from the company's strong operational performance and its ability to navigate current market conditions effectively. However, the broader economic environment, including trade tensions and inflationary pressures, could pose challenges to its growth trajectory.
 **Financials:**  
 Ametek's financial health remains robust, with a market capitalization of $51.67 billion and a solid enterprise value of $48.83 billion. The company demonstrates strong profitability metrics, including a profit margin of 15.52% and operating margins of 34.15%. Despite a decline in earnings growth (-38.6% year-over-year), revenue growth of 11.9% indicates resilience in its core operations. Ametek's trailing P/E ratio of 21.73 and forward P/E of 12.83 suggest a reasonable valuation relative to its earnings potential. Additionally, the company maintains a healthy balance sheet, with a quick ratio of 2.16 and a current ratio of 2.97, reflecting strong liquidity. Its debt-to-equity ratio of 67.40% is manageable, supported by significant free cash flow of $4.07 billion.
 **Valuations:**  
 Ametek's stock is trading at $523.95-$538.49, below its 52-week high of $582.05 but significantly above its 52-week low of $385.74. The price-to-book ratio of 9.14 and price-to-sales ratio of 2.96 indicate a premium valuation, which may reflect investor confidence in its growth prospects. Analysts' target prices range from $442 to $642, with a mean target of $564.50, suggesting moderate upside potential from current levels. The company's dividend yield of 1.03% is below its five-year average of 1.75%, but its low payout ratio of 21.64% indicates room for future dividend growth.
 **Economic Outlook:**  
 Ametek operates in the Electrical Components &amp; Equipment industry, which is sensitive to macroeconomic conditions. The recent imposition of tariffs by the U.S. administration could disrupt supply chains and increase input costs, potentially impacting margins. However, Ametek's diversified product portfolio and strong operational efficiency may help mitigate these risks. The company's beta of 1.33 suggests higher volatility compared to the broader market, which could be exacerbated by ongoing market uncertainties, including inflationary pressures and geopolitical tensions.
 **Conclusion:**  
 Ametek's strong financial position, operational efficiency, and potential for earnings growth make it a compelling player in its industry. However, external economic challenges, including trade tensions and inflation, could weigh on its near-term performance. While the stock appears reasonably valued with moderate upside potential, investors should remain cautious of broader market volatility and sector-specific risks.
 **Score:** 78</t>
  </si>
  <si>
    <t>**Investment Report: Ameriprise Financial Services (AMP)**
 **Recent News:**  
 Ameriprise Financial Services has demonstrated strong performance, particularly in momentum and value categories, as highlighted by Zacks Style Scores. The firm exceeded expectations in its fourth-quarter earnings, reporting $9.36 per share compared to the consensus estimate of $8.94. This marks a significant improvement from $7.75 per share in the same quarter last year. The company's robust results were driven by increased revenues and growth in assets under management (AUM) and assets under administration (AUA). However, rising expenses partially offset these gains. The strong financial performance underscores Ameriprise's ability to navigate a challenging macroeconomic environment while maintaining operational efficiency.
 **Financials:**  
 Ameriprise's financial metrics reflect a solid foundation. The company boasts a forward P/E ratio of 13.87, indicating a reasonable valuation relative to its earnings growth potential. Its trailing annual dividend yield of 3.11% and a five-year average dividend yield of 2.99% highlight its commitment to returning value to shareholders. The firm's return on equity (ROE) of 55.72% is particularly impressive, showcasing its ability to generate substantial profits from shareholder investments. Additionally, earnings growth of 62.1% and revenue growth of 23.2% year-over-year further emphasize its strong operational performance. However, the high debt-to-equity ratio of 802.42% signals significant leverage, which could pose risks in a rising interest rate environment.
 **Valuations:**  
 Ameriprise's current price-to-book ratio of 20.63 and trailing P/E ratio of 36.94 suggest that the stock is trading at a premium compared to its book value and historical earnings. However, its forward P/E ratio and strong earnings growth provide a more favorable outlook. The firm's gross margins of 60.59% and EBITDA margins of 37.64% indicate strong profitability, supporting its valuation. Analysts' target prices range from $195 to $405, with a median target of $313.50, suggesting potential upside from its recent trading levels.
 **Economic Outlook:**  
 The broader economic environment presents both opportunities and challenges for Ameriprise. Rising inflation and the potential for higher interest rates could impact consumer spending and investment activity, potentially affecting the firm's AUM growth. Additionally, recent tariffs and trade tensions may create market volatility, influencing investor sentiment and asset flows. However, Ameriprise's diversified revenue streams and strong financial position position it well to weather these challenges. Its relatively low beta of 0.60 indicates lower sensitivity to market fluctuations, which could appeal to risk-averse investors in uncertain times.
 **Conclusion:**  
 Ameriprise Financial Services has delivered strong financial results, supported by robust earnings growth and operational efficiency. While its high leverage and premium valuation warrant caution, its strong profitability metrics and shareholder returns make it an attractive player in the asset management industry. The firm's ability to navigate macroeconomic headwinds and capitalize on growth opportunities will be key to its performance in the coming months.
 **Score:** 85</t>
  </si>
  <si>
    <t>**Investment Report: American Tower Corporation (AMT)**
 **Recent News:**  
 American Tower Corporation (AMT) experienced a decline of 1.77% in its latest trading session, closing at $183.63. This underperformance relative to the broader market reflects heightened investor caution amid macroeconomic uncertainties, including inflationary pressures and trade tensions. The broader market's volatility, coupled with sector-specific challenges, has likely contributed to the stock's recent movement. Additionally, the company's high exposure to interest rate sensitivity, as a Real Estate Investment Trust (REIT), may have amplified concerns as the Federal Reserve signals a more hawkish stance to combat inflation.
 **Financials:**  
 American Tower's financial metrics reveal a mixed picture. The company boasts a robust market capitalization of $336 billion and a strong dividend yield of 3.73%, supported by a trailing annual dividend rate of $6.56. However, its payout ratio of 213.59% indicates that dividends are being funded beyond earnings, which could raise sustainability concerns if cash flows are pressured. The firm's trailing price-to-earnings (P/E) ratio of 79.56 is significantly higher than its forward P/E of 13.74, suggesting expectations of improved earnings in the near term. Despite this, earnings growth has been negative, with a quarterly decline of 12.2%, reflecting challenges in maintaining profitability. Revenue growth remains modest at 3.8%, while EBITDA margins of 46.15% highlight operational efficiency.
 The company's debt-to-equity ratio of 1174.82% underscores its heavy reliance on leverage, a common characteristic of REITs. While its free cash flow of $17.74 billion and operating cash flow of $16.51 billion provide some reassurance, the high debt load could become a concern in a rising interest rate environment. Additionally, the return on equity (ROE) of 56.41% is strong but may be inflated by the high leverage.
 **Valuations:**  
 American Tower's valuation metrics suggest a premium relative to its peers. Its price-to-book ratio of 55.71 is significantly elevated, reflecting high market expectations. The stock is trading closer to its 52-week high of $207.32 than its low of $153.58, indicating limited upside potential in the short term. Analyst sentiment remains positive, with a mean target price of $204.58 and a median target of $211.00, implying a potential upside of approximately 11.4% from the current price. However, the recommendation mean of 1.93 (on a scale where 1.0 is a strong buy) suggests cautious optimism.
 **Economic Outlook:**  
 The broader economic environment poses challenges for American Tower. The Trump administration's recent tariffs on Canada, Mexico, and China could disrupt supply chains and increase costs for telecom infrastructure projects. Additionally, the global technology sector's recent downturn, driven by competitive pressures from Chinese advancements, may indirectly affect demand for American Tower's services. Rising inflation and the Federal Reserve's potential tightening of monetary policy could further pressure REITs, as higher interest rates increase borrowing costs and reduce the attractiveness of dividend yields relative to fixed-income securities.
 Despite these headwinds, American Tower's position as a leading telecom tower REIT provides a degree of resilience. The ongoing expansion of 5G networks and increasing demand for data consumption are long-term growth drivers. However, near-term volatility and macroeconomic uncertainties may weigh on performance.
 **Score:** 68</t>
  </si>
  <si>
    <t>**Investment Report: Amazon**
 **Recent News:**  
 Amazon continues to demonstrate resilience and adaptability despite facing a mix of opportunities and challenges. The company is expanding its business through strategic initiatives, such as enhancing its cloud services with AI capabilities and launching a drone delivery service in the UK. These moves position Amazon to capitalize on emerging technologies and maintain its competitive edge in the retail and cloud computing sectors. However, the company is navigating headwinds, including tariffs on Chinese imports, which could increase costs, and job cuts in its communications and sustainability departments, signaling potential cost management efforts. Additionally, Amazon faces legal challenges, including a proposed class action lawsuit for alleged consumer data tracking, and labor pressures, as Whole Foods workers in Philadelphia successfully unionized. These developments highlight both operational risks and the evolving regulatory and labor landscape.  
 **Financials:**  
 Amazon's financial performance reflects a stable yet cautious outlook. The company has a trailing price-to-earnings (PE) ratio of 20.03 and a forward PE of 16.89, suggesting moderate valuation levels relative to its earnings growth potential. Its gross margins of 45.08% and operating margins of 25.79% indicate strong profitability, though earnings growth has slightly declined (-1.6%). Revenue growth remains modest at 1.5%, reflecting a challenging macroeconomic environment. Amazon's debt-to-equity ratio of 165.88% is high, signaling significant leverage, though its operating cash flow of $6.41 billion provides some financial flexibility. However, the negative free cash flow (-$1.23 billion) raises concerns about the company's ability to fund growth initiatives without relying on external financing.  
 **Valuations:**  
 Amazon's stock is trading near its 52-week high of $105.18, with a current price-to-book ratio of 1.99, indicating a premium valuation compared to its book value. Analysts' target prices range from $93 to $116, with a mean target of $100.75, suggesting limited upside potential in the near term. The stock's beta of 0.54 indicates lower volatility compared to the broader market, which may appeal to risk-averse investors. However, the company's high enterprise value-to-revenue ratio of 4.93 and enterprise value-to-EBITDA ratio of 13.32 suggest that the market is pricing in significant growth expectations, which may be challenging to achieve given the current economic and regulatory environment.  
 **Economic Outlook:**  
 Amazon operates in a complex macroeconomic environment characterized by rising inflationary pressures, trade tensions, and regulatory scrutiny. The recent tariffs on Chinese imports could increase costs for Amazon's retail operations, potentially impacting margins. Additionally, the broader technology sector has faced significant volatility, as evidenced by the sharp decline in global tech shares following the launch of DeepSeek, a Chinese AI competitor. While Amazon's investments in AI and cloud services position it well for long-term growth, the near-term economic uncertainty and potential trade disruptions could weigh on its performance.  
 **Score:** 72</t>
  </si>
  <si>
    <t>**Investment Report: Arista Networks**
 **Recent News:**  
 Arista Networks has experienced mixed stock performance recently, with a 3.2% decline on Monday following a prior 6.2% surge driven by above-average trading volume. The company's stock has been a focal point for investors, particularly in comparison to other technology firms. Despite short-term volatility, Arista is positioned to benefit from increased capital expenditures in artificial intelligence (AI) by key clients such as Microsoft and Meta Platforms. Meta's announcement of an additional $65 billion in AI-related spending is expected to bolster Arista's revenue growth, as the company plays a critical role in providing networking solutions for AI infrastructure. However, challenges in the AI networking market may temper near-term gains.
 **Financials:**  
 Arista Networks demonstrates strong financial health, with a market capitalization of $140.46 billion and a robust profit margin of 40.29%. The company has a trailing price-to-earnings (P/E) ratio of 53.35 and a forward P/E of 45.21, indicating high growth expectations but also a premium valuation. Its revenue growth of 20% and earnings growth of 35.5% reflect solid operational performance. Arista's balance sheet is strong, with $7.43 billion in cash and minimal debt of $69.8 million, resulting in a quick ratio of 3.52 and a current ratio of 4.47. The company also boasts impressive return metrics, including a return on equity (ROE) of 33.83% and a return on assets (ROA) of 15.88%. Free cash flow of $2.43 billion further underscores its financial stability.
 **Valuations:**  
 Arista's stock is trading at a price-to-book (P/B) ratio of 3.80 and a price-to-sales (P/S) ratio of 21.24, both of which are elevated compared to industry averages. While these metrics suggest the stock is expensive, they are supported by the company's strong growth prospects and dominant position in the AI networking market. Analyst sentiment remains positive, with a mean price target of $112.50 and a recommendation key of "buy." However, the trailing PEG ratio of 2.68 indicates that the stock's valuation may already reflect much of its anticipated growth.
 **Economic Outlook:**  
 The broader economic environment presents both opportunities and risks for Arista Networks. Increased AI investments by major technology firms are a tailwind for the company, as its products are integral to AI infrastructure. However, macroeconomic challenges, including inflationary pressures from new tariffs and potential trade disruptions, could weigh on the technology sector. Additionally, the recent global tech market selloff, triggered by competition from Chinese AI advancements, highlights the competitive risks in the industry. Arista's exposure to AI-related capital expenditures positions it well for long-term growth, but short-term volatility may persist as the market adjusts to these dynamics.
 **Conclusion:**  
 Arista Networks is well-positioned to capitalize on the growing demand for AI infrastructure, supported by strong financials and strategic client relationships. However, its premium valuation and exposure to broader market volatility warrant caution in the near term. The company's ability to navigate challenges in the AI networking market and sustain its growth trajectory will be critical to its performance.
 **Score:** 78</t>
  </si>
  <si>
    <t>**Investment Report:**
 **Recent News:**  
 Ansys has not been in the news over the past week, indicating a lack of significant developments or announcements. This absence of news suggests stability but also highlights the need to focus on the company's financials and broader economic conditions to assess its investment potential.
 **Financials:**  
 Ansys is trading near the higher end of its 52-week range, with a recent close of $370.145 compared to its 52-week high of $395.33. The company has a market capitalization of approximately $80.97 billion and a beta of 0.909, indicating lower volatility compared to the broader market. Its trailing price-to-earnings (P/E) ratio of 29.99 and forward P/E of 19.13 suggest a premium valuation, reflecting investor confidence in its future earnings growth. However, earnings growth has been negative, with a quarterly decline of 24.8%, and revenue growth of 26% may not fully offset this weakness.
 The company's profit margins are solid at 16.32%, and its free cash flow of $3.09 billion demonstrates strong cash generation. However, the debt-to-equity ratio of 274.7% is a concern, indicating a highly leveraged balance sheet. This could pose risks in a rising interest rate environment or during periods of economic uncertainty. Ansys also maintains a dividend yield of 0.73%, which is below its five-year average, suggesting limited income potential for dividend-focused investors.
 **Valuations:**  
 Ansys' price-to-sales ratio of 5.43 and price-to-book ratio of 12.99 indicate a high valuation relative to its peers in the application software industry. The enterprise value-to-revenue ratio of 6.54 and enterprise value-to-EBITDA ratio of 22.73 further reinforce the premium pricing. Analyst sentiment is mixed, with a recommendation mean of 2.55 (between "hold" and "buy") and a target median price of $394, implying limited upside from current levels.
 **Economic Outlook:**  
 The broader economic environment presents challenges for Ansys. The recent imposition of tariffs by the U.S. government could disrupt supply chains and increase costs for technology companies, potentially impacting Ansys' operations or customer base. Additionally, the global technology sector has been under pressure following the launch of DeepSeek, a Chinese competitor to OpenAI's ChatGPT, which has caused significant market volatility. While Ansys is not directly tied to this event, the broader tech selloff could weigh on investor sentiment.
 The company's high leverage and negative earnings growth could be further exacerbated by macroeconomic headwinds, including inflationary pressures and potential Federal Reserve rate hikes. However, its strong cash flow and revenue growth provide some resilience in navigating these challenges.
 **Conclusion:**  
 Ansys is a well-established player in the application software industry with strong cash flow and solid profit margins. However, its high valuation, declining earnings growth, and significant leverage pose risks, particularly in the current volatile economic environment. While the company has shown resilience in revenue growth, broader market conditions and sector-specific challenges may limit its near-term upside.
 **Score:** 65</t>
  </si>
  <si>
    <t>**Investment Report: A.O. Smith Corporation (AOS)**
 **Recent News:**  
 A.O. Smith, a leading manufacturer of water heaters, reported disappointing fourth-quarter 2024 earnings, missing both revenue and earnings per share (EPS) estimates. Revenue declined by 8% year-over-year, primarily due to reduced water heater volumes and weaker sales in China. The company posted an EPS of $0.85, falling short of the consensus estimate of $0.89 and down from $0.97 in the same quarter last year. This underperformance reflects challenges in key markets, including a slowdown in demand and potential headwinds from global economic uncertainties.
 **Financials:**  
 A.O. Smith's financial metrics reveal a mixed picture. The company maintains a solid market capitalization of $240.94 billion and a healthy profit margin of 11.19%. However, its trailing price-to-earnings (P/E) ratio of 32.29 and forward P/E of 27.64 suggest a relatively high valuation compared to its earnings growth. The dividend yield of 1.7% is slightly above its five-year average of 1.36%, indicating a commitment to returning value to shareholders despite recent challenges. The company's balance sheet shows manageable debt levels, with a debt-to-equity ratio of 14.13 and a current ratio of 1.10, reflecting adequate liquidity. Free cash flow remains robust at $7.64 billion, supporting its dividend payouts and potential reinvestment opportunities.
 **Valuations:**  
 A.O. Smith's valuation metrics indicate that the stock is trading at a premium, with a price-to-book ratio of 8.51 and a price-to-sales ratio of 3.71. While the company has demonstrated strong return on equity (26.67%) and return on assets (11.63%), its trailing PEG ratio of 2.97 suggests that the stock may be overvalued relative to its growth prospects. Analysts' target prices range from $323 to $455, with a mean target of $398.87, slightly above the current trading price, indicating limited upside potential in the near term.
 **Economic Outlook:**  
 The broader economic environment poses challenges for A.O. Smith. The recent imposition of tariffs by the U.S. government on imports from China, Canada, and Mexico could exacerbate supply chain disruptions and increase input costs, further pressuring margins. Additionally, the slowdown in Chinese sales reflects broader economic headwinds in one of the company's key international markets. Domestically, inflationary pressures and potential interest rate adjustments by the Federal Reserve could dampen consumer spending, impacting demand for durable goods like water heaters.
 **Conclusion:**  
 A.O. Smith faces near-term challenges, including declining sales, weaker performance in China, and potential cost pressures from tariffs. While the company remains financially stable with strong cash flow and a solid dividend, its high valuation and limited growth prospects in the current economic climate suggest caution. The stock's recent underperformance reflects these concerns, and its ability to navigate these headwinds will be critical to its future performance.
 **Score:** 62</t>
  </si>
  <si>
    <t>**Investment Report: Apollo Global Management**
 **Recent News:**  
 Apollo Global Management (APO) is facing a mixed outlook as rising expenses are expected to weigh on its Q4 earnings. However, the firm's growing assets under management (AUM) are anticipated to provide some support to its financial performance. This dual dynamic reflects the challenges of managing operational costs while capitalizing on its expanding AUM base, which is a key driver of long-term growth in the asset management industry. The firm's ability to navigate these pressures will be critical in maintaining investor confidence.
 **Financials:**  
 Apollo's financial metrics highlight its strong market position but also reveal areas of concern. The firm has a trailing price-to-earnings (P/E) ratio of 17.65 and a forward P/E of 19.67, suggesting a slight premium valuation relative to its earnings growth. Its dividend yield of 1.08% is below its five-year average of 3.06%, indicating a reduced income appeal for dividend-focused investors. The firm's return on equity (ROE) of 33.5% is robust, reflecting efficient capital utilization, while its return on assets (ROA) of 2.54% is modest, signaling room for improvement in asset efficiency. Apollo's debt-to-equity ratio of 92.12% highlights a leveraged balance sheet, which could pose risks in a rising interest rate environment.
 **Valuations:**  
 Apollo's current market price of approximately $167-$169 is trading near its 50-day average of $169.82, suggesting limited short-term momentum. The stock has experienced significant appreciation over the past year, with a 52-week change of 63.66%, outperforming the S&amp;P 500's 21.93% gain. However, its price-to-book ratio of 5.74 indicates a high premium relative to its book value, which may limit upside potential unless earnings growth accelerates. Analyst sentiment remains positive, with a mean price target of $187.12 and a "buy" recommendation, but the stock's valuation appears stretched given its current earnings trajectory.
 **Economic Outlook:**  
 The broader macroeconomic environment presents challenges for Apollo. The recent implementation of tariffs by the U.S. administration is expected to increase inflationary pressures, which could lead to higher interest rates. This scenario may impact Apollo's cost of capital and the valuation of its portfolio companies. Additionally, market volatility stemming from geopolitical tensions and the global tech sector's downturn could weigh on investor sentiment and fund inflows. However, Apollo's diversified investment strategies and focus on alternative assets may provide some insulation from these headwinds.
 **Conclusion:**  
 Apollo Global Management is positioned as a leader in the asset management industry, with strong AUM growth and a solid track record of returns. However, rising expenses, a leveraged balance sheet, and a challenging macroeconomic environment could weigh on its near-term performance. While the firm's long-term fundamentals remain intact, its current valuation and external risks suggest a cautious outlook for the next month.
 **Score:** 65</t>
  </si>
  <si>
    <t>**Investment Report:**
 **Recent News:**  
 Aptiv PLC is poised to report its fourth-quarter 2024 earnings, with expectations of year-over-year growth in earnings despite a slight decline in revenues. The company has a strong track record of surpassing earnings estimates, which has bolstered its reputation as a top growth stock. A significant development is Aptiv's decision to spin off its Electrical Distribution Systems unit into a separate, tax-free entity. This strategic move is expected to allow Aptiv to focus on its core operations, potentially unlocking shareholder value and improving operational efficiency. The spin-off reflects the company's proactive approach to restructuring and adapting to market demands, which could enhance its long-term growth prospects.
 **Financials:**  
 Aptiv's financial metrics present a mixed picture. The company has a trailing P/E ratio of 6.76 and a forward P/E of 8.75, indicating a relatively low valuation compared to its earnings potential. Its price-to-book ratio of 1.61 suggests the stock is trading at a reasonable premium to its book value. However, the company's revenue growth has declined by 5.1% year-over-year, and earnings growth has contracted by 74.3%, reflecting challenges in the current economic environment. Despite these headwinds, Aptiv maintains a solid return on equity of 24.2%, demonstrating effective use of shareholder capital. The company's debt-to-equity ratio of 109.67% indicates a high level of leverage, which could pose risks in a rising interest rate environment. However, its current ratio of 1.50 and quick ratio of 1.03 suggest adequate liquidity to meet short-term obligations.
 **Valuations:**  
 Aptiv's market capitalization stands at $14.26 billion, with a 52-week price range of $51.47 to $85.56. The stock has declined 25.9% over the past year, underperforming the S&amp;P 500, which gained 21.9% in the same period. Analysts have a positive outlook on the stock, with a mean target price of $76.98, representing significant upside potential from its current trading levels. The recommendation mean of 1.96 (on a scale where 1.0 is a strong buy) underscores the favorable sentiment among analysts. Additionally, the company's trailing PEG ratio of 0.92 suggests it is undervalued relative to its growth prospects.
 **Economic Outlook:**  
 The broader economic environment presents challenges for Aptiv. The recent imposition of tariffs by the U.S. administration on imports from Canada, Mexico, and China could disrupt global supply chains and increase input costs for the automotive industry. Additionally, the global auto sector is facing headwinds from declining demand and rising costs, which could weigh on Aptiv's revenue growth. However, the company's focus on innovation and its strategic restructuring efforts position it well to navigate these challenges. The spin-off of its Electrical Distribution Systems unit could help Aptiv streamline operations and focus on high-margin segments, potentially mitigating the impact of macroeconomic pressures.
 **Conclusion:**  
 Aptiv's strong earnings outlook, strategic restructuring, and attractive valuation metrics make it a compelling player in the automotive parts and equipment industry. However, the company faces significant challenges from macroeconomic headwinds, including trade tensions and declining industry demand. While its high leverage and declining revenue growth are concerns, its strong return on equity and liquidity position provide some reassurance. The upcoming earnings report and the successful execution of the spin-off will be critical in determining the company's near-term trajectory.
 **Score:** 72</t>
  </si>
  <si>
    <t>**Investment Report: Alexandria Real Estate Equities (ARE)**
 **Recent News:**  
 Alexandria Real Estate Equities, a leading Office REIT specializing in life sciences and technology campuses, has garnered attention for its strong fundamentals despite recent market challenges. Analysts highlight its robust cash flow, high tenant retention, and efficient management, which have positioned the company as a resilient player in the REIT sector. Recent reports emphasize that ARE's valuation is currently discounted due to temporary market pressures, presenting a potential buying opportunity. The company’s Q4 results showed year-over-year revenue growth, supported by solid leasing activity and higher rental rates, even as interest expenses increased. Analysts have also countered bearish arguments, asserting that ARE's long-term prospects remain intact.
 **Financials:**  
 Alexandria Real Estate Equities demonstrates solid financial health, with a market capitalization of $11.19 billion and a forward P/E ratio of 16.62, indicating a reasonable valuation relative to its earnings growth. The company’s AFFO (Adjusted Funds From Operations) growth of 6% and a high tenant collection rate of 99.8% underscore its operational efficiency. ARE’s dividend yield of 1.45% is slightly above its five-year average, reflecting its commitment to returning value to shareholders. However, the firm’s debt-to-equity ratio of 162.86% suggests a high reliance on leverage, which could pose risks in a rising interest rate environment. Despite this, its quick ratio of 1.23 and current ratio of 1.71 indicate sufficient liquidity to meet short-term obligations.
 **Valuations:**  
 ARE is trading at a price-to-AFFO multiple of 12.7x, significantly below its historical average of 21x P/E, suggesting that the stock is undervalued. Its price-to-book ratio of 7.12 reflects the premium investors are willing to pay for its high-quality assets, particularly in the life sciences sector. The company’s enterprise value-to-EBITDA ratio of 14.49 is in line with industry peers, further supporting its relative attractiveness. Analysts’ target prices range from $110 to $165, with a median target of $150, indicating potential upside from current levels.
 **Economic Outlook:**  
 The broader economic environment presents mixed implications for Alexandria Real Estate Equities. The recent implementation of tariffs and trade tensions could weigh on economic growth, potentially impacting demand for office spaces. However, ARE’s focus on life sciences and technology tenants provides a degree of insulation from broader economic volatility, as these sectors tend to exhibit resilience during downturns. Rising interest rates could increase borrowing costs, but ARE’s strong cash flow and operational efficiency may help mitigate this risk. Additionally, the company’s strategic positioning in high-demand markets supports its long-term growth prospects.
 **Conclusion:**  
 Alexandria Real Estate Equities is navigating a challenging macroeconomic environment with strong fundamentals and a resilient business model. While higher interest expenses and market volatility pose near-term risks, the company’s discounted valuation, robust tenant base, and consistent revenue growth position it as a compelling opportunity in the Office REIT sector. Its focus on life sciences and technology campuses provides a competitive edge, aligning with long-term industry trends.
 **Score:** 78</t>
  </si>
  <si>
    <t>**Investment Report: Atmos Energy (ATO)**
 **Recent News:**  
 Atmos Energy has been highlighted as a strong dividend stock, appealing to income-focused investors due to its consistent dividend payouts. The company is also set to release its Q1 fiscal 2025 earnings, with expectations of continued benefits from strategic investments and customer growth. This aligns with its historical focus on infrastructure development and expanding its customer base. However, the broader utilities sector has faced challenges, and Atmos Energy's performance relative to its peers remains a point of interest.
 **Financials:**  
 Atmos Energy demonstrates solid financial metrics, with a trailing P/E ratio of 16.28 and a forward P/E of 10.81, suggesting a favorable valuation relative to its earnings growth potential. The company offers a dividend yield of 4.89%, supported by a high payout ratio of 90.24%, which may indicate limited room for dividend growth but reflects its commitment to returning value to shareholders. Its gross margins of 59.91% and EBITDA margins of 35.04% highlight operational efficiency, though revenue growth has slightly declined (-0.5%), which could signal challenges in expanding its top line. The company's debt-to-equity ratio of 125.15% is relatively high, reflecting significant leverage, which is common in the utilities sector but warrants monitoring in a rising interest rate environment.
 **Valuations:**  
 Atmos Energy's price-to-book ratio of 1.70 and price-to-sales ratio of 1.43 suggest it is reasonably valued compared to its peers in the utilities sector. The stock has shown a 52-week price change of +34.75%, outperforming the S&amp;P 500's 21.93% gain over the same period, indicating strong investor confidence. Analyst sentiment remains positive, with a "buy" recommendation and a target median price of $28.00, implying potential upside from its current trading range.
 **Economic Outlook:**  
 The utilities sector, including Atmos Energy, is generally considered a defensive play during economic uncertainty. However, the macroeconomic environment presents mixed signals. Rising inflation and potential interest rate hikes could increase borrowing costs for Atmos Energy, given its high leverage. Additionally, the recent tariffs and trade tensions may indirectly impact the broader economic landscape, potentially affecting consumer spending and energy demand. Despite these challenges, the company's focus on infrastructure investments and customer growth positions it well for long-term stability.
 **Conclusion:**  
 Atmos Energy's strong dividend yield, operational efficiency, and reasonable valuation metrics make it an attractive option within the utilities sector. However, its high leverage and slight revenue decline require careful monitoring, especially in the current macroeconomic environment. The upcoming Q1 earnings release will provide further insights into its financial health and growth trajectory.
 **Score:** 78</t>
  </si>
  <si>
    <t>**Investment Report: AvalonBay Communities (AVB)**
 **Recent News:**  
 AvalonBay Communities, a leading player in the multi-family residential REITs sector, is expected to report Q4 earnings that reflect the benefits of its diversified portfolio and technological advancements. Despite these strengths, the firm faces challenges from elevated property deliveries and high interest expenses, which could weigh on its financial performance. Analysts are closely monitoring key metrics to assess the company's ability to navigate these headwinds while capitalizing on its operational efficiencies.
 **Financials:**  
 AvalonBay's financial metrics indicate a mixed performance. The company has a trailing P/E ratio of 21.00 and a forward P/E of 16.31, suggesting expectations of earnings growth. Its dividend yield of 1.82% is slightly above its five-year average of 1.59%, reflecting a stable income stream for shareholders. However, the firm's debt-to-equity ratio of 131.96 highlights a significant reliance on leverage, which could be a concern in a rising interest rate environment. The company's EBITDA margin of 16.32% and operating margin of 12.81% demonstrate moderate profitability, while its revenue growth of 4.1% and earnings growth of 31.6% indicate resilience in a challenging macroeconomic climate.
 **Valuations:**  
 AvalonBay's price-to-book ratio of 6.16 and price-to-sales ratio of 1.70 suggest that the stock is trading at a premium relative to its book value and revenue. The firm's enterprise value-to-EBITDA ratio of 13.00 indicates a fair valuation compared to industry peers. Analyst sentiment remains positive, with a mean price target of $210.66, representing potential upside from the current price of $185.73. However, the stock has declined 6.4% over the past year, underperforming the S&amp;P 500's 21.9% gain, which may reflect investor concerns about sector-specific challenges.
 **Economic Outlook:**  
 The broader economic environment presents both opportunities and risks for AvalonBay. Rising interest rates and inflationary pressures could increase borrowing costs and impact consumer affordability in the rental market. However, the company's focus on technological initiatives and its diversified portfolio position it well to adapt to changing market dynamics. The ongoing housing shortage in many U.S. markets could support demand for multi-family residential properties, providing a tailwind for AvalonBay's operations.
 **Conclusion:**  
 AvalonBay Communities is navigating a complex environment characterized by rising costs and economic uncertainty. While its strong portfolio and operational efficiencies provide a solid foundation, elevated debt levels and macroeconomic headwinds warrant caution. The firm's ability to sustain revenue and earnings growth while managing interest expenses will be critical to its near-term performance.
 **Score:** 72</t>
  </si>
  <si>
    <t>**Investment Report: Broadcom (Semiconductors Industry)**
 **Recent News:**  
 Broadcom has faced a notable decline in its stock price, largely attributed to market concerns surrounding the launch of DeepSeek, a Chinese AI competitor. Despite this, the company remains well-positioned to capitalize on the growing demand for U.S.-produced AI hardware, including custom AI chips. Broadcom's strong historical performance, including a 1,450% stock gain over the past decade and robust dividend growth, underscores its resilience. The successful VMware acquisition in 2023, which boosted revenues by 44%, and the ongoing AI-driven growth trajectory further solidify its long-term potential. Current market fear has created a contrarian opportunity, with analysts projecting a price target range of $247-$263, suggesting significant upside potential.
 **Financials:**  
 Broadcom's financial metrics reflect a mixed picture. The company boasts a market capitalization of $151.9 billion and a strong gross margin of 68.7%, indicative of its pricing power and operational efficiency. Revenue growth of 19.3% year-over-year highlights its ability to expand in a competitive market. However, earnings growth has contracted slightly (-6.3%), and the trailing price-to-earnings (P/E) ratio of 85.18 suggests the stock is trading at a premium. The forward P/E of 36.64 indicates expectations of improved profitability, supported by its AI hardware demand. Broadcom's debt-to-equity ratio of 53.72 is manageable, though it warrants monitoring given the rising interest rate environment. The company maintains a healthy operating cash flow of $2.94 billion, providing flexibility for future investments.
 **Valuations:**  
 Broadcom's valuation metrics suggest a premium pricing relative to its peers, driven by its strong market position and growth prospects. The price-to-sales ratio of 9.55 and price-to-book ratio of 7.33 are elevated, reflecting investor confidence in its long-term potential. Analysts maintain a "strong buy" recommendation with a mean price target of $103.49, aligning with the company's robust fundamentals and growth outlook. The stock's beta of 0.797 indicates lower volatility compared to the broader market, which may appeal to risk-averse investors.
 **Economic Outlook:**  
 The broader semiconductor industry faces headwinds from geopolitical tensions and trade disruptions, including new tariffs imposed by the U.S. administration. However, Broadcom's focus on AI hardware positions it to benefit from the increasing adoption of AI technologies globally. The recent market sell-off, driven by fears of competition from DeepSeek, may be overblown given Broadcom's established contracts and strong demand for its products. While inflationary pressures and potential trade wars could impact short-term performance, Broadcom's long-term growth prospects remain intact, supported by its diversified revenue streams and strategic acquisitions.
 **Conclusion:**  
 Broadcom's recent stock dip presents a potential opportunity for long-term growth, driven by its leadership in AI hardware and strong financial performance. While short-term volatility may persist due to market fears and macroeconomic uncertainties, the company's fundamentals and growth trajectory suggest resilience and potential upside.
 **Score:** 85</t>
  </si>
  <si>
    <t>**Investment Report: Avery Dennison (AVY)**
 **Recent News:**  
 Avery Dennison reported strong Q4 2024 earnings, with earnings per share (EPS) of $2.38, slightly surpassing Wall Street estimates of $2.37 and improving from $2.16 in the same quarter last year. This growth reflects higher volumes and operational efficiency. The company has provided an optimistic adjusted EPS guidance of $9.80-$10.20 for 2025, signaling confidence in its ability to sustain growth despite macroeconomic challenges. The positive earnings surprise and year-over-year improvement highlight the firm's resilience and ability to navigate a volatile economic environment.
 **Financials:**  
 Avery Dennison's financial performance remains robust, with a market capitalization of $57.6 billion and a 52-week price range of $2,672.31 to $3,445.05, currently trading near its high. The company has a forward price-to-earnings (P/E) ratio of 19.83, indicating reasonable valuation relative to its growth prospects. Revenue growth of 9% year-over-year and earnings growth of 11.7% demonstrate strong operational performance. Gross margins of 53.1% and EBITDA margins of 23.5% reflect efficient cost management and profitability. However, the quick ratio of 0.10 and current ratio of 0.84 suggest liquidity constraints, which may require attention in the event of economic disruptions.
 **Valuations:**  
 Avery Dennison's valuation metrics, including a trailing P/E of 22.97 and a price-to-sales ratio of 3.12, position it as moderately valued within its industry. Analysts maintain a positive outlook, with a mean target price of $3,601 and a recommendation key of "buy." The firm's return on assets (ROA) of 14.3% and profit margins of 14.4% underscore its ability to generate strong returns on its investments. However, the enterprise value-to-EBITDA ratio of 15.79 suggests the stock may be priced at a premium compared to peers, reflecting investor confidence in its growth trajectory.
 **Economic Outlook:**  
 The broader economic environment presents mixed signals for Avery Dennison. The imposition of new tariffs by the U.S. administration could disrupt supply chains and increase input costs, potentially pressuring margins. Additionally, inflationary pressures and rising interest rates may dampen consumer demand, particularly in packaging and materials sectors. However, Avery Dennison's strong market position and operational efficiency may help mitigate these risks. The company's focus on innovation and sustainable packaging solutions aligns with long-term industry trends, providing a competitive edge in a challenging macroeconomic landscape.
 **Conclusion:**  
 Avery Dennison's strong Q4 performance, solid growth metrics, and optimistic guidance for 2025 position it as a resilient player in the packaging and materials industry. While macroeconomic headwinds, including tariffs and inflation, pose challenges, the company's operational efficiency and alignment with sustainable trends provide a foundation for continued growth. Liquidity concerns and premium valuation metrics warrant monitoring, but the firm's overall outlook remains positive.
 **Score:** 85</t>
  </si>
  <si>
    <t>**Investment Report: American Water Works (AWK)**
 **Recent News:**  
 American Water Works (AWK) experienced a notable 6.8% jump in its stock price during the last trading session, driven by higher-than-average trading volume. This movement suggests heightened investor interest, potentially due to its defensive nature as a utility stock amidst broader market volatility. However, the trend in earnings estimate revisions indicates potential challenges in sustaining this momentum in the near term. The broader economic environment, including inflationary pressures and rising interest rates, may weigh on the utility sector, which is sensitive to borrowing costs.
 **Financials:**  
 AWK's financial metrics reflect a stable but leveraged position. The company has a market capitalization of $24.5 billion and a trailing P/E ratio of 24.95, which is slightly elevated compared to its forward P/E of 21.99, indicating expectations of earnings growth. Revenue growth of 13.4% year-over-year and earnings growth of 8.4% highlight steady operational performance. However, the company's high debt-to-equity ratio of 129.6% and negative free cash flow (-$1.1 billion) underscore its reliance on debt financing, which could become more costly in a rising interest rate environment. 
 AWK's dividend yield of 2.46% is above its five-year average of 1.75%, making it attractive for income-focused investors. The payout ratio of 58.4% suggests the dividend is sustainable, though limited room for expansion exists without significant earnings growth. The company's gross margins (59.9%) and EBITDA margins (53.3%) are robust, reflecting operational efficiency.
 **Valuations:**  
 AWK's price-to-book ratio of 2.37 and enterprise value-to-EBITDA ratio of 15.67 indicate a premium valuation compared to peers in the water utilities sector. The stock is trading closer to its 52-week low of $113.34 than its high of $150.68, suggesting potential upside if market conditions stabilize. Analyst price targets range from $105 to $159, with a median target of $134, slightly above the current price, reflecting cautious optimism.
 **Economic Outlook:**  
 The broader macroeconomic environment presents mixed implications for AWK. As a water utility, the company benefits from its essential service nature, providing a degree of insulation from economic downturns. However, the recent implementation of tariffs and inflationary pressures could indirectly impact operational costs and consumer affordability. Rising interest rates pose a significant risk, given AWK's high debt levels, potentially increasing financing costs and pressuring margins. Additionally, the ongoing California wildfires may highlight the importance of water infrastructure investments, potentially benefiting AWK in the long term.
 **Conclusion:**  
 American Water Works remains a stable player in the water utilities sector, supported by its essential service offerings and consistent revenue growth. However, its high leverage and premium valuation, coupled with macroeconomic headwinds, may limit near-term upside. While the recent price jump reflects investor interest, sustaining this momentum will depend on broader market conditions and the company's ability to manage its debt and maintain operational efficiency.
 **Score:** 72</t>
  </si>
  <si>
    <t>**Investment Report: Axon Enterprise (AXON)**
 **Recent News:**  
 Axon Enterprise has demonstrated remarkable performance, significantly outpacing the S&amp;P 500 in 2024. The company, a leader in law enforcement technology, has been lauded for its innovative solutions, including AI, drones, and conducted energy devices. Its Q3 2024 results showcased a 32% year-over-year revenue growth to $544.27 million, with earnings per share exceeding expectations. Additionally, future contracted revenue increased by 33% to $7.7 billion, reflecting strong demand for its products and services. Despite a high price-to-earnings (P/E) ratio of 158.43, analysts have justified this valuation due to Axon's robust growth trajectory and financial strength.
 **Financials:**  
 Axon Enterprise's financial metrics highlight its strong operational performance. The company reported a trailing P/E of 15.91 and a forward P/E of 15.94, suggesting a reasonable valuation relative to its earnings growth. Its market capitalization stands at $46.9 billion, with a 52-week price change of 57.13%, significantly outperforming the broader market. Axon's gross margins of 21.09% and operating margins of 13.46% indicate efficient cost management. The company also maintains a healthy balance sheet, with $2.66 billion in cash and a manageable debt-to-equity ratio of 36.93%. Free cash flow of $698.6 million further underscores its financial stability.
 **Valuations:**  
 Axon's price-to-sales ratio of 1.72 and price-to-book ratio of 2.90 suggest that the stock is trading at a premium, reflecting investor confidence in its growth potential. The company's trailing PEG ratio of 1.03 indicates that its valuation is aligned with its earnings growth, making it an attractive option for growth-oriented investors. Analyst sentiment remains positive, with a mean price target of $50.62 and a "buy" recommendation consensus.
 **Economic Outlook:**  
 The broader economic environment presents both opportunities and challenges for Axon. The recent global technology sector downturn, triggered by competition from Chinese AI advancements, has not significantly impacted Axon due to its niche focus on public safety technology. However, macroeconomic headwinds, including inflationary pressures from new tariffs and potential trade disruptions, could affect its supply chain and input costs. Despite these challenges, Axon's strong fundamentals and innovative product offerings position it well to navigate economic uncertainties.
 **Conclusion:**  
 Axon Enterprise's impressive growth, financial strength, and innovative product portfolio make it a standout performer in the Aerospace &amp; Defense sector. While its high valuation may raise concerns, the company's strong earnings growth and future revenue prospects justify its premium pricing. Axon remains well-positioned to capitalize on increasing demand for public safety technology, even amid broader market volatility.
 **Score:** 85</t>
  </si>
  <si>
    <t>**Investment Report: American Express (AXP)**
 **Recent News:**  
 American Express has demonstrated strong momentum, driven by a 12-month rally of nearly 60%, fueled by increased spending from Millennials and Gen Z. These demographics are prioritizing experiences over material goods, aligning well with American Express's premium offerings. The company reported record Q4 results, showcasing robust earnings growth and a return on equity of 35%, which is significantly above industry averages. Additionally, the announcement of a 17% increase in its quarterly dividend reflects confidence in its financial stability and commitment to shareholder returns. Cost control measures and strategic investments in market opportunities further position the company for sustained growth.
 **Financials:**  
 American Express exhibits solid financial performance, with a trailing price-to-earnings (P/E) ratio of 23.06 and a forward P/E of 18.54, indicating expectations of continued earnings growth. The company maintains a healthy profit margin of 16.67% and an impressive operating margin of 45.05%, reflecting operational efficiency. However, its debt-to-equity ratio of 153.26% suggests a high reliance on leverage, which could pose risks in a rising interest rate environment. Despite this, the company’s return on equity of 9.65% and return on assets of 2.55% highlight its ability to generate returns effectively. The dividend yield of 3.45% is competitive, supported by a payout ratio of 73.64%, which remains sustainable given its earnings growth.
 **Valuations:**  
 American Express's price-to-book ratio of 2.18 and price-to-sales ratio of 3.83 suggest it is trading at a premium compared to some peers in the consumer finance sector. However, this premium is justified by its strong brand, high customer loyalty, and consistent financial performance. The stock's 52-week range of $46.80 to $64.19 indicates it is trading near its upper range, reflecting investor optimism. Analyst price targets range from $56 to $67, with a median target of $62.42, suggesting limited upside in the short term but potential for steady long-term appreciation.
 **Economic Outlook:**  
 The broader economic environment presents both opportunities and challenges for American Express. Increased tariffs and inflationary pressures could dampen consumer spending, particularly in discretionary categories. However, the company's focus on affluent customers and experiential spending may insulate it from broader economic headwinds. Additionally, the recent market volatility, particularly in the technology sector, may shift investor focus toward more stable, established companies like American Express. The company's ability to adapt to changing consumer preferences and maintain cost discipline will be critical in navigating these challenges.
 **Conclusion:**  
 American Express is well-positioned to capitalize on its strong brand, loyal customer base, and favorable spending trends among younger demographics. While its high leverage and premium valuation warrant caution, its robust financial performance, dividend growth, and strategic investments provide a solid foundation for continued success. The current economic environment may introduce short-term volatility, but the company's long-term prospects remain strong.
 **Score:** 85</t>
  </si>
  <si>
    <t>**Investment Report: AutoZone, Inc. (AZO)**
 **Recent News:**  
 AutoZone has garnered significant attention recently, reflecting its position as a trending stock. This interest is likely driven by its strong financial performance and robust market presence in the automotive retail sector. However, the broader economic environment, including inflationary pressures and potential trade disruptions, could influence consumer spending and supply chain dynamics, which are critical for AutoZone's operations.
 **Financials:**  
 AutoZone's financial metrics indicate a solid performance. The company has a market capitalization of $50.18 billion and a trailing price-to-earnings (P/E) ratio of 170.94, which is notably high, suggesting that the stock is priced for significant growth. Its forward P/E ratio of 104.38 indicates expectations of continued earnings expansion. The company has demonstrated strong revenue growth of 31.7% year-over-year, supported by a gross margin of 59.75%, which highlights its ability to maintain profitability despite rising costs. Additionally, AutoZone's return on equity (ROE) of 16.42% reflects efficient use of shareholder capital.
 The company maintains a healthy balance sheet with a quick ratio of 2.48 and a current ratio of 2.96, indicating strong liquidity. However, its debt-to-equity ratio of 34.83 suggests a relatively high reliance on debt financing, which could pose risks in a rising interest rate environment. Free cash flow of $236.38 million and operating cash flow of $298.18 million provide a cushion for ongoing operations and potential investments.
 **Valuations:**  
 AutoZone's stock is trading near its 52-week high of $698.67, with a current price-to-book ratio of 23.85, significantly above the industry average. This premium valuation reflects investor confidence in the company's growth prospects but also raises concerns about overvaluation. Analyst sentiment remains positive, with a recommendation mean of 1.5 (strong buy) and a target median price of $627.50, slightly below the current trading range, suggesting limited short-term upside.
 **Economic Outlook:**  
 The automotive retail industry faces mixed macroeconomic conditions. On one hand, rising tariffs and trade tensions could increase costs for imported auto parts, potentially squeezing margins. On the other hand, AutoZone's focus on aftermarket parts positions it well to benefit from an aging vehicle fleet and increased demand for repairs, especially as consumers may delay new car purchases due to economic uncertainty. However, inflationary pressures and potential disruptions in global supply chains could impact inventory management and pricing strategies.
 **Conclusion:**  
 AutoZone's strong financial performance, robust revenue growth, and efficient operations make it a standout in the automotive retail sector. However, its high valuation and exposure to macroeconomic risks, including tariffs and inflation, warrant caution. While the company is well-positioned to navigate industry challenges, short-term volatility in the broader market and potential cost pressures could weigh on its performance.
 **Score:** 78</t>
  </si>
  <si>
    <t>**Investment Report: Boeing**
 **Recent News:**  
 Boeing is navigating a challenging environment marked by operational setbacks and external pressures. The imposition of tariffs by the Trump administration on Canada, Mexico, and China is expected to increase costs for the aerospace giant, potentially impacting its competitiveness in international markets. Additionally, Boeing reported a staggering $11.8 billion annual loss, its largest since 2020, driven by a combination of operational inefficiencies, including a worker strike and issues in both its commercial and defense segments. Despite these challenges, the company has outlined a path to recovery, focusing on ramping up production of its 737 aircraft and expediting the delivery of Air Force One replacements. CEO Kelly Ortberg's emphasis on a product-driven turnaround has provided some optimism, with analysts projecting a potential rebound by 2025. However, the high valuation and ongoing operational hurdles remain significant concerns.
 **Financials:**  
 Boeing's financial performance reflects its current struggles. The company posted a disappointing fourth-quarter loss of $5.90 per share, worse than market expectations. Despite this, Boeing's stock has shown some resilience, supported by its $26 billion in cash and marketable securities, which provide a buffer for long-term growth initiatives. The company has a trailing price-to-earnings (P/E) ratio of 48.07 and a forward P/E of 24.85, indicating a high valuation relative to its earnings. Its debt-to-equity ratio of 65.96 highlights a leveraged balance sheet, though its operating cash flow of $4.2 billion suggests some capacity to manage its obligations. Revenue growth of 54.1% year-over-year is a positive sign, but the company's gross margins of 95.26% and operating margins of 51.08% suggest that profitability is heavily reliant on efficient operations, which have been a challenge recently.
 **Valuations:**  
 Boeing's stock is trading near the midpoint of its 52-week range, with a recent close of $177.11 compared to a high of $200.96 and a low of $115.82. Analysts have set a target mean price of $185.15, reflecting modest upside potential. The price-to-book ratio of 19.02 is significantly elevated, indicating that the stock is trading at a premium relative to its book value. While the company's forward earnings growth and revenue growth are encouraging, the high valuation metrics suggest that much of the optimism is already priced in, leaving limited room for error in execution.
 **Economic Outlook:**  
 The broader macroeconomic environment poses additional risks for Boeing. The new tariffs on key trading partners are likely to disrupt supply chains and increase input costs, further straining margins. Rising inflationary pressures and potential Federal Reserve tightening could dampen demand for large capital expenditures, such as aircraft purchases. However, Boeing's long-term prospects remain tied to the recovery of the global aviation industry, which is expected to benefit from increasing air travel demand and fleet modernization efforts. The company's focus on production efficiency and its strong cash position provide a foundation for eventual recovery, but near-term headwinds are likely to persist.
 **Conclusion:**  
 Boeing faces a complex mix of internal and external challenges, including operational inefficiencies, high debt levels, and geopolitical pressures from tariffs. While its long-term growth potential remains intact, the near-term outlook is clouded by significant risks. The company's high valuation and ongoing operational issues warrant caution, even as it works toward a turnaround.
 **Score:** 55</t>
  </si>
  <si>
    <t>**Investment Report: Ball Corporation**
 **Recent News:**  
 Ball Corporation has not been featured in any significant news over the past week. This absence of news suggests stability in the company's operations, with no major disruptions or developments impacting its business. However, in the context of broader market volatility, particularly in the technology and trade-sensitive sectors, the lack of news may indicate that Ball Corporation is relatively insulated from immediate external shocks.
 **Financials:**  
 Ball Corporation's financial performance reflects a stable position within the Metal, Glass &amp; Plastic Containers industry. The company’s trailing price-to-earnings (P/E) ratio of 14.40 and forward P/E of 10.65 suggest that the stock is attractively valued compared to its earnings potential. The dividend yield of 2.21% is slightly below its five-year average of 2.45%, but the payout ratio of 35.51% indicates a sustainable dividend policy. The company’s beta of 1.33 suggests moderate volatility, aligning with broader market movements.
 The firm’s profit margins of 24.95% and operating margins of 30.77% highlight strong operational efficiency. However, earnings and revenue growth have shown slight declines, with quarterly earnings growth down 11.6% and revenue growth contracting by 0.5%. This could reflect challenges in demand or cost pressures, potentially linked to macroeconomic headwinds such as inflation and trade tariffs.
 Ball Corporation’s balance sheet shows a robust cash position of $827.77 billion, offset by total debt of $799.69 billion. This near parity between cash and debt suggests the company has sufficient liquidity to manage its obligations, though its negative operating cash flow of -$1.99 billion raises concerns about short-term operational efficiency. The price-to-book ratio of 1.31 indicates the stock is trading close to its book value, which may appeal to value-oriented investors.
 **Valuations:**  
 The stock is trading near its 52-week high of $48.08, with a current price of $46.30. This reflects a 40.13% increase over the past year, outperforming the S&amp;P 500’s 21.93% gain. Analyst sentiment remains positive, with a mean target price of $52.43 and a recommendation key of "buy." This suggests potential upside of approximately 13.2% from current levels. However, the trailing PEG ratio of 2.05 indicates that the stock may be slightly overvalued relative to its growth prospects.
 **Economic Outlook:**  
 Ball Corporation operates in an industry that is less directly impacted by the recent global technology selloff and trade tensions. However, the imposition of new tariffs by the U.S. administration on imports from Canada, Mexico, and China could indirectly affect the company through higher input costs or supply chain disruptions. Additionally, inflationary pressures and potential Federal Reserve policy adjustments could weigh on consumer demand and industrial activity, indirectly influencing Ball Corporation’s performance.
 The company’s strong market position and diversified product portfolio may provide resilience in the face of these challenges. However, the broader economic environment, including rising costs and slowing global growth, could limit near-term upside potential.
 **Conclusion:**  
 Ball Corporation demonstrates solid fundamentals, with strong margins, a sustainable dividend, and a reasonable valuation. While the company faces some headwinds from slowing growth and macroeconomic uncertainties, its stable financial position and operational efficiency provide a buffer against external risks. The stock’s recent performance and positive analyst sentiment suggest moderate upside potential, though investors should remain cautious of broader market volatility and economic pressures.
 **Score:** 78</t>
  </si>
  <si>
    <t>**Investment Report: Baxter International (Health Care Equipment Industry)**
 **Recent News:**  
 Baxter International has not been in the spotlight recently, with no significant news or developments reported in the past week. This lack of news suggests stability in operations but also indicates no immediate catalysts for significant stock movement.
 **Financials:**  
 Baxter International's financial performance reflects a mixed picture. The company has a trailing price-to-earnings (PE) ratio of 23.2, which is higher than its forward PE of 15.83, indicating expectations of improved earnings in the future. The dividend yield of 1.44% is slightly above its five-year average of 1.1%, suggesting a modest but stable return for income-focused investors. However, the company's earnings quarterly growth has declined by 3%, and revenue growth has contracted by 0.9%, signaling challenges in maintaining top-line momentum.
 The firm's gross margin of 20.39% and operating margin of 11.84% are relatively modest for the health care equipment industry, reflecting potential cost pressures or pricing challenges. Additionally, the debt-to-equity ratio of 90.84% highlights a significant reliance on leverage, which could pose risks in a rising interest rate environment. Despite this, Baxter maintains a reasonable current ratio of 1.09, indicating adequate short-term liquidity.
 **Valuations:**  
 Baxter's stock is trading at a price-to-book ratio of 2.5, which is reasonable but not particularly undervalued compared to peers. The enterprise value-to-revenue ratio of 1.55 and enterprise value-to-EBITDA ratio of 10.21 suggest the company is fairly valued relative to its earnings and revenue generation. Analyst sentiment remains positive, with a recommendation mean of 2.25 (indicating a "buy") and a target median price of $70, representing a potential upside from the current price of approximately $55. However, the stock has underperformed the S&amp;P 500 over the past year, with a 52-week change of -2.7% compared to the S&amp;P's 21.9% gain.
 **Economic Outlook:**  
 The broader macroeconomic environment presents both challenges and opportunities for Baxter. The recent imposition of tariffs and trade tensions could increase costs for imported materials, potentially squeezing margins further. Additionally, inflationary pressures and a more hawkish Federal Reserve stance could impact consumer and institutional spending on health care equipment. However, the health care sector tends to be more resilient during economic downturns, which could provide some stability for Baxter's operations.
 **Conclusion:**  
 Baxter International's financials and valuations suggest a stable but unremarkable investment opportunity in the near term. While the company has a solid foundation and potential for earnings growth, its recent revenue contraction, high leverage, and modest margins may limit upside potential. The lack of recent news or significant developments further underscores the absence of immediate growth catalysts. However, the stock's reasonable valuation and positive analyst sentiment provide some support for its long-term prospects.
 **Score:** 65</t>
  </si>
  <si>
    <t>**Investment Report: Best Buy Co., Inc.**
 **Recent News:**  
 There have been no significant updates or developments regarding Best Buy in the past week. This lack of news suggests stability in the company's operations but also indicates no immediate catalysts for significant stock movement.
 **Financials:**  
 Best Buy's financial metrics reflect a mixed picture. The company is trading at a trailing price-to-earnings (P/E) ratio of 12.88 and a forward P/E of 8.74, indicating a relatively low valuation compared to historical and industry averages. This suggests that the market may be undervaluing the stock, potentially due to broader economic concerns or sector-specific challenges. The company's profit margins are strong at 16.81%, and its gross margins of 75.59% highlight operational efficiency. However, revenue growth has declined by 2.5% year-over-year, reflecting potential headwinds in consumer spending or competitive pressures in the electronics retail sector.
 The stock's beta of -0.061 indicates minimal correlation with broader market movements, which could provide some insulation from market volatility. However, the 52-week performance shows a decline of 41.38%, significantly underperforming the S&amp;P 500's gain of 21.93% over the same period. This underperformance may reflect broader challenges in the retail and electronics sectors, as well as potential impacts from macroeconomic factors.
 **Valuations:**  
 Best Buy's price-to-book ratio of 1.27 and price-to-sales ratio of 2.16 suggest the stock is trading at a discount relative to its book value and revenue generation. Analysts have a median price target of $220, representing substantial upside from the current price of approximately $143.93. The recommendation mean of 2.08 (indicating a "buy") and the high institutional ownership of 96% suggest confidence in the company's long-term prospects. However, the short interest ratio of 2.52 and a slight increase in short positions over the past month indicate some bearish sentiment in the near term.
 **Economic Outlook:**  
 The broader economic environment presents challenges for Best Buy. The recent implementation of tariffs on goods from China, Canada, and Mexico could increase costs for electronics and appliances, potentially squeezing margins or reducing consumer demand. Additionally, inflationary pressures and rising interest rates may dampen discretionary spending, which could negatively impact Best Buy's sales. The recent global technology sector downturn, triggered by competition from Chinese AI advancements, may also weigh on consumer sentiment and demand for high-tech products.
 **Conclusion:**  
 Best Buy's strong profitability metrics and undervaluation relative to its historical and industry benchmarks suggest potential for long-term value. However, declining revenue growth, macroeconomic headwinds, and sector-specific challenges create uncertainty in the near term. While the stock appears fundamentally sound, the broader economic environment and potential impacts from tariffs and inflation warrant caution.
 **Score:** 65</t>
  </si>
  <si>
    <t>**Investment Report: Becton Dickinson (BDX)**
 **Recent News:**  
 Becton Dickinson (BDX) is poised for its fiscal Q1 earnings report, with analysts projecting revenue growth driven by sustained demand for its healthcare products. Despite this, there are concerns about the company's ability to exceed Wall Street expectations, as it reportedly lacks the optimal combination of factors for an earnings beat. The market anticipates solid performance, but transitory market dynamics and broader economic uncertainties may temper results. The company's ability to maintain momentum in product uptake will be critical in navigating these challenges.
 **Financials:**  
 Becton Dickinson's financial metrics reflect a stable but cautious outlook. The company has a market capitalization of $71.8 billion and a trailing price-to-earnings (P/E) ratio of 42.18, which is relatively high, indicating a premium valuation. However, its forward P/E of 15.87 suggests expectations of significant earnings growth. The firm has demonstrated robust revenue growth of 6.9% year-over-year, with total revenue of $19.83 billion and a gross margin of 44.9%. Its EBITDA margin of 25.8% and operating margin of 15.2% highlight operational efficiency. 
 The company maintains a healthy dividend yield of 1.75%, with a payout ratio of 64.8%, aligning with its historical average. BDX's free cash flow of $4.43 billion and operating cash flow of $3.94 billion provide a solid foundation for reinvestment and shareholder returns. However, its debt-to-equity ratio of 77.61% indicates a relatively high leverage level, which could pose risks in a rising interest rate environment.
 **Valuations:**  
 BDX's price-to-book ratio of 2.77 and price-to-sales ratio of 3.62 suggest the stock is trading at a premium compared to its peers in the healthcare equipment industry. Analysts have set a target mean price of $277.80, representing potential upside from its current trading range of $245.55 to $251.93. The stock's beta of 0.45 indicates lower volatility compared to the broader market, making it a relatively defensive investment in uncertain times.
 **Economic Outlook:**  
 The broader macroeconomic environment presents mixed signals for BDX. The healthcare sector remains resilient, supported by demographic trends and ongoing demand for medical equipment. However, inflationary pressures and potential disruptions from new tariffs could impact supply chains and input costs. BDX's strong institutional ownership (91.7%) and low short interest (0.73%) reflect confidence in its long-term prospects, but near-term headwinds, including geopolitical uncertainties and market volatility, may weigh on performance.
 **Conclusion:**  
 Becton Dickinson is well-positioned to benefit from sustained demand for its healthcare products, supported by strong financials and operational efficiency. However, its high valuation, leverage, and potential exposure to macroeconomic risks warrant caution. The upcoming earnings report will be a key indicator of its ability to navigate these challenges and deliver on growth expectations.
 **Score:** 78</t>
  </si>
  <si>
    <t>**Investment Report: Franklin Resources (BEN)**
 **Recent News:**  
 Franklin Resources (BEN) reported Q1 earnings of $0.59 per share, surpassing the consensus estimate of $0.53. However, this represents a decline from $0.65 per share in the same quarter last year, reflecting some pressure on profitability. The company also exceeded revenue expectations, signaling resilience in its core operations despite broader market challenges. The earnings beat suggests effective cost management and operational efficiency, though the year-over-year decline in EPS highlights potential headwinds in maintaining growth momentum.
 **Financials:**  
 Franklin Resources exhibits a mixed financial profile. The firm has a trailing price-to-earnings (P/E) ratio of 27.58, which is relatively high compared to its forward P/E of 16.25, indicating expectations of improved earnings in the future. The dividend yield of 1.53% is below its five-year average of 3.73%, suggesting a reduced income appeal for dividend-focused investors. The company maintains a solid balance sheet with a manageable debt-to-equity ratio of 33.53 and a quick ratio of 1.05, reflecting adequate liquidity. Additionally, Franklin Resources has a strong return on equity (ROE) of 16.87%, showcasing its ability to generate shareholder value.
 The firm's revenue growth of 16.6% and earnings growth of 16.1% on a quarterly basis are positive indicators, suggesting that the company is navigating the current economic environment effectively. However, its profit margins, while healthy, remain modest at 7.81%, leaving limited room for error in a volatile market.
 **Valuations:**  
 Franklin Resources is trading at a price-to-book (P/B) ratio of 2.94, which is reasonable but slightly elevated compared to historical norms for the asset management industry. The stock's 52-week performance shows a decline of 10.75%, underperforming the S&amp;P 500's gain of 21.93% over the same period. This underperformance may reflect broader challenges in the asset management sector, including fee compression and competition from passive investment products. Analysts have a median price target of $48, suggesting potential upside from the current price of approximately $35.85, though the high target of $62 indicates some optimism about the firm's long-term prospects.
 **Economic Outlook:**  
 The macroeconomic environment presents both challenges and opportunities for Franklin Resources. The recent implementation of tariffs by the U.S. administration and the resulting market volatility could impact investor sentiment and fund flows, potentially affecting the firm's assets under management (AUM). However, the company's global presence and diversified product offerings may help mitigate these risks. Additionally, rising interest rates and inflationary pressures could create headwinds for equity markets, which may weigh on Franklin Resources' performance in the near term.
 The broader asset management industry is also facing structural shifts, including increased competition from low-cost ETFs and the growing importance of ESG-focused investments. Franklin Resources' ability to adapt to these trends will be critical for its long-term success.
 **Conclusion:**  
 Franklin Resources has demonstrated resilience with its recent earnings and revenue beat, but the year-over-year decline in EPS and broader market challenges highlight the need for caution. While the stock appears undervalued relative to its forward earnings potential, the firm's exposure to market volatility and industry headwinds could limit near-term upside. Its strong balance sheet, solid ROE, and revenue growth provide a foundation for long-term stability, but the current environment may weigh on performance in the coming months.
 **Score:** 65</t>
  </si>
  <si>
    <t>**Investment Report: Brown–Forman Corporation**
 **Recent News:**  
 There have been no significant updates or developments regarding Brown–Forman in the past week. The absence of news suggests stability in the company's operations, but it also indicates a lack of immediate catalysts for significant stock movement.
 **Financials:**  
 Brown–Forman's recent trading activity shows a decline in its stock price, with the day’s low reaching $159.82, down from a previous close of $167.28. The stock has a beta of 2.081, indicating higher volatility compared to the broader market. The company’s trailing price-to-earnings (P/E) ratio of 15.91 and forward P/E of 14.01 suggest that the stock is moderately valued relative to its earnings, with expectations of improved profitability in the future. However, earnings growth has been negative, with a quarterly decline of 36.9%, and revenue growth has also contracted by 6.7%, reflecting challenges in the current operating environment.
 The company’s profit margins stand at 7.4%, and gross margins are at 33.55%, which are relatively healthy for the industry but show room for improvement. Brown–Forman’s return on equity (ROE) of 27.44% is strong, indicating effective use of shareholder capital. However, the debt-to-equity ratio of 97.54% highlights a significant reliance on leverage, which could pose risks in a rising interest rate environment or during economic downturns.
 **Valuations:**  
 The stock is trading at a price-to-book (P/B) ratio of 4.23, which is higher than the industry average, suggesting a premium valuation. The enterprise value-to-revenue ratio of 1.36 and enterprise value-to-EBITDA ratio of 9.69 indicate that the company is not excessively overvalued, but its valuation metrics are not particularly compelling given the recent decline in earnings and revenue growth. Analyst sentiment remains positive, with a recommendation mean of 1.67 (indicating a "buy") and a target median price of $200, suggesting potential upside from current levels.
 **Economic Outlook:**  
 The broader economic environment presents mixed signals for Brown–Forman. The recent implementation of tariffs and trade tensions could disrupt supply chains and increase costs for imported materials, potentially pressuring margins. Additionally, inflationary pressures and a more hawkish Federal Reserve stance could dampen consumer spending, particularly on discretionary items like premium alcoholic beverages. However, the company’s strong brand portfolio and global presence may provide resilience in navigating these challenges.
 **Conclusion:**  
 Brown–Forman faces headwinds from declining earnings and revenue growth, as well as broader macroeconomic uncertainties. While its valuation metrics and strong ROE suggest underlying strength, the company’s high debt levels and reliance on consumer spending in a potentially slowing economy warrant caution. The lack of recent news or catalysts further limits short-term upside potential, though the stock may appeal to long-term investors seeking exposure to the Distillers &amp; Vintners industry.
 **Score:** 65</t>
  </si>
  <si>
    <t>**Investment Report: Bunge Global (BG)**
 **Recent News:**  
 Bunge Global is anticipated to report a decline in earnings in its upcoming financial results, with analysts expressing skepticism about the company's ability to surpass expectations. This sentiment reflects concerns over the firm's current operational efficiency and profitability metrics. The agricultural products and services industry, in which Bunge operates, is facing headwinds from global economic uncertainty, including inflationary pressures and trade disruptions caused by recent tariffs. These factors may weigh on the company's performance in the near term.
 **Financials:**  
 Bunge's financial metrics reveal a mixed picture. The company has a trailing price-to-earnings (PE) ratio of 31.17 and a forward PE of 32.22, indicating a premium valuation relative to its earnings potential. The dividend yield of 5.36% is above its five-year average of 4.86%, which may appeal to income-focused investors, but the high payout ratio of 170.43% raises concerns about the sustainability of its dividend policy. The firm's debt-to-equity ratio of 205.41% highlights a significant leverage position, which could pose risks in a rising interest rate environment. Additionally, the quick ratio of 0.90 and current ratio of 0.98 suggest tight liquidity, potentially limiting the company's ability to navigate short-term financial challenges.
 **Valuations:**  
 Bunge's price-to-book ratio of 1.97 is reasonable compared to industry peers, but its enterprise value-to-revenue ratio of 8.87 and enterprise value-to-EBITDA ratio of 15.85 suggest the company is trading at a relatively high valuation. The market appears to be pricing in optimistic growth expectations, which may not materialize given the current macroeconomic environment. The company's gross margins of 61.06% and EBITDA margins of 55.94% are strong, but its return on equity (ROE) of 5.83% and return on assets (ROA) of 2.45% indicate suboptimal efficiency in generating returns for shareholders.
 **Economic Outlook:**  
 The broader economic environment presents challenges for Bunge. The recent imposition of tariffs by the U.S. administration on key trading partners, including Canada, Mexico, and China, could disrupt global agricultural supply chains and increase input costs. Additionally, inflationary pressures and rising interest rates may further strain the company's financial performance. While Bunge operates in a sector that benefits from essential demand, the combination of geopolitical tensions and economic uncertainty could weigh on its near-term growth prospects.
 **Conclusion:**  
 Bunge Global faces a challenging outlook due to a combination of internal financial constraints and external economic pressures. While the company has strong margins and a solid position in the agricultural sector, its high leverage, premium valuation, and potential earnings decline raise concerns about its ability to deliver value in the short term. The broader macroeconomic environment, including trade disruptions and inflation, adds further uncertainty to its performance.
 **Score:** 55</t>
  </si>
  <si>
    <t>**Investment Report:**
 **Recent News:**  
 The Bank of New York Mellon Corporation (BNY Mellon) has been highlighted as a strong dividend stock, appealing to income-focused investors. With a dividend yield of 2.12% and a payout ratio of 50.1%, the company demonstrates a commitment to returning value to shareholders while maintaining a sustainable dividend policy. Its five-year average dividend yield of 2.43% suggests consistency in its dividend strategy. However, the broader economic environment, including recent market volatility and inflationary pressures, may influence investor sentiment toward dividend-paying stocks.
 **Financials:**  
 BNY Mellon exhibits solid financial health, with a market capitalization of $157 billion and a price-to-book ratio of 3.64, indicating a premium valuation relative to its book value. The company’s trailing price-to-earnings (P/E) ratio of 24.11 and forward P/E of 18.76 suggest expectations of earnings growth, supported by a modest earnings growth rate of 2.3% and revenue growth of 14.9% year-over-year. Profit margins remain robust at 31.37%, reflecting operational efficiency. Additionally, the company’s return on equity (ROE) of 15.05% underscores its ability to generate returns for shareholders. 
 Liquidity metrics are strong, with a quick ratio of 1.89 and a current ratio of 2.56, indicating the firm’s ability to meet short-term obligations. The debt-to-equity ratio of 32.5% is manageable, though it warrants monitoring in a rising interest rate environment. Free cash flow of $5.05 billion and operating cash flow of $4.34 billion provide flexibility for continued dividend payments and potential reinvestment opportunities.
 **Valuations:**  
 BNY Mellon’s stock is trading near its 52-week high of $1,084.22, with a recent close of $1,075.50. The stock has appreciated by 36.49% over the past year, outperforming the S&amp;P 500’s 21.93% gain. Analyst sentiment remains positive, with a mean price target of $1,165.29, representing potential upside. The recommendation mean of 1.72 (on a scale where 1.0 is a strong buy) reflects confidence in the stock’s prospects. However, the trailing PEG ratio of 1.91 suggests the stock may be slightly overvalued relative to its growth potential.
 **Economic Outlook:**  
 The broader economic environment presents mixed signals for BNY Mellon. The recent implementation of tariffs and trade tensions could introduce market volatility, potentially impacting the asset management industry. However, the company’s diversified revenue streams and strong institutional ownership (81.04%) provide a degree of resilience. Rising inflation and potential Federal Reserve rate hikes may influence the firm’s cost of capital and investment strategies, but its robust cash position and operational efficiency mitigate these risks.
 **Conclusion:**  
 BNY Mellon’s strong financial position, consistent dividend policy, and operational efficiency make it an attractive option within the asset management and custody banks industry. However, broader macroeconomic challenges, including market volatility and inflationary pressures, could weigh on near-term performance. The stock’s current valuation suggests limited upside in the short term, but its long-term fundamentals remain solid.
 **Score:** 78</t>
  </si>
  <si>
    <t>**Investment Report: Booking Holdings (BKNG)**
 **Recent News:**  
 Booking Holdings has recently outperformed market expectations, closing at $4,774.33, a 1.11% increase from the prior session. The stock has garnered significant attention due to its strong performance and is trending among investors. This momentum reflects confidence in the company's ability to navigate current market challenges and maintain its leadership in the travel and hospitality sector. However, broader market volatility, particularly in the technology sector, could influence investor sentiment.
 **Financials:**  
 Booking Holdings demonstrates robust financial health, with a market capitalization of $155.3 billion and a trailing price-to-earnings (P/E) ratio of 31.75, which is relatively high but justified by its strong profitability and growth prospects. The forward P/E of 22.53 suggests expectations of continued earnings growth. The company has a solid profit margin of 21.85% and impressive gross margins of 84.67%, indicating efficient cost management and strong pricing power. Revenue growth of 8.9% year-over-year and earnings growth of 6.5% highlight steady expansion, supported by a free cash flow of $7.53 billion. Additionally, the company holds $15.77 billion in cash, providing flexibility for strategic investments or shareholder returns, despite a total debt of $16.72 billion.
 **Valuations:**  
 The stock is trading near the higher end of its 52-week range ($3,180.00 - $5,337.24), reflecting investor optimism. Analysts have a median price target of $5,300, suggesting potential upside from current levels. The trailing PEG ratio of 1.05 indicates that the stock is reasonably valued relative to its growth prospects. However, the price-to-sales ratio of 6.74 is elevated, which could make the stock vulnerable to broader market corrections or sector-specific headwinds.
 **Economic Outlook:**  
 The macroeconomic environment presents mixed implications for Booking Holdings. The recent imposition of tariffs and trade tensions could dampen global economic growth, potentially impacting international travel demand. However, the company's strong brand and diversified global presence position it well to weather such challenges. Additionally, the ongoing recovery in the travel and hospitality industry, coupled with pent-up demand for leisure travel, provides a favorable backdrop for revenue growth. Risks include inflationary pressures, which could increase operational costs, and geopolitical uncertainties that may disrupt travel patterns.
 **Conclusion:**  
 Booking Holdings is a fundamentally strong company with a proven track record of profitability and growth. While the stock's valuation is on the higher side, its financial resilience, robust cash flow, and leadership in the travel sector make it a compelling long-term investment. However, near-term risks from macroeconomic uncertainties and market volatility should be monitored closely.
 **Score:** 85</t>
  </si>
  <si>
    <t>**Investment Report: Baker Hughes**
 **Recent News:**  
 Baker Hughes has demonstrated strong financial performance in its latest quarter, with adjusted earnings per share (EPS) of $0.70, exceeding both analyst expectations and the Zacks Consensus Estimate. This represents a 37.3% year-over-year increase, driven by an 8% rise in revenue to $7.4 billion. The Industrial &amp; Energy Technology segment was a standout, achieving a 21% revenue increase, supported by robust demand for U.S. LNG exports and oilfield technology products. Additionally, the company announced a dividend hike, signaling confidence in its financial health and future prospects. Over the past year, Baker Hughes' stock has gained 49%, reflecting optimism surrounding LNG development and sustained growth in its core markets.
 **Financials:**  
 Baker Hughes exhibits solid profitability metrics, with gross margins of 64.38% and EBITDA margins of 61.79%, indicating strong operational efficiency. The company has a trailing price-to-earnings (P/E) ratio of 30.14 and a forward P/E of 40.40, suggesting a premium valuation relative to its earnings growth. Its return on equity (ROE) of 8.81% and return on assets (ROA) of 2.87% are modest but reflect steady performance. The company maintains a healthy dividend yield of 3.07%, supported by a payout ratio of 92.21%, which aligns with its strategy of returning value to shareholders. However, its debt-to-equity ratio of 71.95% indicates a relatively high leverage position, which could pose risks in a rising interest rate environment.
 **Valuations:**  
 Baker Hughes' stock is trading at a price-to-book (P/B) ratio of 2.63, which is reasonable given its strong earnings growth of 116.5% and revenue growth of 9.4% on a quarterly basis. The stock's 52-week price range of $169.37 to $239.29 suggests it is trading near the higher end of its range, reflecting investor confidence. Analyst price targets range from $220 to $270, with a mean target of $238.19, indicating limited upside potential from current levels. The recommendation mean of 2.375 (between "buy" and "hold") suggests cautious optimism among analysts.
 **Economic Outlook:**  
 The broader macroeconomic environment presents both opportunities and challenges for Baker Hughes. The recent U.S. sanctions on Russia's energy sector and the ongoing demand for LNG exports position the company to benefit from increased global energy demand and geopolitical shifts. However, the Trump administration's new tariffs on Canada, Mexico, and China could disrupt supply chains and increase costs, potentially impacting Baker Hughes' operations. Additionally, inflationary pressures and potential Federal Reserve rate hikes may weigh on the broader market and energy sector sentiment. Despite these headwinds, Baker Hughes' focus on energy technology and LNG development aligns with long-term industry trends, providing a solid foundation for growth.
 **Conclusion:**  
 Baker Hughes is well-positioned to capitalize on the growing demand for LNG and energy technology solutions, as evidenced by its strong financial performance and market share gains. However, its high leverage and premium valuation warrant caution, particularly in a volatile macroeconomic environment. While the company remains a leader in its industry, external risks such as tariffs and inflation could temper near-term growth prospects.
 **Score:** 78</t>
  </si>
  <si>
    <t>**Investment Report: Builders FirstSource, Inc. (BLDR)**
 **Recent News:**  
 Builders FirstSource (BLDR) has garnered significant attention recently, with increased interest from market participants. This heightened focus comes amidst broader market volatility and sector-specific challenges. The company operates in the building products industry, which is sensitive to macroeconomic conditions such as interest rates, housing demand, and construction activity. The recent news does not indicate any major company-specific developments but highlights the stock's trending status, suggesting potential investor speculation or anticipation of future performance.
 **Financials:**  
 Builders FirstSource demonstrates a solid financial position with a market capitalization of approximately $11.6 billion. The company has shown resilience, with a 52-week price change of +33.5%, outperforming the S&amp;P 500's +21.9% over the same period. Its trailing price-to-earnings (P/E) ratio of 25.41 and forward P/E of 16.94 suggest a valuation that reflects growth expectations, though it may be slightly elevated compared to industry peers. The company’s revenue growth of 7% year-over-year and earnings growth of 17.6% indicate steady operational performance. However, its gross margin of 7.07% and operating margin of 3.97% are relatively thin, reflecting the competitive and cost-sensitive nature of the building products industry.
 The company’s balance sheet shows a debt-to-equity ratio of 116.88, which is relatively high and could pose risks in a rising interest rate environment. However, its current ratio of 1.49 and quick ratio of 1.36 indicate adequate short-term liquidity. Free cash flow of $117 million and operating cash flow of $288 million provide some financial flexibility, though the company’s total debt of $1.92 billion remains a concern.
 **Valuations:**  
 Builders FirstSource is trading at a price-to-book ratio of 7.06, which is significantly higher than the industry average, suggesting the stock may be overvalued relative to its book value. The enterprise value-to-revenue ratio of 0.82 and enterprise value-to-EBITDA ratio of 21.58 indicate a premium valuation, potentially pricing in future growth. Analysts have a median price target of $118, representing upside potential from the current price of approximately $98.93. The recommendation mean of 2.35 (on a scale where 1.0 is a strong buy) reflects a generally positive sentiment among analysts.
 **Economic Outlook:**  
 The building products industry is closely tied to macroeconomic factors such as housing demand, interest rates, and construction activity. The current economic environment presents mixed signals. On one hand, rising interest rates and inflationary pressures could dampen housing demand and construction activity, negatively impacting Builders FirstSource. On the other hand, ongoing infrastructure investments and potential rebuilding efforts following natural disasters, such as the recent California wildfires, could provide tailwinds for the industry. Additionally, the company’s beta of 0.84 suggests lower volatility compared to the broader market, which may appeal to risk-averse investors in uncertain times.
 **Conclusion:**  
 Builders FirstSource is a well-established player in the building products industry with steady revenue and earnings growth. However, its high debt levels, thin margins, and premium valuation warrant caution. The stock’s recent outperformance and analyst price targets suggest optimism, but macroeconomic headwinds and sector-specific risks could weigh on future performance. The company’s ability to navigate these challenges while maintaining growth will be critical in determining its investment value in the near term.
 **Score:** 72</t>
  </si>
  <si>
    <t>**Investment Report: BlackRock**
 **Recent News:**  
 BlackRock has recently entered into a standstill agreement with Saba Capital, which includes significant buybacks for its closed-end funds BIGZ and BMEZ. This move has tightened discounts on these funds, though discounts are expected to widen again post-tender offers. This agreement reflects BlackRock's proactive approach to addressing shareholder concerns and enhancing value in its closed-end fund offerings. Additionally, BlackRock's iShares Investment Grade Systematic Bond ETF (IGEB) has been highlighted for its systematic strategy in selecting investment-grade corporate bonds. While IGEB has shown resilience in rising interest rate environments due to its lower duration, the current macroeconomic conditions, including tight investment-grade spreads, make it less attractive in the short term.
 **Financials:**  
 BlackRock's financial performance shows mixed signals. The firm has a market capitalization of $131.76 billion and a forward P/E ratio of 41.59, indicating high valuation expectations. However, its profitability metrics are concerning, with a negative net income of $7.98 billion and trailing EPS of -$18.36. The company also faces significant debt, with total debt at $57.65 billion, and its operating cash flow is negative at -$5.25 billion. Revenue growth has declined by 1.5%, and gross margins are low at 3.62%. These figures suggest operational challenges and a need for improved cost management. Despite these issues, BlackRock maintains a strong institutional ownership of 56.21%, reflecting continued confidence from large investors.
 **Valuations:**  
 BlackRock's stock is trading at $176.52, below its 52-week high of $213.77 but above its 52-week low of $137.03. The stock's price-to-sales ratio of 1.80 is reasonable for the asset management industry, but its enterprise value-to-EBITDA ratio of -38.96 highlights significant profitability concerns. Analysts have a median price target of $200, suggesting potential upside, but the firm's negative profit margins and high forward P/E ratio indicate that the stock may be overvalued relative to its current financial performance.
 **Economic Outlook:**  
 The broader macroeconomic environment poses challenges for BlackRock. The recent implementation of tariffs by the U.S. government is expected to increase inflationary pressures, which could impact the firm's fixed-income and equity investment strategies. Additionally, the global technology sector's volatility, as seen in the sharp decline of Nvidia and other tech stocks, may affect BlackRock's technology-focused funds. The Federal Reserve's potential shift to a more hawkish stance to combat inflation could also create headwinds for BlackRock's bond-focused products, such as IGEB. However, BlackRock's diversified product offerings and strong brand position may help it navigate these challenges over the long term.
 **Conclusion:**  
 BlackRock faces a complex environment with operational challenges, macroeconomic headwinds, and market volatility. While its recent standstill agreement with Saba Capital and strategic initiatives like IGEB demonstrate adaptability, the firm's financial metrics and valuation suggest caution in the near term. The company's ability to manage costs, improve profitability, and adapt to changing economic conditions will be critical to its performance in the coming months.
 **Score:** 62</t>
  </si>
  <si>
    <t>**Investment Report: Broadridge Financial Solutions**
 **Recent News:**  
 Broadridge Financial Solutions has delivered a strong performance in its fiscal 2025 second-quarter results, significantly exceeding market expectations. The company reported an adjusted EPS of $1.56, surpassing both the anticipated $1.49 and the Zacks Consensus Estimate of $1.39. This represents a notable year-over-year increase from $0.92 in the same quarter last year. Revenue growth was driven by the robust performance of its Investor Communication Solutions (ICS) and Global Technology and Operations (GTO) segments, highlighting the company's ability to capitalize on its core business strengths. The strong results have led to an upgrade in its stock rating, reflecting increased optimism about its future earnings potential. This performance is particularly noteworthy given the broader market volatility and challenges in the technology sector.
 **Financials:**  
 Broadridge's financial metrics indicate a solid position. The company has a market capitalization of approximately $27.9 billion and a trailing P/E ratio of 37.41, which is relatively high but supported by its forward P/E of 25.61, suggesting expectations of continued earnings growth. The firm maintains a dividend yield of 1.47%, with a payout ratio of 56.75%, indicating a sustainable dividend policy. Its return on equity (ROE) of 31.81% is particularly strong, reflecting efficient use of shareholder capital. However, the debt-to-equity ratio of 172.35% is elevated, signaling a reliance on leverage, which could pose risks in a rising interest rate environment. Despite this, the company generates healthy free cash flow of $1.08 billion, providing flexibility for debt servicing and reinvestment.
 **Valuations:**  
 Broadridge's stock is trading near its 52-week high of $241.45, with a current price-to-book ratio of 12.85, indicating a premium valuation. The enterprise value-to-EBITDA ratio of 20.35 suggests the stock is priced at a premium compared to peers in the data processing and outsourced services industry. Analysts' target prices range from $208.13 to $260.00, with a median target of $235.50, close to its current trading levels. This suggests limited upside in the near term, though the company's strong fundamentals and growth prospects may justify its valuation.
 **Economic Outlook:**  
 Broadridge operates in a sector that is relatively insulated from the broader economic challenges, such as the recent tariffs and inflationary pressures. Its focus on financial technology and outsourced services positions it well to benefit from the ongoing digital transformation in financial services. However, the company's reliance on debt could be a concern if interest rates rise further. Additionally, the broader market volatility, particularly in the technology sector, could weigh on investor sentiment, though Broadridge's strong performance and stable revenue streams may provide a buffer.
 **Conclusion:**  
 Broadridge Financial Solutions has demonstrated resilience and strong operational performance, supported by its core business segments. While its valuation appears stretched, the company's robust cash flow, high ROE, and sustainable dividend policy make it an attractive long-term prospect. However, its high leverage and premium valuation warrant caution in the short term, especially given the broader economic uncertainties.
 **Score:** 78</t>
  </si>
  <si>
    <t>**Investment Report:**
 **Recent News:**  
 Brown &amp; Brown (BRO) reported strong fourth-quarter earnings, surpassing estimates due to higher commissions, fees, and investment income. The firm also achieved an expanded EBITDAC margin, reflecting operational efficiency. However, these gains were partially offset by increased expenses, which could indicate rising costs associated with growth or inflationary pressures. The positive earnings report highlights the company's ability to generate organic revenue growth, a key strength in the competitive insurance brokerage industry.
 **Financials:**  
 Brown &amp; Brown's financial performance remains robust, with a trailing P/E ratio of 30.50 and a forward P/E of 23.27, suggesting expectations of continued earnings growth. The company has a solid profit margin of 23.07% and a return on equity of 18.14%, indicating efficient use of shareholder capital. Revenue growth of 9.9% and earnings growth of 31.1% further underscore its strong operational performance. The firm's dividend yield of 0.57% is modest but sustainable, with a low payout ratio of 14.17%. Additionally, its free cash flow of $760.5 million and operating cash flow of $1.12 billion provide financial flexibility for future investments or debt reduction.
 **Valuations:**  
 The stock is trading at a price-to-book ratio of 4.67, above the industry average, reflecting a premium valuation. Its enterprise value-to-revenue ratio of 7.28 and enterprise value-to-EBITDA ratio of 21.71 suggest the market is pricing in strong future growth. The 52-week price change of 33.48% outpaces the S&amp;P 500's 21.93% gain, indicating strong investor confidence. However, the stock's beta of 0.825 suggests lower volatility compared to the broader market, making it a relatively stable investment in uncertain economic conditions.
 **Economic Outlook:**  
 The broader economic environment presents mixed signals for Brown &amp; Brown. The recent imposition of tariffs and inflationary pressures could increase costs for businesses, potentially impacting demand for insurance products. However, the company's focus on organic growth and its ability to expand margins position it well to navigate these challenges. Additionally, the insurance brokerage industry tends to be resilient during economic downturns, as insurance remains a necessity for businesses and individuals.
 **Conclusion:**  
 Brown &amp; Brown's strong financial performance, efficient operations, and ability to generate organic growth make it a compelling player in the insurance brokerage industry. While macroeconomic headwinds such as inflation and trade tensions could pose challenges, the firm's stable cash flows and operational efficiency provide a buffer against these risks. Its premium valuation reflects market confidence in its growth prospects, though investors should remain mindful of potential cost pressures.
 **Score:** 85</t>
  </si>
  <si>
    <t>**Investment Report: BorgWarner (BWA)**
 **Recent News:**  
 BorgWarner has garnered attention for its strong earnings surprise history and the anticipation of another potential beat in its upcoming quarterly report. Analysts highlight the company's favorable combination of key factors, including robust operational performance and strategic positioning, which could drive earnings growth. This optimism reflects confidence in BorgWarner's ability to navigate current market challenges and capitalize on opportunities in the automotive parts and equipment sector.
 **Financials:**  
 BorgWarner's financial metrics present a mixed picture. The company has demonstrated solid revenue growth of 16.4% year-over-year, supported by strong gross margins of 74.7% and EBITDA margins of 49.0%. Earnings growth of 188.1% further underscores its operational efficiency. However, the firm's trailing price-to-earnings (P/E) ratio of 170.1 suggests a high valuation relative to historical earnings, though the forward P/E of 28.5 indicates expectations of significant future profitability. The company's debt-to-equity ratio of 166.0% raises concerns about leverage, though its free cash flow of $25.98 billion and operating cash flow of $19.19 billion provide a cushion for debt servicing and operational needs.
 **Valuations:**  
 BorgWarner's stock has experienced substantial appreciation, with a 52-week change of 80.98%, outperforming the S&amp;P 500's 21.93% gain. The stock is trading at a price-to-book ratio of 3.68, reflecting a premium valuation. Analyst sentiment remains bullish, with a strong buy recommendation and a median price target of $250, suggesting potential upside from the current price. However, the high valuation multiples and elevated market expectations may limit further near-term gains unless the company delivers exceptional results.
 **Economic Outlook:**  
 The broader economic environment presents both opportunities and risks for BorgWarner. The automotive industry faces headwinds from new tariffs imposed by the U.S. administration, which could disrupt supply chains and increase costs. However, BorgWarner's focus on innovative technologies and its ability to adapt to changing market dynamics position it well to weather these challenges. The company's strong institutional ownership (78.98%) and low short interest (1.42% of shares outstanding) indicate confidence among long-term investors.
 **Conclusion:**  
 BorgWarner's strong financial performance, robust earnings growth, and favorable analyst sentiment highlight its potential as a resilient player in the automotive parts and equipment industry. However, elevated valuations and macroeconomic uncertainties, including trade tensions and inflationary pressures, warrant caution. The company's ability to sustain its growth trajectory and meet high market expectations will be critical in determining its near-term investment value.
 **Score:** 78</t>
  </si>
  <si>
    <t>**Investment Report:**
 **Recent News:**  
 Boston Properties (BXP), a leading player in the Office REITs industry, reported strong leasing activity in Q4 2024, reflecting healthy demand for its properties. The company’s funds from operations (FFO) per share for the quarter matched analyst estimates at $1.79, slightly down from $1.82 in the same quarter last year. This performance was supported by higher revenues, despite a challenging macroeconomic environment. The steady leasing activity underscores the resilience of BXP's portfolio, even as the broader office real estate market faces headwinds from hybrid work trends and economic uncertainty.
 **Financials:**  
 BXP's financial metrics reveal a mixed picture. The company’s trailing price-to-earnings (P/E) ratio of 9.53 and forward P/E of 8.53 suggest that the stock is attractively valued relative to its earnings potential. The dividend yield of 3.57% is above its five-year average of 2.83%, indicating a strong income-generating potential for shareholders. However, the company’s earnings and revenue growth have declined year-over-year, with earnings growth at -36.8% and revenue growth at -9.3%. Despite these challenges, BXP maintains a solid balance sheet with a debt-to-equity ratio of 63.43 and a current ratio of 2.07, reflecting its ability to meet short-term obligations. The company also holds $3.01 billion in cash, providing financial flexibility.
 **Valuations:**  
 BXP’s price-to-book (P/B) ratio of 1.04 suggests the stock is trading near its book value, which could indicate undervaluation. The enterprise value-to-revenue ratio of 0.29 and enterprise value-to-EBITDA ratio of 6.27 further support the view that the stock is attractively priced. Analyst sentiment remains positive, with a recommendation mean of 2.1 (indicating a "buy") and a target median price of $102.50, representing significant upside potential from the current price of approximately $75. 
 **Economic Outlook:**  
 The broader economic environment presents challenges for the office real estate sector. Rising inflation, trade tensions, and geopolitical uncertainties could weigh on tenant demand and leasing activity. Additionally, the shift toward hybrid work models continues to pressure office occupancy rates. However, BXP’s strong leasing performance in Q4 2024 suggests that its high-quality properties in prime locations remain in demand. The company’s ability to maintain stable FFO and revenue amid these challenges highlights its operational resilience. 
 **Conclusion:**  
 While the office REIT sector faces structural and macroeconomic challenges, BXP’s strong leasing activity, solid financial position, and attractive valuation metrics position it as a resilient player in the industry. The company’s ability to generate stable cash flows and maintain a competitive dividend yield further enhances its appeal. However, investors should remain cautious of broader economic headwinds and the potential for continued pressure on office demand.
 **Score:** 78</t>
  </si>
  <si>
    <t>**Investment Report: Citigroup Inc. (C)**
 **Recent News:**  
 Citigroup has been in the spotlight for both positive and negative reasons. On the positive side, the company is being highlighted as a strong dividend stock, with a dividend yield of 3.53% and a payout ratio of 65.88%, which is attractive for income-focused investors. However, the firm is also facing legal challenges, including a lawsuit filed by the New York Attorney General alleging negligence in protecting customers from phishing and smishing scams. This lawsuit could lead to reputational damage and potential financial penalties, which may weigh on investor sentiment.
 **Financials:**  
 Citigroup's financial performance reflects a mixed picture. The stock is trading at a price-to-book ratio of 0.90, indicating it is undervalued relative to its book value. Its forward price-to-earnings (P/E) ratio of 9.31 suggests the stock is attractively priced compared to its peers in the diversified banking sector. However, the firm's earnings and revenue growth have been negative, with earnings growth at -9.4% and revenue growth at -6.1% year-over-year. Despite these challenges, Citigroup maintains a solid profit margin of 18.23% and operating margins of 27.18%, showcasing operational efficiency. The company also has a strong cash position of $12.15 billion, which provides financial flexibility.
 **Valuations:**  
 Citigroup's valuation metrics suggest the stock is trading at a discount. Its trailing P/E of 15.30 and forward P/E of 9.31 are below the industry average, making it an appealing option for value investors. The stock's 52-week price change of 50.82% significantly outperformed the S&amp;P 500's 21.93% gain, indicating strong recent momentum. Analysts have a median price target of $52.50, representing potential upside from the current trading range. However, the firm's earnings quarterly growth of -11.2% raises concerns about its ability to sustain profitability in the near term.
 **Economic Outlook:**  
 The broader economic environment presents challenges for Citigroup. The recent implementation of tariffs by the U.S. government and the potential for a trade war could disrupt global trade and impact the banking sector. Additionally, rising inflationary pressures and the Federal Reserve's potential shift to a more hawkish stance may lead to higher interest rates, which could affect loan demand and credit quality. On the other hand, Citigroup's global presence and diversified revenue streams may help mitigate some of these risks. The ongoing legal issues, however, add an element of uncertainty to the firm's outlook.
 **Conclusion:**  
 Citigroup's strong dividend yield, undervaluation, and operational efficiency make it an attractive option for long-term investors seeking income and value. However, the firm's legal challenges, negative earnings growth, and exposure to macroeconomic headwinds could weigh on its short-term performance. While the stock appears undervalued, caution is warranted given the uncertain economic and regulatory environment.
 **Score:** 72</t>
  </si>
  <si>
    <t>**Investment Report: Conagra Brands (CAG)**
 **Recent News:**  
 Conagra Brands is demonstrating signs of a turnaround, supported by improving shipment volumes, organic sales growth, and a rising market share across its portfolio. The company's focus on innovation, particularly with its GLP-1-friendly Healthy Choice product line, positions it to capitalize on emerging consumer health trends. This strategic pivot aligns with growing demand for health-conscious food options, potentially driving future revenue growth. Additionally, Conagra's 5.4% dividend yield, supported by a manageable 55% payout ratio, offers an attractive proposition for income-focused investors. However, the broader economic environment and recent challenges in the packaged foods industry may temper near-term optimism.
 **Financials:**  
 Conagra's financial metrics present a mixed picture. The company trades at a forward P/E ratio of 9.88, significantly below its trailing P/E of 24.72, suggesting expectations of improved earnings in the near future. Its price-to-book ratio of 1.44 and price-to-sales ratio of 1.02 indicate a valuation at a discount compared to historical levels. However, revenue growth has declined by 3.8% year-over-year, reflecting challenges in maintaining top-line momentum. Despite this, earnings growth of 45.1% and a return on equity of 5.6% highlight improving profitability. The company’s gross margin of 27.4% and EBITDA margin of 18.8% are solid for the industry, though debt levels remain a concern, with a debt-to-equity ratio of 100.88%. Free cash flow of $1.07 billion provides some financial flexibility, but liquidity ratios (quick ratio of 0.29 and current ratio of 0.94) suggest limited short-term financial cushion.
 **Valuations:**  
 Conagra's stock is trading near its 52-week low of $25.06, significantly below its 52-week high of $33.24. The current market price reflects a cautious sentiment, likely influenced by broader economic uncertainties and sector-specific challenges. Analyst price targets range from $26 to $33, with a median target of $29, implying potential upside from current levels. The dividend yield of 5.4% is well above the five-year average of 3.58%, enhancing its appeal for income investors. However, the trailing PEG ratio of 5.35 suggests the stock may be overvalued relative to its growth prospects.
 **Economic Outlook:**  
 The broader macroeconomic environment poses challenges for Conagra. Rising inflation, exacerbated by new tariffs on imports from Canada, Mexico, and China, could increase input costs for packaged food companies. Additionally, the recent California wildfires may disrupt supply chains and distribution networks, further pressuring margins. However, Conagra's focus on innovation and its ability to adapt to consumer trends could help mitigate some of these headwinds. The company's low beta of 0.33 indicates reduced volatility compared to the broader market, which may appeal to risk-averse investors in a turbulent economic climate.
 **Conclusion:**  
 Conagra Brands is navigating a challenging environment but shows promise through its strategic focus on innovation and improving operational metrics. While its valuation appears attractive, concerns around revenue growth, high debt levels, and macroeconomic pressures warrant caution. The company's strong dividend yield and improving profitability provide a buffer, but near-term performance may remain subdued due to external factors.
 **Score:** 72</t>
  </si>
  <si>
    <t>**Investment Report: Cardinal Health (CAH)**
 **Recent News:**  
 Cardinal Health has demonstrated strong financial performance in its second-quarter fiscal 2025 results, exceeding both earnings and revenue expectations. The company reported earnings of $1.93 per share, surpassing the Zacks Consensus Estimate of $1.75 and improving from $1.82 per share in the prior year. This growth was primarily driven by the robust performance of its Other segment, which offset the negative impact of the expiration of an OptumRx contract on its Pharmaceutical segment. Despite this challenge, the demand for specialty and branded drugs provided a significant boost to the pharmaceuticals unit. Encouraged by these results, Cardinal Health raised its fiscal 2025 profit forecast, signaling confidence in its operational momentum. Analysts have highlighted the company as a strong value and momentum stock, reflecting its potential for continued growth.
 **Financials:**  
 Cardinal Health's financial metrics indicate a solid position. The company has a trailing price-to-earnings (P/E) ratio of 18.78 and a forward P/E of 13.11, suggesting that its stock is attractively valued relative to its future earnings potential. Its market capitalization stands at $36.57 billion, with a 52-week price change of 73.26%, significantly outperforming the S&amp;P 500's 21.93% gain over the same period. The company has shown strong earnings growth of 59.9% and revenue growth of 15.2% year-over-year, supported by healthy operating margins of 27.6% and EBITDA margins of 24.0%. However, its high debt-to-equity ratio of 352.36% and low quick and current ratios (0.20 and 0.30, respectively) highlight potential liquidity and leverage risks. Additionally, the company reported negative free cash flow of $506 million, which could limit its financial flexibility in the near term.
 **Valuations:**  
 Cardinal Health's valuation metrics suggest it is trading at a reasonable level given its growth prospects. The stock's price-to-book ratio of 3.99 is slightly elevated, but its forward P/E of 13.11 indicates a discount compared to industry peers. Analysts have set a median price target of $31.00, with a high target of $35.00, reflecting potential upside from its current trading levels. The company's dividend yield, supported by a five-year average of 4.21%, adds to its appeal for income-focused investors. However, the elevated short interest ratio of 3.02 and a short percentage of float at 7.29% suggest some skepticism among market participants.
 **Economic Outlook:**  
 Cardinal Health operates in the Health Care Distributors industry, which is relatively insulated from broader economic volatility. However, macroeconomic challenges such as inflationary pressures and trade tensions could indirectly impact its supply chain and cost structure. The company's reliance on specialty and branded drugs positions it well to benefit from the growing demand for advanced healthcare solutions. Nonetheless, the recent implementation of tariffs and potential disruptions in global trade could pose risks to its operations. Additionally, the broader market's volatility, particularly in the technology and industrial sectors, may influence investor sentiment toward defensive sectors like healthcare.
 **Conclusion:**  
 Cardinal Health's strong earnings performance, raised profit forecast, and robust demand for specialty drugs underscore its operational strength and growth potential. While its high leverage and liquidity constraints warrant caution, its valuation metrics and dividend yield make it an attractive option within the healthcare sector. The company's ability to navigate macroeconomic challenges and sustain its growth trajectory will be critical in determining its near-term performance.
 **Score:** 85</t>
  </si>
  <si>
    <t>**Investment Report: Carrier Global (Building Products Industry)**
 **Recent News:**  
 Carrier Global has not been in the spotlight recently, with no significant news or developments reported in the past week. This lack of news suggests stability in operations but also indicates no immediate catalysts for significant price movement.
 **Financials:**  
 Carrier Global's financial performance reflects a mixed picture. The company has a trailing price-to-earnings (P/E) ratio of 16.39 and a forward P/E of 15.75, indicating a reasonable valuation relative to its earnings. The dividend yield of 1.43% is below its five-year average of 2.13%, suggesting a lower-than-historical income return for investors. The payout ratio of 24.65% indicates a conservative approach to dividend distribution, leaving room for reinvestment or debt reduction.
 The firm's revenue growth has declined by 4.2% year-over-year, and earnings growth has contracted by 7.2%, reflecting challenges in maintaining top-line and bottom-line expansion. Despite this, Carrier maintains healthy profit margins, with gross margins at 32.53% and operating margins at 19.50%. The return on equity (ROE) of 53.48% is particularly strong, showcasing efficient use of shareholder capital.
 Carrier's balance sheet shows a high debt-to-equity ratio of 195.34%, which is a potential concern. However, the company generates robust free cash flow of $6.99 billion, which provides some reassurance regarding its ability to service debt. Liquidity metrics, such as a current ratio of 1.39 and a quick ratio of 0.77, indicate adequate short-term financial health.
 **Valuations:**  
 Carrier's stock is trading at a price-to-book (P/B) ratio of 9.00, which is relatively high and may suggest overvaluation compared to its book value. The enterprise value-to-EBITDA ratio of 14.10 is slightly elevated, indicating that the market may be pricing in future growth or stability. Analyst sentiment is neutral, with a "hold" recommendation and a mean target price of $393.53, implying limited upside from the current price of $364.14.
 **Economic Outlook:**  
 The broader macroeconomic environment presents challenges for Carrier Global. The recent imposition of tariffs by the U.S. administration could increase costs for raw materials and disrupt supply chains, particularly in the building products industry. Additionally, inflationary pressures and potential interest rate adjustments by the Federal Reserve may weigh on consumer and business spending, potentially dampening demand for Carrier's products. However, the company's strong cash flow and operational efficiency position it to weather short-term economic headwinds.
 **Conclusion:**  
 Carrier Global demonstrates solid profitability and cash flow generation but faces challenges from declining revenue and earnings growth, as well as a high debt load. The broader economic environment, including trade tensions and inflationary pressures, could further impact its performance. While the stock appears fairly valued based on its forward P/E and analyst targets, the high P/B ratio and declining growth metrics warrant caution.
 **Score:** 65</t>
  </si>
  <si>
    <t>**Investment Report: Caterpillar Inc.**
 **Recent News:**  
 Caterpillar Inc. has faced a challenging start to 2025, with its stock under pressure due to a combination of macroeconomic and company-specific factors. The imposition of new tariffs by the U.S. administration has raised concerns about disruptions to Caterpillar's global supply chain, given its reliance on international trade for both production and sales. Additionally, the company's fourth-quarter 2024 earnings report revealed mixed results. While adjusted earnings per share of $5.14 exceeded expectations, revenue fell short at $16.2 billion compared to the anticipated $16.4 billion. This revenue miss, coupled with a cautious outlook for 2025 revenues, has weighed on investor sentiment. Despite these challenges, some analysts, including Goldman Sachs, maintain a positive long-term outlook on the stock, citing Caterpillar's strong market position and potential for recovery.
 **Financials:**  
 Caterpillar's financial metrics reflect both strengths and vulnerabilities. The company has a trailing price-to-earnings (P/E) ratio of 28.55 and a forward P/E of 23.26, indicating a premium valuation relative to its earnings growth. Its dividend yield of 1.23% and payout ratio of 31% suggest a stable dividend policy, supported by strong cash flows. However, the company's quick ratio of 0.51 and current ratio of 1.39 highlight potential liquidity concerns, particularly in the face of supply chain disruptions and tariff-related cost pressures. Caterpillar's debt-to-equity ratio of 38.14% is manageable but could become a concern if revenue growth slows further. The company's gross margins of 51.75% and operating margins of 29.12% remain robust, reflecting operational efficiency.
 **Valuations:**  
 Caterpillar's stock is trading near the midpoint of its 52-week range, with a recent close of $204.33 compared to a high of $221.66 and a low of $166.13. The stock's price-to-book ratio of 5.21 suggests it is trading at a significant premium to its book value, which may limit upside potential in the near term. Analyst price targets range from $174 to $245, with a median target of $212, indicating limited short-term upside from current levels. The recommendation mean of 2.83 (on a scale where 1 is "Strong Buy" and 5 is "Sell") suggests a cautious "Hold" consensus among analysts.
 **Economic Outlook:**  
 The broader economic environment poses additional challenges for Caterpillar. The recent tariffs on imports from Canada, Mexico, and China are expected to increase input costs and disrupt supply chains, potentially impacting Caterpillar's profitability. Furthermore, the global technology sector's downturn and broader market volatility could weigh on industrial demand. However, Caterpillar's exposure to infrastructure and construction markets may provide some resilience, particularly if governments increase spending on infrastructure projects to stimulate economic growth. The company's beta of 0.666 indicates lower volatility relative to the broader market, which could provide some stability in uncertain times.
 **Conclusion:**  
 Caterpillar faces a complex mix of headwinds, including tariff-related cost pressures, mixed financial performance, and broader market volatility. While the company's strong margins and dividend policy provide a degree of stability, its premium valuation and cautious revenue outlook limit short-term upside potential. The stock's performance will likely depend on the resolution of trade tensions and the broader economic environment, as well as Caterpillar's ability to navigate supply chain challenges and maintain operational efficiency.
 **Score:** 65</t>
  </si>
  <si>
    <t>**Investment Report: Chubb Limited (CB)**
 **Recent News:**  
 Chubb Limited recently reported its best year in history, showcasing strong operational performance across its divisions. The company exceeded Q4 earnings expectations with earnings per share (EPS) of $6.02, surpassing the consensus estimate of $5.46. This reflects robust results in its North America Property &amp; Casualty (P&amp;C), Overseas General, and Life Insurance segments, as well as improved investment income. However, the company faces a significant challenge with an estimated $1.5 billion in pretax costs related to the devastating California wildfires. This event underscores the inherent risks in the insurance industry, particularly in the face of increasing climate-related disasters.
 **Financials:**  
 Chubb's financial performance remains solid despite the wildfire-related costs. The company has a market capitalization of $26.08 billion and a trailing price-to-earnings (P/E) ratio of 44.91, which is relatively high compared to its forward P/E of 26.76, indicating expectations of future earnings growth. The company maintains a healthy dividend yield of 1.06%, with a payout ratio of 50.39%, suggesting a balanced approach to rewarding shareholders while retaining earnings for growth. Chubb's return on equity (ROE) of 13.34% and return on assets (ROA) of 8.09% highlight its efficient use of capital. However, its debt-to-equity ratio of 57.54% indicates moderate leverage, which could be a concern in a rising interest rate environment.
 **Valuations:**  
 Chubb's stock is trading near its 50-day average of $106.84, with a 52-week range of $96.09 to $113.50. The stock's price-to-book ratio of 6.22 suggests it is trading at a premium relative to its book value, which is common for high-quality insurers. Analysts have a median price target of $109, slightly above the current trading price, reflecting a cautious but optimistic outlook. The recommendation mean of 2.62 (on a scale where 1 is a strong buy and 5 is a sell) indicates a "hold" consensus among analysts.
 **Economic Outlook:**  
 The broader economic environment presents mixed signals for Chubb. The recent California wildfires highlight the increasing frequency and severity of natural disasters, which could lead to higher claims costs and impact profitability. Additionally, the inflationary pressures from new tariffs and potential trade tensions could affect the company's investment portfolio and claims costs. However, Chubb's diversified operations and strong underwriting discipline position it well to navigate these challenges. The company's ability to generate consistent investment income and its focus on profitable growth in key markets provide a buffer against macroeconomic headwinds.
 **Conclusion:**  
 Chubb Limited's strong operational performance and earnings growth are tempered by the significant costs associated with the California wildfires. While the company remains fundamentally sound, the increasing frequency of climate-related events and broader economic uncertainties could weigh on its near-term performance. Nonetheless, Chubb's disciplined underwriting, diversified revenue streams, and solid financial position provide a foundation for resilience in a challenging environment.
 **Score:** 78</t>
  </si>
  <si>
    <t>**Investment Report: CBRE Group (CBRE)**
 **Recent News:**  
 CBRE Group has been highlighted as a top momentum stock by Zacks Premium research, emphasizing its potential appeal to value, growth, and momentum investors. This recognition underscores the company's strong market positioning and operational resilience, even amidst broader economic uncertainties. However, the real estate services industry faces challenges from macroeconomic headwinds, including rising interest rates and inflationary pressures, which could impact transaction volumes and property valuations.
 **Financials:**  
 CBRE's financial performance reflects a mixed picture. The company has a trailing P/E ratio of 24.26 and a forward P/E of 19.62, suggesting a valuation premium but with expectations of earnings growth. Its profit margins stand at 5.33%, and return on equity is robust at 53.36%, indicating efficient capital utilization. However, revenue growth has declined by 2% year-over-year, signaling potential challenges in maintaining top-line momentum. The company's debt-to-equity ratio of 278.65% is notably high, which could pose risks in a rising interest rate environment, though its current and quick ratios of 1.40 and 1.22, respectively, suggest adequate liquidity to meet short-term obligations.
 CBRE's dividend yield of 1.26% is modest, with a payout ratio of 30.32%, indicating a balanced approach to rewarding shareholders while retaining earnings for growth. Free cash flow of $1.23 billion and operating cash flow of $1.47 billion provide a solid foundation for ongoing operations and potential strategic investments.
 **Valuations:**  
 The stock is trading at a price-to-book ratio of 11.25, significantly above the industry average, which may indicate overvaluation relative to its book value. However, its price-to-sales ratio of 1.27 is more reasonable, reflecting a fair valuation based on revenue generation. Analyst sentiment remains positive, with a mean recommendation of "buy" and a median target price of $225, suggesting a potential upside from the current trading range.
 **Economic Outlook:**  
 The broader economic environment presents both opportunities and risks for CBRE. The U.S. real estate market is navigating challenges from higher interest rates, which could dampen demand for commercial real estate services. Additionally, inflationary pressures and geopolitical uncertainties, such as the recent tariffs and trade tensions, may impact investor sentiment and cross-border transactions. However, CBRE's diversified service offerings and global footprint position it to capitalize on long-term trends, such as the growing demand for sustainable and ESG-compliant real estate solutions.
 **Conclusion:**  
 CBRE Group demonstrates strong operational efficiency and financial stability, with a positive outlook supported by analyst recommendations. However, macroeconomic challenges, including declining revenue growth and high leverage, warrant caution. The company's ability to navigate these headwinds while leveraging its market leadership will be critical in sustaining momentum.
 **Score:** 78</t>
  </si>
  <si>
    <t>**Investment Report:**
 **Recent News:**  
 There have been no significant updates or developments regarding CDW in the past week. This lack of news suggests stability in the company's operations but also indicates no immediate catalysts for growth or concern.
 **Financials:**  
 CDW's recent stock performance reflects a volatile trading range, with a day low of $66.61 and a high of $70.21, compared to its previous close of $71.04. The stock is trading near its 52-week low of $64.05, significantly below its 52-week high of $172.16, indicating substantial downward pressure over the past year. The company offers a dividend yield of 3.94%, which is well above its five-year average of 2.25%, suggesting an attractive income opportunity for investors. However, the payout ratio of 27.89% indicates that the dividend is sustainable under current earnings conditions.
 CDW's valuation metrics, such as a trailing P/E of 6.85 and a forward P/E of 7.99, suggest the stock is undervalued relative to its earnings potential. The price-to-book ratio of 1.03 further supports this view. However, the company's earnings and revenue growth have been negative, with earnings declining by 87.8% and revenue shrinking by 2.8% year-over-year, reflecting challenges in its operating environment.
 The company's balance sheet shows a high debt-to-equity ratio of 172.83, indicating significant leverage. While CDW generates strong free cash flow of $632.5 million and operating cash flow of $1.3 billion, its quick ratio of 0.69 and current ratio of 1.37 suggest limited short-term liquidity. Institutional ownership is high at 99.47%, reflecting confidence from large investors, but short interest has risen, indicating some bearish sentiment.
 **Valuations:**  
 CDW's enterprise value-to-revenue ratio of 1.96 and enterprise value-to-EBITDA ratio of 11.07 suggest the company is reasonably valued compared to its peers in the Technology Distributors industry. Analysts' price targets range from $70 to $150, with a median target of $84.50, implying potential upside from current levels. However, the recommendation mean of 2.84 (close to "hold") indicates mixed sentiment among analysts.
 **Economic Outlook:**  
 The broader economic environment poses challenges for CDW. The recent global technology market crash, driven by competition from Chinese AI advancements, has negatively impacted the technology sector. Additionally, the U.S. tariffs on imports from Canada, Mexico, and China could disrupt supply chains and increase costs for technology distributors like CDW. Rising inflation and potential Federal Reserve tightening may further pressure consumer and business spending on technology products, which could weigh on CDW's revenue growth.
 **Conclusion:**  
 CDW's valuation metrics suggest the stock is undervalued, but its declining earnings and revenue growth, coupled with high leverage and a challenging macroeconomic environment, present significant risks. While the company's strong cash flow and attractive dividend yield provide some stability, the broader economic headwinds and sector-specific challenges may limit near-term upside potential.
 **Score:** 55</t>
  </si>
  <si>
    <t>**Investment Report:**
 **Recent News:**  
 There have been no significant updates or developments regarding Celanese in the past week. The absence of news suggests stability in the company's operations, but it also indicates a lack of immediate catalysts for significant price movement.
 **Financials:**  
 Celanese's stock is trading near its 52-week high of $261.25, reflecting a strong recovery over the past year with an 8.17% increase in its 52-week performance. The company has a market capitalization of $49.32 billion and a relatively low beta of 0.436, indicating lower volatility compared to the broader market. However, its trailing price-to-earnings (P/E) ratio of 33.83 is elevated, suggesting the stock may be overvalued based on historical earnings. The forward P/E of 15.30, however, implies expectations of significant earnings growth in the coming year.
 The company has a dividend yield of 0.87%, which is below its five-year average of 1.26%, reflecting a relatively modest return for income-focused investors. The payout ratio of 27.09% indicates that the dividend is well-covered by earnings, leaving room for potential increases. Celanese's debt-to-equity ratio of 557.75 is notably high, signaling a leveraged balance sheet, which could pose risks in a rising interest rate environment.
 **Valuations:**  
 Celanese's price-to-book ratio of 63.48 is exceptionally high, suggesting the stock is trading at a significant premium to its book value. The enterprise value-to-EBITDA ratio of 11.90 is within a reasonable range for the specialty chemicals industry, but the company's profit margins remain thin, with a net profit margin of just 0.51%. Revenue growth of 14.7% year-over-year is a positive indicator, but earnings growth has declined sharply by 99%, raising concerns about profitability.
 Analyst sentiment remains optimistic, with a mean recommendation of "buy" and a target median price of $270, representing a modest upside from current levels. However, the high debt levels and declining earnings growth may temper enthusiasm.
 **Economic Outlook:**  
 The specialty chemicals industry is sensitive to macroeconomic conditions, including trade policies and input costs. The recent imposition of tariffs by the U.S. administration could disrupt supply chains and increase costs for raw materials, potentially pressuring margins. Additionally, inflationary pressures and potential Federal Reserve rate hikes could further impact Celanese's cost structure, particularly given its high leverage.
 On the positive side, Celanese's diversified product portfolio and exposure to growing end markets, such as automotive and construction, may provide resilience. However, the broader economic uncertainty and volatility in the stock market, particularly in the technology and industrial sectors, could weigh on investor sentiment.
 **Conclusion:**  
 Celanese is positioned as a stable player in the specialty chemicals industry, with strong revenue growth and a manageable dividend payout. However, its high debt levels, declining earnings growth, and elevated valuation metrics present significant risks. The broader economic environment, including trade tensions and inflationary pressures, could further challenge the company's performance in the near term.
 **Score:** 62</t>
  </si>
  <si>
    <t>**Investment Report: Constellation Energy Corporation (CEG)**
 **Recent News:**  
 Constellation Energy has faced mixed sentiment recently. The stock experienced a decline, partly due to the broader market selloff in response to the launch of DeepSeek, a Chinese AI competitor. While this event primarily impacted technology stocks, the ripple effects have extended to other sectors, including utilities, as investors reassess risk exposure. On a positive note, technical indicators suggest a short-term bullish trend for CEG, as the stock recently broke through its 20-day moving average. Additionally, the company has a strong track record of earnings surprises, which could position it well for its upcoming quarterly report.
 **Financials:**  
 Constellation Energy demonstrates solid financial fundamentals. The company has a trailing P/E ratio of 17.97 and a forward P/E of 16.97, indicating reasonable valuation levels relative to its earnings. Its dividend yield of 3.63% is in line with its five-year average, providing a stable income stream for investors. However, the company's debt-to-equity ratio of 120.07 is relatively high, which could pose risks in a rising interest rate environment. Despite this, Constellation's operating cash flow of $3.28 billion and EBITDA margins of 36.96% reflect strong operational efficiency. The company has also shown moderate revenue growth of 5.7% and earnings growth of 11.2%, signaling steady performance.
 **Valuations:**  
 CEG's price-to-book ratio of 1.51 suggests the stock is trading at a slight premium to its book value, which is reasonable for a utility company with stable cash flows. The stock's 52-week range of $85.85 to $107.75 indicates that it is currently trading closer to the lower end of its range, potentially offering an attractive entry point. Analyst price targets range from $85 to $116, with a mean target of $97.93, suggesting limited upside from current levels. The recommendation mean of 2.94 (on a scale where 1 is "Strong Buy" and 5 is "Sell") indicates a "Hold" consensus among analysts.
 **Economic Outlook:**  
 The broader economic environment presents challenges for Constellation Energy. The recent tariffs imposed by the Trump administration could lead to inflationary pressures, which may increase input costs for utilities. Additionally, the Federal Reserve's potential shift to a more hawkish stance could result in higher borrowing costs, impacting companies with significant debt like Constellation. However, the utility sector's defensive nature may provide some insulation from broader market volatility, as demand for electricity remains relatively inelastic.
 **Conclusion:**  
 Constellation Energy is a stable player in the electric utilities industry, with strong operational metrics and a reliable dividend. While the stock has faced recent headwinds due to market-wide concerns, its technical indicators and earnings history suggest potential for short-term recovery. However, macroeconomic risks, including rising interest rates and inflationary pressures, could weigh on its performance. The stock's current valuation appears fair, with limited upside potential in the near term.
 **Score:** 72</t>
  </si>
  <si>
    <t>**Investment Report: CF Industries**
 **Recent News:**  
 CF Industries, a leading nitrogen fertilizer producer, is strategically positioned to benefit from the current U.S. economic and political landscape. The Trump administration's policies, including tariffs and a focus on domestic energy production, provide a favorable environment for CF Industries. The company benefits from low U.S. natural gas prices, a critical input for nitrogen fertilizer production, and its export capabilities allow it to capitalize on global agricultural demand. Additionally, strong U.S. agricultural production forecasts, particularly for corn and soybeans, support robust demand for fertilizers. However, risks remain from energy price volatility and global competition, particularly as geopolitical tensions and trade policies evolve.
 **Financials:**  
 CF Industries demonstrates solid financial performance, with a market capitalization of $151.48 billion and a 52-week price increase of 33.66%, outperforming the S&amp;P 500's 21.93% gain. The company maintains strong profitability metrics, including a profit margin of 27.47% and operating margins of 38.42%. Earnings growth of 27.1% and revenue growth of 5.2% highlight its ability to capitalize on favorable market conditions. The trailing price-to-earnings (P/E) ratio of 27.68 and forward P/E of 15.96 suggest a potential undervaluation relative to its growth prospects. However, the company's high debt-to-equity ratio of 144.24% and low current and quick ratios (both at 0.481) indicate a reliance on leverage, which could pose risks in a rising interest rate environment.
 **Valuations:**  
 CF Industries trades at a price-to-book ratio of 3.98, reflecting a premium valuation compared to its book value. Its gross margins of 96.78% and return on equity of 12.11% underscore its operational efficiency and ability to generate shareholder value. Analysts maintain a positive outlook, with a mean target price of $89.50, representing potential upside from its current price of $82.72. The company's dividend yield of 1.24% and a payout ratio of 33.44% provide additional appeal for income-focused investors.
 **Economic Outlook:**  
 The broader economic environment presents both opportunities and challenges for CF Industries. The Trump administration's tariffs on imports from Canada, Mexico, and China could disrupt global trade but may indirectly benefit domestic producers like CF Industries by reducing competition. Additionally, the ongoing California wildfires and geopolitical tensions could impact agricultural supply chains, potentially increasing demand for fertilizers. However, rising inflation and potential Federal Reserve interest rate hikes could increase input costs and borrowing expenses, posing risks to profitability.
 **Conclusion:**  
 CF Industries is well-positioned to benefit from favorable domestic policies, strong agricultural demand, and its strategic cost advantages. While its financial performance and growth prospects are robust, risks from leverage, energy price volatility, and macroeconomic uncertainties warrant careful monitoring. The company's ability to navigate these challenges will be critical to sustaining its growth trajectory.
 **Score:** 85</t>
  </si>
  <si>
    <t>**Investment Report: Citizens Financial Group**
 **Recent News:**  
 There have been no significant updates or developments regarding Citizens Financial Group in the past week. The absence of news suggests stability in the company's operations, but it also indicates a lack of catalysts that could drive short-term market sentiment.
 **Financials:**  
 Citizens Financial Group demonstrates a mixed financial profile. The company has a market capitalization of approximately $19.78 billion and a dividend yield of 3.08%, which is above its five-year average of 2.87%, signaling a potentially attractive income opportunity for investors. However, the payout ratio of 167.36% raises concerns about the sustainability of its dividend policy, as it exceeds earnings. The firm's trailing price-to-earnings (P/E) ratio of 55.67 and forward P/E of 21.93 suggest a high valuation relative to its earnings, which may deter value-focused investors.  
 The company’s revenue growth of 27.1% year-over-year is a positive indicator, supported by strong gross margins of 44.56%. However, its return on equity (ROE) of 2.08% and return on assets (ROA) of 0.13% are relatively weak, reflecting inefficiencies in generating returns from its equity and assets. Additionally, the debt-to-equity ratio of 1,287.5% is alarmingly high, indicating significant leverage that could pose risks in a rising interest rate environment or during economic downturns.
 **Valuations:**  
 Citizens Financial Group's price-to-book (P/B) ratio of 329.44 is exceptionally high, suggesting the stock is trading at a significant premium to its book value. This valuation metric is concerning, especially in the context of the regional banking industry, where lower P/B ratios are typically preferred. The trailing PEG ratio of 0.736 indicates that the stock may offer reasonable value relative to its earnings growth, but this is overshadowed by the broader valuation concerns.
 Analyst sentiment appears neutral, with a recommendation mean of 3.05 (indicating a "hold") and a median target price of $167.39, which is only slightly above the current trading range. This suggests limited upside potential in the near term.
 **Economic Outlook:**  
 The broader macroeconomic environment presents challenges for the regional banking sector. The recent implementation of tariffs by the U.S. government is expected to increase inflationary pressures, which could lead to higher interest rates. While rising rates may benefit banks' net interest margins, they could also dampen loan demand and increase credit risks. Citizens Financial Group's high leverage amplifies these risks, as the cost of servicing debt may rise. Additionally, the ongoing volatility in the financial markets, driven by geopolitical tensions and trade uncertainties, could weigh on investor sentiment toward the banking sector.
 **Conclusion:**  
 Citizens Financial Group faces a challenging environment characterized by high leverage, weak profitability metrics, and elevated valuations. While its revenue growth and dividend yield are positive attributes, these are offset by concerns about dividend sustainability, high debt levels, and limited near-term upside potential. The broader economic headwinds, including inflationary pressures and potential credit risks, further complicate the outlook for the regional banking industry.
 **Score:** 45</t>
  </si>
  <si>
    <t>**Investment Report: Church &amp; Dwight Co., Inc. (CHD)**
 **Recent News:**  
 Church &amp; Dwight's Q4 earnings report highlights the company's resilience and strong brand performance in a challenging consumer environment. The company reported earnings of $0.77 per share, matching analyst estimates and reflecting a year-over-year increase from $0.65 per share. Organic sales grew by 4.2%, driven by higher volumes, favorable product mix, and pricing power. This growth underscores the company's ability to navigate inflationary pressures and maintain consumer demand for its household products. The results align with expectations, showcasing the firm's operational stability and adaptability.
 **Financials:**  
 Church &amp; Dwight's financial metrics indicate a solid foundation. The company has a trailing price-to-earnings (P/E) ratio of 12.17 and a forward P/E of 10.73, suggesting a reasonable valuation relative to its earnings growth. Its profit margins are healthy, with a net profit margin of 18.28% and operating margins of 19.61%. The company also maintains a strong return on equity (16.13%), reflecting efficient use of shareholder capital. However, liquidity ratios such as the quick ratio (0.18) and current ratio (0.39) are low, indicating potential short-term liquidity constraints. Debt-to-equity stands at 31.71, which is manageable but worth monitoring given the rising interest rate environment.
 **Valuations:**  
 Church &amp; Dwight's stock is trading at a price-to-book ratio of 1.68, which is relatively modest for a consumer staples company. The stock's 52-week range of $238.85 to $302.05 shows it is currently trading closer to the midpoint, with a recent close at $271.88. Analyst sentiment remains positive, with a mean target price of $298.77, implying potential upside. The company's dividend yield of 1.34% is below its five-year average of 1.74%, but the low payout ratio of 14.51% suggests room for future dividend growth.
 **Economic Outlook:**  
 The broader economic environment presents mixed signals for Church &amp; Dwight. While inflationary pressures and tariffs could increase input costs, the company's pricing power and strong brand portfolio may help offset these challenges. The household products industry is typically resilient during economic downturns, as demand for essential goods remains stable. However, macroeconomic headwinds, including trade tensions and potential consumer spending slowdowns, could weigh on growth. The company's exposure to global markets and reliance on supply chains may also be affected by geopolitical uncertainties.
 **Conclusion:**  
 Church &amp; Dwight's Q4 performance demonstrates its ability to adapt to a dynamic market environment, supported by strong brand equity and pricing strategies. While the company faces some liquidity and macroeconomic risks, its solid profitability, reasonable valuation, and potential for dividend growth make it a stable player in the household products industry. The stock's current price suggests moderate upside potential, contingent on broader market conditions and the company's ability to sustain organic growth.
 **Score:** 78</t>
  </si>
  <si>
    <t>**Investment Report: Charter Communications (CHTR)**
 **Recent News:**  
 Charter Communications reported robust fourth-quarter 2024 earnings, with earnings per share (EPS) of $10.10 exceeding expectations of $9.54 and significantly higher than the $7.07 EPS from the prior year. Revenue reached $13.9 billion, slightly above Wall Street's forecast of $13.88 billion, driven by growth in residential Internet and mobile services. Despite these strong financial results, the stock remains under pressure, closing at $336, down approximately 60% from its 2021 peak. Analysts have raised concerns about the company's reduced investment in growth initiatives and the broader challenges facing the cable industry, including cord-cutting and intensifying competition from streaming services and wireless providers. These factors have contributed to a cautious outlook for the stock, despite its strong value characteristics.
 **Financials:**  
 Charter's financial performance reflects a mixed picture. The company trades at a trailing price-to-earnings (P/E) ratio of 9.77 and a forward P/E of 8.02, indicating a relatively low valuation compared to historical levels and the broader market. Its price-to-sales ratio of 0.88 and price-to-book ratio of 3.44 further highlight its value-oriented profile. Charter's EBITDA margin of 39.18% and operating margin of 24.34% demonstrate strong profitability, while free cash flow of $3.8 billion underscores its ability to generate cash. However, the company carries a significant debt burden, with a debt-to-equity ratio of 533.47%, which could limit its financial flexibility in a rising interest rate environment. Additionally, revenue growth of 1.6% and earnings growth of 6.9% suggest modest expansion, which may not be sufficient to offset industry headwinds.
 **Valuations:**  
 Charter's stock appears undervalued based on its current metrics, with a forward PEG ratio of 0.35, indicating potential for growth at a reasonable price. Analysts' target prices range from $261 to $525, with a mean target of $399.35, suggesting upside potential from current levels. However, the stock's beta of 1.04 indicates moderate volatility, and its short interest ratio of 11.5 reflects bearish sentiment among some investors. The company's enterprise value-to-EBITDA ratio of 6.86 is reasonable, but its high leverage remains a concern.
 **Economic Outlook:**  
 The broader economic environment presents challenges for Charter. The U.S. economy is facing inflationary pressures exacerbated by new tariffs, which could dampen consumer spending and increase costs for businesses. Additionally, the cable industry continues to grapple with structural shifts, including declining pay-TV subscriptions and competition from streaming platforms. While Charter's focus on residential Internet and mobile services provides a growth avenue, the industry remains highly competitive, and the company's reduced investment in growth initiatives may hinder its ability to adapt to these changes. Rising interest rates could also increase the cost of servicing its substantial debt.
 **Conclusion:**  
 Charter Communications demonstrates strong financial performance and attractive valuations, but it faces significant industry and macroeconomic challenges. While its focus on Internet and mobile services offers growth potential, the company's high debt levels and reduced investment in growth initiatives may limit its ability to navigate a rapidly evolving industry landscape. The stock's undervaluation provides some margin of safety, but the broader economic and industry headwinds warrant caution.
 **Score:** 65</t>
  </si>
  <si>
    <t>**Investment Report: Cigna Corporation**
 **Recent News:**  
 Cigna has faced significant challenges recently, with its stock declining by 8.4% following disappointing fourth-quarter earnings. The company reported earnings of $6.64 per share, falling short of the Zacks Consensus Estimate of $7.83. This underperformance was attributed to rising medical costs and a decline in medical membership, particularly in Individual and Family Plans. Despite these setbacks, Cigna's management remains optimistic, projecting a minimum adjusted EPS of $29.50 for 2025, representing a 7.9% growth from 2024. Additionally, its Evernorth Health unit has introduced measures to reduce out-of-pocket prescription drug costs, signaling efforts to address affordability and improve customer retention. However, the company's forecasted annual profits for 2025 remain below Wall Street expectations, which could weigh on investor sentiment in the near term.
 **Financials:**  
 Cigna's financial metrics present a mixed picture. The company has a trailing price-to-earnings (P/E) ratio of 7.04, which is relatively low and suggests undervaluation compared to the broader market. However, its forward P/E of 19.44 indicates expectations of slower earnings growth. The stock's dividend yield of 2.36% is slightly below its five-year average of 2.57%, but the payout ratio of 16.34% reflects a conservative approach to dividend distribution, leaving room for reinvestment or debt reduction. Cigna's return on equity (ROE) of 25.14% is strong, indicating efficient use of shareholder capital, while its profit margins of 25.26% highlight solid profitability. The company also maintains a manageable debt-to-equity ratio of 6.33, supported by robust free cash flow of $3.04 billion.
 **Valuations:**  
 Cigna's stock is trading at a price-to-book (P/B) ratio of 1.55, which is reasonable and suggests the stock is not overvalued relative to its book value. The stock's 52-week price range of $104.78 to $161.75 indicates that it is currently trading closer to the lower end of its range, potentially offering an attractive entry point for long-term investors. Analyst price targets range from $126 to $180, with a median target of $153, implying potential upside from current levels. However, the recent earnings miss and cautious profit outlook may limit near-term price appreciation.
 **Economic Outlook:**  
 The broader economic environment presents challenges for Cigna. Rising medical costs, coupled with inflationary pressures, are likely to weigh on the company's margins. Additionally, the implementation of new tariffs by the U.S. government could indirectly impact healthcare costs through supply chain disruptions. On the positive side, Cigna's focus on reducing prescription drug costs and simplifying claims processes may help mitigate some of these pressures and improve customer satisfaction. The company's relatively low beta of 0.67 suggests lower volatility compared to the broader market, which could make it a more stable investment during periods of economic uncertainty.
 **Conclusion:**  
 Cigna faces near-term headwinds due to rising costs, declining membership, and a cautious profit outlook. However, its strong cash flow, solid profitability, and efforts to address affordability position it for potential recovery in the medium to long term. While the stock appears undervalued based on its trailing P/E and P/B ratios, the recent earnings miss and economic challenges may limit upside in the next month.
 **Score:** 65</t>
  </si>
  <si>
    <t>**Investment Report: Cincinnati Financial (CINF)**
 **Recent News:**  
 Cincinnati Financial is expected to report a decline in Q4 earnings, as highlighted in recent earnings previews. Analysts suggest the company may not meet the necessary combination of factors to deliver an earnings beat. This sentiment reflects broader challenges in the property and casualty insurance industry, including rising claims costs and potential impacts from recent natural disasters, such as the California wildfires. These events could increase underwriting losses and pressure profitability in the near term.
 **Financials:**  
 Cincinnati Financial's financial metrics reveal a mixed picture. The company has a trailing P/E ratio of 26.2, which is relatively high compared to its forward P/E of 15.5, indicating expectations of improved earnings in the future. However, earnings growth has been negative, with a quarterly decline of 25.5%, and revenue growth has also contracted by 5.6%. The company's profit margins remain solid at 17.7%, supported by strong gross margins of 64.9%. Additionally, the dividend yield of 2.64% is below its five-year average of 3.06%, suggesting limited income appeal at current levels. The payout ratio of 68.2% indicates a significant portion of earnings is allocated to dividends, which could be challenging to sustain if earnings continue to decline.
 **Valuations:**  
 Cincinnati Financial's price-to-book ratio of 5.38 is elevated, suggesting the stock is trading at a premium relative to its book value. The enterprise value-to-revenue ratio of 4.82 and enterprise value-to-EBITDA ratio of 18.55 also indicate a relatively high valuation compared to peers. While the stock has gained 21.2% over the past year, slightly underperforming the S&amp;P 500's 21.9% increase, its valuation metrics suggest limited upside potential unless earnings growth improves.
 **Economic Outlook:**  
 The broader economic environment presents headwinds for Cincinnati Financial. Rising inflation, exacerbated by new tariffs and trade tensions, could increase claims costs and reduce consumer spending on insurance products. Additionally, the impact of natural disasters, such as the California wildfires, may lead to higher-than-expected claims, pressuring the company's underwriting profitability. The Federal Reserve's potential shift to a more hawkish stance to combat inflation could also weigh on the broader financial sector, including insurance companies.
 **Conclusion:**  
 Cincinnati Financial faces near-term challenges, including declining earnings, rising claims costs, and a challenging macroeconomic environment. While the company maintains solid profit margins and a strong dividend history, its high valuation and negative earnings growth raise concerns about its ability to deliver strong performance in the short term. The stock's premium pricing and exposure to industry-specific risks suggest limited investment appeal over the next month.
 **Score:** 45</t>
  </si>
  <si>
    <t>**Investment Report: Colgate-Palmolive**
 **Recent News:**  
 Colgate-Palmolive's recent earnings report revealed mixed results, with earnings per share (EPS) of $0.91 exceeding expectations of $0.89, but revenue falling short of forecasts. The company cited challenges such as unfavorable foreign exchange rates and slowing demand in key markets like North America and Latin America. This led to a weaker-than-expected outlook for the coming quarters, causing a 5% drop in the stock price. While some analysts, such as Goldman Sachs, maintain a positive long-term view with a "Buy" rating and a $106 price target, others are cautious, pointing to the stock's decline from its all-time high and questioning its appeal for dividend-focused or total return investors.
 **Financials:**  
 Colgate-Palmolive's financial metrics reflect a stable but pressured position. The company has a trailing price-to-earnings (P/E) ratio of 24.79 and a forward P/E of 21.67, indicating a premium valuation compared to the broader market. Its dividend yield of 2.2% is slightly below its five-year average of 2.3%, and the payout ratio of 56.32% suggests room for continued dividend payments. However, the company's debt-to-equity ratio of 1009.09 is notably high, reflecting significant leverage. Despite this, Colgate-Palmolive maintains strong profitability metrics, with gross margins of 60.42% and operating margins of 21.00%. Free cash flow of nearly $3 billion supports its ability to manage debt and sustain shareholder returns.
 **Valuations:**  
 The stock is trading near its 52-week low of $82.68, significantly below its 52-week high of $109.30. Its price-to-book ratio of 163.59 is exceptionally high, reflecting the company's reliance on intangible assets and brand strength rather than tangible equity. The price-to-sales ratio of 3.54 and enterprise value-to-revenue ratio of 4.06 suggest the stock is priced at a premium relative to its revenue generation. Analysts' target prices range from $83 to $110, with a median target of $99, indicating potential upside if the company can navigate current challenges effectively.
 **Economic Outlook:**  
 Colgate-Palmolive faces headwinds from a challenging macroeconomic environment. The recent implementation of tariffs by the U.S. government could increase input costs for raw materials, further pressuring margins. Additionally, slowing demand in North America and Latin America, combined with foreign exchange volatility, poses risks to revenue growth. However, the company's strong global brand and focus on essential household products provide some resilience against economic downturns. Its low beta of 0.415 suggests reduced volatility compared to the broader market, making it a relatively defensive investment in uncertain times.
 **Conclusion:**  
 Colgate-Palmolive's mixed earnings report and cautious outlook reflect the challenges of operating in a volatile economic environment. While the company's strong profitability and cash flow generation provide a solid foundation, its high leverage and premium valuation raise concerns. The stock's recent decline may present an opportunity for long-term investors if the company can address demand and currency challenges. However, near-term performance is likely to remain under pressure due to macroeconomic headwinds and weaker guidance.
 **Score:** 65</t>
  </si>
  <si>
    <t>**Investment Report: Clorox (CLX)**
 **Recent News:**  
 Clorox recently reported its Q2 earnings, surpassing Wall Street expectations with earnings of $1.55 per share, compared to the consensus estimate of $1.39. However, this represents a decline from $2.16 per share in the same quarter last year, reflecting ongoing challenges in maintaining profitability. Despite the earnings beat, the company faces headwinds such as rising input costs, increased competition in the e-commerce space, and consumer resistance to price increases. Clorox is actively pursuing its IGNITE Strategy, which focuses on innovation, operational efficiency, and international expansion to navigate these challenges. While the strategy shows promise, its impact may take time to materialize in a difficult macroeconomic environment.
 **Financials:**  
 Clorox's financial metrics reveal a mixed picture. The company has a trailing price-to-earnings (P/E) ratio of 11.20 and a forward P/E of 8.85, suggesting a relatively low valuation compared to historical levels. However, its gross margin of 14.82% and operating margin of 2.96% indicate pressure on profitability, likely due to rising costs and pricing challenges. The company's revenue growth of 6.1% and earnings growth of 56.5% are positive signs, but these figures are tempered by a decline in net income compared to the prior year. Clorox's debt-to-equity ratio of 64.23% highlights a moderately leveraged balance sheet, though its quick ratio of 1.05 and current ratio of 1.10 suggest adequate short-term liquidity. Free cash flow of $1 billion provides some financial flexibility, but the company must carefully manage its resources to sustain growth.
 **Valuations:**  
 Clorox's stock is trading at a price-to-book ratio of 1.21, which is reasonable for the household products industry. However, its price-to-sales ratio of 0.22 and enterprise value-to-EBITDA ratio of 5.55 suggest the stock may be undervalued relative to its revenue and earnings potential. Analysts have a median price target of $80, representing upside potential from its current price, though the stock's 52-week performance (-14.54%) lags behind the broader S&amp;P 500 index (+21.93%). The recommendation mean of 2.05 (indicating a "buy") reflects cautious optimism among analysts, but the stock's recent underperformance and valuation concerns warrant careful consideration.
 **Economic Outlook:**  
 Clorox operates in the consumer staples sector, which is generally resilient during economic uncertainty. However, the broader macroeconomic environment poses challenges. Rising inflation, driven by new tariffs and supply chain disruptions, could further pressure input costs and consumer spending. Additionally, the company's international expansion efforts may face headwinds from global trade tensions and currency fluctuations. On the positive side, Clorox's focus on innovation and efficiency through its IGNITE Strategy could help mitigate some of these risks over the long term. The company's beta of 0.49 indicates lower volatility compared to the broader market, making it a relatively stable investment in uncertain times.
 **Conclusion:**  
 Clorox's recent earnings beat and strategic initiatives demonstrate its ability to adapt to a challenging market environment. However, declining profitability, rising costs, and valuation concerns suggest limited near-term upside. While the company's fundamentals remain solid, the broader economic landscape and competitive pressures may weigh on its performance in the coming months.
 **Score:** 65</t>
  </si>
  <si>
    <t>**Investment Report: Comcast Corporation**
 **Recent News:**  
 Comcast recently reported fourth-quarter earnings that exceeded expectations, with adjusted earnings per share of $0.96. However, the company is facing significant challenges, particularly in its broadband segment, where subscriber losses have raised concerns about its core business. This overshadowed positive developments, such as growth in its domestic wireless segment and the success of its film "Wicked." In response to these challenges, Comcast announced a $15 billion share buyback program and plans to expand its mobile business. Additionally, the company is exploring a cable spinoff involving NBCUniversal networks. Despite these strategic moves, investor sentiment remains cautious, as reflected in a downgrade by Scotiabank and a reduction in the stock's price target. Comcast shares have dropped to their lowest level in over two years, signaling broader concerns about its growth trajectory.
 **Financials:**  
 Comcast's financial metrics present a mixed picture. The company has a trailing price-to-earnings (P/E) ratio of 8.02 and a forward P/E of 6.99, suggesting the stock is undervalued relative to its earnings potential. Its dividend yield of 3.32% is attractive, supported by a manageable payout ratio of 32.88%. However, the company's debt-to-equity ratio of 117.13% indicates a high level of leverage, which could pose risks in a rising interest rate environment. Comcast's gross margins of 69.73% and EBITDA margins of 30.30% highlight its strong profitability, but earnings growth has declined by 4.1% year-over-year, reflecting challenges in maintaining momentum. The company's free cash flow of $20.99 billion provides some financial flexibility to support its share buyback program and strategic initiatives.
 **Valuations:**  
 Comcast's stock is trading near its 52-week low of $32.50, significantly below its 52-week high of $45.31. The price-to-book ratio of 1.48 and price-to-sales ratio of 1.03 suggest the stock is trading at a discount compared to its historical valuations and industry peers. Analyst sentiment remains cautiously optimistic, with a mean price target of $43.22, representing potential upside from current levels. However, the downgrade by Scotiabank and concerns over broadband subscriber losses have tempered expectations.
 **Economic Outlook:**  
 The broader economic environment poses challenges for Comcast. Rising inflation and potential trade tensions could impact consumer spending, particularly on discretionary services like broadband and entertainment. Additionally, the company's high debt levels could become a concern if interest rates rise further. On the positive side, Comcast's diversification into mobile and its strong content portfolio could provide resilience in a challenging macroeconomic landscape. The $15 billion share buyback program signals management's confidence in the company's long-term prospects, but near-term headwinds remain significant.
 **Conclusion:**  
 Comcast's strong profitability and undervalued stock price offer potential for long-term investors. However, the company's reliance on its broadband segment, coupled with subscriber losses and broader economic uncertainties, creates near-term risks. While its strategic initiatives, such as the mobile expansion and share buyback program, are promising, the market's reaction underscores concerns about its ability to adapt to shifting industry dynamics.
 **Score:** 65</t>
  </si>
  <si>
    <t>**Investment Report: CME Group**
 **Recent News:**  
 CME Group has not been in the headlines over the past week, indicating stability in its operations and no immediate disruptions or controversies. This lack of news suggests the company is operating within expected parameters, which can be a positive sign for a financial exchange and data firm that thrives on consistent performance and reliability.
 **Financials:**  
 CME Group's financial performance reflects a robust and stable business model. The company boasts a market capitalization of $86.72 billion and a trailing price-to-earnings (P/E) ratio of 25.30, which is slightly elevated compared to the broader market but reasonable for a high-margin, growth-oriented financial exchange. Its forward P/E of 23.17 suggests expectations of continued earnings growth. The firm has demonstrated strong profitability, with a profit margin of 57.43% and EBITDA margins of 69.77%, underscoring its ability to generate significant cash flow from operations.
 Dividend performance is a key highlight, with a dividend yield of 4.4%, well above its five-year average of 3.34%. This indicates a shareholder-friendly approach, supported by a payout ratio of 103.05%, which, while high, reflects confidence in sustained cash flow generation. The company's free cash flow of $2.51 billion and operating cash flow of $3.72 billion further reinforce its ability to maintain dividend payments and invest in growth opportunities.
 CME Group's balance sheet shows a manageable debt-to-equity ratio of 13.62, with total debt of $3.84 billion offset by $2.43 billion in cash. While the quick ratio of 0.03 is low, the current ratio of 1.02 indicates sufficient liquidity to meet short-term obligations. The firm's return on equity (ROE) of 12.30% and return on assets (ROA) of 1.84% highlight efficient use of capital, though ROA is modest due to the asset-heavy nature of the business.
 **Valuations:**  
 CME Group's stock is trading near its 52-week high of $249.02, reflecting strong investor confidence. The price-to-book ratio of 3.07 is reasonable for a company with high margins and a dominant market position. Analysts' target prices range from $190 to $275, with a mean target of $243.19, suggesting limited upside potential in the near term. The recommendation mean of 2.67 (on a scale where 1 is "Strong Buy" and 5 is "Sell") indicates a "Hold" consensus among analysts.
 **Economic Outlook:**  
 The broader macroeconomic environment presents both challenges and opportunities for CME Group. The recent implementation of tariffs and trade tensions could increase market volatility, which typically benefits financial exchanges as trading volumes rise. However, the potential for a prolonged economic slowdown or inflationary pressures could weigh on investor sentiment and market activity. Additionally, the Federal Reserve's cautious stance on interest rate cuts may impact the firm's interest rate-related products.
 CME Group's beta of 0.56 indicates lower volatility compared to the broader market, making it a relatively defensive investment in uncertain times. The firm's revenue growth of 18.5% and earnings growth of 21.4% demonstrate resilience and the ability to capitalize on market trends, such as increased demand for risk management and hedging products.
 **Conclusion:**  
 CME Group is a well-positioned leader in the financial exchanges and data industry, benefiting from strong profitability, robust cash flow, and a shareholder-friendly dividend policy. While its valuation appears stretched near its 52-week high, the company's defensive characteristics and ability to thrive in volatile markets make it a stable choice in the current economic environment. However, limited near-term upside and macroeconomic uncertainties warrant a cautious outlook for the next month.
 **Score:** 78</t>
  </si>
  <si>
    <t>**Investment Report: Chipotle Mexican Grill (CMG)**
 **Recent News:**  
 Chipotle Mexican Grill has garnered significant attention due to its strong growth trajectory and strategic initiatives. The company recently executed a 50-to-1 stock split, which has increased accessibility for retail investors and boosted trading activity. Despite a slight dip in its stock price, analysts remain optimistic about its earnings potential, citing robust expansion plans, particularly through the rollout of Chipotlanes (drive-thru lanes). However, concerns linger over its high valuation multiples, which may deter value-focused investors. The stock's all-time high performance reflects investor confidence, but the broader market's volatility and economic uncertainties could temper short-term momentum.
 **Financials:**  
 Chipotle's financial performance remains solid, with total revenue of $229.75 billion and a revenue growth rate of 28% year-over-year. The company maintains a healthy profit margin of 1.32%, though earnings growth has contracted by 44.5% in the most recent quarter. Its forward price-to-earnings (P/E) ratio of 8.67 suggests expectations of future earnings growth, while a trailing P/E of 24.13 reflects its premium valuation. The company has a manageable debt-to-equity ratio of 80.15 and a strong cash position of $6.75 billion, providing financial flexibility for continued expansion. However, negative free cash flow (-$3.04 billion) raises concerns about operational efficiency and capital allocation.
 **Valuations:**  
 Chipotle's price-to-book ratio of 1.94 and price-to-sales ratio of 0.35 indicate a relatively high valuation compared to industry peers. Analysts have set a median price target of $365, with a high target of $438, reflecting confidence in the company's growth potential. The recommendation mean of 1.625 (indicating a "buy") underscores positive sentiment among analysts. However, the stock's 52-week performance (-10.19%) lags behind the S&amp;P 500's gain of 21.93%, suggesting that broader market conditions and sector-specific challenges may weigh on its valuation.
 **Economic Outlook:**  
 Chipotle operates in a challenging macroeconomic environment marked by inflationary pressures and potential consumer spending slowdowns. The recent tariffs imposed by the U.S. administration could increase input costs, particularly for imported ingredients, potentially squeezing margins. Additionally, the broader market's volatility, driven by geopolitical tensions and trade uncertainties, may impact consumer confidence and discretionary spending. However, Chipotle's focus on digital innovation, operational efficiency, and strategic expansion positions it well to navigate these headwinds and capture long-term growth opportunities.
 **Conclusion:**  
 Chipotle Mexican Grill remains a strong player in the restaurant industry, supported by its strategic initiatives and robust financial position. While its high valuation and macroeconomic challenges present risks, its growth potential and operational resilience make it a compelling long-term prospect. Short-term performance may be influenced by broader market volatility and economic uncertainties, but the company's fundamentals remain solid.
 **Score:** 78</t>
  </si>
  <si>
    <t>**Investment Report: Cummins Inc. (CMI)**
 **Recent News:**  
 Cummins is set to release its Q4 earnings, with analysts focusing on key performance metrics to gauge its financial health and operational efficiency. The company operates in the Construction Machinery &amp; Heavy Transportation Equipment industry, which is sensitive to macroeconomic conditions, including trade policies and infrastructure spending. The recent imposition of tariffs by the U.S. administration on Canada, Mexico, and China could impact Cummins' supply chain and cost structure, given its global operations. However, Cummins' diversified product portfolio and strong market position may provide some resilience against these headwinds.
 **Financials:**  
 Cummins' financial performance reflects a solid foundation, with a market capitalization of $47.77 billion and a trailing P/E ratio of 22.79, indicating moderate valuation levels relative to earnings. The forward P/E of 15.66 suggests expectations of earnings growth in the coming quarters. The company has a healthy dividend yield of 2.04%, supported by a payout ratio of 44.92%, which is sustainable given its consistent cash flow generation. Cummins' revenue growth remains modest at 0.3%, but its earnings growth of 27.7% highlights operational efficiency and cost management. The company maintains a return on equity of 19.38%, reflecting strong profitability relative to shareholder equity.
 Cummins' balance sheet shows a debt-to-equity ratio of 72.25, which is manageable but slightly elevated compared to industry peers. The quick ratio of 0.658 and current ratio of 1.32 indicate adequate liquidity to meet short-term obligations. Free cash flow of $2.19 billion and operating cash flow of $1.52 billion further underscore its financial stability.
 **Valuations:**  
 Cummins is trading at a price-to-book ratio of 4.63, which is higher than the industry average, suggesting a premium valuation. However, its trailing PEG ratio of 0.71 indicates that the stock is undervalued relative to its growth potential. The stock's 52-week price range of $236.00 to $387.90 shows significant appreciation over the past year, with a 52-week change of 41.63%, outperforming the S&amp;P 500's 21.93% gain. Analyst price targets range from $281.00 to $460.00, with a mean target of $381.53, suggesting potential upside from current levels.
 **Economic Outlook:**  
 The broader economic environment presents mixed signals for Cummins. The recent tariffs could increase input costs and disrupt supply chains, potentially pressuring margins. However, Cummins' exposure to infrastructure and transportation markets could benefit from increased government spending on domestic projects. The company's beta of 0.97 indicates slightly lower volatility compared to the broader market, which may appeal to risk-averse investors in a volatile macroeconomic climate.
 **Conclusion:**  
 Cummins is well-positioned in its industry, with strong profitability metrics and a history of consistent dividend payments. While the recent tariffs and global trade tensions pose risks, the company's operational efficiency and growth potential provide a solid foundation for long-term performance. The stock's valuation metrics suggest room for appreciation, particularly if macroeconomic conditions stabilize and infrastructure spending increases.
 **Score:** 78</t>
  </si>
  <si>
    <t>**Investment Report: Centene Corporation (CNC)**
 **Recent News:**  
 Centene Corporation's fourth-quarter earnings are anticipated to reflect growth in its Commercial business segment, which has been a key driver of its performance. However, rising medical costs pose a challenge, potentially pressuring margins. The healthcare industry is navigating a complex environment with inflationary pressures and regulatory uncertainties, which could impact Centene's cost structure and profitability. The company's ability to manage these headwinds while capitalizing on its expanding Commercial business will be critical in maintaining investor confidence.
 **Financials:**  
 Centene's financial metrics indicate a solid foundation. The company has a trailing P/E ratio of 14.65 and a forward P/E of 16.23, suggesting a reasonable valuation relative to its earnings. Its profit margins stand at 19.46%, supported by strong operating margins of 26.50%. Revenue growth of 7.6% year-over-year highlights steady expansion, while earnings growth of 82% demonstrates robust profitability improvements. The company maintains a healthy balance sheet with a current ratio of 2.81 and a quick ratio of 2.33, indicating strong liquidity. However, a debt-to-equity ratio of 42.01% suggests moderate leverage, which could be a concern in a rising interest rate environment.
 **Valuations:**  
 Centene's price-to-book ratio of 3.10 and price-to-sales ratio of 2.69 suggest the stock is trading at a premium compared to its book value and revenue. The trailing PEG ratio of 0.79 indicates that the stock may be undervalued relative to its growth potential. Analysts have a mixed outlook, with a mean price target of $91.73 and a recommendation key of "hold," reflecting cautious optimism. The stock's beta of 0.96 suggests lower volatility compared to the broader market, making it a relatively stable investment in uncertain times.
 **Economic Outlook:**  
 The broader economic environment presents challenges for Centene. Rising medical costs, driven by inflation and supply chain disruptions, could pressure margins. Additionally, the Trump administration's recent tariffs and potential trade tensions may indirectly affect healthcare costs and consumer spending. However, Centene's focus on managed healthcare positions it well to benefit from increasing demand for cost-effective healthcare solutions. The company's ability to navigate these macroeconomic headwinds while leveraging its growth in the Commercial segment will be pivotal.
 **Conclusion:**  
 Centene Corporation is well-positioned in the managed healthcare industry, with strong financials and growth prospects. However, rising medical costs and broader economic uncertainties could weigh on its near-term performance. The stock's valuation appears reasonable, but cautious sentiment among analysts suggests limited upside in the short term. Centene's ability to manage costs and sustain growth in its Commercial business will be key to its performance in the coming months.
 **Score:** 78</t>
  </si>
  <si>
    <t>**Investment Report: CenterPoint Energy**
 **Recent News:**  
 There have been no significant updates or developments regarding CenterPoint Energy in the past week. The absence of news suggests stability in the company's operations, but it also indicates a lack of recent catalysts that could drive short-term market sentiment.
 **Financials:**  
 CenterPoint Energy's stock has experienced a decline, with its current price nearing its 52-week low of $159.65, significantly below its 52-week high of $275.00. The stock's trailing price-to-earnings (P/E) ratio of 20.18 and forward P/E ratio of 16.48 suggest a moderate valuation, though earnings growth has been negative, with a quarterly decline of 20.3%. Revenue growth has also contracted slightly by 1.6%, reflecting challenges in maintaining top-line performance.  
 The company's profit margins stand at 10.44%, with gross margins of 35.93%, indicating reasonable profitability for a utility firm. However, the return on equity (ROE) of 11.92% and return on assets (ROA) of 4.87% are modest, reflecting the capital-intensive nature of the industry. CenterPoint's debt-to-equity ratio of 72.18% highlights a relatively high leverage position, though its current ratio of 1.48 and quick ratio of 0.95 suggest adequate liquidity to meet short-term obligations.  
 The enterprise value-to-EBITDA ratio of 11.62 indicates that the company is trading at a premium compared to its earnings before interest, taxes, depreciation, and amortization, which may limit its attractiveness to value-focused investors. Free cash flow of $495 million and operating cash flow of $796 million provide some financial flexibility, though the firm's total debt of $2.76 billion remains a concern.
 **Valuations:**  
 CenterPoint Energy's price-to-book (P/B) ratio of 2.18 is reasonable for the utilities sector, though it reflects a slight premium to its book value. Analyst sentiment is mixed, with a recommendation mean of 2.85 (indicating a "hold") and a target median price of $192.50, suggesting limited upside from current levels. The stock's beta of 1.38 indicates higher volatility compared to the broader market, which could pose risks in the current uncertain macroeconomic environment.
 **Economic Outlook:**  
 The broader economic environment presents challenges for CenterPoint Energy. The recent implementation of tariffs and trade tensions could increase input costs and inflationary pressures, potentially impacting the company's operating expenses. Additionally, the Federal Reserve's cautious stance on interest rate cuts may lead to higher borrowing costs, which could weigh on CenterPoint's heavily leveraged balance sheet.  
 The ongoing California wildfires and broader climate-related risks highlight the importance of infrastructure resilience for utility companies. While CenterPoint Energy has not been directly affected, the sector as a whole faces increasing scrutiny regarding environmental sustainability and disaster preparedness.  
 **Conclusion:**  
 CenterPoint Energy's financial performance reflects stability but lacks significant growth drivers. The company's high leverage and modest profitability metrics may limit its ability to navigate a challenging macroeconomic environment. While its valuation metrics are reasonable, the lack of recent positive developments and the broader economic headwinds suggest limited near-term upside potential.
 **Score:** 55</t>
  </si>
  <si>
    <t>**Investment Report:**
 **Recent News:**  
 Capital One has not been in the news over the past week, suggesting no immediate external catalysts or disruptions. This stability may reflect a lack of significant operational or strategic developments, leaving the firm’s performance largely tied to broader economic and industry trends.
 **Financials:**  
 Capital One's recent trading activity shows a slight decline in its stock price, with a day low of $111.42 and a high of $114.11, compared to its previous close of $113.71. The firm offers a dividend yield of 3.62%, above its five-year average of 3.23%, which may appeal to income-focused investors. However, its payout ratio of 129% raises concerns about the sustainability of its dividend, as it exceeds earnings.  
 The company’s trailing price-to-earnings (P/E) ratio of 35.8 and forward P/E of 103.6 suggest a high valuation relative to its earnings, which could indicate overvaluation or expectations of significant future growth. However, with revenue growth showing a slight decline (-0.5%) and a modest return on equity (ROE) of 7.23%, the growth outlook appears muted.  
 Capital One's debt-to-equity ratio of 71.78 indicates a relatively high level of leverage, which could pose risks in a rising interest rate environment. Its gross margins of 61.85% and EBITDA margins of 57.39% highlight strong operational efficiency, but the firm’s quick and current ratios (0.066 and 0.086, respectively) suggest limited short-term liquidity.
 **Valuations:**  
 The stock is trading at a price-to-book (P/B) ratio of 2.77, which is higher than many peers in the consumer finance industry. Analysts have a median price target of $125, implying a potential upside of approximately 10% from current levels. However, the high forward P/E and declining revenue growth may temper expectations for significant near-term appreciation.  
 The firm’s enterprise value-to-revenue ratio of 10.03 and enterprise value-to-EBITDA ratio of 17.47 further suggest a premium valuation, which may not be fully justified given the lack of revenue growth and modest profitability metrics.
 **Economic Outlook:**  
 The broader economic environment presents challenges for Capital One. The recent implementation of tariffs by the U.S. government could increase inflationary pressures, potentially impacting consumer spending and credit demand. Rising interest rates may also increase borrowing costs for consumers, potentially affecting loan growth and credit quality. Additionally, the ongoing volatility in the financial markets, particularly in the technology sector, could weigh on investor sentiment and broader economic confidence.  
 Capital One’s high leverage and limited liquidity could make it vulnerable to macroeconomic headwinds, particularly if credit conditions tighten or consumer defaults rise. However, its strong institutional ownership (98.4%) and relatively low beta (0.92) suggest some resilience to market volatility.
 **Conclusion:**  
 Capital One faces a mixed outlook. While its dividend yield and operational efficiency are strengths, concerns about its high valuation, declining revenue growth, and elevated leverage weigh on its near-term prospects. Broader economic challenges, including inflation and rising interest rates, could further pressure the firm’s performance.  
 **Score:** 55</t>
  </si>
  <si>
    <t>**Investment Report: Cooper Companies (The)**
 **Recent News:**  
 There have been no significant updates or developments regarding Cooper Companies in the past week. The absence of news suggests stability in the company's operations, but it also indicates a lack of immediate catalysts for significant price movement in the short term.
 **Financials:**  
 Cooper Companies operates in the Health Care Supplies industry with a market capitalization of $19.03 billion. The stock has shown moderate stability, trading near its 50-day average of $96.29 and slightly below its 200-day average of $97.21. The company’s trailing price-to-earnings (P/E) ratio of 48.64 suggests a premium valuation, though its forward P/E of 21.49 indicates expectations of significant earnings growth. The firm has demonstrated strong profitability metrics, with gross margins of 66.36% and operating margins of 19.20%. Quarterly earnings growth of 22.7% and revenue growth of 7.8% reflect solid operational performance.
 The company’s balance sheet shows a manageable debt-to-equity ratio of 36.71, supported by a current ratio of 1.99, indicating sufficient liquidity to cover short-term obligations. However, the quick ratio of 0.88 suggests a reliance on inventory to meet immediate liabilities. Free cash flow of $148.78 million and operating cash flow of $615.4 million highlight the company’s ability to generate cash, which is critical for sustaining operations and funding growth initiatives.
 **Valuations:**  
 Cooper Companies is trading at a price-to-book ratio of 2.40, which is reasonable for its industry. The enterprise value-to-revenue ratio of 6.14 and enterprise value-to-EBITDA ratio of 22.83 suggest the stock is priced at a premium compared to its peers. Analysts maintain a positive outlook, with a mean target price of $111.47, representing a potential upside of approximately 16% from current levels. The recommendation mean of 2.0 (equivalent to a "Buy") reflects confidence in the company’s growth prospects.
 **Economic Outlook:**  
 The broader macroeconomic environment presents challenges, including inflationary pressures from new tariffs and potential trade disruptions. However, the health care sector is generally less sensitive to economic cycles, providing some insulation for Cooper Companies. The company’s strong margins and consistent revenue growth position it well to navigate these headwinds. Additionally, its beta of 0.99 indicates that the stock moves in line with the broader market, suggesting moderate volatility.
 **Conclusion:**  
 Cooper Companies demonstrates solid financial performance and growth potential, supported by strong profitability and a favorable analyst outlook. However, its premium valuation and exposure to broader market volatility warrant caution. The lack of recent news or immediate catalysts may limit short-term price movement, but the company’s fundamentals suggest resilience in the face of macroeconomic challenges.
 **Score:** 78</t>
  </si>
  <si>
    <t>**Investment Report: ConocoPhillips (COP)**
 **Recent News:**  
 ConocoPhillips has garnered significant attention recently, with analysts and investors closely monitoring its performance. Despite its strong position as a leading upstream oil and gas producer, the company is expected to report a decline in earnings in its upcoming financial results. This has raised concerns about its near-term profitability. Over the past year, ConocoPhillips' stock has shed 5% of its value, reflecting broader challenges in the energy sector and market volatility. However, its long-term outlook remains promising due to its robust production capabilities and substantial reserves.
 **Financials:**  
 ConocoPhillips' financial metrics highlight a mixed picture. The company has a trailing price-to-earnings (P/E) ratio of 11.68 and a forward P/E of 11.51, suggesting a relatively attractive valuation compared to industry peers. Its dividend yield of 3.16% is above its five-year average, indicating a commitment to returning value to shareholders. However, earnings and revenue growth have faced headwinds, with earnings declining by 24.1% and revenue shrinking by 7.9% year-over-year. The company's gross margins remain strong at 48.9%, and it has a healthy operating cash flow of $20.93 billion, which supports its ability to weather short-term challenges.
 **Valuations:**  
 ConocoPhillips' current stock price of approximately $98.75 is trading near its 52-week low of $94.23, significantly below its 52-week high of $135.18. Analysts have set a median target price of $132, indicating potential upside if market conditions improve. The company's price-to-book ratio of 2.27 and enterprise value-to-revenue ratio of 2.19 suggest it is reasonably valued, particularly given its strong cash flow and operational efficiency. However, its trailing PEG ratio of 8.24 reflects concerns about limited growth prospects in the near term.
 **Economic Outlook:**  
 The broader macroeconomic environment presents challenges for ConocoPhillips. The recent imposition of tariffs by the U.S. government and ongoing trade tensions could disrupt global energy markets and supply chains. Additionally, new sanctions on Russia's energy sector may create volatility in oil prices, impacting ConocoPhillips' revenue streams. While the company benefits from its position as a major upstream player, declining global demand for fossil fuels and the transition to renewable energy sources pose long-term risks. However, its strong balance sheet and disciplined capital allocation provide a buffer against these uncertainties.
 **Conclusion:**  
 ConocoPhillips faces near-term challenges, including declining earnings and revenue growth, as well as broader market volatility. However, its strong operational metrics, attractive dividend yield, and robust cash flow position it well for long-term resilience. The stock's current valuation suggests potential upside, but investors may remain cautious given the uncertain macroeconomic environment and evolving energy landscape.
 **Score:** 72</t>
  </si>
  <si>
    <t>**Investment Report: Cencora (COR)**
 **Recent News:**  
 Cencora has been recognized as a strong value stock, particularly due to its robust performance in the U.S. Healthcare Solutions segment. Analysts anticipate a potential earnings beat for the upcoming fiscal first-quarter report, driven by the company's solid fundamentals and operational efficiency. The stock recently achieved a 52-week high, reflecting positive market sentiment. However, the competitive landscape in the healthcare distribution industry remains intense, which could pose challenges to sustaining growth momentum.
 **Financials:**  
 Cencora's financial metrics indicate a stable but cautious outlook. The company has a trailing P/E ratio of 21.67 and a forward P/E of 18.61, suggesting moderate valuation levels relative to its earnings potential. Its dividend yield of 2.7% is below its five-year average of 3.0%, reflecting a conservative payout strategy. The firm's profit margins stand at 11.25%, supported by strong EBITDA margins of 35.99%, which highlight operational efficiency. However, the company faces high leverage, with a debt-to-equity ratio of 188.83%, and negative free cash flow of -$1.51 billion, which could constrain financial flexibility. Additionally, earnings and revenue growth have declined by 25.5% and 0.2%, respectively, signaling potential headwinds in maintaining profitability.
 **Valuations:**  
 Cencora's price-to-book ratio of 2.01 and price-to-sales ratio of 2.47 suggest the stock is fairly valued compared to its peers. The stock's recent performance, with a 52-week change of 17.96%, has outpaced its 52-week low of $25.41, but it lags behind the broader S&amp;P 500's 21.93% gain over the same period. Analyst price targets range from $30 to $37, with a median target of $32.73, aligning closely with the current trading price, indicating limited upside potential in the near term.
 **Economic Outlook:**  
 The broader economic environment presents mixed implications for Cencora. The healthcare sector remains resilient amid macroeconomic uncertainties, but rising inflation and potential trade disruptions from new tariffs could increase operational costs. Additionally, the company's high debt levels may become more burdensome if interest rates rise further. Despite these challenges, Cencora's strong institutional ownership (93.84%) and its focus on core operational strengths position it well to navigate short-term volatility.
 **Conclusion:**  
 Cencora's strong fundamentals and operational efficiency in the healthcare distribution sector provide a solid foundation for long-term growth. However, near-term challenges, including declining earnings growth, high leverage, and limited upside potential, warrant a cautious outlook for the next month.
 **Score:** 65</t>
  </si>
  <si>
    <t>**Investment Report: Corpay (CPAY)**
 **Recent News:**  
 Corpay is preparing to release its Q4 2024 earnings, with expectations of growth driven by its vehicle and corporate payments segments. This focus on expanding high-demand areas aligns with broader trends in the transaction and payment processing industry, where digital and automated payment solutions are increasingly critical. However, the broader economic environment, including inflationary pressures and trade disruptions, may weigh on consumer and corporate spending, potentially impacting Corpay's performance.
 **Financials:**  
 Corpay's financial metrics present a mixed picture. The company has a market capitalization of $44.4 billion and a price-to-sales ratio of 2.67, suggesting it is moderately valued relative to its revenue. Its forward P/E ratio of 20.27 indicates a more reasonable valuation compared to its trailing P/E of 67.30, reflecting expectations of improved earnings in the near term. The company has a solid dividend yield of 1.04%, though its payout ratio of 67.71% suggests limited room for dividend growth without significant earnings expansion.  
 Corpay's revenue growth has been negative (-10.2%), which is a concern, but its gross margins of 43.28% and EBITDA margins of 18.12% indicate strong operational efficiency. The company also maintains a healthy free cash flow of $2.41 billion, which supports its ability to invest in growth initiatives or weather economic challenges. However, its debt-to-equity ratio of 22.88% and quick ratio of 0.88 highlight some liquidity and leverage risks, particularly in a rising interest rate environment.
 **Valuations:**  
 Corpay's stock has performed well over the past year, with a 52-week price change of +25.30%, outperforming the S&amp;P 500's gain of +21.93%. The stock is trading near its 52-week high of $66.24, which may limit immediate upside potential. Analysts have a mean target price of $67.09, slightly above the current price, indicating limited short-term growth expectations. However, the recommendation mean of 1.78 ("buy") suggests analysts remain optimistic about the company's long-term prospects.
 **Economic Outlook:**  
 The broader economic environment poses challenges for Corpay. The recent implementation of tariffs by the U.S. government could disrupt supply chains and increase costs for businesses, potentially dampening demand for payment processing services. Additionally, inflationary pressures and the Federal Reserve's potential hawkish stance may further constrain consumer and corporate spending. However, Corpay's focus on vehicle and corporate payments could provide some resilience, as these segments may benefit from ongoing digital transformation trends.
 **Conclusion:**  
 Corpay's strong operational efficiency, solid cash flow, and focus on high-growth segments position it well for long-term success. However, near-term challenges, including negative revenue growth and broader economic headwinds, may limit its performance in the coming months. While the stock's valuation appears reasonable, its proximity to its 52-week high and limited upside potential based on analyst targets suggest a cautious outlook for the next month.
 **Score:** 65</t>
  </si>
  <si>
    <t>**Investment Report: Copart (Diversified Support Services)**
 **Recent News:**  
 Copart has not been in the news over the past week, indicating a lack of significant recent developments or disruptions. This stability may reflect the company's steady operational environment, though it also suggests no immediate catalysts for substantial price movement.
 **Financials:**  
 Copart's financial performance demonstrates a robust position within its industry. The company has a market capitalization of $55.65 billion and a strong profit margin of 32.17%, indicating efficient operations and profitability. Its trailing P/E ratio of 40.39 and forward P/E of 32.65 suggest a premium valuation, reflecting investor confidence in its growth prospects. However, earnings growth has declined by 8.3% year-over-year, and revenue growth of 7.2% is modest, signaling potential challenges in accelerating top-line expansion.
 The company maintains a solid balance sheet, with a quick ratio of 5.74 and a current ratio of 7.03, highlighting its ability to meet short-term obligations. Debt levels are minimal, with a debt-to-equity ratio of 1.57%, and Copart holds $3.42 billion in cash, providing financial flexibility. Free cash flow of $736 million further supports its capacity for reinvestment or shareholder returns.
 **Valuations:**  
 Copart's valuation metrics suggest it is trading at a premium compared to its peers. The price-to-book ratio of 7.39 and price-to-sales ratio of 13.14 are elevated, reflecting high investor expectations. The enterprise value-to-EBITDA ratio of 29.37 also indicates a rich valuation. While these metrics may be justified by its strong margins and operational efficiency, they leave limited room for error if growth slows further.
 The stock is trading near its 50-day average of $59.00 but remains below its 52-week high of $64.38, suggesting some recent weakness. Analyst price targets range from $56.00 to $66.00, with a median target of $61.00, implying modest upside potential from current levels.
 **Economic Outlook:**  
 The broader economic environment presents mixed implications for Copart. The recent imposition of tariffs and trade tensions could disrupt supply chains and increase costs for industries reliant on global trade, potentially impacting demand for Copart's services. However, its business model, which focuses on vehicle auctions and salvage services, may be less sensitive to these macroeconomic pressures compared to other sectors. Additionally, the company's strong cash position and low debt provide resilience in a volatile economic climate.
 The technology sector's recent downturn, driven by competition from Chinese advancements, has not directly affected Copart but underscores broader market uncertainty. Inflationary pressures and potential Federal Reserve policy adjustments could also weigh on consumer and business spending, indirectly influencing Copart's operations.
 **Conclusion:**  
 Copart's financial strength, profitability, and operational efficiency position it well within the Diversified Support Services industry. However, its premium valuation and slowing earnings growth warrant caution, particularly in a challenging macroeconomic environment. While the company remains fundamentally sound, the lack of immediate growth catalysts and broader market volatility may limit near-term upside potential.
 **Score:** 72</t>
  </si>
  <si>
    <t>**Investment Report: Salesforce (CRM)**
 **Recent News:**  
 Salesforce has announced plans to cut over 1,000 jobs while simultaneously hiring for roles focused on artificial intelligence (AI) product development. This restructuring reflects the company's strategic pivot toward AI-driven growth, a move that aligns with broader industry trends but may signal challenges in its traditional business segments. Additionally, Salesforce's stock has experienced volatility, with a recent 1.65% decline in a broader market downturn, followed by a 4.0% surge in a high-volume trading session. These fluctuations suggest mixed investor sentiment, likely influenced by the company's restructuring efforts and broader market conditions.
 **Financials:**  
 Salesforce's financial metrics present a mixed picture. The company has a trailing price-to-earnings (PE) ratio of 31.19 and a forward PE of 20.78, indicating expectations of future earnings growth. However, its revenue growth has declined by 2.2% year-over-year, which may raise concerns about its ability to sustain top-line expansion. Despite this, Salesforce maintains strong profitability metrics, with gross margins of 77.5% and operating margins of 57.7%. The company also boasts a robust free cash flow of $621.8 million, which provides flexibility for strategic investments, including its AI initiatives. However, its quick ratio of 0.48 and current ratio of 0.65 suggest potential liquidity constraints, particularly given its total debt of $14.5 billion.
 **Valuations:**  
 Salesforce's stock is trading near its 52-week low of $183.64, significantly below its 52-week high of $252.64. The stock's price-to-sales ratio of 7.99 is relatively high, reflecting a premium valuation compared to peers in the application software industry. Analyst sentiment remains optimistic, with a mean target price of $253.75, implying substantial upside potential from current levels. However, the company's enterprise value-to-revenue ratio of 13.40 and enterprise value-to-EBITDA ratio of 19.96 suggest that the stock may be overvalued relative to its earnings and revenue generation capabilities.
 **Economic Outlook:**  
 The broader economic environment poses challenges for Salesforce. The recent implementation of tariffs by the U.S. government and the resulting inflationary pressures could dampen corporate IT spending, a key driver of Salesforce's revenue. Additionally, the global technology sector has been under pressure, as evidenced by the sharp decline in tech stocks following the launch of DeepSeek, a Chinese AI competitor. While Salesforce's focus on AI could position it well for long-term growth, near-term market volatility and economic uncertainty may weigh on its performance.
 **Conclusion:**  
 Salesforce is navigating a complex landscape, balancing its strategic shift toward AI with challenges in its core business and broader economic headwinds. While its strong profitability and cash flow provide a solid foundation, declining revenue growth and liquidity concerns warrant caution. The stock's recent volatility and premium valuation further underscore the need for careful consideration of its near-term prospects.
 **Score:** 65</t>
  </si>
  <si>
    <t>**Investment Report: CrowdStrike Holdings (CRWD)**
 **Recent News:**  
 CrowdStrike has garnered significant attention due to its strong market performance and its critical role in cybersecurity. The company's stock surged by 9.4% following a cyberattack on DeepSeek, a Chinese AI startup, underscoring the increasing demand for robust cybersecurity solutions in a world where digital threats are escalating. This event has positioned CrowdStrike as a key player in addressing global cybersecurity challenges. Despite a slight dip in recent trading sessions, the company remains a standout performer in the S&amp;P 500, reflecting investor confidence in its long-term growth potential. The recovery from last year's global IT outage further demonstrates the company's resilience and operational strength.
 **Financials:**  
 CrowdStrike's financial metrics reveal a mixed but generally positive picture. The company boasts a market capitalization of $20.65 billion and a strong gross margin of 70.6%, highlighting its ability to generate substantial revenue from its operations. Its trailing price-to-earnings (P/E) ratio of 16.99 and forward P/E of 8.98 suggest that the stock is attractively valued relative to its earnings potential. However, the company has faced challenges, with earnings and revenue growth declining by 19% and 5%, respectively, on a quarterly basis. Despite these setbacks, CrowdStrike maintains a healthy balance sheet, with $843 million in cash and a manageable debt-to-equity ratio of 18.11. Its free cash flow of $994.75 million and operating cash flow of $2.93 billion further underscore its financial stability.
 **Valuations:**  
 CrowdStrike's valuation metrics indicate a reasonable pricing level for a high-growth cybersecurity firm. The price-to-book ratio of 1.58 and enterprise value-to-revenue ratio of 4.03 suggest that the stock is not excessively overvalued, especially given its strong market position and growth prospects. Analyst sentiment remains bullish, with a mean target price of $34.33, representing a potential upside from current levels. The recommendation mean of 1.68 (on a scale where 1.0 is a strong buy) reflects strong confidence from analysts.
 **Economic Outlook:**  
 The broader economic environment presents both opportunities and risks for CrowdStrike. The recent tariffs imposed by the U.S. administration and the resulting trade tensions could create headwinds for the technology sector. However, the heightened focus on cybersecurity, driven by geopolitical tensions and the increasing frequency of cyberattacks, positions CrowdStrike favorably. The company's ability to capitalize on these trends will be critical to its future performance. Additionally, its low beta of 0.197 suggests that the stock is less volatile than the broader market, which could appeal to risk-averse investors in a turbulent economic climate.
 **Conclusion:**  
 CrowdStrike is well-positioned to benefit from the growing demand for cybersecurity solutions, as evidenced by its strong market performance and resilience in the face of challenges. While the company faces some near-term headwinds, including declining earnings growth and broader economic uncertainties, its robust financial position, attractive valuation, and strategic importance in the cybersecurity landscape make it a compelling player in the systems software industry.
 **Score:** 85</t>
  </si>
  <si>
    <t>**Investment Report: CoStar Group**
 **Recent News:**  
 CoStar Group has not been in the headlines over the past week, indicating a lack of significant developments or disruptions. This stability may reflect a steady operational environment, though it also suggests no immediate catalysts for growth or volatility in the short term.
 **Financials:**  
 CoStar Group's financial metrics reveal a mixed picture. The company trades at a high valuation, with a trailing P/E ratio of 182.86 and a forward P/E of 68.40, suggesting that investors are pricing in significant future growth. However, earnings growth has been negative, with a quarterly decline of 41.5%, and the trailing PEG ratio of 2.53 indicates that the stock may be overvalued relative to its growth prospects.  
 The firm's gross margins are strong at 79.23%, reflecting its ability to generate substantial revenue relative to costs. However, operating margins (3.42%) and EBITDA margins (6.39%) are relatively low, indicating limited profitability after accounting for operating expenses. Free cash flow is negative at -$144.29 million, which could constrain the company's ability to reinvest in growth or return capital to shareholders.  
 CoStar's balance sheet is robust, with a quick ratio of 9.50 and a current ratio of 9.63, highlighting strong liquidity. The company holds $4.94 billion in cash, significantly outweighing its total debt of $1.11 billion, resulting in a low debt-to-equity ratio of 14.76%. This financial stability positions CoStar well to weather economic uncertainty or invest in strategic opportunities.  
 **Valuations:**  
 The stock is trading at $76.69, near its 52-week low of $68.26 and well below its 52-week high of $100.38. This decline reflects broader market pressures, particularly in the technology and real estate sectors, which have faced headwinds from rising interest rates and economic uncertainty. Analysts maintain a positive outlook, with a mean target price of $89.36 and a "buy" recommendation, suggesting potential upside. However, the high valuation metrics and declining earnings growth warrant caution.  
 **Economic Outlook:**  
 CoStar operates in the real estate services industry, which is sensitive to macroeconomic conditions. The recent implementation of tariffs and inflationary pressures could weigh on the broader economy, potentially dampening demand for commercial real estate services. Additionally, rising interest rates may further challenge the real estate market, as higher borrowing costs could reduce transaction volumes and valuations.  
 Despite these challenges, CoStar's focus on digital real estate services and data analytics positions it to benefit from the ongoing digitization of the industry. Revenue growth of 10.9% year-over-year demonstrates resilience, though the negative earnings growth and broader economic headwinds may limit near-term performance.  
 **Conclusion:**  
 CoStar Group's strong liquidity and market leadership in digital real estate services provide a solid foundation for long-term growth. However, high valuation metrics, declining earnings growth, and macroeconomic uncertainties present near-term risks. While the stock's recent decline may offer a more attractive entry point, the broader economic environment and sector-specific challenges could weigh on performance in the coming month.
 **Score:** 65</t>
  </si>
  <si>
    <t>**Investment Report: CSX Corporation**
 **Recent News:**  
 CSX Corporation is navigating temporary challenges in FY25, primarily due to reduced coal volumes and lower fuel surcharges. However, the company is positioned for a rebound in 2026, driven by strategic projects like the Howard Street Tunnel expansion and broader reshoring trends. These initiatives are expected to enhance operational efficiency and increase freight volumes, supporting long-term growth. The stock is currently trading at a discount, presenting a potential opportunity for medium-term investors as earnings per share (EPS) growth and valuation re-rating are anticipated in the coming years.
 **Financials:**  
 CSX's financial performance reflects a stable yet cautious outlook. The company has a trailing price-to-earnings (P/E) ratio of 18.16 and a forward P/E of 15.40, indicating expectations of earnings growth. Its dividend yield of 1.43% is slightly above its five-year average, suggesting a commitment to returning value to shareholders. The company maintains strong profitability metrics, with a net profit margin of 24.97% and a return on equity (ROE) of 29.46%, showcasing efficient capital utilization. However, its debt-to-equity ratio of 147.91% highlights a leveraged balance sheet, which could pose risks in a rising interest rate environment. Free cash flow of $2.44 billion and a quick ratio of 1.20 provide some liquidity cushion.
 **Valuations:**  
 CSX's current price-to-book (P/B) ratio of 4.85 and enterprise value-to-EBITDA (EV/EBITDA) ratio of 11.46 suggest the stock is moderately valued compared to its historical averages. The stock is trading near its 52-week low of $31.43, reflecting recent market pressures. Analyst sentiment remains positive, with a mean target price of $37.01, implying a potential upside of approximately 13% from current levels. The recommendation mean of 1.82 (on a scale where 1.0 is a strong buy) underscores confidence in the stock's medium-term prospects.
 **Economic Outlook:**  
 The broader economic environment presents mixed signals for CSX. The U.S. economy faces inflationary pressures and potential trade disruptions due to new tariffs, which could impact industrial production and freight demand. However, the company's exposure to reshoring trends and infrastructure projects positions it to benefit from long-term structural shifts in supply chains. Additionally, CSX's reliance on coal, a declining commodity, remains a headwind, but diversification into intermodal and other freight categories could mitigate this risk over time.
 **Conclusion:**  
 CSX Corporation is navigating near-term challenges but remains well-positioned for long-term growth. Strategic infrastructure investments and reshoring trends are expected to drive efficiency and volume growth, while the stock's current valuation offers a potential entry point for investors with a medium- to long-term horizon. However, risks such as high leverage and macroeconomic uncertainties warrant close monitoring.
 **Score:** 78</t>
  </si>
  <si>
    <t>**Investment Report: Cognizant Technology Solutions (CTSH)**
 **Recent News:**  
 Cognizant is set to release its Q4 earnings, with mixed expectations from analysts. The company has historically delivered earnings surprises, which could indicate potential upside. However, some analysts remain cautious, citing concerns about whether the firm has the right combination of factors to outperform this quarter. Cognizant's expanding client base and robust pipeline of opportunities are positive indicators, but the broader macroeconomic environment, including inflationary pressures and global tech sector volatility, may weigh on its performance. The upcoming earnings report will be pivotal in determining whether Cognizant can sustain its growth trajectory amidst these challenges.
 **Financials:**  
 Cognizant's financial health appears solid, with a market capitalization of $41.1 billion and a trailing P/E ratio of 18.34, which is reasonable compared to industry peers. The forward P/E of 16.69 suggests expectations of moderate earnings growth. The company has a strong balance sheet, with a current ratio of 2.23 and a quick ratio of 1.84, indicating ample liquidity to meet short-term obligations. Debt levels are manageable, with a debt-to-equity ratio of 12.89%. Cognizant's profitability metrics, including a return on equity (ROE) of 16.48% and net profit margins of 11.6%, reflect efficient operations. Additionally, the firm has demonstrated steady revenue growth of 3% year-over-year and earnings growth of 12.5%, supported by its diversified service offerings and operational efficiency.
 **Valuations:**  
 Cognizant's stock is trading near its 52-week high of $83.47, reflecting investor optimism. The price-to-book ratio of 2.85 and price-to-sales ratio of 2.12 suggest the stock is fairly valued relative to its peers. The dividend yield of 1.45% is in line with its five-year average, and the payout ratio of 26.33% indicates room for future dividend growth. Analysts' target prices range from $71 to $100, with a mean target of $84.74, suggesting limited upside potential in the near term. The recommendation mean of 2.77 (on a scale where 1 is a "Strong Buy" and 5 is a "Sell") indicates a "Hold" consensus among analysts.
 **Economic Outlook:**  
 Cognizant operates in the IT consulting and services industry, which is sensitive to macroeconomic conditions. The recent global tech market volatility, driven by competition from Chinese AI advancements, has created uncertainty in the sector. Additionally, the U.S. economy faces inflationary pressures and potential trade disruptions due to new tariffs, which could impact Cognizant's cost structure and client budgets. However, the company's focus on digital transformation and cloud services positions it well to capitalize on long-term industry trends. Cognizant's relatively low beta of 1.05 suggests moderate sensitivity to market fluctuations, which could provide some stability in a volatile environment.
 **Conclusion:**  
 Cognizant's strong financial position, consistent profitability, and expanding client base are positive factors. However, near-term risks, including macroeconomic headwinds and sector-specific challenges, may limit upside potential. The upcoming earnings report will be a critical indicator of the company's ability to navigate these challenges and sustain growth.
 **Score:** 72</t>
  </si>
  <si>
    <t>**Investment Report: Corteva, Inc. (CTVA)**
 **Recent News:**  
 Corteva, Inc., a prominent player in the Fertilizers &amp; Agricultural Chemicals industry, is set to release its earnings report next week. Wall Street anticipates earnings growth, but analysts suggest the company may lack the optimal combination of factors to surpass expectations. This tempered outlook could reflect cautious sentiment around the firm's ability to deliver a significant earnings beat, despite its strong market position.
 **Financials:**  
 Corteva's financial metrics indicate a solid performance, with a trailing P/E ratio of 27.12 and a forward P/E of 17.30, suggesting expectations of improved earnings in the future. The company has demonstrated steady revenue growth of 6% year-over-year and earnings growth of 7.1%, supported by robust gross margins of 78.29% and EBITDA margins of 53.29%. However, the firm's high debt-to-equity ratio of 253.56% raises concerns about leverage, particularly in a rising interest rate environment. The quick ratio of 0.63 and current ratio of 1.05 indicate limited short-term liquidity, which could pose challenges if market conditions deteriorate.
 Corteva's market capitalization stands at $26.46 billion, with a 52-week price change of 32.58%, outperforming the S&amp;P 500's 21.93% gain over the same period. The stock is trading near its 52-week high of $391.10, reflecting strong investor confidence. However, the price-to-book ratio of 8.57 suggests the stock may be overvalued relative to its book value.
 **Valuations:**  
 Analyst sentiment remains positive, with a recommendation mean of 1.89 (indicating a "buy") and a target median price of $415, implying potential upside from current levels. The forward EPS of $22.18 and a target high price of $450 suggest optimism about future earnings potential. However, the enterprise value-to-EBITDA ratio of 16.00 and enterprise value-to-revenue ratio of 8.53 indicate a premium valuation, which could limit further upside if growth expectations are not met.
 **Economic Outlook:**  
 The broader macroeconomic environment presents mixed signals for Corteva. The recent imposition of tariffs by the U.S. administration could disrupt global trade and supply chains, potentially impacting the agricultural chemicals sector. Rising inflation and potential interest rate hikes may also increase input costs and borrowing expenses, pressuring margins. However, Corteva's strong market position and focus on innovation could help it navigate these challenges. The company's high gross margins and steady revenue growth suggest resilience, but its high leverage and limited liquidity warrant caution.
 **Conclusion:**  
 Corteva's financial performance and market position remain strong, supported by robust margins and earnings growth. However, the company's high debt levels and premium valuation could pose risks in a volatile macroeconomic environment. While analysts expect earnings growth, the tempered outlook for an earnings beat and broader economic uncertainties may weigh on near-term performance.
 **Score:** 72</t>
  </si>
  <si>
    <t>**Investment Report: CVS Health**
 **Recent News:**  
 CVS Health is navigating a complex environment marked by both challenges and opportunities. The company is undergoing a significant enterprise-wide restructuring, which is expected to incur substantial charges in the fourth quarter. This restructuring aims to streamline operations and position the company for long-term growth, but it may weigh on short-term profitability. The healthcare sector, including CVS, has seen renewed interest as stocks in the industry are perceived as undervalued, with earnings growth projected. However, broader market volatility, exacerbated by the Trump administration's tariffs, has negatively impacted CVS's stock performance, making it one of the weaker performers in February. Despite this, CVS remains a key player in the healthcare space, with its pharmacy retail and benefits management operations continuing to attract attention.
 **Financials:**  
 CVS Health's financial metrics present a mixed picture. The company has a trailing price-to-earnings (P/E) ratio of 22.7 and a forward P/E of 18.6, suggesting expectations of earnings growth. Its dividend yield of 3.5% is above its five-year average of 2.86%, which may appeal to income-focused investors. However, the company's debt-to-equity ratio of 326.3% is notably high, indicating significant leverage that could pose risks in a rising interest rate environment. CVS's profit margins are modest, with a net margin of 9.1% and operating margins of 9.8%. Revenue growth remains sluggish at 1%, and earnings growth of 8.7% is moderate. The company's free cash flow of $717.6 million provides some financial flexibility, but its quick and current ratios of 0.11 and 0.35, respectively, highlight liquidity concerns.
 **Valuations:**  
 CVS Health's stock is trading near its 52-week high of $199.95, reflecting a recent surge in the healthcare sector. The stock's price-to-book ratio of 10.53 is relatively high, indicating a premium valuation compared to its book value. Analysts have a mixed outlook, with a target price range of $145 to $230 and a mean target of $198.14, suggesting limited upside from current levels. The recommendation mean of 2.03 (on a scale where 1 is a strong buy and 5 is a sell) indicates a generally favorable view among analysts, though the stock's high leverage and restructuring costs may temper enthusiasm.
 **Economic Outlook:**  
 The broader economic environment poses challenges for CVS Health. The Trump administration's tariffs have introduced inflationary pressures and market volatility, which could impact consumer spending and supply chain costs. Additionally, rising interest rates may increase the cost of servicing CVS's substantial debt. However, the healthcare sector's defensive characteristics and the perception of undervaluation may provide some resilience. The company's restructuring efforts, while costly in the short term, could enhance operational efficiency and profitability over the long term.
 **Conclusion:**  
 CVS Health is at a crossroads, balancing the potential benefits of its restructuring efforts and sector-wide growth prospects against significant short-term challenges, including high leverage, market volatility, and restructuring costs. While the stock's recent performance has been underwhelming, its position as a major player in the healthcare industry and its dividend yield may provide some appeal. However, the company's financial health and broader economic headwinds warrant caution.
 **Score:** 65</t>
  </si>
  <si>
    <t>**Investment Report: Chevron Corporation**
 **Recent News:**  
 Chevron's fourth-quarter 2024 earnings report highlighted mixed results. The company missed earnings expectations with an adjusted EPS of $2.06, below the consensus estimate of $2.19, and significantly lower than the $3.45 EPS from the prior year. This decline was largely attributed to a rare refining loss, the first in four years, driven by weaker refining margins. However, Chevron exceeded revenue expectations and achieved record production levels, with global output up 7% and U.S. production rising 19%. The company returned $27 billion in cash to shareholders in 2024 and announced plans for further returns in 2025, including a dividend hike. Additionally, Chevron is exploring innovative uses of its natural gas resources, partnering with Engine No. 1 and GE Vernova to power AI data centers, signaling a strategic pivot toward supporting emerging technologies. Despite these developments, the stock fell 4.5% following the earnings release, reflecting investor concerns over the earnings miss and refining challenges.
 **Financials:**  
 Chevron's financial metrics reveal a mixed picture. The company maintains a strong market capitalization of $79.5 billion and a healthy profit margin of 13.5%. Its trailing price-to-earnings (P/E) ratio of 54.04 and forward P/E of 44.14 suggest a premium valuation, potentially reflecting optimism about future cash flows. The company has a robust return on equity (ROE) of 45.67%, indicating efficient use of shareholder capital. However, its debt-to-equity ratio of 124.06% highlights significant leverage, which could pose risks in a rising interest rate environment. Chevron's free cash flow of $878.9 million and operating cash flow of $1.84 billion provide a solid foundation for continued shareholder returns and strategic investments. The company also benefits from strong gross margins of 40.8%, though its EBITDA margin of 20.3% reflects some pressure on operational efficiency.
 **Valuations:**  
 Chevron's valuation metrics suggest the stock is trading at a premium relative to its peers. Its price-to-book ratio of 22.02 is significantly higher than the industry average, indicating that investors are willing to pay a substantial premium for Chevron's assets. The enterprise value-to-EBITDA ratio of 37.02 further underscores this premium valuation. Analysts remain optimistic, with a consensus "Buy" rating and a median price target of $69, representing potential upside from current levels. However, the stock's recent decline and elevated valuation multiples suggest that near-term risks, including refining losses and macroeconomic headwinds, may already be priced in.
 **Economic Outlook:**  
 Chevron operates in a challenging macroeconomic environment. The recent imposition of tariffs by the U.S. government on key trading partners, coupled with retaliatory measures, could disrupt global trade and energy markets. Additionally, inflationary pressures and potential Federal Reserve rate hikes may weigh on consumer demand and economic growth. On the positive side, Chevron's focus on natural gas and its strategic partnerships to power AI data centers position the company to benefit from the growing demand for energy in the technology sector. However, the broader energy market remains volatile, with geopolitical risks and fluctuating oil and gas prices adding uncertainty.
 **Conclusion:**  
 Chevron's mixed earnings performance, coupled with its strategic pivot toward leveraging natural gas for emerging technologies, reflects both challenges and opportunities. While the company's strong production growth and shareholder returns are positives, its refining losses and elevated leverage warrant caution. The broader macroeconomic environment, including trade tensions and inflationary pressures, adds further complexity to the investment outlook. Chevron's premium valuation suggests that investors are optimistic about its long-term prospects, but near-term risks may limit upside potential.
 **Score:** 72</t>
  </si>
  <si>
    <t>**Investment Report: Delta Air Lines (DAL)**
 **Recent News:**  
 Delta Air Lines has been highlighted as a potential value stock by analysts, with its recent price strength suggesting positive momentum. The stock has been identified as a candidate for long-term growth, supported by favorable Zacks Style Scores. This recognition aligns with Delta's ability to navigate market challenges and capitalize on its operational strengths. However, the broader economic environment, including inflationary pressures and potential trade disruptions, could pose challenges to the airline industry.
 **Financials:**  
 Delta's financial performance reflects a mixed picture. The company has a trailing price-to-earnings (P/E) ratio of 209.06, which is significantly higher than its forward P/E of 32.01, indicating expectations of improved earnings in the future. The stock's price-to-book ratio of 4.39 suggests it is trading at a premium relative to its book value. Delta's gross margins of 49.65% and revenue growth of 16.6% demonstrate strong operational efficiency and a growing top line. However, its profit margins remain thin at 3.12%, and its return on equity (ROE) of 2.19% is modest, reflecting limited profitability relative to shareholder equity. The company's debt-to-equity ratio of 48.40 indicates a manageable but notable level of leverage, which is common in the capital-intensive airline industry.
 **Valuations:**  
 Delta's current market price is trading near the lower end of its 52-week range ($47.08-$82.69), suggesting potential upside if the company can sustain its operational improvements. Analyst price targets range from $70 to $95, with a mean target of $83.17, indicating a potential for significant appreciation from current levels. The recommendation mean of 2.1 (on a scale where 1.0 is a strong buy) reflects a generally positive sentiment among analysts.
 **Economic Outlook:**  
 The airline industry faces headwinds from macroeconomic factors, including rising fuel costs, inflationary pressures, and potential disruptions from new tariffs imposed by the U.S. administration. These factors could increase operating costs and dampen consumer demand for air travel. However, Delta's strong revenue growth and operational efficiency position it to weather these challenges better than some competitors. Additionally, the company's ability to generate free cash flow ($134.46 million) and its improving EBITDA margins (14.88%) provide a cushion against economic uncertainties.
 **Conclusion:**  
 Delta Air Lines is navigating a challenging macroeconomic environment with a combination of operational efficiency and revenue growth. While its valuation metrics suggest potential upside, the airline's thin profit margins and exposure to external risks, such as fuel price volatility and trade disruptions, warrant caution. The stock's recent price strength and positive analyst sentiment indicate that it may be undervalued relative to its long-term potential, but near-term volatility should be expected.
 **Score:** 72</t>
  </si>
  <si>
    <t>**Investment Report:**
 **Recent News:**  
 Dayforce is poised to release its Q4 earnings, with expectations of benefiting from its innovative product portfolio and steady demand in the Human Resource &amp; Employment Services sector. However, the firm faces challenges from prolonged sales cycles and broader macroeconomic pressures. The upcoming earnings report will be critical in assessing the company's ability to navigate these headwinds and sustain growth.
 **Financials:**  
 Dayforce's financial metrics present a mixed picture. The company has a trailing P/E ratio of 18.22 and a forward P/E of 20.44, indicating a slight premium valuation relative to its earnings growth potential. The dividend yield of 1.45% is modest but supported by a low payout ratio of 19.65%, suggesting room for future dividend stability. The firm's market capitalization stands at $127.2 billion, with a 52-week price range of $340.20 to $485.84, reflecting a 22.54% increase over the past year, slightly outperforming the S&amp;P 500's 21.93% gain.
 Dayforce's revenue growth has declined by 16.8% year-over-year, and earnings growth has contracted by 38.3%, reflecting challenges in maintaining momentum. Despite this, the company maintains healthy gross margins of 34.39% and EBITDA margins of 25.67%, indicating operational efficiency. The debt-to-equity ratio of 288.04% is notably high, raising concerns about leverage, though the firm has a solid current ratio of 2.08, suggesting adequate liquidity to meet short-term obligations.
 **Valuations:**  
 Dayforce's price-to-book ratio of 5.54 and enterprise value-to-revenue ratio of 3.07 suggest the stock is trading at a premium compared to its book value and revenue generation. Analysts have a mean target price of $473.07, close to the current trading range, with a recommendation leaning towards "buy." However, the high debt levels and declining earnings growth may temper enthusiasm for aggressive valuation multiples.
 **Economic Outlook:**  
 The broader macroeconomic environment presents challenges for Dayforce. The recent imposition of tariffs and trade tensions could indirectly impact the firm's operations, particularly if clients in affected industries reduce spending. Additionally, inflationary pressures and potential Federal Reserve tightening may weigh on corporate budgets, potentially elongating sales cycles further. However, the Human Resource &amp; Employment Services sector remains resilient, driven by ongoing demand for workforce management solutions, which could provide a buffer against broader economic headwinds.
 **Conclusion:**  
 Dayforce's innovative offerings and operational efficiency position it well within its sector, but declining revenue and earnings growth, coupled with high leverage, present risks. The upcoming Q4 earnings release will be pivotal in determining whether the company can overcome these challenges and justify its current valuation.
 **Score:** 68</t>
  </si>
  <si>
    <t>**Investment Report:**
 **Recent News:**  
 There have been no significant updates or developments regarding DuPont in the past week. This lack of news suggests stability in the company's operations and no immediate disruptions or catalysts impacting its performance.
 **Financials:**  
 DuPont's financial performance reflects a solid position within the specialty chemicals industry. The company has a trailing P/E ratio of 13.14 and a forward P/E of 10.62, indicating a relatively attractive valuation compared to broader market averages. The dividend yield of 3.58% is above its five-year average of 3.27%, suggesting a consistent and potentially undervalued income stream for shareholders. The payout ratio of 42.5% indicates a sustainable dividend policy, supported by strong cash flows.  
 The company has shown modest growth, with quarterly earnings growth of 1.1% and revenue growth of 8.7%. Gross margins of 23.6% and operating margins of 14.98% highlight efficient cost management and profitability. However, the debt-to-equity ratio of 90.82% is relatively high, which could pose risks in a rising interest rate environment. The quick ratio of 0.756 and current ratio of 1.52 suggest adequate liquidity to meet short-term obligations, though the lower quick ratio warrants monitoring.  
 **Valuations:**  
 DuPont's price-to-book ratio of 2.07 and price-to-sales ratio of 1.24 indicate a reasonable valuation relative to its peers. The stock is trading near its 200-day average of $99.73, reflecting stability despite recent market volatility. Analyst sentiment remains positive, with a mean recommendation of "buy" and a target median price of $113, implying potential upside from current levels.  
 **Economic Outlook:**  
 The broader macroeconomic environment presents mixed implications for DuPont. The imposition of tariffs by the U.S. administration could increase input costs for specialty chemical companies reliant on global supply chains. However, DuPont's diversified product portfolio and strong institutional ownership (88.5%) may provide resilience against these headwinds. Additionally, the company's beta of 1.46 suggests higher sensitivity to market volatility, which could amplify price movements in the current uncertain economic climate.  
 While inflationary pressures and trade tensions may weigh on the specialty chemicals industry, DuPont's steady revenue growth, robust profitability, and attractive valuation metrics position it as a relatively stable player in the sector. The company's ability to maintain strong cash flows and dividends further enhances its appeal in a challenging market environment.
 **Score:** 78</t>
  </si>
  <si>
    <t>**Investment Report: Deckers Outdoor Corporation (DECK)**
 **Recent News:**  
 Deckers Outdoor Corporation has faced a sharp decline in its stock price, dropping 18.82% in a single trading session and 14.42% over the past four weeks. This decline occurred despite the company reporting strong third-quarter fiscal 2025 results, with notable sales growth in its UGG and Hoka brands, which increased by 23.7% and 16.1%, respectively. The company also exceeded earnings and revenue estimates, showcasing operational strength. However, concerns about overvaluation, with the stock trading at 35 times earnings, have raised questions about the sustainability of its growth and profitability. Analysts have mixed views, with some suggesting the stock is technically oversold and could see a reversal, while others remain cautious about its valuation. Wall Street analysts have highlighted Deckers' strategic initiatives to sustain growth, even amid broader market challenges.
 **Financials:**  
 Deckers' financial performance reflects a solid operational foundation. The company reported earnings growth of 85.7% and revenue growth of 9.1%, supported by strong brand performance. Its trailing price-to-earnings (P/E) ratio of 17.72 and forward P/E of 10.63 suggest a more reasonable valuation compared to the broader market, despite earlier concerns about overvaluation. The company maintains a gross margin of 22.54% and an EBITDA margin of 9.50%, indicating healthy profitability. However, liquidity metrics such as a quick ratio of 0.404 and a current ratio of 0.722 highlight potential short-term financial constraints. Deckers also carries a significant debt load of $25.4 billion, which could weigh on its financial flexibility. The company has a strong cash position of $4.67 billion, which provides some buffer against market volatility.
 **Valuations:**  
 Deckers' valuation metrics present a mixed picture. While its trailing P/E ratio appears elevated, the forward P/E ratio of 10.63 and a trailing PEG ratio of 0.54 suggest that the stock may offer value relative to its growth potential. The price-to-sales ratio of 0.76 and enterprise value-to-revenue ratio of 1.31 indicate that the stock is not excessively priced compared to its revenue base. However, the stock's recent decline has brought it closer to its 52-week low of $80.49, significantly below its 52-week high of $179.70. Analysts' target prices range from $115 to $220, with a mean target of $151.14, suggesting potential upside if the company can address market concerns.
 **Economic Outlook:**  
 Deckers operates in a challenging macroeconomic environment marked by inflationary pressures, trade tensions, and market volatility. The recent imposition of tariffs by the U.S. government on imports from Canada, Mexico, and China could disrupt supply chains and increase input costs for the company. Additionally, the broader market downturn, particularly in the technology sector, has created a risk-averse sentiment among investors. However, Deckers' strong brand performance and strategic initiatives position it well to navigate these challenges. The company's focus on innovation and brand expansion could help it sustain growth, even in a difficult economic climate.
 **Conclusion:**  
 Deckers Outdoor Corporation's recent stock price decline reflects a combination of market overreaction and concerns about valuation. Despite these challenges, the company's strong financial performance, brand growth, and strategic initiatives suggest that it remains fundamentally sound. However, liquidity constraints, high debt levels, and macroeconomic headwinds could weigh on its near-term performance. The stock's current valuation and oversold technical position may present an opportunity for recovery, but risks remain elevated given the broader economic environment.
 **Score:** 72</t>
  </si>
  <si>
    <t>**Investment Report: Dell Technologies (DELL)**
 **Recent News:**  
 Dell Technologies has faced a challenging start to the year, with its stock declining 10.1% year-to-date, reflecting broader headwinds in the PC market and cautious IT spending. However, the company has garnered attention for its strategic pivot toward artificial intelligence (AI), which is seen as a potential growth driver. Despite this, Dell's stock experienced a sharp 9% drop in a single day, driven by concerns over competition from emerging, cost-effective AI technologies like DeepSeek's chatbot. This underscores the competitive pressures in the AI space, particularly from Chinese firms, which could disrupt established players. On a positive note, Dell's recent 1.79% stock price increase suggests that some investors view the company as undervalued, supported by its strong value metrics.
 **Financials:**  
 Dell's financial performance reflects a mixed picture. The company trades at a low trailing price-to-earnings (P/E) ratio of 6.25 and a forward P/E of 6.94, indicating a potential undervaluation relative to peers. Its gross margins of 53.5% and operating margins of 32.1% highlight operational efficiency, but revenue and earnings growth have been negative, with quarterly revenue growth declining by 10.2% and earnings growth down by 8.5%. Dell's balance sheet shows a debt-to-equity ratio of 64.02%, which is relatively high, though manageable given its strong operating cash flow of $6.67 billion. However, the company reported negative free cash flow, which could limit its ability to invest aggressively in growth initiatives like AI. 
 **Valuations:**  
 Dell's valuation metrics suggest it is trading at a discount compared to its historical averages and industry peers. Its price-to-book ratio of 1.56 and price-to-sales ratio of 1.53 indicate a relatively low valuation. Additionally, Dell offers a dividend yield of 4.25%, which is attractive for income-focused investors, though its payout ratio of 37% leaves room for sustainability. Analysts maintain a generally positive outlook, with a "buy" recommendation and a target median price of $47.50, implying upside potential from current levels.
 **Economic Outlook:**  
 The broader economic environment presents challenges for Dell. The recent global tech market selloff, triggered by the launch of DeepSeek, has weighed heavily on technology stocks, including Dell. Additionally, the Trump administration's new tariffs on imports from China, Canada, and Mexico could disrupt supply chains and increase costs for Dell, which relies on global manufacturing and distribution networks. Inflationary pressures and potential Federal Reserve rate hikes further complicate the macroeconomic landscape, potentially dampening consumer and enterprise spending on IT hardware. However, Dell's focus on AI and its diversified product portfolio could help mitigate some of these risks over the long term.
 **Conclusion:**  
 Dell Technologies is navigating a complex environment marked by competitive pressures, macroeconomic headwinds, and industry-specific challenges. While its valuation metrics and operational efficiency make it an attractive value play, concerns over declining revenue growth, high debt levels, and competition in the AI space weigh on its near-term outlook. The company's ability to execute its AI strategy and adapt to shifting market dynamics will be critical in determining its future performance.
 **Score:** 65</t>
  </si>
  <si>
    <t>**Investment Report: Discover Financial Services (DFS)**
 **Recent News:**  
 Discover Financial Services (DFS) has been highlighted as a potential momentum stock, suggesting it may appeal to investors seeking short-term price movements. However, the broader context of the firm's financials and market conditions reveals a more complex picture. While momentum may attract attention, the company's fundamentals and recent performance warrant a deeper analysis to assess its true investment potential.
 **Financials:**  
 Discover's recent market performance has been volatile, with its stock price trading between $67.96 and $73.025 in the latest session. The stock is significantly off its 52-week high of $151.22, reflecting a 46.7% decline over the past year, compared to a 21.9% gain in the S&amp;P 500. The company's beta of 0.874 indicates lower volatility relative to the market, but its financial metrics raise concerns.  
 Discover reported a negative profit margin of -3.44% and a trailing EPS of -$4.70, signaling recent struggles with profitability. Earnings growth has contracted by 32.3% year-over-year, and net income to common shareholders stands at a loss of $1.07 billion. Despite these challenges, the forward P/E ratio of 11.79 suggests that analysts expect a recovery in earnings, with a forward EPS of $6.06. However, the company's debt-to-equity ratio of 146.3% highlights a heavily leveraged balance sheet, which could pose risks in a rising interest rate environment.  
 On the revenue side, Discover generated $30.97 billion in total revenue over the trailing twelve months, with modest revenue growth of 0.7%. Gross margins of 31.1% and EBITDA margins of 8.4% indicate some operational efficiency, but operating margins remain thin at 2.75%. The company's free cash flow of $372 million provides some liquidity, though it is relatively small compared to its total debt of $10.8 billion.
 **Valuations:**  
 Discover's price-to-sales ratio of 0.50 and price-to-book ratio of 2.13 suggest the stock is trading at a discount relative to its revenue and book value. However, these metrics must be weighed against the company's negative return on equity (-12.98%) and return on assets (4.57%), which indicate inefficiencies in generating shareholder value. Analyst price targets range from $70 to $105, with a median target of $80, implying limited upside from current levels.
 **Economic Outlook:**  
 The broader economic environment presents challenges for Discover. The recent implementation of tariffs by the U.S. government is expected to increase inflationary pressures, which could dampen consumer spending—a critical driver for the consumer finance industry. Additionally, the Federal Reserve's potential shift to a more hawkish stance to combat inflation may lead to higher borrowing costs, further straining Discover's heavily leveraged balance sheet.  
 The recent global technology selloff and market volatility could also impact consumer confidence, potentially reducing demand for credit products. While Discover's forward-looking metrics suggest some optimism, the company's exposure to macroeconomic headwinds and its recent financial struggles may limit its ability to capitalize on any near-term recovery.
 **Conclusion:**  
 Discover Financial Services faces a challenging environment marked by profitability concerns, high leverage, and macroeconomic uncertainties. While its valuation metrics and forward earnings expectations may appeal to some, the company's negative earnings growth and weak margins suggest caution. The broader economic outlook, including inflationary pressures and potential interest rate hikes, adds further complexity to its investment case.
 **Score:** 45</t>
  </si>
  <si>
    <t>**Investment Report: Dollar General (NYSE: DG)**
 **Recent News:**  
 Dollar General has faced significant challenges, with its stock price down over 50% from its 52-week high. The company has struggled with underwhelming sales and weak earnings over the past year, leading to a sharp decline in investor confidence. Despite these setbacks, there are indications that the company is working to stabilize its operations and rebuild its position in the discount retail sector. The recent downturn in share price may present an opportunity for long-term investors, provided the company can address its operational inefficiencies and adapt to changing market conditions.
 **Financials:**  
 Dollar General's financial performance reflects its current struggles. The company has a trailing price-to-earnings (P/E) ratio of 20.78 and a forward P/E of 16.63, suggesting that while the stock is trading at a discount relative to its historical valuation, it still faces challenges in achieving robust earnings growth. The dividend yield of 4.8% is above its five-year average, which may attract income-focused investors, but the high payout ratio of 98.52% raises concerns about the sustainability of its dividend policy. Additionally, the company's debt-to-equity ratio of 156.35% highlights a heavily leveraged balance sheet, which could limit its financial flexibility in a challenging economic environment.
 Dollar General's revenue growth of 3.4% and earnings growth of 5.85% indicate modest progress, but these figures are insufficient to offset the broader concerns about its operational performance. The company's gross margins of 48.74% and operating margins of 35.98% remain strong, reflecting its ability to maintain profitability despite declining sales. However, the quick ratio of 0.38 and current ratio of 0.74 suggest liquidity constraints, which could pose risks if market conditions deteriorate further.
 **Valuations:**  
 The stock's price-to-book (P/B) ratio of 1.81 and price-to-sales (P/S) ratio of 3.24 indicate that Dollar General is trading at a relatively low valuation compared to its historical averages. Analysts have set a median price target of $58.50, representing a modest upside from its current trading range. However, the recommendation mean of 2.79 ("hold") reflects cautious sentiment among analysts, with limited near-term catalysts for significant price appreciation.
 **Economic Outlook:**  
 Dollar General operates in the consumer staples sector, which is generally resilient during economic downturns. However, the broader macroeconomic environment presents challenges. The recent implementation of tariffs by the Trump administration could increase costs for Dollar General, particularly if supply chain disruptions lead to higher input prices. Additionally, inflationary pressures and rising interest rates may weigh on consumer spending, particularly among the lower-income demographic that forms the core of Dollar General's customer base.
 Despite these headwinds, Dollar General's value-oriented business model positions it well to capture demand from cost-conscious consumers during periods of economic uncertainty. The company's ability to adapt to changing market dynamics and improve operational efficiency will be critical to its long-term success.
 **Conclusion:**  
 Dollar General faces significant challenges, including declining sales, a heavily leveraged balance sheet, and a challenging macroeconomic environment. While the stock's current valuation and strong margins may appeal to value-oriented investors, the company's near-term outlook remains uncertain. Dollar General's ability to stabilize its operations and navigate the current economic landscape will determine whether it can regain investor confidence and deliver sustainable growth.
 **Score:** 55</t>
  </si>
  <si>
    <t>**Investment Report: Quest Diagnostics (DGX)**
 **Recent News:**  
 Quest Diagnostics has demonstrated strong momentum, with its stock recently surging over 5% in a single day, significantly outperforming the broader S&amp;P 500 index. This rally follows the company's robust fourth-quarter earnings report, which revealed adjusted earnings per share (EPS) of $2.23, exceeding analyst expectations and the Zacks Consensus Estimate. This marks an improvement from the prior year's $2.15 EPS, showcasing the company's resilience and growth in the diagnostic testing and information services sector. The strong performance underscores Quest Diagnostics' ability to capitalize on its leadership position in the healthcare services industry, even amid broader market volatility.
 **Financials:**  
 Quest Diagnostics exhibits solid financial health, with a market capitalization of $17.97 billion and a trailing price-to-earnings (P/E) ratio of 21.15, which is slightly above the industry average but justified by its consistent earnings growth. The forward P/E ratio of 15.47 suggests that the market anticipates continued earnings expansion. The company maintains a dividend yield of 1.93%, aligning with its five-year average, and a payout ratio of 39.78%, indicating a sustainable dividend policy. Additionally, Quest Diagnostics has a strong return on equity (ROE) of 13.22%, reflecting efficient use of shareholder capital.
 The firm's revenue growth of 8.4% year-over-year and earnings growth of 1.5% highlight steady operational performance. With gross margins of 32.97% and EBITDA margins of 18.92%, Quest Diagnostics demonstrates robust profitability. However, the company's debt-to-equity ratio of 100.71% indicates a relatively high leverage level, which could pose risks in a rising interest rate environment. Nonetheless, its free cash flow of $853 million and operating cash flow of $1.4 billion provide a solid liquidity buffer.
 **Valuations:**  
 Quest Diagnostics is trading at a price-to-book (P/B) ratio of 2.67, which is reasonable given its strong fundamentals and market position. The stock is currently near its 52-week high of $167.08, reflecting investor confidence in its growth prospects. Analyst sentiment remains positive, with a mean target price of $176.02, suggesting a potential upside of approximately 7.9% from current levels. The recommendation mean of 2.06 (on a scale where 1.0 is a strong buy) further supports the bullish outlook.
 **Economic Outlook:**  
 The broader macroeconomic environment presents both opportunities and challenges for Quest Diagnostics. The healthcare sector remains relatively insulated from the inflationary pressures and trade tensions affecting other industries, as demand for diagnostic services is largely non-discretionary. However, rising costs and potential disruptions in global supply chains could impact operational efficiency. Additionally, the company's high leverage may become a concern if interest rates rise further, increasing borrowing costs.
 Despite these challenges, Quest Diagnostics is well-positioned to benefit from long-term trends such as an aging population, increased focus on preventive healthcare, and advancements in diagnostic technologies. Its strong cash flow generation and market leadership provide a solid foundation for navigating economic uncertainties.
 **Conclusion:**  
 Quest Diagnostics has delivered impressive financial results and continues to exhibit strong growth and profitability metrics. While its high leverage warrants monitoring, the company's robust cash flow, sustainable dividend policy, and favorable industry dynamics support its investment appeal. The stock's recent performance and positive analyst sentiment further reinforce its potential as a resilient player in the healthcare services sector.
 **Score:** 85</t>
  </si>
  <si>
    <t>**Investment Report: D.R. Horton (Homebuilding Industry)**
 **Recent News:**  
 D.R. Horton has garnered attention as an attractive investment opportunity, despite broader economic uncertainties. The firm’s resilience in the face of macroeconomic challenges, such as rising interest rates and inflationary pressures, highlights its strong operational efficiency and market positioning. The homebuilding sector has faced headwinds due to higher mortgage rates, but D.R. Horton’s ability to maintain competitive pricing and adapt to shifting demand dynamics has positioned it as a standout performer in the industry.
 **Financials:**  
 D.R. Horton’s financial metrics reflect a robust and well-managed business. The company’s trailing price-to-earnings (P/E) ratio of 9.73 and forward P/E of 9.35 suggest that the stock is undervalued relative to its earnings potential. The dividend yield of 1.08% and a low payout ratio of 8.37% indicate a sustainable dividend policy, with room for potential increases. The firm’s return on equity (ROE) of 19.63% and return on assets (ROA) of 11.13% underscore its efficient use of capital and strong profitability. However, earnings and revenue growth have shown slight declines (-11.8% and -4.8%, respectively), reflecting broader industry challenges.
 The company’s balance sheet remains solid, with a manageable debt-to-equity ratio of 22.92% and a strong current ratio of 5.42, indicating ample liquidity to meet short-term obligations. Free cash flow of $5.3 billion further supports its financial stability and ability to invest in growth opportunities.
 **Valuations:**  
 D.R. Horton’s valuation metrics suggest it is trading at a discount compared to its historical averages and peers. The price-to-book ratio of 1.76 and price-to-sales ratio of 1.20 highlight its attractive valuation relative to its assets and revenue. Analysts’ target prices range from $125 to $220, with a mean target of $167.27, implying significant upside potential from the current trading price of approximately $137. The stock’s beta of 1.74 indicates higher volatility, but this is consistent with the cyclical nature of the homebuilding industry.
 **Economic Outlook:**  
 The broader economic environment presents mixed signals for the homebuilding sector. Rising interest rates and inflationary pressures have dampened housing affordability, potentially constraining demand. However, D.R. Horton’s focus on entry-level and affordable housing segments positions it well to capture demand from first-time homebuyers and those seeking cost-effective options. Additionally, the company’s strong cash position and operational efficiency provide a buffer against macroeconomic headwinds.
 The recent implementation of tariffs and trade tensions could indirectly impact the cost of construction materials, potentially pressuring margins. However, D.R. Horton’s gross margins of 24.57% and operating margins of 16.64% suggest it has room to absorb cost increases while maintaining profitability.
 **Conclusion:**  
 D.R. Horton’s strong financial foundation, attractive valuation, and strategic focus on affordable housing make it a compelling player in the homebuilding industry. While macroeconomic challenges persist, the company’s resilience and adaptability position it to navigate these headwinds effectively. The stock’s current undervaluation and potential for long-term growth further enhance its investment appeal.
 **Score:** 85</t>
  </si>
  <si>
    <t>**Investment Report: Danaher Corporation (DHR)**
 **Recent News:**  
 Danaher Corporation recently reported fourth-quarter earnings that fell short of Wall Street expectations, with earnings per share (EPS) of $2.14 compared to the consensus estimate of $2.17. This marks a slight increase from $2.09 EPS in the same quarter last year, but the results were overshadowed by weak demand from biotech and pharmaceutical clients for drug development tools and services. Analysts have subsequently revised their forecasts downward, reflecting concerns about the company's near-term growth prospects. The earnings miss and tepid demand in key markets have raised questions about the resilience of Danaher's business model in the current economic environment.
 **Financials:**  
 Danaher’s financial metrics reveal a mixed picture. The company has a trailing price-to-earnings (P/E) ratio of 19.06 and a forward P/E of 15.47, suggesting that the market expects some earnings growth in the future. However, earnings growth has been negative, with a quarterly decline of 4.6%. Revenue growth remains modest at 4.6%, and gross margins stand at 32.8%, which is healthy but not exceptional for the industry. The company’s debt-to-equity ratio of 549.55 is notably high, indicating significant leverage, which could pose risks in a rising interest rate environment. On the positive side, Danaher maintains a solid free cash flow of $1.11 billion, which provides some financial flexibility.
 **Valuations:**  
 Danaher’s stock is trading near its 52-week high of $179.60, with a price-to-book ratio of 37.83, indicating a premium valuation relative to its book value. The enterprise value-to-revenue ratio of 2.17 and enterprise value-to-EBITDA ratio of 10.33 suggest that the stock is not undervalued, especially given the recent earnings miss and slowing growth in key segments. Analyst sentiment is cautious, with a mean recommendation of "hold" and a target median price of $164, which is below the current trading price. This implies limited upside potential in the near term.
 **Economic Outlook:**  
 Danaher operates in the Life Sciences Tools &amp; Services industry, which is sensitive to macroeconomic conditions and research and development spending by biotech and pharmaceutical companies. The broader economic environment is challenging, with inflationary pressures and trade tensions potentially impacting global supply chains and customer budgets. Additionally, the recent global tech market crash and geopolitical uncertainties could weigh on investor sentiment and corporate spending in the life sciences sector. While Danaher has a diversified portfolio, its reliance on biotech demand makes it vulnerable to sector-specific slowdowns.
 **Conclusion:**  
 Danaher faces near-term headwinds due to weaker-than-expected earnings, soft demand in its biotech segment, and a challenging macroeconomic environment. While the company has strong cash flow and a solid market position, its high leverage and premium valuation limit its attractiveness as an investment in the short term. The stock's current price appears to reflect optimism that may not align with the immediate challenges the company faces.
 **Score:** 62</t>
  </si>
  <si>
    <t>**Investment Report:**
 **Recent News:**  
 The Walt Disney Company is poised to release its fiscal 2025 first-quarter earnings, with analysts expecting growth in revenue and net income, particularly driven by its streaming business. Disney's ability to consistently deliver earnings surprises has bolstered investor confidence. Despite a slight recent decline in stock price, the company remains a strong performer, with a 24% gain in 2024. Its dominance in U.S. TV viewing share, supported by holiday programming and robust cable network performance, underscores its ability to leverage its intellectual property and diversified revenue streams effectively. These factors contribute to a positive long-term outlook, though short-term volatility may persist.
 **Financials:**  
 Disney's financial metrics reflect a solid foundation. The company has a market capitalization of $89.79 billion and a trailing price-to-earnings (P/E) ratio of 32.85, with a forward P/E of 25.70, indicating expectations of earnings growth. Its profit margins stand at 12.35%, and return on equity is a robust 35.03%, showcasing efficient capital utilization. Revenue growth of 7.9% year-over-year and earnings growth of 15.3% highlight its ability to expand both top and bottom lines. However, the debt-to-equity ratio of 208.89% signals a high leverage level, which could pose risks in a rising interest rate environment. The company’s free cash flow of $1.36 billion and operating cash flow of $5.26 billion provide liquidity to support operations and strategic investments.
 **Valuations:**  
 Disney's stock is trading at a price-to-book ratio of 11.25, reflecting a premium valuation compared to its book value. The enterprise value-to-revenue ratio of 4.68 and enterprise value-to-EBITDA ratio of 15.69 suggest the market is pricing in strong future growth. Analysts have a median target price of $235, representing potential upside from its current trading range. The dividend yield of 1.43% is modest but aligns with Disney's focus on reinvesting in growth opportunities.
 **Economic Outlook:**  
 The broader economic environment presents challenges and opportunities for Disney. The recent imposition of tariffs by the U.S. administration could increase costs for consumer goods, potentially impacting discretionary spending on entertainment. However, Disney's diversified revenue streams, including its streaming platform, theme parks, and media networks, provide resilience against economic headwinds. The company's ability to capitalize on its intellectual property and expand its streaming subscriber base positions it well for long-term growth, even amid macroeconomic uncertainties.
 **Conclusion:**  
 Disney's strong financial performance, valuable intellectual property, and diversified revenue streams support its position as a leader in the entertainment industry. While high leverage and potential economic headwinds warrant caution, the company's growth trajectory and ability to adapt to changing market dynamics make it a compelling long-term investment. Short-term volatility may persist, but Disney's fundamentals remain solid.
 **Score:** 85</t>
  </si>
  <si>
    <t>**Investment Report: Digital Realty**
 **Recent News:**  
 Digital Realty has not been in the headlines over the past week, suggesting stability in its operations and no immediate disruptions or major announcements. This lack of news can be interpreted as a sign of operational consistency, particularly valuable in the current volatile macroeconomic environment.
 **Financials:**  
 Digital Realty's financial performance reflects a strong position within the Data Center REITs industry. The firm has demonstrated robust earnings growth of 42.6% and revenue growth of 60.5% on a year-over-year basis, signaling effective management and increasing demand for its services. Its profit margins stand at an impressive 27.3%, supported by high gross margins of 94.8%, which highlight the efficiency of its operations. The company’s trailing price-to-earnings (P/E) ratio of 11.21 and forward P/E of 12.85 suggest that it is attractively valued relative to its earnings potential, especially when compared to broader market averages.
 The dividend yield of 1.42% is below its five-year average of 2.27%, which may indicate that the stock price has appreciated significantly, reducing the yield. However, the payout ratio of 19.11% suggests that the dividend is well-covered and sustainable. The company’s strong cash position of $26.4 billion, compared to its total debt of $18.2 billion, provides a solid liquidity buffer, as evidenced by its healthy quick ratio of 1.17 and current ratio of 1.25.
 **Valuations:**  
 Digital Realty's price-to-book ratio of 2.89 and price-to-sales ratio of 4.27 indicate that the stock is trading at a premium, which is typical for high-growth REITs in the data center space. The stock has gained 90.3% over the past year, significantly outperforming the S&amp;P 500's 21.9% increase, reflecting strong investor confidence. Analysts remain optimistic, with a mean target price of $211.23, representing potential upside from its current trading levels. The recommendation mean of 2.29 (indicating a "buy") further underscores positive sentiment.
 **Economic Outlook:**  
 The broader economic environment presents both challenges and opportunities for Digital Realty. The recent imposition of tariffs and trade tensions could increase costs for technology and infrastructure, potentially impacting the data center industry. However, the ongoing digital transformation and increasing reliance on cloud computing and AI-driven technologies are likely to drive demand for data center services. Digital Realty's strong revenue growth and strategic positioning in this high-demand sector make it well-suited to weather macroeconomic uncertainties.
 The recent global technology selloff, triggered by the emergence of a Chinese AI competitor, has not directly impacted Digital Realty, as it operates in the infrastructure space rather than the technology development sector. However, the broader market volatility could create short-term fluctuations in its stock price.
 **Conclusion:**  
 Digital Realty is positioned as a leader in the data center REITs industry, benefiting from strong financials, sustainable dividends, and favorable long-term demand trends. While macroeconomic uncertainties and market volatility may pose short-term risks, the company's robust fundamentals and strategic importance in the digital economy provide a solid foundation for continued growth.
 **Score:** 85</t>
  </si>
  <si>
    <t>**Investment Report: Dover Corporation (DOV)**
 **Recent News:**  
 Dover Corporation reported Q4 earnings of $2.20 per share, surpassing analyst expectations of $2.08. However, this represents a decline from $2.45 per share in the same quarter last year. Revenue growth was modest, with a year-over-year increase of 1.3%, reflecting a slower pace compared to prior periods. The company projects adjusted EPS for 2025 in the range of $9.30-$9.50, alongside anticipated revenue growth of 2-4%. These projections suggest cautious optimism amid a challenging macroeconomic environment. Dover's ability to exceed earnings expectations highlights operational efficiency, but the year-over-year decline in EPS signals potential headwinds, such as cost pressures or softer demand in certain segments.
 **Financials:**  
 Dover's financial metrics indicate a solid foundation. The company maintains a healthy profit margin of 18.38% and a return on equity of 29.11%, showcasing strong profitability and efficient capital utilization. Its trailing P/E ratio of 20.07 and forward P/E of 19.76 suggest a valuation in line with industry peers, while its price-to-book ratio of 4.87 reflects a premium valuation relative to its book value. The dividend yield of 1.04% is below its five-year average of 1.44%, but the low payout ratio of 18.57% indicates ample room for future dividend growth. Dover's debt-to-equity ratio of 59.44% is manageable, though slightly elevated, and its quick ratio of 0.76 suggests a need for careful liquidity management. Free cash flow of $847.86 million and operating cash flow of $1.27 billion provide a solid buffer for ongoing operations and potential investments.
 **Valuations:**  
 Dover's stock has performed well over the past year, with a 52-week price change of +26.65%, outperforming the S&amp;P 500's gain of 21.93%. The stock is trading near the upper end of its 52-week range ($158.19-$214.57), indicating strong investor confidence. Analyst sentiment remains positive, with a mean price target of $222.87 and a median target of $225.00, suggesting potential upside from the current price of approximately $203.68. However, the trailing PEG ratio of 2.57 indicates that growth may already be priced into the stock, warranting caution in the face of broader economic uncertainties.
 **Economic Outlook:**  
 Dover operates in the industrial machinery sector, which is sensitive to macroeconomic conditions. The recent imposition of tariffs by the U.S. administration on imports from Canada, Mexico, and China could disrupt supply chains and increase input costs, potentially pressuring margins. Additionally, inflationary pressures and rising interest rates may dampen industrial activity and capital expenditures, affecting demand for Dover's products. However, the company's diversified portfolio and focus on operational efficiency position it to weather these challenges. The modest revenue growth forecast of 2-4% for 2025 reflects a cautious approach amid these uncertainties.
 **Conclusion:**  
 Dover Corporation's strong profitability, solid cash flow, and ability to exceed earnings expectations underscore its resilience. However, the year-over-year decline in EPS, coupled with macroeconomic headwinds such as tariffs and inflation, may limit near-term upside. While the stock's valuation appears reasonable, its recent outperformance and elevated PEG ratio suggest limited room for error. Investors may need to monitor the broader economic environment and Dover's ability to navigate potential cost pressures and demand fluctuations.
 **Score:** 78</t>
  </si>
  <si>
    <t>**Investment Report: Dow Inc.**
 **Recent News:**  
 Dow Inc., a leading materials science company, recently announced a $1 billion cost-cutting initiative, which includes laying off 1,500 employees. This decision comes amid sluggish demand and margin pressures, reflecting the challenging macroeconomic environment. The announcement coincided with a 6.3% drop in the company's share price, signaling investor concerns about the firm's near-term outlook. Additionally, Dow's fourth-quarter 2024 earnings were disappointing, with adjusted earnings per share at $0, missing analysts' expectations of $0.24. The company cited weaker pricing and soft macroeconomic conditions as key factors behind its underperformance, despite efforts to improve cost efficiency and productivity.
 **Financials:**  
 Dow's financial metrics reveal a mixed picture. The company has a trailing price-to-earnings (P/E) ratio of 23.81, which is relatively high given its recent earnings struggles, but its forward P/E of 13.62 suggests expectations of improved profitability. The dividend yield of 6.82% is attractive, though the payout ratio of 186.67% raises concerns about the sustainability of these dividends in the current environment. Dow's gross margins (10.76%) and operating margins (4.15%) are under pressure, reflecting the impact of weaker pricing and demand. The firm's debt-to-equity ratio of 95.06% indicates a high level of leverage, which could pose risks in a rising interest rate environment. However, the company maintains a reasonable current ratio of 1.66, suggesting adequate short-term liquidity.
 **Valuations:**  
 Dow's stock is trading near its 52-week low of $36.66, significantly below its 52-week high of $60.69. The price-to-book ratio of 1.43 indicates that the stock is trading at a modest premium to its book value, which may appeal to value-oriented investors. Analysts' target prices range from $38 to $65, with a mean target of $46.44, suggesting potential upside if the company can navigate its current challenges. However, the firm's enterprise value-to-EBITDA ratio of 9.05 indicates that the stock is not particularly cheap compared to peers in the commodity chemicals industry.
 **Economic Outlook:**  
 Dow's performance is closely tied to global economic conditions and industrial demand. The recent implementation of tariffs by the U.S. administration, coupled with inflationary pressures, could further weigh on the company's input costs and pricing power. Additionally, the broader macroeconomic environment remains uncertain, with slowing global growth and geopolitical tensions potentially dampening demand for Dow's products. On the positive side, the company's cost-cutting measures may help mitigate some of these pressures over time, though the benefits are unlikely to materialize in the short term.
 **Conclusion:**  
 Dow Inc. faces significant near-term challenges, including weak demand, margin pressures, and a high debt load. While the company's cost-cutting initiatives and attractive dividend yield may provide some support, the sustainability of its payouts and the broader economic environment remain key concerns. The stock's current valuation reflects these risks, and its performance will likely depend on the company's ability to stabilize margins and adapt to macroeconomic headwinds.
 **Score:** 45</t>
  </si>
  <si>
    <t>**Investment Report:**
 **Recent News:**  
 Domino's Pizza has seen a notable surge in its stock price, closing 5.4% higher in a single trading session, with intraday gains reaching as much as 10.3%. This rally reflects renewed investor confidence, potentially driven by optimism surrounding the company's ability to navigate competitive pressures in the food delivery space. However, Domino's continues to face challenges from expanding food delivery platforms, which are intensifying competition in the restaurant industry. This dynamic underscores the need for Domino's to innovate and maintain its market leadership in a rapidly evolving sector.
 **Financials:**  
 Domino's current financial metrics present a mixed picture. The company has a trailing price-to-earnings (P/E) ratio of 40.58, which is relatively high, indicating that the stock may be priced for growth. However, its forward P/E of 24.70 suggests expectations of improved earnings in the near future. The company's gross margins of 59.87% and operating margins of 20.34% highlight its strong profitability, while its return on equity (ROE) of 7.59% reflects moderate efficiency in generating shareholder returns. Despite a slight revenue growth of 3.1% year-over-year, earnings have contracted by 26%, signaling potential headwinds in cost management or competitive pricing pressures.  
 Domino's maintains a manageable debt-to-equity ratio of 36.69, supported by robust free cash flow of $5.17 billion and operating cash flow of $6.29 billion. The dividend yield of 0.48% is modest but sustainable, with a low payout ratio of 20.42%, leaving room for potential increases. However, the company's earnings growth has been negative, which could weigh on future dividend growth prospects.
 **Valuations:**  
 The stock is trading near its 52-week low of $214.04, significantly below its 52-week high of $281.70. This decline, coupled with a price-to-book ratio of 3.02, suggests that the stock may be undervalued relative to its historical performance. Analysts have a median price target of $265.00, implying a potential upside of approximately 23% from current levels. The recommendation mean of 1.56 (indicating a "buy") further supports the view that the stock may offer value at its current price.
 **Economic Outlook:**  
 Domino's operates in a challenging macroeconomic environment marked by inflationary pressures and shifting consumer spending patterns. The recent tariffs imposed by the U.S. administration could exacerbate input cost pressures, particularly for food and labor. Additionally, the broader restaurant industry faces headwinds from rising competition and evolving consumer preferences for convenience and delivery options. Domino's strong brand recognition and established delivery infrastructure position it well to weather these challenges, but the company must continue to innovate to maintain its competitive edge.
 **Conclusion:**  
 Domino's Pizza demonstrates strong profitability and cash flow generation, which provide a solid foundation for navigating current industry challenges. While the stock's recent rally reflects renewed investor optimism, its high valuation metrics and declining earnings growth warrant caution. The company's ability to adapt to competitive pressures and macroeconomic headwinds will be critical to sustaining its market position and delivering long-term value.
 **Score:** 72</t>
  </si>
  <si>
    <t>**Investment Report: DTE Energy**
 **Recent News:**  
 DTE Energy has not been in the headlines over the past week, indicating stability in its operations and no significant disruptions or developments. This lack of news suggests the company is operating within expected parameters, which can be favorable for a utility firm focused on consistent performance and dividend payouts.
 **Financials:**  
 DTE Energy's financial metrics reflect a solid position within the multi-utilities sector. The company has a trailing price-to-earnings (P/E) ratio of 16.38 and a forward P/E of 16.79, which are reasonable valuations for a utility company, especially given its relatively low beta of 0.683, indicating lower volatility compared to the broader market. The firm’s dividend yield of 3.64% is above its five-year average of 3.35%, making it attractive for income-focused investors. Additionally, the payout ratio of 55.28% suggests the dividend is sustainable, supported by steady earnings growth of 42.5% and revenue growth of 0.6%.  
 The company’s profit margins are healthy, with a net profit margin of 12.33% and EBITDA margins of 27.77%. However, the high debt-to-equity ratio of 213.85% reflects significant leverage, which is common in the utilities sector but could pose risks in a rising interest rate environment. Free cash flow is negative at -$1.52 billion, which may indicate challenges in funding operations and growth without additional borrowing. Nonetheless, operating cash flow remains strong at $3.4 billion, providing some reassurance about liquidity.
 **Valuations:**  
 DTE Energy’s price-to-book ratio of 2.16 is in line with industry norms, and its enterprise value-to-EBITDA ratio of 13.87 suggests the company is fairly valued relative to its earnings potential. Analyst sentiment is positive, with a recommendation mean of 1.95 (indicating a "buy") and a target median price of $135.50, representing potential upside from the current price of approximately $120. The stock is trading closer to its 52-week high of $131.67, reflecting investor confidence but also limiting the margin for error in the short term.
 **Economic Outlook:**  
 The broader macroeconomic environment presents mixed implications for DTE Energy. The recent imposition of tariffs and inflationary pressures could increase costs for the company, particularly if energy prices rise due to global supply chain disruptions. However, as a utility provider, DTE Energy benefits from relatively inelastic demand for its services, which can provide stability during economic uncertainty. The Federal Reserve’s potential hawkish stance on interest rates could increase borrowing costs, which is a concern given the company’s high leverage. On the other hand, the firm’s regulated utility operations and consistent cash flows position it well to weather economic volatility.
 **Conclusion:**  
 DTE Energy demonstrates strong fundamentals, including steady earnings growth, a reliable dividend, and manageable valuations. However, its high debt levels and negative free cash flow warrant caution, particularly in a rising interest rate environment. The company’s stability and income-generating potential make it a solid choice for long-term, risk-averse investors, though short-term upside may be limited given its current valuation near the 52-week high.
 **Score:** 78</t>
  </si>
  <si>
    <t>**Investment Report: Duke Energy**
 **Recent News:**  
 Duke Energy has not been in the spotlight over the past week, with no significant news or developments reported. This lack of news suggests stability in operations but also indicates no immediate catalysts for significant price movement in the short term.
 **Financials:**  
 Duke Energy's financial performance reflects a mixed picture. The company has a trailing price-to-earnings (P/E) ratio of 59.44, which is significantly higher than its forward P/E of 17.66, indicating expectations of improved earnings in the future. The trailing annual dividend yield of 1.95% aligns with its five-year average, suggesting consistency in shareholder returns. However, the payout ratio of 117.19% raises concerns about the sustainability of its dividend, as it exceeds earnings.  
 The company’s revenue growth of 4.4% year-over-year and earnings growth of 54.8% are positive indicators of operational improvement. Duke Energy's gross margins of 36.4% and EBITDA margins of 24.4% highlight its ability to maintain profitability despite rising costs. However, its debt-to-equity ratio of 31.03 and total debt of $7.65 billion suggest a highly leveraged balance sheet, which could pose risks in a rising interest rate environment.  
 **Valuations:**  
 Duke Energy's price-to-book ratio of 1.31 indicates that the stock is trading close to its book value, which may appeal to value-oriented investors. The enterprise value-to-EBITDA ratio of 12.84 suggests the company is moderately valued compared to peers in the electric utilities sector. Analyst sentiment remains favorable, with a recommendation mean of 1.84 (indicating a "buy") and a median price target of $100, representing significant upside potential from the current price of approximately $75.  
 **Economic Outlook:**  
 The broader macroeconomic environment presents challenges for Duke Energy. The recent imposition of tariffs and inflationary pressures could increase input costs, particularly for energy infrastructure and materials. Additionally, the Federal Reserve's potential hawkish stance to combat inflation may lead to higher borrowing costs, which could strain Duke Energy's already leveraged balance sheet. However, as a utility company, Duke Energy benefits from its defensive nature, as demand for electricity tends to remain stable even during economic downturns.  
 **Conclusion:**  
 Duke Energy's stable operations, consistent dividend payments, and favorable analyst sentiment provide a solid foundation for long-term investors. However, its high leverage and elevated payout ratio warrant caution, particularly in the current macroeconomic environment. While the stock appears undervalued relative to its growth potential, external economic pressures and internal financial risks may limit short-term upside.
 **Score:** 72</t>
  </si>
  <si>
    <t>**Investment Report:**
 **Recent News:**  
 DaVita HealthCare (DVA) has been upgraded to a Zacks Rank #1 (Strong Buy), signaling increased optimism about its earnings potential. This upgrade reflects confidence in the company's ability to deliver strong financial performance in the near term, which could drive positive momentum for the stock. The upgrade aligns with DaVita's recent earnings growth and operational improvements, positioning it favorably within the healthcare services sector.
 **Financials:**  
 DaVita's financial performance demonstrates robust fundamentals. The company reported a trailing price-to-earnings (P/E) ratio of 27.74 and a forward P/E of 25.89, indicating a premium valuation but supported by strong earnings growth of 39.5% year-over-year. Its profit margins stand at an impressive 18.8%, with gross margins of 57.1%, reflecting operational efficiency. The company also boasts a solid return on equity (ROE) of 43.57%, showcasing its ability to generate significant returns for shareholders. 
 DaVita's revenue growth of 20.1% year-over-year highlights its ability to expand its top line, while free cash flow of $702.5 million and a current ratio of 3.09 indicate strong liquidity and financial stability. However, the company's debt-to-equity ratio of 11.63 suggests a high level of leverage, which could pose risks in a rising interest rate environment.
 **Valuations:**  
 DaVita's stock is trading at a price-to-book (P/B) ratio of 12.43, significantly above the industry average, reflecting a premium valuation. The enterprise value-to-revenue (EV/Revenue) ratio of 7.07 and enterprise value-to-EBITDA (EV/EBITDA) ratio of 28.75 further indicate that the stock is priced for growth. Analysts' target prices range from $115 to $284, with a mean target of $218.65, suggesting potential upside from the current price of approximately $172. The stock has also outperformed the S&amp;P 500 over the past year, with a 52-week change of 28.9% compared to the S&amp;P's 21.9%.
 **Economic Outlook:**  
 The broader macroeconomic environment presents both opportunities and challenges for DaVita. The healthcare sector remains resilient amid economic uncertainty, as demand for essential services like dialysis is relatively inelastic. However, inflationary pressures and potential disruptions from new tariffs could increase operational costs, particularly for a company with significant debt obligations. Additionally, the recent market volatility, driven by geopolitical tensions and trade policy changes, may weigh on investor sentiment in the short term.
 **Conclusion:**  
 DaVita's strong financial performance, robust earnings growth, and operational efficiency position it well within the healthcare services industry. While the stock's premium valuation and high leverage warrant caution, its resilience in a defensive sector and favorable analyst sentiment suggest potential for continued growth. The company's ability to navigate macroeconomic challenges will be critical in sustaining its upward trajectory.
 **Score:** 85</t>
  </si>
  <si>
    <t>**Investment Report: Dexcom (Health Care Equipment Industry)**
 **Recent News:**  
 Dexcom has not been in the news over the past week, indicating a period of operational stability without any major announcements or disruptions. This lack of news suggests that the company is continuing its business activities without significant external or internal events impacting its operations.
 **Financials:**  
 Dexcom's stock has shown moderate trading activity, with a recent close at $86.83 and a daily range between $86.79 and $88.42. The company has a beta of 1.173, indicating slightly higher volatility compared to the broader market. Its trailing price-to-earnings (PE) ratio of 52.76 and forward PE of 43.16 suggest that the stock is priced at a premium, reflecting high growth expectations. The market capitalization stands at $34 billion, with a strong institutional ownership of 97.37%, signaling confidence from large investors.
 The company has demonstrated steady financial performance, with a profit margin of 17.22% and earnings quarterly growth of 11.5%. Revenue growth, however, has slowed to 2% year-over-year, which may raise concerns about the pace of future expansion. Gross margins remain robust at 61.68%, highlighting operational efficiency. Dexcom's balance sheet shows a healthy liquidity position, with a quick ratio of 2.03 and a current ratio of 2.46. However, the debt-to-equity ratio of 130.94% indicates a relatively high level of leverage, which could pose risks in a rising interest rate environment.
 **Valuations:**  
 Dexcom's valuation metrics suggest that the stock is trading at a premium. The price-to-book ratio of 17.18 and enterprise value-to-EBITDA ratio of 40.58 are significantly higher than industry averages, reflecting strong investor expectations for future growth. Analysts have a positive outlook, with a mean target price of $97.51, representing a potential upside of approximately 12.3% from the current price. The recommendation mean of 1.52 (on a scale where 1.0 is a "Strong Buy") further underscores the favorable sentiment among analysts.
 **Economic Outlook:**  
 The broader economic environment presents mixed implications for Dexcom. The recent imposition of tariffs and trade tensions could increase costs for medical device manufacturers reliant on global supply chains. Additionally, inflationary pressures and potential Federal Reserve rate hikes may impact consumer and institutional spending on healthcare equipment. However, Dexcom operates in the diabetes management market, which is relatively resilient to economic cycles due to the essential nature of its products. The company's innovative continuous glucose monitoring (CGM) systems position it well to capture long-term growth in the expanding diabetes care market.
 **Conclusion:**  
 Dexcom's strong margins, solid institutional backing, and leadership in the CGM market are key strengths. However, its high valuation, slowing revenue growth, and elevated debt levels warrant caution. While the company remains a leader in its industry, broader economic uncertainties and competitive pressures could weigh on near-term performance.
 **Score:** 75</t>
  </si>
  <si>
    <t>**Investment Report: Electronic Arts (EA)**
 **Recent News:**  
 Electronic Arts (EA) is navigating a challenging period marked by intensifying competition and evolving market dynamics. The company is expected to report its fiscal Q3 earnings soon, with analysts anticipating steady demand for its sports franchises. However, competition is heating up, particularly with the upcoming launch of UFL, a soccer video game backed by Cristiano Ronaldo, which aims to capitalize on EA's perceived slowdown. This competitive pressure could impact EA's dominance in the sports gaming segment, particularly its FIFA franchise, now rebranded as EA Sports FC. The broader gaming industry is also facing headwinds from macroeconomic uncertainties, which may dampen consumer spending on entertainment.
 **Financials:**  
 EA's financial position remains robust, with a market capitalization of approximately $42.1 billion and a strong cash position of $4.45 billion. The company boasts healthy profit margins, with a net income margin of 65.86% and gross margins of 76.6%. Revenue growth for the most recent quarter was 8.9%, while earnings growth reached 7.16%, reflecting solid operational performance. However, the stock has underperformed over the past year, with a 52-week change of -17.9%, compared to a 21.9% gain in the S&amp;P 500. EA's trailing P/E ratio of 27.56 and forward P/E of 29.18 suggest the stock is trading at a premium relative to its earnings, which may limit upside potential in the near term.
 **Valuations:**  
 EA's price-to-book ratio of 4.41 and price-to-sales ratio of 6.67 indicate the stock is relatively expensive compared to its peers in the interactive entertainment industry. The enterprise value-to-EBITDA ratio of 19.03 further underscores this valuation premium. Analysts have a mixed outlook, with a mean target price of $79.49, representing modest upside from current levels. The recommendation mean of 2.30 (on a scale where 1.0 is a strong buy and 5.0 is a sell) suggests a cautious "buy" sentiment among analysts.
 **Economic Outlook:**  
 The broader economic environment presents challenges for EA. Rising inflation and potential trade disruptions from new tariffs could weigh on consumer discretionary spending, including gaming. Additionally, the recent global tech market selloff, triggered by advancements in Chinese AI, has created volatility in the technology sector. While EA is less directly impacted by AI competition, the broader market sentiment could influence its stock performance. On the positive side, EA's strong cash flow generation and low debt-to-equity ratio of 7.35% provide a cushion against economic uncertainties.
 **Conclusion:**  
 Electronic Arts faces a mixed outlook in the near term. While its financial fundamentals remain solid, the company is grappling with competitive pressures and broader economic headwinds. The upcoming earnings report will be a critical indicator of its ability to sustain growth amid these challenges. Investors may need to weigh the company's strong cash position and operational efficiency against its premium valuation and competitive risks.
 **Score:** 65</t>
  </si>
  <si>
    <t>**Investment Report: eBay (EBAY)**
 **Recent News:**  
 eBay has garnered attention for its consistent ability to surpass earnings expectations, with analysts suggesting the company is well-positioned to deliver another positive surprise in its upcoming quarterly report. This optimism stems from eBay's strong operational performance and its ability to adapt to evolving consumer trends in the e-commerce space. However, broader macroeconomic uncertainties, including inflationary pressures and potential trade disruptions, could weigh on consumer spending and impact eBay's performance in the near term.
 **Financials:**  
 eBay's financial metrics reflect a stable and profitable business. The company boasts a market capitalization of $70.65 billion and a trailing price-to-earnings (P/E) ratio of 34.99, which is slightly elevated compared to historical averages, indicating a premium valuation. Its forward P/E of 33.48 suggests expectations of modest earnings growth. eBay's revenue growth of 17.8% year-over-year is a positive indicator, supported by strong gross margins of 43.18% and EBITDA margins of 22.58%. The company maintains a healthy free cash flow of $2.08 billion, which supports its dividend yield of 1.04% and a manageable payout ratio of 31.98%. However, its debt-to-equity ratio of 103.92% highlights a relatively high leverage position, which could pose risks in a rising interest rate environment.
 **Valuations:**  
 eBay's price-to-sales ratio of 4.51 and price-to-book ratio of 10.64 suggest the stock is trading at a premium relative to its peers in the Broadline Retail industry. Analysts' target prices range from $215 to $300, with a mean target of $272.96, indicating potential upside from its current trading levels. The company's beta of 1.14 reflects slightly higher volatility compared to the broader market, which could amplify price movements in response to macroeconomic developments.
 **Economic Outlook:**  
 The broader economic environment presents mixed signals for eBay. While the company's e-commerce platform benefits from ongoing digital adoption, macroeconomic headwinds such as inflation, tariffs, and potential trade disruptions could dampen consumer spending. Additionally, the recent volatility in the technology sector, driven by competitive pressures from emerging technologies like DeepSeek, may indirectly affect investor sentiment toward eBay. However, eBay's strong institutional ownership (91.05%) and its ability to generate consistent cash flow provide a degree of resilience in uncertain times.
 **Conclusion:**  
 eBay's strong earnings track record, robust revenue growth, and healthy cash flow position it as a solid player in the e-commerce space. However, its elevated valuation metrics and high leverage warrant caution, particularly in a challenging macroeconomic environment. While the company is likely to meet or exceed earnings expectations, broader market volatility and economic uncertainties could limit near-term upside potential.
 **Score:** 78</t>
  </si>
  <si>
    <t>**Investment Report: Ecolab (Specialty Chemicals Industry)**
 **Recent News:**  
 Ecolab has not been in the news over the past week, indicating a period of operational stability without major disruptions or announcements. This lack of news may suggest that the company is maintaining its current trajectory without significant external or internal events impacting its operations.
 **Financials:**  
 Ecolab's financial performance reflects a mixed picture. The company has a market capitalization of $32.24 billion and a relatively low beta of 0.781, indicating lower volatility compared to the broader market. Its trailing price-to-earnings (P/E) ratio of 31.52 suggests a premium valuation, while the forward P/E of 15.39 indicates expectations of significant earnings growth. However, earnings quarterly growth has declined by 26.3%, and earnings growth overall is down by 24.5%, signaling challenges in profitability.  
 The company maintains strong gross margins of 78.57% and EBITDA margins of 25.51%, reflecting its ability to generate substantial profitability from its operations. Revenue growth of 5.8% year-over-year is modest but positive, showing resilience in a challenging macroeconomic environment. Ecolab's free cash flow of $1.81 billion and operating cash flow of $2.20 billion highlight its solid cash generation capabilities, which are critical for sustaining operations and dividends.  
 Ecolab's balance sheet shows a manageable debt-to-equity ratio of 29.95, supported by a quick ratio of 1.28 and a current ratio of 1.43, indicating sufficient liquidity to cover short-term obligations. However, the company's earnings growth challenges and a 9.13% decline in its stock price over the past year suggest some headwinds.
 **Valuations:**  
 Ecolab's price-to-book ratio of 4.37 and price-to-sales ratio of 4.35 indicate that the stock is trading at a premium relative to its book value and revenue. Analysts have a median target price of $147.50, representing potential upside from the current price of $122.91. The recommendation mean of 2.44 (between "buy" and "hold") reflects cautious optimism among analysts.  
 The company's dividend yield of 0.62% is modest, with a payout ratio of 19.49%, suggesting that Ecolab retains a significant portion of its earnings for reinvestment. While the dividend is not a major draw for income-focused investors, it reflects a commitment to returning value to shareholders.
 **Economic Outlook:**  
 The broader macroeconomic environment presents challenges for Ecolab. The recent imposition of tariffs by the U.S. administration could increase input costs for specialty chemicals, potentially pressuring margins. Additionally, inflationary pressures and rising interest rates may weigh on consumer and industrial demand, impacting Ecolab's revenue growth. However, the company's strong cash flow and operational efficiency position it well to navigate these challenges.  
 Ecolab's focus on sustainability and water treatment solutions aligns with long-term trends favoring environmentally conscious industries. This strategic positioning could provide a competitive advantage as global demand for sustainable solutions continues to grow.
 **Conclusion:**  
 Ecolab demonstrates strong operational efficiency and cash flow generation, but declining earnings growth and premium valuations raise concerns about near-term performance. The broader economic environment, including tariffs and inflation, may create additional headwinds. However, the company's long-term focus on sustainability and its solid financial foundation provide a degree of resilience.
 **Score:** 72</t>
  </si>
  <si>
    <t>**Investment Report: Consolidated Edison (Multi-Utilities Industry)**
 **Recent News:**  
 There have been no significant updates or developments regarding Consolidated Edison in the past week. The absence of news suggests stability in operations, but it also indicates a lack of immediate catalysts for significant price movement.
 **Financials:**  
 Consolidated Edison’s recent market performance reflects a challenging environment. The stock has seen a sharp decline, with its price nearing its 52-week low of $166.02, significantly below its 52-week high of $274.87. The company’s trailing price-to-earnings (P/E) ratio of 46.63 is notably high, indicating a premium valuation relative to earnings, though the forward P/E of 12.01 suggests expectations of improved profitability. The dividend yield of 1.84% is slightly above its five-year average of 1.44%, which may appeal to income-focused investors, though the high payout ratio of 121.41% raises concerns about the sustainability of dividends.
 The company’s financial health shows mixed signals. While it has a solid operating cash flow of $3.03 billion and a free cash flow of $966.65 million, its debt-to-equity ratio of 149.16% highlights a heavy reliance on debt financing. This could pose risks in a rising interest rate environment. Additionally, the quick ratio of 0.32 indicates limited short-term liquidity, though the current ratio of 1.25 suggests it can meet its obligations in the near term.
 Profitability metrics are modest, with a return on equity (ROE) of 7.11% and return on assets (ROA) of 8.98%. Gross margins of 51.32% and EBITDA margins of 38.15% reflect strong operational efficiency, but net income margins of 5.69% are relatively low for the industry.
 **Valuations:**  
 The stock’s price-to-book (P/B) ratio of 3.27 is above the industry average, indicating a premium valuation relative to its book value. The enterprise value-to-revenue ratio of 5.12 and enterprise value-to-EBITDA ratio of 13.43 suggest the company is valued higher than some peers in the multi-utilities sector. Analyst sentiment remains positive, with a recommendation mean of 2.0 (buy) and a target median price of $240, implying significant upside potential from current levels.
 **Economic Outlook:**  
 The broader macroeconomic environment presents challenges for Consolidated Edison. Rising inflation and potential interest rate hikes could increase borrowing costs, impacting the company’s heavily leveraged balance sheet. Additionally, the recent tariffs and trade tensions may indirectly affect the utility sector by increasing costs for imported materials and equipment. However, utilities are generally considered defensive investments, which could provide some stability amid broader market volatility.
 **Conclusion:**  
 Consolidated Edison faces a mixed outlook. While its operational efficiency and dividend yield are attractive, concerns about high debt levels, premium valuations, and macroeconomic headwinds weigh on its near-term prospects. The stock’s recent decline may present a potential value opportunity, but risks remain elevated given the current economic and market conditions.
 **Score:** 65</t>
  </si>
  <si>
    <t>**Investment Report: Equifax (EFX)**
 **Recent News:**  
 Equifax is set to release its Q4 earnings, with Wall Street analysts focusing on key performance metrics. The company operates in the Research &amp; Consulting Services industry, providing credit reporting and data analytics services. The upcoming earnings report will be critical in assessing Equifax's ability to navigate a challenging macroeconomic environment, including inflationary pressures and potential disruptions from geopolitical and trade tensions. Analysts are particularly interested in revenue growth, profit margins, and the impact of broader economic conditions on consumer credit demand.
 **Financials:**  
 Equifax's financial performance reflects a mixed picture. The company has a market capitalization of $33.16 billion and a trailing price-to-earnings (P/E) ratio of 59.32, which is significantly higher than its forward P/E of 30.59, indicating expectations of strong earnings growth. However, earnings growth has been negative, with a decline of 13.7% year-over-year. Revenue growth, on the other hand, has been positive at 9.3%, supported by gross margins of 55.5% and EBITDA margins of 30.4%. The company's return on equity (ROE) stands at 11.93%, which is reasonable but not exceptional given its high valuation.
 Equifax's balance sheet shows a debt-to-equity ratio of 108.42, indicating a leveraged position. While the company generates healthy operating cash flow of $1.32 billion and free cash flow of $751.7 million, its quick ratio of 0.79 and current ratio of 0.88 suggest limited short-term liquidity. The dividend yield of 0.57% is modest, with a payout ratio of 34.67%, leaving room for reinvestment or debt reduction.
 **Valuations:**  
 Equifax's valuation metrics suggest a premium pricing relative to its peers. The price-to-book ratio of 6.75 and price-to-sales ratio of 5.93 indicate that the stock is trading at elevated levels. Analysts have a mean target price of $305.32, representing a potential upside from the current price of $262.62. However, the stock's beta of 1.59 implies higher volatility, which could amplify risks in the current uncertain market environment.
 **Economic Outlook:**  
 The broader economic environment poses challenges for Equifax. The recent implementation of tariffs by the U.S. government could lead to inflationary pressures, potentially impacting consumer spending and credit demand. Additionally, the technology sector's recent volatility, driven by competition from Chinese AI advancements, may indirectly affect Equifax's data analytics business. However, the company's focus on credit reporting and analytics positions it to benefit from long-term trends in digital transformation and financial services.
 **Conclusion:**  
 Equifax's financials and valuations highlight both opportunities and risks. While the company demonstrates solid revenue growth and profitability, its high valuation and leveraged balance sheet warrant caution. The upcoming earnings report will be a key indicator of its ability to sustain growth in a challenging macroeconomic environment. Investors should monitor the impact of economic headwinds, including inflation and trade tensions, on Equifax's performance.
 **Score:** 68</t>
  </si>
  <si>
    <t>**Investment Report: Everest Group (EG)**
 **Recent News:**  
 Everest Group (EG) reported a significant Q4 loss of $18.39 per share, exceeding the anticipated loss of $16.65 per share and marking a sharp decline from the $25.18 earnings per share in the prior year. This loss was driven by disappointing underwriting results and a $1.7 billion reserve increase to address social inflation and third-party litigation funding. Despite these challenges, EG exceeded revenue expectations, supported by higher premiums, rate hikes, and exposure growth. The new CEO, Jim Williamson, has adopted a more conservative reserve policy and ceased providing detailed guidance, aiming to manage expectations and improve future performance. However, EG shares have declined by 4% over the past year, reflecting investor concerns about the company's recent struggles.
 **Financials:**  
 Everest Group's financial metrics present a mixed picture. The company trades at a trailing price-to-earnings (P/E) ratio of 5.38 and a forward P/E of 5.01, suggesting a relatively low valuation compared to its earnings potential. Its price-to-book ratio of 0.97 indicates the stock is trading near its book value, which may appeal to value-oriented investors. The dividend yield of 2.3% is slightly above its five-year average, supported by a low payout ratio of 11.7%, signaling sustainability. However, the company's earnings growth has contracted by 24.5%, and its return on equity (ROE) of 20.86% is under pressure due to the recent reserve adjustments. Everest Group's debt-to-equity ratio of 22.09% is manageable, but its quick and current ratios of 0.32 and 0.42, respectively, highlight liquidity concerns.
 **Valuations:**  
 The stock's 52-week range of $341.14 to $407.30 places it near its annual low, reflecting market pessimism. Analysts have a median price target of $415.50, suggesting potential upside from the current price of approximately $345. However, the company's recent underperformance and earnings volatility may limit near-term investor confidence. The market capitalization of $14.8 billion and enterprise value of $12.7 billion indicate a modest valuation relative to its revenue of $16.4 billion, with an enterprise-to-revenue ratio of 0.77.
 **Economic Outlook:**  
 The reinsurance industry faces headwinds from rising claims costs due to social inflation and increased litigation funding, as evidenced by Everest Group's reserve adjustments. Additionally, the broader macroeconomic environment, including inflationary pressures and potential trade disruptions from new tariffs, could impact the company's investment portfolio and underwriting profitability. However, Everest Group's exposure growth and higher premiums provide a foundation for recovery if the company can stabilize its underwriting performance. The conservative reserve policy under the new CEO may enhance long-term financial stability, though it could weigh on short-term results.
 **Conclusion:**  
 Everest Group is navigating a challenging period marked by significant losses and reserve adjustments. While its valuation metrics suggest the stock may be undervalued, the company's near-term outlook is clouded by underwriting challenges and broader economic uncertainties. The new leadership's conservative approach could position the company for long-term stability, but the immediate investment case is tempered by earnings volatility and market skepticism.
 **Score:** 62</t>
  </si>
  <si>
    <t>**Investment Report: Edison International**
 **Recent News:**  
 Edison International has not been in the spotlight recently, with no major news or developments over the past week. This lack of news suggests stability in operations but also indicates no immediate catalysts for significant stock movement. However, the broader macroeconomic environment, including inflationary pressures and potential regulatory changes, could indirectly impact the company.
 **Financials:**  
 Edison International's financial performance reflects a mixed picture. The stock is trading near its 52-week low of $51.64, significantly below its 52-week high of $88.77, indicating substantial recent underperformance. The company offers a strong dividend yield of 6.13%, well above its five-year average of 4.3%, which may attract income-focused investors. However, the high payout ratio of 91.23% raises concerns about the sustainability of these dividends, especially given the company's negative free cash flow of -$1.68 billion.  
 Earnings growth has been robust, with quarterly earnings growth of 232.9% and revenue growth of 10.6%, suggesting operational improvements. The trailing price-to-earnings (P/E) ratio of 15.33 and forward P/E of 9.23 indicate the stock is attractively valued relative to its earnings potential. Additionally, the trailing PEG ratio of 0.63 suggests the stock is undervalued when considering its growth rate. However, the company's high debt-to-equity ratio of 202.13% and low quick ratio of 0.49 highlight significant leverage and liquidity risks.
 **Valuations:**  
 Edison International's valuation metrics suggest the stock is undervalued. The price-to-book ratio of 1.45 is reasonable for a utility company, and the enterprise value-to-EBITDA ratio of 9.43 is in line with industry norms. Analyst sentiment is positive, with a recommendation mean of 1.89 (indicating a "buy") and a target median price of $86, implying significant upside potential from current levels. However, the stock's recent underperformance relative to the S&amp;P 500 (-17.09% vs. +21.93%) reflects broader market concerns and sector-specific challenges.
 **Economic Outlook:**  
 The electric utilities industry is generally considered defensive, benefiting from stable demand even during economic downturns. However, Edison International faces headwinds from rising interest rates, which increase the cost of servicing its substantial debt. Additionally, inflationary pressures and potential regulatory changes under the current U.S. administration could impact operating costs and profitability. The company's exposure to California, a region prone to wildfires, adds an element of risk, particularly given the recent devastating wildfires in Southern California.
 **Conclusion:**  
 Edison International presents a mixed investment case. While the stock appears undervalued with strong dividend yields and growth potential, significant risks related to high leverage, liquidity constraints, and external factors such as regulatory changes and wildfire exposure cannot be ignored. The company's ability to manage these challenges will be critical in determining its near-term performance.
 **Score:** 65</t>
  </si>
  <si>
    <t>**Investment Report: Estée Lauder Companies (EL)**
 **Recent News:**  
 Estée Lauder is navigating a challenging macroeconomic environment as it prepares to release its Q2 2025 earnings. The company faced a 4.5% revenue decline in Q1 2025, primarily due to weak performance in China, global travel retail, and Hong Kong SAR. However, the implementation of its Profit Recovery and Growth Plan has yielded positive results, with gross margins improving by 280 basis points and operating income increasing by 33%. These operational improvements highlight management's ability to adapt to adverse conditions. The market is closely watching the strategic direction under new CEO Stéphane de La Faverie, particularly as uncertainties persist in key Asian markets. Analysts are cautiously optimistic, with expectations that Estée Lauder may exceed earnings estimates for Q2, driven by its cost management and strategic initiatives.
 **Financials:**  
 Estée Lauder's financial metrics reflect a mixed picture. The company has a trailing price-to-earnings (P/E) ratio of 147.8, which is significantly higher than its forward P/E of 31.5, indicating expectations of improved earnings in the near future. Its gross margins remain robust at 72.4%, and the company has demonstrated strong cash flow generation, with free cash flow of $1.98 billion. However, revenue growth has been negative (-4.5%), reflecting ongoing challenges in key markets. The company's debt-to-equity ratio of 196.9% is high, signaling a leveraged balance sheet, though its operating cash flow of $2.1 billion provides some reassurance regarding its ability to service debt. The dividend yield of 1.68% is modest but stable, supported by a payout ratio of 47.1%.
 **Valuations:**  
 Estée Lauder's current stock price of $83.43 is near its 52-week low of $62.29, significantly below its 52-week high of $159.54. The price-to-book ratio of 5.84 suggests the stock is trading at a premium relative to its book value, which is typical for a high-margin consumer goods company. The enterprise value-to-revenue ratio of 2.42 and enterprise value-to-EBITDA ratio of 15.33 indicate that the stock is not excessively overvalued compared to its peers, though its valuation remains sensitive to earnings recovery in the coming quarters. Analyst sentiment is mixed, with a median price target of $80 and a mean target of $84.71, reflecting cautious optimism.
 **Economic Outlook:**  
 The broader macroeconomic environment presents both risks and opportunities for Estée Lauder. The recent imposition of tariffs by the U.S. administration and the global tech market crash have created uncertainty in global markets, which could dampen consumer sentiment and discretionary spending. Additionally, the company's reliance on the Chinese and Asian travel retail markets exposes it to geopolitical and economic risks in the region. However, Estée Lauder's strong brand portfolio and focus on premium personal care products position it well to capture demand recovery in the luxury segment as global travel normalizes. The company's ability to execute its Profit Recovery and Growth Plan will be critical in navigating these challenges.
 **Conclusion:**  
 Estée Lauder is in a transitional phase, with its financial performance reflecting both the challenges of a weak global retail environment and the benefits of strategic cost management. While the company's high valuation metrics and leveraged balance sheet pose risks, its strong gross margins, cash flow generation, and potential for earnings recovery provide a foundation for cautious optimism. The upcoming Q2 2025 earnings report will be a key indicator of the company's ability to sustain its recovery and navigate ongoing uncertainties in its core markets.
 **Score:** 68</t>
  </si>
  <si>
    <t>**Investment Report: Elevance Health**
 **Recent News:**  
 Elevance Health has not been in the news over the past week, indicating a period of operational stability. The absence of significant developments or controversies suggests that the company is maintaining its focus on core operations without external disruptions. However, in a volatile macroeconomic environment, the lack of news may also reflect limited catalysts for immediate growth.
 **Financials:**  
 Elevance Health's financial performance reflects a solid foundation, with a trailing price-to-earnings (PE) ratio of 15.77 and a forward PE of 10.24, indicating a relatively attractive valuation compared to broader market averages. The company offers a dividend yield of 1.67%, supported by a low payout ratio of 23.19%, which suggests room for future dividend growth. Despite a 52-week decline of 19.87%, the stock has shown resilience, trading above its 52-week low of $362.21 and maintaining a market capitalization of $93.95 billion.
 The firm's profitability metrics, including a return on equity (ROE) of 15.5% and profit margins of 3.69%, highlight its ability to generate consistent earnings. However, earnings growth has contracted by 20% year-over-year, reflecting challenges in the managed healthcare sector. Revenue growth of 5.4% year-over-year demonstrates steady top-line expansion, supported by gross margins of 27.94%. The company's debt-to-equity ratio of 61.87 is manageable, though it warrants monitoring in a rising interest rate environment.
 **Valuations:**  
 Elevance Health's valuation metrics suggest it is trading at a discount relative to its historical averages and peers. The price-to-book ratio of 2.15 and enterprise value-to-revenue ratio of 0.46 indicate that the stock may be undervalued, particularly given its strong cash position of $37.93 billion. Analyst sentiment remains positive, with a recommendation mean of 1.68 (indicating a "buy") and a target median price of $480, representing significant upside potential from current levels.
 **Economic Outlook:**  
 The broader macroeconomic environment presents both challenges and opportunities for Elevance Health. The implementation of new tariffs and inflationary pressures could increase healthcare costs, potentially impacting margins. However, the managed healthcare industry is generally resilient to economic downturns, as demand for healthcare services remains stable. The company's strong cash reserves and operational efficiency position it well to navigate these headwinds. Additionally, its beta of 0.85 suggests lower volatility compared to the broader market, making it a relatively defensive investment in uncertain times.
 **Conclusion:**  
 Elevance Health's financial stability, attractive valuation, and defensive characteristics make it a compelling player in the managed healthcare sector. While earnings growth has faced recent challenges, the company's strong cash position, consistent revenue growth, and positive analyst sentiment provide a solid foundation for long-term performance. However, macroeconomic uncertainties, including inflation and potential regulatory changes, could weigh on near-term results.
 **Score:** 78</t>
  </si>
  <si>
    <t>**Investment Report: Eastman Chemical Company (EMN)**
 **Recent News:**  
 Eastman Chemical Company reported Q4 earnings of $1.87 per share, surpassing analyst expectations of $1.58 per share. This represents a significant improvement from $1.31 per share in the same quarter last year. The earnings beat was driven by a favorable sales/volume mix and higher selling prices, reflecting the company's ability to manage pricing power effectively in a challenging macroeconomic environment. However, sales lagged expectations, indicating potential headwinds in demand or competitive pressures in certain segments. The mixed results highlight Eastman Chemical's resilience but also underscore the need to monitor broader economic and industry-specific trends.
 **Financials:**  
 Eastman Chemical's financial metrics reveal a stable yet cautious outlook. The company has a trailing P/E ratio of 16.92 and a forward P/E of 12.89, suggesting a relatively attractive valuation compared to its historical earnings growth. The dividend yield of 1.6% is slightly below its five-year average of 1.64%, but the payout ratio of 26.7% indicates a sustainable dividend policy. The company's gross margins of 72% and operating margins of 23.1% reflect strong operational efficiency, though earnings growth has declined by 47.7% year-over-year, signaling potential challenges in maintaining profitability. Revenue growth of 3% is modest, but the company's return on equity (35.85%) and return on assets (6.92%) remain robust, showcasing effective capital utilization.
 Eastman Chemical's balance sheet shows a high debt-to-equity ratio of 145%, which could pose risks in a rising interest rate environment. However, the company maintains a healthy current ratio of 1.25 and quick ratio of 1.09, indicating sufficient liquidity to meet short-term obligations. Free cash flow of $1.52 billion and operating cash flow of $1.86 billion provide additional financial flexibility.
 **Valuations:**  
 The stock is trading at a price-to-book ratio of 5.97, which is relatively high compared to peers in the specialty chemicals industry. The enterprise value-to-revenue ratio of 3.44 and enterprise value-to-EBITDA ratio of 13.48 suggest the stock is fairly valued, though not deeply discounted. Analysts have a median price target of $64, slightly below the current trading range, with a recommendation mean of 2.68 (indicating a "hold" consensus). The stock's 52-week performance has been strong, with a 58.18% increase, significantly outperforming the S&amp;P 500's 21.93% gain over the same period.
 **Economic Outlook:**  
 Eastman Chemical operates in the specialty chemicals industry, which is sensitive to macroeconomic conditions and global trade dynamics. The recent imposition of tariffs by the U.S. administration on imports from Canada, Mexico, and China could disrupt supply chains and increase input costs for the company. Additionally, inflationary pressures and potential trade retaliation may weigh on demand for specialty chemicals in key markets. However, Eastman Chemical's ability to pass on higher costs through pricing adjustments, as evidenced in its Q4 results, provides some insulation against these risks.
 The broader economic environment remains uncertain, with rising inflation and potential Federal Reserve tightening posing challenges for industrial and manufacturing sectors. Eastman Chemical's high beta of 1.34 indicates that the stock is more volatile than the broader market, which could amplify price swings in response to macroeconomic developments.
 **Conclusion:**  
 Eastman Chemical's strong Q4 earnings performance and operational efficiency are positive indicators, but the company faces headwinds from slowing earnings growth, high debt levels, and macroeconomic uncertainties. While the stock appears fairly valued, its exposure to global trade dynamics and inflationary pressures warrants caution. The company's ability to navigate these challenges and sustain its pricing power will be critical in determining its near-term performance.
 **Score:** 72</t>
  </si>
  <si>
    <t>**Investment Report: Emerson Electric (EMR)**
 **Recent News:**  
 Emerson Electric is set to release its Q1 earnings, with analysts expecting growth driven by strong performance in the energy and power markets. The company's recent acquisition of the remaining stake in AspenTech is a strategic move to bolster its automation portfolio, positioning it well in the industrial automation and software space. However, concerns about high operating expenses could weigh on margins, potentially limiting the upside in earnings. While Wall Street anticipates earnings growth, the company may face challenges in surpassing expectations due to these cost pressures.
 **Financials:**  
 Emerson Electric's financial metrics reflect a solid foundation, with a market capitalization of $72.8 billion and a 52-week price change of +37.86%, outperforming the S&amp;P 500's +21.93% over the same period. The company has demonstrated strong revenue growth of 12.9% year-over-year, supported by gross margins of 52.1% and EBITDA margins of 26.4%. Earnings growth of 34.2% and revenue per share of $30.62 highlight its operational efficiency. However, the trailing P/E ratio of 45.34 suggests a premium valuation, while the forward P/E of 19.75 indicates expectations of continued earnings growth. The company's debt-to-equity ratio of 30.38% is manageable, supported by a healthy free cash flow of $3.09 billion and a quick ratio of 1.32, reflecting strong liquidity.
 **Valuations:**  
 Emerson Electric's current price-to-book ratio of 3.37 and price-to-sales ratio of 4.16 suggest the stock is trading at a premium compared to its peers in the Electrical Components &amp; Equipment industry. The dividend yield of 1.62% is below its five-year average of 2.35%, indicating limited income appeal at current levels. Analysts have a mean target price of $140.15, implying modest upside potential from the current price of $128.19. The recommendation mean of 1.76 (Buy) reflects positive sentiment, supported by the company's strategic acquisitions and growth prospects.
 **Economic Outlook:**  
 The broader macroeconomic environment presents mixed signals for Emerson Electric. The ongoing trade tensions and tariffs imposed by the U.S. administration could disrupt supply chains and increase input costs, potentially pressuring margins. However, the company's focus on automation and energy markets aligns with long-term trends in industrial efficiency and sustainability, which could provide resilience amid economic uncertainty. Additionally, the recent global tech market volatility may have limited direct impact on Emerson, given its diversified industrial focus.
 **Conclusion:**  
 Emerson Electric is well-positioned to benefit from its strategic acquisitions and strong presence in the energy and automation markets. However, high operating expenses and macroeconomic headwinds, including trade tariffs, could pose challenges in the near term. While the company's financial health and growth prospects remain robust, its premium valuation and potential margin pressures warrant cautious optimism for the next month.
 **Score:** 72</t>
  </si>
  <si>
    <t>**Investment Report: EOG Resources**
 **Recent News:**  
 EOG Resources is positioned to benefit from the newly implemented tariffs on Canadian oil imports, which are expected to raise U.S. gas prices. As a U.S.-based oil and gas producer, EOG Resources stands to gain from higher domestic energy prices, which could bolster its profit margins. The company has demonstrated strong operational efficiency, with reduced breakeven prices and significant free cash flow generation. These factors support its ability to maintain high dividend payouts and share repurchase programs, enhancing shareholder value. Additionally, EOG's focus on production efficiency and financial discipline aligns with its strategy to deliver robust returns, even in a volatile macroeconomic environment.
 **Financials:**  
 EOG Resources exhibits solid financial health, with a strong current ratio of 4.562 and a quick ratio of 4.396, indicating ample liquidity to meet short-term obligations. The company has a low debt-to-equity ratio of 4.654, reflecting prudent financial management. EOG's trailing price-to-earnings (P/E) ratio of 33.37 and forward P/E ratio of 22.53 suggest that the market anticipates earnings growth, supported by its earnings growth rate of 43.6% and revenue growth of 1.3%. The company’s free cash flow of $629.56 million and operating cash flow of $600.28 million further underscore its ability to fund operations and shareholder returns. However, its profit margin of 9.68% and EBITDA margin of 14.22% are moderate compared to industry peers, leaving room for improvement.
 **Valuations:**  
 EOG Resources is trading at a price-to-book ratio of 4.09, which is relatively high but reflects the market's confidence in its asset quality and growth potential. The stock's 52-week range of $169.43 to $317.50 indicates significant volatility, with the current price near $253.96 suggesting a recovery from recent lows. Analyst sentiment remains positive, with a mean target price of $261.07 and a recommendation key of "buy." The company's enterprise value-to-revenue ratio of 2.73 and enterprise value-to-EBITDA ratio of 19.2 suggest that it is fairly valued relative to its earnings potential.
 **Economic Outlook:**  
 The broader macroeconomic environment presents both opportunities and risks for EOG Resources. The new tariffs on Canadian oil imports are expected to create a favorable pricing environment for U.S. oil producers, potentially boosting EOG's revenue. However, the inflationary pressures stemming from these tariffs and the potential for retaliatory trade measures could weigh on broader economic growth. Additionally, the ongoing volatility in global energy markets, exacerbated by geopolitical tensions and sanctions on Russia's energy sector, could impact oil price stability. EOG's strong financial position and operational efficiency provide a buffer against these uncertainties, positioning it to capitalize on favorable market conditions while mitigating downside risks.
 **Score:** 85</t>
  </si>
  <si>
    <t>**Investment Report: EPAM Systems**
 **Recent News:**  
 EPAM Systems has not been in the spotlight recently, with no significant news or developments reported in the past week. This lack of news suggests stability in operations but also indicates no immediate catalysts for growth or concern.
 **Financials:**  
 EPAM Systems' financial performance reflects a mixed picture. The stock has experienced significant volatility, with a recent trading range between $59.70 and $65.93, and a 52-week low of $58.33, indicating it is trading near its lowest levels in the past year. The company’s beta of 1.767 suggests higher-than-average market volatility, which could amplify price swings in the current uncertain macroeconomic environment.
 The trailing price-to-earnings (P/E) ratio of 138.93 is notably high, signaling that the stock is expensive based on past earnings. However, the forward P/E of 17.65 indicates expectations of improved profitability in the future. The company’s profit margins are modest at 4.91%, and earnings growth has been negative, with a decline of 59.8% year-over-year. Revenue growth has also contracted by 30.9%, reflecting challenges in maintaining top-line performance.
 EPAM’s balance sheet shows a strong liquidity position, with a quick ratio of 3.60 and a current ratio of 4.16, indicating the company is well-equipped to meet short-term obligations. However, the debt-to-equity ratio of 143.04% highlights a significant reliance on debt financing, which could pose risks in a rising interest rate environment. The company’s free cash flow of $280.16 million and operating cash flow of $381.85 million provide some reassurance of its ability to generate cash despite recent challenges.
 **Valuations:**  
 EPAM’s valuation metrics present a mixed outlook. The price-to-book ratio of 9.27 suggests the stock is trading at a premium relative to its book value, which may deter value-focused investors. The enterprise value-to-revenue ratio of 6.56 and enterprise value-to-EBITDA ratio of 79.69 further indicate a high valuation relative to its earnings and revenue generation capabilities. Analyst sentiment remains cautiously optimistic, with a mean price target of $88.10, representing potential upside from current levels, though the wide range of target prices ($57 to $145) reflects uncertainty.
 **Economic Outlook:**  
 The broader macroeconomic environment poses challenges for EPAM Systems. The recent global tech market crash, driven by competitive pressures from Chinese advancements in AI, has weighed heavily on the technology sector. While EPAM operates in IT consulting and services rather than hardware or AI development, the sector-wide sentiment could impact its valuation and growth prospects. Additionally, the imposition of tariffs by the U.S. administration may disrupt global supply chains and increase costs for technology companies, indirectly affecting EPAM’s clients and demand for its services.
 The company’s high exposure to institutional investors (92.57%) and a short interest ratio of 6.67 suggest that market participants are closely monitoring its performance, with some betting on further downside. The overall risk profile, including high audit, board, and shareholder rights risks, adds to the uncertainty surrounding the stock.
 **Conclusion:**  
 EPAM Systems faces a challenging environment marked by declining earnings and revenue growth, high debt levels, and sector-wide headwinds. While its strong liquidity and cash flow generation provide some stability, the high valuation metrics and macroeconomic uncertainties weigh on its near-term investment potential. The lack of recent news or developments further limits visibility into potential catalysts for recovery.
 **Score:** 45</t>
  </si>
  <si>
    <t>**Investment Report: Equinix (Data Center REITs Industry)**
 **Recent News:**  
 Equinix has not been in the headlines over the past week, suggesting stability in its operations and no immediate disruptions or major announcements. This lack of news may indicate a steady business environment, though it also means no recent catalysts for significant price movement.
 **Financials:**  
 Equinix's financial performance reflects its position as a leader in the data center REITs industry. The company has a robust market capitalization of $88.29 billion and a trailing P/E ratio of 82.73, which is high but typical for a growth-oriented REIT. Its forward P/E ratio of 69.99 suggests expectations of continued earnings growth. The firm’s revenue growth of 18.9% year-over-year and earnings growth of 5.8% highlight its ability to expand in a competitive market. 
 Equinix maintains strong profitability metrics, with gross margins of 48.07% and EBITDA margins of 39.91%. However, its debt-to-equity ratio of 140.96 indicates a high reliance on leverage, which is common in the REIT sector but could pose risks in a rising interest rate environment. The company’s free cash flow of $2.95 billion and operating cash flow of $3.27 billion provide a solid foundation for sustaining its dividend payments and funding growth initiatives.
 The dividend yield of 1.87% is slightly below its five-year average of 1.68%, reflecting the stock's strong price performance over the past year. The payout ratio of 153.65% is high, but this is typical for REITs, which are required to distribute most of their earnings to shareholders.
 **Valuations:**  
 Equinix is trading at a price-to-book ratio of 6.50, significantly above the industry average, indicating a premium valuation. Its enterprise value-to-revenue ratio of 12.47 and enterprise value-to-EBITDA ratio of 31.23 also suggest a rich valuation. Analysts remain optimistic, with a mean target price of $1,017.13, representing potential upside from the current price. The recommendation mean of 1.63 (on a scale where 1.0 is a strong buy) reflects strong confidence in the stock's prospects.
 **Economic Outlook:**  
 The broader macroeconomic environment presents mixed implications for Equinix. The recent imposition of tariffs and trade tensions could increase costs for technology and infrastructure companies, potentially impacting Equinix's operations. However, the ongoing digital transformation and demand for data centers remain strong tailwinds for the company. The firm's beta of 0.701 indicates lower volatility compared to the broader market, which could make it a relatively stable investment in uncertain times.
 The recent global tech market selloff, driven by competition from Chinese AI advancements, has not directly impacted Equinix but underscores the competitive pressures in the technology sector. Equinix's role as a critical infrastructure provider positions it to benefit from the continued growth of cloud computing, AI, and digital services, even amid broader market volatility.
 **Conclusion:**  
 Equinix's strong financial performance, robust cash flow, and leadership in the data center REITs industry position it well for long-term growth. However, its high valuation and reliance on leverage warrant caution, particularly in a challenging macroeconomic environment. The company's stability and growth prospects make it an attractive option for investors seeking exposure to the digital infrastructure sector.
 **Score:** 85</t>
  </si>
  <si>
    <t>**Investment Report: EQT Corporation**
 **Recent News:**  
 EQT Corporation has not been in the news over the past week, indicating a lack of significant developments or disruptions. This stability may reflect a steady operational environment, though it also suggests no immediate catalysts for substantial price movement.
 **Financials:**  
 EQT Corporation's financial performance shows mixed signals. The company has a trailing price-to-earnings (PE) ratio of 69.57, which is significantly higher than its forward PE of 17.68, suggesting expectations of improved earnings in the future. The firm’s dividend yield of 1.23% is modest but above its five-year average of 0.49%, indicating a potential shift toward returning more value to shareholders. However, the payout ratio of 84% suggests limited room for further dividend increases without significant earnings growth.  
 The company’s revenue growth of 19.5% year-over-year is a positive indicator, supported by strong gross margins of 50.36% and EBITDA margins of 56.26%. However, operating margins are negative at -22.05%, reflecting inefficiencies or high operating costs that need to be addressed. EQT’s debt-to-equity ratio of 67.32% is relatively high, which could pose risks in a rising interest rate environment, though its operating cash flow of $2.7 billion provides some cushion for debt servicing.  
 **Valuations:**  
 EQT’s price-to-book ratio of 1.53 suggests the stock is trading at a reasonable premium to its book value, which is not excessive for the industry. The enterprise value-to-EBITDA ratio of 17.30 is on the higher side, indicating the stock may be relatively expensive compared to peers. Analysts have a median price target of $54, close to the current trading range, implying limited upside in the near term. However, the high target price of $73 reflects optimism among some analysts about the company’s long-term potential.  
 **Economic Outlook:**  
 The broader macroeconomic environment presents challenges for EQT Corporation. The recent imposition of tariffs by the U.S. administration could increase costs for energy companies reliant on imported equipment or materials. Additionally, new sanctions on Russia’s energy sector may create volatility in global energy markets, potentially benefiting EQT if natural gas prices rise due to supply disruptions. However, the company’s high debt levels and relatively low quick and current ratios (0.36 and 0.51, respectively) could limit its ability to navigate prolonged economic uncertainty.  
 **Conclusion:**  
 EQT Corporation demonstrates strong revenue growth and profitability at the gross margin level, but its negative operating margins and high debt levels raise concerns. While the company’s valuation metrics suggest it is not excessively overvalued, the lack of immediate catalysts and broader economic headwinds may limit short-term upside. The firm’s exposure to natural gas markets could provide opportunities if energy prices rise, but operational inefficiencies and financial leverage remain key risks.
 **Score:** 65</t>
  </si>
  <si>
    <t>**Investment Report: Erie Indemnity**
 **Recent News:**  
 Erie Indemnity has not been featured in any significant news over the past week. This absence of news suggests stability in its operations, with no major disruptions or developments impacting its business. However, in a volatile macroeconomic environment, the lack of news can also indicate limited catalysts for short-term price movement.
 **Financials:**  
 Erie Indemnity demonstrates strong financial health, with a market capitalization of $21.1 billion and a low beta of 0.454, indicating reduced volatility compared to the broader market. The company has a trailing price-to-earnings (P/E) ratio of 37.79 and a forward P/E of 28.22, reflecting a premium valuation relative to its earnings growth. Its dividend yield of 1.36% is below its five-year average of 1.82%, suggesting that the stock price has appreciated faster than its dividend growth. The payout ratio of 47.7% indicates a sustainable dividend policy, supported by robust free cash flow of $349.3 million.
 Erie Indemnity's revenue growth of 16.4% and earnings growth of 22% year-over-year highlight its ability to expand in a challenging economic environment. The company maintains strong profitability metrics, with a return on equity (ROE) of 31.4% and return on assets (ROA) of 15.7%, both of which are well above industry averages. Its operating margins of 18.5% and EBITDA margins of 19.3% further underscore its operational efficiency.
 The balance sheet is solid, with minimal debt of $7.9 million and a debt-to-equity ratio of 0.406, indicating prudent financial management. The quick ratio of 1.231 and current ratio of 1.36 reflect adequate liquidity to meet short-term obligations.
 **Valuations:**  
 Erie Indemnity's valuation metrics suggest that the stock is trading at a premium. Its price-to-book ratio of 10.83 is significantly higher than the industry average, reflecting investor confidence in its business model and growth prospects. However, the elevated P/E ratios and enterprise value-to-EBITDA multiple of 29.35 may limit upside potential in the near term, especially in a market environment where rising interest rates and inflationary pressures could compress valuations.
 **Economic Outlook:**  
 The broader macroeconomic environment presents mixed implications for Erie Indemnity. The recent implementation of tariffs and trade tensions could lead to inflationary pressures, potentially impacting consumer spending and business activity. However, the insurance industry is generally resilient to economic downturns, as demand for insurance products tends to remain stable. Erie Indemnity's focus on the insurance brokerage sector positions it well to benefit from continued growth in the industry, supported by its strong financial performance and operational efficiency.
 The company's low beta and strong cash flow generation make it a relatively defensive investment in a volatile market. However, the broader market's reaction to geopolitical tensions, inflationary pressures, and potential Federal Reserve policy changes could weigh on investor sentiment, particularly for stocks with premium valuations.
 **Conclusion:**  
 Erie Indemnity is a financially robust company with strong growth metrics and a stable dividend policy. However, its premium valuation and the broader economic uncertainties may limit short-term upside potential. The company's defensive characteristics, including low beta and strong profitability, make it a solid performer in uncertain times, but its high valuation warrants caution in the near term.
 **Score:** 72</t>
  </si>
  <si>
    <t>**Investment Report:**
 Eversource Energy, a prominent player in the Electric Utilities industry, presents a mixed financial and operational outlook. Despite the absence of recent news, the firm's financial metrics and broader economic conditions provide insights into its current position and potential trajectory.
 **Recent Financials:**
 Eversource Energy's stock has shown some volatility, with a recent trading range between $56.72 and $58.67. The stock is trading below its 50-day and 200-day averages, indicating a potential bearish sentiment in the short term. The company offers a robust dividend yield of 5.22%, significantly above its five-year average of 3.38%, which may appeal to income-focused investors. However, the high payout ratio of 79.72% raises concerns about the sustainability of these dividends, especially given the firm's negative profit margins (-4.73%) and trailing EPS of -$1.61.
 The firm's forward P/E ratio of 12.25 suggests that the market expects improved earnings in the future, supported by a forward EPS estimate of $4.78. However, the company's high debt-to-equity ratio of 187.77% and negative free cash flow (-$2.84 billion) highlight financial leverage and liquidity challenges. Additionally, the quick ratio of 0.33 and current ratio of 0.86 indicate limited short-term liquidity, which could be a concern in a rising interest rate environment.
 **Valuations and Analyst Sentiment:**
 Eversource Energy's price-to-book ratio of 1.41 is relatively modest, suggesting the stock is not overvalued compared to its book value. Analysts maintain a generally positive outlook, with a recommendation mean of 2.15 (indicating a "buy") and a target median price of $71, implying potential upside from current levels. However, the wide range between the target high price of $87 and the low of $47 reflects uncertainty in the firm's future performance.
 **Economic and Industry Outlook:**
 The broader macroeconomic environment poses challenges for Eversource Energy. The recent implementation of tariffs and rising inflationary pressures could increase operational costs, particularly for utilities reliant on imported materials or equipment. Additionally, the Federal Reserve's potential hawkish stance to combat inflation may lead to higher borrowing costs, further straining Eversource's already leveraged balance sheet.
 On the positive side, the firm's revenue growth of 9.7% and strong gross margins of 49.4% indicate resilience in its core operations. The utility sector often benefits from its defensive nature during periods of economic uncertainty, as demand for essential services remains relatively stable. However, Eversource's negative return on equity (-3.49%) and return on assets (2.99%) suggest inefficiencies in capital utilization, which could hinder long-term growth.
 **Conclusion:**
 Eversource Energy's high dividend yield and stable revenue growth are offset by significant financial leverage, liquidity concerns, and negative profitability metrics. While the stock may appeal to income-focused investors, its current challenges and broader economic headwinds warrant caution. The firm's ability to navigate these issues and improve operational efficiency will be critical to its future performance.
 **Score:** 55</t>
  </si>
  <si>
    <t>**Investment Report: Essex Property Trust (ESS)**
 **Recent News:**  
 Essex Property Trust is poised to release its Q4 earnings, with expectations of benefiting from a robust property portfolio, sustained demand, and the integration of technological advancements. Despite challenges from elevated supply in the multi-family residential market, the firm’s strategic positioning in high-demand regions and its operational efficiencies are likely to support stable performance. The focus on leveraging technology to enhance tenant experiences and streamline operations could provide a competitive edge in a challenging macroeconomic environment.
 **Financials:**  
 Essex Property Trust exhibits a solid financial foundation with a market capitalization of $18.94 billion and a dividend yield of 3.44%, slightly above its five-year average. The firm’s trailing P/E ratio of 33.18 and forward P/E of 46.91 suggest a premium valuation, reflecting investor confidence in its growth prospects. However, the elevated payout ratio of 112.85% indicates that dividend sustainability may be under pressure if earnings growth slows. The company’s revenue growth of 7.6% and earnings growth of 35.3% highlight its ability to navigate current market conditions effectively. Additionally, its gross margins of 68.28% and EBITDA margins of 63.31% underscore strong operational efficiency.
 Debt levels remain a concern, with a debt-to-equity ratio of 113.37%, which could pose challenges in a rising interest rate environment. However, the firm’s free cash flow of $730.36 million and operating cash flow of $1.05 billion provide a cushion to manage debt obligations and fund operations.
 **Valuations:**  
 Essex Property Trust’s price-to-book ratio of 3.36 and enterprise value-to-revenue ratio of 14.18 indicate a relatively high valuation compared to peers in the REIT sector. The stock is trading near the midpoint of its 52-week range ($223.06 - $317.73), suggesting limited immediate upside potential. Analyst price targets range from $280 to $370, with a mean target of $305.88, implying modest upside from current levels. The recommendation mean of 2.70 (on a scale where 1 is a strong buy and 5 is a sell) reflects a cautious "hold" sentiment among analysts.
 **Economic Outlook:**  
 The broader economic environment presents mixed signals for Essex Property Trust. Rising tariffs and inflationary pressures could dampen consumer spending and economic growth, indirectly affecting demand for rental properties. However, the multi-family residential sector remains resilient, supported by housing affordability challenges and demographic trends favoring rental demand. The company’s focus on high-growth markets along the West Coast positions it well to capitalize on these trends, though risks from elevated supply and potential regulatory changes in key markets persist.
 **Conclusion:**  
 Essex Property Trust is well-positioned to deliver stable performance in the near term, supported by its strong property portfolio, operational efficiencies, and strategic focus on high-demand markets. However, elevated valuations, high debt levels, and macroeconomic uncertainties warrant a cautious outlook. The firm’s ability to sustain growth and manage risks will be critical in determining its investment potential over the next month.
 **Score:** 72</t>
  </si>
  <si>
    <t>**Investment Report: Eaton Corporation**
 **Recent News:**  
 Eaton Corporation has recently experienced a stock pullback, which has drawn attention as a potential trading opportunity. Despite this decline, the company reported record operating margins and earnings for 2024, with expectations of continued growth in 2025. Eaton forecasts a 7-9% sales growth and a 12.6% EPS growth for the year, signaling robust performance. However, the Q4 2024 revenue missed expectations, leading to a dip in share prices. This revenue miss contrasts with the company's strong Q4 earnings per share of $2.83, which exceeded estimates and marked an increase from the prior year. Eaton's electrical and aerospace segments continue to drive growth, supported by strong secular trends, while its vehicle and e-mobility segments have underperformed. The company's strong order backlog and growth prospects position it well for the future, despite short-term challenges.
 **Financials:**  
 Eaton's financial metrics reflect a solid foundation. The company has a trailing P/E ratio of 33.2 and a forward P/E of 23.37, indicating expectations of future earnings growth. Its profit margins stand at 15.31%, with operating margins of 19.23%, showcasing operational efficiency. Eaton's revenue growth of 7.9% and earnings growth of 14% highlight its ability to expand in a challenging macroeconomic environment. The company maintains a healthy dividend yield of 1.15%, with a payout ratio of 39.15%, suggesting a balanced approach to rewarding shareholders while retaining capital for growth. However, its price-to-book ratio of 6.52 and enterprise value-to-EBITDA ratio of 25.21 suggest the stock is trading at a premium, which may limit upside potential in the near term.
 **Valuations:**  
 Eaton's valuation metrics indicate a mixed picture. While the forward P/E ratio of 23.37 is more reasonable compared to its trailing P/E, the stock's price-to-sales ratio of 5.07 and price-to-book ratio of 6.52 suggest it is relatively expensive compared to peers in the electrical components and equipment industry. The company's 52-week price range of $255.65 to $379.99 shows that the current price is closer to the lower end of its recent trading range, which could present an entry point for long-term investors. Analysts maintain a positive outlook, with a mean target price of $376.75, implying potential upside from current levels.
 **Economic Outlook:**  
 Eaton operates in an environment influenced by macroeconomic headwinds, including inflationary pressures and trade uncertainties stemming from new tariffs imposed by the U.S. administration. These factors could impact supply chains and input costs, particularly for its vehicle and e-mobility segments, which are already underperforming. However, the company's focus on electrical and aerospace segments aligns with long-term secular trends, such as electrification and energy efficiency, which are expected to drive demand. Eaton's strong order backlog and operational efficiency provide resilience against short-term economic challenges.
 **Conclusion:**  
 Eaton Corporation remains a fundamentally strong company with robust growth prospects in its core segments. While the recent revenue miss and stock pullback reflect short-term challenges, the company's record earnings, strong margins, and alignment with secular growth trends position it well for the future. However, its premium valuation and exposure to macroeconomic risks warrant caution in the near term. The stock's current price may offer an opportunity for long-term investors, but short-term volatility should be expected.
 **Score:** 78</t>
  </si>
  <si>
    <t>**Investment Report: Entergy Corporation (Electric Utilities)**
 **Recent News:**  
 Entergy Corporation has not been in the news over the past week, indicating a lack of significant developments or disruptions. This stability may reflect the company's focus on its core operations in the electric utilities sector, which is often less volatile compared to other industries. However, the absence of news also suggests no immediate catalysts for growth or concerns that could impact its valuation in the short term.
 **Financials:**  
 Entergy's financial performance reflects a mixed picture. The company has a trailing price-to-earnings (P/E) ratio of 19.91 and a forward P/E of 21.09, suggesting that the stock is trading at a premium relative to its earnings, which may limit upside potential. The dividend yield of 2.96% is below its five-year average of 3.77%, indicating that the current yield is less attractive compared to historical levels. Additionally, the payout ratio of 54.92% suggests that the company is maintaining a sustainable dividend policy, though it leaves limited room for significant increases in the near term.
 The company's beta of 0.701 highlights its lower volatility compared to the broader market, making it a relatively stable investment. However, Entergy's earnings and revenue growth have been negative, with earnings declining by 4.8% and revenue shrinking by 5.7% year-over-year. This contraction reflects challenges in the operating environment, potentially linked to broader economic headwinds or sector-specific issues.
 Entergy's debt-to-equity ratio of 188.81% is notably high, indicating significant leverage. While this is common in the utilities sector due to the capital-intensive nature of the business, it raises concerns about the company's ability to manage its debt, particularly in a rising interest rate environment. The company's free cash flow is negative at -$1.58 billion, further emphasizing potential liquidity constraints.
 **Valuations:**  
 Entergy's price-to-book (P/B) ratio of 1.17 suggests that the stock is trading close to its book value, which may indicate fair valuation. The enterprise value-to-revenue ratio of 3.84 and enterprise value-to-EBITDA ratio of 9.9 are within reasonable ranges for the utilities sector, reflecting a balanced valuation relative to its earnings and revenue generation capacity. Analyst sentiment appears moderately positive, with a recommendation mean of 2.05 (indicating a "buy") and a median target price of $82, which is close to the current trading range.
 **Economic Outlook:**  
 The broader macroeconomic environment presents challenges for Entergy. The recent implementation of tariffs and trade tensions could indirectly impact the company through higher input costs or disruptions in supply chains. Additionally, inflationary pressures and potential Federal Reserve rate hikes may increase borrowing costs, further straining Entergy's heavily leveraged balance sheet. However, the electric utilities sector is generally considered defensive, and Entergy's stable cash flows from regulated operations may provide some insulation from broader market volatility.
 **Conclusion:**  
 Entergy's stable operations and relatively low volatility make it a defensive play in uncertain economic conditions. However, the company's high leverage, negative free cash flow, and declining earnings and revenue growth are notable concerns. While the stock appears fairly valued, the lack of immediate growth catalysts and broader economic headwinds may limit its near-term upside potential.
 **Score:** 65</t>
  </si>
  <si>
    <t>**Investment Report: Evergy (Electric Utilities Industry)**
 **Recent News:**  
 Evergy has not been in the spotlight recently, with no significant news or developments reported in the past week. This lack of news suggests stability in operations but also indicates no immediate catalysts for significant price movement.
 **Financials:**  
 Evergy's financial performance reflects a solid position within the electric utilities sector. The company has a trailing price-to-earnings (PE) ratio of 17.53 and a forward PE of 16.09, indicating a reasonable valuation relative to its earnings growth. The dividend yield of 4.16% is above its five-year average of 3.85%, making it attractive for income-focused investors. The payout ratio of 69.46% suggests the dividend is sustainable, though it leaves limited room for reinvestment in growth.  
 The company has shown strong earnings growth of 32.4% year-over-year, supported by revenue growth of 8.5%. Gross margins of 51.57% and operating margins of 34.44% highlight operational efficiency. However, the free cash flow is negative at -$864.6 million, which could be a concern for long-term financial flexibility. The debt-to-equity ratio of 137.46% is high, reflecting significant leverage, though this is common in the capital-intensive utilities sector.  
 **Valuations:**  
 Evergy's price-to-book ratio of 1.49 is reasonable, suggesting the stock is not overvalued relative to its assets. The stock is trading near its 52-week high of $65.47, with a current price of $64.17. Analyst sentiment is positive, with a "buy" recommendation and a target median price of $67, implying modest upside potential. The beta of 0.608 indicates lower volatility compared to the broader market, aligning with the defensive nature of the utilities sector.
 **Economic Outlook:**  
 The broader economic environment presents mixed implications for Evergy. The recent imposition of tariffs and inflationary pressures could increase costs for utilities, particularly in sourcing materials for infrastructure projects. However, the defensive nature of the utilities sector may provide resilience during economic uncertainty, as demand for electricity remains relatively inelastic. Additionally, Evergy's focus on dividends and stable cash flows aligns well with investor preferences in volatile markets.  
 The company's exposure to environmental, social, and governance (ESG) factors could also play a role in its long-term prospects. As the energy sector transitions toward renewable sources, Evergy's ability to adapt and invest in sustainable energy solutions will be critical for maintaining competitiveness and aligning with regulatory trends.
 **Conclusion:**  
 Evergy's stable financial performance, attractive dividend yield, and reasonable valuation make it a solid player in the electric utilities sector. However, high leverage and negative free cash flow warrant caution. The lack of recent news suggests no immediate catalysts, but the company's defensive characteristics and alignment with ESG trends position it well for long-term stability.
 **Score:** 78</t>
  </si>
  <si>
    <t>**Investment Report: Edwards Lifesciences Corporation (EW)**
 **Recent News:**  
 Edwards Lifesciences has been highlighted for its potential growth in 2025, driven by the expansion of its transcatheter aortic valve replacement (TAVR) segment and margin improvements. Analysts expect favorable hospitalization trends and increased procedural volumes to support the company's Q4 earnings. However, there are concerns about a potential decline in earnings, as the company may not meet the combination of factors necessary for an earnings beat. Despite this, the market has responded positively, with shares trading higher, reflecting optimism about the company's long-term growth prospects.
 **Financials:**  
 Edwards Lifesciences demonstrates a solid financial position with a market capitalization of $87.4 billion and a trailing price-to-earnings (PE) ratio of 20.32, which is reasonable for a company in the healthcare equipment sector. The forward PE ratio of 17.88 suggests expectations of earnings growth. The company has a gross margin of 49.9% and an EBITDA margin of 47.4%, indicating strong operational efficiency. However, the debt-to-equity ratio of 169.2% is notably high, which could pose risks if interest rates rise or cash flow weakens. The free cash flow is currently negative, which may limit flexibility for investments or debt reduction in the near term.
 **Valuations:**  
 The stock is trading at a price-to-book ratio of 1.81, which is relatively low for its industry, suggesting it may be undervalued compared to its peers. Analysts have set a target price range of $111 to $132, with a mean target of $121.38, indicating potential upside from the current price of $112.85. The recommendation mean of 2.16 (on a scale where 1 is a strong buy and 5 is a sell) reflects a generally favorable outlook among analysts.
 **Economic Outlook:**  
 The broader economic environment presents mixed signals for Edwards Lifesciences. While the healthcare sector is generally resilient to macroeconomic pressures, the company's high debt levels and negative free cash flow could be concerning in a rising interest rate environment. Additionally, inflationary pressures and potential trade disruptions from new tariffs may increase costs for medical equipment manufacturers. However, the aging global population and increasing demand for advanced medical procedures like TAVR provide a strong tailwind for long-term growth.
 **Conclusion:**  
 Edwards Lifesciences is positioned for growth in 2025, supported by its leadership in the TAVR market and operational efficiency. While short-term earnings may face challenges, the company's long-term fundamentals remain strong. The high debt levels and negative free cash flow warrant caution, but the stock's valuation and growth potential make it an attractive prospect in the healthcare equipment sector.
 **Score:** 78</t>
  </si>
  <si>
    <t>**Investment Report: Expeditors International (Air Freight &amp; Logistics)**
 **Recent News:**  
 There have been no significant updates or developments regarding Expeditors International in the past week. This lack of news suggests stability in the company's operations, but it also indicates no immediate catalysts for significant stock movement.
 **Financials:**  
 Expeditors International's financial performance reflects a solid position within the Air Freight &amp; Logistics industry. The company has a market capitalization of $15.5 billion and a trailing price-to-earnings (P/E) ratio of 21.59, which is slightly above the industry average, indicating a premium valuation. The forward P/E ratio of 20.54 suggests modest earnings growth expectations. The firm has demonstrated strong profitability metrics, with a return on equity (ROE) of 30.29% and a return on assets (ROA) of 12.05%, both of which are robust for the sector. 
 The company maintains a healthy balance sheet, with a debt-to-equity ratio of 23.01%, indicating manageable leverage. Liquidity is strong, with a quick ratio of 1.46 and a current ratio of 1.72, ensuring the company can meet short-term obligations. Free cash flow of $454 million and operating cash flow of $632 million further highlight its financial stability. However, the gross margin of 13.14% and EBITDA margin of 10.15% suggest relatively thin margins, which are typical in the logistics industry.
 **Valuations:**  
 Expeditors International is trading near its 52-week low of $108.36, with a current price of approximately $110.82. This represents a decline of 9.86% over the past year, underperforming the S&amp;P 500, which has gained 21.93% in the same period. The stock's price-to-book ratio of 6.58 is high, reflecting a premium valuation relative to its book value. Analyst sentiment is cautious, with a recommendation mean of 3.59 (underperform) and a target median price of $115, suggesting limited upside potential in the near term.
 The dividend yield of 1.29% is slightly above the company's five-year average of 1.15%, indicating a stable income stream for investors. The payout ratio of 27.68% suggests the dividend is sustainable, supported by strong cash flows.
 **Economic Outlook:**  
 The broader macroeconomic environment presents challenges for Expeditors International. The recent implementation of tariffs by the U.S. government on imports from Canada, Mexico, and China could disrupt global trade flows and supply chains, directly impacting the logistics industry. Additionally, inflationary pressures and potential trade wars may increase costs and reduce demand for freight services. However, the company's revenue growth of 37% and earnings growth of 40.5% in the most recent quarter demonstrate resilience in navigating these headwinds.
 The global technology sector's recent downturn, driven by competition from Chinese AI advancements, may indirectly affect Expeditors International if reduced tech shipments impact freight volumes. However, the company's diversified operations and strong institutional ownership (94.87%) provide a degree of stability.
 **Conclusion:**  
 Expeditors International is a financially sound company with strong profitability and liquidity metrics. However, its premium valuation, cautious analyst sentiment, and exposure to macroeconomic risks such as tariffs and trade disruptions suggest limited near-term upside. While the company has demonstrated resilience in revenue and earnings growth, the broader economic environment and industry-specific challenges may weigh on performance in the coming month.
 **Score:** 65</t>
  </si>
  <si>
    <t>**Investment Report: Expedia Group (EXPE)**
 **Recent News:**  
 Expedia Group is poised for potential earnings growth in its upcoming Q4 2024 report, with analysts suggesting the company may exceed expectations. This optimism stems from a combination of favorable metrics, including strong revenue growth and operational efficiency. However, the broader economic environment, including inflationary pressures and potential disruptions in global travel due to geopolitical and environmental factors, could weigh on the company's performance.
 **Financials:**  
 Expedia's financial metrics reflect a mixed but generally positive outlook. The company has a trailing P/E ratio of 22.06 and a forward P/E of 12.04, indicating expectations of significant earnings growth. Its revenue growth of 3.3% year-over-year and earnings growth of 75.6% highlight strong operational performance. Gross margins remain robust at 89.19%, and operating margins are healthy at 21.18%. However, the company's debt-to-equity ratio of 255.42% is notably high, signaling a leveraged balance sheet that could pose risks in a rising interest rate environment. Free cash flow of $1.67 billion and total cash reserves of $4.92 billion provide some financial flexibility.
 **Valuations:**  
 Expedia's current price-to-sales ratio of 1.63 and price-to-book ratio of 16.53 suggest the stock is trading at a premium relative to its book value but remains reasonably valued compared to its revenue generation. The stock's beta of 1.785 indicates higher volatility compared to the broader market, which could amplify risks in the current uncertain economic climate. Analyst sentiment is moderately positive, with a mean price target of $192.09, representing potential upside from its recent trading levels.
 **Economic Outlook:**  
 The macroeconomic environment presents both opportunities and challenges for Expedia. The ongoing recovery in global travel demand supports the company's core business, but inflationary pressures and geopolitical uncertainties, such as tariffs and trade tensions, could dampen consumer spending on discretionary travel. Additionally, the recent California wildfires and other natural disasters may disrupt travel patterns in key markets. The company's high debt levels could also become a concern if interest rates rise further, increasing borrowing costs.
 **Conclusion:**  
 Expedia Group demonstrates strong earnings potential and operational efficiency, supported by robust margins and revenue growth. However, its high leverage and exposure to macroeconomic risks, including inflation and geopolitical uncertainties, warrant caution. While the stock offers potential upside, its elevated volatility and external risks may lead to short-term fluctuations.
 **Score:** 72</t>
  </si>
  <si>
    <t>**Investment Report: Extra Space Storage**
 **Recent News:**  
 There have been no significant developments or announcements regarding Extra Space Storage in the past week. This lack of news suggests stability in the company's operations, but it also indicates no immediate catalysts for significant price movement in the short term.
 **Financials:**  
 Extra Space Storage, a leading self-storage REIT, demonstrates strong financial fundamentals. The company has a market capitalization of $33.69 billion and a robust dividend yield of 4.21%, significantly above its five-year average of 3.3%. This indicates a commitment to returning value to shareholders, though the high payout ratio of 172.8% raises concerns about the sustainability of its dividend policy.  
 The firm’s trailing price-to-earnings (P/E) ratio of 40.62 and forward P/E of 33.53 suggest a premium valuation compared to the broader market, reflecting investor confidence in its growth prospects. However, the trailing PEG ratio of 4.80 indicates that the stock may be overvalued relative to its earnings growth. Revenue growth of 12% year-over-year is a positive sign, but earnings growth has declined by 5.1%, which could weigh on future profitability.  
 The company maintains strong operating metrics, with gross margins of 74.35% and EBITDA margins of 68.28%, highlighting its efficiency in managing costs. However, the debt-to-equity ratio of 81.83% and total debt of $12.24 billion indicate a high level of leverage, which could pose risks in a rising interest rate environment. Free cash flow of $1.04 billion and operating cash flow of $1.84 billion provide some reassurance regarding liquidity.
 **Valuations:**  
 Extra Space Storage is trading at a price-to-book ratio of 2.31, which is relatively high for the REIT sector, suggesting that the stock is priced at a premium to its net asset value. The stock is currently trading near the lower end of its 52-week range ($131.02 - $184.87), which may present an opportunity for value-oriented investors. Analyst price targets range from $155 to $184, with a median target of $168, indicating potential upside from current levels. However, the recommendation mean of 2.58 (between "hold" and "buy") reflects mixed sentiment among analysts.
 **Economic Outlook:**  
 The broader macroeconomic environment presents challenges for Extra Space Storage. The recent implementation of tariffs by the U.S. administration could lead to inflationary pressures, potentially increasing operating costs. Additionally, rising interest rates may impact the company’s ability to refinance its substantial debt load at favorable terms. However, the self-storage industry has historically been resilient during economic downturns, as demand for storage tends to remain stable or even increase during periods of financial uncertainty.  
 The company’s beta of 0.89 indicates lower volatility compared to the broader market, which could make it an attractive option for risk-averse investors in the current uncertain economic climate. However, the overall market volatility and potential headwinds from inflation and trade tensions could weigh on the stock’s performance in the near term.
 **Conclusion:**  
 Extra Space Storage exhibits strong operational efficiency and a solid dividend yield, but its high valuation metrics and declining earnings growth raise concerns. The company’s significant leverage and exposure to macroeconomic risks, such as rising interest rates and inflation, could limit its upside potential in the short term. While the self-storage industry remains a defensive play, the stock’s premium valuation and mixed analyst sentiment suggest a cautious approach.
 **Score:** 65</t>
  </si>
  <si>
    <t>**Investment Report: Ford Motor Company**
 **Recent News:**  
 Ford Motor Company has faced a mixed start to 2025. U.S. sales in January declined by 6.3%, primarily due to waning demand for internal combustion engine (ICE) vehicles. However, the company has demonstrated resilience in the electric vehicle (EV) market, with models like the Mustang Mach-E gaining traction. Despite the sales decline, Ford's stock has shown positive momentum, rising 4% by the end of January. Analysts are cautiously optimistic about Ford's upcoming Q4 earnings report, though the company may not be positioned for an earnings beat under current conditions. Technical analysis suggests a potential pullback in the stock price, which could temper short-term gains.
 **Financials:**  
 Ford's financial performance reflects both opportunities and challenges. In Q1 2024, revenue increased by 4% to $127.8 billion, but net income fell by 20% to $4.1 billion, indicating margin pressures. The company has made progress in reducing its debt, cutting $400 million, which strengthens its balance sheet. Ford's trailing P/E ratio of 13.88 and forward P/E of 10.66 suggest the stock is undervalued relative to its peers. Additionally, the company offers a dividend yield of 3.34%, which is attractive for income-focused investors. However, earnings growth has been negative (-14.3%), and revenue growth has declined by 3%, reflecting broader challenges in the automotive industry.
 **Valuations:**  
 Ford's valuation metrics indicate a potential opportunity for long-term investors. The stock trades at a price-to-book ratio of 1.58, below the industry average, and its market capitalization of $29.19 billion suggests room for growth if the company can capitalize on its EV strategy. Analysts have a median price target of $51, significantly above the current trading price of $10.20, indicating strong upside potential. However, risks remain, as Ford's earnings quarterly growth has declined by 13.2%, and its operating margins of 36.9% may face pressure from rising costs and supply chain disruptions.
 **Economic Outlook:**  
 The broader economic environment presents headwinds for Ford. The Trump administration's recent tariffs on imports from Canada, Mexico, and China could disrupt supply chains and increase production costs, particularly for automakers reliant on global trade. Additionally, inflationary pressures and potential Federal Reserve rate hikes may dampen consumer demand for big-ticket items like vehicles. On the positive side, Ford's focus on EVs aligns with long-term industry trends, as governments worldwide push for greener transportation solutions. However, competition in the EV market is intensifying, and Ford must continue to innovate to maintain its market share.
 **Conclusion:**  
 Ford Motor Company is navigating a challenging environment marked by declining ICE vehicle sales, rising costs, and macroeconomic uncertainties. However, its undervalued stock, strong EV portfolio, and efforts to reduce debt position it as a potential long-term value play. Short-term volatility is likely, given the economic and industry-specific pressures, but Ford's strategic pivot toward EVs and its attractive valuation metrics provide a foundation for future growth.
 **Score:** 68</t>
  </si>
  <si>
    <t>**Investment Report: Diamondback Energy**
 **Recent News:**  
 Diamondback Energy has not been in the headlines over the past week, suggesting stability in its operations and no immediate disruptions or catalysts. However, the broader macroeconomic environment, including new U.S. tariffs and sanctions on Russia's energy sector, could indirectly influence the oil and gas industry. These developments may create volatility in energy prices, potentially benefiting upstream exploration and production companies like Diamondback Energy.
 **Financials:**  
 Diamondback Energy's financial metrics reflect a mixed picture. The company has a strong dividend yield of 2.98%, supported by a low payout ratio of 3.97%, indicating a sustainable dividend policy. However, its trailing price-to-earnings (P/E) ratio of 131.24 and forward P/E of 150.87 suggest the stock is trading at a high valuation relative to its earnings, which may deter value-focused investors. The firm's revenue growth of 1.6% year-over-year is modest, while earnings growth has declined significantly by 96%, reflecting challenges in profitability. 
 The company maintains a solid balance sheet with a quick ratio of 1.6, indicating sufficient liquidity to cover short-term obligations. However, its debt-to-equity ratio of 79.83% highlights a relatively high level of leverage, which could pose risks in a rising interest rate environment. Free cash flow of $1.89 billion and operating cash flow of $1.95 billion provide some reassurance regarding its ability to manage debt and fund operations.
 **Valuations:**  
 Diamondback Energy's price-to-book ratio of 2.61 is reasonable for the industry, but its enterprise value-to-EBITDA ratio of 31.03 is elevated, suggesting the stock may be overvalued compared to peers. The stock is trading closer to its 52-week low of $131.42 than its high of $198.00, which could indicate potential upside if market conditions improve. Analyst sentiment remains positive, with a "buy" recommendation and a target median price of $201, implying a 23% upside from the current price of $163.86.
 **Economic Outlook:**  
 The broader economic environment presents both opportunities and risks for Diamondback Energy. The recent sanctions on Russia's energy sector could tighten global oil supply, potentially driving up prices and benefiting U.S. producers. However, the new tariffs imposed by the U.S. administration may increase costs for energy companies reliant on imported equipment or materials, potentially squeezing margins. Additionally, inflationary pressures and a more hawkish Federal Reserve could weigh on the broader market, impacting investor sentiment toward capital-intensive industries like oil and gas.
 **Conclusion:**  
 Diamondback Energy operates in a volatile industry that is currently influenced by geopolitical tensions and macroeconomic uncertainties. While the company demonstrates strong liquidity and a sustainable dividend, its high valuation metrics and declining earnings growth raise concerns. The potential for higher oil prices due to global supply disruptions could provide a tailwind, but risks related to leverage and broader economic conditions remain significant.
 **Score:** 65</t>
  </si>
  <si>
    <t>**Investment Report: Fastenal Company**
 **Recent News:**  
 Fastenal Company faces a mixed outlook as the industrial sector grapples with near-term challenges. While the firm has demonstrated resilience through strong digital adoption and robust national account relationships, concerns about margin compression and slower growth in key segments, such as fastener sales, weigh on its prospects. Despite positive aspects in its Q4 2024 earnings, the market's optimism may be overextended, as reflected in its elevated valuation metrics. The industrial sector's recovery could provide tailwinds, but uncertainties in the broader economic environment temper expectations.
 **Financials:**  
 Fastenal's financial performance reflects a stable but cautious position. The company maintains a strong current ratio of 4.40 and a quick ratio of 2.01, indicating solid liquidity. Its return on equity (32.7%) and return on assets (20.3%) highlight efficient capital utilization. However, revenue growth of 3.5% and earnings growth of just 0.5% suggest a slowdown in momentum. The firm's gross margin of 45.2% and operating margin of 20.3% remain healthy, but potential margin compression could challenge profitability. Fastenal's trailing P/E ratio of 36.86 and forward P/E of 31.36 suggest a premium valuation, which may not align with its modest growth trajectory.
 **Valuations:**  
 Fastenal's valuation metrics indicate a high level of market optimism. Its price-to-book ratio of 11.74 and price-to-sales ratio of 5.65 are significantly above industry averages, reflecting investor confidence in its business model. However, these elevated multiples may be difficult to justify given the company's slower growth and potential headwinds in the industrial sector. The dividend yield of 2.09% is slightly below its five-year average of 2.23%, suggesting limited income appeal at current price levels.
 **Economic Outlook:**  
 The broader economic environment presents challenges for Fastenal. The industrial sector faces headwinds from inflationary pressures, supply chain disruptions, and potential trade tensions stemming from new tariffs. These factors could dampen demand for Fastenal's products and services, particularly in its core fastener segment. While the company's strong digital capabilities and customer relationships position it well for a potential industrial recovery, the timing and magnitude of such a rebound remain uncertain.
 **Conclusion:**  
 Fastenal's strong operational metrics and strategic positioning are offset by near-term challenges in the industrial sector and a valuation that appears stretched relative to its growth prospects. While the company is well-positioned to benefit from a recovery in industrial activity, current economic uncertainties and slower growth in key segments warrant a cautious outlook.
 **Score:** 55</t>
  </si>
  <si>
    <t>**Investment Report: Freeport-McMoRan Inc. (FCX)**
 **Recent News:**  
 Freeport-McMoRan, a leading player in the copper industry, has garnered significant attention recently, reflecting its position as a trending stock. The heightened interest comes amidst broader market volatility and a focus on commodities as a hedge against inflationary pressures. Copper, a key material in renewable energy and electric vehicle (EV) infrastructure, remains a critical resource, positioning Freeport-McMoRan favorably in the long term. However, the global economic uncertainty, including trade tensions and inflationary risks, could weigh on near-term performance.
 **Financials:**  
 Freeport-McMoRan's financial metrics highlight a robust operational foundation. The company reported a trailing price-to-earnings (PE) ratio of 27.35 and a forward PE of 28.02, indicating a valuation slightly above industry norms, which may reflect optimism about future growth. Its profit margins are strong, with a net margin of 25.48% and operating margins of 27.58%, showcasing efficient cost management. Revenue growth of 24.1% year-over-year and earnings growth of 54.5% underscore its ability to capitalize on favorable copper demand trends. The company maintains a healthy balance sheet, with a current ratio of 3.3 and a quick ratio of 2.13, indicating strong liquidity. Additionally, Freeport-McMoRan has a manageable debt-to-equity ratio of 1.91 and generates significant free cash flow of $969 million, supporting its dividend payout and potential reinvestment opportunities.
 **Valuations:**  
 The stock trades at a price-to-book ratio of 5.52, which is relatively high compared to its peers, suggesting that the market has priced in significant growth expectations. Its enterprise value-to-revenue ratio of 6.56 and enterprise value-to-EBITDA ratio of 24.48 further indicate a premium valuation. While the trailing annual dividend yield of 1.39% is below its five-year average of 2.29%, the company's payout ratio of 37.61% leaves room for potential dividend increases. Analyst sentiment is mixed, with a recommendation mean of "hold" and a target price range of $158 to $265, reflecting uncertainty about near-term price movements.
 **Economic Outlook:**  
 The macroeconomic environment presents both opportunities and challenges for Freeport-McMoRan. The ongoing trade tensions, including new tariffs imposed by the U.S. on key trading partners, could disrupt global supply chains and impact copper demand. However, the long-term outlook for copper remains strong, driven by its critical role in renewable energy, EVs, and infrastructure development. Inflationary pressures and potential Federal Reserve policy adjustments could introduce volatility, but commodities like copper often serve as a hedge against inflation, potentially benefiting Freeport-McMoRan. Additionally, the company's exposure to geopolitical risks and fluctuating copper prices could influence its performance.
 **Conclusion:**  
 Freeport-McMoRan is well-positioned to benefit from long-term structural demand for copper, supported by its strong financials and operational efficiency. However, its premium valuation and exposure to macroeconomic uncertainties, including trade tensions and inflation, may limit near-term upside. The stock's recent popularity reflects its strategic importance in the global transition to sustainable energy, but investors should remain cautious about potential volatility in the short term.
 **Score:** 72</t>
  </si>
  <si>
    <t>**Investment Report: FactSet Research Systems Inc.**
 **Recent News:**  
 FactSet has not been in the headlines over the past week, suggesting stability in its operations and no immediate disruptions or catalysts. This lack of news may indicate a steady business environment, but it also leaves the company exposed to broader market trends and macroeconomic factors without any firm-specific developments to counterbalance them.
 **Financials:**  
 FactSet's financial performance reflects a strong and profitable business model, with a profit margin of 29.86% and robust earnings growth of 35.3% year-over-year. The company has demonstrated solid revenue growth of 16.4%, supported by high gross margins of 79.73%, which highlight its ability to maintain pricing power and operational efficiency. However, its trailing price-to-earnings (P/E) ratio of 89.52 and forward P/E of 49.71 suggest that the stock is trading at a premium valuation, potentially pricing in significant future growth. The enterprise value-to-EBITDA ratio of 62.36 further underscores the high valuation, which could be a concern in a volatile market environment.
 FactSet's balance sheet shows a manageable level of debt, with a total debt of $2.25 billion and a quick ratio of 1.52, indicating sufficient liquidity to cover short-term obligations. The company also generates strong free cash flow of $532.37 million, which supports its ability to reinvest in growth initiatives or return capital to shareholders. However, the negative book value per share (-$39.47) may raise questions about the company's equity structure.
 **Valuations:**  
 FactSet's stock has experienced significant volatility, with a 52-week range between $1,105.65 and $2,402.52. The current price of $1,794.20 is below its 50-day average of $2,096.25, suggesting recent weakness in the stock. Despite this, the stock remains up 48.7% over the past year, outperforming the S&amp;P 500's 21.9% gain. Analyst sentiment appears cautiously optimistic, with a mean target price of $2,145.80, implying potential upside from current levels. However, the high valuation metrics, including a price-to-sales ratio of 26.01, suggest that the stock may be vulnerable to broader market corrections or shifts in investor sentiment.
 **Economic Outlook:**  
 FactSet operates in the Financial Exchanges &amp; Data industry, which is relatively insulated from direct impacts of tariffs and trade tensions but could face indirect effects from broader market volatility. The recent global technology selloff and inflationary pressures stemming from new tariffs may weigh on investor sentiment, potentially impacting FactSet's valuation. Additionally, rising interest rates or a more hawkish Federal Reserve could pressure high-growth, high-valuation stocks like FactSet, as future cash flows are discounted more heavily.
 **Conclusion:**  
 FactSet's strong financial performance and market leadership position it well for long-term growth. However, its high valuation and exposure to broader market volatility present near-term risks. The lack of recent company-specific news leaves the stock reliant on macroeconomic trends, which are currently unfavorable due to inflationary pressures, trade tensions, and rising interest rates. While FactSet's fundamentals remain solid, its premium valuation may limit upside potential in the short term.
 **Score:** 65</t>
  </si>
  <si>
    <t>**Investment Report: FedEx Corporation**
 **Recent News:**  
 FedEx Corporation has not been in the headlines over the past week, indicating a lack of immediate catalysts or disruptions. This absence of news suggests stability in operations, though it also reflects a lack of significant developments that could drive short-term investor sentiment.
 **Financials:**  
 FedEx's recent market performance shows a decline in its stock price, with a notable drop from its previous close of $264.87 to a day low of $246.73. This decline may reflect broader market volatility rather than company-specific issues, as the stock remains above its 52-week low of $234.45. The company’s trailing price-to-earnings (P/E) ratio of 15.80 and forward P/E of 10.85 suggest that the stock is attractively valued relative to its earnings potential, particularly when compared to the broader market. Additionally, FedEx offers a dividend yield of 2.08%, supported by a sustainable payout ratio of 33.7%, which may appeal to income-focused investors.
 Operationally, FedEx demonstrates solid profitability metrics, with a profit margin of 4.62% and a return on equity (ROE) of 15.07%, indicating efficient use of shareholder capital. However, earnings growth has contracted by 13.3% year-over-year, reflecting challenges in maintaining profitability amid rising costs or competitive pressures. Revenue growth of 13.9% year-over-year is a positive indicator, suggesting resilience in demand for FedEx's services despite macroeconomic headwinds.
 The company’s balance sheet appears stable, with a current ratio of 1.28 and a quick ratio of 1.15, indicating sufficient liquidity to meet short-term obligations. Free cash flow of $3.04 billion further underscores FedEx's ability to reinvest in its business or return capital to shareholders.
 **Valuations:**  
 FedEx's price-to-sales (P/S) ratio of 0.68 and price-to-book (P/B) ratio of 2.19 suggest the stock is trading at a reasonable valuation relative to its revenue and book value. Analyst sentiment remains favorable, with a mean price target of $323.52, representing significant upside potential from current levels. The recommendation mean of 1.94 (on a scale where 1.0 is a strong buy) highlights continued confidence in the stock's long-term prospects.
 **Economic Outlook:**  
 The broader macroeconomic environment presents mixed implications for FedEx. The recent imposition of tariffs by the U.S. government could disrupt global trade flows, potentially impacting FedEx's international shipping volumes. Additionally, inflationary pressures and rising costs may weigh on margins, particularly in the logistics and transportation sector. However, FedEx's strong market position and diversified revenue streams may help mitigate these challenges. The company's beta of 1.18 indicates slightly higher sensitivity to market volatility, which could amplify short-term price movements in the current uncertain economic climate.
 **Conclusion:**  
 FedEx remains a fundamentally strong company with attractive valuations and a stable financial position. While near-term challenges such as trade disruptions and inflationary pressures could weigh on performance, the company's long-term growth prospects and operational resilience position it well to navigate these headwinds.
 **Score:** 78</t>
  </si>
  <si>
    <t>**Investment Report: F5, Inc.**
 **Recent News:**  
 F5, Inc., a leader in networking and security solutions, has announced plans to consolidate its Spokane, Washington operations into a new office by 2026, accommodating 250 employees. This move reflects the company's strategic focus on operational efficiency. F5 recently reported a record quarter, driven by strong demand for hybrid multicloud and artificial intelligence solutions. The company posted Q1 fiscal 2025 revenue of $766 million and earnings of $3.84 per share, surpassing expectations. This performance led to an 11% increase in its stock price and an upward revision of its 2025 guidance, projecting 7% topline growth. Analysts have highlighted F5's debt-free status, robust cash reserves, and its ability to address critical needs in the evolving digital landscape as key strengths.
 **Financials:**  
 F5's financial performance underscores its strong market position. The company achieved a profit margin of 24.38% and an EBITDA margin of 37.73%, reflecting efficient operations. Its revenue growth of 4.9% year-over-year aligns with its focus on hybrid multicloud solutions. F5's trailing P/E ratio of 33.68 and forward P/E of 25.29 suggest a premium valuation, supported by its strong earnings growth of 38.2%. The company holds $492.6 million in cash reserves, with a free cash flow of $555.3 million, providing financial flexibility. However, its debt-to-equity ratio of 82.34% indicates a relatively high leverage level, which may warrant monitoring.
 **Valuations:**  
 F5's stock is trading near its 52-week high of $499.87, reflecting investor confidence following its strong quarterly results. The price-to-book ratio of 9.32 and price-to-sales ratio of 8.11 indicate a premium valuation compared to industry peers. Analysts' target prices range from $390 to $536, with a median target of $486, suggesting limited upside potential in the near term. The company's dividend yield of 0.88% is modest but aligns with its focus on reinvesting in growth opportunities.
 **Economic Outlook:**  
 F5 operates in a challenging macroeconomic environment marked by trade tensions and inflationary pressures. However, its focus on hybrid multicloud solutions positions it well to capitalize on the growing demand for digital transformation. The recent global tech market volatility, driven by competition from Chinese AI advancements, has not significantly impacted F5, as its core business remains resilient. The company's strong cash position and debt-free status provide a buffer against potential economic headwinds.
 **Conclusion:**  
 F5, Inc. is well-positioned to benefit from the ongoing shift toward hybrid multicloud and AI-driven solutions. Its strong financial performance, robust cash reserves, and strategic focus on operational efficiency support its growth prospects. However, its premium valuation and high leverage warrant cautious optimism in the near term.
 **Score:** 85</t>
  </si>
  <si>
    <t>**Investment Report:**
 **Recent News:**  
 Fiserv is preparing to release its Q4 2024 earnings, with expectations of growth in its Financial Solutions segment driving the top line. However, analysts have expressed skepticism about the company's ability to exceed earnings expectations, citing a lack of the "right combination" of factors for an earnings beat. This mixed sentiment reflects both optimism about revenue growth and caution regarding profitability and operational efficiency.
 **Financials:**  
 Fiserv's financial metrics present a mixed picture. The company has a trailing P/E ratio of 4.51, which is significantly lower than its forward P/E of 12.60, suggesting that the market anticipates slower earnings growth in the future. The firm's profit margins are strong at 34.93%, and its return on equity (ROE) is an impressive 38.45%, indicating efficient use of shareholder capital. However, the debt-to-equity ratio of 90.93% highlights a high level of leverage, which could pose risks in a rising interest rate environment. Fiserv's revenue growth of 8.5% year-over-year is solid, but its gross margins of 37.43% and EBITDA margins of 16.87% suggest room for improvement in cost management.
 The company's dividend yield of 4.16% is attractive, especially given its low payout ratio of 19.03%, indicating that dividends are well-covered by earnings. However, the stock has underperformed the broader market, with a 52-week change of 4.36% compared to the S&amp;P 500's 21.93% gain.
 **Valuations:**  
 Fiserv's price-to-book ratio of 1.49 and price-to-sales ratio of 1.64 suggest that the stock is trading at a reasonable valuation relative to its assets and revenue. The enterprise value-to-revenue ratio of 2.56 and enterprise value-to-EBITDA ratio of 15.17 indicate that the market is pricing in moderate growth expectations. Analyst sentiment remains cautiously optimistic, with a mean target price of $69.06, representing potential upside from the current trading range. However, the wide range of target prices ($55 to $110) reflects uncertainty about the company's future performance.
 **Economic Outlook:**  
 The broader economic environment poses challenges for Fiserv. The recent implementation of tariffs by the U.S. government could increase costs for businesses and dampen consumer spending, potentially impacting transaction volumes in Fiserv's payment processing services. Additionally, rising inflation and the Federal Reserve's potential shift to a more hawkish stance could increase borrowing costs, further pressuring Fiserv's heavily leveraged balance sheet. On the other hand, the company's focus on financial solutions positions it well to benefit from the ongoing digital transformation in the financial services industry.
 **Conclusion:**  
 Fiserv's strong profit margins, robust ROE, and reasonable valuation metrics make it an attractive candidate for long-term growth. However, its high leverage, mixed analyst sentiment, and exposure to macroeconomic headwinds warrant caution. The upcoming earnings report will be a critical indicator of the company's ability to navigate these challenges and deliver on growth expectations.
 **Score:** 72</t>
  </si>
  <si>
    <t>**Investment Report: Fair Isaac Corporation (FICO)**
 **Recent News:**  
 Fair Isaac Corporation, known for its FICO credit scoring system, has recently garnered attention as it prepares to report its fiscal Q1 earnings. Analysts anticipate strong results driven by robust platform growth and increased customer adoption, despite challenges in Annual Contract Value (ACV). The company has also rebounded from an eight-week losing streak, signaling potential stabilization ahead of its earnings release. However, the broader economic environment, including inflationary pressures and market volatility, may weigh on investor sentiment.
 **Financials:**  
 Fair Isaac's financial performance reflects a solid foundation, with a market capitalization of $9.26 billion and a trailing price-to-earnings (P/E) ratio of 31.46. The company has demonstrated steady revenue growth of 5.8% year-over-year, supported by strong gross margins of 68.1% and EBITDA margins of 62.4%. Its net income margin of 24.8% highlights efficient operations. However, the company's high debt-to-equity ratio of 135.47% and low quick and current ratios (0.341 and 0.351, respectively) indicate a reliance on leverage, which could pose risks in a rising interest rate environment. Free cash flow of $364.4 million and operating cash flow of $567.6 million provide some financial flexibility.
 **Valuations:**  
 Fair Isaac's valuation metrics suggest a premium pricing relative to its peers in the application software industry. The forward P/E ratio of 34.42 and price-to-book ratio of 3.11 indicate that the stock is trading at elevated levels. Additionally, the enterprise value-to-revenue ratio of 11.88 and enterprise value-to-EBITDA ratio of 19.04 reflect high expectations for future growth. Analysts' target prices range from $113 to $142, with a mean target of $124.57, suggesting moderate upside potential from current levels. The recommendation mean of 1.82 (on a scale where 1 is a strong buy) indicates positive sentiment among analysts.
 **Economic Outlook:**  
 The broader macroeconomic environment presents mixed signals for Fair Isaac. While the company's platform growth and customer adoption trends are encouraging, external factors such as inflationary pressures, trade tensions, and market volatility could impact its performance. The recent tech sector selloff, driven by competition from Chinese AI advancements, underscores the challenges facing technology-driven companies. Additionally, the Trump administration's tariffs and potential trade disruptions may indirectly affect Fair Isaac's operations and customer base.
 **Conclusion:**  
 Fair Isaac stands at a critical juncture as it prepares to report its fiscal Q1 earnings. The company's strong platform growth and operational efficiency are positive indicators, but its high leverage and premium valuation warrant caution. Broader economic uncertainties and market volatility could also influence its near-term performance. While the stock has shown resilience by breaking its losing streak, its ability to sustain momentum will depend on the upcoming earnings results and management's outlook for the year.
 **Score:** 72</t>
  </si>
  <si>
    <t>**Investment Report: Fidelity National Information Services (FIS)**
 **Recent News:**  
 There have been no significant updates or developments regarding Fidelity National Information Services (FIS) in the past week. The absence of news suggests stability in the company's operations, though it also indicates a lack of immediate catalysts for significant price movement.
 **Financials:**  
 FIS is trading near its 50-day average of $82.16 and slightly above its 200-day average of $80.10, reflecting a relatively stable price trend. The stock has a 52-week range of $60.39 to $91.98, with its current price of approximately $81.47 sitting closer to the midpoint, indicating moderate recovery from its lows. The company has a market capitalization of $44.08 billion and a beta of 1.074, suggesting slightly higher volatility than the broader market.
 FIS's trailing price-to-earnings (P/E) ratio of 84.41 appears elevated, but its forward P/E of 14.30 indicates expectations of significant earnings growth. The trailing annual dividend yield of 1.96% is in line with its five-year average, providing a modest income stream for investors. The payout ratio of 164.95% raises concerns about dividend sustainability, as it exceeds earnings.
 The company has a strong free cash flow of $3.95 billion, which supports its ability to manage debt and fund operations. However, its debt-to-equity ratio of 66.39% highlights a relatively high leverage level, which could pose risks in a rising interest rate environment. Profit margins are healthy, with a net margin of 14.15% and EBITDA margin of 35.6%, reflecting operational efficiency.
 **Valuations:**  
 FIS's price-to-book ratio of 2.68 is reasonable for the industry, and its enterprise value-to-EBITDA ratio of 15.06 suggests the stock is fairly valued relative to its earnings potential. Analysts have a mean target price of $94.79, representing a potential upside of approximately 16% from current levels. The recommendation mean of 2.26 (on a scale where 1.0 is a "strong buy") indicates a generally favorable outlook among analysts.
 **Economic Outlook:**  
 The broader economic environment presents challenges for FIS. The recent implementation of tariffs by the U.S. government could disrupt global trade and increase inflationary pressures, potentially impacting consumer spending and transaction volumes. Additionally, the Federal Reserve's cautious stance on interest rate cuts may lead to tighter financial conditions, which could affect the company's cost of capital and debt servicing.
 The technology sector, which includes transaction and payment processing services, has faced significant headwinds following the global tech market selloff. While FIS is not directly tied to the semiconductor industry, the broader market sentiment could weigh on its stock performance. However, the company's steady revenue growth of 3.1% and strong cash flow generation provide a buffer against macroeconomic uncertainties.
 **Conclusion:**  
 FIS demonstrates solid fundamentals, including healthy margins, strong cash flow, and reasonable valuations. However, its high payout ratio and leverage, combined with broader economic headwinds, warrant caution. The stock's moderate recovery from its 52-week low and analyst price targets suggest potential for upside, but the lack of immediate catalysts and macroeconomic risks may limit near-term performance.
 **Score:** 72</t>
  </si>
  <si>
    <t>**Investment Report: Fifth Third Bancorp**
 **Recent News:**  
 Fifth Third Bancorp has not been in the headlines over the past week, indicating a lack of significant developments or disruptions. This stability may reflect a steady operational environment, though it also suggests no immediate catalysts for growth or concern.
 **Financials:**  
 Fifth Third Bancorp's financial performance shows a mixed picture. The stock is trading near the lower end of its 52-week range ($35.41-$44.97), with a recent close at $39.8. The company offers a dividend yield of 4.27%, slightly above its five-year average of 4.18%, which may appeal to income-focused investors. However, the payout ratio of 107.74% raises concerns about the sustainability of its dividend policy, as it exceeds earnings.  
 The bank's profitability metrics, such as a return on equity (ROE) of 8.31% and return on assets (ROA) of 2.71%, are modest but align with industry norms. Earnings and revenue growth rates of 4.8% and 6.9%, respectively, indicate steady, albeit unspectacular, expansion. The trailing price-to-earnings (P/E) ratio of 25.81 is relatively high for a regional bank, though the forward P/E of 13.87 suggests expectations of improved earnings.  
 Debt levels are a concern, with a debt-to-equity ratio of 173.13, which is elevated compared to peers. The quick ratio of 0.406 and current ratio of 0.561 highlight liquidity constraints, though these are not uncommon in the banking sector. Free cash flow is negative, which could limit flexibility in navigating economic challenges or pursuing growth opportunities.
 **Valuations:**  
 Fifth Third Bancorp's price-to-book (P/B) ratio of 1.86 is slightly elevated for a regional bank, suggesting the stock is not deeply undervalued. Analysts' target prices range from $42 to $52, with a median target of $47, implying potential upside from current levels. The recommendation mean of 2.39 (between "buy" and "hold") reflects cautious optimism among analysts.
 **Economic Outlook:**  
 The broader economic environment presents challenges for regional banks like Fifth Third Bancorp. The recent implementation of tariffs by the U.S. administration could increase inflationary pressures, potentially leading to higher interest rates. While higher rates can benefit banks' net interest margins, they may also dampen loan demand and increase credit risks. Additionally, the ongoing volatility in the financial markets, particularly in the technology sector, could weigh on investor sentiment and economic activity.  
 Fifth Third Bancorp's exposure to regional economic conditions and its reliance on traditional banking operations make it sensitive to these macroeconomic headwinds. However, its strong institutional ownership (89.74%) and relatively low beta (0.495) suggest some resilience to market volatility.
 **Conclusion:**  
 Fifth Third Bancorp demonstrates stability and moderate growth potential, supported by a solid dividend yield and reasonable forward valuation. However, concerns about its high payout ratio, elevated debt levels, and liquidity constraints temper the outlook. The broader economic environment, including inflationary pressures and potential credit risks, adds uncertainty to its near-term performance.
 **Score:** 65</t>
  </si>
  <si>
    <t>**Investment Report: FMC Corporation**
 **Recent News:**  
 FMC Corporation, a key player in the Fertilizers &amp; Agricultural Chemicals industry, is under scrutiny as analysts evaluate its Q4 2024 performance beyond traditional revenue and earnings per share (EPS) metrics. The focus on additional financial indicators reflects the need to understand the company's operational resilience amid a challenging macroeconomic environment. The agricultural chemicals sector has faced headwinds from rising input costs and geopolitical disruptions, which may have influenced FMC's performance.
 **Financials:**  
 FMC's financial data reveals mixed signals. The company trades at a trailing price-to-earnings (P/E) ratio of 11.24 and a forward P/E of 5.94, suggesting a potentially undervalued stock relative to future earnings expectations. However, its earnings quarterly growth has declined by 25.6%, and earnings growth is down 26.5%, indicating profitability challenges. The company's gross margin of 7.68% and operating margin of 2.68% are relatively low, reflecting cost pressures and operational inefficiencies.  
 FMC's debt-to-equity ratio of 359.36% is notably high, signaling significant leverage that could pose risks in a rising interest rate environment. Despite this, the company maintains a reasonable current ratio of 1.15, indicating adequate short-term liquidity. Free cash flow of $1.99 billion and operating cash flow of $14.89 billion provide some financial stability, though the high debt burden remains a concern.
 **Valuations:**  
 FMC's price-to-book ratio of 0.89 suggests the stock is trading below its book value, which could indicate undervaluation. Additionally, the enterprise value-to-revenue ratio of 0.94 is relatively low, implying the market may not fully appreciate the company's revenue-generating potential. However, the trailing PEG ratio of 0.87 reflects limited growth prospects, aligning with the company's declining earnings and modest revenue growth of 5.5%.
 The dividend yield of 5.95% is attractive, especially compared to its five-year average of 5.76%, but the payout ratio of 68.18% raises questions about the sustainability of dividends given the company's earnings decline.
 **Economic Outlook:**  
 The broader macroeconomic environment presents challenges for FMC. Rising tariffs on imports from Canada, Mexico, and China could increase input costs for agricultural chemicals, pressuring margins further. Additionally, inflationary pressures and potential trade disruptions may dampen demand for FMC's products. The company's beta of 1.64 indicates higher volatility compared to the market, which could exacerbate stock price fluctuations in the current uncertain environment.
 On the positive side, FMC operates in an essential industry, as agricultural chemicals are critical for global food production. This provides some resilience against economic downturns. However, geopolitical risks, such as sanctions on Russia's energy sector and ongoing trade tensions, could disrupt supply chains and impact FMC's operations.
 **Conclusion:**  
 FMC Corporation faces a challenging environment marked by declining profitability, high leverage, and macroeconomic headwinds. While the stock appears undervalued based on certain metrics, the company's operational and financial risks, coupled with broader economic uncertainties, weigh on its near-term investment potential. The attractive dividend yield provides some appeal, but sustainability concerns persist given the earnings decline and high payout ratio.
 **Score:** 55</t>
  </si>
  <si>
    <t>**Investment Report: Federal Realty Investment Trust**
 **Recent News:**  
 Federal Realty Investment Trust has not been in the news over the past week, indicating a lack of significant developments or disruptions. This stability may reflect a steady operational environment, though it also suggests no immediate catalysts for substantial price movement.
 **Financials:**  
 Federal Realty Investment Trust exhibits strong financial metrics, with a market capitalization of $17.13 billion and a trailing price-to-earnings (P/E) ratio of 29.37, which is relatively high compared to the broader market. The forward P/E of 18.98 suggests expectations of earnings growth, supported by a trailing PEG ratio of 1.52. The firm’s profit margins are solid at 20.13%, and its gross margins are robust at 80.21%, reflecting efficient operations in the retail REIT sector.  
 The company’s revenue growth of 5.6% and earnings growth of 10.2% year-over-year indicate steady performance, though not at a rapid pace. Its return on equity (ROE) of 19.12% is a strong indicator of management's ability to generate returns on shareholder investments. However, the debt-to-equity ratio of 6.90 is notably high, which could pose risks in a rising interest rate environment or during economic downturns.  
 The stock has shown significant appreciation over the past year, with a 52-week change of 62.91%, outperforming the S&amp;P 500’s 21.93% gain. The current price of $287.67 is near its 52-week high of $308.00, suggesting limited upside potential in the short term unless new growth drivers emerge.  
 **Valuations:**  
 Federal Realty Investment Trust trades at a price-to-book (P/B) ratio of 5.48, which is elevated compared to the sector average, indicating a premium valuation. The enterprise value-to-revenue ratio of 5.26 and enterprise value-to-EBITDA ratio of 18.94 further highlight the stock's relatively high valuation. Analysts have a median price target of $302.50, implying a modest upside of approximately 5% from current levels. The recommendation mean of 3.0 (hold) reflects a cautious sentiment among analysts.  
 **Economic Outlook:**  
 The broader economic environment presents mixed implications for Federal Realty Investment Trust. The recent imposition of tariffs by the U.S. government could lead to inflationary pressures, potentially impacting consumer spending and retail tenants' profitability. However, the company’s focus on high-quality retail properties in affluent areas may provide some insulation from broader economic challenges.  
 The Federal Reserve’s potential shift to a more hawkish stance to combat inflation could increase borrowing costs, which is a concern given the company’s high leverage. On the other hand, Federal Realty’s strong cash flow generation, with free cash flow of $786.5 million, provides a buffer to manage debt obligations and maintain dividend payouts.  
 **Conclusion:**  
 Federal Realty Investment Trust demonstrates strong operational performance and financial stability, with consistent revenue and earnings growth. However, its high valuation, significant leverage, and potential exposure to macroeconomic headwinds warrant caution. While the firm’s premium assets and strong margins position it well for long-term resilience, short-term upside appears limited given its current price near 52-week highs and broader market uncertainties.
 **Score:** 65</t>
  </si>
  <si>
    <t>**Investment Report:**
 **Recent News:**  
 First Solar, Inc. (FSLR) has garnered significant attention from investors, reflecting heightened interest in the renewable energy sector amidst global shifts toward sustainable energy solutions. The company operates in the solar energy space, which is poised for long-term growth due to increasing global commitments to decarbonization and renewable energy adoption. However, the broader market volatility, particularly in the technology sector, and recent geopolitical developments may influence investor sentiment.
 **Financials:**  
 First Solar's financial performance demonstrates solid fundamentals. The company has a trailing P/E ratio of 14.40 and a forward P/E of 7.86, indicating a relatively attractive valuation compared to its growth prospects. Its profit margins are robust at 32.41%, supported by strong gross margins of 46.54% and operating margins of 36.28%. Revenue growth of 10.8% year-over-year and earnings growth of 16.4% highlight the company's ability to scale operations effectively. However, the negative free cash flow of -$469.68 million suggests challenges in managing cash outflows, potentially due to capital-intensive projects or expansion efforts.
 The balance sheet remains healthy, with a current ratio of 2.14 and a quick ratio of 1.21, indicating sufficient liquidity to meet short-term obligations. Debt levels are manageable, with a debt-to-equity ratio of 9.14%, and the company holds $1.27 billion in cash reserves. Return on equity (17.96%) and return on assets (7.90%) further underscore efficient capital utilization.
 **Valuations:**  
 First Solar's price-to-book ratio of 2.36 and price-to-sales ratio of 4.65 suggest the stock is reasonably valued relative to its peers in the renewable energy sector. Analyst sentiment remains positive, with a mean target price of $267.53, significantly above the current trading range, and a recommendation mean of 1.625 ("buy"). The stock's 52-week range of $138.41 to $306.77 indicates potential upside, though it has recently traded closer to the lower end of this range.
 **Economic Outlook:**  
 The macroeconomic environment presents both opportunities and risks for First Solar. The imposition of tariffs on imports from Canada, Mexico, and China by the U.S. administration could disrupt supply chains and increase costs for solar panel components. However, the company's focus on domestic manufacturing and its alignment with U.S. energy policy priorities, such as the Inflation Reduction Act, may mitigate these risks and position it to benefit from government incentives for renewable energy projects.
 The broader market volatility, particularly in the technology sector, may weigh on investor sentiment, but First Solar's fundamentals and its position in the growing renewable energy market provide a strong foundation for resilience. Additionally, the company's exposure to global markets and its ability to capitalize on the increasing demand for clean energy solutions could drive long-term growth.
 **Conclusion:**  
 First Solar is well-positioned in the renewable energy sector, with strong financials, attractive valuations, and a favorable long-term growth outlook. However, near-term risks related to macroeconomic uncertainties, supply chain disruptions, and market volatility should be monitored closely.
 **Score:** 85</t>
  </si>
  <si>
    <t>**Investment Report: Fortinet Inc. (FTNT)**
 **Recent News:**  
 Fortinet has recently achieved a significant milestone, reaching a 52-week high of $102.17, reflecting strong momentum in its stock performance. Analysts are closely monitoring the company's upcoming Q4 earnings report, which is expected to provide insights into its operational efficiency and growth trajectory. Fortinet's robust fundamentals and its recognition as a top momentum stock have positioned it as a standout in the systems software industry. This optimism is further supported by its inclusion in Zacks Style Scores as a strong momentum pick, signaling investor confidence in its near-term potential.
 **Financials:**  
 Fortinet's financial metrics highlight its strong market position. The company boasts a market capitalization of $77.3 billion and a trailing P/E ratio of 50.7, indicating a premium valuation reflective of its growth prospects. Its forward P/E of 41.7 suggests expectations of continued earnings growth. Fortinet's revenue growth of 13% year-over-year and earnings growth of 70.7% underscore its ability to scale operations effectively. The company maintains healthy gross margins of 79.7% and operating margins of 31.2%, showcasing its profitability and operational efficiency. Additionally, Fortinet's free cash flow of $1.65 billion and a quick ratio of 1.22 indicate strong liquidity and financial stability.
 **Valuations:**  
 While Fortinet's valuation metrics, such as a price-to-sales ratio of 13.54 and a price-to-book ratio of 85.08, suggest it is trading at a premium, these figures are consistent with high-growth technology companies. The company's trailing PEG ratio of 1.74 indicates that its valuation is supported by its earnings growth potential. Analyst sentiment remains positive, with a mean price target of $99.32 and a high target of $120, reflecting confidence in its ability to sustain its upward trajectory.
 **Economic Outlook:**  
 The broader economic environment presents both opportunities and challenges for Fortinet. The recent global technology sector downturn, triggered by the emergence of Chinese AI competitor DeepSeek, has created volatility in the market. However, Fortinet's focus on cybersecurity—a critical and growing segment within technology—positions it to weather broader sector challenges. The company's strong fundamentals and consistent revenue growth provide a buffer against macroeconomic headwinds, including inflationary pressures and trade tensions stemming from new tariffs. Additionally, its beta of 0.995 suggests that its stock price is relatively stable and less volatile compared to the broader market.
 **Conclusion:**  
 Fortinet's strong financial performance, robust growth metrics, and momentum-driven stock performance make it a compelling player in the systems software industry. While its premium valuation reflects high investor expectations, its consistent execution and favorable positioning in the cybersecurity market provide a solid foundation for continued growth. However, broader market volatility and economic uncertainties may introduce short-term fluctuations.
 **Score:** 85</t>
  </si>
  <si>
    <t>**Investment Report: General Dynamics**
 **Recent News:**  
 General Dynamics has reported a strong 14.2% increase in fourth-quarter profits, with revenues of $13.34 billion, marking a 14.3% year-over-year improvement and surpassing expectations. However, the aerospace segment underperformed due to delays in G700 certification and ongoing supply chain challenges, which have weighed on investor sentiment. This underperformance led to a 6% drop in the company's stock price and a reduction in its price target to $307. Despite these setbacks, the Combat Systems and Marine Systems divisions demonstrated robust growth, driven by heightened demand for munitions and submarines. The company’s $90.6 billion backlog and projected 5.5% revenue growth by 2025 underscore its long-term potential. Analysts have expressed concerns about margin pressures and policy risks, with RBC Capital Markets revising the price forecast to $280. While short-term challenges persist, the company’s operational strength and future growth prospects remain intact.
 **Financials:**  
 General Dynamics exhibits a solid financial foundation, with a market capitalization of $33 billion and a dividend yield of 3.64%, which is above its five-year average. The company’s trailing P/E ratio of 13.02 and forward P/E of 13.13 suggest a reasonable valuation relative to its earnings. However, the firm faces challenges with a high debt-to-equity ratio of 139.82%, indicating significant leverage. Its operating margins of 17.5% and EBITDA margins of 21.3% reflect strong profitability, though earnings and revenue growth have recently declined by 9.6% and 1.2%, respectively. The company’s free cash flow of $2.2 billion and operating cash flow of $3.5 billion provide liquidity to support operations and shareholder returns. However, the quick ratio of 0.32 and current ratio of 0.66 highlight potential short-term liquidity constraints.
 **Valuations:**  
 General Dynamics trades at a price-to-book ratio of 3.56, which is relatively high compared to its peers in the Aerospace &amp; Defense sector. The enterprise value-to-revenue ratio of 2.51 and enterprise value-to-EBITDA ratio of 11.79 suggest the stock is moderately valued. Analysts’ target prices range from $62 to $84, with a median target of $69, reflecting a mixed outlook. The stock has underperformed the S&amp;P 500 over the past year, with a 52-week change of -7.2% compared to the S&amp;P’s 21.9% gain. This underperformance, coupled with recent share price weakness, may present an opportunity for long-term investors, though risks remain.
 **Economic Outlook:**  
 The Aerospace &amp; Defense industry is poised for growth, supported by increased global defense spending and demand for advanced military equipment. General Dynamics’ strong backlog and diversified portfolio position it well to capitalize on these trends. However, macroeconomic headwinds, including supply chain disruptions, inflationary pressures, and policy risks, could weigh on margins and operational efficiency. The recent imposition of tariffs by the U.S. government and potential trade tensions may also impact the company’s cost structure and international operations. Despite these challenges, the firm’s focus on disciplined capital allocation and its robust balance sheet provide resilience in a volatile economic environment.
 **Score:** 75</t>
  </si>
  <si>
    <t>**Investment Report: GE Aerospace**
 **Recent News:**  
 GE Aerospace has demonstrated strong financial performance, particularly in the fourth quarter of 2024, with revenues of $9.9 billion and adjusted earnings of $1.32 per share, exceeding market expectations. The company has projected robust growth for 2025, forecasting $6.3-6.8 billion in free cash flow and $6.37 per share in profits, representing an 18% year-over-year increase. This optimism is underpinned by a recovery in the aviation industry, driven by increased air travel demand and favorable economic conditions. Additionally, GE Aerospace's recent corporate restructuring has streamlined operations, positioning the company for sustained double-digit profit growth. These developments highlight the firm's ability to capitalize on industry tailwinds and its strategic focus on operational efficiency.
 **Financials:**  
 GE Aerospace's financial metrics reflect a mixed picture. The company has a trailing price-to-earnings (P/E) ratio of 32.38, which is relatively high, but its forward P/E of 8.43 suggests expectations of significant earnings growth. The price-to-book ratio of 0.87 indicates the stock is trading below its book value, potentially signaling undervaluation. The firm has a solid current ratio of 4.62, demonstrating strong liquidity, and a manageable debt-to-equity ratio of 25.72, indicating prudent financial leverage. However, the company reported negative free cash flow of $39.8 million, which could raise concerns about its ability to fund operations and growth initiatives without external financing. Despite this, its operating cash flow of $971.3 million and gross margins of 37.99% reflect healthy operational efficiency.
 **Valuations:**  
 GE Aerospace's market capitalization stands at $10.89 billion, with a 52-week price range of $18.83 to $28.61. The stock is currently trading near its 52-week low, which may present an opportunity for value investors. Analyst sentiment is cautious, with a recommendation mean of 3.38 (indicating a "hold") and a target median price of $22. While the dividend yield of 6.35% is attractive, the high payout ratio of 145.88% suggests that the dividend may not be sustainable in the long term. The firm's beta of 1.40 indicates higher volatility compared to the broader market, which could amplify risks in the current uncertain economic environment.
 **Economic Outlook:**  
 The broader macroeconomic environment presents both opportunities and challenges for GE Aerospace. The aviation industry is benefiting from a resurgence in air travel demand, which supports the company's growth prospects. However, the imposition of new tariffs by the U.S. administration could disrupt global supply chains and increase input costs, potentially pressuring margins. Additionally, rising inflation and the Federal Reserve's potential shift to a more hawkish monetary policy stance could weigh on consumer spending and economic growth, indirectly impacting the aviation sector. Despite these headwinds, GE Aerospace's focus on innovation and operational efficiency positions it well to navigate these challenges.
 **Conclusion:**  
 GE Aerospace is poised for growth, supported by strong demand in the aviation industry and its strategic restructuring efforts. While the stock's valuation metrics suggest potential undervaluation, risks such as negative free cash flow, high dividend payout ratios, and macroeconomic uncertainties warrant caution. The company's ability to deliver on its optimistic 2025 forecasts will be critical in determining its near-term investment appeal.
 **Score:** 78</t>
  </si>
  <si>
    <t>**Investment Report: GE HealthCare Technologies**
 **Recent News:**  
 GE HealthCare has received FDA approval for its updated Voluson Expert Series, a significant advancement in women's health imaging. This development highlights the company's focus on innovation and its commitment to addressing critical healthcare needs, particularly in obstetrics and gynecology. The enhanced imaging capabilities of the Voluson Expert Series are expected to strengthen GE HealthCare's competitive position in the healthcare equipment market, potentially driving revenue growth in a specialized and expanding segment.
 **Financials:**  
 GE HealthCare, spun off from General Electric in 2023, has demonstrated robust stock performance, outperforming the S&amp;P 500. The company is trading at a trailing P/E ratio of 23.98 and a forward P/E of 18.84, suggesting a reasonable valuation relative to its growth prospects. With a market capitalization of approximately $39.98 billion and a price-to-sales ratio of 2.04, the company appears attractively valued compared to industry peers. GE HealthCare's revenue growth of 0.9% and earnings growth of 24.2% reflect steady operational performance, while its gross margins of 41.34% and EBITDA margins of 18.26% indicate strong profitability. However, the company's debt-to-equity ratio of 126.09% highlights a leveraged balance sheet, which could pose risks in a rising interest rate environment.
 **Valuations:**  
 The stock's current price of $87.42 is near its 52-week high of $94.55, reflecting investor confidence in the company's growth trajectory. Analysts have a median price target of $97.00, with a high target of $110.00, indicating potential upside. The recommendation mean of 1.90 (on a scale where 1.0 is a strong buy) underscores positive sentiment among analysts. GE HealthCare's price-to-book ratio of 4.81 suggests a premium valuation, but this is supported by its strong return on equity of 21.85% and return on assets of 5.64%.
 **Economic Outlook:**  
 The broader economic environment presents mixed signals for GE HealthCare. While the healthcare sector is generally resilient to macroeconomic volatility, the company's reliance on global supply chains could expose it to risks from the recently imposed tariffs by the U.S. administration. Additionally, inflationary pressures and potential interest rate hikes may increase operational costs and debt servicing expenses. However, the company's strategic focus on innovation and its leadership in healthcare imaging technology position it well to capitalize on long-term industry growth trends.
 **Conclusion:**  
 GE HealthCare's recent FDA approval for the Voluson Expert Series underscores its innovative capabilities and growth potential in the healthcare equipment market. While the company faces some balance sheet risks and macroeconomic headwinds, its strong profitability, reasonable valuation, and positive analyst sentiment suggest a favorable outlook for the near term.
 **Score:** 85</t>
  </si>
  <si>
    <t>**Investment Report:**
 **Recent News:**  
 Gen Digital (GEN) has demonstrated strong performance in its latest quarter, with earnings per share (EPS) of $0.56, surpassing Wall Street's consensus estimate of $0.55. This marks an improvement from $0.49 EPS in the same quarter last year. The company also exceeded revenue expectations, driven by robust demand for its cybersecurity tools and an expanding portfolio. Additionally, Gen Digital's disciplined spending has contributed to its bottom-line growth. Analysts have noted the company's increasing customer retention rates and international revenue growth as key drivers of its success. These factors have bolstered confidence in the firm's ability to sustain its upward trajectory in the cybersecurity market.
 **Financials:**  
 Gen Digital's financial metrics reflect a solid foundation. The company has a market capitalization of $8.6 billion and a trailing price-to-earnings (P/E) ratio of 30.18, with a forward P/E of 17.52, indicating expectations of significant earnings growth. Its revenue growth rate of 9.6% year-over-year and earnings growth of 94.8% highlight its strong operational performance. The firm maintains healthy gross margins of 37.65% and EBITDA margins of 16.01%, showcasing its ability to generate profitability from its operations. Additionally, Gen Digital's free cash flow of $544.4 million and operating cash flow of $718.8 million provide it with financial flexibility to invest in growth opportunities or manage debt. However, its debt-to-equity ratio of 65.43% suggests a moderately leveraged balance sheet, which warrants monitoring.
 **Valuations:**  
 Gen Digital's valuation metrics suggest a mixed picture. Its price-to-sales ratio of 2.09 and enterprise value-to-revenue ratio of 2.42 are reasonable for a company in the high-growth cybersecurity sector. The price-to-book ratio of 3.57 indicates that the stock is trading at a premium relative to its book value, which is typical for technology firms with strong growth prospects. Analysts have set a median price target of $183, representing potential upside from its current trading range. The recommendation mean of 2.35 (indicating a "buy") reflects positive sentiment among analysts.
 **Economic Outlook:**  
 The broader economic environment presents both opportunities and challenges for Gen Digital. The increasing prevalence of cyber threats and the growing importance of cybersecurity solutions position the company well for long-term growth. However, macroeconomic headwinds, including inflationary pressures and trade tensions stemming from new tariffs, could impact consumer and enterprise spending on technology. Additionally, the recent volatility in the technology sector, exacerbated by the launch of DeepSeek, a Chinese AI competitor, has created uncertainty in the market. Gen Digital's beta of 1.37 suggests that its stock is more volatile than the broader market, which could amplify the impact of these external factors.
 **Conclusion:**  
 Gen Digital's strong quarterly performance, driven by demand for its cybersecurity tools and disciplined cost management, underscores its competitive position in the market. While its financials and growth metrics are robust, the company's moderate leverage and exposure to broader economic uncertainties warrant caution. The stock's valuation appears reasonable given its growth prospects, and analysts remain optimistic about its future performance. However, market volatility and macroeconomic challenges could influence its near-term trajectory.
 **Score:** 78</t>
  </si>
  <si>
    <t>**Investment Report: GE Vernova (GEV)**
 **Recent News:**  
 GE Vernova, a key player in the heavy electrical equipment and alternative energy sector, has been compared to Clearway Energy in terms of value investment potential. This highlights the growing interest in the renewable energy space, where GE Vernova operates. The focus on value investing suggests that GE Vernova's financial metrics and growth prospects are under scrutiny, particularly in light of its recent performance and market positioning.
 **Financials:**  
 GE Vernova's stock has shown significant volatility, with a recent trading range between $348.95 and $367.19, reflecting broader market uncertainties. The company has a trailing P/E ratio of 64.71 and a forward P/E of 34.94, indicating high growth expectations but also a premium valuation. Its market capitalization stands at $99.7 billion, with a price-to-sales ratio of 2.90 and a price-to-book ratio of 10.48, suggesting the stock is trading at a substantial premium relative to its book value. 
 The firm has demonstrated modest revenue growth of 8% year-over-year, with total revenue of $34.42 billion. However, its profit margins remain thin at 3.68%, and operating margins are slightly negative at -0.25%, signaling challenges in operational efficiency. EBITDA margins are also low at 4.06%, reflecting limited profitability relative to revenue. On the balance sheet, GE Vernova has a manageable debt-to-equity ratio of 9.35 and holds $7.39 billion in cash, providing some financial flexibility. However, its quick ratio of 0.717 indicates potential liquidity constraints in meeting short-term obligations.
 **Valuations:**  
 GE Vernova's valuation metrics suggest a mixed picture. While the forward P/E ratio of 34.94 implies optimism about future earnings growth, the trailing PEG ratio of 3.23 indicates that the stock may be overvalued relative to its growth rate. The enterprise value-to-revenue ratio of 3.18 and enterprise value-to-EBITDA ratio of 78.22 further highlight the premium investors are paying for the company's revenue and earnings potential. Analyst sentiment remains positive, with a mean recommendation of "buy" and a target median price of $410, suggesting potential upside from current levels.
 **Economic Outlook:**  
 The broader economic environment presents both opportunities and challenges for GE Vernova. The recent imposition of tariffs by the U.S. administration could disrupt supply chains and increase costs for heavy electrical equipment manufacturers. Additionally, inflationary pressures and potential trade tensions may weigh on the company's margins. However, the global push toward renewable energy and decarbonization provides a favorable long-term backdrop for GE Vernova's business. The company's exposure to the growing alternative energy market positions it well to benefit from increased investment in sustainable infrastructure.
 **Conclusion:**  
 GE Vernova operates in a promising sector with strong long-term growth potential, but its current financial performance and valuation metrics suggest caution in the near term. While the company has demonstrated revenue growth and holds a solid cash position, its thin margins and high valuation multiples indicate that much of the optimism is already priced into the stock. The broader economic challenges, including tariffs and inflation, could further pressure the company's profitability in the short term.
 **Score:** 65</t>
  </si>
  <si>
    <t>**Investment Report: General Mills (GIS)**
 **Recent News:**  
 General Mills has experienced a 12% decline in its stock price over the past three months, reflecting short-term challenges such as inflationary pressures and category-specific struggles. Despite these headwinds, the company’s long-term growth prospects remain intact, supported by its strong brand portfolio and consistent demand for packaged foods. The broader economic environment, including rising input costs and potential disruptions from new tariffs, may weigh on near-term performance. However, General Mills' resilience in navigating past economic challenges positions it well for recovery.
 **Financials:**  
 General Mills maintains a solid financial foundation, with a market capitalization of $69.37 billion and a trailing price-to-earnings (P/E) ratio of 18.84, which is reasonable for a consumer staples company. The forward P/E of 15.24 suggests expectations of earnings growth. The company offers an attractive dividend yield of 2.16%, supported by a sustainable payout ratio of 42.53%, and its five-year average dividend yield of 2.31% highlights its commitment to returning value to shareholders. General Mills has demonstrated steady revenue growth of 10.4% year-over-year, with earnings growth of 11.2%, indicating operational efficiency despite macroeconomic challenges. However, gross margins of 15.64% and operating margins of 10.21% reflect some pressure from rising costs.
 The company’s balance sheet shows a manageable debt-to-equity ratio of 48.61, with total debt of $11.17 billion offset by $2.1 billion in cash. Free cash flow of $2.15 billion and operating cash flow of $3.14 billion provide ample liquidity to support operations and dividends. General Mills' return on equity (ROE) of 16.95% and return on assets (ROA) of 5.11% underscore its ability to generate returns efficiently.
 **Valuations:**  
 General Mills is trading at a price-to-book (P/B) ratio of 3.07, which is slightly elevated compared to its historical averages but reasonable given its stable earnings and dividend profile. The stock is currently near its 52-week low of $247.01, offering a potential entry point for long-term investors. Analyst sentiment remains positive, with a mean price target of $297.75, representing significant upside from current levels. The recommendation mean of 2.16 (on a scale where 1.0 is a strong buy) further supports a favorable outlook.
 **Economic Outlook:**  
 The broader economic environment presents mixed implications for General Mills. Inflationary pressures and rising input costs, exacerbated by new tariffs on imports, could challenge margins in the near term. However, as a consumer staples company, General Mills benefits from relatively inelastic demand for its products, providing a degree of insulation from economic volatility. The company’s ability to pass on costs to consumers through price adjustments will be critical in maintaining profitability. Additionally, its diversified product portfolio and strong market presence position it to weather macroeconomic uncertainties better than many peers.
 **Conclusion:**  
 General Mills faces short-term challenges from inflation and cost pressures, but its strong financial position, consistent revenue growth, and attractive dividend yield provide a solid foundation for long-term performance. The stock’s recent decline may present an opportunity for investors seeking exposure to a defensive sector with stable cash flows and growth potential. While near-term volatility is likely, the company’s resilience and strategic positioning support a favorable outlook over the medium to long term.
 **Score:** 78</t>
  </si>
  <si>
    <t>**Investment Report: Globe Life (Life &amp; Health Insurance Industry)**
 **Recent News:**  
 Globe Life has not been featured in any significant news over the past week. This absence of news suggests stability in operations but also indicates a lack of recent catalysts that could drive short-term investor sentiment.
 **Financials:**  
 Globe Life's financial performance reflects a robust position within the life and health insurance sector. The company has demonstrated strong profitability, with a profit margin of 41.34% and earnings growth of 48.3% year-over-year. Its trailing price-to-earnings (P/E) ratio of 17.07 is reasonable, though the forward P/E of 26.15 suggests expectations of slower earnings growth in the near term. The company’s return on assets (ROA) of 7.54% and gross margins of 63.57% highlight operational efficiency.
 The stock has performed exceptionally well over the past year, with a 52-week price change of 94.2%, significantly outperforming the S&amp;P 500's 21.93% gain. Globe Life is trading near its 52-week high of $216, indicating strong momentum. However, its price-to-book ratio of 83.69 is notably high, reflecting a premium valuation relative to its book value. The company’s debt-to-equity ratio of 1107.37% is concerning, as it indicates a heavy reliance on leverage, which could pose risks in a rising interest rate environment.
 **Valuations:**  
 Globe Life's valuation metrics suggest a mixed picture. While the trailing P/E ratio is attractive compared to industry peers, the forward P/E and enterprise value-to-EBITDA ratio of 32.45 indicate that the stock may be priced for perfection. Analysts have a mean target price of $206.98, slightly below the current trading price, suggesting limited upside potential in the short term. The recommendation mean of 2.11 (between "buy" and "hold") reflects cautious optimism among analysts.
 **Economic Outlook:**  
 The broader macroeconomic environment presents challenges for Globe Life. The recent implementation of tariffs by the U.S. administration could lead to inflationary pressures, potentially impacting consumer spending and demand for discretionary insurance products. Additionally, the Federal Reserve's potential shift to a more hawkish stance to combat inflation could increase borrowing costs, further straining Globe Life's heavily leveraged balance sheet. However, the life and health insurance industry tends to be relatively resilient during economic downturns, as these products are often considered essential.
 **Conclusion:**  
 Globe Life's strong profitability and operational efficiency are offset by its high leverage and premium valuation. While the company has demonstrated impressive growth and stock performance over the past year, the current macroeconomic environment and valuation metrics suggest limited short-term upside. The lack of recent news or catalysts further supports a cautious outlook for the next month.
 **Score:** 65</t>
  </si>
  <si>
    <t>**Investment Report: Corning Inc. (GLW)**
 **Recent News:**  
 Corning Inc. recently achieved a 52-week high, driven by strong fourth-quarter 2024 earnings. The company reported earnings per share of $0.57, slightly surpassing expectations of $0.56, and revenue of $3.87 billion, exceeding estimates of $3.76 billion. This growth was primarily fueled by robust demand for optical connectivity products, particularly for AI-related infrastructure. Despite these positive results, the stock declined by 2.62% during a broader market selloff, reflecting investor caution amid macroeconomic uncertainties. Corning's optimistic first-quarter forecast, citing continued demand for AI infrastructure, suggests potential resilience in its core markets.
 **Financials:**  
 Corning's financial performance highlights its strong revenue growth of 6.9% year-over-year, supported by a gross margin of 33.66% and EBITDA margins of 20.67%. The company maintains a forward P/E ratio of 19.01, indicating a reasonable valuation relative to its growth prospects. However, its trailing P/E of 88.53 reflects the impact of lower net income in prior periods. Corning's balance sheet shows a manageable debt-to-equity ratio of 72.74%, with $1.61 billion in cash and a free cash flow of $1.11 billion, providing financial flexibility. The dividend yield of 2.19% is below its five-year average of 2.94%, but the payout ratio of 5.89% suggests room for future increases.
 **Valuations:**  
 Corning's price-to-book ratio of 3.76 and price-to-sales ratio of 3.48 indicate a premium valuation compared to historical levels, reflecting investor confidence in its growth trajectory. Analysts maintain a positive outlook, with a mean target price of $55.49, representing potential upside from current levels. The company's trailing PEG ratio of 0.55 suggests that its growth is attractively priced, particularly given its exposure to high-demand AI-related markets.
 **Economic Outlook:**  
 Corning operates in a challenging macroeconomic environment marked by trade tensions and inflationary pressures. The recent imposition of tariffs by the U.S. administration could disrupt supply chains and increase costs for Corning, particularly given its global operations. However, the company's focus on AI infrastructure positions it well to benefit from long-term secular trends in technology and connectivity. The broader market volatility, driven by geopolitical and economic uncertainties, may weigh on investor sentiment in the near term.
 **Conclusion:**  
 Corning's strong financial performance and strategic positioning in high-growth markets like AI infrastructure provide a solid foundation for future growth. However, macroeconomic headwinds, including trade tariffs and inflation, could pose challenges. While the stock's recent pullback may reflect broader market concerns, its long-term prospects remain compelling, supported by robust demand and disciplined financial management.
 **Score:** 78</t>
  </si>
  <si>
    <t>**Investment Report: General Motors (GM)**
 **Recent News:**  
 General Motors (GM) recently reported strong fourth-quarter 2024 earnings, exceeding Wall Street expectations with $47.7 billion in revenue and an adjusted profit of $10 per share. Despite this, the stock declined over 9%, driven by investor concerns about potential tariff impacts and restructuring costs related to its China joint ventures. GM has provided optimistic guidance for 2025, projecting adjusted EBIT between $13.7-$15.7 billion and earnings per share of approximately $11.50. This outlook is supported by robust demand for gas-powered trucks and SUVs, as well as progress in improving electric vehicle (EV) profitability. Additionally, GM announced plans to save up to $1 billion annually by discontinuing its Cruise robotaxi program, signaling a strategic pivot to focus on more profitable ventures. Analysts remain positive on GM due to its strong U.S. market presence, cost-cutting measures, and attractive valuation metrics.
 **Financials:**  
 GM's financial position reflects a mixed picture. The company trades at a low forward price-to-earnings (P/E) ratio of 4.1, indicating an undervalued stock relative to its earnings potential. Its price-to-book ratio of 0.74 further supports this valuation. GM's revenue grew by 10.5% year-over-year, and earnings growth of 21.8% highlights its operational strength. However, the company faces challenges with a high debt-to-equity ratio of 174.6%, which could limit financial flexibility, especially in a rising interest rate environment. Free cash flow remains negative at -$2.3 billion, though operating cash flow is strong at $19.6 billion, suggesting the company has sufficient liquidity to manage short-term obligations. GM's gross margin of 12% and EBITDA margin of 10.05% are modest but reflect stable profitability in a competitive industry.
 **Valuations:**  
 GM's valuation metrics suggest it is trading at a discount compared to peers. The trailing P/E of 7.5 and forward P/E of 4.1 indicate significant upside potential if the company meets its 2025 guidance. Analysts have a median price target of $59, representing a 27% upside from the current price, with a high target of $85. The stock's beta of 1.41 suggests higher volatility, which could amplify both risks and rewards in the current uncertain macroeconomic environment. GM's dividend yield of 0.87% is below its five-year average of 4.06%, reflecting a conservative payout strategy as the company focuses on reinvestment and debt management.
 **Economic Outlook:**  
 The broader economic environment poses challenges for GM. The Trump administration's recent tariffs on imports from Canada, Mexico, and China could disrupt supply chains and increase production costs, particularly for automakers reliant on global trade. Retaliatory tariffs from Canada and Mexico may further pressure GM's margins. Additionally, the global technology sector's volatility and the potential for a trade war add uncertainty to the macroeconomic landscape. However, GM's strong U.S. market presence and focus on high-margin gas-powered vehicles provide some insulation from international headwinds. The company's progress in EV profitability positions it well for long-term growth, especially as the industry transitions toward electrification.
 **Conclusion:**  
 General Motors faces near-term challenges from tariff-related cost pressures and restructuring expenses, but its strong financial performance, attractive valuation, and strategic focus on high-demand vehicles and EVs provide a solid foundation for future growth. While macroeconomic uncertainties may weigh on the stock in the short term, GM's robust earnings outlook and cost-cutting initiatives suggest it remains a compelling value play in the automobile manufacturing sector.
 **Score:** 72</t>
  </si>
  <si>
    <t>**Investment Report: Generac Holdings Inc.**
 **Recent News:**  
 Generac Holdings Inc., a key player in the Electrical Components &amp; Equipment industry, has not been in the spotlight recently, with no significant news or developments reported in the past week. This lack of news suggests stability in operations but also indicates no immediate catalysts for significant market movement.
 **Financials:**  
 Generac's financial performance reflects a mixed picture. The company has a trailing price-to-earnings (PE) ratio of 26.47, which is relatively high, but its forward PE of 11.08 suggests expectations of strong earnings growth. The firm has a solid profit margin of 16.15% and impressive gross margins of 80.43%, indicating strong operational efficiency. However, its debt-to-equity ratio of 409.34% is concerning, as it highlights a heavy reliance on debt financing, which could pose risks in a rising interest rate environment. 
 Generac's revenue growth of 3.1% and earnings growth of 13.2% are modest but positive, reflecting steady progress. The company also maintains a healthy free cash flow of $1.28 billion, which supports its ability to manage debt and invest in growth opportunities. Its dividend yield of 1.79% is below its five-year average of 2.19%, suggesting limited appeal for income-focused investors.
 **Valuations:**  
 Generac's current price-to-book ratio of 7.66 is significantly above the industry average, indicating that the stock may be overvalued relative to its book value. However, its trailing PEG ratio of 0.63 suggests that the stock is undervalued when considering its growth potential. The stock is trading near the lower end of its 52-week range, with a recent close of $26.91 compared to a high of $31.72, which may present an opportunity for value-oriented investors if the company can sustain its growth trajectory.
 **Economic Outlook:**  
 The broader economic environment presents challenges for Generac. The recent imposition of tariffs by the U.S. government could increase input costs for the company, particularly if it relies on imported components. Additionally, inflationary pressures and potential interest rate hikes could further strain its high debt levels. However, Generac's strong operating margins and cash flow generation provide some resilience against these macroeconomic headwinds.
 The company's beta of 1.05 indicates that its stock price is slightly more volatile than the broader market, which could lead to heightened price swings in the current uncertain economic climate. The recommendation mean of 2.1 ("buy") from analysts suggests cautious optimism about the company's prospects.
 **Conclusion:**  
 Generac's financial health and growth potential are balanced by its high debt levels and exposure to macroeconomic risks. While the stock appears undervalued based on its growth metrics, its elevated debt and sensitivity to economic conditions warrant a cautious approach. The lack of recent news or developments also limits immediate upside potential.
 **Score:** 65</t>
  </si>
  <si>
    <t>**Investment Report: Alphabet Inc. (Class C)**
 **Recent News:**  
 Alphabet Inc. (GOOG) has been in the spotlight due to its recent developments in autonomous vehicle technology and its financial performance. Waymo, Alphabet's self-driving car division, announced plans to expand operations to 10 additional cities, including Las Vegas and San Diego, by 2025. This move could position Alphabet as a leader in the autonomous vehicle market, potentially disrupting traditional ride-hailing companies like Uber and Lyft, whose shares fell on the news. Additionally, Alphabet's stock has shown resilience, outperforming the broader market with a 1.7% gain in its latest trading session. Analysts are optimistic about Alphabet's upcoming earnings report, expecting growth driven by its diversified revenue streams.
 **Financials:**  
 Alphabet's financial metrics reflect a mixed picture. The company has a trailing P/E ratio of 18.04 and a forward P/E of 12.04, suggesting a reasonable valuation relative to its earnings growth potential. Its profit margins stand at 5.68%, and earnings quarterly growth is robust at 25.7%. However, revenue growth has declined by 2.6%, indicating potential challenges in its core advertising business. Alphabet's balance sheet shows a high debt-to-equity ratio of 196.62%, which could be a concern in a rising interest rate environment. Despite this, the company maintains a healthy operating cash flow of $1.19 billion and free cash flow of $511.75 million, providing financial flexibility.
 **Valuations:**  
 Alphabet's price-to-book ratio of 3.52 and price-to-sales ratio of 1.02 suggest the stock is trading at a reasonable valuation compared to its peers in the Interactive Media &amp; Services industry. Analysts have a mean target price of $11.30, indicating potential upside from current levels. The recommendation mean of 2.11 (on a scale where 1 is a strong buy) reflects a generally positive sentiment among analysts.
 **Economic Outlook:**  
 Alphabet operates in a challenging macroeconomic environment marked by trade tensions, inflationary pressures, and market volatility. The recent tariffs imposed by the U.S. government could disrupt global supply chains, indirectly affecting Alphabet's hardware and cloud businesses. Additionally, the global technology sector has been under pressure following the launch of DeepSeek, a Chinese competitor to OpenAI's ChatGPT, which has raised concerns about increased competition in artificial intelligence. However, Alphabet's diversified business model, including its dominance in digital advertising and investments in emerging technologies like autonomous vehicles, positions it well to navigate these challenges.
 **Conclusion:**  
 Alphabet's strong fundamentals, innovative initiatives like Waymo's expansion, and potential for earnings growth make it a compelling player in the technology sector. However, headwinds such as declining revenue growth, high debt levels, and macroeconomic uncertainties warrant caution. The stock's valuation appears reasonable, and its diversified revenue streams provide resilience in a volatile market.
 **Score:** 78</t>
  </si>
  <si>
    <t>**Investment Report: Alphabet Inc. (Class A)**
 **Recent News:**  
 Alphabet Inc. has been highlighted as a strong growth stock, with its recent performance surpassing market returns. The stock closed at $195.30, reflecting a 1.82% daily increase, and has been trending positively ahead of its upcoming earnings report. Analysts anticipate robust growth and a potential earnings beat, driven by Alphabet's diversified revenue streams and strong positioning in the digital advertising and cloud computing markets. The company's ability to maintain investor confidence amidst broader market volatility underscores its resilience. However, the broader technology sector has faced significant headwinds recently, particularly due to the global tech selloff triggered by the emergence of DeepSeek, a Chinese AI competitor. While Alphabet has not been directly impacted as severely as Nvidia, the competitive landscape in AI remains a critical area to monitor.
 **Financials:**  
 Alphabet's financial health remains robust, with a market capitalization of $2.47 trillion and a trailing P/E ratio of 26.65, indicating a premium valuation relative to its earnings. The company boasts strong profitability metrics, including a net income margin of 27.7% and return on equity of 32.1%, reflecting efficient capital utilization. Revenue growth of 15.1% year-over-year and earnings growth of 36.6% highlight Alphabet's ability to scale its operations effectively. The company maintains a solid balance sheet, with $93.2 billion in cash and a manageable debt-to-equity ratio of 9.32%. Free cash flow of $41.1 billion further supports its capacity for reinvestment and shareholder returns. Alphabet's dividend yield remains modest at 0.39%, reflecting its focus on growth rather than income distribution.
 **Valuations:**  
 Alphabet's forward P/E ratio of 22.37 and trailing PEG ratio of 1.33 suggest that the stock is reasonably valued given its growth prospects. The price-to-book ratio of 7.86 and price-to-sales ratio of 7.27 indicate a premium valuation, which is consistent with its dominant market position and strong fundamentals. Analyst price targets range from $151 to $240, with a mean target of $216.37, implying potential upside from current levels. The recommendation mean of 1.62 (on a scale where 1.0 is a strong buy) reflects broad optimism among analysts.
 **Economic Outlook:**  
 The broader economic environment presents mixed signals for Alphabet. The recent imposition of tariffs by the U.S. administration and the resulting trade tensions could weigh on global economic growth and consumer spending, indirectly affecting digital advertising budgets. Additionally, the global tech selloff has introduced volatility into the sector, though Alphabet's diversified revenue streams and leadership in AI and cloud computing provide a buffer against these challenges. Inflationary pressures and potential Federal Reserve policy adjustments could also impact market sentiment. However, Alphabet's strong cash position and operational efficiency position it well to navigate these macroeconomic uncertainties.
 **Conclusion:**  
 Alphabet Inc. remains a fundamentally strong company with significant growth potential, supported by its leadership in digital advertising, cloud computing, and AI. While broader market volatility and competitive pressures in the technology sector warrant caution, Alphabet's robust financials and strategic positioning provide a solid foundation for continued performance. The upcoming earnings report will be a key catalyst, offering further insights into its operational resilience and growth trajectory.
 **Score:** 85</t>
  </si>
  <si>
    <t>**Investment Report: Genuine Parts Company (GPC)**
 **Recent News:**  
 Genuine Parts Company has not been in the spotlight recently, with no significant news or developments reported in the past week. This lack of news suggests stability in operations but also indicates no immediate catalysts for significant stock movement.
 **Financials:**  
 Genuine Parts Company exhibits a solid financial foundation, with a trailing price-to-earnings (P/E) ratio of 14.92 and a forward P/E of 13.64, indicating a reasonable valuation relative to its earnings. The company offers a robust dividend yield of 3.44%, well above its five-year average of 2.75%, which may appeal to income-focused investors. However, the payout ratio of 50.9% suggests that while dividends are sustainable, there is limited room for significant increases without earnings growth.
 The company’s revenue growth of 2.5% year-over-year is modest but positive, reflecting steady demand in its distribution business. However, earnings growth has declined by 35.5% in the most recent quarter, signaling potential challenges in maintaining profitability. The gross margin of 36.42% and operating margin of 6.33% are respectable for the industry, but the decline in earnings growth raises concerns about cost pressures or operational inefficiencies.
 The balance sheet shows a high debt-to-equity ratio of 127.18%, which is a potential risk in a rising interest rate environment. While the company generates healthy operating cash flow of $1.45 billion, its free cash flow of $485.5 million is relatively constrained, limiting flexibility for debt reduction or expansion initiatives.
 **Valuations:**  
 Genuine Parts Company is trading near its 52-week low of $112.74, significantly below its 52-week high of $164.45. This suggests the stock has been under pressure, likely due to broader market conditions and sector-specific challenges. The price-to-book ratio of 3.43 is slightly elevated, but the price-to-sales ratio of 0.69 indicates the stock is not overly expensive relative to its revenue. Analysts have a median target price of $132, implying a potential upside of approximately 14% from current levels.
 **Economic Outlook:**  
 The broader economic environment presents mixed implications for Genuine Parts Company. The recent imposition of tariffs by the U.S. government could disrupt supply chains and increase costs for distributors, potentially squeezing margins further. Additionally, inflationary pressures and rising interest rates may weigh on consumer spending and business investment, indirectly affecting demand for the company’s products. However, Genuine Parts Company’s diversified operations and established market position may provide some resilience in navigating these challenges.
 **Conclusion:**  
 Genuine Parts Company is a stable, dividend-paying stock with a reasonable valuation and a strong market presence. However, declining earnings growth, high debt levels, and potential macroeconomic headwinds pose risks to its near-term performance. While the stock’s current price near its 52-week low may offer a value opportunity, the lack of immediate growth catalysts and broader economic uncertainties warrant caution.
 **Score:** 65</t>
  </si>
  <si>
    <t>**Investment Report:**
 **Recent News:**  
 Global Payments has not been in the news over the past week, indicating a lack of significant developments or disruptions. This stability may reflect a steady operational environment, though it also suggests no immediate catalysts for sharp price movements.
 **Financials:**  
 Global Payments exhibits a solid financial foundation with a market capitalization of $28.16 billion and a price-to-earnings (P/E) ratio of 20.88, which is reasonable for its industry. The forward P/E of 8.67 suggests expectations of strong earnings growth, potentially making the stock undervalued relative to future performance. The company’s dividend yield of 0.89% is modest but sustainable, with a low payout ratio of 18.87%, leaving room for reinvestment or future dividend increases.  
 The firm’s revenue growth of 5.1% year-over-year and gross margins of 62.99% highlight its ability to generate consistent income. However, earnings growth has declined by 10.9%, and quarterly earnings growth is down 12.9%, signaling potential challenges in profitability. The company’s return on equity (ROE) of 6.06% and return on assets (ROA) of 3.16% are relatively low, indicating room for improvement in efficiency.  
 Debt levels are notable, with a debt-to-equity ratio of 74.48%, though manageable given the company’s strong operating cash flow of $3.54 billion and free cash flow of $3.32 billion. Liquidity metrics, such as a quick ratio of 0.48 and current ratio of 0.93, suggest the company may face short-term liquidity constraints but remains operationally sound.
 **Valuations:**  
 The stock is trading at a price-to-book (P/B) ratio of 1.23, which is attractive compared to its historical averages and peers in the transaction and payment processing industry. The 52-week price range of $91.60 to $141.78 places the current price near the lower end, potentially offering a buying opportunity for long-term investors. Analyst sentiment remains positive, with a mean target price of $132.32, representing a 19% upside from current levels, and a recommendation key of "buy" from 29 analysts.
 **Economic Outlook:**  
 The broader economic environment presents mixed implications for Global Payments. The recent imposition of tariffs by the U.S. administration could disrupt global trade and consumer spending, potentially impacting transaction volumes. However, the company’s diversified revenue streams and focus on digital payment solutions position it well to weather macroeconomic challenges. The ongoing volatility in the technology sector, driven by competition from Chinese advancements, may indirectly affect sentiment in related industries, though Global Payments’ core business remains relatively insulated from these specific pressures.
 **Conclusion:**  
 Global Payments demonstrates strong fundamentals, with attractive valuations and a stable financial position. While earnings growth has faced headwinds, the company’s robust cash flow and manageable debt levels provide a solid foundation for long-term resilience. The lack of recent news suggests no immediate risks or catalysts, making the stock a steady, albeit not high-growth, option in the current market environment.
 **Score:** 78</t>
  </si>
  <si>
    <t>**Investment Report: Garmin (Consumer Electronics Industry)**
 **Recent News:**  
 Garmin has not been in the spotlight recently, with no significant news or developments reported in the past week. This lack of news suggests stability in operations but also indicates no immediate catalysts for significant market movement.
 **Financials:**  
 Garmin's stock has shown resilience, trading near its 52-week high of $559.00, with a recent close at $542.83. The company has a beta of 1.322, indicating moderate volatility compared to the broader market. Its trailing price-to-earnings (P/E) ratio of 40.52 and forward P/E of 41.90 suggest a premium valuation, reflecting investor confidence in its growth prospects. However, these multiples are relatively high for the consumer electronics sector, which could signal overvaluation.
 The firm's profit margins stand at 17.33%, supported by strong gross margins of 67.78%, showcasing efficient cost management. Quarterly earnings growth of 130.6% and revenue growth of 5.4% highlight robust performance, though the pace of revenue growth is modest. Garmin's return on equity (ROE) of 130.42% is exceptionally high, driven by its leveraged capital structure, as evidenced by a debt-to-equity ratio of 282.15%. While this leverage amplifies returns, it also increases financial risk, particularly in a rising interest rate environment.
 Garmin's cash position of $1.77 billion and free cash flow of $866.79 million provide a solid liquidity buffer. However, its quick ratio of 0.895 and current ratio of 1.023 suggest limited short-term liquidity flexibility. The company's enterprise value-to-EBITDA ratio of 33.48 indicates a high valuation relative to earnings before interest, taxes, depreciation, and amortization, which may deter value-focused investors.
 **Valuations:**  
 Garmin's price-to-book ratio of 39.88 is significantly above industry norms, reflecting high market expectations. Analysts' target prices range from $460.00 to $600.00, with a mean target of $551.21, close to its current trading level. This suggests limited upside potential in the near term. The recommendation mean of 2.45 (between "buy" and "hold") indicates mixed sentiment among analysts.
 **Economic Outlook:**  
 The broader economic environment presents challenges for Garmin. The recent imposition of tariffs by the U.S. administration could increase costs for imported components, potentially squeezing margins. Additionally, inflationary pressures and potential Federal Reserve hawkishness may dampen consumer spending on discretionary items like consumer electronics. However, Garmin's niche focus on navigation and fitness devices may provide some insulation from broader market trends.
 **Conclusion:**  
 Garmin demonstrates strong profitability and growth metrics, but its high valuation and leveraged balance sheet pose risks in the current macroeconomic climate. The lack of recent news or developments suggests no immediate drivers for significant stock price movement. While the company is fundamentally sound, broader economic headwinds and its premium valuation may limit short-term upside.
 **Score:** 65</t>
  </si>
  <si>
    <t>**Investment Report: Goldman Sachs**
 **Recent News:**  
 Goldman Sachs has strategically hired Daniel Marcu, a senior executive from Amazon, to lead its global artificial intelligence engineering and science division. This move underscores the firm's commitment to leveraging artificial intelligence to enhance its platforms and products. The hire aligns with the broader trend of financial institutions integrating advanced AI technologies to improve operational efficiency, client services, and risk management. This development positions Goldman Sachs to remain competitive in an increasingly technology-driven financial landscape, particularly as AI continues to disrupt traditional banking and investment practices.
 **Financials:**  
 Goldman Sachs exhibits strong financial fundamentals, with a market capitalization of $196.3 billion and a trailing price-to-earnings (P/E) ratio of 15.6, which is reasonable for its industry. The forward P/E of 12.2 suggests expectations of earnings growth, supported by a robust earnings quarterly growth rate of 45.3%. The firm’s dividend yield of 2.1% is slightly below its five-year average of 2.31%, but the payout ratio of 32.97% indicates a sustainable dividend policy. Additionally, the firm’s return on equity (ROE) of 10.17% reflects efficient use of shareholder capital, while its gross margins of 83.2% and operating margins of 32.7% highlight strong profitability.
 However, the firm’s debt-to-equity ratio of 609.8% is notably high, reflecting significant leverage. While this is common in the investment banking industry, it introduces risks, particularly in a volatile macroeconomic environment. The firm’s total cash position of $1.04 trillion provides a substantial liquidity buffer, mitigating some concerns about its high leverage.
 **Valuations:**  
 Goldman Sachs is trading at a price-to-book (P/B) ratio of 1.93, which is slightly elevated compared to historical norms but still reasonable given its strong profitability metrics. The stock is near its 52-week high of $650, reflecting investor confidence. Analyst sentiment remains positive, with a mean target price of $646.19 and a recommendation key of "buy." The firm’s trailing PEG ratio of 3.83 suggests that its valuation may be high relative to its earnings growth, warranting caution in the short term.
 **Economic Outlook:**  
 The broader economic environment presents mixed signals for Goldman Sachs. The recent imposition of tariffs by the U.S. administration and the potential for a trade war could disrupt global markets, impacting investment banking activity. Additionally, the Federal Reserve’s potential shift to a more hawkish stance to combat inflation may increase borrowing costs, affecting leveraged firms like Goldman Sachs. However, the firm’s focus on AI and technology-driven innovation could provide a competitive edge, particularly as the financial sector adapts to technological advancements.
 The recent volatility in the technology sector, including the sharp decline in Nvidia’s market value, may also create opportunities for Goldman Sachs to advise on restructuring or capital-raising activities. Furthermore, the firm’s strong cash position and diversified revenue streams position it to weather economic uncertainties better than many peers.
 **Conclusion:**  
 Goldman Sachs is well-positioned to capitalize on its strategic investments in AI and its strong financial foundation. However, macroeconomic headwinds, including trade tensions and inflationary pressures, could pose challenges in the near term. While the firm’s valuation appears reasonable, its high leverage and the broader market volatility warrant close monitoring.
 **Score:** 78</t>
  </si>
  <si>
    <t>**Investment Report: W.W. Grainger (GWW)**
 **Recent News:**  
 W.W. Grainger's Q4 earnings report revealed a slight miss on earnings per share (EPS), coming in at $9.71 compared to the consensus estimate of $9.75. Despite this, the company demonstrated year-over-year growth, with EPS rising from $8.33 in the same quarter last year. Revenue also increased, though it fell short of expectations. The company has projected net sales between $17.6 billion and $18.1 billion for 2025, signaling confidence in its ability to maintain growth despite current challenges. The earnings miss, however, may reflect pressures from macroeconomic conditions, including inflation and supply chain disruptions, which could weigh on near-term performance.
 **Financials:**  
 Grainger's financial metrics present a mixed picture. The company has a forward price-to-earnings (P/E) ratio of 4.22, indicating a relatively low valuation compared to its earnings potential. However, profitability metrics such as return on equity (-4.34%) and net income (-$883 million) highlight recent struggles. Revenue growth has declined by 4.8% year-over-year, and earnings growth has contracted by 70.6%, reflecting operational challenges. On the positive side, Grainger maintains a strong cash position with $2.05 billion in total cash and a free cash flow of $4.15 billion, which provides flexibility to navigate short-term headwinds. The company's gross margin of 42% and EBITDA margin of 30.5% suggest operational efficiency, though these are offset by a high debt-to-equity ratio of 80.91%, which could limit financial agility.
 **Valuations:**  
 Grainger's valuation metrics suggest the stock may be undervalued relative to its peers. Its price-to-book ratio of 0.67 and price-to-sales ratio of 0.88 indicate that the market is pricing the company conservatively. However, the negative trailing EPS (-$0.73) and declining earnings growth raise concerns about the sustainability of its valuation. Analyst sentiment is cautious, with a "hold" recommendation and a target median price of $14.00, reflecting limited upside potential in the near term.
 **Economic Outlook:**  
 The broader economic environment poses challenges for Grainger. The recent implementation of tariffs by the U.S. government could increase costs for industrial machinery and components, potentially squeezing margins. Additionally, inflationary pressures and supply chain disruptions may weigh on demand and operational efficiency. However, Grainger's cost-reduction initiatives and focus on organic growth across segments could help mitigate some of these challenges. The company's strong cash flow and operational efficiency provide a buffer against macroeconomic uncertainties, though its high debt levels remain a concern.
 **Conclusion:**  
 W.W. Grainger faces a challenging near-term outlook due to macroeconomic headwinds, declining earnings growth, and operational pressures. While the company has demonstrated resilience through revenue growth and cost management, its high debt levels and recent earnings miss highlight vulnerabilities. Valuation metrics suggest the stock is conservatively priced, but the lack of clear catalysts for significant upside limits its attractiveness in the short term. The company's ability to navigate inflationary pressures and leverage its strong cash flow will be critical to its performance in the coming months.
 **Score:** 62</t>
  </si>
  <si>
    <t>**Investment Report: Halliburton (HAL)**
 **Recent News:**  
 Halliburton has secured a significant offshore drilling contract with Petrobras, marking its largest deal in Brazil to date. This development expands Halliburton's footprint in the offshore drilling services market, particularly in Latin America, a region with growing energy exploration activity. However, despite this positive news, the company faces challenges in its core North American market, where upstream activity appears to have peaked. Analysts anticipate a softer year for the region, with weak demand growth and robust supply growth likely to pressure revenue and margins. This dichotomy highlights Halliburton's reliance on international markets to offset domestic headwinds.
 **Financials:**  
 Halliburton's financial metrics reflect a mixed picture. The company trades at a trailing P/E ratio of 9.01 and a forward P/E of 8.28, suggesting a relatively low valuation compared to historical norms. However, earnings growth has declined by 18% year-over-year, and revenue growth has contracted by 1.8%, indicating challenges in maintaining momentum. The firm's gross margins (19.1%) and operating margins (17.1%) remain solid but are under pressure due to softer upstream activity in North America. Halliburton's debt-to-equity ratio of 83.99% is relatively high, though its current ratio of 2.21 and quick ratio of 1.38 suggest adequate liquidity to meet short-term obligations. Free cash flow of $1.85 billion provides some financial flexibility, but declining earnings growth raises concerns about sustainability.
 **Valuations:**  
 Halliburton's stock has declined by 25.3% over the past year, underperforming the S&amp;P 500, which gained 21.9% in the same period. The stock is trading near its 52-week low of $25.28, significantly below its 52-week high of $41.56. Analysts' target prices range from $28 to $41, with a median target of $34, implying potential upside. However, the company's valuation metrics, such as price-to-book (2.18) and enterprise value-to-revenue (1.41), suggest that the market is pricing in the risks associated with declining North American activity and broader macroeconomic uncertainties.
 **Economic Outlook:**  
 The broader macroeconomic environment presents challenges for Halliburton. Stable oil and gas prices provide some support, but the combination of weak demand growth and solid supply growth in North America limits the potential for significant upstream activity. Additionally, the Trump administration's new tariffs on Canada, Mexico, and China could disrupt supply chains and increase costs for energy companies, indirectly affecting Halliburton's operations. On the international front, the Petrobras contract and other offshore opportunities may help mitigate domestic pressures, but global economic uncertainties and geopolitical risks remain key factors to monitor.
 **Conclusion:**  
 Halliburton's recent Petrobras contract underscores its ability to secure large-scale international projects, which could provide a buffer against domestic headwinds. However, declining North American activity, weak earnings growth, and macroeconomic challenges weigh on the company's near-term outlook. While the stock appears undervalued based on traditional metrics, the risks associated with its core markets and broader economic conditions suggest caution in the short term.
 **Score:** 55</t>
  </si>
  <si>
    <t>**Investment Report: Huntington Bancshares**
 **Recent News:**  
 Huntington Bancshares has not been in the spotlight recently, with no significant news or developments reported in the past week. This lack of news suggests stability in operations but also indicates no major catalysts for immediate growth or concern.
 **Financials:**  
 Huntington Bancshares exhibits a relatively stable financial profile. The stock is trading near its 52-week low of $184.29, significantly below its 52-week high of $299.50, reflecting a challenging year with a 25.9% decline in share price over the past 12 months. The company’s trailing price-to-earnings (P/E) ratio of 11.11 and forward P/E of 12.62 suggest the stock is modestly valued compared to historical norms, though earnings growth has been under pressure, with a quarterly decline of 31.8%.  
 The dividend yield of 2.74% is above its five-year average of 2.24%, indicating an attractive income opportunity for investors. The payout ratio of 29.38% suggests the dividend is sustainable, supported by a solid return on equity (ROE) of 17.66%. However, the company’s earnings growth has been negative, and revenue growth has declined by 2.4%, signaling potential headwinds in its core business operations.
 The balance sheet shows a debt-to-equity ratio of 67.10%, which is moderate but could pose challenges in a rising interest rate environment. Liquidity metrics, such as a quick ratio of 0.699 and current ratio of 0.788, indicate limited short-term financial flexibility. Additionally, the company’s free cash flow of $119 million and operating cash flow of $564 million provide some cushion for ongoing operations and debt servicing.
 **Valuations:**  
 Huntington Bancshares is trading at a price-to-book (P/B) ratio of 1.83, which is reasonable for the regional banking sector. The price-to-sales (P/S) ratio of 0.66 further supports the view that the stock is undervalued relative to its revenue generation. However, the trailing PEG ratio of 1.42 suggests that growth prospects are not robust, aligning with the negative earnings and revenue growth trends.
 Analyst sentiment appears mixed, with a recommendation mean of 2.85 (close to "hold") and a target median price of $217, implying a modest upside from current levels. The stock’s beta of 0.548 indicates lower volatility compared to the broader market, which may appeal to risk-averse investors.
 **Economic Outlook:**  
 The broader economic environment presents challenges for regional banks like Huntington Bancshares. The recent implementation of tariffs by the U.S. government and the potential for inflationary pressures could weigh on consumer and business activity, impacting loan demand and credit quality. Additionally, the Federal Reserve’s cautious stance on interest rate cuts may limit margin expansion opportunities for banks.  
 The regional banking sector is also facing heightened scrutiny and competition, particularly as larger financial institutions and fintech companies continue to innovate and capture market share. Huntington Bancshares’ modest profit margins (5.99%) and gross margins (13.84%) suggest limited room for error in navigating these challenges.
 **Conclusion:**  
 Huntington Bancshares demonstrates a stable but constrained financial position, with attractive dividend yields and reasonable valuations offset by declining earnings and revenue growth. The broader economic environment and sector-specific challenges may limit near-term upside potential, though the stock’s low beta and sustainable dividend provide some defensive characteristics.
 **Score:** 62</t>
  </si>
  <si>
    <t>**Investment Report: Home Depot (HD)**
 **Recent News:**  
 Home Depot has demonstrated a strong track record of surpassing earnings expectations, and analysts suggest it may continue this trend in its upcoming quarterly report. However, the stock recently declined by 1.42% to close at $418.83, underperforming the broader market. This movement reflects broader market volatility and potential investor caution amid macroeconomic uncertainties, including inflationary pressures and trade tensions.
 **Financials:**  
 Home Depot's financial performance remains robust, with a market capitalization of $406 billion and a trailing price-to-earnings (P/E) ratio of 27.71, indicating a premium valuation compared to the broader market. The company maintains a forward P/E of 25.96, suggesting expectations of continued earnings growth. Its gross margin of 33.5% and operating margin of 13.5% highlight operational efficiency, while a return on equity (ROE) of 404.9% underscores its ability to generate significant shareholder value. However, earnings growth has contracted slightly (-3.7%), reflecting challenges in the current economic environment.
 Home Depot's dividend yield of 2.18% is slightly below its five-year average of 2.3%, but its payout ratio of 60% indicates a sustainable dividend policy. The company also boasts strong free cash flow of $11.94 billion, supporting its ability to return capital to shareholders and invest in growth initiatives.
 **Valuations:**  
 The stock trades at a price-to-sales (P/S) ratio of 2.63 and a price-to-book (P/B) ratio of 70.0, reflecting a premium valuation. While these metrics suggest the stock is expensive relative to its peers, they are consistent with Home Depot's dominant market position and strong brand equity. Analysts' target prices range from $292 to $500, with a median target of $440, indicating modest upside potential from current levels.
 **Economic Outlook:**  
 The broader economic environment presents mixed signals for Home Depot. On one hand, the company's revenue growth of 6.6% demonstrates resilience, likely supported by continued demand for home improvement products. On the other hand, rising inflation and new tariffs on imports from Canada, Mexico, and China could increase input costs and pressure margins. Additionally, higher interest rates may dampen consumer spending on discretionary items, including home improvement projects.
 Home Depot's beta of 1.01 suggests the stock is slightly more volatile than the market, which could amplify price swings amid ongoing macroeconomic uncertainty. However, its strong institutional ownership (72%) and low short interest (1.07% of float) indicate confidence among long-term investors.
 **Conclusion:**  
 Home Depot remains a fundamentally strong company with a proven ability to generate consistent cash flow and shareholder returns. However, its premium valuation and exposure to macroeconomic headwinds, including inflation and trade tensions, warrant caution. While the company is well-positioned to navigate these challenges, near-term volatility may persist.
 **Score:** 78</t>
  </si>
  <si>
    <t>**Investment Report: The Hartford (HIG)**
 **Recent News:**  
 The Hartford's Q4 earnings report highlighted strong performance driven by growth in property and casualty (P&amp;C) earned premiums, increased net investment income, and robust results in its Personal Lines business. These factors contributed to the company exceeding Wall Street expectations for the quarter. The firm's ability to capitalize on rising premiums and maintain operational efficiency underscores its resilience in a challenging macroeconomic environment.
 **Financials:**  
 The Hartford's financial metrics reflect a solid foundation. The company reported a trailing price-to-earnings (P/E) ratio of 10.85 and a forward P/E of 8.76, indicating a relatively attractive valuation compared to industry peers. Its dividend yield of 1.82% is below its five-year average of 2.27%, suggesting potential room for dividend growth. The firm's return on equity (ROE) of 19.74% demonstrates strong profitability, while its debt-to-equity ratio of 25.63% indicates manageable leverage. Additionally, the company has a healthy operating cash flow of $5.66 billion and free cash flow of $4.22 billion, providing flexibility for future investments or shareholder returns.
 **Valuations:**  
 The Hartford's price-to-book (P/B) ratio of 1.96 is reasonable, given its strong earnings growth of 22.5% and revenue growth of 9.5%. Analysts have a median price target of $125, representing potential upside from the current trading range. The company's enterprise value-to-revenue ratio of 1.29 and enterprise value-to-EBITDA ratio of 7.91 further support its valuation attractiveness. Institutional ownership of 94.85% reflects confidence in the firm's long-term prospects.
 **Economic Outlook:**  
 The broader economic environment presents both challenges and opportunities for The Hartford. Rising inflation and the potential for higher interest rates could impact claims costs and investment returns. However, the company's focus on P&amp;C insurance positions it well to benefit from increased demand for risk mitigation in uncertain times. Additionally, its strong underwriting discipline and diversified revenue streams provide resilience against macroeconomic headwinds, such as the recent tariffs and trade tensions.
 **Conclusion:**  
 The Hartford's strong Q4 performance, solid financial metrics, and attractive valuation suggest it is well-positioned to navigate the current economic landscape. While broader market volatility and inflationary pressures may pose risks, the company's operational strength and focus on P&amp;C insurance provide a stable foundation for continued growth.
 **Score:** 85</t>
  </si>
  <si>
    <t>**Investment Report: Huntington Ingalls Industries (HII)**
 **Recent News:**  
 Huntington Ingalls Industries (HII) is navigating mixed expectations ahead of its Q4 earnings report. While analysts anticipate an earnings beat due to favorable financial positioning, concerns linger over weak sales performance in two of its major business segments. This dual narrative highlights potential operational challenges that could weigh on short-term results, despite the company's historical ability to outperform earnings estimates. The market's focus will likely center on how HII addresses these segmental weaknesses and its broader strategy to sustain profitability.
 **Financials:**  
 HII's financial metrics present a mixed picture. The company has a trailing P/E ratio of 13.80 and a forward P/E of 10.85, suggesting a relatively attractive valuation compared to its peers. Its dividend yield of 3.68% is below its five-year average of 4.79%, indicating a slight decline in shareholder returns. The payout ratio of 60.19% reflects a balanced approach to dividend sustainability. However, earnings and revenue growth have shown slight declines, with earnings growth at -5.7% and revenue growth at -1.2%, signaling potential headwinds in operational performance. The company's profit margins remain robust at 24.71%, supported by strong operating margins of 37.83%, which could help cushion the impact of weaker segmental sales.
 **Valuations:**  
 HII's price-to-book ratio of 1.34 and price-to-sales ratio of 3.66 suggest the stock is trading at a reasonable valuation relative to its assets and revenue. The enterprise value-to-revenue ratio of 4.50 indicates a premium valuation, reflecting investor confidence in the company's long-term prospects. Analyst sentiment remains positive, with a mean price target of $18.89 and a recommendation key of "buy." However, the stock's short interest has increased, with a short ratio of 3.02, indicating some bearish sentiment in the market.
 **Economic Outlook:**  
 The broader economic environment presents challenges for HII. The recent imposition of tariffs by the U.S. administration could disrupt supply chains and increase input costs, particularly for a defense contractor reliant on complex global supply networks. Additionally, inflationary pressures and potential Federal Reserve tightening may weigh on the company's cost structure and profitability. However, HII's position in the defense sector, which benefits from stable government contracts, provides a degree of insulation from broader economic volatility.
 **Conclusion:**  
 Huntington Ingalls Industries faces a complex near-term outlook. While its financial fundamentals and valuation metrics remain solid, operational challenges in key segments and broader economic headwinds could limit upside potential in the short term. The company's ability to address these issues and leverage its strong margins will be critical in determining its performance over the next month.
 **Score:** 72</t>
  </si>
  <si>
    <t>**Investment Report: Hilton Worldwide (HLT)**
 **Recent News:**  
 Hilton Worldwide is expected to report strong fourth-quarter 2024 earnings, driven by a resurgence in group bookings, a recovery in business travel, and international market expansion. Analysts anticipate the company may exceed earnings estimates, supported by its history of earnings surprises and favorable market conditions. These factors position Hilton as a potential outperformer in the hospitality sector, particularly as global travel demand continues to recover post-pandemic. The focus on key metrics beyond revenue and earnings will provide deeper insights into Hilton's operational efficiency and strategic execution.
 **Financials:**  
 Hilton's financial performance reflects a robust recovery in the travel and hospitality industry. The company has a market capitalization of $62.47 billion and a trailing price-to-earnings (P/E) ratio of 54.64, indicating a premium valuation relative to its earnings. Its forward P/E of 32.02 suggests expectations of significant earnings growth. Hilton's profit margins remain strong, with a net profit margin of 25.07% and EBITDA margins of 52.33%, highlighting its operational efficiency. Revenue growth of 6.3% year-over-year further underscores the company's ability to capitalize on increasing travel demand. However, earnings growth has declined slightly by 4.2%, which may warrant attention in future quarters.
 The company maintains a solid cash position of $1.58 billion, with free cash flow of $1.53 billion, supporting its ability to invest in growth initiatives and return value to shareholders. However, Hilton's total debt of $11.96 billion and negative book value (-$14.19 per share) reflect a leveraged balance sheet, which could pose risks in a rising interest rate environment. The dividend yield of 0.23% is modest, with a low payout ratio of 12.82%, indicating room for potential dividend growth.
 **Valuations:**  
 Hilton's stock is trading near its 52-week high of $259.01, with a current price of $256.07. The stock has gained 31.57% over the past year, outperforming the S&amp;P 500's 21.93% increase. Analysts' target prices range from $193.88 to $296.00, with a mean target of $245.30, suggesting the stock is slightly overvalued at current levels. The trailing PEG ratio of 1.13 indicates a reasonable valuation relative to its growth prospects, though the premium P/E ratios suggest high investor expectations.
 **Economic Outlook:**  
 The broader economic environment presents both opportunities and risks for Hilton. The recovery in global travel and easing of pandemic-related restrictions have bolstered demand for hospitality services. However, macroeconomic headwinds, including inflationary pressures and potential trade disruptions from new tariffs, could impact consumer spending and corporate travel budgets. Additionally, rising interest rates may increase borrowing costs, which could weigh on Hilton's leveraged balance sheet. Despite these challenges, Hilton's strong brand, operational efficiency, and international expansion efforts position it well to navigate these uncertainties.
 **Conclusion:**  
 Hilton Worldwide is poised to benefit from favorable industry trends, including the recovery in travel demand and business activity. Its strong profit margins, revenue growth, and history of earnings surprises support its near-term outlook. However, the stock's premium valuation, leveraged balance sheet, and broader economic risks warrant cautious optimism. Investors will closely monitor the upcoming earnings report and key operational metrics to assess Hilton's ability to sustain its growth trajectory.
 **Score:** 78</t>
  </si>
  <si>
    <t>**Investment Report: Hologic, Inc. (HOLX)**
 **Recent News:**  
 Hologic has garnered significant attention recently, with analysts anticipating strong earnings growth in its upcoming Q1 fiscal 2025 report. The company is expected to benefit from its expanding breast health offerings, a core franchise that has consistently driven performance. Despite this optimism, Hologic's stock has faced downward pressure, closing at $71.77, a 1.35% decline in the latest trading session. This movement contrasts with broader market trends, suggesting company-specific factors or investor caution ahead of earnings. Additionally, short interest in the stock has risen, indicating some bearish sentiment in the market.
 **Financials:**  
 Hologic's financial position remains robust, with a market capitalization of $16.19 billion and a forward P/E ratio of 15.47, which is relatively attractive compared to its trailing P/E of 21.60. The company has demonstrated strong profitability metrics, including a net income margin of 17.59% and a return on equity of 13.85%. Its balance sheet is solid, with a current ratio of 3.99 and a quick ratio of 3.07, indicating strong liquidity. Hologic also maintains a manageable debt-to-equity ratio of 49.41%, supported by $2.16 billion in cash reserves. Free cash flow of $757.96 million further underscores its financial health. However, the stock has underperformed the S&amp;P 500 over the past year, with a 52-week change of -2.74%.
 **Valuations:**  
 Hologic's valuation metrics suggest a mixed picture. The stock trades at a price-to-book ratio of 3.27 and a price-to-sales ratio of 4.06, which are reasonable for the healthcare equipment industry. Analysts have set a median price target of $85.00, representing a potential upside of approximately 18% from its current price. The recommendation mean of 2.33 (on a scale where 1.0 is a strong buy) indicates a generally favorable outlook among analysts. However, the stock's recent decline and proximity to its 52-week low of $68.61 may reflect market concerns about near-term performance or broader economic pressures.
 **Economic Outlook:**  
 Hologic operates in the healthcare equipment industry, which tends to be resilient during economic downturns. However, macroeconomic challenges, including inflationary pressures and trade tensions stemming from new tariffs, could indirectly impact the company through higher input costs or supply chain disruptions. The broader market volatility, particularly in the technology sector, may also weigh on investor sentiment. Despite these headwinds, Hologic's focus on essential healthcare products, such as breast health solutions, positions it well for steady demand.
 **Conclusion:**  
 Hologic's upcoming earnings report is a key catalyst, with expectations of growth driven by its core franchises. The company's strong financials and liquidity provide a solid foundation, while its valuation suggests room for upside. However, recent stock performance and rising short interest highlight potential near-term risks. Broader economic uncertainties and market volatility may also influence investor sentiment. Overall, Hologic remains a fundamentally sound company with potential for growth, though caution is warranted in the short term.
 **Score:** 78</t>
  </si>
  <si>
    <t>**Investment Report: Honeywell International (HON)**
 **Recent News:**  
 Honeywell International is poised to release its Q4 earnings report, with expectations of a decline in earnings. Analysts suggest the company may fall short of an earnings beat, reflecting near-term challenges. However, Honeywell's long-term growth prospects remain robust, supported by its diversified portfolio and exposure to high-growth sectors such as aerospace, automation, and energy transition. The Aerospace segment benefits from increased global flight hours, while the Building Automation segment is capitalizing on digitalization trends. Additionally, Honeywell is expected to improve margins through cost-saving initiatives, operating leverage, and favorable year-over-year comparisons. These factors position the company as a strong player in industrial innovation, even amid short-term earnings pressures.
 **Financials:**  
 Honeywell's financial metrics reflect a stable yet cautious outlook. The company has a market capitalization of $144.6 billion and a trailing P/E ratio of 25.68, with a forward P/E of 20.38, indicating expectations of earnings growth. Its dividend yield of 2.02% and payout ratio of 49.88% suggest a commitment to returning value to shareholders while maintaining financial flexibility. Honeywell's revenue growth of 5.6% year-over-year and gross margins of 37.6% highlight its ability to generate consistent top-line growth and profitability. However, earnings growth has declined by 4.8%, reflecting near-term headwinds. The company's debt-to-equity ratio of 177.82% is relatively high, but its strong operating cash flow of $6.77 billion and free cash flow of $3.81 billion provide a solid foundation for managing debt and funding growth initiatives.
 **Valuations:**  
 Honeywell's current price-to-book ratio of 8.31 and enterprise value-to-EBITDA ratio of 18.24 suggest the stock is trading at a premium compared to some peers in the industrial conglomerates sector. However, its forward P/E ratio and trailing PEG ratio of 1.89 indicate that the market expects future earnings growth to justify the valuation. Analysts' target prices range from $196.12 to $300, with a mean target of $244.72, reflecting a potential upside from the current trading price of approximately $223. The stock's beta of 1.03 suggests moderate volatility, aligning with broader market movements.
 **Economic Outlook:**  
 Honeywell operates in a challenging macroeconomic environment marked by inflationary pressures, trade tensions, and geopolitical uncertainties. The recent imposition of tariffs by the U.S. administration could disrupt global supply chains, potentially impacting Honeywell's cost structure and revenue streams. However, the company's exposure to sectors like aerospace and energy transition positions it to benefit from long-term structural trends, such as increased air travel and the global shift toward sustainability. Additionally, Honeywell's focus on digitalization and automation aligns with the growing demand for efficiency and innovation across industries.
 **Conclusion:**  
 While Honeywell faces near-term challenges, including potential earnings declines and macroeconomic headwinds, its strong fundamentals, diversified portfolio, and exposure to high-growth sectors provide a solid foundation for long-term value creation. Margin improvement initiatives and favorable industry trends further enhance its outlook. The stock's valuation suggests room for upside, particularly if the company can navigate current challenges effectively and deliver on its growth potential.
 **Score:** 78</t>
  </si>
  <si>
    <t>**Investment Report: Hewlett Packard Enterprise (HPE)**
 **Recent News:**  
 Hewlett Packard Enterprise (HPE) has faced significant challenges recently, including the U.S. Department of Justice's (DOJ) decision to block its proposed acquisition of Juniper Networks. The DOJ's concerns over market consolidation have halted the deal, which was intended to strengthen HPE's position in networking and cloud infrastructure. This regulatory setback could delay HPE's strategic growth plans and limit its ability to compete with larger players in the sector. Additionally, HPE's stock has been impacted by the broader global technology selloff, dropping over 12% earlier this week. However, the stock has shown signs of recovery, rebounding 2.5% in recent trading, suggesting some resilience in investor sentiment.
 **Financials:**  
 HPE's financial performance reflects a mixed picture. The company has a trailing price-to-earnings (P/E) ratio of 15.2 and a forward P/E of 12.0, indicating a relatively attractive valuation compared to industry peers. Its dividend yield of 0.81% and a low payout ratio of 11.6% suggest a sustainable dividend policy. HPE's revenue growth of 7.9% and earnings growth of 24.8% highlight its ability to generate consistent top-line and bottom-line expansion. However, the company's debt-to-equity ratio of 5711% is a significant red flag, indicating a highly leveraged balance sheet that could pose risks in a rising interest rate environment. Despite this, HPE maintains a healthy operating cash flow of $10.6 billion and free cash flow of $4.1 billion, which provide some financial flexibility.
 **Valuations:**  
 HPE's current market price of $21.99 is below its 200-day average of $344.74, reflecting the recent market volatility and broader tech sector weakness. Analysts have a median price target of $384, suggesting significant upside potential if the company can navigate its current challenges. The enterprise value-to-revenue ratio of 1.83 and enterprise value-to-EBITDA ratio of 9.26 indicate that HPE is trading at a reasonable valuation relative to its earnings and revenue generation capabilities. However, the company's negative book value per share (-$8.57) raises concerns about its financial stability and asset quality.
 **Economic Outlook:**  
 The broader macroeconomic environment presents headwinds for HPE. The global technology sector has been shaken by the emergence of DeepSeek, a Chinese competitor to OpenAI, which has disrupted market dynamics and led to significant valuation declines for major tech companies. Additionally, the Trump administration's new tariffs on imports from Canada, Mexico, and China could exacerbate supply chain disruptions and increase costs for HPE, given its reliance on global manufacturing and distribution networks. Rising inflation and potential Federal Reserve rate hikes further complicate the economic landscape, potentially increasing borrowing costs for HPE's already leveraged balance sheet.
 **Conclusion:**  
 Hewlett Packard Enterprise faces a challenging near-term outlook due to regulatory hurdles, macroeconomic pressures, and sector-wide volatility. While the company's financial performance and valuation metrics suggest potential for recovery, its high leverage and exposure to external risks warrant caution. The blocked Juniper Networks acquisition could delay strategic growth initiatives, and broader economic uncertainties may weigh on its performance in the coming months.
 **Score:** 62</t>
  </si>
  <si>
    <t>**Investment Report: HP Inc.**
 **Recent News:**  
 HP Inc. has not been in the spotlight recently, with no major news or developments in the past week. This lack of news suggests stability in operations but also indicates no immediate catalysts for significant stock movement.
 **Financials:**  
 HP Inc. is trading near the lower end of its 52-week range ($27.43 - $39.80), with a recent close at $32.50. The company offers a dividend yield of 2.82%, slightly below its five-year average of 3.19%, reflecting a consistent return to shareholders. Its payout ratio of 38.22% indicates a sustainable dividend policy. The stock's trailing P/E ratio of 11.39 and forward P/E of 8.56 suggest it is undervalued relative to earnings, particularly when compared to broader market averages. However, the company's earnings and revenue growth have been under pressure, with quarterly earnings declining by 16.4% and revenue growth at a modest 2.4%.  
 HP's balance sheet shows some concerns, with a quick ratio of 0.37 and current ratio of 0.71, indicating potential liquidity challenges. The company carries significant debt, with total debt of $10.81 billion against $2.88 billion in cash. Despite this, HP generates strong free cash flow of $3.25 billion, which supports its dividend and operational needs. Profit margins remain thin, with net margins at 5.33% and operating margins at 7.49%, reflecting the competitive nature of the technology hardware industry.
 **Valuations:**  
 HP's price-to-sales ratio of 0.56 and enterprise value-to-revenue ratio of 0.86 suggest the stock is attractively valued compared to its peers. The forward PEG ratio of 1.19 indicates a reasonable valuation relative to expected growth. Analyst sentiment is mixed, with a "hold" recommendation and a target median price of $36.50, implying a potential upside of approximately 12.3% from current levels.
 **Economic Outlook:**  
 The broader technology sector has faced significant headwinds recently, with the global tech market experiencing a sharp selloff due to competitive pressures from Chinese advancements in AI. While HP is not directly tied to the AI-driven chip market, the overall negative sentiment in the tech sector could weigh on its stock performance. Additionally, the imposition of new tariffs by the U.S. administration may increase costs for HP, given its reliance on global supply chains. Inflationary pressures and potential trade disruptions could further challenge margins and profitability.
 **Conclusion:**  
 HP Inc. presents a mixed picture. While the stock appears undervalued with a strong dividend and solid cash flow, the company's declining earnings growth, liquidity concerns, and exposure to macroeconomic risks temper the outlook. The lack of recent news or innovation highlights a stable but unexciting near-term trajectory. Broader market volatility and sector-specific challenges may limit upside potential in the short term.
 **Score:** 65</t>
  </si>
  <si>
    <t>**Investment Report: Hormel Foods Corporation**
 **Recent News:**  
 Hormel Foods has not been in the news over the past week, indicating a lack of significant developments or disruptions. This stability may reflect the company's steady operations, though it also suggests no immediate catalysts for growth or volatility.
 **Financials:**  
 Hormel Foods exhibits a solid financial foundation with a market capitalization of $16.25 billion and a relatively low beta of 0.254, indicating limited volatility compared to the broader market. The company maintains a strong dividend yield of 3.65%, supported by a high payout ratio of 78.5%. While this payout ratio is on the higher side, it aligns with Hormel's reputation as a reliable dividend payer. The five-year average dividend yield of 2.46% suggests the current yield is elevated, potentially due to recent price declines.
 The firm's trailing price-to-earnings (P/E) ratio of 20.14 and forward P/E of 16.41 indicate a valuation that is not overly expensive, particularly for a defensive stock in the packaged foods industry. However, the trailing PEG ratio of 2.92 suggests that growth may be slower relative to its valuation. Hormel's revenue growth has declined by 2.2% year-over-year, reflecting challenges in expanding its top line. Despite this, earnings growth of 7.5% and quarterly earnings growth of 8.6% demonstrate the company's ability to manage costs and maintain profitability.
 The balance sheet is relatively healthy, with a current ratio of 2.29 and a quick ratio of 0.98, indicating sufficient liquidity to cover short-term obligations. Debt-to-equity stands at 36.3%, a manageable level for a company in this sector. Free cash flow of $702 million and operating cash flow of $1.18 billion further underscore Hormel's financial stability.
 **Valuations:**  
 Hormel's price-to-book ratio of 2.06 and price-to-sales ratio of 1.36 suggest the stock is trading at reasonable levels relative to its assets and revenue. The stock is near its 52-week low of $28.51, which may present an opportunity for value-oriented investors. However, the stock has underperformed the S&amp;P 500 over the past year, with a slight decline of 0.37% compared to the S&amp;P's 21.93% gain. Analyst sentiment is neutral, with a recommendation mean of 2.92 (hold) and a target median price of $31.66, implying modest upside potential from current levels.
 **Economic Outlook:**  
 The broader economic environment presents mixed implications for Hormel Foods. Rising inflationary pressures, exacerbated by new tariffs on imports from Canada, Mexico, and China, could increase input costs for packaged food companies. However, Hormel's strong brand portfolio and focus on essential food products may provide resilience in a challenging macroeconomic climate. The company's low beta and defensive nature make it a potential safe haven during periods of market volatility, particularly as the broader market faces headwinds from trade tensions and inflation.
 **Conclusion:**  
 Hormel Foods is a stable, defensive company with a strong dividend yield and manageable financial metrics. While revenue growth has been a challenge, the company has demonstrated resilience in maintaining profitability. The stock's current valuation near its 52-week low may offer a margin of safety, though broader economic pressures and limited growth prospects could cap near-term upside. Hormel's position as a defensive play in the packaged foods industry makes it a steady, albeit unexciting, option in the current market environment.
 **Score:** 72</t>
  </si>
  <si>
    <t>**Investment Report: Henry Schein (Health Care Distributors Industry)**
 **Recent News:**  
 Henry Schein has not been in the spotlight recently, with no significant news or developments reported in the past week. This lack of news suggests stability in operations but also indicates no immediate catalysts for growth or concern.
 **Financials:**  
 Henry Schein's stock has been trading near its 52-week low of $146.51, significantly below its 52-week high of $211.92, reflecting a 23.4% decline over the past year. The company’s trailing price-to-earnings (P/E) ratio of 16.99 and forward P/E of 20.01 suggest a valuation slightly above the broader market average, indicating moderate investor expectations for future earnings growth. However, the trailing PEG ratio of 4.25 highlights concerns about the company's growth relative to its valuation.  
 The firm’s dividend yield of 3.67% is above its five-year average of 2.1%, which may attract income-focused investors. However, the payout ratio of 60.94% indicates that a significant portion of earnings is being distributed as dividends, potentially limiting reinvestment opportunities.  
 Henry Schein's financial health shows mixed signals. While the company has a strong return on equity (ROE) of 43.41% and return on assets (ROA) of 12.75%, its debt-to-equity ratio of 134.23% raises concerns about leverage. Liquidity metrics, such as a quick ratio of 0.42 and current ratio of 0.85, suggest potential challenges in meeting short-term obligations. Additionally, earnings and revenue growth have declined by 13.9% and 1.4%, respectively, reflecting a challenging operating environment.
 **Valuations:**  
 The stock's price-to-book (P/B) ratio of 7.11 is relatively high, indicating that the market values the company significantly above its book value. This could signal overvaluation, especially given the declining earnings and revenue growth. The enterprise value-to-EBITDA ratio of 11.83 suggests the company is trading at a premium compared to peers in the health care distribution sector. Analyst sentiment is neutral, with a recommendation mean of 3.12 (hold) and a median price target of $165, implying limited upside from current levels.
 **Economic Outlook:**  
 The broader economic environment presents headwinds for Henry Schein. Rising inflationary pressures, driven by new tariffs and supply chain disruptions, could increase costs for the company. Additionally, the recent market volatility, particularly in the technology and trade-sensitive sectors, may weigh on investor sentiment across industries. However, the health care sector tends to be more resilient during economic downturns, which could provide some stability for Henry Schein.  
 The company's exposure to macroeconomic risks, such as higher borrowing costs due to its significant debt load, could further pressure margins. Declining revenue and earnings growth suggest that the firm may face challenges in maintaining profitability in the near term.
 **Conclusion:**  
 Henry Schein's current financial position reflects a company navigating a challenging environment, with declining growth metrics and high leverage. While its dividend yield and strong ROE are positives, concerns about valuation, liquidity, and macroeconomic pressures weigh on its near-term outlook. The lack of recent news or developments further limits potential catalysts for a significant rebound in the next month.
 **Score:** 55</t>
  </si>
  <si>
    <t>**Investment Report: Hershey Company (HSY)**
 **Recent News:**  
 Hershey is navigating a challenging environment as it prepares to release its Q4 earnings. Analysts are closely monitoring key metrics to assess the company's performance amidst inflationary pressures, particularly from rising cocoa prices. Cocoa, a critical input for Hershey, has seen stubbornly high prices, prompting Piper Sandler to downgrade the stock to "underweight." This reflects concerns about the company's ability to maintain margins in the face of elevated input costs. Despite these challenges, Hershey's strong brand equity and pricing power may help mitigate some of the impact.
 **Financials:**  
 Hershey's financial performance shows mixed signals. The company has a trailing P/E ratio of 32.61, indicating a premium valuation relative to its earnings, but its forward P/E of 15.56 suggests expectations of improved profitability. Revenue growth remains modest at 0.4%, while earnings growth has declined by 25.7%, reflecting margin pressures. Gross margins of 31.59% and operating margins of 6.55% highlight the company's ability to generate profit, though these figures may face headwinds from rising cocoa costs. Hershey's debt-to-equity ratio of 60.19% indicates moderate leverage, which could limit financial flexibility in a high-cost environment. Free cash flow of $542.5 million provides some cushion for operational needs and potential investments.
 **Valuations:**  
 Hershey's price-to-book ratio of 2.84 and price-to-sales ratio of 0.79 suggest the stock is trading at a reasonable valuation relative to its assets and revenue. However, the company's enterprise value-to-EBITDA ratio of 15.46 indicates a higher valuation compared to peers in the packaged foods industry. Analysts' target prices range from $55 to $90, with a median target of $80, aligning closely with the current market price. This suggests limited upside potential in the near term, especially given the recent downgrade and inflationary pressures.
 **Economic Outlook:**  
 The broader economic environment presents additional challenges for Hershey. Rising tariffs and inflationary pressures could further strain input costs, while consumer spending may be impacted by higher prices. However, Hershey's strong market position and ability to pass on costs to consumers through price increases could help sustain revenue. The company's beta of 0.867 indicates lower volatility compared to the broader market, which may appeal to investors seeking stability in uncertain times.
 **Conclusion:**  
 Hershey faces near-term challenges from high cocoa prices and inflationary pressures, which could weigh on margins and earnings growth. While the company's strong brand and pricing power provide some resilience, the recent downgrade and modest revenue growth suggest limited upside potential in the short term. Valuations appear fair, but the stock may remain under pressure until input costs stabilize or the company demonstrates improved operational efficiency.
 **Score:** 65</t>
  </si>
  <si>
    <t>**Investment Report: Hubbell Incorporated (HUBB)**
 **Recent News:**  
 Hubbell Incorporated is set to release its Q4 earnings report, with Wall Street anticipating earnings growth. Analysts suggest the company has the potential to exceed expectations, driven by its strong operational performance and strategic positioning in the industrial machinery and components sector. This optimism is supported by the company's historical ability to deliver consistent results, even in challenging macroeconomic conditions. However, the broader economic environment, including inflationary pressures and trade tensions, could pose risks to its near-term performance.
 **Financials:**  
 Hubbell's stock is trading near $293, with a 52-week range of $213.31 to $406.46, reflecting significant volatility over the past year. The company has a market capitalization of approximately $35.28 billion and a price-to-earnings (P/E) ratio of 25.54, which is higher than its forward P/E of 17.33, indicating expectations of future earnings growth. The dividend yield of 1.21% and a payout ratio of 30.89% suggest a stable dividend policy, supported by strong cash reserves of $24.15 billion. However, the company faces challenges with negative free cash flow (-$10.63 billion) and operating cash flow (-$3.64 billion), which may limit its ability to invest in growth initiatives or reduce debt in the short term.
 Hubbell's revenue growth of 11.3% year-over-year is a positive indicator, but earnings growth has declined by 40.7%, reflecting margin pressures. Gross margins stand at 14.73%, while EBITDA margins are 3.29%, both of which are relatively modest for the industry. The company's debt-to-equity ratio of 75.91% highlights a leveraged balance sheet, though its current ratio of 1.76 and quick ratio of 1.40 indicate sufficient liquidity to meet short-term obligations.
 **Valuations:**  
 Hubbell's price-to-book ratio of 2.01 suggests the stock is trading at a premium relative to its book value, which is not uncommon for a company with strong market positioning. The enterprise value-to-EBITDA ratio of 6.50 indicates a reasonable valuation compared to industry peers. Analyst sentiment remains moderately positive, with a mean price target of $297.60 and a recommendation key of "buy." However, the stock's 52-week change of -19.96% underperforms the S&amp;P 500's gain of 21.93%, reflecting broader market challenges and sector-specific headwinds.
 **Economic Outlook:**  
 Hubbell operates in a sector that is sensitive to macroeconomic conditions, including trade policies and industrial demand. The recent imposition of tariffs by the U.S. government could disrupt supply chains and increase input costs, potentially impacting Hubbell's profitability. Additionally, inflationary pressures and rising interest rates may weigh on industrial activity, further challenging the company's growth prospects. However, Hubbell's diversified product portfolio and strong institutional ownership (95.48%) provide a degree of resilience.
 **Conclusion:**  
 Hubbell Incorporated is positioned for potential earnings growth, supported by its operational strengths and market presence. However, the company faces significant challenges, including declining earnings growth, negative cash flows, and macroeconomic uncertainties. While its valuation metrics and analyst sentiment suggest moderate upside potential, the broader economic environment and sector-specific risks warrant caution in the near term.
 **Score:** 68</t>
  </si>
  <si>
    <t>**Investment Report:**
 **Recent News:**  
 Humana has not been in the spotlight recently, with no significant news or developments reported in the past week. This lack of news suggests stability in the company's operations, but it also indicates no immediate catalysts for significant stock movement.
 **Financials:**  
 Humana's stock has shown strong performance, reaching its 52-week high of $262.04, reflecting a 39.4% increase over the past year, outperforming the S&amp;P 500's 21.9% gain. The company maintains a relatively low beta of 0.71, indicating lower volatility compared to the broader market. Its trailing price-to-earnings (P/E) ratio of 40.61 and forward P/E of 23.04 suggest a premium valuation, likely due to its strong market position and consistent profitability. The dividend yield of 2.92% is below its five-year average of 4.67%, reflecting the stock's price appreciation. 
 Humana's financial health appears solid, with a profit margin of 10.22% and a return on equity (ROE) of 26.73%, indicating efficient use of shareholder capital. However, the company's debt-to-equity ratio of 245.11% is notably high, which could pose risks in a rising interest rate environment. The quick ratio of 0.896 and current ratio of 1.059 suggest adequate liquidity to meet short-term obligations. Free cash flow of $10.4 billion and operating cash flow of $13.6 billion provide a strong foundation for continued dividend payments and potential reinvestment.
 **Valuations:**  
 Humana's price-to-book ratio of 9.86 and enterprise value-to-EBITDA ratio of 17.57 indicate a premium valuation compared to industry peers. Analysts' target prices range from $160 to $300, with a median target of $263.15, slightly above the current price, suggesting limited upside potential in the near term. The recommendation mean of 2.67 (on a scale where 1 is "strong buy" and 5 is "sell") aligns with a "hold" consensus among analysts.
 **Economic Outlook:**  
 The broader economic environment presents mixed implications for Humana. The recent tariffs and inflationary pressures could increase costs for healthcare providers, potentially impacting margins. However, the managed healthcare industry is generally resilient to economic downturns due to the essential nature of its services. Humana's gross margin of 56.53% and operating margin of 14.13% provide a buffer against potential cost increases. Additionally, the aging population and growing demand for healthcare services support long-term growth prospects for the industry.
 **Conclusion:**  
 Humana's strong financial performance, stable operations, and favorable industry dynamics position it well for steady growth. However, its high valuation and elevated debt levels warrant caution, particularly in a volatile macroeconomic environment. The stock's recent performance suggests limited short-term upside, but its defensive characteristics and consistent cash flow make it a reliable long-term holding.
 **Score:** 78</t>
  </si>
  <si>
    <t>**Investment Report: Howmet Aerospace**
 **Recent News:**  
 Howmet Aerospace has not been in the headlines over the past week, suggesting stability in its operations and no immediate disruptions or major developments. This lack of news could indicate a steady business environment, though it also means no recent catalysts for significant stock movement.
 **Financials:**  
 Howmet Aerospace's financial performance reflects a strong position within the Aerospace &amp; Defense industry. The company has demonstrated robust earnings growth of 80% year-over-year and revenue growth of 10.7%, signaling effective operational execution and demand for its products. Profit margins are healthy at 14.8%, supported by gross margins of 30.1% and EBITDA margins of 24.4%. The firm’s return on equity (25.7%) and return on assets (9.0%) highlight efficient use of capital and assets to generate returns.  
 The company’s balance sheet shows a manageable debt-to-equity ratio of 78.9%, though total debt of $3.55 billion is notable. With a current ratio of 2.24, Howmet has sufficient liquidity to cover short-term obligations, though its quick ratio of 0.82 suggests reliance on inventory for liquidity. Free cash flow of $706 million and operating cash flow of $1.28 billion provide a solid foundation for reinvestment and shareholder returns.  
 Howmet’s dividend yield is modest at 0.32%, with a low payout ratio of 8.85%, indicating room for potential dividend growth. The company’s beta of 1.29 suggests higher volatility compared to the broader market, which could amplify stock price movements in response to macroeconomic or industry-specific events.
 **Valuations:**  
 Howmet Aerospace trades at a trailing P/E ratio of 48.8 and a forward P/E of 39.5, reflecting a premium valuation relative to the broader market. This high valuation is likely driven by strong growth expectations, as evidenced by the company’s earnings and revenue growth rates. The price-to-book ratio of 11.57 is elevated, indicating that investors are willing to pay a significant premium for the company’s assets. The enterprise value-to-revenue ratio of 7.49 and enterprise value-to-EBITDA ratio of 30.7 further underscore the market’s optimistic outlook for the firm. Analyst sentiment remains positive, with a recommendation mean of 1.58 (indicating a "buy") and a median price target of $130, slightly above the current trading range.
 **Economic Outlook:**  
 The Aerospace &amp; Defense industry is positioned for long-term growth, driven by increasing global defense budgets and demand for advanced aerospace technologies. However, macroeconomic headwinds, including inflationary pressures and potential disruptions from new tariffs, could impact supply chains and input costs. Howmet’s exposure to these risks may be mitigated by its strong market position and operational efficiency. Additionally, the company’s reliance on global trade could face challenges from geopolitical tensions and trade policy changes, particularly with the recent U.S. tariffs on Canada, Mexico, and China.
 **Conclusion:**  
 Howmet Aerospace is a well-positioned player in the Aerospace &amp; Defense sector, with strong financial performance and growth prospects. However, its premium valuation and exposure to macroeconomic risks warrant caution. While the company’s fundamentals remain solid, broader market volatility and geopolitical uncertainties could influence its near-term performance.
 **Score:** 78</t>
  </si>
  <si>
    <t>**Investment Report: Intercontinental Exchange (ICE)**
 **Recent News:**  
 Intercontinental Exchange (ICE) is poised for its Q4 earnings report, with Wall Street anticipating growth in both revenue and earnings. Analysts suggest that ICE has the potential to exceed expectations, supported by its strong operational metrics and historical performance. The company’s ability to deliver consistent earnings growth, even amid macroeconomic uncertainties, positions it as a resilient player in the Financial Exchanges &amp; Data industry. However, broader market volatility and economic headwinds could temper investor sentiment in the short term.
 **Financials:**  
 ICE's financial performance reflects a robust business model. The company has a market capitalization of approximately $92 billion and a trailing price-to-earnings (P/E) ratio of 38.19, which is higher than its forward P/E of 24.11, indicating expectations of future earnings growth. Its profit margins are solid at 26.53%, and EBITDA margins stand at an impressive 60.70%, showcasing operational efficiency. Revenue growth of 17.3% year-over-year and earnings growth of 18.8% further highlight its strong financial trajectory. Additionally, ICE maintains a healthy free cash flow of $2.81 billion, which supports its dividend payments and potential reinvestments.
 The company’s dividend yield of 1.13% is slightly below its five-year average of 1.24%, but its payout ratio of 42% suggests room for future dividend increases. However, ICE's debt-to-equity ratio of 78.90% indicates a relatively high leverage level, which could pose risks in a rising interest rate environment.
 **Valuations:**  
 ICE's valuation metrics suggest a premium compared to its peers, with a price-to-book ratio of 3.38 and a price-to-sales ratio of 10.06. While these figures may appear elevated, they reflect the company's strong market position and growth prospects. Analysts have set a median target price of $179.50, representing a potential upside from its current price of $159.83. The recommendation mean of 1.83 (on a scale where 1.0 is a strong buy) underscores positive sentiment among analysts.
 **Economic Outlook:**  
 The broader economic environment presents mixed implications for ICE. The recent imposition of tariffs by the U.S. administration and the resulting market volatility could drive increased trading volumes on ICE's platforms, potentially boosting revenue. However, inflationary pressures and the Federal Reserve's cautious stance on interest rate cuts may weigh on market sentiment. Additionally, the global technology sector's recent downturn, triggered by competitive pressures from Chinese advancements, could indirectly impact ICE if market participants reduce trading activity in response to broader uncertainty.
 **Conclusion:**  
 Intercontinental Exchange remains a strong player in its industry, with solid financials, consistent growth, and a favorable outlook for its upcoming earnings report. While macroeconomic challenges and market volatility could create short-term headwinds, ICE's operational resilience and strategic positioning provide a foundation for long-term growth. Its valuation reflects its premium status, and its ability to generate strong cash flows supports its dividend and reinvestment strategies.
 **Score:** 85</t>
  </si>
  <si>
    <t>**Investment Report: IDEXX Laboratories**
 **Recent News:**  
 IDEXX Laboratories experienced a notable surge in its stock price, climbing 10% following the release of its strong fourth-quarter earnings. The company reported revenues of $954 million, surpassing Wall Street's forecast of $935 million, and an adjusted EPS of $2.62, exceeding the consensus estimate of $2.40. This represents a year-over-year improvement from $2.32. Despite a decline in veterinary clinic visits, the company demonstrated resilience through robust demand for its veterinary diagnostic services and strategic price increases. This performance propelled the stock to a four-month high, reflecting investor confidence in the firm's ability to navigate challenging market conditions.
 **Financials:**  
 IDEXX Laboratories boasts a market capitalization of $38.4 billion and a trailing P/E ratio of 45.36, indicating a premium valuation relative to its earnings. The forward P/E ratio of 34.86 suggests expectations of continued earnings growth. The company maintains strong profitability metrics, with a profit margin of 22.53% and a return on equity of 59.42%, underscoring its operational efficiency. Revenue growth of 6.6% and earnings growth of 10.7% highlight steady expansion, while gross margins of 60.72% and EBITDA margins of 33.80% reflect a robust business model. However, the debt-to-equity ratio of 61.70% indicates moderate leverage, which may warrant monitoring in a rising interest rate environment.
 **Valuations:**  
 IDEXX's price-to-sales ratio of 9.99 and price-to-book ratio of 23.78 suggest the stock is trading at a premium compared to industry peers. Analysts have set a median price target of $475, with a high target of $566, indicating potential upside from current levels. The recommendation mean of 2.36 (between "buy" and "hold") reflects cautious optimism among analysts. While the stock has declined 25.56% over the past year, it has outperformed the broader S&amp;P 500 in recent weeks, driven by its strong earnings report.
 **Economic Outlook:**  
 The broader economic environment presents mixed signals for IDEXX Laboratories. The recent implementation of tariffs and inflationary pressures could weigh on consumer spending and veterinary clinic visits, potentially impacting demand for the company's products. However, IDEXX's focus on veterinary diagnostics—a relatively recession-resistant segment—positions it well to weather economic headwinds. Additionally, the company's ability to pass on price increases to customers demonstrates pricing power, which could help mitigate inflationary pressures. The firm's high beta of 1.36 suggests it may experience heightened volatility in the current uncertain market environment.
 **Conclusion:**  
 IDEXX Laboratories has demonstrated strong financial performance and operational resilience, supported by robust demand for its veterinary diagnostic services. While the stock's premium valuation and moderate leverage may pose risks, its strong profitability metrics and growth prospects provide a solid foundation for continued success. The broader economic environment and market volatility remain key factors to monitor.
 **Score:** 85</t>
  </si>
  <si>
    <t>**Investment Report:**
 **Recent News:**  
 IDEX Corporation has not been in the news over the past week, indicating a lack of significant recent developments or disruptions. This stability may reflect a steady operational environment, though it also suggests no immediate catalysts for growth or volatility.
 **Financials:**  
 IDEX Corporation's financial performance reflects a mixed picture. The company has a market capitalization of $16.57 billion and a trailing price-to-earnings (P/E) ratio of 33.88, which is relatively high, indicating that the stock may be priced for growth. The forward P/E ratio of 25.81 suggests expectations of earnings improvement, though the company's earnings growth has been negative (-42.9%) in the most recent quarter. Revenue growth is minimal at 0.6%, signaling limited top-line expansion.  
 Profit margins remain healthy, with a net profit margin of 15.35% and gross margins of 44.44%, showcasing operational efficiency. The company also maintains a strong balance sheet, with a current ratio of 2.97 and a quick ratio of 1.96, indicating robust liquidity. However, the debt-to-equity ratio of 55.06% suggests moderate leverage, which could pose risks in a rising interest rate environment. Free cash flow of $485.95 million and operating cash flow of $696.5 million provide a solid foundation for ongoing operations and dividend payments.  
 The dividend yield of 1.23% is modest but consistent, with a payout ratio of 41.24%, leaving room for reinvestment or future dividend increases. The stock's beta of 0.952 indicates slightly lower volatility compared to the broader market, which may appeal to risk-averse investors.
 **Valuations:**  
 IDEX's valuation metrics suggest the stock is trading at a premium. The price-to-book ratio of 4.35 and price-to-sales ratio of 5.19 are elevated, reflecting high investor expectations. Analysts have a mean target price of $235.38, representing a modest upside from the current price range. The recommendation mean of 2.07 (on a scale where 1 is a strong buy and 5 is a sell) indicates a generally favorable outlook among analysts, though the high valuation may limit near-term upside potential.
 **Economic Outlook:**  
 The broader macroeconomic environment presents challenges for industrial firms like IDEX. The recent imposition of tariffs by the U.S. administration on imports from Canada, Mexico, and China could disrupt supply chains and increase input costs, potentially pressuring margins. Additionally, inflationary pressures and the Federal Reserve's cautious stance on interest rate cuts may weigh on industrial demand. However, IDEX's diversified product portfolio and strong cash flow generation position it to weather economic headwinds better than some peers.
 **Conclusion:**  
 IDEX Corporation demonstrates strong operational efficiency and financial stability, but its high valuation and limited recent growth may constrain short-term performance. Broader economic uncertainties, including trade tensions and inflation, could also impact the industrial sector. While the company remains fundamentally sound, its premium pricing and modest growth outlook suggest limited near-term upside.
 **Score:** 65</t>
  </si>
  <si>
    <t>**Investment Report: Incyte Corporation**
 **Recent News:**  
 Incyte Corporation has not been in the news over the past week, indicating a lack of significant developments or announcements. This absence of news suggests stability but also highlights the need to focus on the company's financial performance and broader market conditions to assess its investment potential.
 **Financials:**  
 Incyte's recent stock performance shows a slight decline, with the stock trading between $90.31 and $92.95, below its 50-day average of $96.20 and its 200-day average of $94.58. This suggests some short-term weakness, potentially influenced by broader market volatility. The company has a market capitalization of $37.28 billion and a price-to-earnings (P/E) ratio of 45.13, which is relatively high, indicating that the stock may be priced for growth. The forward P/E of 26.72 suggests expectations of improved earnings in the future.
 Incyte's revenue growth of 7% year-over-year and earnings growth of 5.9% reflect steady, albeit modest, expansion. The company maintains healthy profit margins, with a gross margin of 43.81% and an operating margin of 20.70%. Its return on equity (ROE) of 8.48% and return on assets (ROA) of 5.34% are moderate but not exceptional. The company has a strong current ratio of 2.36, indicating solid short-term liquidity, though its debt-to-equity ratio of 47.26% suggests a moderate level of leverage.
 Incyte's dividend yield is minimal at 0.09%, reflecting its focus on reinvesting earnings for growth rather than returning capital to shareholders. The company also holds $1.38 billion in cash, providing financial flexibility, though its total debt of $4.88 billion warrants monitoring.
 **Valuations:**  
 Incyte's price-to-book ratio of 3.63 and price-to-sales ratio of 5.21 suggest the stock is trading at a premium relative to its book value and revenue. Analysts have a median price target of $105, representing a potential upside of approximately 13.1% from the current price. The recommendation mean of 2.12 (on a scale where 1 is a strong buy and 5 is a sell) indicates a generally favorable outlook among analysts.
 **Economic Outlook:**  
 The biotechnology sector is relatively insulated from macroeconomic headwinds, such as the recent tariffs and trade tensions, but broader market volatility could still weigh on investor sentiment. Incyte's beta of 1.42 indicates higher sensitivity to market movements, suggesting the stock may experience amplified volatility in the current uncertain environment. However, the company's focus on innovative therapies positions it well for long-term growth, particularly as demand for advanced medical treatments continues to rise.
 **Conclusion:**  
 Incyte Corporation demonstrates steady financial performance and growth potential, supported by strong liquidity and a robust pipeline in the biotechnology sector. However, its high valuation metrics and sensitivity to market volatility may pose risks in the short term. The lack of recent news or catalysts suggests that the stock's near-term performance will likely be influenced by broader market trends and investor sentiment.
 **Score:** 72</t>
  </si>
  <si>
    <t>**Investment Report: Intel Corporation**
 **Recent News:**  
 Intel's recent performance reflects a mix of optimism and challenges. The company exceeded expectations in its fourth-quarter earnings, leading to a modest 3.7% rise in after-hours trading. However, its revenue forecast for Q1 2025 fell short, citing seasonality and economic uncertainty. Intel continues to face competitive pressures, particularly in the AI and data center markets, where it is losing market share to rivals like AMD. Delays in server CPU launches and criticism over reliance on federal funding further complicate its position. On a positive note, Intel's turnaround strategy includes new manufacturing initiatives and partnerships, alongside a financial boost from an EU antitrust fine repayment. Leadership uncertainty, with the ongoing CEO search, remains a critical factor for its strategic direction.
 **Financials:**  
 Intel's financial metrics reveal a company under pressure. Its market capitalization stands at $83.9 billion, with a price-to-book ratio of 0.84, indicating the stock is trading below its book value. The company reported a net loss of $15.96 billion over the trailing twelve months, with negative profit margins (-29.42%) and return on equity (-15.60%). Revenue growth has declined by 6.2%, reflecting challenges in its core markets. Despite these setbacks, Intel maintains a strong cash position of $24.1 billion, providing some financial flexibility. However, its debt-to-equity ratio of 47.91% and negative free cash flow (-$9.37 billion) highlight ongoing financial strain.
 **Valuations:**  
 Intel's forward price-to-earnings (P/E) ratio of 16.29 suggests moderate valuation compared to peers, but its trailing twelve-month earnings per share (EPS) of -$4.38 underscores its current unprofitability. Analysts' target prices range from $18 to $31, with a median of $21.59, reflecting cautious optimism. The stock's 52-week performance has been weak, with a 54.5% decline, significantly underperforming the S&amp;P 500's 21.9% gain. Intel's dividend yield of 2.24% is below its five-year average of 2.85%, reflecting reduced payouts amid financial challenges.
 **Economic Outlook:**  
 The broader economic environment poses additional headwinds for Intel. The recent imposition of tariffs by the U.S. administration could disrupt supply chains and increase costs, particularly for semiconductor manufacturers reliant on global trade. The global technology sector has also been shaken by the emergence of DeepSeek, a Chinese AI competitor, which has intensified competition and contributed to market volatility. Intel's exposure to these macroeconomic and industry-specific challenges adds to its near-term uncertainty.
 **Conclusion:**  
 Intel is navigating a complex landscape marked by competitive pressures, financial challenges, and macroeconomic uncertainties. While its turnaround strategy and strong cash reserves offer some hope, the company's declining market share, leadership uncertainty, and weak financial performance weigh heavily on its outlook. The stock's current valuation reflects these risks, and its near-term prospects remain uncertain.
 **Score:** 45</t>
  </si>
  <si>
    <t>**Investment Report: International Paper (IP)**
 **Recent News:**  
 International Paper's Q4 earnings report revealed mixed results. While the company managed to beat the Zacks Consensus Estimate for earnings per share (EPS), reporting a loss of $0.02 compared to the expected $0.07 loss, this still marked a significant decline from the $0.41 EPS reported in the same quarter last year. Revenue also fell short of expectations, reflecting a year-over-year decline due to lower volumes across its segments. However, improved pricing partially offset the volume drop. These results highlight ongoing challenges in demand and operational efficiency, which are likely tied to broader economic pressures and industry-specific headwinds.
 **Financials:**  
 International Paper's financial metrics present a mixed picture. The company has a trailing price-to-earnings (P/E) ratio of 13.68 and a forward P/E of 10.68, suggesting that the stock is relatively undervalued compared to its future earnings potential. The dividend yield of 4.6% is attractive, especially for income-focused investors, and the payout ratio of 61.32% indicates a sustainable dividend policy. However, the company's earnings and revenue growth have been negative, with earnings declining by 92.1% and revenue shrinking by 2.9% year-over-year. The debt-to-equity ratio of 111.8% is concerning, as it indicates a high level of leverage, which could pose risks in a rising interest rate environment. Additionally, the company's return on equity (ROE) of 21.79% is strong, but it is overshadowed by the significant earnings contraction.
 **Valuations:**  
 International Paper's stock is trading near its 52-week low of $26.30, with a current price-to-book (P/B) ratio of 2.90. This valuation suggests that the market is pricing in significant challenges for the company. The enterprise value-to-revenue ratio of 1.46 and enterprise value-to-EBITDA ratio of 7.89 indicate that the company is not excessively overvalued, but the negative earnings growth and declining revenue raise concerns about its ability to generate future value. Analyst sentiment remains cautiously optimistic, with a mean target price of $35.32, implying potential upside from current levels.
 **Economic Outlook:**  
 The broader economic environment poses challenges for International Paper. The recent implementation of tariffs by the U.S. government, particularly on goods from Canada and Mexico, could disrupt supply chains and increase input costs for the company. Additionally, inflationary pressures and slowing global demand for paper and packaging products are likely to weigh on the company's performance. The ongoing volatility in the stock market, particularly in the industrial and materials sectors, adds another layer of uncertainty. However, the company's focus on pricing improvements and cost management could help mitigate some of these challenges in the near term.
 **Conclusion:**  
 International Paper faces a challenging operating environment marked by declining volumes, high leverage, and macroeconomic headwinds. While its dividend yield and valuation metrics provide some appeal, the company's negative earnings and revenue growth, coupled with broader economic uncertainties, suggest limited upside potential in the short term. The stock's performance will likely depend on its ability to stabilize volumes, manage costs, and navigate the inflationary and trade-related pressures affecting the industry.
 **Score:** 55</t>
  </si>
  <si>
    <t>**Investment Report: Interpublic Group of Companies (The)**
 **Recent News:**  
 There have been no significant updates or developments regarding the Interpublic Group of Companies (IPG) in the past week. The absence of news suggests stability in the company's operations, but it also indicates a lack of recent catalysts that could drive short-term market sentiment.
 **Financials:**  
 Interpublic Group's financial performance reflects a strong position within the advertising industry. The company has demonstrated robust profitability, with profit margins of 28.51% and operating margins of 28.33%. Earnings growth of 34.5% and revenue growth of 16.9% over the most recent period highlight its ability to expand both its top and bottom lines. The trailing price-to-earnings (P/E) ratio of 90.26 and forward P/E of 61.07 suggest that the stock is trading at a premium, likely reflecting high investor expectations for future growth. However, the elevated valuation metrics may also indicate potential overvaluation relative to peers.
 The company maintains a solid balance sheet, with a current ratio of 4.30 and a quick ratio of 3.29, indicating strong liquidity. Additionally, its free cash flow of $637.5 million and operating cash flow of $1.82 billion provide flexibility for reinvestment or shareholder returns. The return on equity (ROE) of 15.97% and return on assets (ROA) of 7.95% further underscore its efficient use of capital.
 **Valuations:**  
 Interpublic Group's stock has experienced significant appreciation, with a 52-week change of 46.75%, outperforming the S&amp;P 500's 21.93% gain over the same period. The stock is currently trading near its 52-week high of $616.00, with a price-to-book ratio of 13.22, which is considerably higher than the industry average. Analysts maintain a positive outlook, with a mean target price of $629.37 and a recommendation key of "buy." However, the trailing PEG ratio of 3.98 suggests that the stock's growth potential may already be priced in, raising concerns about its valuation sustainability.
 **Economic Outlook:**  
 The broader macroeconomic environment presents mixed implications for Interpublic Group. The recent imposition of tariffs and trade tensions could lead to higher costs for multinational clients, potentially impacting advertising budgets. Additionally, inflationary pressures and market volatility may weigh on consumer spending, indirectly affecting demand for advertising services. However, the company's strong financial position and diversified client base may help mitigate these risks. Furthermore, the ongoing digital transformation and increased focus on data-driven marketing provide long-term growth opportunities for the advertising industry.
 **Conclusion:**  
 Interpublic Group of Companies exhibits strong financial fundamentals and has delivered impressive growth in recent quarters. However, its elevated valuation metrics and potential exposure to macroeconomic headwinds warrant caution. While the company's long-term prospects remain promising, the stock's current price levels may limit upside potential in the near term.
 **Score:** 72</t>
  </si>
  <si>
    <t>**Investment Report:**
 **Recent News:**  
 IQVIA Holdings (IQV) has been highlighted as a top-ranked momentum stock by Zacks, reflecting its potential appeal to investors focused on growth, value, and momentum strategies. This recognition underscores the company's strong positioning within the Life Sciences Tools &amp; Services industry, which benefits from increasing demand for data-driven healthcare solutions. However, the broader market volatility and macroeconomic uncertainties may temper the immediate impact of this positive sentiment.
 **Financials:**  
 IQVIA's recent stock performance shows a slight decline, with its current price near $196.50, down from a 52-week high of $261.73. The stock's trailing P/E ratio of 26.16 and forward P/E of 16.76 suggest a valuation that is more attractive on a forward-looking basis, supported by analysts' optimistic earnings expectations. The company has a robust market capitalization of $36.1 billion and a strong institutional ownership of 94.2%, indicating confidence from large investors. However, its earnings growth has contracted slightly (-4.9%), and revenue growth remains modest at 4.3%, reflecting some challenges in maintaining momentum.
 The firm's profitability metrics, including a return on equity (ROE) of 22% and gross margins of 35.2%, highlight its operational efficiency. However, its high debt-to-equity ratio of 200.26% raises concerns about leverage, especially in a rising interest rate environment. IQVIA's free cash flow of nearly $2 billion and operating cash flow of $2.58 billion provide some reassurance regarding its ability to manage debt obligations and fund operations.
 **Valuations:**  
 IQVIA's price-to-book ratio of 5.19 and price-to-sales ratio of 2.36 suggest a premium valuation compared to some peers, but this may be justified by its strong market position and growth potential. Analysts' target prices range from $200 to $273, with a median target of $250, indicating potential upside from current levels. The recommendation mean of 1.58 (on a scale where 1.0 is a strong buy) reflects a generally favorable outlook from analysts.
 **Economic Outlook:**  
 The broader economic environment presents mixed signals for IQVIA. The company's reliance on healthcare and life sciences data services positions it well in a sector with long-term growth drivers, such as aging populations and increasing healthcare digitization. However, macroeconomic headwinds, including inflationary pressures and potential trade disruptions from new tariffs, could impact its cost structure and client budgets. Additionally, the recent market volatility, particularly in the technology sector, may weigh on investor sentiment toward high-growth stocks like IQVIA.
 **Conclusion:**  
 IQVIA Holdings demonstrates strong fundamentals, operational efficiency, and a favorable industry position, but faces challenges from modest growth rates and high leverage. While the stock's valuation appears reasonable given its forward earnings potential, broader economic uncertainties and market volatility may limit short-term upside. The company's ability to navigate these challenges while capitalizing on its momentum will be critical in determining its near-term performance.
 **Score:** 78</t>
  </si>
  <si>
    <t>**Investment Report: Ingersoll Rand (Industrial Machinery &amp; Supplies &amp; Components)**
 **Recent News:**  
 Ingersoll Rand has not been in the spotlight recently, with no significant news or developments reported in the past week. This lack of news suggests stability in operations but also indicates no immediate catalysts for significant price movement. The absence of updates may reflect a steady business environment, though it leaves the firm more exposed to broader macroeconomic and sectoral trends.
 **Financials:**  
 Ingersoll Rand's financial performance reflects a strong position within its industry, with a market capitalization of $19.56 billion and a robust profit margin of 21.2%. The company has demonstrated impressive earnings growth of 46% and revenue growth of 25.7% on a year-over-year basis, signaling strong operational efficiency and demand for its products. Gross margins of 69.3% and EBITDA margins of 20.7% further highlight its ability to maintain profitability despite potential cost pressures.
 However, the firm's valuation metrics suggest it is trading at a premium. A trailing P/E ratio of 47.51 and a forward P/E of 70.95 indicate high investor expectations for future growth, which may already be priced into the stock. Additionally, the price-to-book ratio of 17.50 and enterprise value-to-EBITDA ratio of 48.96 suggest the stock is expensive relative to its peers. While the company has a solid balance sheet with a quick ratio of 2.53 and a current ratio of 3.68, its debt-to-equity ratio of 128.91 raises concerns about leverage, especially in a rising interest rate environment.
 **Valuations:**  
 Ingersoll Rand's stock has performed well over the past year, with a 52-week change of +39.4%, significantly outperforming the S&amp;P 500's 21.9% gain. The stock is trading near its 52-week high of $286.39, which may limit upside potential in the short term. Analyst price targets range from $234 to $340, with a mean target of $292.29, suggesting limited room for further appreciation from current levels. The high valuation multiples, combined with the stock's strong recent performance, indicate that much of the optimism surrounding the company may already be reflected in its price.
 **Economic Outlook:**  
 The broader macroeconomic environment presents challenges for Ingersoll Rand. The recent imposition of tariffs by the U.S. government on imports from Canada, Mexico, and China could disrupt supply chains and increase input costs for industrial machinery companies. Additionally, rising inflationary pressures and potential Federal Reserve rate hikes may dampen economic growth, which could impact demand for capital goods. While Ingersoll Rand's strong margins and cash flow generation provide a buffer, the company remains exposed to these external risks.
 **Conclusion:**  
 Ingersoll Rand is a fundamentally strong company with solid growth metrics and profitability. However, its high valuation, combined with macroeconomic headwinds such as tariffs and inflation, suggests limited upside potential in the near term. The stock's premium pricing leaves little margin for error, and any negative developments in the broader economy or industrial sector could weigh on its performance. While the company is well-positioned for long-term growth, short-term risks and valuation concerns temper its attractiveness over the next month.
 **Score:** 65</t>
  </si>
  <si>
    <t>**Investment Report: Iron Mountain (IRM)**
 **Recent News:**  
 Iron Mountain has not been featured in any significant news over the past week. This absence of news suggests stability in its operations, with no immediate disruptions or major developments impacting the company.
 **Financials:**  
 Iron Mountain's recent stock performance reflects a volatile trading range, with a day low of $96.08 and a high of $101.22, indicating heightened market sensitivity. The stock is trading below its 50-day average of $110.08 and its 200-day average of $103.54, suggesting a short-term bearish trend. Despite this, the company has demonstrated resilience over the past year, with a 52-week change of +47.29%, outperforming the S&amp;P 500's 21.93% gain.
 The firm’s dividend yield of 2.82% is below its five-year average of 5.3%, which may indicate a shift in investor expectations or valuation. Its payout ratio of 740.28% is unusually high, raising concerns about the sustainability of its dividend policy. Additionally, Iron Mountain's trailing P/E ratio of 279.56 and forward P/E of 51.28 suggest the stock is trading at a premium, potentially reflecting high growth expectations or overvaluation.
 The company’s financial health shows mixed signals. While it has a strong gross margin of 56.43% and EBITDA margin of 33.43%, its free cash flow is negative at -$226 million, which could limit its ability to fund growth or reduce its significant debt load of $16.14 billion. The quick ratio of 0.61 and current ratio of 0.75 indicate limited short-term liquidity, which may pose risks in a rising interest rate environment.
 **Valuations:**  
 Iron Mountain's enterprise value-to-revenue ratio of 7.64 and enterprise value-to-EBITDA ratio of 22.84 suggest the company is valued highly relative to its earnings and revenue. Analysts have a mixed outlook, with a target price range of $45 to $140 and a median target of $132, indicating potential upside from current levels. However, the recommendation mean of 2.125 (between "buy" and "hold") reflects cautious optimism.
 **Economic Outlook:**  
 The broader economic environment presents challenges for Iron Mountain. Rising inflationary pressures, driven by new tariffs and potential trade disruptions, could increase operating costs. Additionally, the Federal Reserve's potential hawkish stance may lead to higher borrowing costs, which could strain Iron Mountain's heavily leveraged balance sheet. However, the company's focus on specialized REIT services, including data storage and management, positions it in a niche market with steady demand, potentially insulating it from broader economic volatility.
 **Conclusion:**  
 Iron Mountain's strong historical performance and niche market position are offset by concerns over its high valuation, negative free cash flow, and significant debt burden. While the company has growth potential, particularly in its data management services, macroeconomic headwinds and liquidity constraints may weigh on its near-term performance.
 **Score:** 62</t>
  </si>
  <si>
    <t>**Investment Report: Intuitive Surgical (ISRG)**
 **Recent News:**  
 Intuitive Surgical has demonstrated remarkable growth over the past decade, with its stock appreciating over 950% during this period and over 60% in the past year. The company recently reported strong Q4 results, with revenues of $2.4 billion and adjusted earnings of $2.21 per share, both exceeding analyst expectations. This performance was driven by robust placements of its flagship da Vinci surgical systems, which continue to dominate the robotic-assisted surgery market. The company's ability to maintain momentum in system placements and recurring revenue streams from instruments and accessories highlights its strong market position. However, the broader economic environment and potential headwinds in healthcare spending could temper growth expectations.
 **Financials:**  
 Intuitive Surgical's financial performance remains solid, with a market capitalization of $19.4 billion and a trailing price-to-earnings (PE) ratio of 35.56. The company has a forward PE of 14.32, suggesting expectations of continued earnings growth. Its gross margins of 28.07% and operating margins of 5.36% reflect a profitable business model, though earnings growth has recently declined by 11.1% year-over-year. The company maintains a healthy balance sheet, with $1.16 billion in cash and a manageable debt-to-equity ratio of 69.71. Free cash flow of $953 million underscores its ability to generate cash and reinvest in growth opportunities. However, the slight decline in quarterly earnings growth (-9.1%) may indicate some pressure on profitability.
 **Valuations:**  
 The stock is trading at a price-to-book ratio of 2.25, which is reasonable given its historical growth trajectory and market leadership. The trailing PEG ratio of 0.49 suggests that the stock is undervalued relative to its growth potential. Analysts have a median price target of $56.90, with a high target of $66.00, indicating potential upside from current levels. The company's dividend yield of 3.19% is modest but provides an additional incentive for long-term investors. Despite its strong fundamentals, the stock's valuation may face pressure if broader market conditions deteriorate or if growth expectations are revised downward.
 **Economic Outlook:**  
 The broader macroeconomic environment presents mixed signals for Intuitive Surgical. While the healthcare sector remains resilient, rising inflation and potential trade tensions could impact supply chains and input costs. The recent imposition of tariffs by the U.S. administration may indirectly affect the company, particularly if healthcare providers face budget constraints. Additionally, the Federal Reserve's cautious stance on interest rate cuts could influence overall market sentiment. However, Intuitive Surgical's focus on innovation and its established market presence in robotic-assisted surgery position it well to weather economic uncertainties.
 **Conclusion:**  
 Intuitive Surgical's strong Q4 performance and market leadership in robotic-assisted surgery underscore its long-term growth potential. While the company faces some near-term challenges, including slowing earnings growth and potential macroeconomic headwinds, its robust financial position and recurring revenue model provide a solid foundation for continued success. The stock's valuation appears reasonable, with room for upside if the company can sustain its growth trajectory and navigate external pressures effectively.
 **Score:** 85</t>
  </si>
  <si>
    <t>**Investment Report: Gartner**
 **Recent News:**  
 Gartner is poised to report its Q4 2024 earnings, with expectations of growth driven by higher contract values and increased participation in destination conferences. This suggests strong demand for its IT consulting and research services, reflecting its ability to capitalize on client needs for strategic insights in a rapidly evolving technology landscape. The firm's focus on conferences also highlights its diversified revenue streams, which could mitigate risks from potential economic headwinds.
 **Financials:**  
 Gartner's financial performance remains robust, with a market capitalization of $219.15 billion and a trailing P/E ratio of 33.52, indicating a premium valuation relative to earnings. The firm has demonstrated solid earnings growth of 6.06% and revenue growth of 5.8% year-over-year, supported by strong profit margins (net margin: 8.93%). Its return on equity (22.55%) underscores efficient capital utilization, while free cash flow of $4.73 billion highlights its ability to generate liquidity for reinvestment or shareholder returns. However, a debt-to-equity ratio of 110.22% signals a leveraged balance sheet, which could pose risks in a rising interest rate environment.
 **Valuations:**  
 Gartner's forward P/E ratio of 31.82 suggests continued optimism about future earnings growth. The stock is trading near its 52-week high of $207.65, reflecting strong investor confidence. Analysts maintain a "strong buy" consensus, with a median price target of $230, implying potential upside. However, its price-to-book ratio of 11.70 and trailing PEG ratio of 16.78 indicate a high valuation relative to growth, which may limit near-term appreciation.
 **Economic Outlook:**  
 The broader macroeconomic environment presents mixed signals for Gartner. While the IT consulting sector benefits from ongoing digital transformation trends, the recent global tech market crash and heightened trade tensions could dampen corporate IT spending. Additionally, inflationary pressures and potential Federal Reserve tightening may weigh on client budgets. Gartner's reliance on conferences could face challenges if economic uncertainty curtails travel and event participation. However, its strong institutional ownership (79.06%) and diversified revenue base provide resilience against these risks.
 **Conclusion:**  
 Gartner's strong financial performance, growth prospects, and leadership in IT consulting position it well for long-term success. However, its high valuation and exposure to macroeconomic uncertainties warrant caution in the near term. The upcoming Q4 earnings report will be a critical indicator of its ability to sustain growth amid challenging conditions.
 **Score:** 78</t>
  </si>
  <si>
    <t>**Investment Report: Illinois Tool Works (ITW)**
 **Recent News:**  
 Illinois Tool Works (ITW) is preparing to release its Q4 earnings, with expectations of strong performance in its Automotive OEM and Specialty Products segments. However, challenges in the Test &amp; Measurement and Electronics segment may weigh on overall results. This mixed outlook reflects the company's exposure to both resilient and struggling industries, highlighting the importance of segment diversification in its operations.
 **Financials:**  
 ITW's financial metrics indicate a stable but cautious position. The company has a trailing P/E ratio of 22.10 and a forward P/E of 23.95, suggesting a valuation slightly above the industrial sector average, which may reflect investor confidence in its long-term prospects. ITW's dividend yield of 2.32% and a payout ratio of 49.35% demonstrate a commitment to returning value to shareholders while maintaining financial flexibility. However, its high debt-to-equity ratio of 246.05 raises concerns about leverage, especially in a rising interest rate environment. The company's gross margin of 43.89% and operating margin of 26.75% are strong, indicating efficient operations and pricing power.
 **Valuations:**  
 ITW's price-to-book ratio of 22.25 and price-to-sales ratio of 4.73 suggest the stock is trading at a premium compared to peers. While this may be justified by its profitability and market position, the premium valuation could limit upside potential in the short term, especially given the broader economic uncertainties. Analysts' target prices range from $215 to $318, with a median of $266, close to its current trading levels, indicating limited near-term growth expectations.
 **Economic Outlook:**  
 The broader macroeconomic environment presents challenges for ITW. The recent imposition of tariffs by the U.S. administration could disrupt supply chains and increase input costs, particularly for its Automotive OEM segment, which relies on global trade. Additionally, the ongoing volatility in the technology sector and potential inflationary pressures may impact customer demand in key markets. However, ITW's diversified portfolio and strong cash flow generation ($3.2 billion in operating cash flow) provide a buffer against these headwinds.
 **Conclusion:**  
 Illinois Tool Works is a well-managed company with strong margins and a history of shareholder returns. However, its high valuation, leverage, and exposure to macroeconomic risks, such as tariffs and inflation, may limit its short-term performance. The upcoming Q4 earnings report will be critical in assessing the company's ability to navigate these challenges and capitalize on its strengths.
 **Score:** 65</t>
  </si>
  <si>
    <t>**Investment Report: Invesco (IVZ)**
 **Recent News:**  
 Invesco has demonstrated resilience and growth in its recent financial performance. The firm reported fourth-quarter 2024 earnings of $0.52 per share, surpassing analyst expectations of $0.49 per share. This marks an improvement from $0.47 per share in the same quarter last year. The company also achieved a year-over-year increase in adjusted net revenues and assets under management (AUM), while managing to reduce adjusted expenses. These results have positively impacted investor sentiment, as reflected in the stock's recent upward movement. Additionally, Invesco's strong dividend yield and consistent payouts position it as an attractive option for income-focused investors.
 **Financials:**  
 Invesco's financial metrics highlight a solid foundation. The company boasts a market capitalization of $168.16 billion and a dividend yield of 0.61%, aligning with its five-year average. Its payout ratio of 34.52% indicates a sustainable dividend policy. Despite a slight decline in earnings growth (-18.5%), revenue growth remains robust at 41%, supported by strong gross margins of 79.62%. The firm's return on equity (16.6%) and return on assets (8%) reflect efficient management of shareholder capital. However, the trailing price-to-earnings (P/E) ratio of 58.38 suggests the stock may be overvalued relative to its earnings, though the forward P/E of 27.21 indicates expectations of improved profitability.
 **Valuations:**  
 Invesco's stock is trading at a price-to-book ratio of 9.13, which is relatively high compared to industry peers, potentially signaling overvaluation. The stock's 52-week range of $557.29 to $714.78 shows it is currently trading closer to its lower end, with a recent close at $601.51. Analyst sentiment remains optimistic, with a mean target price of $725.32 and a median target of $750.00, suggesting potential upside. The recommendation mean of 1.81 (indicating a "buy") further underscores confidence in the stock's prospects.
 **Economic Outlook:**  
 The broader economic environment presents mixed implications for Invesco. The recent implementation of tariffs by the U.S. administration and the resulting market volatility could impact investor sentiment and AUM growth. However, Invesco's diversified asset management portfolio and strong institutional backing (86.77% of shares held by institutions) provide a buffer against macroeconomic uncertainties. Additionally, the firm's ability to maintain high operating margins (15.7%) and generate substantial free cash flow ($4.25 billion) positions it well to navigate potential headwinds.
 **Conclusion:**  
 Invesco's strong financial performance, attractive dividend yield, and robust revenue growth make it a compelling player in the asset management industry. However, its high valuation metrics and exposure to broader market volatility warrant caution. The firm's ability to sustain its growth trajectory amidst economic uncertainties will be critical in determining its near-term investment value.
 **Score:** 78</t>
  </si>
  <si>
    <t>**Investment Report: Jacobs Solutions**
 **Recent News:**  
 Jacobs Solutions is preparing to release its fiscal first-quarter earnings, with expectations of continued strength in key end markets, operational efficiencies, and robust backlog conversion. However, these positives may be tempered by higher expenses, which could weigh on profitability. The company's ability to navigate these challenges will be critical in determining its near-term performance.
 **Financials:**  
 Jacobs Solutions exhibits a solid financial foundation with a market capitalization of $17.2 billion and a price-to-sales ratio of 1.02, indicating a reasonable valuation relative to its revenue. The company has a trailing P/E ratio of 28.97 and a forward P/E of 20.38, suggesting expectations of earnings growth. However, earnings growth has recently declined by 9.2%, and quarterly earnings growth is down 10.5%, reflecting some near-term challenges. Revenue growth remains modest at 1.1%, supported by a gross margin of 21.3%. The company maintains a manageable debt-to-equity ratio of 47.86 and a healthy free cash flow of $1.15 billion, which provides flexibility for future investments or debt reduction.
 **Valuations:**  
 Jacobs Solutions is trading at a price-to-book ratio of 2.61, which is slightly elevated but not excessive for the Construction &amp; Engineering industry. Analysts have a mean target price of $152.73, representing potential upside from the current price of approximately $140. The company's dividend yield of 0.83% is modest but sustainable, with a payout ratio of 21.65%, leaving room for reinvestment in growth initiatives.
 **Economic Outlook:**  
 The broader macroeconomic environment presents mixed signals for Jacobs Solutions. The U.S. economy faces inflationary pressures and potential trade disruptions due to new tariffs, which could impact construction and engineering projects. However, Jacobs' focus on infrastructure and government contracts may provide some insulation from these headwinds. Additionally, the company's beta of 0.70 suggests lower volatility compared to the broader market, which could make it a relatively stable investment in uncertain times.
 **Conclusion:**  
 Jacobs Solutions is positioned to benefit from its strong backlog and operational efficiencies, but near-term challenges such as higher expenses and slowing earnings growth may limit upside potential. The company's solid financials and reasonable valuation provide a foundation for long-term stability, though macroeconomic uncertainties could weigh on performance in the short term.
 **Score:** 72</t>
  </si>
  <si>
    <t>**Investment Report: J.B. Hunt Transport Services (JBHT)**
 **Recent News:**  
 J.B. Hunt has not been in the headlines over the past week, suggesting stability in its operations and no immediate disruptions or major developments. However, the broader economic environment, including new tariffs and trade tensions, could indirectly impact the cargo ground transportation industry, particularly in cross-border logistics.
 **Financials:**  
 J.B. Hunt's stock has seen a slight decline recently, with its price trading near $166.05-$170.90, below its 50-day average of $178.00 and its 200-day average of $170.75. The company’s trailing price-to-earnings (P/E) ratio of 30.09 is relatively high, indicating a premium valuation compared to its forward P/E of 20.75, which reflects expectations of earnings growth. However, earnings growth has been negative, with a quarterly decline of 18.9%, and revenue growth has also contracted by 3% year-over-year.  
 The company maintains a modest dividend yield of 0.92%, with a payout ratio of 30.94%, suggesting a sustainable dividend policy. Its return on equity (ROE) of 14.19% and return on assets (ROA) of 6.19% are solid but not exceptional for the industry. The debt-to-equity ratio of 47.56% is manageable, though the quick ratio of 0.68 and current ratio of 0.94 indicate limited short-term liquidity. Free cash flow of $463.57 million and operating cash flow of $1.38 billion provide some financial flexibility.
 **Valuations:**  
 J.B. Hunt's price-to-book ratio of 4.22 and enterprise value-to-revenue ratio of 1.68 suggest the stock is trading at a premium relative to its book value and revenue. Analysts have a mean target price of $188.55, implying potential upside from current levels, though the stock remains 19% below its 52-week high of $219.51. The recommendation mean of 1.78 (on a scale where 1.0 is a strong buy) reflects positive sentiment among analysts, with 22 opinions supporting a generally favorable outlook.
 **Economic Outlook:**  
 The cargo ground transportation industry faces headwinds from the recent implementation of tariffs by the U.S. administration, which could disrupt supply chains and increase costs for cross-border logistics. Additionally, inflationary pressures and potential Federal Reserve tightening may dampen consumer demand, indirectly affecting freight volumes. J.B. Hunt's exposure to these macroeconomic factors could weigh on its near-term performance. However, its domestic focus and diversified operations may provide some insulation from global trade volatility.
 **Conclusion:**  
 J.B. Hunt is a well-established player in the cargo ground transportation industry, with stable financials and a history of consistent dividend payments. However, the combination of declining earnings and revenue growth, premium valuation metrics, and macroeconomic uncertainties may limit its short-term upside. While the company remains fundamentally sound, external pressures such as tariffs and inflation could pose challenges in the coming months.
 **Score:** 65</t>
  </si>
  <si>
    <t>**Investment Report: Jabil Inc. (JBL)**
 **Recent News:**  
 Jabil Inc. has demonstrated resilience in the current volatile market environment, closing at $162.64 with a 1.03% gain in its latest trading session. This performance highlights its momentum, particularly as broader markets face headwinds from macroeconomic uncertainties. Jabil's ability to outperform the market reflects investor confidence in its operational stability and strategic positioning within the Electronic Manufacturing Services (EMS) industry. However, the broader economic challenges, including trade tensions and inflationary pressures, could weigh on the sector's outlook.
 **Financials:**  
 Jabil's financial metrics reveal a mixed picture. The company has a trailing P/E ratio of 15.09 and a forward P/E of 15.72, suggesting a fair valuation relative to its earnings. Its profit margins stand at 4.81%, and return on equity (ROE) is a robust 60.30%, indicating strong profitability and efficient use of shareholder capital. However, revenue growth has declined by 17.7% year-over-year, reflecting challenges in maintaining top-line expansion. The company's debt-to-equity ratio of 207.89% is notably high, signaling significant leverage, which could pose risks in a rising interest rate environment. Despite this, Jabil's free cash flow of $2.19 billion and operating cash flow of $1.72 billion provide a cushion for debt servicing and operational needs.
 **Valuations:**  
 Jabil's price-to-sales ratio of 0.60 and price-to-book ratio of 10.44 suggest that the stock is trading at a premium relative to its book value but remains attractively valued based on revenue. The stock's 52-week range of $95.85 to $174.80 indicates strong price appreciation over the past year, with a 25.16% increase in its share price compared to the S&amp;P 500's 21.93% gain. Analyst sentiment remains positive, with a "buy" recommendation and a target median price of $175.10, implying modest upside potential from current levels.
 **Economic Outlook:**  
 The broader economic environment presents challenges for Jabil. The recent imposition of tariffs by the U.S. administration on imports from Canada, Mexico, and China could disrupt supply chains and increase input costs for the EMS industry. Additionally, inflationary pressures and potential Federal Reserve tightening may dampen consumer and business spending, impacting demand for Jabil's products and services. However, Jabil's diversified operations and strong institutional ownership (96.2%) may help mitigate some of these risks.
 **Conclusion:**  
 Jabil's strong profitability metrics and operational efficiency position it well within the EMS industry, but declining revenue growth and high leverage warrant caution. The broader macroeconomic environment, including trade tensions and inflation, could create headwinds for the company. While the stock has shown resilience and momentum, its near-term performance may depend on how effectively it navigates these challenges.
 **Score:** 72</t>
  </si>
  <si>
    <t>**Investment Report: Johnson Controls (JCI)**
 **Recent News:**  
 Johnson Controls is preparing to release its Q1 earnings, with expectations of growth in its HVAC &amp; Controls business. However, challenges in the Building Solutions Asia Pacific segment may weigh on overall results. Analysts have expressed mixed sentiments, noting that the company may not meet the combination of factors necessary for an earnings beat. This reflects a cautious outlook, particularly as the company navigates regional weaknesses and broader macroeconomic pressures.
 **Financials:**  
 Johnson Controls' financial metrics reveal a mixed picture. The company has a trailing P/E ratio of 37.02, which is relatively high, but its forward P/E of 18.91 suggests expectations of improved earnings. The dividend yield of 1.9% is below its five-year average of 2.23%, indicating a modest return for income-focused investors. The company’s profit margins stand at 7.43%, with EBITDA margins of 14.08%, reflecting solid operational efficiency. However, revenue growth has declined by 9.5% year-over-year, signaling potential headwinds in its core markets. The debt-to-equity ratio of 54.68 indicates moderate leverage, though manageable given its free cash flow of $1.76 billion.
 **Valuations:**  
 Johnson Controls is trading at a price-to-book ratio of 3.18, which is above the industry average, suggesting the stock may be slightly overvalued. Its enterprise value-to-EBITDA ratio of 18.99 also points to a premium valuation. Analysts have set a median price target of $88, representing potential upside from its current price of approximately $76. However, the stock's beta of 1.31 indicates higher volatility compared to the broader market, which could amplify risks in the current uncertain environment.
 **Economic Outlook:**  
 The broader economic environment presents challenges for Johnson Controls. The recent imposition of tariffs by the U.S. administration could disrupt supply chains and increase costs, particularly for a company with global operations. Additionally, the ongoing volatility in the technology and industrial sectors may weigh on investor sentiment. However, the company’s focus on HVAC &amp; Controls positions it well to benefit from long-term trends in energy efficiency and smart building solutions, which align with global sustainability goals.
 **Conclusion:**  
 While Johnson Controls demonstrates operational strength in key segments, its exposure to regional weaknesses and broader economic uncertainties may limit near-term performance. The stock's valuation appears stretched, and declining revenue growth raises concerns about its ability to sustain momentum. However, its strategic positioning in energy-efficient solutions and smart technologies offers long-term potential.
 **Score:** 65</t>
  </si>
  <si>
    <t>**Investment Report: Jack Henry &amp; Associates (JKHY)**
 **Recent News:**  
 Jack Henry &amp; Associates has been highlighted as a top momentum and growth stock by Zacks Style Scores, emphasizing its potential for long-term performance. This recognition underscores the company's strong fundamentals and its ability to align with growth-oriented investment strategies. The firm's consistent focus on transaction and payment processing services positions it well in a sector that benefits from increasing digitalization and demand for secure financial technology solutions. However, the broader economic environment, including recent market volatility and geopolitical tensions, may pose challenges to sustaining momentum in the near term.
 **Financials:**  
 Jack Henry's financial metrics reflect a stable and profitable business. The company boasts a trailing P/E ratio of 31.95 and a forward P/E of 27.95, indicating a premium valuation relative to the broader market. Its profit margins of 17.79% and EBITDA margins of 25.44% highlight operational efficiency, while revenue growth of 5.2% and earnings growth of 17.3% demonstrate steady expansion. The dividend yield of 1.26% and a payout ratio of 39.67% suggest a balanced approach to rewarding shareholders while retaining capital for growth. However, the company's debt-to-equity ratio of 10.28 and a quick ratio of 0.672 indicate some reliance on leverage, which could be a concern in a rising interest rate environment.
 **Valuations:**  
 Jack Henry's price-to-book ratio of 6.62 and price-to-sales ratio of 5.68 suggest the stock is trading at a premium compared to its peers. While this reflects investor confidence in the company's growth prospects, it also implies limited margin for error in execution. The stock's 52-week range of $157.00 to $189.63 shows it is trading near the higher end of its range, which could limit short-term upside potential. Analyst sentiment is mixed, with a recommendation mean of 2.63 (hold) and a target median price of $190.00, close to the current trading levels.
 **Economic Outlook:**  
 The broader economic environment presents both opportunities and risks for Jack Henry. The ongoing digital transformation in financial services supports demand for its payment processing solutions. However, macroeconomic headwinds, including inflationary pressures, trade tensions, and market volatility, could impact consumer and business spending, potentially affecting transaction volumes. Additionally, the recent tech sector selloff and geopolitical uncertainties may weigh on investor sentiment, even for fundamentally strong companies like Jack Henry.
 **Conclusion:**  
 Jack Henry &amp; Associates is a well-managed company with strong financials and a solid position in the transaction and payment processing industry. While its growth prospects remain intact, the stock's premium valuation and broader economic uncertainties may limit short-term upside. Investors may need to monitor macroeconomic developments and sector-specific trends closely to assess the company's ability to sustain its momentum.
 **Score:** 72</t>
  </si>
  <si>
    <t>**Investment Report: Johnson &amp; Johnson (JNJ)**
 **Recent News:**  
 Johnson &amp; Johnson remains a cornerstone in the healthcare sector, known for its stability and consistent dividend payouts. The company recently announced a strategic acquisition aimed at bolstering its growth trajectory, addressing concerns about its slower expansion in recent years. This move signals a proactive approach to maintaining its competitive edge in the industry. However, J&amp;J faces a potential financial setback as the U.S. government seeks over $1 billion in reimbursement for cancer treatment costs linked to its talc products. This legal challenge could weigh on investor sentiment and financial performance. On a brighter note, J&amp;J's oncology segment has shown robust growth, with a 19% increase in sales, reflecting the company's strength in high-demand therapeutic areas. Analysts have upgraded the stock to a strong buy, citing its potential to outperform the market.
 **Financials:**  
 Johnson &amp; Johnson's financial performance remains solid, with a market capitalization of $365.6 billion and a dividend yield of 3.35%, well above its five-year average of 2.74%. The company reported a trailing price-to-earnings (P/E) ratio of 26.18, which is higher than its forward P/E of 13.66, indicating expectations of significant earnings growth. Despite a slight decline in earnings growth (-89.1% year-over-year), revenue growth of 5.2% and strong gross margins of 69.39% highlight the company's operational efficiency. J&amp;J's free cash flow of $19.9 billion and operating cash flow of $25.1 billion provide ample liquidity to support its dividend and strategic initiatives. However, a debt-to-equity ratio of 50.96% suggests moderate leverage, which could become a concern if legal liabilities escalate.
 **Valuations:**  
 The stock is trading at a price-to-book ratio of 5.21, reflecting a premium valuation compared to its peers. Its enterprise value-to-revenue ratio of 4.24 and enterprise value-to-EBITDA ratio of 12.38 suggest the market is pricing in J&amp;J's strong cash flow generation and stable business model. Analyst price targets range from $150 to $190, with a median target of $166, indicating potential upside from its current price of $152.15. The recommendation mean of 2.18 (on a scale where 1 is a strong buy) underscores positive sentiment among analysts.
 **Economic Outlook:**  
 The broader economic environment presents mixed signals for Johnson &amp; Johnson. The recent imposition of tariffs by the U.S. government could increase input costs for healthcare companies, potentially pressuring margins. However, J&amp;J's diversified portfolio and global presence may help mitigate these risks. The company's beta of 0.518 indicates lower volatility compared to the broader market, making it a relatively safe investment during periods of economic uncertainty. Additionally, the healthcare sector's defensive nature positions J&amp;J well amid potential market volatility driven by geopolitical tensions and inflationary pressures.
 **Conclusion:**  
 Johnson &amp; Johnson's strong financial position, robust oncology growth, and strategic acquisition efforts highlight its resilience and potential for long-term value creation. However, legal challenges and broader economic headwinds could pose near-term risks. The company's ability to navigate these challenges while maintaining its dividend reliability and operational efficiency will be critical to its performance in the coming months.
 **Score:** 78</t>
  </si>
  <si>
    <t>**Investment Report: Juniper Networks (JNPR)**
 **Recent News:**  
 Juniper Networks is anticipated to report year-over-year revenue growth in its fourth-quarter 2024 results, driven by robust demand across various sectors. This optimism reflects the company's ability to maintain relevance in the competitive communications equipment industry. However, the broader economic environment, including recent market volatility and geopolitical uncertainties, may temper investor sentiment.
 **Financials:**  
 Juniper Networks' financial metrics present a mixed picture. The company has a market capitalization of approximately $11.45 billion and a price-to-sales ratio of 2.27, indicating a reasonable valuation relative to its revenue. The forward P/E ratio of 17.32 suggests a more attractive valuation compared to its trailing P/E of 45.51, reflecting expectations of improved earnings. However, the company's revenue growth has declined by 4.8% year-over-year, which could signal challenges in maintaining top-line momentum.  
 Profit margins remain modest, with a net income margin of 4.97% and operating margins of 8.45%. The gross margin of 58.6% highlights the company's ability to manage production costs effectively. Juniper's balance sheet shows a manageable debt-to-equity ratio of 39.1%, supported by a current ratio of 1.72, indicating sufficient liquidity to cover short-term obligations. Free cash flow of $503.98 million and operating cash flow of $517.4 million further underscore the company's financial stability.
 **Valuations:**  
 Juniper's stock is trading near its 52-week low of $33.72, with a current price of $34.86. This places the stock at a price-to-book ratio of 2.47, which is reasonable for the industry. The dividend yield of 2.52% is slightly below its five-year average of 2.86%, but the payout ratio of 115.79% raises concerns about the sustainability of dividend payments. Analyst sentiment is neutral, with a "hold" recommendation and a target median price of $40, suggesting limited upside potential in the near term.
 **Economic Outlook:**  
 The broader economic environment poses challenges for Juniper Networks. The recent imposition of tariffs by the U.S. administration could disrupt supply chains and increase costs for the communications equipment industry. Additionally, the global technology sector has been under pressure following the launch of DeepSeek, a Chinese competitor to OpenAI, which has caused significant market volatility. While Juniper is not directly tied to the AI sector, the ripple effects of reduced investor confidence in technology stocks could impact its valuation.  
 On the positive side, Juniper's focus on networking solutions positions it well to benefit from long-term trends such as 5G deployment and increased demand for cloud infrastructure. However, the company's modest earnings growth of 17.5% and return on equity of 5.58% suggest it may struggle to outperform in a challenging macroeconomic environment.
 **Conclusion:**  
 Juniper Networks faces a mixed outlook. While the company is expected to report revenue growth in its upcoming earnings, broader economic headwinds and declining revenue growth year-over-year raise concerns. The stock's valuation appears reasonable, but limited upside potential and risks to dividend sustainability may weigh on investor sentiment. The company's long-term prospects remain tied to its ability to capitalize on industry trends and navigate macroeconomic challenges effectively.
 **Score:** 62</t>
  </si>
  <si>
    <t>**Investment Report: JPMorgan Chase &amp; Co. (NYSE: JPM)**
 **Recent News:**  
 JPMorgan Chase continues to demonstrate its commitment to shareholder returns, recently issuing a quarterly dividend of $1.25 per share. This reflects the bank's robust financial health and its ability to generate consistent cash flows. The broader market optimism, driven by a resilient economic backdrop and controlled inflation, has also supported the financial sector's performance. However, the macroeconomic environment remains uncertain, with potential headwinds from new tariffs and geopolitical tensions that could impact global trade and financial markets.
 **Financials:**  
 JPMorgan Chase's financial metrics highlight its strong position within the diversified banking industry. The firm boasts a market capitalization of $746.4 billion and a price-to-earnings (P/E) ratio of 13.51, which is relatively attractive compared to industry peers. Its dividend yield of 2.02% is below its five-year average of 2.75%, reflecting the stock's significant price appreciation over the past year (52-week change of +52.66%). The bank's return on equity (ROE) of 16.22% and profit margins of 33.16% underscore its operational efficiency and profitability. However, earnings growth has slightly declined (-1.9% quarterly), which may warrant closer monitoring.
 **Valuations:**  
 JPMorgan's price-to-book (P/B) ratio of 2.32 suggests the stock is trading at a premium relative to its book value, which is consistent with its strong market position and historical performance. The forward P/E of 13.64 indicates modest growth expectations, while the trailing PEG ratio of 7.26 suggests the stock may be overvalued relative to its earnings growth. Analysts' target prices range from $180.51 to $330.00, with a median target of $273.00, close to its current trading levels, indicating limited upside in the near term.
 **Economic Outlook:**  
 The broader economic environment presents mixed signals for JPMorgan. On one hand, the bank benefits from a resilient U.S. economy and controlled inflation, which support lending and investment activities. On the other hand, recent tariffs and trade tensions could disrupt global supply chains and dampen economic growth, potentially impacting the bank's international operations and credit quality. Additionally, the Federal Reserve's stance on interest rates will be critical, as higher rates could boost net interest margins but also increase the risk of loan defaults.
 **Conclusion:**  
 JPMorgan Chase remains a leader in the diversified banking sector, supported by strong financials, consistent shareholder returns, and a robust market position. However, macroeconomic uncertainties, including trade tensions and inflationary pressures, could pose challenges in the near term. While the stock has performed exceptionally well over the past year, its current valuation suggests limited short-term upside potential.
 **Score:** 78</t>
  </si>
  <si>
    <t>**Investment Report: Kellanova (K)**
 **Recent News:**  
 Kellanova is poised to release its Q4 earnings, with analysts anticipating a strong performance driven by strategic pricing and cost-saving measures. The company has a history of exceeding earnings expectations, and current sentiment suggests another potential beat. Kellanova is also highlighted as a top-ranked value stock, with favorable Zacks Style Scores, indicating strong fundamentals and potential for growth. These factors have contributed to optimism around the upcoming earnings report.
 **Financials:**  
 Kellanova's financial metrics reflect a stable and moderately growing business. The company has a trailing P/E ratio of 19.60 and a forward P/E of 15.98, suggesting a reasonable valuation relative to its earnings growth. Its dividend yield of 2.87% is slightly above its five-year average, indicating a consistent return to shareholders. The firm has a market capitalization of $44.14 billion and a profit margin of 15.04%, showcasing its ability to generate solid earnings from its operations. However, its quick ratio of 0.28 and current ratio of 0.53 highlight liquidity concerns, as short-term liabilities significantly outweigh liquid assets. Debt-to-equity stands at 67.32%, reflecting a leveraged balance sheet, though manageable given its steady cash flow.
 **Valuations:**  
 Kellanova's price-to-book ratio of 1.77 and price-to-sales ratio of 2.91 suggest the stock is fairly valued compared to its peers in the Packaged Foods &amp; Meats industry. Analysts' target prices range from $32.10 to $42.00, with a mean target of $36.96, indicating potential upside from its current price of $32.10. The recommendation mean of 2.15 (on a scale where 1.0 is a strong buy) further supports a positive outlook.
 **Economic Outlook:**  
 The broader economic environment presents mixed signals for Kellanova. While inflationary pressures and new tariffs could increase input costs, the company's strategic pricing actions may help offset these challenges. Additionally, its focus on cost-saving initiatives positions it well to navigate potential headwinds. The Packaged Foods &amp; Meats industry is generally resilient during economic uncertainty, as demand for staple goods remains steady. However, rising interest rates and trade tensions could weigh on consumer spending and supply chain efficiency, potentially impacting margins.
 **Conclusion:**  
 Kellanova's strong earnings history, strategic initiatives, and stable financial performance make it a compelling player in its industry. While liquidity and debt levels warrant monitoring, the company's ability to generate consistent cash flow and its favorable valuation metrics provide a solid foundation for growth. The upcoming earnings report will be a key indicator of its ability to sustain momentum in a challenging macroeconomic environment.
 **Score:** 78</t>
  </si>
  <si>
    <t>**Investment Report: KeyCorp (Regional Banks Industry)**
 **Recent News:**  
 KeyCorp has not been in the headlines over the past week, indicating a lack of significant developments or disruptions. This absence of news suggests stability in operations but also highlights the need to assess the firm's fundamentals and broader economic conditions to gauge its investment potential.
 **Financials:**  
 KeyCorp's financial performance reflects a mixed picture. The stock is trading near the lower end of its 52-week range, with a recent close of $17.98 compared to a high of $20.04. The dividend yield of 4.48% is attractive, though the payout ratio of 107.89% raises concerns about the sustainability of dividends, especially given the firm's negative trailing EPS of -$0.32. Forward EPS of $1.56 and a forward P/E ratio of 10.04 suggest expectations of improved profitability, but the firm's profit margins remain thin at 3.05%. 
 The price-to-book ratio of 1.21 indicates the stock is trading slightly above its book value, which is reasonable for a regional bank. However, the enterprise value-to-revenue ratio of 7.63 and negative operating cash flow (-$26 million) highlight operational inefficiencies. Revenue growth has been sharply negative at -60.2%, reflecting challenges in the current economic environment.
 **Valuations:**  
 KeyCorp's valuation metrics present a mixed case. The stock's forward P/E ratio is relatively low, suggesting it may be undervalued if earnings improve as projected. However, the firm's high debt levels ($19.24 billion) and weak return on equity (0.97%) indicate potential risks. Analyst sentiment leans positive, with a recommendation mean of 2.27 (buy) and a target median price of $20, implying modest upside potential. Still, the firm's financial health and operational challenges warrant caution.
 **Economic Outlook:**  
 The broader economic environment poses challenges for regional banks like KeyCorp. The recent implementation of tariffs by the U.S. administration could increase inflationary pressures, potentially leading to higher interest rates. While higher rates can benefit banks through improved net interest margins, they may also dampen loan demand and increase credit risks. Additionally, the ongoing volatility in the financial markets, particularly in the technology sector, could weigh on investor sentiment and economic growth, indirectly affecting the banking sector.
 **Conclusion:**  
 KeyCorp's fundamentals reflect a company facing operational and economic headwinds. While the stock offers an attractive dividend yield and appears undervalued based on forward earnings, its negative revenue growth, high payout ratio, and weak profitability metrics raise concerns. The broader economic environment, including inflationary pressures and potential credit risks, adds further uncertainty. Investors may need to monitor the firm's ability to navigate these challenges and improve its financial performance.
 **Score:** 55</t>
  </si>
  <si>
    <t>**Investment Report: Keysight Technologies**
 **Recent News:**  
 Keysight Technologies has introduced a comprehensive LPDDR6 design and test solution aimed at next-generation memory systems. This development positions the company to capitalize on the growing demand for advanced memory technologies, particularly in industries such as automotive, data centers, and consumer electronics. The launch underscores Keysight's commitment to innovation and its ability to address the evolving needs of its customers. However, the broader market environment, including the recent global tech sector downturn, may temper the immediate impact of this product launch on the company's stock performance.
 **Financials:**  
 Keysight's financial metrics reflect a mixed picture. The company has a trailing P/E ratio of 50.23, which is relatively high, indicating that the stock may be overvalued based on past earnings. However, the forward P/E of 21.84 suggests expectations of significant earnings growth. The firm's profit margins are solid at 18.25%, and its gross margins of 63.46% highlight strong operational efficiency. Despite a decline in revenue growth (-11.9% year-over-year), earnings growth remains robust at 37.9%, signaling effective cost management and profitability improvements. The company maintains a healthy balance sheet with a current ratio of 2.05 and a manageable debt-to-equity ratio of 38.93. Free cash flow of $750.75 million further supports its financial stability.
 **Valuations:**  
 Keysight's price-to-book ratio of 5.85 and price-to-sales ratio of 6.09 suggest the stock is trading at a premium compared to its peers in the Electronic Equipment &amp; Instruments industry. The stock is near its 52-week high of $180.26, which may limit short-term upside potential. Analyst sentiment remains positive, with a mean price target of $180.43 and a recommendation key of "buy." However, the stock's beta of 0.981 indicates moderate sensitivity to market volatility, which could be a concern given the current macroeconomic uncertainties.
 **Economic Outlook:**  
 The broader economic environment presents challenges for Keysight. The recent global tech market selloff, driven by competitive pressures from Chinese advancements in AI, has created headwinds for the sector. Additionally, the U.S. economy faces inflationary pressures from new tariffs and potential trade disruptions, which could impact demand for Keysight's products. However, the company's focus on high-growth areas such as 5G, automotive, and aerospace may provide resilience against these macroeconomic challenges.
 **Conclusion:**  
 Keysight Technologies is well-positioned in its industry, with strong profitability and a focus on innovation. However, the combination of a high valuation, declining revenue growth, and broader market volatility may limit its short-term investment appeal. The launch of the LPDDR6 solution is a positive development, but its impact may take time to materialize amid challenging economic conditions.
 **Score:** 72</t>
  </si>
  <si>
    <t>**Investment Report: Kraft Heinz (KHC)**
 **Recent News:**  
 Kraft Heinz has not been in the spotlight recently, with no significant news or developments over the past week. This lack of news suggests stability in operations but also indicates no immediate catalysts for growth or market excitement.
 **Financials:**  
 Kraft Heinz's financial performance reflects a mixed picture. The company is trading near its 52-week low of $28.37, significantly below its 52-week high of $38.96, indicating a challenging year for the stock. The trailing price-to-earnings (P/E) ratio of 26.38 is relatively high compared to its forward P/E of 9.61, suggesting expectations of improved earnings in the future. However, revenue growth has been negative at -2.8%, reflecting challenges in maintaining top-line performance.  
 The company maintains a strong dividend yield of 5.36%, well above its five-year average of 4.55%, which may appeal to income-focused investors. However, the payout ratio of 144.14% raises concerns about the sustainability of the dividend, as it exceeds earnings. The company's debt-to-equity ratio of 41.45% is moderate, but the quick ratio of 0.448 indicates potential liquidity constraints in the short term.  
 Kraft Heinz's gross margins of 34.65% and EBITDA margins of 24.67% are solid for the packaged foods industry, reflecting operational efficiency. However, the return on equity (ROE) of 2.8% and return on assets (ROA) of 3.84% are relatively low, indicating limited profitability relative to its asset base.
 **Valuations:**  
 The stock's price-to-book (P/B) ratio of 0.73 suggests that Kraft Heinz is trading at a significant discount to its book value, which could indicate undervaluation. Additionally, the enterprise value-to-EBITDA ratio of 8.43 is reasonable, suggesting the company is not overly expensive relative to its earnings before interest, taxes, depreciation, and amortization. Analyst sentiment appears cautiously optimistic, with a mean target price of $36.05, representing potential upside from the current price of approximately $29.  
 **Economic Outlook:**  
 The broader macroeconomic environment presents challenges for Kraft Heinz. The recent implementation of tariffs by the U.S. government could increase input costs for food manufacturers, particularly if raw materials or packaging are sourced internationally. Additionally, inflationary pressures may weigh on consumer spending, potentially impacting demand for Kraft Heinz's products. However, the company's focus on packaged foods, a relatively defensive sector, may provide some resilience during economic uncertainty.  
 **Conclusion:**  
 Kraft Heinz's current valuation metrics suggest the stock may be undervalued, particularly given its strong dividend yield and discount to book value. However, concerns about revenue decline, dividend sustainability, and broader economic headwinds temper the outlook. While the company remains a stable player in the packaged foods industry, its near-term growth prospects appear limited without significant operational or market catalysts.
 **Score:** 65</t>
  </si>
  <si>
    <t>**Investment Report:**
 **Recent News:**  
 Kimco Realty has not been in the news over the past week, indicating a lack of significant developments or disruptions. This stability may reflect a steady operational environment, though it also suggests no immediate catalysts for growth or concern.
 **Financials:**  
 Kimco Realty demonstrates a solid financial position with a market capitalization of $43.28 billion and a dividend yield of 3.71%, which is above its five-year average of 3.41%. The payout ratio of 62.69% suggests the dividend is sustainable, supported by consistent cash flow. The firm’s beta of 0.412 indicates lower volatility compared to the broader market, making it a relatively stable investment in uncertain economic conditions. However, the company’s debt-to-equity ratio of 517.8% is notably high, signaling significant leverage that could pose risks in a rising interest rate environment. Revenue growth has declined by 3.5% year-over-year, which may reflect challenges in the retail real estate sector.
 Kimco’s profitability metrics are mixed. While the return on assets (11.46%) and return on equity (2.31%) are modest, the firm has shown strong earnings growth of 55.5% in the most recent quarter. The trailing price-to-earnings (P/E) ratio of 17.28 and forward P/E of 16.42 suggest the stock is reasonably valued, though not deeply discounted. The price-to-book ratio of 33.86 is high, reflecting a premium valuation relative to its book value.
 **Valuations:**  
 Kimco Realty’s valuation metrics indicate a balanced outlook. The enterprise value-to-EBITDA ratio of 12.92 is within a reasonable range for the retail REIT sector, suggesting the company is not overvalued relative to its earnings potential. Analyst sentiment is neutral, with a recommendation mean of 2.7 (hold) and a target median price of $143, implying limited upside from the current price of $129.97. The firm’s gross margins of 36.41% and EBITDA margins of 19.39% are consistent with industry norms, though revenue per share has declined, reflecting broader challenges in retail real estate.
 **Economic Outlook:**  
 The broader economic environment presents both challenges and opportunities for Kimco Realty. The recent implementation of tariffs and inflationary pressures could weigh on consumer spending, potentially impacting retail tenants. However, Kimco’s focus on grocery-anchored shopping centers may provide some insulation, as these properties tend to be more resilient during economic downturns. Rising interest rates could increase the cost of debt servicing, given the company’s high leverage, but its stable cash flow and strong institutional ownership (81.52%) provide a degree of financial security.
 **Conclusion:**  
 Kimco Realty’s financial stability, consistent dividend, and focus on grocery-anchored retail centers position it as a relatively defensive play in the retail REIT sector. However, high leverage, declining revenue growth, and broader economic headwinds could limit near-term upside. The stock appears fairly valued, with limited catalysts for significant price appreciation in the short term.
 **Score:** 65</t>
  </si>
  <si>
    <t>**Investment Report: KKR &amp; Co. (KKR)**
 **Recent News:**  
 KKR &amp; Co., a leading global investment firm, has been under the spotlight as analysts evaluate its Q4 2024 performance. Projections for key metrics suggest robust growth, with the firm benefiting from its diversified asset management strategies. Despite broader market volatility, KKR's strong fundamentals and strategic positioning in private equity and alternative investments have likely supported its resilience. However, macroeconomic headwinds, including inflationary pressures and trade tensions, may pose challenges to its portfolio companies and overall performance.
 **Financials:**  
 KKR's financial metrics reflect a solid operational foundation. The firm reported a trailing price-to-earnings (PE) ratio of 31.14 and a forward PE of 22.83, indicating expectations of earnings growth. Its revenue growth of 18.5% and earnings growth of 29.6% underscore its ability to capitalize on market opportunities. Profit margins remain strong at 28.9%, supported by high gross margins of 59.7% and EBITDA margins of 41.4%. The firm's return on equity (ROE) of 90.6% highlights its efficiency in generating shareholder value, though its high debt-to-equity ratio of 191.76 warrants attention, as it reflects significant leverage.
 KKR's dividend yield of 0.92% is below its five-year average of 1.2%, but its low payout ratio of 25.46% suggests room for future dividend growth. The firm's free cash flow of $2.27 billion and operating cash flow of $3.42 billion provide a strong liquidity position, further supported by a current ratio of 2.13. However, its debt load of $6.83 billion could be a concern in a rising interest rate environment.
 **Valuations:**  
 KKR's stock is trading near the upper end of its 52-week range, with a recent close of $738.24 compared to a high of $896.32. Its price-to-book ratio of 29.54 is significantly elevated, reflecting a premium valuation relative to its book value. The firm's enterprise value-to-revenue ratio of 9.90 and enterprise value-to-EBITDA ratio of 23.89 suggest that the market is pricing in strong growth expectations. Analyst sentiment remains positive, with a mean target price of $819.73 and a recommendation key of "buy," supported by 28 analyst opinions.
 **Economic Outlook:**  
 KKR operates in a challenging macroeconomic environment marked by inflationary pressures, trade tensions, and market volatility. The recent imposition of tariffs by the U.S. administration could impact KKR's portfolio companies, particularly those with global supply chains. Additionally, the technology sector's downturn, driven by competition from Chinese AI advancements, may affect KKR's investments in tech-related assets. However, the firm's diversified portfolio and focus on alternative investments may provide some insulation from these risks.
 KKR's exposure to private equity and infrastructure investments positions it well to benefit from long-term trends, such as the transition to renewable energy and the growth of digital infrastructure. Its ability to generate consistent cash flows and deploy capital strategically will be critical in navigating the current economic landscape.
 **Conclusion:**  
 KKR's strong financial performance, robust growth metrics, and positive analyst sentiment highlight its potential as a resilient player in the asset management industry. However, elevated valuations, high leverage, and macroeconomic uncertainties warrant caution. The firm's ability to adapt to changing market conditions and leverage its diversified investment strategies will be key to sustaining its growth trajectory.
 **Score:** 78</t>
  </si>
  <si>
    <t>**Investment Report:**
 **Recent News:**  
 KLA Corporation has demonstrated robust performance in its semiconductor process control segment, with second-quarter 2025 earnings of $8.20 per share, significantly surpassing expectations and reflecting strong year-over-year growth. This success is attributed to heightened demand for chipmaking tools, particularly those supporting AI workloads. Despite geopolitical uncertainties and supply chain challenges, KLA's strategic positioning in the semiconductor industry has led to optimistic forecasts for the upcoming quarter. Analysts have highlighted the company's strong financial metrics, stable margins, and high return on invested capital. However, concerns remain regarding its valuation, which appears elevated due to the ongoing AI-driven market enthusiasm.
 **Financials:**  
 KLA's financial performance underscores its resilience and operational strength. The company boasts a market capitalization of $150.6 billion and a trailing price-to-earnings (PE) ratio of 50.69, with a forward PE of 26.86, indicating expectations of continued earnings growth. Revenue growth of 23.8% year-over-year and operating margins of 26.19% reflect its ability to capitalize on industry demand. KLA's substantial cash reserves of $38.88 billion provide a buffer against its high debt levels, with a debt-to-equity ratio of 83.05. However, earnings growth has contracted by 61% year-over-year, which may raise concerns about sustainability in the face of macroeconomic pressures.
 **Valuations:**  
 KLA's stock is trading near its 52-week high of $170.4, with a price-to-book ratio of 6.01 and a price-to-sales ratio of 5.41. These metrics suggest the stock is relatively expensive compared to historical averages and peers, partly driven by the AI hype. While the company's strong fundamentals justify a premium valuation, the elevated multiples may limit upside potential in the near term. The dividend yield of 0.42% is modest, with a payout ratio of 21%, indicating room for future increases.
 **Economic Outlook:**  
 The semiconductor industry faces mixed macroeconomic conditions. On one hand, demand for AI-related technologies and chipmaking tools remains robust, benefiting companies like KLA. On the other hand, geopolitical tensions, including U.S.-China trade disputes and new tariffs, could disrupt supply chains and increase costs. Additionally, the recent global tech market selloff, triggered by the emergence of Chinese AI competitor DeepSeek, has introduced volatility into the sector. KLA's strong cash position and operational efficiency provide a degree of insulation, but broader market conditions may weigh on its stock performance in the short term.
 **Conclusion:**  
 KLA Corporation is well-positioned to benefit from the growing demand for semiconductor process control tools, particularly in AI-driven applications. Its strong financial performance, stable margins, and strategic industry positioning highlight its growth potential. However, elevated valuations, geopolitical risks, and macroeconomic uncertainties may temper near-term gains. While the company's fundamentals remain solid, the broader market environment and sector-specific challenges warrant cautious optimism.
 **Score:** 78</t>
  </si>
  <si>
    <t>**Investment Report: Kinder Morgan (KMI)**
 **Recent News:**  
 Kinder Morgan has reported a robust fourth-quarter performance, with a notable increase in its project backlog. This growth is driven by rising demand for natural gas, particularly for liquefied natural gas (LNG) exports, power generation, and emerging applications in artificial intelligence (AI). The company’s strategic positioning in the natural gas infrastructure sector aligns well with global trends, as LNG demand continues to grow due to energy transition efforts and geopolitical shifts. The mention of AI reflects the potential for increased energy consumption in data centers and other AI-driven industries, which could further bolster demand for natural gas. This diversification of demand sources strengthens Kinder Morgan's long-term growth prospects.
 **Financials:**  
 Kinder Morgan's financial metrics present a mixed picture. The company has a trailing price-to-earnings (P/E) ratio of 23.57 and a forward P/E of 20.46, indicating moderate valuation levels relative to its earnings growth. Its dividend yield of 3.74% is below its five-year average of 6.3%, suggesting a less attractive yield compared to historical levels. However, the payout ratio of 97.86% indicates that the company is returning a significant portion of its earnings to shareholders, which may appeal to income-focused investors.  
 The firm’s revenue growth has declined by 5.3% year-over-year, reflecting challenges in its core operations. However, earnings growth of 18.1% and quarterly earnings growth of 17.5% demonstrate improved profitability. Kinder Morgan's gross margins of 51.15% and EBITDA margins of 43.36% highlight its strong operational efficiency. The company’s debt-to-equity ratio of 101.43% is relatively high, indicating significant leverage, but its operating cash flow of $6.45 billion provides a solid foundation for debt servicing.
 **Valuations:**  
 Kinder Morgan’s price-to-book ratio of 2.02 and enterprise value-to-EBITDA ratio of 15.5 suggest that the stock is trading at a reasonable valuation compared to its peers in the Oil &amp; Gas Storage &amp; Transportation industry. The stock has experienced a 64.65% increase over the past year, outperforming the S&amp;P 500’s 21.93% gain, reflecting strong investor confidence. Analyst sentiment remains positive, with a mean recommendation of "buy" and a target median price of $30, implying potential upside from current levels.
 **Economic Outlook:**  
 The broader macroeconomic environment presents both opportunities and risks for Kinder Morgan. Rising geopolitical tensions and sanctions on Russia’s energy sector have increased global demand for LNG, benefiting Kinder Morgan’s infrastructure assets. However, the recent tariffs imposed by the U.S. administration could disrupt supply chains and increase costs, potentially impacting the company’s operations. Additionally, inflationary pressures and potential Federal Reserve rate hikes may weigh on the broader market, though Kinder Morgan’s essential infrastructure assets could provide some insulation from economic volatility.
 **Conclusion:**  
 Kinder Morgan is well-positioned to capitalize on growing LNG demand and the increasing energy needs of AI-driven industries. While its high leverage and declining revenue growth are concerns, its strong margins, improving profitability, and strategic focus on natural gas infrastructure provide a solid foundation for long-term growth. The stock’s valuation appears reasonable, and its dividend policy remains attractive for income-oriented investors. However, macroeconomic uncertainties, including tariffs and inflation, could pose challenges in the near term.
 **Score:** 78</t>
  </si>
  <si>
    <t>**Investment Report:**
 **Recent News:**  
 CarMax (KMX) has been highlighted as a "Fast-Paced Momentum at a Bargain" stock, suggesting it has recently gained strong momentum while maintaining a reasonable valuation. This recognition reflects the company's ability to attract attention in a challenging macroeconomic environment, particularly as the automotive retail industry faces headwinds from rising interest rates and inflationary pressures. However, the broader economic uncertainty, including tariffs and trade tensions, could weigh on consumer sentiment and discretionary spending, potentially impacting CarMax's sales volumes.
 **Financials:**  
 CarMax's financial performance shows mixed signals. The company has a trailing price-to-earnings (P/E) ratio of 28.65 and a forward P/E of 21.75, indicating expectations of earnings growth. Its price-to-sales ratio of 0.47 suggests the stock is trading at a discount relative to its revenue generation. However, the company's profit margins remain thin, with a net profit margin of 1.51% and operating margins of 2.70%. Revenue growth has been slightly negative (-0.2%), reflecting challenges in maintaining sales momentum. On the positive side, earnings growth of 13.5% and quarterly earnings growth of 11.9% indicate some resilience in profitability.
 CarMax's balance sheet reveals a high debt-to-equity ratio of 314.64%, which raises concerns about leverage, especially in a rising interest rate environment. The company's quick ratio of 0.35 suggests limited short-term liquidity, though its current ratio of 2.25 indicates it can meet near-term obligations. Free cash flow of $894.9 million and operating cash flow of $1.02 billion provide some financial flexibility.
 **Valuations:**  
 CarMax's valuation metrics suggest it is trading at a reasonable level compared to its historical performance and peers. The stock's price-to-book ratio of 2.19 and trailing PEG ratio of 0.79 indicate potential undervaluation, particularly if the company can sustain its earnings growth. Analysts' target prices range from $56 to $123, with a median target of $91.50, slightly above the current trading price. The recommendation mean of 2.37 (between "Buy" and "Hold") reflects cautious optimism among analysts.
 **Economic Outlook:**  
 The broader economic environment poses challenges for CarMax. Rising tariffs on imports from Canada, Mexico, and China could increase costs for the automotive industry, potentially impacting CarMax's inventory sourcing and pricing strategies. Additionally, inflationary pressures and higher interest rates may dampen consumer demand for vehicles, particularly in the used car market, where affordability is a key driver. However, CarMax's strong brand and operational scale may help it navigate these challenges better than smaller competitors.
 **Conclusion:**  
 CarMax's recent momentum and reasonable valuation make it an intriguing prospect in the automotive retail sector. However, its high leverage, thin margins, and exposure to macroeconomic risks warrant caution. The company's ability to sustain earnings growth and manage costs in a volatile environment will be critical to its near-term performance.
 **Score:** 68</t>
  </si>
  <si>
    <t>**Investment Report: Coca-Cola Company (KO)**
 **Recent News:**  
 Coca-Cola remains a prominent player in the soft drinks and non-alcoholic beverages industry, with analysts maintaining a bullish outlook on its stock performance. The company is expected to achieve higher revenue and earnings per share (EPS) growth in 2024, despite recent downward revisions. Coca-Cola HBC, a key bottling partner, has demonstrated strong growth potential, with upgraded guidance forecasting 11-13% organic revenue growth and 10-12% organic EBIT growth. However, the company faces challenges, including a safety recall in Europe due to high chlorate content in products, which could temporarily impact brand reputation and sales in affected regions. Despite these headwinds, Coca-Cola continues to be a reliable dividend growth stock, supported by its strong cash flow and a history of shareholder returns.
 **Financials:**  
 Coca-Cola's financial position reflects its status as a stable, mature company. The firm boasts a market capitalization of $272.9 billion and a dividend yield of 3.06%, aligning with its reputation as a dividend aristocrat. Its trailing price-to-earnings (P/E) ratio of 26.29 and forward P/E of 21.48 suggest moderate valuation levels, though slightly elevated compared to historical averages. The company maintains robust profit margins, with gross margins at 60.43% and operating margins at 30.24%, underscoring its efficiency in managing costs. However, revenue growth has been slightly negative (-0.8%), and earnings growth has declined (-7.7%), reflecting some near-term challenges. Coca-Cola's debt-to-equity ratio of 167.36% indicates a high level of leverage, though its strong free cash flow of $14 billion provides a cushion for debt servicing and dividend payments.
 **Valuations:**  
 Coca-Cola's stock is trading near its 50-day average of $62.67, with a current price-to-book ratio of 10.30, which is high but typical for a consumer staples company with strong brand equity. Analysts have set a target median price of $72, representing potential upside from current levels. The company's beta of 0.62 indicates lower volatility compared to the broader market, making it an attractive option for risk-averse investors. While the trailing PEG ratio of 2.71 suggests the stock may be slightly overvalued relative to its growth prospects, Coca-Cola's consistent dividend payouts and defensive nature provide a counterbalance.
 **Economic Outlook:**  
 The broader macroeconomic environment presents mixed implications for Coca-Cola. The strong U.S. dollar could pressure international revenues, as a significant portion of the company's sales comes from overseas markets. Additionally, inflationary pressures and new tariffs imposed by the U.S. government may increase input costs, potentially squeezing margins. However, Coca-Cola's pricing power and ability to pass on costs to consumers could mitigate these risks. The company's defensive business model positions it well to weather economic uncertainty, as demand for its products tends to remain stable even during downturns.
 **Conclusion:**  
 Coca-Cola's strong brand, reliable dividend history, and operational efficiency make it a resilient player in the consumer staples sector. While challenges such as the European product recall and macroeconomic headwinds may weigh on short-term performance, the company's long-term fundamentals remain solid. Its ability to generate consistent cash flow and maintain profitability in a volatile environment underscores its appeal as a defensive investment.
 **Score:** 78</t>
  </si>
  <si>
    <t>**Investment Report: Kroger (Food Retail Industry)**
 **Recent News:**  
 Kroger has not been in the news over the past week, indicating a period of stability without any major announcements or disruptions. This lack of news suggests that the company is operating within its usual business framework, without any significant external or internal developments impacting its operations.
 **Financials:**  
 Kroger's stock has shown strong performance, reaching a 52-week high of $64.10, reflecting investor confidence. The company has a trailing P/E ratio of 16.75 and a forward P/E of 13.33, suggesting that the stock is reasonably valued relative to its earnings potential. The dividend yield of 2.14% is slightly above its five-year average, indicating consistent shareholder returns. However, earnings growth has been negative (-88.4% quarterly), and revenue growth has slightly declined (-0.6%), reflecting challenges in maintaining profitability and sales momentum. 
 The company’s gross margin of 23.16% and operating margin of 1.99% are typical for the food retail industry, which operates on thin margins. Kroger's return on equity (24.29%) is strong, indicating effective use of shareholder capital. However, the debt-to-equity ratio of 229.2% is high, signaling significant leverage, which could pose risks in a rising interest rate environment or during economic downturns.
 **Valuations:**  
 Kroger's price-to-sales ratio of 0.31 and price-to-book ratio of 5.13 suggest that the stock is trading at a reasonable valuation compared to its peers in the food retail sector. The enterprise value-to-revenue ratio of 0.42 and enterprise value-to-EBITDA ratio of 7.89 further support the view that the company is fairly valued. Analyst sentiment remains positive, with a recommendation mean of 2.17 (buy) and a target median price of $66, indicating potential upside from current levels.
 **Economic Outlook:**  
 The broader economic environment presents mixed signals for Kroger. Rising inflation, driven by new tariffs and supply chain disruptions, could increase input costs and pressure margins. However, as a food retailer, Kroger operates in a relatively defensive industry, as demand for groceries tends to remain stable even during economic downturns. The company’s beta of 0.47 reflects lower volatility compared to the broader market, making it a potentially safer investment in uncertain times. 
 The recent global tech market crash and geopolitical tensions may shift investor focus toward more stable, consumer-focused sectors like food retail. However, Kroger's high debt levels and declining earnings growth could limit its ability to capitalize on these trends.
 **Conclusion:**  
 Kroger's financial stability, reasonable valuation, and position in a defensive industry make it a relatively attractive option in the current volatile market environment. However, challenges such as high leverage, declining earnings growth, and potential inflationary pressures warrant caution. The stock's recent performance and analyst sentiment suggest moderate upside potential in the near term.
 **Score:** 72</t>
  </si>
  <si>
    <t>**Investment Report: Loews Corporation**
 **Recent News:**  
 Loews Corporation has not been in the spotlight recently, with no significant news or developments reported in the past week. This lack of news suggests stability in its operations, but it also indicates no immediate catalysts for significant stock movement in the short term.
 **Financials:**  
 Loews Corporation demonstrates solid financial health with a market capitalization of $18.48 billion and a price-to-book ratio of 1.08, indicating the stock is trading close to its book value. The company’s trailing price-to-earnings (P/E) ratio of 11.35 reflects a relatively undervalued position compared to the broader market, though its forward P/E of 29.42 suggests expectations of slower earnings growth ahead. The firm’s beta of 0.818 indicates lower volatility compared to the market, making it a potentially stable investment during uncertain economic conditions.
 The company has a strong cash position, with $6.32 billion in total cash, equating to $29.01 per share, and a manageable debt-to-equity ratio of 52.25%. Loews also reported robust earnings growth of 62.5% and revenue growth of 13.8% year-over-year, showcasing its ability to generate increasing profitability and top-line expansion. Its profit margins of 9.71% and return on equity (ROE) of 10.67% further highlight its operational efficiency.
 Dividend payments remain modest, with a dividend yield of 0.29% and a payout ratio of just 3.32%, suggesting the company prioritizes reinvestment over shareholder distributions. This aligns with its long-term growth strategy but may not appeal to income-focused investors.
 **Valuations:**  
 Loews appears attractively valued based on its trailing P/E and price-to-book ratios, especially given its strong earnings growth. However, the forward P/E suggests a potential slowdown in earnings, which could weigh on investor sentiment. The company’s enterprise value-to-EBITDA ratio of 7.02 is reasonable, indicating the stock is not overvalued relative to its earnings before interest, taxes, depreciation, and amortization.
 **Economic Outlook:**  
 The broader economic environment presents mixed implications for Loews. The recent imposition of tariffs and trade tensions could increase inflationary pressures, potentially impacting the insurance industry’s cost structure and claims environment. However, Loews’ diversified operations and strong cash reserves position it well to weather economic uncertainties. Additionally, its relatively low beta suggests resilience in a volatile market, which could attract risk-averse investors.
 The ongoing wildfires in California and other natural disasters may lead to increased claims in the insurance sector, potentially impacting Loews’ profitability in the near term. However, the company’s strong financial position and operational efficiency should help mitigate these risks.
 **Conclusion:**  
 Loews Corporation exhibits strong fundamentals, including solid earnings growth, a healthy balance sheet, and reasonable valuations. While the broader economic environment and potential industry-specific challenges could create headwinds, the company’s stability and operational efficiency make it a resilient player in the multi-line insurance industry. The lack of recent news or immediate catalysts suggests limited short-term upside, but its long-term prospects remain intact.
 **Score:** 78</t>
  </si>
  <si>
    <t>**Investment Report:**
 **Recent News:**  
 Leidos Holdings, Inc. has garnered attention for its strong financial performance and undervalued position in the market. Despite recent share price declines, driven by broader policy uncertainties and market volatility, the company remains a standout in the Diversified Support Services industry. Its Q3 2024 results showcased a 44% increase in earnings per share (EPS) and a substantial $40.6 billion backlog, signaling robust future revenue streams. Analysts have highlighted Leidos as a top value stock, citing its earnings growth and revisions as key indicators of its potential. The company’s focus on shareholder returns through dividends and share buybacks further enhances its appeal.
 **Financials:**  
 Leidos demonstrates solid financial health, with a market capitalization of $20.75 billion and a trailing price-to-earnings (P/E) ratio of 25.9. Its forward P/E of 22.7 suggests expectations of continued earnings growth. The company’s profit margins are strong at 14.6%, supported by an EBITDA margin of 20.5%. Leidos has shown impressive earnings growth of 83% year-over-year, alongside revenue growth of 9.6%. Its free cash flow of $589.7 million and operating cash flow of $919.6 million provide ample liquidity for operations and shareholder returns. However, the company’s debt-to-equity ratio of 188.7% indicates a high reliance on leverage, which could pose risks in a rising interest rate environment.
 **Valuations:**  
 Leidos is trading at 10.3x EV/EBITDA, which is attractive compared to industry peers. Its price-to-sales ratio of 4.03 and price-to-book ratio of 27.5 suggest a premium valuation, but these are justified by its strong earnings growth and operational efficiency. The stock’s dividend yield of 0.69% is below its five-year average of 1.21%, but the low payout ratio of 21.4% indicates room for future dividend increases. Analysts’ price targets range from $404.07 to $750.00, with a median target of $640.00, reflecting optimism about the company’s growth trajectory.
 **Economic Outlook:**  
 Leidos operates in a challenging macroeconomic environment marked by inflationary pressures, trade tensions, and policy uncertainties. The recent tariffs imposed by the U.S. government could disrupt supply chains and increase costs for many industries, potentially impacting Leidos’ operations. However, its strong backlog and focus on government contracts provide a degree of insulation from broader economic volatility. The company’s beta of 1.08 suggests moderate sensitivity to market fluctuations, aligning with its position as a relatively stable player in its sector.
 **Conclusion:**  
 Leidos Holdings, Inc. is well-positioned for long-term growth, supported by its strong financial performance, robust backlog, and shareholder-friendly policies. While macroeconomic challenges and high leverage present risks, the company’s operational efficiency and undervalued status make it a compelling investment in the Diversified Support Services industry.
 **Score:** 85</t>
  </si>
  <si>
    <t>**Investment Report: LabCorp (LH)**
 **Recent News:**  
 LabCorp is poised for strong performance in its upcoming Q4 2024 earnings report, with expectations of robust growth in both its diagnostics and biopharma laboratory services segments. Analysts suggest the company has favorable conditions for an earnings beat, driven by its diversified service offerings and operational efficiency. This optimism reflects LabCorp's ability to capitalize on the growing demand for healthcare services, particularly in diagnostics and biopharma, which are critical in the current healthcare landscape.
 **Financials:**  
 LabCorp's financial metrics indicate a solid foundation. The company has a market capitalization of $103 billion and a trailing price-to-earnings (P/E) ratio of 24.37, with a forward P/E of 20.34, suggesting expectations of earnings growth. Its profit margins are strong at 26.02%, supported by healthy operating margins of 30.33% and EBITDA margins of 31.56%. Revenue growth of 19.7% and earnings growth of 28.4% year-over-year highlight the company's ability to expand its top and bottom lines effectively. Additionally, LabCorp maintains a solid balance sheet with a current ratio of 2.53 and a quick ratio of 1.69, indicating strong liquidity. Free cash flow of $3.98 billion and operating cash flow of $5.27 billion further reinforce its financial stability.
 However, the company's debt-to-equity ratio of 58.83% suggests a moderate level of leverage, which could pose risks in a rising interest rate environment. Despite this, its return on equity (ROE) of 49.12% and return on assets (ROA) of 14.96% demonstrate efficient use of capital and assets to generate returns.
 **Valuations:**  
 LabCorp's valuation metrics are mixed. Its price-to-book ratio of 12.24 is relatively high, indicating the stock may be trading at a premium compared to its book value. However, the trailing PEG ratio of 1.60 suggests that the stock's valuation is reasonable relative to its earnings growth potential. The company's dividend yield of 1.22% is modest but aligns with its payout ratio of 26.86%, leaving room for reinvestment in growth initiatives.
 Analyst sentiment remains positive, with a recommendation mean of 1.81 (indicating a "buy") and a target median price of $90, representing potential upside from the current trading range. The stock's 52-week range of $68.87 to $113.00 shows significant volatility, but its recent price of $81.05 is closer to the lower end, potentially offering an attractive entry point.
 **Economic Outlook:**  
 LabCorp operates in the healthcare services industry, which tends to be resilient during economic uncertainty. However, macroeconomic challenges, including inflationary pressures and potential disruptions from new tariffs, could indirectly impact the company's cost structure and supply chain. The broader market's recent volatility, particularly in the technology and trade-sensitive sectors, may also weigh on investor sentiment. Nonetheless, LabCorp's focus on essential healthcare services positions it well to weather economic headwinds.
 **Conclusion:**  
 LabCorp's strong financial performance, growth prospects, and favorable industry positioning make it a compelling player in the healthcare services sector. While its valuation metrics suggest some caution, the company's operational efficiency and robust cash flow generation provide a solid foundation for continued growth. The upcoming earnings report will be a key catalyst, with the potential to reinforce investor confidence if expectations are met or exceeded.
 **Score:** 85</t>
  </si>
  <si>
    <t>**Investment Report: Lennox International**
 **Recent News:**  
 Lennox International delivered robust financial results for Q4 and the full year of 2024, with earnings per share (EPS) of $5.60, significantly exceeding analyst expectations of $4.23. This represents a notable improvement from $3.63 per share in the same quarter of the prior year. Revenue growth of 13% in 2024 highlights strong operational performance. However, the company's 2025 guidance has tempered investor enthusiasm, leading to a nearly 9% decline in stock value. Core revenue growth is projected to slow to 2% in 2025, reflecting challenging year-over-year comparisons and potential macroeconomic and supply chain risks. Despite these concerns, Lennox's focus on margin expansion and profitability improvements remains a positive indicator for long-term stability.
 **Financials:**  
 Lennox International's financial metrics reflect a solid foundation. The company boasts a trailing price-to-earnings (P/E) ratio of 8.82 and a forward P/E of 8.07, suggesting the stock is attractively valued relative to its earnings potential. The price-to-book ratio of 1.25 further supports the notion of undervaluation. With a strong current ratio of 11.50 and a quick ratio of 3.26, Lennox demonstrates excellent liquidity, reducing short-term financial risks. The company also maintains a manageable debt-to-equity ratio of 14.67, supported by robust free cash flow of $4.65 billion. Profitability metrics, including a return on equity (ROE) of 15.88% and return on assets (ROA) of 8.78%, underscore efficient capital utilization. However, the stock has underperformed the broader market over the past year, with a 52-week decline of 10.18% compared to the S&amp;P 500's gain of 21.93%.
 **Valuations:**  
 Lennox's valuation metrics suggest the stock is trading at a discount. The enterprise value-to-revenue ratio of 1.01 and enterprise value-to-EBITDA ratio of 6.63 indicate the market may be undervaluing the company's earnings and revenue-generating capacity. Analysts maintain a generally positive outlook, with a mean price target of $157.29, representing potential upside from the current price. The dividend yield of 1.37%, while modest, is supported by a low payout ratio of 13.98%, indicating room for future dividend growth.
 **Economic Outlook:**  
 The broader macroeconomic environment presents mixed signals for Lennox. The company's exposure to the building products industry makes it sensitive to economic cycles, particularly in residential and commercial construction. The recent imposition of tariffs by the U.S. government could increase input costs and disrupt supply chains, potentially pressuring margins. Additionally, inflationary pressures and rising interest rates may dampen demand for new construction and renovation projects. However, Lennox's strong liquidity and operational efficiency position it to weather these challenges. The company's focus on margin expansion and profitability improvements could help offset slower revenue growth in 2025.
 **Conclusion:**  
 Lennox International's strong financial performance and attractive valuation metrics are tempered by concerns over slowing revenue growth and macroeconomic headwinds. While the company's fundamentals remain solid, the near-term outlook is clouded by external risks, including tariffs and inflation. Investors appear cautious, as reflected in the recent stock price decline, but the company's long-term prospects remain supported by its focus on profitability and operational efficiency.
 **Score:** 72</t>
  </si>
  <si>
    <t>**Investment Report: LKQ Corporation**
 **Recent News:**  
 LKQ Corporation, a leading distributor of alternative and specialty parts for vehicles, has been highlighted as a potentially undervalued stock by analysts. The focus on its valuation metrics, including earnings estimates and revisions, suggests that the company may present an attractive opportunity for value-oriented investors. However, the broader economic environment, including recent market volatility and trade tensions, could weigh on its near-term performance.
 **Financials:**  
 LKQ's financial performance reflects a mixed picture. The company has a trailing price-to-earnings (P/E) ratio of 13.64 and a forward P/E of 10.15, indicating a relatively low valuation compared to its historical averages and industry peers. Its dividend yield of 3.21% and a payout ratio of 44.28% suggest a sustainable dividend policy, which may appeal to income-focused investors. However, the company's earnings growth has declined by 5.9% year-over-year, and revenue growth remains sluggish at 0.4%. Additionally, its debt-to-equity ratio of 92.38% highlights a significant leverage position, which could pose risks in a rising interest rate environment.
 The company’s gross margins of 39.33% and EBITDA margins of 11.95% indicate solid operational efficiency, but its earnings quarterly growth of -8.2% signals challenges in maintaining profitability. LKQ's free cash flow of $759 million and operating cash flow of $1.1 billion provide some financial flexibility, though its quick ratio of 0.57 suggests potential liquidity constraints in the short term.
 **Valuations:**  
 LKQ's price-to-book ratio of 1.55 and price-to-sales ratio of 0.66 indicate that the stock is trading at a discount relative to its book value and revenue generation. Analysts have set a target median price of $50, representing significant upside potential from its current trading range near $36. However, the stock has underperformed over the past year, with a 52-week change of -20.65%, compared to the S&amp;P 500's gain of 21.93%. This underperformance may reflect broader market concerns or company-specific challenges.
 **Economic Outlook:**  
 The macroeconomic environment presents both risks and opportunities for LKQ. The recent imposition of tariffs by the U.S. administration on imports from Canada, Mexico, and China could disrupt supply chains and increase costs for the company, given its reliance on global sourcing. Additionally, inflationary pressures and potential interest rate hikes could further strain consumer spending and automotive demand, impacting LKQ's revenue streams. On the other hand, the company's focus on alternative and specialty parts positions it well to benefit from the growing demand for cost-effective vehicle repair solutions, particularly in a challenging economic climate.
 **Conclusion:**  
 While LKQ Corporation appears undervalued based on its valuation metrics and analyst price targets, its recent financial performance and exposure to macroeconomic risks warrant caution. The company's strong cash flow generation and operational efficiency are positives, but its high leverage and declining earnings growth could limit upside potential in the near term. The broader economic environment, including trade tensions and inflationary pressures, will likely play a critical role in shaping the company's performance over the next month.
 **Score:** 65</t>
  </si>
  <si>
    <t>**Investment Report: Eli Lilly (LLY)**
 **Recent News:**  
 Eli Lilly, a prominent player in the pharmaceutical industry, has faced challenges with its weight-loss drug Zepbound, which has not met market expectations. This underperformance has contributed to the company's recent lag behind broader equity markets. Despite its leadership in the weight-loss drug market, the lackluster performance of Zepbound has raised concerns about the company's ability to maintain its competitive edge in this high-growth segment. However, Eli Lilly's diversified portfolio and strong pipeline of innovative drugs may provide resilience in the long term.
 **Financials:**  
 Eli Lilly's financial metrics reflect a mixed picture. The company has a trailing price-to-earnings (P/E) ratio of 34.51 and a forward P/E of 26.98, indicating a premium valuation compared to the broader market. Its profit margins stand at 19.33%, supported by strong gross margins of 47.76%. However, earnings growth has been modest at 0.9%, and revenue growth is similarly subdued at 2.5%. The company's debt-to-equity ratio of 54.83% suggests moderate leverage, while its quick ratio of 0.73 and current ratio of 0.96 indicate limited short-term liquidity. Despite these challenges, Eli Lilly maintains a robust free cash flow of $4.22 billion, which supports its dividend payments and ongoing investments in research and development.
 **Valuations:**  
 Eli Lilly's stock is trading at a price-to-book ratio of 5.52, reflecting a premium valuation relative to its peers. The stock's 52-week range of $410.69 to $487.49 shows it is currently trading closer to the lower end of its range, which may present a potential entry point for long-term investors. Analyst sentiment remains positive, with a mean target price of $491.79 and a recommendation key of "buy." However, the trailing PEG ratio of 2.52 suggests the stock may be overvalued relative to its growth prospects.
 **Economic Outlook:**  
 The broader economic environment poses challenges for Eli Lilly. The recent implementation of tariffs and trade tensions could increase costs for pharmaceutical companies reliant on global supply chains. Additionally, inflationary pressures and potential Federal Reserve rate hikes may weigh on consumer spending and healthcare budgets. However, the pharmaceutical industry tends to be more resilient during economic downturns due to the essential nature of its products. Eli Lilly's focus on innovative treatments and its leadership in the weight-loss drug market position it well to capitalize on long-term growth trends in healthcare.
 **Conclusion:**  
 Eli Lilly faces near-term headwinds due to the underperformance of Zepbound and broader market volatility. However, its strong financial position, robust cash flow, and leadership in key therapeutic areas provide a solid foundation for long-term growth. While the stock's premium valuation may deter some investors, its potential for innovation and resilience in a challenging economic environment make it a compelling candidate for those with a long-term investment horizon.
 **Score:** 78</t>
  </si>
  <si>
    <t>**Investment Report: Lowe's (LOW)**
 **Recent News:**  
 Lowe's has demonstrated a strong track record of exceeding earnings expectations, with analysts optimistic about its upcoming quarterly report. The company's recent stock performance has been resilient, closing at $264, a 0.87% increase from the prior session, outperforming broader market trends. This reflects investor confidence in Lowe's ability to navigate current economic challenges and maintain its competitive position in the home improvement retail sector.
 **Financials:**  
 Lowe's financial metrics indicate a stable and profitable business. The company has a trailing price-to-earnings (P/E) ratio of 21.36 and a forward P/E of 20.55, suggesting reasonable valuation levels relative to its earnings potential. Its dividend yield of 1.69% is slightly below its five-year average of 1.68%, but the payout ratio of 36.75% indicates a sustainable dividend policy. Lowe's maintains a robust market capitalization of $144.83 billion, with a 52-week price range of $211.80 to $287.01, showing strong recovery and growth over the past year (+19.22%). However, earnings and revenue growth have faced slight declines, with earnings growth at -8.6% and revenue growth at -5.5%, reflecting broader economic pressures.
 The company's profitability remains solid, with gross margins of 33.21% and operating margins of 14.62%. Lowe's generated $9.59 billion in operating cash flow and $6.08 billion in free cash flow, highlighting its ability to fund operations and shareholder returns effectively. However, its quick ratio of 0.239 and current ratio of 1.224 suggest limited short-term liquidity, which could be a concern in a tightening economic environment.
 **Valuations:**  
 Lowe's stock is trading near its 50-day average of $259.92 and above its 200-day average of $247.29, indicating positive momentum. Analyst sentiment remains favorable, with a mean price target of $282.24 and a median target of $294.00, implying potential upside from current levels. The recommendation mean of 2.11 (on a scale where 1 is a strong buy) underscores a generally bullish outlook. However, the trailing PEG ratio of 5.02 suggests the stock may be overvalued relative to its growth prospects, warranting caution.
 **Economic Outlook:**  
 The broader economic environment presents mixed signals for Lowe's. The recent imposition of tariffs by the U.S. government could increase costs for imported goods, potentially impacting Lowe's supply chain and pricing strategies. Additionally, inflationary pressures and rising interest rates may dampen consumer spending on discretionary home improvement projects. However, Lowe's strong brand, operational efficiency, and focus on professional contractors provide a buffer against these challenges. The company's ability to adapt to shifting consumer preferences and maintain profitability will be critical in the coming months.
 **Conclusion:**  
 Lowe's remains a well-positioned player in the home improvement retail industry, with a solid financial foundation and favorable market sentiment. While macroeconomic headwinds and valuation concerns may pose risks, the company's operational strengths and history of earnings outperformance provide a degree of resilience. The upcoming earnings report will be a key indicator of its ability to navigate the current environment and sustain growth.
 **Score:** 78</t>
  </si>
  <si>
    <t>**Investment Report:**
 **Recent News:**  
 Lam Research has demonstrated robust performance in its fiscal Q2 2025, with earnings per share (EPS) of $0.91 and revenue of $4.38 billion, both exceeding market expectations. The company's stock surged over 7% following the announcement, driven by optimistic Q3 guidance and growth opportunities in high-bandwidth memory, gate-all-around transistors, and advanced packaging technologies. These advancements position Lam Research to potentially outpace the broader wafer fab equipment market. The AI-driven demand for semiconductors has further bolstered the company's momentum, with chipmakers increasing orders for advanced equipment. However, some analysts have flagged the stock's valuation as elevated, suggesting a more favorable entry point in the $70-75 range. Despite this, technical indicators suggest a bullish trend, with the stock appearing undervalued based on its price-to-sales (P/S) and price-to-earnings (P/E) ratios.
 **Financials:**  
 Lam Research's financial health remains solid, with a market capitalization of $20.73 billion and a trailing P/E ratio of 47.03. The forward P/E ratio of 15.50 indicates expectations of significant earnings growth. The company has a dividend yield of 1.15%, supported by a payout ratio of 54.65%, reflecting a balanced approach to rewarding shareholders while retaining capital for growth. Revenue growth of 7.4% year-over-year and gross margins of 27.92% highlight operational efficiency. However, earnings growth has declined by 5.2%, reflecting some pressure on profitability. The company maintains a manageable debt-to-equity ratio of 95.00, with a quick ratio of 1.10 and a current ratio of 1.44, indicating sufficient liquidity to meet short-term obligations.
 **Valuations:**  
 Lam Research's valuation metrics suggest a mixed picture. The price-to-book ratio of 2.54 and price-to-sales ratio of 1.63 indicate the stock is reasonably priced relative to its assets and revenue. The enterprise value-to-revenue ratio of 2.12 and enterprise value-to-EBITDA ratio of 16.14 suggest the company is trading at a premium, reflecting investor confidence in its growth prospects. Analyst sentiment remains positive, with a mean price target of $262.24, representing potential upside from current levels. The recommendation mean of 1.84 (on a scale where 1.0 is a strong buy) underscores the stock's attractiveness.
 **Economic Outlook:**  
 The broader semiconductor industry faces headwinds from recent macroeconomic developments, including the U.S. tariffs on imports from China, Canada, and Mexico, which could disrupt supply chains and increase costs. Additionally, the global technology sector has been shaken by the emergence of DeepSeek, a Chinese AI competitor, which has led to significant market volatility. However, Lam Research's focus on advanced semiconductor technologies positions it well to capitalize on the AI boom and the growing demand for high-performance chips. The company's ability to navigate these challenges will be critical to sustaining its growth trajectory.
 **Conclusion:**  
 Lam Research is well-positioned to benefit from structural growth drivers in the semiconductor industry, particularly in AI and advanced packaging technologies. While macroeconomic uncertainties and elevated valuations present risks, the company's strong financial performance, robust guidance, and strategic focus on innovation provide a solid foundation for future growth. The stock's recent momentum and favorable technical indicators further support its near-term potential.
 **Score:** 85</t>
  </si>
  <si>
    <t>**Investment Report:**
 **Recent News:**  
 Lululemon Athletica has not been in the spotlight over the past week, with no major announcements or developments. This absence of news suggests stability in its operations but also indicates a lack of immediate catalysts for significant stock movement.
 **Financials:**  
 Lululemon's financial performance reflects a strong position within the Apparel, Accessories &amp; Luxury Goods industry. The company has a market capitalization of approximately $49.97 billion and a trailing price-to-earnings (P/E) ratio of 29.67, which is slightly elevated compared to the broader market but reasonable for a growth-oriented company. Its forward P/E ratio of 26.68 suggests expectations of continued earnings growth. The firm has demonstrated solid profitability, with a net income margin of 16.34% and return on equity (ROE) of 43.16%, indicating efficient use of shareholder capital.
 Revenue growth of 7.3% year-over-year and earnings growth of 17.5% highlight the company's ability to expand despite macroeconomic challenges. Gross margins of 58.54% and operating margins of 22.78% underscore its strong pricing power and operational efficiency. Additionally, Lululemon maintains a healthy balance sheet, with a current ratio of 2.43 and a quick ratio of 1.18, reflecting its ability to meet short-term obligations. The debt-to-equity ratio of 36.19% is manageable, and the company has a robust free cash flow of $1.56 billion, supporting potential reinvestment or shareholder returns.
 **Valuations:**  
 Lululemon's stock is trading at $409.82, near the midpoint of its 52-week range ($226.01 - $480.94). The price-to-book ratio of 12.24 is high, reflecting the premium investors are willing to pay for its brand strength and growth prospects. Analysts' target prices range from $194 to $495, with a mean target of $393.01, suggesting the stock is slightly overvalued relative to consensus expectations. However, the recommendation mean of 2.14 (on a scale where 1.0 is a strong buy) indicates a generally favorable outlook from analysts.
 **Economic Outlook:**  
 The broader economic environment presents mixed signals for Lululemon. The recent imposition of tariffs by the U.S. government could increase costs for imported materials, potentially pressuring margins. However, Lululemon's premium pricing and loyal customer base may allow it to pass on higher costs to consumers. The ongoing volatility in the stock market, particularly in the technology sector, may shift investor focus toward consumer discretionary stocks like Lululemon, which have demonstrated resilience.
 The company's beta of 1.24 indicates higher sensitivity to market movements, suggesting that broader market volatility could amplify fluctuations in its stock price. Nonetheless, Lululemon's strong fundamentals and brand equity position it well to weather economic uncertainties.
 **Conclusion:**  
 Lululemon Athletica remains a fundamentally strong company with solid growth metrics and profitability. While its valuation appears slightly stretched, its operational efficiency and financial health provide a cushion against macroeconomic headwinds. The lack of recent news or immediate catalysts may limit short-term upside, but its long-term prospects remain intact, supported by a loyal customer base and strong brand positioning.
 **Score:** 78</t>
  </si>
  <si>
    <t>**Investment Report: Southwest Airlines**
 **Recent News:**  
 Southwest Airlines reported robust fourth-quarter 2024 earnings, with adjusted EPS of $0.56, exceeding both analyst expectations and the prior year's EPS of $0.37. This performance was driven by strong travel demand, effective revenue management, and improved pricing power. Additionally, a nearly 8% reduction in overall expenses, including lower fuel costs, significantly contributed to profitability. These results highlight the airline's ability to capitalize on the recovery in travel demand while maintaining cost discipline. However, the broader macroeconomic environment, including inflationary pressures and potential trade disruptions, could pose challenges to sustaining this momentum.
 **Financials:**  
 Southwest Airlines' financial metrics present a mixed picture. The company has a trailing price-to-earnings (P/E) ratio of 40.1, which is relatively high, but its forward P/E of 12.5 suggests expectations of improved earnings in the near term. The airline's price-to-book ratio of 1.76 indicates a reasonable valuation relative to its assets. Despite strong revenue growth of 5.3% year-over-year, the company reported a net loss of $48 million, reflecting ongoing challenges in achieving consistent profitability. Additionally, Southwest's free cash flow remains negative at -$1.72 billion, signaling potential liquidity concerns. The debt-to-equity ratio of 87.36 highlights a leveraged balance sheet, though the company holds a substantial cash reserve of $9.38 billion, providing a buffer against short-term financial pressures.
 **Valuations:**  
 Southwest Airlines' stock is trading near the lower end of its 52-week range, with a current price of approximately $30 compared to a high of $36.12. The stock's price-to-sales ratio of 0.67 and enterprise value-to-revenue ratio of 0.68 suggest the company is undervalued relative to its revenue generation. Analyst sentiment remains cautious, with a "hold" recommendation and a target median price of $32, reflecting limited upside potential in the short term. The dividend yield of 2.27% is modest but provides some income for investors.
 **Economic Outlook:**  
 The airline industry faces headwinds from broader economic challenges, including inflationary pressures exacerbated by new tariffs and potential trade disruptions. Rising costs for goods and services could impact consumer spending on discretionary travel, while geopolitical uncertainties and natural disasters, such as the recent California wildfires, may disrupt operations. However, Southwest's strong brand, low-cost operating model, and focus on domestic travel could help it navigate these challenges better than some competitors. The company's ability to manage costs effectively, as demonstrated in its recent earnings, will be critical in maintaining profitability amid a volatile macroeconomic environment.
 **Conclusion:**  
 Southwest Airlines has demonstrated resilience through strong revenue management and cost control, as evidenced by its recent earnings beat. However, challenges such as negative free cash flow, a leveraged balance sheet, and broader economic uncertainties temper the outlook. While the stock appears undervalued based on revenue metrics, near-term risks and limited analyst enthusiasm suggest cautious optimism.
 **Score:** 65</t>
  </si>
  <si>
    <t>**Investment Report: Las Vegas Sands (LVS)**
 **Recent News:**  
 Las Vegas Sands has seen a notable stock surge following optimistic projections from its executives regarding growth in the Chinese market, particularly in Macao. This optimism is underpinned by a continued recovery in Macao's gaming sector and strong performance at Marina Bay Sands in Singapore. However, the company's fourth-quarter 2024 earnings report presented mixed results. While revenue of $2.9 billion exceeded expectations, adjusted earnings of $0.54 per share fell short of analyst estimates and were slightly lower than the prior year's $0.57 per share. Despite these mixed results, analysts remain bullish on LVS due to its strategic positioning in key gambling markets, particularly as Macao's recovery gains momentum.
 **Financials:**  
 Las Vegas Sands' financial performance reflects both opportunities and challenges. The company has a trailing price-to-earnings (P/E) ratio of 23.74 and a forward P/E of 15.99, suggesting that the market anticipates improved earnings in the future. However, earnings growth has been negative, with a decline of 45% year-over-year, and revenue growth has contracted slightly by 0.7%. The firm's profit margins stand at 9.57%, and its return on equity (ROE) is a robust 37.02%, indicating efficient use of shareholder capital. On the balance sheet, LVS carries significant debt, with a debt-to-equity ratio of 221.16%, which could pose risks in a rising interest rate environment. Additionally, the company reported negative free cash flow of $315.9 million, highlighting potential liquidity concerns despite an operating cash flow of $793.8 million.
 **Valuations:**  
 LVS is trading at a price-to-book (P/B) ratio of 4.84, which is relatively high compared to its book value of $12.44 per share. The stock's current price is near its 52-week low of $52.99, significantly below its 52-week high of $107.50, reflecting the broader challenges faced by the gaming and hospitality industry. Analysts have set a target median price of $68.00, indicating potential upside from the current trading levels. The dividend yield of 1.84% is modest but aligns with the company's payout ratio of 31.92%, suggesting room for dividend sustainability.
 **Economic Outlook:**  
 The broader macroeconomic environment presents both risks and opportunities for Las Vegas Sands. The recovery in Macao's gaming sector is a key driver of growth, particularly as Chinese tourism rebounds. However, the global economic outlook remains uncertain, with inflationary pressures and potential trade tensions stemming from new U.S. tariffs on China. These factors could impact consumer spending and international travel, which are critical to LVS's revenue streams. Additionally, the company's high debt levels could become a concern if interest rates rise further, increasing borrowing costs.
 **Conclusion:**  
 Las Vegas Sands is well-positioned to benefit from the recovery in Macao and its strong presence in key gaming markets. However, mixed earnings results, high debt levels, and broader economic uncertainties temper the near-term outlook. While the stock's valuation suggests potential upside, the company's financial health and macroeconomic headwinds warrant cautious optimism.
 **Score:** 65</t>
  </si>
  <si>
    <t>**Investment Report:**
 **Recent News:**  
 Lamb Weston has not been in the news over the past week, indicating a lack of significant developments or disruptions. This stability may reflect a steady operational environment, though it also suggests no immediate catalysts for sharp price movements.
 **Financials:**  
 Lamb Weston demonstrates solid financial health with a trailing price-to-earnings (PE) ratio of 16.11 and a forward PE of 13.41, suggesting the stock is reasonably valued relative to its earnings potential. The company’s dividend yield of 1.13% is slightly below its five-year average of 1.35%, but its low payout ratio of 17.29% indicates ample room for future dividend growth. The firm’s beta of 0.688 reflects lower volatility compared to the broader market, making it a relatively defensive investment in uncertain economic conditions.
 The company’s revenue growth of 6.9% year-over-year and profit margins of 7.37% highlight its ability to generate consistent earnings. Lamb Weston’s return on equity (ROE) of 27.04% is particularly strong, showcasing efficient use of shareholder capital. However, the debt-to-equity ratio of 110.14% suggests a high level of leverage, which could pose risks in a rising interest rate environment.
 **Valuations:**  
 Lamb Weston’s price-to-sales ratio of 1.16 and price-to-book ratio of 4.09 suggest the stock is trading at a premium compared to its book value but remains attractively priced relative to its revenue. Analysts have a positive outlook, with a mean target price of $184.38, representing significant upside from the current price of $142.03. The recommendation mean of 1.94 (on a scale where 1.0 is a strong buy) further underscores the favorable sentiment among analysts.
 **Economic Outlook:**  
 The broader macroeconomic environment presents mixed implications for Lamb Weston. The recent tariffs imposed by the U.S. administration could increase input costs for packaged food companies, particularly if supply chains are disrupted. However, Lamb Weston’s focus on frozen potato products, a staple food item, may insulate it from significant demand fluctuations. Additionally, its relatively low beta suggests resilience in a volatile market environment.
 The company’s exposure to inflationary pressures is a concern, as rising costs for raw materials and transportation could compress margins. However, Lamb Weston’s strong cash flow generation ($1.14 billion in free cash flow) and robust operating cash flow ($1.39 billion) provide a buffer to navigate these challenges.
 **Conclusion:**  
 Lamb Weston is a fundamentally strong company with consistent revenue growth, solid profitability, and a defensive profile. While macroeconomic headwinds such as tariffs and inflation pose risks, the company’s strong cash flow and efficient operations position it well to weather these challenges. The stock appears attractively valued with significant upside potential based on analyst targets, though its high leverage warrants monitoring.
 **Score:** 82</t>
  </si>
  <si>
    <t>**Investment Report: LyondellBasell Industries**
 **Recent News:**  
 LyondellBasell Industries reported fourth-quarter 2024 earnings per share (EPS) of $0.75, matching analyst expectations but reflecting a significant decline from $1.26 in the prior year. Despite this, the company exceeded sales expectations, showcasing resilience in a challenging macroeconomic environment. Analysts have revised their forecasts downward, reflecting concerns about profitability pressures. However, LyondellBasell's 7% dividend yield, supported by a strong history of sustainable payouts, continues to position the company as an attractive income source, particularly for dividend-focused investors. Strategic initiatives aimed at improving profitability further underscore its long-term potential.
 **Financials:**  
 LyondellBasell's financial metrics reveal a mixed picture. The company trades at a trailing price-to-earnings (P/E) ratio of 11.58 and a forward P/E of 8.67, indicating a relatively low valuation compared to broader market averages. Its price-to-book ratio of 1.81 suggests the stock is trading at a premium to its book value, but not excessively so. The dividend payout ratio of 78.6% is high but manageable, supported by a solid operating cash flow of $3.4 billion and free cash flow of $1.28 billion. However, the company's debt-to-equity ratio of 92.28% highlights a significant leverage position, which could pose risks in a rising interest rate environment. Revenue growth has declined by 2.9% year-over-year, and earnings growth has contracted by 23.6%, reflecting broader industry challenges.
 **Valuations:**  
 LyondellBasell's valuation metrics suggest the stock is undervalued relative to its historical performance and peers. The enterprise value-to-revenue ratio of 0.86 and enterprise value-to-EBITDA ratio of 7.92 indicate that the market may be underestimating the company's earnings potential. The stock is trading near its 52-week low of $72.21, significantly below its 52-week high of $107.02, which could present a buying opportunity for long-term investors. Analyst price targets range from $75 to $115, with a median target of $84, suggesting potential upside from current levels.
 **Economic Outlook:**  
 The specialty chemicals industry faces headwinds from slowing global economic growth, trade tensions, and inflationary pressures. LyondellBasell's exposure to tariffs and supply chain disruptions could weigh on margins in the near term. Additionally, the company's reliance on petrochemical products ties its performance to volatile energy markets, which are further complicated by geopolitical developments and sanctions on Russia's energy sector. However, LyondellBasell's strong dividend yield and strategic focus on profitability improvements provide a cushion against these challenges. The company's beta of 1.09 indicates moderate sensitivity to market volatility, aligning with broader market trends.
 **Conclusion:**  
 LyondellBasell Industries faces near-term challenges, including declining earnings growth and macroeconomic uncertainties. However, its attractive dividend yield, low valuation metrics, and strategic initiatives to enhance profitability position it as a potentially resilient investment in the specialty chemicals sector. While risks such as high leverage and exposure to volatile energy markets remain, the company's strong cash flow generation and history of shareholder returns provide a degree of stability.
 **Score:** 72</t>
  </si>
  <si>
    <t>**Investment Report: Live Nation Entertainment**
 **Recent News:**  
 Live Nation Entertainment has not been in the headlines over the past week, suggesting a lack of immediate catalysts or controversies. This absence of news may indicate stability in operations but also a lack of significant developments that could drive short-term investor sentiment.
 **Financials:**  
 Live Nation's stock has shown strong performance, reaching its 52-week high of $145.87 recently, reflecting a 62.85% increase over the past year, significantly outperforming the S&amp;P 500's 21.93% gain. However, the company's valuation metrics raise concerns. Its trailing P/E ratio of 162.04 and forward P/E of 53.96 suggest a premium valuation, indicating high expectations for future growth. The price-to-book ratio of 116.11 is exceptionally high, reflecting a significant disconnect between the stock price and the company's book value. 
 The firm's profit margins remain thin at 2.01%, and earnings growth has declined by 13.4% year-over-year, while revenue growth has contracted by 6.2%. Despite these challenges, Live Nation maintains a strong market position, with a total revenue of $23.3 billion and a gross margin of 24.76%. The company also holds $5.49 billion in cash, providing liquidity, though its debt levels are concerning, with a debt-to-equity ratio of 419.16%. This high leverage could pose risks in a rising interest rate environment.
 **Valuations:**  
 Analyst sentiment remains optimistic, with a recommendation mean of 1.64 (indicating a "buy") and a median price target of $150, slightly above the current trading range. However, the stock's enterprise value-to-EBITDA ratio of 24.76 suggests it is trading at a significant premium compared to peers in the entertainment industry. The trailing PEG ratio of 5.07 further highlights the high valuation relative to its growth prospects.
 **Economic Outlook:**  
 The broader macroeconomic environment presents mixed implications for Live Nation. The recent tariffs and inflationary pressures could dampen consumer spending, potentially impacting discretionary sectors like live entertainment. However, the company's strong recovery from pandemic-related disruptions and its dominant position in the live events industry may provide resilience. Additionally, the ongoing volatility in the technology sector and broader market could shift investor focus toward companies with tangible assets and established revenue streams, potentially benefiting Live Nation.
 **Conclusion:**  
 Live Nation Entertainment's stock reflects strong momentum and market confidence, but its high valuation and declining growth metrics warrant caution. The company's significant debt load and sensitivity to consumer spending trends could pose risks in the current economic climate. While its dominant market position and liquidity provide some stability, the stock's premium pricing leaves limited room for error.
 **Score:** 65</t>
  </si>
  <si>
    <t>**Investment Report: Mastercard**
 **Recent News:**  
 Mastercard delivered a robust fourth-quarter 2024 performance, exceeding market expectations with an adjusted EPS of $3.82, up from $3.18 in the prior year. Net revenue growth was fueled by increased gross dollar volume (GDV) and transaction activity, supported by resilient consumer spending during the holiday season. Despite the strong results, early trading saw some pressure on Mastercard shares, likely reflecting broader market volatility and profit-taking. Analysts have since raised revenue growth forecasts for 2025, projecting low-double-digit growth. Additionally, Mastercard's partnership with BMO and Porter Airlines to launch a travel rewards program in Canada highlights its strategic focus on expanding its offerings in the travel and loyalty space, a sector poised for recovery as global travel normalizes.
 **Financials:**  
 Mastercard's financial metrics reflect a solid position. The company boasts a trailing P/E ratio of 20.65 and a forward P/E of 17.62, indicating reasonable valuation levels relative to its growth prospects. Its profit margins stand at 10.54%, with a return on assets of 15.69% and return on equity of 570.87%, showcasing strong operational efficiency. The firm maintains a healthy current ratio of 1.83, signaling adequate liquidity to meet short-term obligations. However, its high debt-to-equity ratio of 2238.03% warrants attention, as it reflects significant leverage. Despite this, Mastercard's free cash flow of $891 million and operating cash flow of $1.15 billion provide a cushion for debt servicing and reinvestment.
 **Valuations:**  
 Mastercard's stock has shown resilience, with a 52-week change of +15.27%, though it lags behind the S&amp;P 500's +21.93% gain. The stock trades near its 50-day average of $77.23, suggesting stability amid broader market fluctuations. Analysts' target prices range from $74 to $94, with a median target of $83.75, indicating moderate upside potential from current levels. The dividend yield of 1.46% is below its five-year average of 1.56%, reflecting a focus on reinvestment over shareholder payouts.
 **Economic Outlook:**  
 Macroeconomic conditions present mixed implications for Mastercard. The recent implementation of tariffs by the U.S. administration could dampen consumer spending and cross-border transactions, key revenue drivers for Mastercard. However, the company's strong holiday season performance suggests resilience in consumer behavior. Additionally, the global technology sector's volatility, driven by competition from Chinese AI advancements, may indirectly impact Mastercard's partnerships and technological initiatives. On the positive side, Mastercard's expansion into travel rewards aligns with the anticipated recovery in global travel, offering a potential growth avenue.
 **Conclusion:**  
 Mastercard's strong financial performance, strategic initiatives, and operational efficiency position it well for continued growth. However, macroeconomic headwinds, including trade tensions and inflationary pressures, could weigh on consumer spending and transaction volumes. While the company's high leverage is a concern, its robust cash flow generation mitigates immediate risks. The stock's valuation appears reasonable, with moderate upside potential based on analyst targets.
 **Score:** 78</t>
  </si>
  <si>
    <t>**Investment Report: Mid-America Apartment Communities (MAA)**
 **Recent News:**  
 There have been no significant updates or developments regarding Mid-America Apartment Communities (MAA) in the past week. The absence of news suggests stability in the company's operations, with no immediate disruptions or catalysts impacting its performance.
 **Financials:**  
 Mid-America Apartment Communities operates as a leading multi-family residential REIT, with a market capitalization of approximately $18.29 billion. The firm has demonstrated steady financial performance, with a modest revenue growth rate of 1.7% year-over-year and earnings growth of 3.9%. Its profit margins remain healthy at 23.88%, supported by strong operating margins of 29.55% and EBITDA margins of 57.14%.  
 The company offers an attractive dividend yield of 3.97%, above its five-year average of 3.21%, reflecting its commitment to returning value to shareholders. However, the payout ratio of 130.86% indicates that dividends exceed earnings, which may raise concerns about sustainability if growth slows. The firm's trailing P/E ratio of 34.34 and forward P/E of 27.56 suggest a premium valuation relative to earnings, which could limit upside potential in the short term.  
 MAA's balance sheet shows a debt-to-equity ratio of 79.95%, which is reasonable for a REIT but highlights reliance on leverage. The company maintains strong cash flow generation, with free cash flow of $954.96 million and operating cash flow of $1.12 billion, providing flexibility to manage debt and fund operations.  
 **Valuations:**  
 The stock is trading at a price-to-book ratio of 2.99, indicating a premium valuation compared to its book value. Its enterprise value-to-revenue ratio of 10.47 and enterprise value-to-EBITDA ratio of 18.32 suggest the market is pricing in expectations of continued stable performance. Analysts have a median price target of $160, representing a modest upside from the current price of $152.58. The recommendation mean of 2.38 (between "buy" and "hold") reflects cautious optimism among analysts.  
 **Economic Outlook:**  
 The broader macroeconomic environment presents mixed implications for MAA. Rising inflationary pressures, driven by new tariffs and potential trade disruptions, could increase operating costs for the company. However, the multi-family residential sector tends to be resilient during periods of economic uncertainty, as demand for rental housing remains stable. Additionally, MAA's geographic diversification across the Sunbelt region positions it to benefit from population growth and migration trends favoring these areas.  
 The Federal Reserve's potential shift to a more hawkish stance to combat inflation could lead to higher interest rates, increasing borrowing costs for REITs like MAA. However, the company's strong cash flow and manageable debt levels provide a buffer against such risks.  
 **Conclusion:**  
 Mid-America Apartment Communities is a well-positioned REIT with strong fundamentals and a stable dividend yield. While its premium valuation and high payout ratio warrant caution, its resilience in the multi-family residential sector and robust cash flow generation support its long-term investment appeal. The broader economic environment, including inflationary pressures and interest rate risks, may weigh on short-term performance but is unlikely to disrupt the company's core operations.
 **Score:** 78</t>
  </si>
  <si>
    <t>**Investment Report: Marriott International**
 **Recent News:**  
 There have been no significant updates or developments regarding Marriott International in the past week. This absence of news suggests stability in the company's operations, but it also indicates a lack of immediate catalysts for significant stock movement.
 **Financials:**  
 Marriott International's stock has shown resilience, trading near its 52-week high of $295.45, with a recent close at $290.59. The company has a market capitalization of $80.7 billion and a beta of 1.585, indicating higher volatility compared to the broader market. Its trailing price-to-earnings (PE) ratio of 30.38 and forward PE of 27.35 suggest that the stock is trading at a premium, reflecting investor confidence in its future earnings potential. However, earnings growth has declined by 17.5% year-over-year, and revenue growth has slowed to 6.6%, signaling potential challenges in maintaining momentum.
 Marriott's profit margins remain robust, with a net profit margin of 42.13% and EBITDA margins of 62.6%, highlighting strong operational efficiency. The company also boasts significant free cash flow of $2.55 billion, which supports its dividend payments and potential reinvestment opportunities. However, its high debt levels, totaling $14.46 billion, combined with a low quick ratio of 0.389, indicate limited short-term liquidity and reliance on external financing.
 **Valuations:**  
 The stock's price-to-sales ratio of 12.29 and enterprise value-to-EBITDA ratio of 23.05 suggest that Marriott is valued at a premium compared to its peers in the Hotels, Resorts &amp; Cruise Lines industry. While the company has a strong brand and operational efficiency, these valuation metrics may limit upside potential in the near term, especially given the broader economic uncertainties.
 Analyst sentiment is mixed, with a recommendation mean of 2.56 (between "hold" and "buy") and a target median price of $285, slightly below the current trading price. This indicates that the stock may be fairly valued at present levels.
 **Economic Outlook:**  
 The broader macroeconomic environment presents both opportunities and risks for Marriott. The ongoing recovery in global travel and tourism supports demand for its services, but rising inflation and potential economic slowdowns could dampen consumer spending on discretionary travel. Additionally, the recent tariffs imposed by the U.S. administration may indirectly impact Marriott through higher costs for imported goods and services used in its operations.
 The company's exposure to natural disasters, such as the recent California wildfires, could also pose risks to its properties and operations in affected regions. However, Marriott's strong brand and global presence provide some insulation against localized disruptions.
 **Conclusion:**  
 Marriott International remains a strong player in the hospitality industry, supported by robust profit margins and significant free cash flow. However, its high valuation, slowing earnings growth, and macroeconomic headwinds may limit near-term upside potential. The stock's current price near its 52-week high suggests that much of the optimism is already priced in, leaving limited room for error in execution or external shocks.
 **Score:** 65</t>
  </si>
  <si>
    <t>**Investment Report: Microchip Technology (MCHP)**
 **Recent News:**  
 Microchip Technology (MCHP) is anticipated to report a decline in earnings for its Q3 performance, with analysts expressing skepticism about the company's ability to surpass expectations. This sentiment reflects concerns about the broader semiconductor industry's challenges, including heightened competition and macroeconomic pressures. The company's recent performance has been under scrutiny, as it lacks the combination of factors typically associated with an earnings beat. This cautious outlook aligns with the broader market's volatility, particularly in the technology sector, which has been significantly impacted by global events such as the emergence of Chinese AI competitors.
 **Financials:**  
 Microchip Technology's financial metrics reveal a mixed picture. The company has a trailing price-to-earnings (PE) ratio of 25.77, which is relatively high compared to its forward PE of 7.94, suggesting expectations of improved earnings in the future. However, its profit margins remain modest at 3.1%, and its return on equity (ROE) is a low 1.74%, indicating limited efficiency in generating returns for shareholders. The company's revenue growth of 93.3% is a positive indicator, but its gross margins of 22.35% and operating margins of 19.7% suggest room for improvement in cost management. Additionally, Microchip's debt-to-equity ratio of 31.19% highlights a moderate level of leverage, which could pose risks in a rising interest rate environment.
 **Valuations:**  
 Microchip's current stock price of approximately $89.88 places it at a price-to-book (P/B) ratio of 2.21, which is reasonable for the semiconductor industry. The company's enterprise value-to-revenue ratio of 4.83 and enterprise value-to-EBITDA ratio of 13.55 suggest that the stock is not excessively overvalued. However, the stock's 52-week range of $79.15 to $157.54 indicates significant volatility, and its current price is closer to the lower end of this range. Analyst sentiment remains optimistic, with a mean target price of $130.35 and a "buy" recommendation, but the wide range of target prices ($70 to $250) reflects uncertainty about the company's future performance.
 **Economic Outlook:**  
 The semiconductor industry faces headwinds from global economic challenges, including trade tensions and inflationary pressures exacerbated by recent tariffs imposed by the U.S. administration. These tariffs could disrupt supply chains and increase costs for semiconductor companies like Microchip Technology. Additionally, the recent tech market selloff, driven by the emergence of Chinese AI competitors, has created a challenging environment for the sector. While Microchip's strong cash position of $8.1 billion and healthy liquidity ratios (quick ratio of 1.59 and current ratio of 2.64) provide a buffer against short-term disruptions, the broader economic environment remains uncertain.
 **Conclusion:**  
 Microchip Technology's financial health and valuation metrics suggest a company with potential for long-term growth, but near-term challenges in the semiconductor industry and broader economic pressures could weigh on its performance. The company's ability to navigate these challenges and capitalize on its revenue growth will be critical in determining its future trajectory.
 **Score:** 65</t>
  </si>
  <si>
    <t>**Investment Report: McKesson Corporation**
 **Recent News:**  
 McKesson Corporation has not been featured in any significant news over the past week. This lack of recent developments suggests stability in its operations, with no major disruptions or announcements impacting its business trajectory.
 **Financials:**  
 McKesson's stock has shown resilience, trading within a narrow range between $590.28 and $602.19 recently. The company maintains a strong market capitalization of $76.14 billion, reflecting its position as a leader in the healthcare distribution industry. Its trailing price-to-earnings (P/E) ratio of 31.03 is relatively high, but the forward P/E of 16.31 indicates expectations of improved earnings in the future. The company’s dividend yield of 0.48% is modest, with a low payout ratio of 13.3%, suggesting a conservative approach to capital allocation and a focus on reinvestment.
 McKesson's revenue growth of 21.3% year-over-year is a positive indicator, especially in a challenging macroeconomic environment. However, earnings growth has declined by 62%, reflecting potential margin pressures or increased costs. The company’s profit margins remain slim at 0.77%, typical for the healthcare distribution sector, which operates on high volumes but low margins. Its EBITDA margin of 1.48% and operating margin of 0.80% further highlight the tight profitability in this industry.
 The company’s balance sheet shows a quick ratio of 0.47 and a current ratio of 0.91, indicating limited short-term liquidity. However, McKesson generates strong cash flows, with $4.39 billion in free cash flow and $5.12 billion in operating cash flow, which supports its ability to manage debt and fund operations. Total debt stands at $7.26 billion, but the company’s cash reserves of $2.51 billion provide some cushion.
 **Valuations:**  
 McKesson's stock is trading near its 50-day average of $593.71 and above its 200-day average of $562.55, reflecting a stable upward trend over the past year. The stock has gained 17.3% over the last 52 weeks, underperforming the S&amp;P 500's 21.9% gain. Analyst sentiment remains positive, with a mean target price of $650.81, representing potential upside from current levels. The recommendation mean of 1.65 (on a scale where 1.0 is a "Strong Buy") underscores confidence in the stock's prospects.
 The company’s enterprise value-to-revenue ratio of 0.246 and price-to-sales ratio of 0.23 suggest the stock is attractively valued relative to its revenue base. However, the trailing PEG ratio of 1.11 indicates that growth expectations are already priced in, leaving limited room for valuation expansion unless earnings growth accelerates.
 **Economic Outlook:**  
 The broader macroeconomic environment presents mixed implications for McKesson. The healthcare sector is generally defensive, offering stability during periods of economic uncertainty. However, inflationary pressures and new tariffs could increase costs across the supply chain, potentially squeezing margins further. McKesson’s low beta of 0.436 suggests limited sensitivity to market volatility, which could make it a relatively safe investment in the current turbulent market conditions.
 The company’s reliance on high-volume, low-margin operations means it could face challenges if economic conditions worsen or if healthcare spending slows. However, its strong cash flow generation and dominant market position provide a buffer against these risks.
 **Conclusion:**  
 McKesson Corporation remains a stable player in the healthcare distribution industry, supported by strong revenue growth and robust cash flow generation. While its profitability metrics are under pressure, the company’s valuation appears reasonable, and analyst sentiment is favorable. The defensive nature of its business model and low market sensitivity make it a resilient option in the current economic climate. However, margin pressures and liquidity constraints warrant close monitoring.
 **Score:** 78</t>
  </si>
  <si>
    <t>**Investment Report: Moody's Corporation (MCO)**
 **Recent News:**  
 Moody's Corporation has seen a 2.90% increase in its stock price over the past week, reflecting positive momentum. The company remains a dominant player in the credit rating and financial analytics industry, benefiting from its strong competitive moat. Recent discussions around the "Stargate Project" and the ongoing advancements in artificial intelligence (AI) suggest potential hidden catalysts for Moody's, particularly as global debt levels remain elevated. These factors could position the company for a strong performance in 2025, with expectations of robust Q4 results.
 **Financials:**  
 Moody's financial performance remains solid, with a market capitalization of approximately $89.98 billion and a trailing price-to-earnings (PE) ratio of 45.38, indicating a premium valuation. The forward PE ratio of 36.76 suggests expectations of continued earnings growth. The company has demonstrated strong profitability, with profit margins of 29.05% and operating margins of 42.03%. Revenue growth of 23.2% and earnings growth of 38.9% highlight its ability to capitalize on favorable market conditions. Additionally, Moody's maintains a healthy free cash flow of $1.95 billion, supporting its dividend yield of 0.68% and a payout ratio of 30.35%.
 However, the company's debt-to-equity ratio of 197.86% reflects a high level of leverage, which could pose risks in a rising interest rate environment. Despite this, Moody's return on equity (ROE) of 54.02% underscores its ability to generate significant returns for shareholders.
 **Valuations:**  
 Moody's trades at a price-to-book (P/B) ratio of 23.04, significantly above the industry average, reflecting its strong brand and market position. The stock's 52-week range of $360.05 to $505.78 indicates that it is trading near its upper limit, suggesting limited short-term upside. Analyst price targets range from $415 to $570, with a mean target of $504.86, aligning closely with its current price. The recommendation mean of 2.14 (on a scale where 1 is a strong buy and 5 is a sell) indicates a generally favorable outlook among analysts.
 **Economic Outlook:**  
 The broader macroeconomic environment presents both opportunities and challenges for Moody's. Elevated global debt levels and increased demand for credit ratings and financial analytics services are likely to drive revenue growth. However, the recent implementation of tariffs by the U.S. administration and the potential for a trade war could introduce economic uncertainty, impacting corporate debt issuance and financial markets. Additionally, rising inflation and potential Federal Reserve rate hikes could increase borrowing costs, potentially affecting Moody's clients and their demand for services.
 The recent global technology market disruption, including the launch of DeepSeek, highlights the growing importance of AI in financial services. Moody's investment in AI-related initiatives, such as the Stargate Project, could provide a competitive edge and drive long-term growth.
 **Conclusion:**  
 Moody's Corporation is well-positioned to benefit from its strong market position, robust financial performance, and potential catalysts such as AI advancements. However, its high valuation and elevated leverage warrant caution, particularly in a volatile macroeconomic environment. While the company's long-term prospects remain favorable, short-term performance may be influenced by broader market conditions and economic uncertainties.
 **Score:** 78</t>
  </si>
  <si>
    <t>**Investment Report: Mondelez International (MDLZ)**
 **Recent News:**  
 Mondelez International is preparing to release its Q4 earnings, with analysts projecting a decline in earnings. While the company is expected to show strength in its core categories, concerns over rising cocoa costs and inflationary pressures could weigh on profitability. Analysts have expressed skepticism about Mondelez's ability to exceed earnings expectations, citing a lack of favorable conditions for an earnings beat. These factors, combined with broader macroeconomic challenges, suggest a cautious outlook for the quarter.
 **Financials:**  
 Mondelez's financial metrics reflect a mixed picture. The company has a trailing P/E ratio of 20.36 and a forward P/E of 17.57, indicating a valuation that is not overly stretched but may not offer significant upside in the near term. The dividend yield of 3.24% is attractive, supported by a payout ratio of 61.88%, which is sustainable but leaves limited room for growth. Revenue growth of 1.9% year-over-year is modest, while earnings growth has declined by 12.5%, reflecting margin pressures. The company's gross margin of 38.77% and EBITDA margin of 20.51% are solid but may face headwinds from rising input costs, particularly cocoa. 
 Mondelez's balance sheet shows a debt-to-equity ratio of 73.23, which is relatively high and could limit financial flexibility. The quick ratio of 0.295 and current ratio of 0.626 indicate liquidity constraints, though the company generates strong free cash flow of $4.27 billion, which provides some cushion. The enterprise value-to-EBITDA ratio of 12.91 suggests the company is fairly valued relative to its earnings potential.
 **Valuations:**  
 Mondelez's stock has declined by 22.94% over the past year, underperforming the S&amp;P 500, which has gained 21.93% in the same period. The stock is trading near its 52-week low of $55.97, with a price-to-book ratio of 2.76. Analyst price targets range from $61 to $84, with a median target of $71, implying potential upside from current levels. However, the trailing PEG ratio of 4.86 indicates that the stock may be overvalued relative to its growth prospects.
 **Economic Outlook:**  
 The broader economic environment poses challenges for Mondelez. Rising inflation, particularly in commodity prices like cocoa, could pressure margins further. The recent implementation of tariffs by the U.S. government may also disrupt supply chains and increase costs for packaged food companies. Additionally, the global economic slowdown and consumer spending pressures could impact demand for Mondelez's products. However, the company's strong brand portfolio and focus on core categories may help it navigate these challenges in the long term.
 **Conclusion:**  
 Mondelez International faces a challenging near-term outlook due to rising input costs, declining earnings growth, and broader macroeconomic headwinds. While the stock's valuation and dividend yield may appeal to income-focused investors, the lack of significant growth catalysts and margin pressures suggest limited upside in the short term. The company's strong cash flow and brand strength provide a degree of resilience, but cautious sentiment is warranted given the current environment.
 **Score:** 65</t>
  </si>
  <si>
    <t>**Investment Report: MGM Resorts**
 **Recent News:**  
 MGM Resorts recently agreed to a $45 million settlement to resolve class-action lawsuits stemming from two significant data breaches that exposed personal information of millions of customers. This settlement highlights ongoing cybersecurity challenges for the company, which could weigh on its reputation and operational costs. While the resolution of these lawsuits removes some legal uncertainty, the breaches may have long-term implications for customer trust and brand perception, potentially impacting revenue in the competitive casinos and gaming industry.
 **Financials:**  
 MGM Resorts' financial performance reflects a challenging environment. The company’s stock has seen a significant decline, with its 52-week low of $51.37 reached recently, far below its high of $100.57. The trailing price-to-earnings (PE) ratio of 36.29 and forward PE of 22.77 suggest the stock is relatively expensive compared to its earnings, especially given the company's negative earnings and revenue growth (-88.2% and -48.4%, respectively). Additionally, the company’s debt-to-equity ratio of 102.9% indicates a high level of leverage, which could pose risks in a rising interest rate environment or during economic downturns. However, MGM maintains strong gross margins of 60.3% and EBITDA margins of 35.5%, reflecting operational efficiency in its core business.
 **Valuations:**  
 MGM Resorts' current valuation metrics suggest mixed signals. The price-to-book ratio of 4.47 indicates the stock is trading at a premium relative to its book value, which may not be justified given the company's declining revenue and earnings. Analysts remain optimistic, with a mean target price of $77.64 and a recommendation mean of 1.72 (indicating a "buy"), but the stock's recent performance and broader economic challenges may temper this outlook. The dividend yield of 3.35% is attractive, but the high payout ratio of 124.65% raises concerns about the sustainability of these payments.
 **Economic Outlook:**  
 The broader economic environment presents headwinds for MGM Resorts. The recent implementation of tariffs and rising inflationary pressures could dampen consumer discretionary spending, particularly in the travel, leisure, and gaming sectors. Additionally, the ongoing volatility in financial markets and geopolitical uncertainties may further impact consumer confidence and spending patterns. MGM's high beta of 1.53 suggests the stock is more volatile than the broader market, which could exacerbate risks in the current economic climate.
 **Conclusion:**  
 MGM Resorts faces a challenging near-term outlook due to reputational risks from the data breaches, declining financial performance, and broader economic pressures. While the company benefits from strong operational margins and a robust brand presence, its high leverage, declining growth metrics, and premium valuation may limit upside potential in the short term. The resolution of the lawsuits provides some clarity, but the broader economic and industry-specific challenges remain significant.
 **Score:** 45</t>
  </si>
  <si>
    <t>**Investment Report: Mohawk Industries (MHK)**
 **Recent News:**  
 Mohawk Industries is navigating a challenging residential market, with expectations of declining sales in its Q4 2024 results. However, the company has implemented restructuring actions and cost-saving measures, which may mitigate the impact of softer demand. Analysts are optimistic about Mohawk's ability to beat earnings estimates, citing its strong historical performance and favorable valuation metrics. The firm has been highlighted as a top-ranked value stock, which could attract investors seeking stability in a volatile market.
 **Financials:**  
 Mohawk Industries' financial metrics reflect a mixed picture. The company has a trailing P/E ratio of 13.45 and a forward P/E of 11.23, indicating a relatively attractive valuation compared to its peers. Its price-to-book ratio of 0.96 suggests the stock is trading below its book value, which may appeal to value investors. However, revenue growth has declined by 1.7% year-over-year, reflecting challenges in the residential market. Despite this, the company maintains a healthy current ratio of 2.03, indicating strong liquidity, and a manageable debt-to-equity ratio of 32.99%. Free cash flow of $486.96 million and operating cash flow of $1.03 billion provide a solid foundation for ongoing operations and potential strategic investments.
 **Valuations:**  
 Mohawk's market capitalization stands at $7.51 billion, with an enterprise value of $9.69 billion, resulting in an enterprise-to-revenue ratio of 0.896. This valuation metric, combined with its gross margins of 25.64% and EBITDA margins of 14.33%, suggests the company is efficiently managing its operations despite revenue headwinds. Analyst price targets range from $130 to $185, with a median target of $150, indicating potential upside from the current trading price of approximately $119-$122. Institutional ownership of 79.73% reflects confidence from large investors, while insider ownership of 17.35% aligns management's interests with shareholders.
 **Economic Outlook:**  
 The broader economic environment presents both challenges and opportunities for Mohawk Industries. The U.S. housing market remains under pressure due to higher interest rates and inflationary concerns, which could dampen demand for residential flooring products. Additionally, the Trump administration's new tariffs on imports from Canada, Mexico, and China may increase input costs for Mohawk, potentially squeezing margins. However, the company's cost-saving initiatives and restructuring efforts could help offset these pressures. Furthermore, Mohawk's focus on operational efficiency positions it well to weather economic uncertainties and capitalize on any recovery in the housing market.
 **Conclusion:**  
 Mohawk Industries faces near-term challenges from a softer residential market and macroeconomic headwinds, but its strong financial position, cost-saving measures, and attractive valuation metrics provide a solid foundation for resilience. While revenue growth remains a concern, the company's ability to generate consistent cash flow and its potential to beat earnings estimates make it a compelling value play in the home furnishings industry.
 **Score:** 78</t>
  </si>
  <si>
    <t>**Investment Report: MarketAxess (MKTX)**
 **Recent News:**  
 MarketAxess is anticipated to report a decline in earnings, with analysts expressing skepticism about the company's ability to surpass expectations in its upcoming earnings report. This sentiment reflects concerns about the firm's current growth trajectory and its ability to maintain profitability in a challenging macroeconomic environment. The broader financial exchanges and data industry is facing headwinds, including market volatility and reduced trading volumes, which could weigh on MarketAxess's performance.
 **Financials:**  
 MarketAxess's financial metrics reveal a mixed picture. The company has a strong profit margin of 34.32% and robust revenue growth of 20% year-over-year, indicating solid operational efficiency and demand for its services. However, its trailing price-to-earnings (P/E) ratio of 29.53 and forward P/E of 26.99 suggest a relatively high valuation compared to peers, which may limit upside potential in the near term. The firm's price-to-book ratio of 5.94 also indicates a premium valuation. Despite these concerns, MarketAxess maintains a healthy balance sheet, with a quick ratio of 11.77 and a current ratio of 14.22, reflecting strong liquidity. Additionally, the company has minimal debt, with a debt-to-equity ratio of 5.42%, and generates significant free cash flow of $321.5 million.
 **Valuations:**  
 MarketAxess's stock has experienced a decline of approximately 0.28% over the past year, underperforming the S&amp;P 500's 21.93% gain. The stock is currently trading near its 52-week low of $192.42, well below its 52-week high of $296.68. Analysts have set a target median price of $253.50, representing potential upside from the current price. However, the stock's high valuation multiples, combined with concerns about earnings growth, suggest that the market may already be pricing in optimistic future performance.
 **Economic Outlook:**  
 The broader economic environment presents challenges for MarketAxess. The recent implementation of tariffs and trade tensions could dampen market activity, potentially reducing trading volumes on the platform. Additionally, rising inflationary pressures and the Federal Reserve's potential shift to a more hawkish monetary policy stance may create further uncertainty in financial markets. These factors could impact MarketAxess's revenue growth and profitability in the near term. However, the company's strong position in the electronic trading space and its ability to adapt to market conditions may provide resilience over the long term.
 **Conclusion:**  
 MarketAxess faces near-term challenges, including high valuation multiples, potential earnings declines, and macroeconomic headwinds. While the company demonstrates strong financial health and operational efficiency, its premium valuation and uncertain growth outlook may limit its attractiveness in the short term. The stock's recent underperformance relative to the broader market reflects these concerns, and investors may remain cautious until there is greater clarity on earnings and market conditions.
 **Score:** 65</t>
  </si>
  <si>
    <t>**Investment Report: Martin Marietta Materials**
 **Recent News:**  
 There have been no significant updates or developments regarding Martin Marietta Materials in the past week. This lack of news suggests stability in the company's operations, but it also indicates no immediate catalysts for significant price movement in the short term.
 **Financials:**  
 Martin Marietta Materials is trading near the lower end of its 52-week range, with a recent close of $544.12 and a day low of $527.78. The stock has a trailing P/E ratio of 16.64, which is relatively reasonable compared to its forward P/E of 25.88, indicating expectations of slower earnings growth. The company has a dividend yield of 0.58%, which is below its five-year average of 0.69%, reflecting a modest return for income-focused investors.  
 The firm's profit margins are strong at 30.46%, and its return on equity (ROE) is robust at 23.44%, showcasing efficient management of shareholder capital. However, earnings and revenue growth have been negative, with quarterly earnings growth at -13% and revenue growth at -5.3%, signaling potential challenges in maintaining top-line and bottom-line performance.  
 The company maintains a solid balance sheet with a current ratio of 2.34 and a quick ratio of 1.12, indicating strong liquidity. However, its debt-to-equity ratio of 48.35% suggests a moderate level of leverage, which could be a concern in a rising interest rate environment. Free cash flow remains healthy at $762.85 million, providing flexibility for future investments or debt reduction.
 **Valuations:**  
 Martin Marietta's price-to-book ratio of 3.57 is slightly elevated, reflecting a premium valuation relative to its book value. The enterprise value-to-revenue ratio of 5.68 and enterprise value-to-EBITDA ratio of 19.02 suggest the stock is trading at a higher multiple compared to some peers in the construction materials industry. Analyst sentiment remains positive, with a mean price target of $629.64, implying potential upside from current levels. However, the wide range of target prices ($370 to $730) highlights uncertainty in the stock's valuation.
 **Economic Outlook:**  
 The broader macroeconomic environment presents mixed implications for Martin Marietta. The recent imposition of tariffs by the U.S. administration could increase costs for raw materials and disrupt supply chains, potentially pressuring margins. Additionally, the ongoing California wildfires may create short-term demand for construction materials in affected regions, but the broader economic slowdown and inflationary pressures could weigh on infrastructure spending.  
 The Federal Reserve's cautious stance on interest rate cuts and the potential for rising inflation may also impact the construction sector, as higher borrowing costs could dampen demand for large-scale projects. However, Martin Marietta's strong market position and diversified operations may help it weather these challenges better than smaller competitors.
 **Conclusion:**  
 Martin Marietta Materials demonstrates strong profitability and liquidity, but its negative earnings and revenue growth, coupled with macroeconomic headwinds, suggest limited near-term upside. While the stock's valuation appears stretched, its long-term fundamentals and exposure to infrastructure spending provide a degree of resilience. The lack of recent news or catalysts further supports a cautious outlook for the next month.
 **Score:** 65</t>
  </si>
  <si>
    <t>**Investment Report: Marsh &amp; McLennan (MMC)**
 **Recent News:**  
 Marsh &amp; McLennan (MMC) has demonstrated strong performance in its latest earnings report, with Q4 2024 earnings per share (EPS) of $1.87, surpassing the Zacks Consensus Estimate of $1.75 and improving from $1.68 in the same quarter last year. This growth was driven by robust results in its Marsh unit and Consulting segment, highlighting the company's ability to capitalize on its diversified business model. The firm's strong U.S. operations have been a key contributor to its success, positioning it as a growth-oriented stock in the insurance brokerage and consulting industry. Positive sentiment around MMC's earnings beat has reinforced its reputation as a reliable performer in a challenging macroeconomic environment.
 **Financials:**  
 Marsh &amp; McLennan's financial metrics reflect a solid foundation. The company boasts a market capitalization of $107.7 billion and a trailing price-to-earnings (P/E) ratio of 26.81, which is slightly elevated but justified by its consistent earnings growth. Its forward P/E ratio of 20.88 suggests expectations of continued profitability. MMC's revenue growth of 5.9% year-over-year and earnings growth of 2.7% indicate steady expansion, supported by strong operating margins of 20.99% and EBITDA margins of 30.26%. The firm's return on equity (ROE) of 32.05% underscores its efficient use of shareholder capital, while its free cash flow of $3.66 billion provides flexibility for reinvestment and shareholder returns. However, the company's debt-to-equity ratio of 106.46% signals a high leverage level, which could pose risks in a rising interest rate environment.
 **Valuations:**  
 MMC's valuation metrics suggest a premium relative to its peers, with a price-to-book ratio of 7.87 and a price-to-sales ratio of 4.50. While these figures may appear high, they reflect the company's strong market position, consistent revenue growth, and robust profitability. The firm's dividend yield of 1.49% is in line with its five-year average, supported by a sustainable payout ratio of 37.61%. Analysts' target prices for MMC range from $179 to $272, with a median target of $235.50, indicating potential upside from its current trading price of approximately $216.88.
 **Economic Outlook:**  
 The broader macroeconomic environment presents both opportunities and challenges for MMC. The insurance brokerage industry is relatively resilient to economic downturns, and MMC's diversified revenue streams provide stability. However, the recent implementation of tariffs and trade tensions under the Trump administration could indirectly impact the firm's consulting business, particularly if clients face economic uncertainty. Additionally, inflationary pressures and potential Federal Reserve rate hikes may increase borrowing costs, which could weigh on MMC's leveraged balance sheet. Despite these headwinds, MMC's strong U.S. presence and global reach position it to navigate these challenges effectively.
 **Conclusion:**  
 Marsh &amp; McLennan's strong Q4 performance, consistent revenue and earnings growth, and robust profitability metrics highlight its resilience and growth potential. While its high leverage and premium valuation warrant caution, the firm's market leadership and diversified business model provide a solid foundation for continued success. The macroeconomic environment may introduce volatility, but MMC's operational strengths and financial flexibility position it well for the near term.
 **Score:** 85</t>
  </si>
  <si>
    <t>**Investment Report:**
 **Recent News:**  
 There have been no significant updates or developments regarding the company in the past week. This lack of news suggests stability in operations but also indicates no immediate catalysts for growth or significant changes in market sentiment.
 **Financials:**  
 The company is trading near its 52-week low of $65.53, reflecting a decline of approximately 13.96% over the past year, underperforming the S&amp;P 500's 21.93% gain in the same period. The trailing price-to-earnings (P/E) ratio of 18.47 and forward P/E of 15.94 suggest the stock is moderately valued, though earnings growth has been negative (-8.9%), and revenue growth has declined by 3.7% year-over-year. The dividend yield of 1.96% is below its five-year average of 1.73%, but the payout ratio of 33.77% indicates the dividend is sustainable. The company maintains a strong institutional ownership of 97.05%, reflecting confidence from large investors.
 The firm's gross margin of 38.21% and EBITDA margin of 20.78% indicate solid profitability, though earnings quarterly growth has declined by 11.3%. The debt-to-equity ratio of 7.47 is high, signaling significant leverage, but the current ratio of 1.67 and quick ratio of 0.96 suggest adequate liquidity to meet short-term obligations. Free cash flow of $403 million and operating cash flow of $591 million provide some financial flexibility.
 **Valuations:**  
 The stock's price-to-book ratio of 5.07 is relatively high, indicating the market values the company significantly above its book value. The enterprise value-to-EBITDA ratio of 12.27 suggests the company is not deeply undervalued compared to peers in the industrial conglomerates sector. Analyst sentiment is moderately positive, with a recommendation mean of 2.47 (between "buy" and "hold") and a target median price of $75, implying a potential upside of approximately 12% from current levels.
 **Economic Outlook:**  
 The broader macroeconomic environment presents challenges for the company. The recent imposition of tariffs by the U.S. administration on imports from Canada, Mexico, and China could disrupt supply chains and increase input costs for industrial firms. Additionally, inflationary pressures and potential Federal Reserve hawkishness may weigh on consumer and business spending, impacting demand for industrial products. The company's exposure to global markets and reliance on efficient supply chains could make it vulnerable to these headwinds. However, its diversified operations and strong cash flow generation may help mitigate some of these risks.
 **Conclusion:**  
 The company faces a mixed outlook. While its financials demonstrate stability and profitability, declining revenue and earnings growth, coupled with macroeconomic uncertainties, present challenges. The stock's valuation suggests limited downside risk, but the lack of immediate growth catalysts and broader economic pressures may cap near-term upside potential.
 **Score:** 62</t>
  </si>
  <si>
    <t>**Investment Report: Molina Healthcare**
 **Recent News:**  
 Molina Healthcare, along with other health care stocks, experienced a positive market reaction following President Trump's recent remarks emphasizing his administration's commitment to "love and cherish" Medicare and Medicaid. This political stance signals potential stability and continued government support for public health programs, which are core to Molina's business model. As a managed care provider heavily reliant on Medicaid contracts, this development could bolster investor confidence in the company's revenue streams and long-term growth prospects.
 **Financials:**  
 Molina Healthcare's financial performance reflects a solid foundation. The company has a trailing P/E ratio of 16.56 and a forward P/E of 12.48, indicating a relatively attractive valuation compared to its earnings growth potential. Earnings growth of 33.1% year-over-year and revenue growth of 17.4% highlight robust operational performance. The company maintains a healthy return on equity (26.45%) and return on assets (6.9%), showcasing efficient management of resources. However, the free cash flow is negative (-$191.5 million), which may raise concerns about liquidity management despite a strong cash position of $9.21 billion. Debt levels, with a debt-to-equity ratio of 53.02%, are manageable but warrant monitoring.
 Molina's stock has shown resilience, trading near its 50-day average of $297.27 and recovering from its 52-week low of $272.69. The recent high of $327.33 suggests renewed investor interest, likely driven by favorable political developments. Analyst sentiment remains positive, with a mean target price of $357.67, implying potential upside from current levels.
 **Valuations:**  
 Molina's price-to-sales ratio of 0.50 and price-to-book ratio of 3.89 suggest the stock is reasonably valued relative to its peers in the managed care industry. The enterprise value-to-revenue ratio of 0.32 and enterprise value-to-EBITDA ratio of 6.57 further support the view that the company is trading at a fair valuation. The recommendation mean of 2.33 (between "buy" and "hold") from 14 analysts indicates cautious optimism about the stock's future performance.
 **Economic Outlook:**  
 The broader economic environment presents both opportunities and risks for Molina Healthcare. The Trump administration's tariffs and trade policies may contribute to inflationary pressures, potentially impacting healthcare costs. However, the administration's vocal support for Medicare and Medicaid could ensure continued funding and stability for managed care providers like Molina. Additionally, the company's low beta of 0.586 suggests reduced sensitivity to broader market volatility, which could be advantageous in the current uncertain economic climate.
 **Conclusion:**  
 Molina Healthcare is well-positioned to benefit from favorable political developments and its strong financial performance. While challenges such as negative free cash flow and potential cost pressures exist, the company's robust earnings growth, efficient operations, and reasonable valuation provide a solid foundation for continued success in the managed care industry.
 **Score:** 85</t>
  </si>
  <si>
    <t>**Investment Report: The Mosaic Company**
 **Recent News:**  
 The Mosaic Company has not been in the news over the past week, indicating a lack of significant developments or announcements. This absence of news suggests stability but also highlights the need to focus on broader industry trends and macroeconomic factors that may influence the company's performance.
 **Financials:**  
 The Mosaic Company, operating in the Fertilizers &amp; Agricultural Chemicals industry, is currently trading near the lower end of its 52-week range ($23.56 - $33.44), with a recent close at $27.89. The stock's price-to-book ratio of 0.73 suggests it is trading below its book value, which may indicate undervaluation. However, the trailing price-to-earnings (P/E) ratio of 23.95 is relatively high compared to its forward P/E of 11.58, reflecting expectations of improved earnings in the future.  
 The company's revenue has declined year-over-year, with a revenue growth rate of -20.8%, reflecting challenges in the broader agricultural chemicals market. Gross margins stand at 15.45%, and operating margins are modest at 4.11%, indicating limited profitability in the current environment. Mosaic's debt-to-equity ratio of 35.77% is manageable but highlights a reliance on leverage, while its current ratio of 1.19 suggests adequate short-term liquidity. However, the quick ratio of 0.41 indicates potential challenges in meeting immediate obligations without relying on inventory.  
 The dividend yield of 3.16% is above the company's five-year average of 1.51%, which may appeal to income-focused investors. However, the payout ratio of 73.45% raises concerns about the sustainability of dividends, especially given the company's negative free cash flow of -$43.89 million.  
 **Valuations:**  
 Mosaic's valuation metrics present a mixed picture. The enterprise value-to-revenue ratio of 1.11 and enterprise value-to-EBITDA ratio of 6.67 suggest the company is reasonably valued relative to its earnings potential. Analysts have a median price target of $32.00, implying a potential upside of approximately 15% from current levels. However, the recommendation mean of 2.55 (between "Hold" and "Buy") reflects cautious sentiment among analysts.  
 **Economic Outlook:**  
 The agricultural chemicals industry is sensitive to macroeconomic conditions, including commodity prices, trade policies, and input costs. Recent tariffs imposed by the U.S. on Canada, Mexico, and China could disrupt global trade and supply chains, potentially impacting Mosaic's operations and profitability. Additionally, inflationary pressures and rising interest rates may increase input costs and financing expenses, further weighing on margins.  
 The broader fertilizer market has faced headwinds due to declining crop prices and reduced farmer spending, which may explain Mosaic's revenue contraction. However, the company's exposure to essential agricultural inputs positions it to benefit from any recovery in global food demand or favorable policy changes.  
 **Conclusion:**  
 The Mosaic Company faces challenges from declining revenues, tight margins, and macroeconomic uncertainties. While its valuation metrics suggest potential upside, the company's financial health and industry headwinds warrant caution. The stock's current price near its 52-week low may attract value-oriented investors, but the sustainability of its dividend and the broader economic environment remain key risks.
 **Score:** 62</t>
  </si>
  <si>
    <t>**Investment Report: Marathon Petroleum Corporation (MPC)**
 **Recent News:**  
 Marathon Petroleum's Refining &amp; Marketing segment is anticipated to face a 12.6% decline in fourth-quarter revenues, driven by weaker demand, narrowing crack spreads, and rising operating costs. Analysts have expressed concerns about the company's ability to meet earnings expectations, citing unfavorable market conditions and operational challenges. These factors suggest a challenging near-term outlook for the company, particularly in its core refining operations.
 **Financials:**  
 Marathon Petroleum's financial metrics reflect a mixed picture. The company has a trailing price-to-earnings (P/E) ratio of 11.39, which is relatively low, indicating potential undervaluation. However, the forward P/E ratio of 17.79 suggests expectations of declining earnings. The firm's profit margins remain modest, with a net profit margin of 3.17% and EBITDA margins of 7.25%. Revenue growth has contracted by 14.8% year-over-year, and earnings growth has declined by 77.4%, reflecting the impact of weaker refining margins and operational headwinds. Despite these challenges, Marathon maintains a strong dividend yield of 2.5%, supported by a manageable payout ratio of 25.6%. The company also holds $5.14 billion in cash, providing some financial flexibility.
 **Valuations:**  
 Marathon Petroleum's price-to-book ratio of 2.52 and price-to-sales ratio of 0.33 suggest the stock is trading at a reasonable valuation relative to its assets and revenue. However, the company's enterprise value-to-EBITDA ratio of 7.57 indicates a higher valuation compared to some peers in the industry. The stock has experienced a 12.56% decline over the past year, underperforming the S&amp;P 500, which gained 21.93% during the same period. Analyst price targets range from $141 to $192, with a mean target of $166.37, implying potential upside from the current price of $145.71.
 **Economic Outlook:**  
 The broader macroeconomic environment presents additional challenges for Marathon Petroleum. The recent imposition of tariffs by the U.S. government could disrupt supply chains and increase costs for the energy sector. Furthermore, new sanctions on Russia's energy sector may create volatility in global oil markets, potentially impacting refining margins. Rising inflationary pressures and the Federal Reserve's cautious stance on interest rate cuts could also weigh on consumer demand and economic growth, indirectly affecting fuel consumption. However, Marathon's exposure to the refining and marketing segment may provide some resilience if crack spreads stabilize or improve.
 **Conclusion:**  
 Marathon Petroleum faces a difficult near-term environment characterized by declining revenues, weaker margins, and rising costs. While the stock appears reasonably valued and offers an attractive dividend yield, the company's earnings growth and revenue trends are under pressure. Broader economic uncertainties, including trade tensions and inflationary risks, add to the challenges. Investors may need to monitor the company's ability to navigate these headwinds and capitalize on any recovery in refining margins or demand.
 **Score:** 55</t>
  </si>
  <si>
    <t>**Investment Report: Monolithic Power Systems (MPWR)**
 **Recent News:**  
 Monolithic Power Systems (MPWR) is anticipated to report strong top-line growth for Q4, driven by robust demand across multiple segments. The company's focus on enhancing supply chain resiliency is a strategic advantage, particularly in the current environment of global trade disruptions and geopolitical tensions. However, the broader semiconductor industry faces challenges from the recent global tech market downturn, which has been exacerbated by the emergence of DeepSeek, a Chinese AI competitor. While MPWR's diversified product portfolio and end-market exposure may provide some insulation, the overall sector's volatility could weigh on investor sentiment.
 **Financials:**  
 MPWR's financial health remains solid, with a market capitalization of $30.67 billion and a strong balance sheet characterized by minimal debt ($16.3 million) and substantial cash reserves ($1.46 billion). The company boasts impressive liquidity metrics, including a quick ratio of 4.83 and a current ratio of 6.42, indicating its ability to meet short-term obligations. Revenue growth of 30.6% year-over-year and earnings growth of 19.2% highlight the firm's operational strength. Profit margins are healthy, with gross margins at 55.3% and operating margins at 26.5%. Free cash flow of $516.7 million further underscores MPWR's ability to reinvest in growth initiatives.
 However, valuation metrics suggest the stock is expensive relative to peers. MPWR's trailing P/E ratio of 70.97 and forward P/E of 38.12 are significantly above industry averages, reflecting high investor expectations. The price-to-book ratio of 13.04 and enterprise value-to-EBITDA multiple of 55.96 also indicate a premium valuation. While the company's growth prospects justify some of this premium, the elevated multiples could limit near-term upside, especially in a risk-averse market environment.
 **Valuations:**  
 Analyst sentiment remains positive, with a mean price target of $784.37, representing potential upside from the current price. The recommendation mean of 1.76 (on a scale where 1.0 is a strong buy) reflects confidence in the company's long-term growth trajectory. However, the stock's 52-week performance (+0.69%) has lagged the broader S&amp;P 500 (+21.93%), suggesting that recent market conditions and sector-specific headwinds have tempered investor enthusiasm.
 **Economic Outlook:**  
 The semiconductor industry is navigating a challenging macroeconomic landscape. The Trump administration's new tariffs on imports from China, Canada, and Mexico could disrupt supply chains and increase input costs for MPWR. Additionally, the global tech market's recent selloff, driven by competitive pressures from Chinese AI advancements, has created uncertainty for the sector. While MPWR's focus on supply chain resiliency is a positive, the broader economic environment, including rising inflation and potential Federal Reserve tightening, could weigh on the company's near-term performance.
 **Conclusion:**  
 Monolithic Power Systems is a fundamentally strong company with robust growth prospects and a solid financial position. However, its premium valuation, coupled with macroeconomic and sector-specific challenges, suggests limited near-term upside. The company's ability to navigate supply chain disruptions and maintain demand across its segments will be critical in sustaining its growth trajectory.
 **Score:** 72</t>
  </si>
  <si>
    <t>**Investment Report:**
 **Recent News:**  
 Merck &amp; Co. has faced a challenging year, with its stock down over 20%, primarily due to weaker-than-expected sales of its Gardasil vaccine in China. However, the company has received positive developments that could bolster its future prospects. The European Medicines Agency's Committee for Medicinal Products for Human Use has recommended approval for Merck's 21-valent pneumococcal vaccine, Capvaxive, which could expand its vaccine portfolio. Additionally, Merck halted a late-stage study of its PAH drug, Winrevair, early due to strong efficacy results, signaling potential for a new revenue stream. The FDA's priority review of Merck's supplemental New Drug Application (sNDA) for Welireg, targeting rare tumors, further highlights the company's focus on innovation in oncology. As Merck prepares to report its fourth-quarter earnings, the performance of its flagship oncology drug, Keytruda, remains a critical focus for analysts and investors.
 **Financials:**  
 Merck's financial metrics reflect a mixed picture. The company has a trailing price-to-earnings (P/E) ratio of 20.88, which is higher than its forward P/E of 10.81, suggesting expectations of significant earnings growth. Its dividend yield of 3.28% is above its five-year average of 2.92%, indicating a commitment to returning value to shareholders despite recent challenges. However, earnings growth has declined by 33.3% year-over-year, and revenue growth remains modest at 4.4%. The company's gross margins of 76.6% and operating margins of 26.2% are strong, reflecting efficient operations. Merck's balance sheet shows a debt-to-equity ratio of 85.57, which is relatively high, but its free cash flow of $14 billion provides a cushion for debt servicing and future investments.
 **Valuations:**  
 Merck's stock is trading near its 52-week low of $94.48, significantly below its 52-week high of $134.63, indicating a potential undervaluation. The price-to-book ratio of 5.68 is higher than the industry average, but the forward P/E ratio of 10.81 suggests the market expects a rebound in earnings. Analysts have a median price target of $121.16, representing a substantial upside from the current price. The recommendation mean of 1.73 (on a scale where 1.0 is a strong buy) reflects strong confidence among analysts.
 **Economic Outlook:**  
 Macroeconomic headwinds, including inflationary pressures and trade tensions, could weigh on Merck's international operations, particularly in China, where Gardasil sales have already been under pressure. However, the company's focus on innovative treatments and vaccines positions it well to navigate these challenges. The FDA's priority review of Welireg and the potential approval of Capvaxive could provide new growth drivers. Additionally, Merck's low beta of 0.41 suggests that its stock is less volatile than the broader market, making it a relatively defensive play in uncertain economic conditions.
 **Conclusion:**  
 Merck faces near-term challenges, including declining Gardasil sales and earnings growth pressures. However, its strong pipeline, robust cash flow, and focus on high-margin oncology and vaccine products provide a solid foundation for recovery. The stock's current valuation and analyst sentiment suggest potential upside, particularly if upcoming regulatory decisions and earnings reports are favorable.
 **Score:** 78</t>
  </si>
  <si>
    <t>**Investment Report: Moderna Inc. (NASDAQ: MRNA)**
 **Recent News:**  
 Moderna has faced significant market pressure following a downgrade by Goldman Sachs, which reduced its rating from "Buy" to "Neutral" and slashed its price target from $99 to $51. This downgrade comes on the heels of Moderna's second reduction in product revenue guidance within six months, raising concerns about the sustainability of its vaccine sales. The stock has reacted negatively, falling 3.2% in premarket trading. The bearish sentiment reflects broader skepticism about the company's ability to maintain its revenue momentum as demand for COVID-19 vaccines wanes.
 **Financials:**  
 Moderna's financial performance has been underwhelming, with a net loss of $2.22 billion over the last fiscal year and negative profit margins of -43.77%. The company’s forward price-to-earnings ratio of -4.12 highlights expectations of continued losses. Revenue growth has stagnated, with a modest 1.7% increase year-over-year, while gross margins are deeply negative at -27.55%. Despite these challenges, Moderna maintains a strong liquidity position, with $6.87 billion in cash and a quick ratio of 3.95, indicating its ability to meet short-term obligations. However, its free cash flow is negative at -$3.34 billion, reflecting ongoing operational challenges.
 **Valuations:**  
 Moderna's stock is trading near its 52-week low of $31.94, significantly below its 52-week high of $170.47. The price-to-book ratio of 1.18 suggests the stock is trading close to its book value, which may indicate limited downside risk. However, the enterprise value-to-revenue ratio of 1.68 and the price-to-sales ratio of 2.77 suggest the market is pricing in limited growth prospects. Analyst sentiment is mixed, with a mean price target of $62.96, but the recent downgrade underscores the uncertainty surrounding the stock.
 **Economic Outlook:**  
 The broader economic environment poses additional challenges for Moderna. The biotechnology sector is under pressure as investors shift focus away from pandemic-related plays. Furthermore, rising inflation and potential trade disruptions from new tariffs could increase costs for biotech firms reliant on global supply chains. Moderna's reliance on vaccine sales, particularly in a post-pandemic world, leaves it vulnerable to declining demand and increased competition from other pharmaceutical companies.
 **Conclusion:**  
 Moderna faces significant headwinds, including declining vaccine sales, negative profitability, and a challenging macroeconomic environment. While its strong cash position provides some financial stability, the company's inability to generate consistent revenue growth and its reliance on a single product line raise concerns about its long-term viability. The recent downgrade by Goldman Sachs reflects these challenges, and the stock's current valuation suggests limited upside potential in the near term.
 **Score:** 35</t>
  </si>
  <si>
    <t>**Investment Report: Morgan Stanley (MS)**
 **Recent News:**  
 Morgan Stanley has garnered attention as a potential dividend stock, with its dividend yield of 2.83% and a payout ratio of 52.81%, which is sustainable given its strong earnings growth. The firm is also in the spotlight due to broader market trends, including the rising demand for gold as a hedge against the Trump administration's tariffs. While this trend highlights the uncertainty in global markets, it also underscores the importance of financial institutions like Morgan Stanley in managing risk and providing hedging solutions. Additionally, Morgan Stanley remains a trending stock, reflecting strong investor interest despite recent market volatility.
 **Financials:**  
 Morgan Stanley's financial performance remains robust, with a market capitalization of $220.4 billion and a 52-week price change of 60.78%, significantly outperforming the S&amp;P 500's 21.93% gain. The firm has demonstrated solid earnings growth of 36.2% and revenue growth of 16.5% year-over-year, supported by strong profit margins (19.2%) and gross margins (86.5%). Its return on equity (11.08%) is healthy, indicating effective capital utilization. However, the firm's high debt-to-equity ratio of 405.77% reflects its reliance on leverage, a common characteristic in the investment banking industry. The current ratio of 2.17 suggests adequate liquidity to meet short-term obligations.
 **Valuations:**  
 Morgan Stanley's valuation metrics indicate a reasonable pricing level. Its trailing price-to-earnings (P/E) ratio of 17.25 and forward P/E of 14.50 suggest moderate growth expectations. The price-to-book ratio of 2.35 is in line with industry norms, reflecting fair valuation relative to its book value. The firm's enterprise value-to-revenue ratio of 1.22 further supports the view that it is not overvalued. Analysts' target prices range from $106 to $156, with a median target of $140, close to its current trading price, indicating limited upside in the near term.
 **Economic Outlook:**  
 The broader economic environment presents both challenges and opportunities for Morgan Stanley. The Trump administration's tariffs on Canada, Mexico, and China are expected to disrupt global trade and increase market volatility. This could lead to heightened demand for Morgan Stanley's advisory and risk management services. However, the tariffs may also contribute to inflationary pressures and slower economic growth, which could weigh on the firm's investment banking and wealth management segments. Additionally, the recent tech sector selloff, driven by competition from Chinese AI advancements, may impact Morgan Stanley's exposure to technology-focused investments.
 **Conclusion:**  
 Morgan Stanley is well-positioned to navigate the current economic and market challenges, supported by its strong financial performance, sustainable dividend, and diversified business model. However, the firm's high leverage and exposure to macroeconomic risks, such as tariffs and market volatility, warrant caution. While its valuation appears fair, the limited near-term upside suggests that the stock may remain range-bound in the coming month.
 **Score:** 75</t>
  </si>
  <si>
    <t>**Investment Report: Microsoft Corporation**
 **Recent News:**  
 Microsoft has demonstrated strong fiscal Q2 2025 performance, with earnings and revenue exceeding expectations, primarily driven by its AI and cloud services. However, the stock experienced a decline due to weaker-than-expected guidance for Q3 and a slowdown in Azure's growth. Azure, a key driver of Microsoft's cloud business, is facing capacity constraints, raising concerns about its ability to sustain high growth rates. On the AI front, Microsoft continues to lead, with an annual AI revenue run rate of $13 billion, reflecting its strategic focus on this transformative sector. The company is also addressing societal concerns around AI by forming a dedicated unit to study its impacts. Additionally, Microsoft is reportedly exploring the acquisition of TikTok's U.S. operations, which could provide a significant boost to its social media and advertising ambitions. However, legal scrutiny surrounding OpenAI and potential data misuse by DeepSeek adds a layer of uncertainty to its AI initiatives.
 **Financials:**  
 Microsoft remains a financial powerhouse with a market capitalization of $3.05 trillion and robust profit margins of 35.6%. The company boasts strong revenue growth of 16% year-over-year and earnings growth of 10.4%, supported by its high-margin cloud and software businesses. Its trailing P/E ratio of 33.11 and forward P/E of 27.30 indicate a premium valuation, reflecting investor confidence in its growth prospects. The company maintains a healthy balance sheet, with $78.4 billion in cash and a manageable debt-to-equity ratio of 33.66%. Free cash flow of $61.3 billion underscores its ability to fund strategic investments and shareholder returns. However, the stock's price-to-book ratio of 11.38 and price-to-sales ratio of 12.02 suggest it is trading at elevated levels compared to historical norms.
 **Valuations:**  
 Microsoft's valuation metrics, while high, are supported by its dominant position in key growth areas such as AI and cloud computing. Analysts maintain a strong buy recommendation, with a median price target of $500, representing significant upside from its current price of approximately $411. Despite the recent pullback, the company's long-term growth potential in AI, cloud, and enterprise software remains intact. However, the deceleration in Azure's growth and capacity constraints could weigh on near-term performance, making the stock vulnerable to further volatility.
 **Economic Outlook:**  
 The broader economic environment presents mixed signals for Microsoft. The recent imposition of tariffs by the U.S. government could disrupt global supply chains and increase costs for technology companies. Additionally, the global technology sector has been shaken by the emergence of DeepSeek, a Chinese competitor to OpenAI, which has raised competitive pressures. However, Microsoft's diversified revenue streams and leadership in AI and cloud computing position it well to navigate these challenges. The company's ability to adapt to shifting market dynamics and invest in high-growth areas will be critical to sustaining its competitive edge.
 **Conclusion:**  
 Microsoft's strong financial performance and leadership in AI and cloud computing underscore its long-term growth potential. However, near-term challenges, including Azure's growth slowdown, competitive pressures, and macroeconomic uncertainties, could weigh on the stock. While the company's fundamentals remain solid, its elevated valuation and mixed outlook warrant cautious optimism.
 **Score:** 78</t>
  </si>
  <si>
    <t>**Investment Report: Motorola Solutions**
 **Recent News:**  
 Motorola Solutions has not been in the spotlight recently, with no significant news or developments reported in the past week. This lack of news suggests stability in the company's operations, but it also indicates no immediate catalysts for significant stock movement in the short term.
 **Financials:**  
 Motorola Solutions demonstrates strong financial performance, with a market capitalization of $79.1 billion and a 52-week price change of +44.2%, significantly outperforming the S&amp;P 500's 21.9% gain over the same period. The company has a trailing price-to-earnings (P/E) ratio of 51.73 and a forward P/E of 32.16, indicating high investor expectations for future earnings growth. Its profit margins are solid at 14.66%, supported by robust operating margins of 27.1% and EBITDA margins of 29.58%. Revenue growth of 9.2% year-over-year and earnings growth of 21.9% highlight the company's ability to expand both its top and bottom lines.
 Motorola Solutions maintains a healthy dividend policy, with a dividend yield of 0.93% and a payout ratio of 42.94%, suggesting a balanced approach to rewarding shareholders while retaining earnings for growth. The company also boasts strong cash flow generation, with $1.97 billion in free cash flow and $2.57 billion in operating cash flow, providing flexibility for debt servicing, reinvestment, and shareholder returns.
 However, the company's debt-to-equity ratio of 490% is notably high, reflecting significant leverage. While this is partially mitigated by its strong cash flow and profitability, it does pose a risk in a rising interest rate environment or during periods of economic uncertainty.
 **Valuations:**  
 Motorola Solutions trades at a price-to-sales ratio of 7.42 and a price-to-book ratio of 59.58, both of which are elevated compared to industry averages. These high valuations suggest that the market has priced in substantial growth expectations. The company's trailing PEG ratio of 2.28 indicates that its growth is relatively expensive compared to its earnings trajectory. Analyst price targets range from $460 to $600, with a mean target of $514.02, implying limited upside from the current price of approximately $474.
 **Economic Outlook:**  
 The broader economic environment presents mixed implications for Motorola Solutions. The recent imposition of tariffs by the U.S. government could disrupt supply chains and increase costs for companies reliant on global trade, potentially impacting Motorola's operations. However, the company's focus on communications equipment, which is often critical for public safety and enterprise customers, may insulate it from broader economic volatility. Additionally, its beta of 0.979 suggests that the stock is less volatile than the broader market, which could make it a relatively stable investment during periods of market uncertainty.
 **Conclusion:**  
 Motorola Solutions is a financially robust company with strong profitability, consistent revenue and earnings growth, and a solid dividend policy. However, its high leverage and elevated valuations warrant caution, particularly in the current macroeconomic environment characterized by inflationary pressures and trade uncertainties. While the company's essential product offerings may provide some insulation from economic headwinds, the lack of recent news or immediate growth catalysts suggests limited short-term upside.
 **Score:** 72</t>
  </si>
  <si>
    <t>**Investment Report: M&amp;T Bank Corporation (MTB)**
 **Recent News:**  
 M&amp;T Bank Corporation has been highlighted as a strong dividend stock, appealing to income-focused investors. With a dividend yield of 2.69% and a payout ratio of 39.2%, the bank demonstrates a sustainable approach to returning value to shareholders. Its five-year average dividend yield of 3.34% suggests consistency in its dividend policy, though the current yield is slightly below this historical average. The bank's ability to maintain dividends amidst economic uncertainty reflects its financial stability and operational resilience.
 **Financials:**  
 M&amp;T Bank's financial performance remains robust, with a trailing price-to-earnings (P/E) ratio of 13.39 and a forward P/E of 10.61, indicating a relatively attractive valuation compared to industry peers. The bank's return on equity (ROE) of 8.68% and return on assets (ROA) of 1.14% highlight efficient management of shareholder capital and assets. Additionally, the bank's profit margins of 28.1% and operating margins of 42.8% underscore its strong profitability. 
 The stock has shown significant growth over the past year, with a 52-week price change of 52.14%, outperforming the S&amp;P 500's 21.93% gain. Its current price-to-book ratio of 1.23 suggests the stock is trading at a reasonable premium to its book value, reflecting investor confidence in its future prospects. The bank's total cash position of $26.99 billion and manageable debt levels of $14.87 billion further reinforce its financial health.
 **Valuations:**  
 M&amp;T Bank's market capitalization of $32.5 billion positions it as a significant player in the regional banking sector. Analysts have a positive outlook on the stock, with a mean target price of $222.13, representing potential upside from its current trading range. The recommendation mean of 2.3 (on a scale where 1.0 is a strong buy) indicates a favorable sentiment among analysts. The bank's enterprise value-to-revenue ratio of 2.78 and price-to-sales ratio of 3.82 suggest it is fairly valued relative to its revenue generation.
 **Economic Outlook:**  
 The broader economic environment presents both challenges and opportunities for M&amp;T Bank. The recent implementation of tariffs by the U.S. administration could lead to inflationary pressures, potentially impacting consumer and business lending. However, M&amp;T Bank's conservative risk profile, as evidenced by its beta of 0.73, positions it as a relatively stable investment in a volatile market. The Federal Reserve's cautious approach to interest rate adjustments may also support the bank's net interest margins in the near term.
 The regional banking sector could face headwinds from potential economic slowdowns and trade uncertainties. However, M&amp;T Bank's strong capital position, consistent earnings growth (4.5% quarterly growth), and prudent risk management practices provide a solid foundation to navigate these challenges.
 **Conclusion:**  
 M&amp;T Bank Corporation stands out as a well-managed regional bank with a strong dividend profile, solid financial metrics, and reasonable valuations. While macroeconomic uncertainties could pose risks, the bank's stability and consistent performance make it a resilient player in the sector.
 **Score:** 85</t>
  </si>
  <si>
    <t>**Investment Report: Match Group (MTCH)**
 **Recent News:**  
 Match Group is set to release its Q4 earnings, with analysts anticipating a strong performance driven by product innovation and market expansion. Despite challenges in subscription revenues and user engagement, the company is expected to deliver earnings growth, supported by its strategic initiatives. Analysts suggest Match Group has the potential to exceed earnings expectations, which could bolster investor confidence in the short term.
 **Financials:**  
 Match Group's financial metrics reflect a mixed picture. The company has a trailing P/E ratio of 26.72 and a forward P/E of 23.44, indicating a valuation that is slightly elevated but supported by expected earnings growth. The firm has a market capitalization of $20.92 billion and a profit margin of 11.87%, showcasing its ability to generate consistent profitability. However, revenue growth has been stagnant, with a slight decline of 0.3% year-over-year, which could signal challenges in maintaining momentum. The company's debt-to-equity ratio of 84.83 highlights a leveraged balance sheet, though its operating cash flow of $1.04 billion and free cash flow of $588 million provide some financial flexibility.
 **Valuations:**  
 Match Group's price-to-sales ratio of 3.13 and price-to-book ratio of 3.86 suggest the stock is trading at a premium relative to its peers in the Interactive Media &amp; Services industry. The company's gross margin of 38.48% and EBITDA margin of 19.02% indicate solid operational efficiency, but the high enterprise value-to-EBITDA ratio of 18.98 raises concerns about valuation sustainability. Analyst price targets range from $67 to $96, with a median target of $82.70, reflecting moderate upside potential from current levels.
 **Economic Outlook:**  
 The broader economic environment presents both opportunities and risks for Match Group. The recent global tech market volatility, driven by competition from Chinese AI advancements, has created uncertainty in the technology sector. Additionally, the U.S. economy faces inflationary pressures and potential trade disruptions due to new tariffs, which could impact consumer spending and discretionary services like online dating platforms. However, Match Group's focus on innovation and market expansion may help it navigate these challenges and capture growth opportunities in emerging markets.
 **Conclusion:**  
 Match Group's upcoming earnings report is a key catalyst, with the potential to drive short-term stock performance. While the company demonstrates strong profitability and operational efficiency, its high valuation and stagnant revenue growth warrant caution. Broader economic headwinds and sector-specific risks could also weigh on the stock. Investors will closely monitor the earnings release for insights into subscription trends, user engagement, and management's outlook for 2025.
 **Score:** 72</t>
  </si>
  <si>
    <t>**Investment Report: Mettler-Toledo (MTD)**
 **Recent News:**  
 Mettler-Toledo (MTD) is set to release its Q4 earnings, with analysts closely monitoring key performance metrics. The company operates in the Life Sciences Tools &amp; Services industry, a sector that has shown resilience despite broader market volatility. Analysts are particularly focused on revenue growth, margin expansion, and earnings growth, as these will provide insights into the company's ability to navigate current economic challenges and maintain its competitive edge.
 **Financials:**  
 Mettler-Toledo's financial performance reflects a mixed picture. The company has demonstrated strong earnings growth of 2.23% and revenue growth of 16.2% on a quarterly basis, signaling robust operational performance. However, its free cash flow is negative at -$3.87 billion, which raises concerns about liquidity and operational efficiency. The company's debt-to-equity ratio of 151.46% indicates a high level of leverage, which could pose risks in a rising interest rate environment. Despite this, Mettler-Toledo maintains a solid current ratio of 1.59, suggesting it has sufficient short-term liquidity to meet its obligations.
 The firm's profitability metrics are noteworthy, with a return on equity (ROE) of 13.26% and operating margins of 15.09%, reflecting efficient use of capital and strong operational execution. Gross margins of 25.57% and EBITDA margins of 9.86% further highlight its ability to generate value from its revenue base. Additionally, the trailing price-to-earnings (P/E) ratio of 17.34 and forward P/E of 8.88 suggest the stock is trading at a reasonable valuation relative to its earnings potential.
 **Valuations:**  
 Mettler-Toledo's market capitalization stands at $59.19 billion, with a price-to-book ratio of 1.92, indicating the stock is trading at a premium to its book value. The enterprise value-to-revenue ratio of 1.91 and enterprise value-to-EBITDA ratio of 19.34 suggest the company is valued higher than some peers in the industry, potentially reflecting investor confidence in its growth prospects. Analyst sentiment remains positive, with a recommendation mean of 1.875 (indicating a "buy") and a target median price of $96.50, representing potential upside from current levels.
 **Economic Outlook:**  
 The broader macroeconomic environment presents both challenges and opportunities for Mettler-Toledo. The recent imposition of tariffs and trade tensions could disrupt supply chains and increase input costs, potentially pressuring margins. However, the company's focus on the life sciences sector, which benefits from long-term secular growth trends such as increased healthcare spending and innovation in biotechnology, positions it well for sustained demand. Additionally, its beta of 1.04 suggests moderate sensitivity to market volatility, which could provide some stability in uncertain times.
 **Conclusion:**  
 Mettler-Toledo's strong revenue and earnings growth, coupled with its solid profitability metrics, highlight its operational strength. However, concerns around high leverage and negative free cash flow warrant caution. The company's valuation appears reasonable, and its positioning in the resilient life sciences sector provides a favorable long-term outlook. The upcoming Q4 earnings report will be critical in assessing its ability to navigate current economic headwinds and capitalize on growth opportunities.
 **Score:** 78</t>
  </si>
  <si>
    <t>**Investment Report: Micron Technology (MU)**
 **Recent News:**  
 Micron Technology has been under significant pressure recently, with its stock price declining by 1.36% to $91.24 in the latest trading session. This drop is part of a broader selloff in the semiconductor sector, exacerbated by the launch of DeepSeek, a Chinese AI competitor to OpenAI's ChatGPT. The emergence of DeepSeek has raised concerns about competitive pressures in the AI chip market, which is a critical growth area for Micron. Despite these challenges, some analysts predict a potential rebound for Micron in 2025, citing its strong positioning in memory and storage solutions, which are essential for AI and data-intensive applications.
 **Financials:**  
 Micron's financial performance reflects a mixed picture. The company has a trailing P/E ratio of 12.24 and a forward P/E of 15.28, indicating a reasonable valuation relative to its earnings. However, its 52-week performance shows a decline of 22.85%, underperforming the S&amp;P 500, which gained 21.93% over the same period. Micron's gross margins of 45.84% and operating margins of 7.97% highlight its ability to maintain profitability, though its debt-to-equity ratio of 841.03% raises concerns about its leverage. The company holds $2.95 billion in cash, providing some liquidity, but its total debt of $32.42 billion is a significant burden. Earnings growth of 32.6% and revenue growth of 5.3% suggest some positive momentum, but these figures may not fully offset the challenges posed by the current macroeconomic environment.
 **Valuations:**  
 Micron's price-to-sales ratio of 0.59 and price-to-book ratio of 3.14 suggest that the stock is trading at a discount compared to its peers in the semiconductor industry. Analysts have a median price target of $49.50, with a high target of $56.00, indicating potential upside from current levels. The recommendation mean of 1.57 (indicating a "buy") reflects optimism among analysts, though the broader market sentiment remains cautious due to geopolitical and competitive risks.
 **Economic Outlook:**  
 The semiconductor industry is facing headwinds from the recent global tech market crash, driven by competitive pressures from Chinese advancements in AI. Additionally, the Trump administration's new tariffs on imports from China, Canada, and Mexico could disrupt supply chains and increase costs for Micron. Rising inflation and potential Federal Reserve rate hikes add further uncertainty to the economic landscape. However, the long-term demand for semiconductors, driven by AI, cloud computing, and 5G, remains robust, providing a foundation for recovery once the current challenges subside.
 **Conclusion:**  
 Micron Technology is navigating a challenging environment marked by competitive pressures, macroeconomic headwinds, and sector-wide volatility. While its financials and valuations suggest potential for recovery, the company's high debt levels and exposure to geopolitical risks warrant caution. The long-term outlook for the semiconductor industry remains positive, but near-term performance will likely depend on the resolution of trade tensions and the stabilization of the global tech market.
 **Score:** 65</t>
  </si>
  <si>
    <t>**Investment Report: Norwegian Cruise Line Holdings (NCLH)**
 **Recent News:**  
 Norwegian Cruise Line Holdings (NCLH) has garnered significant attention due to its strong stock performance, rising 53% over the past six months. This growth is attributed to the company's strategic focus on premium offerings, global expansion, and its "Charting the Course" strategy, which aims to position the company for long-term success. However, recent trading activity has shown volatility, with a 7.8% price increase in a single session driven by higher-than-average trading volume. Despite this momentum, analysts caution that earnings estimate revisions may not support sustained short-term gains. The stock's appeal as a value investment has also been highlighted, with Zacks Style Scores identifying it as a top-rated stock for long-term investors.
 **Financials:**  
 Norwegian Cruise Line's financial performance reflects a recovery trajectory, with revenue growth of 10.7% year-over-year and earnings growth of 34%. The company reported a trailing price-to-earnings (P/E) ratio of 24.26 and a forward P/E of 13.19, indicating expectations of improved profitability. Its gross margin of 39% and EBITDA margin of 24.96% demonstrate strong operational efficiency. However, the company faces significant leverage, with a debt-to-equity ratio of 1240.66% and total debt of $14.1 billion. While operating cash flow of $1.91 billion and free cash flow of $148 million provide some liquidity, the quick ratio of 0.088 and current ratio of 0.195 highlight liquidity constraints. The stock's beta of 2.68 suggests high volatility, which may amplify market reactions to broader economic conditions.
 **Valuations:**  
 NCLH's valuation metrics suggest a mixed picture. The stock trades at a price-to-book ratio of 10.71, reflecting a premium relative to its book value. However, its trailing PEG ratio of 0.35 indicates that the stock may be undervalued relative to its growth potential. Analysts have set a median price target of $30.75, representing a modest upside from the current price of $27.77. Institutional ownership of 75.4% underscores confidence in the company's long-term prospects, though short interest of 5.47% indicates some skepticism among investors.
 **Economic Outlook:**  
 The broader economic environment presents both opportunities and challenges for Norwegian Cruise Line. The company's recovery is supported by strong consumer demand for travel and leisure experiences, particularly in the premium segment. However, macroeconomic headwinds, including inflationary pressures and potential trade disruptions from new tariffs, could impact consumer spending and supply chain costs. Additionally, the company's high debt levels may become a concern if interest rates rise further, increasing borrowing costs. The recent volatility in global markets, particularly in the technology sector, may also contribute to broader market uncertainty, potentially affecting investor sentiment toward cyclical industries like travel and leisure.
 **Conclusion:**  
 Norwegian Cruise Line Holdings is positioned as a compelling recovery play in the travel and leisure sector, with strong revenue and earnings growth, strategic initiatives, and a focus on premium offerings. However, its high leverage, liquidity constraints, and exposure to macroeconomic risks warrant caution. While the stock's valuation suggests potential upside, its high beta and market volatility may lead to significant price fluctuations in the near term.
 **Score:** 72</t>
  </si>
  <si>
    <t>**Investment Report: Nasdaq, Inc. (NDAQ)**
 **Recent News:**  
 Nasdaq, Inc. has demonstrated resilience and adaptability, as evidenced by its strong fourth-quarter 2024 earnings. The company reported adjusted earnings per share (EPS) of $0.76, surpassing consensus estimates of $0.75 and improving from $0.72 in the prior year. This performance was driven by organic growth and higher revenues across its divisions, particularly within its Financial Technology segment, which benefited from the integration of AxiomSL and Calypso. Despite these positive results, the stock experienced a 4% decline following the earnings announcement, likely due to broader market volatility and investor concerns about valuation levels. CEO Adena Friedman described 2024 as a "transformational year," highlighting the company's strategic focus on expanding its technology-driven offerings.
 **Financials:**  
 Nasdaq's financial metrics reflect a solid operational foundation. The company achieved a 31.1% year-over-year revenue growth rate, with gross margins of 64.7% and EBITDA margins of 35.8%, indicating strong profitability. However, its trailing price-to-earnings (P/E) ratio of 42.45 suggests a premium valuation compared to the broader market, though its forward P/E of 22.71 indicates expectations of future earnings growth. The company's return on equity (ROE) of 10.89% and return on assets (ROA) of 4.39% are respectable, though not exceptional. Nasdaq's debt-to-equity ratio of 93.1% reflects a relatively high leverage level, which could pose risks in a rising interest rate environment. Free cash flow of $1.46 billion and operating cash flow of $1.65 billion provide liquidity to support ongoing investments and shareholder returns.
 **Valuations:**  
 Nasdaq's stock is trading near its 52-week high of $83.77, with a current price-to-book ratio of 4.25, indicating a premium valuation relative to its book value. The company's enterprise value-to-revenue ratio of 8.08 and enterprise value-to-EBITDA ratio of 22.58 further underscore its elevated valuation. Analysts have a median price target of $89.00, suggesting limited upside potential in the near term. The dividend yield of 1.18% is below its five-year average of 1.38%, reflecting the stock's higher price levels. While the company's growth prospects are promising, its valuation metrics suggest that much of this optimism may already be priced in.
 **Economic Outlook:**  
 Nasdaq operates in a challenging macroeconomic environment marked by heightened market volatility, trade tensions, and inflationary pressures. The recent imposition of tariffs by the U.S. government and the resulting market uncertainty could weigh on investor sentiment and trading volumes, potentially impacting Nasdaq's core exchange business. However, the company's diversification into financial technology and data services provides a buffer against cyclical market fluctuations. Additionally, its beta of 0.96 indicates that the stock is less volatile than the broader market, which could appeal to risk-averse investors during periods of economic uncertainty.
 **Conclusion:**  
 Nasdaq, Inc. is well-positioned to benefit from its strategic focus on technology and data-driven solutions, which align with long-term industry trends. However, its elevated valuation, high leverage, and exposure to macroeconomic headwinds warrant caution. While the company's recent earnings performance underscores its operational strength, broader market conditions and valuation concerns may limit near-term upside potential.
 **Score:** 72</t>
  </si>
  <si>
    <t>**Investment Report: Nordson Corporation**
 **Recent News:**  
 There have been no significant updates or developments regarding Nordson Corporation in the past week. The absence of news suggests stability in the company's operations, with no immediate disruptions or major announcements impacting its performance.
 **Financials:**  
 Nordson Corporation demonstrates strong financial health, with a trailing price-to-earnings (PE) ratio of 21.64 and a forward PE of 16.78, indicating a reasonable valuation relative to its earnings growth potential. The company has a robust profit margin of 19.85% and EBITDA margins of 48.37%, reflecting efficient operations and strong profitability. Earnings growth of 129.9% year-over-year and revenue growth of 2.7% highlight the firm's ability to expand despite broader economic challenges.  
 The dividend yield of 2.14% is slightly above its five-year average of 1.99%, suggesting a consistent return to shareholders. With a payout ratio of 50.66%, the dividend appears sustainable. However, the company's debt-to-equity ratio of 128.64 indicates a high level of leverage, which could pose risks in a rising interest rate environment. The quick ratio of 0.62 and current ratio of 0.73 suggest limited short-term liquidity, which may require close monitoring.
 **Valuations:**  
 Nordson's price-to-book ratio of 4.11 and price-to-sales ratio of 4.65 indicate a premium valuation compared to its peers in the industrial machinery sector. However, the company's strong return on equity (18.30%) and return on assets (6.77%) justify this premium to some extent. Analyst sentiment remains positive, with a recommendation mean of 2.0 ("buy") and a target median price of $286, implying potential upside from the current trading range.  
 The stock has shown resilience, with a 52-week change of 1.37%, though it has underperformed the S&amp;P 500's 21.93% gain over the same period. The recent trading range between $247.26 and $254.44 suggests some volatility, but the stock remains above its 200-day moving average of $242.03, indicating a positive long-term trend.
 **Economic Outlook:**  
 Nordson operates in the industrial machinery sector, which is sensitive to macroeconomic conditions. The recent imposition of tariffs by the U.S. government on imports from Canada, Mexico, and China could disrupt supply chains and increase input costs for the company. Additionally, inflationary pressures and potential Federal Reserve rate hikes may weigh on consumer and industrial demand. However, Nordson's diversified product portfolio and strong operational efficiency position it to weather these challenges better than many peers.
 The broader market volatility, particularly in the technology sector, has not directly impacted Nordson, as it operates in a less speculative and more stable industry. Nonetheless, the company's high beta of 1.30 suggests it may experience amplified market movements in the current uncertain environment.
 **Conclusion:**  
 Nordson Corporation exhibits strong fundamentals, with solid profitability, consistent dividend payouts, and positive earnings growth. However, its high leverage and limited liquidity warrant caution, particularly in a challenging macroeconomic environment. While the stock's valuation appears slightly elevated, its operational efficiency and analyst optimism provide a counterbalance. The company's ability to navigate potential supply chain disruptions and inflationary pressures will be critical in determining its near-term performance.
 **Score:** 78</t>
  </si>
  <si>
    <t>**Investment Report: NextEra Energy (NEE)**
 **Recent News:**  
 NextEra Energy, a leader in the U.S. power sector, has faced mixed developments recently. While the company benefits from a growing customer base and a modest increase in U.S. electricity demand, its stock has been significantly impacted by the announcement that its subsidiary, XPLR Infrastructure, has indefinitely suspended its dividend. This decision led to a sharp 23% drop in premarket trading, reflecting investor concerns over the stability of cash flows and the broader implications for the company's financial health. Despite this setback, NextEra remains a key player in the energy sector, with its strong position in renewable energy and utility operations providing long-term growth potential.
 **Financials:**  
 NextEra Energy's financial performance shows a mix of strengths and challenges. The company has a trailing price-to-earnings (P/E) ratio of 21.08 and a forward P/E of 17.80, indicating a valuation that is relatively attractive compared to its historical growth rates. Its dividend yield of 2.98% is below its five-year average of 2.26%, reflecting the recent dividend suspension at its subsidiary. The company has a robust market capitalization of $146 billion and a strong profit margin of 26.49%, supported by its efficient operations and focus on renewable energy. However, its high debt-to-equity ratio of 139.02% and negative free cash flow of -$16.57 billion highlight concerns about its leverage and liquidity. Additionally, the quick ratio of 0.26 and current ratio of 0.41 suggest limited short-term financial flexibility.
 **Valuations:**  
 NextEra Energy's stock is trading at a price-to-book ratio of 2.92, which is reasonable given its strong return on equity (ROE) of 9.88%. The stock's 52-week range of $53.95 to $86.10 indicates that it is currently trading closer to the lower end of its range, potentially offering a buying opportunity for long-term investors. Analysts maintain a positive outlook, with a mean target price of $84.82, representing a significant upside from its current levels. However, the trailing PEG ratio of 3.70 suggests that the stock may be overvalued relative to its earnings growth, warranting caution in the near term.
 **Economic Outlook:**  
 The broader economic environment presents both opportunities and risks for NextEra Energy. Declining interest rates could reduce the company's borrowing costs, providing some relief given its high debt levels. Additionally, the modest increase in U.S. electricity demand and the ongoing transition to renewable energy sources align well with NextEra's strategic focus. However, macroeconomic headwinds, including inflationary pressures and potential disruptions from new tariffs, could impact the company's cost structure and supply chain. The recent volatility in the stock market, particularly in the utility and energy sectors, adds another layer of uncertainty.
 **Conclusion:**  
 NextEra Energy remains a fundamentally strong company with a leading position in the renewable energy space and a solid track record of operational efficiency. However, the recent dividend suspension at its subsidiary and concerns over its high leverage and negative free cash flow have raised questions about its near-term financial stability. While the stock's current valuation and long-term growth prospects are appealing, the recent developments and broader economic uncertainties suggest a cautious approach in the short term.
 **Score:** 68</t>
  </si>
  <si>
    <t>**Investment Report: Netflix**
 **Recent News:**  
 Netflix has demonstrated exceptional performance, achieving a milestone of over 300 million subscribers and surpassing $10 billion in quarterly revenue for the first time in Q4 2024. This growth has propelled its stock price to near all-time highs, with a 70% increase over the past year. The company continues to innovate, expanding into new ventures such as a toy business tied to its "Stranger Things" franchise and focusing on original content to maintain its competitive edge. Additionally, Netflix's ad-supported tier and live events are emerging as significant growth drivers, further diversifying its revenue streams. Analysts remain optimistic, with some projecting Netflix's valuation could reach $1 trillion by 2032. However, its high valuation metrics and competitive pressures in the streaming industry warrant close monitoring.
 **Financials:**  
 Netflix's financial performance reflects its strong operational efficiency and growth trajectory. The company reported a trailing price-to-earnings (P/E) ratio of 49.37 and a forward P/E of 32.29, indicating high investor expectations for future earnings growth. Its profit margins stand at a robust 20.7%, supported by gross margins of 45.25% and operating margins of 29.61%. Revenue growth of 15% year-over-year and earnings growth of 44.8% highlight its ability to scale profitably. The company also boasts a healthy free cash flow of $21.65 billion, which provides flexibility for strategic investments and debt management. However, its debt-to-equity ratio of 81.46% suggests a relatively high leverage level, which could pose risks in a rising interest rate environment.
 **Valuations:**  
 Netflix's stock is trading at a price-to-book ratio of 18.42 and a price-to-sales ratio of 11.14, reflecting its premium valuation. While these metrics are elevated compared to industry peers, they are supported by Netflix's strong growth prospects and market leadership. Analysts' target prices range from $700 to $1,494, with a median target of $1,100, indicating potential upside from current levels. The company's enterprise value-to-revenue ratio of 10.14 and enterprise value-to-EBITDA ratio of 38.19 further underscore its high valuation, which is justified by its consistent revenue and earnings growth.
 **Economic Outlook:**  
 Netflix operates in a challenging macroeconomic environment marked by inflationary pressures and geopolitical uncertainties. However, its global subscriber base and diversified revenue streams position it well to weather economic headwinds. The company's pricing power, as evidenced by its ability to increase subscription fees without significant churn, provides a buffer against inflation. Additionally, its focus on original content and new ventures, such as ad-supported tiers and live events, aligns with shifting consumer preferences and enhances its competitive positioning. While broader market volatility and trade tensions could impact investor sentiment, Netflix's strong fundamentals and growth drivers make it a resilient player in the entertainment industry.
 **Score:** 85</t>
  </si>
  <si>
    <t>**Investment Report: NiSource (Multi-Utilities Industry)**
 **Recent News:**  
 There have been no significant updates or developments regarding NiSource in the past week. The absence of news suggests stability in the company's operations, but it also indicates a lack of catalysts that could drive short-term price movements.
 **Financials:**  
 NiSource's financial performance reflects a mixed picture. The company has a market capitalization of $12.37 billion and a dividend yield of 1.25%, which is below its five-year average of 0.93%, indicating a relatively stable income stream for investors. The payout ratio of 34.77% suggests that the dividend is sustainable, with room for potential increases. However, earnings growth has been negative (-8.3%), and revenue growth is modest at 2%, signaling challenges in expanding profitability.  
 The company's trailing price-to-earnings (P/E) ratio of 26.75 is higher than its forward P/E of 19.82, indicating expectations of improved earnings in the future. However, the trailing PEG ratio of 1.75 suggests that the stock may be slightly overvalued relative to its growth prospects. NiSource's gross margins of 55.07% and operating margins of 25.40% are strong, reflecting efficient operations within the multi-utilities sector.  
 Debt levels are moderate, with a debt-to-equity ratio of 56.53%. The company has a healthy current ratio of 2.36, indicating strong liquidity to cover short-term obligations. Free cash flow of $450.17 million and operating cash flow of $623.02 million further support its financial stability.  
 **Valuations:**  
 NiSource's stock is trading at $216.30-$217.02, below its 50-day and 200-day moving averages of $228.35 and $243.16, respectively. This suggests that the stock is currently underperforming relative to its historical trends. The price-to-book ratio of 4.34 is relatively high, indicating that the stock may be overvalued compared to its book value. Analyst sentiment remains positive, with a recommendation mean of 2.1 (Buy) and a target median price of $250, implying potential upside from current levels.  
 **Economic Outlook:**  
 The broader macroeconomic environment presents challenges for NiSource. The recent implementation of tariffs by the U.S. government could increase costs for utility companies reliant on imported materials or equipment. Additionally, inflationary pressures and potential interest rate hikes by the Federal Reserve may increase borrowing costs, impacting NiSource's ability to finance future projects. However, as a utility company, NiSource benefits from relatively stable demand for its services, which could provide a buffer against broader economic volatility.  
 **Conclusion:**  
 NiSource demonstrates financial stability and operational efficiency, but its recent negative earnings growth and modest revenue growth raise concerns about its ability to deliver strong returns in the near term. The stock appears slightly overvalued based on its valuation metrics, and the broader economic environment may pose additional headwinds. While the company's dividend remains sustainable, the lack of recent news or catalysts limits its short-term growth potential.
 **Score:** 65</t>
  </si>
  <si>
    <t>**Investment Report: Nike, Inc.**
 **Recent News:**  
 Nike has faced notable challenges recently, leading to a decline in its stock price. The stock has fallen below its 50- and 200-day moving averages, signaling potential technical weakness. Operationally, the company is grappling with sluggish sales in its lifestyle segment, reduced digital sales, and headwinds in Greater China, a key growth market. Despite these issues, Nike continues to attract investor interest, as evidenced by increased attention on financial platforms. Analysts suggest that the current lower valuation may present a long-term opportunity for patient investors.
 **Financials:**  
 Nike's financial performance reflects both strengths and vulnerabilities. The company has a trailing price-to-earnings (PE) ratio of 22.91 and a forward PE of 20.14, indicating a valuation that is not overly stretched but still above some industry peers. Its gross margins remain strong at 51.49%, showcasing operational efficiency, but free cash flow is negative at -$968 million, highlighting liquidity concerns. The company’s debt-to-equity ratio of 131.81% is relatively high, suggesting a leveraged balance sheet that could pose risks in a rising interest rate environment. Revenue growth of 4.8% and earnings growth of 9.7% are modest but indicate some resilience in a challenging macroeconomic climate.
 **Valuations:**  
 Nike's stock is trading at a price-to-book ratio of 2.10, which is reasonable compared to historical levels. The enterprise value-to-revenue ratio of 6.24 and enterprise value-to-EBITDA ratio of 14.20 suggest the company is priced at a premium relative to its revenue and earnings. Analysts maintain a positive outlook, with a mean target price of $39.04, representing potential upside from current levels. The recommendation mean of 1.56 (on a scale where 1.0 is a strong buy) reflects continued confidence in Nike's long-term prospects.
 **Economic Outlook:**  
 The broader economic environment presents mixed implications for Nike. The recent imposition of tariffs by the U.S. administration could disrupt global supply chains and increase costs, particularly for a company like Nike that relies heavily on international manufacturing and distribution. Additionally, inflationary pressures and potential trade tensions with China could further impact consumer demand in key markets. However, Nike's strong brand equity and diversified product portfolio may help it weather these challenges over time.
 **Conclusion:**  
 Nike is navigating a period of operational and macroeconomic challenges, reflected in its recent stock price decline and technical weakness. While the company’s financials show some areas of concern, such as negative free cash flow and high leverage, its strong margins and modest revenue growth provide a foundation for recovery. The current valuation, combined with analysts' positive outlook, suggests potential for long-term upside, though near-term volatility is likely as the company addresses its operational issues and adapts to a challenging economic landscape.
 **Score:** 68</t>
  </si>
  <si>
    <t>**Investment Report: ServiceNow (Systems Software Industry)**
 **Recent News:**  
 ServiceNow has demonstrated a mixed performance recently. The company exceeded Q4 earnings expectations with an EPS of $3.67, surpassing the consensus estimate of $3.58. Subscription revenue grew by 21% year-over-year, supported by a strong renewal rate of 98%, reflecting robust customer retention. However, the stock has declined over 10%, driven by a conservative subscription revenue growth forecast for 2025. This forecast is influenced by a strong U.S. dollar and a strategic shift in its monetization model, which has raised concerns among investors. Additionally, the potential impact of AI on demand for seat-based products and aggressive headcount growth has led to worries about profit margins. Despite these challenges, ServiceNow is actively expanding its AI capabilities, such as the AI Agent Orchestrator, and forming new partnerships, which could bolster its long-term growth prospects. Analysts remain divided, with some downgrading the stock due to the cautious outlook, while others highlight its momentum in securing large deals.
 **Financials:**  
 ServiceNow's financial metrics reflect a strong growth trajectory but also highlight valuation concerns. The company has a trailing P/E ratio of 149.7 and a forward P/E of 51.4, indicating high expectations for future earnings growth. Its gross margins of 79.2% and operating margins of 14.9% underscore its profitability, while revenue growth of 22.2% and earnings growth of 76.9% demonstrate its ability to scale. The company holds $5.3 billion in cash, with a manageable debt-to-equity ratio of 24.2%, suggesting a solid balance sheet. However, its price-to-sales ratio of 20.1 and price-to-book ratio of 22.7 indicate a premium valuation, which may be vulnerable to market volatility, especially in the current macroeconomic environment.
 **Valuations:**  
 ServiceNow's valuation metrics suggest that the stock is priced for significant growth, leaving little room for error. The enterprise value-to-revenue ratio of 22.3 and enterprise value-to-EBITDA ratio of 127.7 are notably high, reflecting investor confidence in its long-term potential. However, the recent stock decline and mixed analyst sentiment indicate that the market is recalibrating expectations, particularly in light of the company's cautious revenue forecast and potential margin pressures.
 **Economic Outlook:**  
 The broader economic environment presents challenges for ServiceNow. The strong U.S. dollar could continue to weigh on international revenue, while inflationary pressures and trade tensions may impact enterprise spending. Additionally, the recent global tech market selloff, triggered by advancements in Chinese AI technology, has created headwinds for the technology sector. However, ServiceNow's focus on AI innovation and its ability to secure large deals position it well to capitalize on long-term trends in digital transformation and enterprise automation.
 **Conclusion:**  
 ServiceNow's strong financial performance and strategic investments in AI signal long-term growth potential. However, its premium valuation, cautious revenue outlook, and macroeconomic headwinds introduce near-term risks. The company's ability to navigate these challenges while maintaining profitability and growth will be critical in determining its investment value.
 **Score:** 72</t>
  </si>
  <si>
    <t>**Investment Report: NRG Energy (NRG)**
 **Recent News:**  
 NRG Energy has been upgraded to a Zacks Rank #1 (Strong Buy), reflecting growing optimism about its earnings potential. This upgrade suggests that analysts expect the company to outperform its peers in the near term, driven by favorable market conditions or internal operational improvements. The upgrade aligns with the company's relatively strong financial position and its ability to generate consistent cash flows, despite broader economic challenges.
 **Financials:**  
 NRG Energy's financial metrics indicate a mixed performance. The company has a trailing P/E ratio of 15.52 and a forward P/E of 12.25, suggesting that the stock is trading at a reasonable valuation relative to its future earnings potential. The dividend yield of 1.8% is slightly below its five-year average of 1.91%, but the payout ratio of 20.79% indicates a sustainable dividend policy. NRG's return on equity (13.22%) and return on assets (6.61%) are solid, reflecting efficient use of capital and assets. However, earnings and revenue growth have been negative, with earnings declining by 77% and revenue shrinking by 15.2% year-over-year, signaling challenges in maintaining growth momentum.
 The company's balance sheet shows a manageable debt-to-equity ratio of 32.9, supported by a strong current ratio of 2.59 and quick ratio of 1.50, indicating sufficient liquidity to cover short-term obligations. NRG's free cash flow of $872 million and operating cash flow of $4.77 billion further bolster its financial stability.
 **Valuations:**  
 NRG's price-to-book ratio of 1.51 and price-to-sales ratio of 0.98 suggest that the stock is undervalued compared to its peers in the Independent Power Producers &amp; Energy Traders industry. The stock is trading closer to its 52-week low of $112.25 than its high of $203.00, which may present an attractive entry point for long-term investors. Analyst price targets range from $135 to $177, with a median target of $154, indicating potential upside from current levels.
 **Economic Outlook:**  
 The broader economic environment presents both opportunities and risks for NRG Energy. The recent imposition of tariffs and trade tensions could increase input costs for energy producers, while inflationary pressures may impact consumer demand. However, NRG's focus on power production and energy trading positions it to benefit from stable demand for electricity, even in uncertain economic conditions. Additionally, the company's ability to generate consistent cash flows and maintain a strong liquidity position provides resilience against macroeconomic headwinds.
 **Conclusion:**  
 NRG Energy's recent upgrade to a Strong Buy reflects confidence in its earnings potential and operational stability. While the company faces challenges from declining earnings and revenue growth, its strong liquidity, manageable debt levels, and attractive valuation metrics position it well for future performance. The stock's current price relative to its historical range and analyst targets suggests room for appreciation, particularly if the company can address its growth challenges and capitalize on its operational strengths.
 **Score:** 78</t>
  </si>
  <si>
    <t>**Investment Report: Norfolk Southern Railway**
 **Recent News:**  
 Norfolk Southern Railway delivered a robust performance in the fourth quarter of 2024, exceeding Wall Street expectations with an adjusted EPS of $3.04, surpassing the consensus estimate of $2.95. This strong showing was driven by effective cost-cutting measures and favorable insurance recoveries related to a prior derailment incident. Despite initial stock volatility, the company managed to stabilize investor sentiment by addressing concerns over potential tariff impacts. Analysts remain optimistic about Norfolk Southern's ability to achieve further productivity improvements, positioning the company for continued operational efficiency.
 **Financials:**  
 Norfolk Southern's financial metrics reflect a solid foundation. The company boasts a trailing price-to-earnings (P/E) ratio of 11.34 and a forward P/E of 12.72, indicating a reasonable valuation relative to its earnings. Its dividend yield of 2.74% is slightly below its five-year average of 3.16%, but the payout ratio of 38.38% suggests ample room for dividend sustainability. The firm has demonstrated strong earnings growth of 49% and revenue growth of 14.5% year-over-year, supported by operating margins of 30.66%. Additionally, Norfolk Southern's return on equity (ROE) of 13.73% highlights its ability to generate shareholder value effectively.
 The company maintains a healthy balance sheet with $10.75 billion in cash and $18.53 billion in total debt, resulting in a manageable debt-to-equity ratio. Its price-to-book ratio of 1.85 and enterprise value-to-revenue ratio of 3.87 suggest the stock is fairly valued compared to its peers in the rail transportation industry.
 **Valuations:**  
 Norfolk Southern's stock has shown resilience, trading near its 52-week high of $114.21, with a year-to-date gain of 43.59%, outperforming the S&amp;P 500's 21.93% increase. Analysts' target prices range from $101 to $136, with a median target of $116, indicating limited upside potential in the near term. The recommendation mean of 3.0 (hold) reflects a cautious stance among analysts, likely due to broader macroeconomic uncertainties.
 **Economic Outlook:**  
 The rail transportation industry faces mixed macroeconomic conditions. While Norfolk Southern has mitigated tariff-related concerns, the broader U.S. economy is grappling with inflationary pressures from new tariffs and potential trade disruptions. These factors could impact freight volumes and operational costs. However, Norfolk Southern's strong operational efficiency and cost management provide a buffer against these challenges. Additionally, the company's exposure to industrial and consumer goods transportation positions it to benefit from any recovery in economic activity.
 **Conclusion:**  
 Norfolk Southern Railway is well-positioned within the rail transportation sector, supported by strong financial performance, effective cost management, and a solid balance sheet. While macroeconomic headwinds, including tariffs and inflation, pose risks, the company's operational efficiency and productivity gains offer resilience. The stock's current valuation appears reasonable, though near-term upside may be limited given broader market uncertainties.
 **Score:** 78</t>
  </si>
  <si>
    <t>**Investment Report: Northern Trust Corporation**
 **Recent News:**  
 Northern Trust Corporation has received upgraded ratings to "Buy" and "Strong Buy" following a robust Q4 performance, marked by a 26% revenue growth. The company’s successful execution of its "One Northern Trust Strategic Initiative" has positioned it well for future growth, particularly in the wealth management sector. Additionally, favorable tax policy changes are expected to enhance trust fees and assets under management (AUM) growth. Northern Trust is also gaining momentum as a stock with strong earnings prospects, which could drive its valuation higher in the near term. The company’s 2.7% forward dividend yield further enhances its appeal, particularly for long-term investors seeking income stability.
 **Financials:**  
 Northern Trust's financial metrics reflect a solid foundation. The company has a trailing price-to-earnings (P/E) ratio of 17.20 and a forward P/E of 16.67, indicating reasonable valuation levels relative to its earnings growth. Its price-to-book ratio of 4.82 suggests a premium valuation, but this is supported by strong profitability metrics, including a return on equity (ROE) of 15.48% and return on assets (ROA) of 4.16%. The company’s revenue growth of 2.3% and earnings growth of 13.3% demonstrate resilience in a challenging macroeconomic environment. Additionally, Northern Trust maintains a healthy operating cash flow of $4.24 billion and free cash flow of $2.6 billion, providing flexibility for future investments and shareholder returns.
 **Valuations:**  
 Northern Trust’s current market price of $487.27 is trading near its 50-day average of $480.05 and slightly below its 52-week high of $555.57, indicating room for potential upside. Analyst price targets range from $424 to $604, with a median target of $557, suggesting a potential 14% upside from current levels. The company’s dividend payout ratio of 48.46% is sustainable, supported by its strong cash flow generation. Furthermore, its trailing PEG ratio of 0.85 highlights attractive valuation relative to its growth prospects.
 **Economic Outlook:**  
 The broader economic environment presents both opportunities and risks for Northern Trust. The wealth management industry is expected to benefit from favorable tax policies, which could drive AUM growth. However, macroeconomic headwinds, including inflationary pressures from new tariffs and potential trade disruptions, may pose challenges. Northern Trust’s low beta of 0.35 indicates lower volatility compared to the broader market, which could make it a relatively stable investment during periods of market uncertainty. Additionally, its strong institutional ownership of 82.82% reflects confidence from large investors in its long-term prospects.
 **Conclusion:**  
 Northern Trust Corporation is well-positioned for growth, supported by its strategic initiatives, strong financial performance, and favorable industry trends. While broader economic uncertainties remain, the company’s solid fundamentals, attractive dividend yield, and momentum in earnings growth make it a compelling option in the asset management and custody banking sector.
 **Score:** 85</t>
  </si>
  <si>
    <t>**Investment Report: Nvidia**
 **Recent News:**  
 Nvidia, a dominant force in the AI chip market, faced a historic market-cap loss of $600 billion following the announcement of DeepSeek, a Chinese competitor's breakthrough in AI technology. DeepSeek's ability to develop advanced AI models at a fraction of the cost has raised concerns about U.S. competitiveness in the AI sector. This event triggered a massive sell-off in Nvidia's stock, reflecting investor fears of eroding market dominance and potential export restrictions on Nvidia's chips to China. However, the stock has shown signs of recovery as some analysts view the sell-off as an overreaction, citing Nvidia's strong fundamentals and continued demand for its AI chips from major tech players like Microsoft and Amazon. Additionally, U.S. investigations into DeepSeek's potential circumvention of export restrictions to acquire Nvidia chips could provide some regulatory support for Nvidia's competitive position.
 **Financials:**  
 Nvidia's financial metrics remain robust despite the recent market turbulence. The company has a trailing P/E ratio of 15.27 and a forward P/E of 13.99, indicating reasonable valuations relative to its earnings potential. Its profit margins stand at 15.9%, supported by strong revenue growth of 6% year-over-year. Nvidia's balance sheet is solid, with a quick ratio of 3.14 and a current ratio of 6.54, reflecting strong liquidity. The company also maintains a manageable debt-to-equity ratio of 24.54%, with significant free cash flow of $1.01 billion. However, earnings growth has slowed slightly, with a quarterly decline of 0.9%, which may reflect the broader challenges in the tech sector.
 **Valuations:**  
 Nvidia's stock is trading at a price-to-book ratio of 5.55, which is elevated but not unusual for a high-growth technology company. The stock's 52-week range of $7,209.12 to $9,964.77 shows that it is currently trading closer to its lower end, suggesting potential undervaluation if the company can maintain its market leadership. Analyst price targets range from $8,570 to $9,300, with a median target of $8,900, indicating upside potential from current levels. However, the recommendation mean of 2.67 ("hold") reflects cautious sentiment among analysts, likely due to the competitive pressures from DeepSeek and broader market uncertainties.
 **Economic Outlook:**  
 The broader economic environment poses challenges for Nvidia. The Trump administration's new tariffs on Chinese goods, including potential restrictions on Nvidia's chip exports, could disrupt supply chains and increase costs. Additionally, the global technology sector is under pressure following the launch of DeepSeek, which has heightened competition and raised questions about the sustainability of Nvidia's market dominance. Inflationary pressures and potential Federal Reserve rate hikes could further weigh on the tech sector. However, Nvidia's diversified product offerings and strong relationships with major tech companies provide a buffer against these headwinds.
 **Conclusion:**  
 Nvidia's recent stock drop highlights the risks of increased competition and geopolitical tensions in the AI and semiconductor industries. While the company's financials remain strong, the market's reaction underscores the uncertainty surrounding its future growth prospects. Nvidia's ability to recover will depend on its capacity to innovate, maintain its leadership in AI chips, and navigate the evolving regulatory and competitive landscape.
 **Score:** 65</t>
  </si>
  <si>
    <t>**Investment Report: NVR, Inc.**
 **Recent News:**  
 NVR, Inc. reported strong fourth-quarter earnings, with earnings per share (EPS) of $139.93, surpassing analyst expectations of $126.41. This represents a significant year-over-year increase from $121.56 per share, showcasing the company's ability to maintain profitability despite a challenging macroeconomic environment. The earnings beat reflects NVR's operational efficiency and resilience in the homebuilding sector, even as broader economic pressures weigh on consumer sentiment and housing demand.
 **Financials:**  
 NVR's financial performance highlights its robust position within the homebuilding industry. The company has a trailing price-to-earnings (P/E) ratio of 25.42 and a forward P/E of 14.09, indicating expectations of continued earnings growth. Its market capitalization stands at approximately $20.8 billion, with a 52-week price change of 91.4%, significantly outperforming the S&amp;P 500's 21.9% gain over the same period. However, revenue growth has declined by 9.1% year-over-year, reflecting broader industry challenges such as rising interest rates and affordability concerns. Despite this, NVR's return on equity (ROE) of 31.93% underscores its ability to generate strong shareholder returns.
 The company maintains a solid cash position with $1.1 billion in total cash and a free cash flow of $1.81 billion, providing flexibility to navigate economic uncertainties. However, its debt-to-equity ratio of 433.02% is notably high, which could pose risks in a rising interest rate environment. Gross margins of 15.98% and EBITDA margins of 7.80% indicate moderate profitability, though operating margins are currently negative, suggesting some operational inefficiencies.
 **Valuations:**  
 NVR's valuation metrics suggest a mixed outlook. The price-to-sales ratio of 0.74 and enterprise value-to-revenue ratio of 1.11 indicate the stock is relatively inexpensive compared to its revenue generation. However, the price-to-book ratio of 11.25 is elevated, reflecting a premium valuation relative to its book value. Analyst sentiment remains positive, with a mean price target of $105.44 and a recommendation key of "buy." The company's dividend yield of 1.72% is below its five-year average of 3.02%, which may limit its appeal to income-focused investors.
 **Economic Outlook:**  
 The broader economic environment presents both challenges and opportunities for NVR. Rising interest rates and inflationary pressures are likely to dampen housing demand, as higher mortgage rates reduce affordability for potential homebuyers. Additionally, the Trump administration's recent tariffs on Canada and Mexico could increase material costs for homebuilders, further pressuring margins. However, NVR's strong cash flow and operational efficiency position it well to weather these headwinds. The company's focus on high-growth markets and its ability to adapt to changing economic conditions could provide a competitive advantage in the long term.
 **Conclusion:**  
 NVR's strong earnings performance and operational resilience highlight its potential as a leader in the homebuilding industry. However, macroeconomic challenges, including rising interest rates, declining revenue growth, and elevated debt levels, could weigh on its near-term performance. While the company's valuation metrics and analyst sentiment remain favorable, investors should remain cautious given the broader economic uncertainties.
 **Score:** 78</t>
  </si>
  <si>
    <t>**Investment Report: News Corp (Class B)**
 **Recent News:**  
 There have been no significant developments or announcements regarding News Corp (Class B) in the past week. The absence of news suggests stability in the company's operations, but it also indicates a lack of immediate catalysts for significant stock movement.
 **Financials:**  
 News Corp (Class B) is trading near its 52-week high of $32.87, with a current price range of $31.12 to $31.95. The stock has shown a 23.15% increase over the past year, slightly outperforming the S&amp;P 500's 21.93% gain. The company has a market capitalization of $16.78 billion and a price-to-earnings (P/E) ratio of 51.53, which is relatively high compared to industry peers, indicating a premium valuation. The forward P/E of 30.05 suggests expectations of earnings growth, though it remains elevated.
 The company offers a modest dividend yield of 0.63%, with a payout ratio of 32.26%, reflecting a conservative approach to returning capital to shareholders. The five-year average dividend yield of 1.03% indicates a decline in yield, likely due to the stock's price appreciation. News Corp's beta of 1.35 suggests higher volatility compared to the broader market.
 On the balance sheet, the company has $1.78 billion in cash and $4.06 billion in total debt, resulting in a debt-to-equity ratio of 44.27. While manageable, this level of leverage could pose risks in a rising interest rate environment. The quick ratio of 1.09 and current ratio of 1.38 indicate adequate liquidity to cover short-term obligations. Free cash flow of $640 million and operating cash flow of $1.22 billion provide a solid foundation for ongoing operations and potential investments.
 **Valuations:**  
 News Corp's price-to-book ratio of 2.20 and price-to-sales ratio of 1.65 suggest the stock is trading at a premium relative to its book value and revenue. The enterprise value-to-EBITDA ratio of 16.82 is on the higher side, indicating that the market is pricing in significant growth expectations. However, the company's trailing PEG ratio of 2.26 suggests that its valuation may not be fully justified by its earnings growth rate.
 Earnings growth of 3.18% and revenue growth of 3.1% over the past year are modest, reflecting steady but unspectacular performance. Gross margins of 50.89% and EBITDA margins of 12.50% indicate a healthy level of profitability, though operating margins of 8.85% suggest room for improvement in cost management.
 **Economic Outlook:**  
 The broader economic environment presents challenges for News Corp. The recent imposition of tariffs by the U.S. government could increase costs for imported materials and disrupt supply chains, potentially impacting the publishing industry. Additionally, inflationary pressures and rising interest rates may weigh on consumer spending and advertising revenue, key drivers for News Corp's business. However, the company's diversified revenue streams and strong cash position provide some resilience against these macroeconomic headwinds.
 The global technology sector's recent volatility, driven by competition from Chinese AI advancements, has not directly impacted News Corp but could influence the broader market sentiment. Furthermore, the ongoing California wildfires and geopolitical tensions may create additional uncertainties in the economic landscape.
 **Conclusion:**  
 News Corp (Class B) demonstrates financial stability and moderate growth, but its high valuation metrics and exposure to macroeconomic risks warrant caution. While the company benefits from strong cash flow and profitability, its elevated P/E ratio and modest growth rates suggest limited upside potential in the near term. The broader economic environment, including inflation and trade tensions, could pose challenges to the publishing industry, potentially affecting News Corp's performance.
 **Score:** 65</t>
  </si>
  <si>
    <t>**Investment Report: News Corporation (Class A)**
 **Recent News:**  
 News Corporation (NWSA) is preparing to release its Q2 fiscal 2025 earnings, with expectations of steady growth in its Book Publishing and Digital Real Estate segments. However, the company faces challenges from declining advertising revenues, a trend that has been impacting the broader publishing and media industry. The shift in advertising budgets toward digital platforms and economic uncertainties may weigh on the company's performance in this area. Despite these headwinds, the company's diversified revenue streams, particularly its focus on digital real estate services, could provide some resilience.
 **Financials:**  
 News Corp's financial metrics reflect a mixed picture. The company has a market capitalization of $16.6 billion and a price-to-sales ratio of 1.63, suggesting a reasonable valuation relative to its revenue. Its trailing P/E ratio of 45.29 indicates a premium valuation, but the forward P/E of 26.41 suggests expectations of improved earnings growth. The company has a solid balance sheet with $1.78 billion in cash and a manageable debt-to-equity ratio of 44.27%. Its gross margins of 50.89% and EBITDA margins of 12.50% highlight operational efficiency, though operating margins remain modest at 8.85%. Earnings growth of 3.18% and revenue growth of 3.1% indicate steady, albeit unspectacular, progress.
 Dividend payments are modest, with a yield of 0.71% and a payout ratio of 32.26%, reflecting a conservative approach to capital allocation. The company's free cash flow of $640 million and operating cash flow of $1.22 billion provide a solid foundation for reinvestment and debt servicing.
 **Valuations:**  
 News Corp's stock is trading near the middle of its 52-week range ($22.65 - $30.04), with a current price of $27.86. The stock's beta of 1.35 indicates higher volatility compared to the broader market. Analysts have a strong buy recommendation for the stock, with a target median price of $36.25, representing significant upside potential. However, the trailing PEG ratio of 2.01 suggests the stock may be slightly overvalued relative to its growth prospects.
 **Economic Outlook:**  
 The broader economic environment presents challenges for News Corp. The recent implementation of tariffs by the U.S. government could increase costs for the publishing industry, particularly for imported materials. Additionally, inflationary pressures and rising interest rates may dampen consumer spending, potentially affecting advertising budgets and discretionary purchases like books. However, the company's focus on digital real estate services could benefit from continued demand in the housing market, providing a counterbalance to these risks.
 **Conclusion:**  
 News Corp's diversified business model and steady growth in key segments like Book Publishing and Digital Real Estate provide a degree of stability. However, declining advertising revenues and broader economic uncertainties pose risks to near-term performance. While the stock offers potential upside based on analyst targets, its premium valuation and exposure to macroeconomic headwinds warrant caution. The company's ability to navigate these challenges and capitalize on growth opportunities in its digital segments will be critical in determining its future performance.
 **Score:** 68</t>
  </si>
  <si>
    <t>**Investment Report: NXP Semiconductors (NXPI)**
 **Recent News:**  
 NXP Semiconductors recently reported Q4 earnings of $3.18 per share, slightly surpassing analyst expectations of $3.14. However, this represents a decline from $3.71 per share in the same quarter last year, reflecting challenges in the broader semiconductor market. The company has issued a cautious revenue forecast for Q1, citing weaker demand from its key industrial and automotive segments. This downbeat outlook highlights ongoing inventory adjustments and softening demand in these sectors, which are critical to NXP's revenue streams. Despite these challenges, NXP's expanding product portfolio may provide some resilience in the long term.
 **Financials:**  
 NXP's financial metrics reveal a mixed picture. The company has a trailing P/E ratio of 19.55 and a forward P/E of 15.71, suggesting a valuation that is not overly stretched but reflects some market caution. Its gross margins of 57.2% and operating margins of 30.5% indicate strong profitability, though revenue and earnings growth have declined by 5.4% and 7.3%, respectively, on a year-over-year basis. The company maintains a solid dividend yield of 1.94%, with a payout ratio of 38.7%, signaling a commitment to returning value to shareholders. However, its debt-to-equity ratio of 104.5% raises concerns about leverage, particularly in a potentially slowing economic environment.
 **Valuations:**  
 NXP's current price-to-book ratio of 5.53 and price-to-sales ratio of 4.03 suggest the stock is trading at a premium relative to its book value and revenue. The stock has declined approximately 6.5% over the past year, underperforming the S&amp;P 500, which gained 21.9% in the same period. Analyst price targets range from $200 to $315, with a median target of $258.50, indicating potential upside from current levels. However, the stock's beta of 1.49 reflects higher volatility, which could amplify risks in the current uncertain market environment.
 **Economic Outlook:**  
 The semiconductor industry faces headwinds from global economic uncertainty, trade tensions, and the recent tech market selloff triggered by Chinese advancements in AI. NXP's exposure to the automotive and industrial sectors makes it particularly vulnerable to cyclical demand fluctuations. Additionally, the Trump administration's new tariffs on imports from China, Canada, and Mexico could disrupt supply chains and increase costs for NXP, further pressuring margins. On the positive side, the company's strong cash position of $3.15 billion and robust free cash flow of $1.77 billion provide a buffer against near-term challenges.
 **Conclusion:**  
 NXP Semiconductors is navigating a challenging environment marked by softening demand, trade uncertainties, and broader market volatility. While its profitability metrics and dividend yield remain attractive, declining revenue and earnings growth, coupled with high leverage, warrant caution. The company's valuation suggests some upside potential, but risks tied to macroeconomic and industry-specific factors could weigh on performance in the near term.
 **Score:** 65</t>
  </si>
  <si>
    <t>**Investment Report: Old Dominion Freight Line (ODFL)**
 **Recent News:**  
 Old Dominion Freight Line (ODFL) is facing a challenging environment as analysts project a decline in earnings for Q4 2024. The freight market downturn, coupled with broader economic uncertainties, has likely weighed on the company's performance. Wall Street's expectations suggest that ODFL may not meet the key metrics required for an earnings beat, reflecting the broader struggles of the cargo ground transportation industry amidst a slowing economy. These developments highlight the pressures on ODFL's revenue and profitability as demand in the freight market softens.
 **Financials:**  
 ODFL's financial metrics reveal a mixed picture. The company has a trailing price-to-earnings (P/E) ratio of 11.99 and a forward P/E of 10.18, indicating a relatively attractive valuation compared to historical levels. However, its price-to-book ratio of 4.33 suggests the stock is trading at a premium relative to its book value. The company's profit margins stand at 9.45%, and its return on equity (ROE) is a robust 33.92%, reflecting strong operational efficiency. Despite these positives, ODFL's debt-to-equity ratio of 155.24% raises concerns about its leverage, particularly in a rising interest rate environment. The quick ratio of 0.79 and current ratio of 0.98 indicate tight liquidity, which could pose challenges if economic conditions deteriorate further.
 **Valuations:**  
 ODFL's stock has experienced a 52-week change of -2.48%, underperforming the S&amp;P 500's 21.93% gain over the same period. The stock is currently trading near its 52-week low of $81.42, well below its high of $107.00. Analysts have set a target mean price of $112.11, suggesting potential upside if the company can navigate current headwinds. The dividend yield of 3.23% is slightly below its five-year average of 3.66%, but the payout ratio of 38.25% indicates that dividends are sustainable. The trailing PEG ratio of 1.27 suggests the stock is fairly valued relative to its growth prospects.
 **Economic Outlook:**  
 The broader economic environment presents significant challenges for ODFL. The recent implementation of tariffs by the U.S. government has disrupted supply chains and increased costs for transportation companies. Additionally, inflationary pressures and rising interest rates are likely to weigh on consumer demand and industrial activity, further dampening freight volumes. While ODFL has demonstrated resilience in the past, the current macroeconomic conditions may limit its ability to achieve meaningful growth in the near term.
 **Conclusion:**  
 Old Dominion Freight Line faces a tough operating environment characterized by a freight market downturn, economic uncertainties, and rising costs. While the company boasts strong operational efficiency and a solid dividend payout, its high leverage and tight liquidity are areas of concern. The stock's current valuation suggests potential upside, but the near-term outlook remains clouded by macroeconomic headwinds and industry-specific challenges.
 **Score:** 62</t>
  </si>
  <si>
    <t>**Investment Report:**
 **Recent News:**  
 Oneok Inc. (OKE) has shown a modest gain of +0.15% in its latest trading session, closing at $100.60. While this reflects resilience amidst broader market volatility, the stock's performance lags behind the overall market, which has been more dynamic. This slight uptick may indicate investor confidence in the company's stability, but it also suggests limited momentum in the short term. The broader energy sector has faced headwinds due to geopolitical tensions and new U.S. sanctions on Russia's energy sector, which could indirectly influence Oneok's operations and market sentiment.
 **Financials:**  
 Oneok's financial metrics reveal a mixed picture. The company has a market capitalization of $37.77 billion and a trailing P/E ratio of 23.23, which is slightly elevated compared to industry peers, suggesting the stock may be priced at a premium. Its forward P/E of 20.87 indicates expectations of moderate earnings growth. The dividend yield of 1.63% and a payout ratio of 36.32% highlight a commitment to returning value to shareholders while maintaining financial flexibility. However, the company's quick ratio of 0.643 and current ratio of 0.802 suggest weaker short-term liquidity, which could be a concern in a rising interest rate environment. 
 Earnings growth of 47.3% and revenue growth of 0.7% demonstrate solid profitability trends, though revenue growth remains subdued. The EBITDA margin of 17.65% and operating margin of 16.80% reflect efficient operations, but the enterprise value-to-EBITDA ratio of 18.005 indicates the stock may be overvalued relative to its earnings potential. Additionally, Oneok's total debt of $7.55 billion is significant, though manageable given its operating cash flow of $1.47 billion and free cash flow of $1.18 billion.
 **Valuations:**  
 Oneok's stock is trading near the midpoint of its 52-week range ($89.37 - $106.33), with a 52-week change of +3.79%, underperforming the S&amp;P 500's 21.93% gain over the same period. Analyst price targets range from $79 to $117, with a median target of $100, aligning closely with the current price. This suggests limited upside potential in the near term. The recommendation mean of 2.69 (on a scale where 1 is "Strong Buy" and 5 is "Sell") indicates a "Hold" consensus among analysts, reflecting cautious optimism.
 **Economic Outlook:**  
 The broader macroeconomic environment presents challenges for Oneok. The recent imposition of tariffs by the U.S. administration could exacerbate inflationary pressures, potentially increasing operational costs for energy companies. Additionally, geopolitical tensions and sanctions on Russia's energy sector may disrupt global energy markets, creating both risks and opportunities for Oneok. While the company's focus on natural gas transportation and storage positions it well to benefit from stable demand, the overall energy sector remains vulnerable to price volatility and regulatory changes.
 **Conclusion:**  
 Oneok Inc. demonstrates strong operational efficiency and profitability, supported by steady earnings growth and a reliable dividend. However, its valuation metrics suggest limited upside potential, and its liquidity ratios highlight potential vulnerabilities in a challenging macroeconomic environment. The company's exposure to broader energy market dynamics, including geopolitical risks and regulatory changes, adds an element of uncertainty. While Oneok remains a stable player in the Oil &amp; Gas Storage &amp; Transportation industry, its near-term investment appeal is tempered by these factors.
 **Score:** 65</t>
  </si>
  <si>
    <t>**Investment Report: Omnicom Group (OMC)**
 **Recent News:**  
 Omnicom Group has demonstrated a strong track record of earnings surprises, with analysts optimistic about its ability to continue this trend in its upcoming quarterly report. The company's fourth-quarter 2024 performance is anticipated to benefit from improved operational efficiency and robust performance across its business segments. This positive outlook reflects Omnicom's ability to adapt to market challenges and maintain profitability despite broader economic uncertainties.
 **Financials:**  
 Omnicom's financial metrics present a mixed picture. The company has a trailing price-to-earnings (P/E) ratio of 31.83 and a forward P/E of 32.08, indicating a valuation premium compared to historical norms. Its profit margins remain solid at 21.03%, and the return on equity (ROE) is a robust 30.24%, showcasing strong profitability and efficient capital utilization. However, earnings and revenue growth have declined by 7.1% and 3%, respectively, reflecting challenges in maintaining top-line expansion. The company's dividend yield of 0.56% is modest, but its low payout ratio of 17.13% suggests room for future dividend growth. Omnicom's balance sheet is relatively healthy, with a manageable debt-to-equity ratio of 1.44 and a current ratio of 1.33, indicating sufficient liquidity to meet short-term obligations.
 **Valuations:**  
 Omnicom's stock has experienced a 12.77% decline over the past year, underperforming the S&amp;P 500, which gained 21.93% during the same period. The stock is trading at a price-to-book ratio of 9.32, significantly above the industry average, which may indicate overvaluation. Additionally, the enterprise value-to-EBITDA ratio of 19.71 suggests the stock is priced at a premium relative to its earnings potential. Analysts' target prices range from $155 to $240, with a median target of $199, implying limited upside from current levels.
 **Economic Outlook:**  
 The broader economic environment presents challenges for Omnicom. The recent imposition of tariffs by the U.S. government and the potential for a trade war could disrupt global supply chains and increase costs for advertising clients, potentially impacting Omnicom's revenue streams. Additionally, inflationary pressures and rising interest rates may weigh on consumer spending and corporate budgets, leading to reduced advertising expenditures. However, Omnicom's focus on operational efficiency and its diversified client base may help mitigate some of these risks.
 **Conclusion:**  
 Omnicom Group's strong profitability metrics and history of earnings surprises highlight its operational resilience. However, declining revenue and earnings growth, coupled with a premium valuation and broader economic headwinds, suggest limited near-term upside potential. While the company remains fundamentally sound, its stock may face challenges in the current macroeconomic environment.
 **Score:** 65</t>
  </si>
  <si>
    <t>**Investment Report:**
 **Recent News:**  
 ON Semiconductor Corp. (ON) has faced recent challenges, including a 1.79% decline in its stock price to $52.32, underperforming the broader market. The company is expected to report a decline in Q4 earnings, reflecting headwinds in the semiconductor industry. However, ON Semiconductor's focus on power management and sensing technologies for automotive and industrial markets positions it in less volatile segments compared to AI-driven chip demand. The company has committed to returning 50% of its free cash flow to shareholders and is investing in capacity expansion, signaling confidence in its long-term growth potential. Despite short-term pressures, its valuation and strategic focus have attracted investor interest.
 **Financials:**  
 ON Semiconductor's financial metrics reflect a mixed picture. The company has a trailing P/E ratio of 12.47 and a forward P/E of 12.30, indicating an attractive valuation relative to its peers. Its price-to-book ratio of 2.49 and gross margins of 45.8% suggest operational efficiency. However, earnings and revenue growth have declined by 28.1% and 19.2%, respectively, highlighting near-term challenges. The company maintains a strong balance sheet with a current ratio of 3.08 and a quick ratio of 1.88, ensuring liquidity. Its debt-to-equity ratio of 42.38% is manageable, though slightly elevated. Free cash flow of $489 million and a return on equity of 21.83% underscore its ability to generate shareholder value.
 **Valuations:**  
 ON Semiconductor's stock has declined 31.4% over the past year, underperforming the S&amp;P 500, which gained 21.9% in the same period. The stock is trading near its 52-week low of $49.80, significantly below its 52-week high of $85.16. Analysts maintain a positive outlook, with a mean target price of $78.63, representing substantial upside potential. The recommendation mean of 2.13 (buy) from 29 analysts further supports its valuation appeal. However, short interest has risen, with 6.69% of shares outstanding currently shorted, reflecting some bearish sentiment.
 **Economic Outlook:**  
 The broader semiconductor industry faces headwinds from global economic uncertainty, trade tensions, and the recent tech market selloff. ON Semiconductor's focus on automotive and industrial markets provides some insulation from the volatility in AI chip demand. However, the company's earnings growth may be constrained by macroeconomic factors, including inflationary pressures and potential disruptions from new tariffs. The company's strategic investments in capacity expansion and shareholder returns position it for long-term growth, but near-term performance may remain under pressure.
 **Conclusion:**  
 ON Semiconductor is navigating a challenging environment, with short-term earnings pressures and broader market volatility weighing on its stock. However, its attractive valuation, strong balance sheet, and focus on less volatile end markets provide a foundation for long-term growth. While near-term risks persist, the company's strategic initiatives and shareholder-friendly policies could support a recovery as macroeconomic conditions stabilize.
 **Score:** 72</t>
  </si>
  <si>
    <t>**Investment Report: Oracle Corporation**
 **Recent News:**  
 Oracle Corporation has been actively leveraging its AI advancements, particularly through its Stargate initiative, to refinance $7 billion in old debt, showcasing its strategic focus on financial optimization. Despite a sharp sell-off in the tech sector due to the emergence of DeepSeek, a Chinese AI competitor, Oracle's bond market has remained stable, reflecting investor confidence in its financial health. The company continues to enhance its cloud offerings by integrating AI agents to automate supply chain tasks, which positions it as a leader in enterprise cloud solutions. While Oracle's stock has experienced a 14% drop amid broader market volatility, its long-term growth prospects remain robust, supported by strong demand for its cloud infrastructure and government backing for data center expansion.
 **Financials:**  
 Oracle's financial performance reflects a solid foundation, with a market capitalization of $471.57 billion and a trailing price-to-earnings (P/E) ratio of 41.12. The company has demonstrated consistent revenue growth, with a 6.9% year-over-year increase, and strong profitability metrics, including a net income margin of 20.4% and EBITDA margins of 40.5%. Oracle's free cash flow of $10.34 billion underscores its ability to fund operations and strategic initiatives. However, its high debt-to-equity ratio of 749.98 indicates significant leverage, which could pose risks in a rising interest rate environment. The company's dividend yield of 0.83% is below its five-year average, reflecting a focus on reinvestment rather than shareholder payouts.
 **Valuations:**  
 Oracle's forward P/E ratio of 23.98 suggests that the market expects continued earnings growth, supported by its strong position in the cloud and AI sectors. The stock is trading at a price-to-book ratio of 53.37, significantly above industry averages, indicating a premium valuation. Analysts have a median price target of $202.50, representing potential upside from its current price, though the recent market volatility may temper short-term gains. The company's enterprise value-to-revenue ratio of 11.18 and enterprise value-to-EBITDA ratio of 27.60 highlight its strong revenue generation but also suggest a relatively high valuation compared to peers.
 **Economic Outlook:**  
 The broader economic environment presents both opportunities and challenges for Oracle. The recent tariffs imposed by the U.S. administration could disrupt global supply chains, potentially impacting Oracle's hardware and cloud infrastructure businesses. However, the company's focus on AI-driven automation and cloud solutions aligns with long-term industry trends, positioning it to benefit from increased enterprise adoption of digital transformation technologies. The stability of Oracle's bond market amidst tech sector volatility reflects investor confidence in its resilience and strategic direction.
 **Conclusion:**  
 Oracle Corporation remains a strong player in the application software industry, with robust financials, innovative AI-driven initiatives, and a leading position in the cloud market. While recent market volatility and high leverage pose risks, the company's growth prospects and strategic focus on AI and cloud solutions provide a solid foundation for long-term value creation.
 **Score:** 85</t>
  </si>
  <si>
    <t>**Investment Report: Paramount Global (PARA)**
 **Recent News:**  
 Paramount Global has demonstrated a strong track record of earnings surprises, with analysts suggesting the company may outperform expectations in its upcoming quarterly report. This optimism is driven by the company's ability to manage costs and leverage its diversified portfolio of media and entertainment assets. However, the broader economic environment, including inflationary pressures and declining consumer spending, could weigh on its performance. Additionally, the competitive landscape in streaming and traditional media remains intense, with rivals investing heavily in content and technology.
 **Financials:**  
 Paramount Global's financial position reflects a mixed outlook. The company is trading at a low price-to-book ratio of 0.43, indicating potential undervaluation relative to its assets. Its forward price-to-earnings ratio of 7.11 suggests a modest valuation compared to industry peers. However, the firm faces significant challenges, including a negative profit margin of -18.89% and a trailing EPS of -$9.06, reflecting substantial losses in recent quarters. Revenue growth has declined by 5.6% year-over-year, and the company carries a high debt-to-equity ratio of 91.92, which could limit financial flexibility. Despite these challenges, Paramount maintains a solid cash position of $2.44 billion and generates free cash flow of $16.87 billion, which could support operations and strategic investments.
 **Valuations:**  
 Paramount's current market price of $10.69 is near its 52-week low of $9.54, suggesting that the stock has been under pressure. Analysts' target prices range from $10.00 to $20.00, with a median target of $11.00, indicating limited upside potential in the near term. The dividend yield of 1.84% is significantly below its five-year average of 3.29%, reflecting reduced shareholder returns. The company's enterprise value-to-revenue ratio of 0.72 and enterprise value-to-EBITDA ratio of 6.67 suggest that the market is pricing in the firm's challenges, including its declining revenue and profitability.
 **Economic Outlook:**  
 Paramount operates in a challenging macroeconomic environment. The recent tariffs and inflationary pressures could impact advertising revenue and consumer spending on entertainment. Additionally, the competitive pressures from streaming giants and the broader decline in traditional media consumption pose structural challenges. However, the company's diversified revenue streams, including its content library and streaming platforms, provide some resilience. Paramount's ability to navigate these headwinds will depend on its execution of cost-saving measures and strategic investments in high-growth areas like streaming.
 **Conclusion:**  
 Paramount Global faces significant headwinds, including declining revenue growth, high debt levels, and competitive pressures. While the stock appears undervalued based on certain metrics, the company's financial challenges and broader economic uncertainties limit its near-term upside potential. The upcoming earnings report will be a critical indicator of the firm's ability to stabilize its operations and deliver on its strategic priorities.
 **Score:** 45</t>
  </si>
  <si>
    <t>**Investment Report: Paycom Software Inc.**
 **Recent News:**  
 Paycom Software Inc., a leader in payroll and human capital management solutions, has demonstrated resilience in a competitive market. With a compound annual growth rate (CAGR) exceeding 27% since inception, the company continues to show strong financial performance. Recent reports highlight Paycom's transition to a more automated suite of products, which is gaining traction and improving operational efficiency. Despite recent stock struggles, analysts rate the company as a "Strong Buy," with a long-term expected return of 14.50%. Paycom's operating cash flow has improved, and with capital expenditures expected to decline by 10% next year, the company is positioned to enhance shareholder returns.
 **Financials:**  
 Paycom's financial metrics remain robust, with a gross profit margin of 85.6% and operating margins of 23.2%. The company has a trailing price-to-earnings (P/E) ratio of 24.73 and a forward P/E of 23.82, indicating reasonable valuation levels relative to its growth prospects. Paycom's return on equity (ROE) of 32.6% and return on assets (ROA) of 10.1% reflect efficient use of capital. The company maintains a manageable debt-to-equity ratio of 5.52% and a strong free cash flow of $289.27 million, supporting its ability to invest in growth and return capital to shareholders. However, earnings growth has slowed slightly, with a quarterly decline of 2.6%, which may warrant monitoring.
 **Valuations:**  
 Paycom's current stock price of approximately $204.95 places it at a price-to-book ratio of 7.62, which is higher than the industry average but justified by its strong profitability and growth potential. The stock trades at a price-to-sales ratio of 6.49, reflecting investor confidence in its revenue growth, which stands at 11.2% year-over-year. Analysts' target prices range from $185 to $278, with a median target of $220, suggesting moderate upside potential from current levels. The company's dividend yield of 0.72% and low payout ratio of 18.05% indicate a sustainable dividend policy.
 **Economic Outlook:**  
 The broader economic environment presents challenges, including inflationary pressures and potential trade disruptions from new tariffs imposed by the U.S. administration. However, Paycom's focus on cloud-based human capital management solutions positions it well to benefit from the ongoing digital transformation in the workplace. The company's high gross margins and strong cash flow generation provide a buffer against macroeconomic headwinds. Additionally, its relatively low exposure to international markets may shield it from the immediate impacts of global trade tensions.
 **Conclusion:**  
 Paycom Software Inc. remains a strong player in the human resource and employment services industry, supported by its robust financial performance, innovative product offerings, and long-term growth potential. While the broader economic environment may introduce volatility, Paycom's operational efficiency and strategic focus on automation position it well for sustained growth.
 **Score:** 85</t>
  </si>
  <si>
    <t>**Investment Report:**
 **Recent News:**  
 Paccar's recent fourth-quarter and full-year 2024 results have drawn mixed reactions from the market. While the company reported better-than-expected profits in its parts division, overall earnings and revenue fell short of analyst expectations. Quarterly earnings per share (EPS) came in at $1.66, slightly below the consensus estimate of $1.68, and significantly lower than the $2.70 EPS reported in the same quarter last year. This underperformance has led to a decline in investor confidence, as reflected in the 2.42% drop in the stock price. Additionally, the company has announced capital expenditures (capex) and research and development (R&amp;D) expenses for 2025 in the range of $700-$800 million and $460-$500 million, respectively, signaling a continued focus on innovation and operational improvements.
 **Financials:**  
 Paccar's financial metrics reveal a mixed picture. The company maintains a strong balance sheet with a current ratio of 2.945 and a quick ratio of 1.806, indicating solid liquidity. However, its debt-to-equity ratio of 64.6% suggests a relatively high level of leverage. The trailing price-to-earnings (P/E) ratio of 23.66 and forward P/E of 18.11 indicate that the stock is trading at a premium compared to its historical valuation, which may limit upside potential in the near term. The dividend yield of 2.1% is below its five-year average of 2.96%, though the payout ratio of 58.28% suggests the dividend is sustainable. Paccar's return on equity (ROE) of 18.97% and return on assets (ROA) of 8.21% highlight its ability to generate returns, though these figures are slightly below industry leaders.
 **Valuations:**  
 Paccar's stock is currently trading at a price-to-book (P/B) ratio of 4.42, which is relatively high for the construction machinery and heavy transportation equipment industry. The enterprise value-to-revenue ratio of 2.84 and enterprise value-to-EBITDA ratio of 14.30 suggest the stock is not undervalued. Analysts have set a median price target of $220, with a high target of $266 and a low target of $144, indicating limited upside from the current price of approximately $208.22. The recommendation mean of 2.33 (between "buy" and "hold") reflects cautious optimism among analysts.
 **Economic Outlook:**  
 The broader economic environment presents challenges for Paccar. The recent imposition of tariffs by the U.S. government on imports from Canada, Mexico, and China could disrupt supply chains and increase costs for the company, potentially squeezing margins. Additionally, inflationary pressures and the Federal Reserve's potential shift to a more hawkish monetary policy stance could dampen demand for heavy transportation equipment. On the positive side, Paccar's focus on R&amp;D and capex positions it well to capitalize on long-term trends such as electrification and autonomous vehicle technology, which could drive growth in the coming years.
 **Conclusion:**  
 Paccar faces near-term headwinds due to weaker-than-expected earnings, elevated valuations, and macroeconomic uncertainties stemming from trade tensions and inflation. However, its strong liquidity, focus on innovation, and long-term growth prospects in transformative technologies provide a foundation for resilience. The stock may experience volatility in the short term as the market digests recent results and external economic pressures.
 **Score:** 65</t>
  </si>
  <si>
    <t>**Investment Report: PG&amp;E Corporation**
 **Recent News:**  
 PG&amp;E Corporation has faced a 22% decline in stock value this year, primarily driven by market concerns over the devastating Los Angeles wildfires. Despite these fires being outside PG&amp;E's service area, investor sentiment has been negatively impacted due to the company's historical association with wildfire liabilities. However, Fitch Ratings has maintained its credit rating for PG&amp;E, indicating that the financial risks associated with California's wildfire fund are manageable. Analysts have noted signs of a potential recovery, supported by a hammer chart pattern and upward revisions to earnings estimates. PG&amp;E's convertible preferred stock offers a 7% dividend yield, which could attract income-focused investors. The stock's oversold status and history of exceeding earnings expectations suggest a possible trend reversal.
 **Financials:**  
 PG&amp;E's financial performance reflects a mixed but improving outlook. The company has a trailing price-to-earnings (P/E) ratio of 20.7 and a forward P/E of 18.6, indicating expectations of earnings growth. Its profit margins are solid at 26.4%, and earnings quarterly growth stands at 50%, signaling strong operational performance. Revenue growth of 8.4% year-over-year further supports the company's recovery narrative. PG&amp;E's EBITDA margin of 41.1% and operating margin of 43.4% highlight its ability to generate robust cash flows. However, the company's balance sheet shows high leverage, with total debt of $49.3 billion and a quick ratio of 0.40, which could pose risks in a rising interest rate environment. Free cash flow of $9.2 billion and operating cash flow of $11.5 billion provide some financial flexibility.
 **Valuations:**  
 PG&amp;E appears undervalued relative to its peers in the multi-utilities industry. The stock's price-to-sales ratio of 5.45 and enterprise value-to-EBITDA ratio of 16.3 suggest room for upside, particularly if the company continues to exceed earnings expectations. Analysts have set a target mean price of $136.93, representing a potential upside from the current trading range. The stock's dividend yield of 4.15% is below its five-year average of 5.29%, but the preferred stock's 7% yield offers an attractive alternative for income investors. The company's beta of 0.56 indicates lower volatility compared to the broader market, which may appeal to risk-averse investors.
 **Economic Outlook:**  
 The broader economic environment presents challenges and opportunities for PG&amp;E. The recent California wildfires have underscored the risks associated with climate change, which could lead to increased regulatory scrutiny and higher costs for utilities. However, PG&amp;E's inclusion in California's wildfire fund provides some financial protection against future liabilities. The company's strong gross margins of 64% and its ability to generate consistent cash flows position it well to navigate these challenges. Additionally, the Federal Reserve's cautious approach to interest rate cuts may help mitigate the impact of PG&amp;E's high debt levels.
 **Conclusion:**  
 PG&amp;E Corporation is navigating a complex environment marked by wildfire-related concerns and high leverage. However, its strong earnings growth, robust cash flow generation, and undervalued stock price suggest potential for recovery. The company's ability to manage wildfire risks and capitalize on its operational strengths will be critical in determining its long-term performance.
 **Score:** 78</t>
  </si>
  <si>
    <t>**Investment Report: Public Service Enterprise Group (PSEG)**
 **Recent News:**  
 Public Service Enterprise Group (PSEG) has faced critical analysis due to its high capital expenditure commitments, single-state operational risks, and a dividend yield that underperforms relative to peers in the utilities sector. Analysts have highlighted that its valuation appears stretched, with limited upside potential compared to alternatives in the multi-utilities space. While the company has delivered stable performance in recent years, the combination of these factors has led to a cautious outlook for new investors.
 **Financials:**  
 PSEG's financial metrics reveal a mixed picture. The company has a trailing price-to-earnings (P/E) ratio of 20.51 and a forward P/E of 20.77, indicating a premium valuation compared to the broader utilities sector. Its dividend yield of 2.87% is below its five-year average of 3.37%, which may deter income-focused investors. The company’s debt-to-equity ratio of 137.1% reflects significant leverage, which could pose challenges in a rising interest rate environment. Additionally, free cash flow is negative at -$875 million, signaling potential strain in funding its capital-intensive projects. However, PSEG has shown strong earnings growth of 2.85% and revenue growth of 7.6% year-over-year, supported by operating margins of 24.94%.
 **Valuations:**  
 PSEG's price-to-book ratio of 2.58 and enterprise value-to-EBITDA ratio of 15.69 suggest that the stock is trading at a premium compared to its peers. The company’s market capitalization of $41.6 billion and enterprise value of $63.4 billion further highlight its significant debt burden. While analysts have a median price target of $89, representing modest upside from current levels, the stock's valuation metrics suggest limited room for error, especially given its high capital expenditure requirements and regional concentration risks.
 **Economic Outlook:**  
 The broader economic environment presents challenges for PSEG. Rising inflation and potential interest rate hikes could increase borrowing costs, further pressuring its already high debt levels. Additionally, the recent implementation of tariffs by the U.S. government may indirectly impact energy costs and supply chains, creating headwinds for the utilities sector. However, PSEG's beta of 0.63 indicates lower volatility compared to the broader market, which could provide some stability during periods of economic uncertainty.
 **Conclusion:**  
 PSEG faces a combination of internal and external challenges, including high leverage, subpar dividend yields, and a premium valuation. While the company has demonstrated solid earnings and revenue growth, its negative free cash flow and significant capital expenditure commitments raise concerns about its ability to sustain long-term growth. The current macroeconomic environment, characterized by inflationary pressures and rising interest rates, further complicates the outlook for the utilities sector. These factors suggest that PSEG may offer limited investment value in the near term.
 **Score:** 45</t>
  </si>
  <si>
    <t>**Investment Report: PepsiCo (PEP)**
 **Recent News:**  
 PepsiCo faces challenges ahead of its Q4 earnings report, with concerns about weak demand in North America's convenient food segment and the lingering effects of a product recall in its Quaker Foods North America (QFNA) division. Additionally, the rising popularity of weight-loss drugs has raised questions about the long-term demand for snacks and sugary beverages, which are core components of PepsiCo's portfolio. These factors may weigh on the company's near-term performance, particularly in its key North American market.
 **Financials:**  
 PepsiCo's financial metrics reveal a mixed picture. The company has a trailing price-to-earnings (PE) ratio of 22.16 and a forward PE of 17.62, suggesting that while the stock is currently trading at a premium, future earnings growth may justify this valuation. However, earnings growth has been negative (-4.9%), and revenue growth has also declined slightly (-0.6%), reflecting potential headwinds in its core business. The company's gross margins remain strong at 54.88%, but operating margins of 18.01% indicate some pressure on profitability. PepsiCo's debt-to-equity ratio of 229.61% is high, signaling significant leverage, though its free cash flow of $6.07 billion provides some financial flexibility.
 **Valuations:**  
 PepsiCo's stock has declined by 12.09% over the past year, underperforming the S&amp;P 500, which has gained 21.93% in the same period. The stock is trading near its 52-week low of $141.51, well below its 52-week high of $183.41. Analysts have a median price target of $173.50, representing potential upside from current levels. The dividend yield of 3.6% is attractive, especially compared to its five-year average of 2.79%, making the stock appealing for income-focused investors. However, the high price-to-book ratio of 10.61 suggests the stock may still be overvalued relative to its book value.
 **Economic Outlook:**  
 The broader economic environment presents challenges for PepsiCo. The recent implementation of tariffs by the U.S. government could increase input costs, particularly for imported raw materials, potentially squeezing margins further. Additionally, inflationary pressures and rising interest rates may dampen consumer spending on discretionary items like snacks and beverages. The company's exposure to North America, where demand appears to be weakening, adds to these concerns. However, PepsiCo's diversified portfolio and strong global presence may help mitigate some of these risks over the long term.
 **Conclusion:**  
 PepsiCo faces near-term challenges, including weak demand in North America, the impact of weight-loss drugs on consumer preferences, and broader economic headwinds. While the company's strong margins and dividend yield provide some support, declining earnings and revenue growth, coupled with high leverage, raise concerns about its ability to navigate these challenges effectively. The upcoming Q4 earnings report will be critical in assessing the company's performance and outlook.
 **Score:** 65</t>
  </si>
  <si>
    <t>**Investment Report: Principal Financial Group (PFG)**
 **Recent News:**  
 Principal Financial Group is set to report its Q4 earnings, with expectations of a positive performance driven by higher fee revenues, improved yields, favorable market conditions, and increased sales of single premium group annuities. Analysts suggest that the company is well-positioned for an earnings beat, supported by its strong operational metrics and market dynamics. This optimism reflects confidence in the firm's ability to navigate current economic challenges and capitalize on its diversified business model.
 **Financials:**  
 Principal Financial Group's financial metrics indicate a stable position within the Life &amp; Health Insurance industry. The company has a market capitalization of $395.7 billion and a trailing price-to-earnings (P/E) ratio of 26.92, with a forward P/E of 22.92, suggesting expectations of earnings growth. Its dividend yield of 2.49% aligns with its five-year average, supported by a payout ratio of 67.14%, indicating a sustainable dividend policy. However, earnings growth has faced headwinds, with a quarterly decline of 12.4%, and revenue growth has been slightly negative at -0.6%. Despite these challenges, the firm's gross margins of 51.76% and return on equity (ROE) of 28.77% highlight its operational efficiency and profitability.
 **Valuations:**  
 PFG's price-to-book ratio of 8.04 is relatively high, reflecting a premium valuation compared to its book value. The stock's 52-week performance shows a modest gain of 4.42%, underperforming the S&amp;P 500's 21.93% increase over the same period. Analysts' target prices range from $143 to $209, with a mean target of $178.47, suggesting potential upside from its current price of approximately $167. The recommendation mean of 1.96 (on a scale where 1.0 is a strong buy) indicates a generally favorable outlook among analysts.
 **Economic Outlook:**  
 The broader economic environment presents mixed signals for Principal Financial Group. The recent implementation of tariffs and trade tensions could introduce inflationary pressures, potentially impacting consumer spending and investment returns. However, the firm's focus on fee-based revenues and annuity sales may provide resilience against these macroeconomic challenges. Additionally, its low beta of 0.414 suggests reduced volatility relative to the broader market, which could appeal to risk-averse investors during uncertain times.
 **Conclusion:**  
 Principal Financial Group demonstrates strong fundamentals, including robust profitability metrics and a sustainable dividend policy. While recent earnings and revenue growth have faced challenges, the company's diversified revenue streams and operational efficiency position it well for long-term stability. The upcoming Q4 earnings report will be a critical indicator of its ability to navigate current economic headwinds and deliver on growth expectations.
 **Score:** 78</t>
  </si>
  <si>
    <t>**Investment Report: Procter &amp; Gamble (P&amp;G)**
 **Recent News:**  
 Procter &amp; Gamble remains a dominant player in the consumer staples sector, with a diverse portfolio of globally recognized brands such as Pampers, Tide, Charmin, and Old Spice. The company benefits from its strong brand equity and consistent demand for essential personal care and hygiene products. However, the broader economic environment, including inflationary pressures and potential trade disruptions from new tariffs, could impact consumer spending and supply chain costs. Despite these challenges, P&amp;G's position in the non-discretionary goods market provides a degree of resilience against economic volatility.
 **Financials:**  
 P&amp;G's financial performance reflects mixed signals. The company has a robust market capitalization of $18.52 billion and a healthy dividend yield of 3.54%, supported by a payout ratio of 51.71%, indicating a commitment to returning value to shareholders. However, recent financial metrics reveal some concerns. The firm reported a negative net income of $206 million and a trailing EPS of -$0.74, signaling profitability challenges. Additionally, revenue growth has declined by 34.5% year-over-year, and operating margins are negative at -7.96%, reflecting cost pressures and potential inefficiencies. On the positive side, P&amp;G maintains strong cash reserves of $7.09 billion and generates significant operating cash flow of $4.09 billion, which could help navigate short-term headwinds.
 **Valuations:**  
 P&amp;G's valuation metrics suggest a mixed outlook. The forward P/E ratio of 9.68 indicates that the market expects a recovery in earnings, but the current price-to-book ratio of 1.65 and price-to-sales ratio of 1.32 suggest the stock is trading at a modest premium relative to its fundamentals. The company's gross margins of 35.69% remain solid, but negative EBITDA margins and return on equity (-1.27%) highlight ongoing profitability concerns. Analyst sentiment is cautious, with a "hold" recommendation and a target median price of $90, slightly above the current trading range.
 **Economic Outlook:**  
 The broader macroeconomic environment poses challenges for P&amp;G. The recent implementation of tariffs on imports from Canada, Mexico, and China could increase input costs and disrupt supply chains, potentially squeezing margins further. Additionally, inflationary pressures and rising interest rates may dampen consumer purchasing power, particularly for premium-priced products. However, P&amp;G's focus on essential goods provides some insulation from economic downturns, as demand for personal care and hygiene products tends to remain stable even in challenging times.
 **Conclusion:**  
 Procter &amp; Gamble's strong brand portfolio and market leadership in the consumer staples sector provide a solid foundation for long-term stability. However, near-term challenges, including declining revenue growth, negative profitability metrics, and macroeconomic headwinds, could weigh on performance. While the company's robust cash flow and dividend yield offer some appeal, cautious sentiment from analysts and ongoing cost pressures suggest limited upside potential in the short term.
 **Score:** 65</t>
  </si>
  <si>
    <t>**Investment Report: Progressive Corporation (PGR)**
 **Recent News:**  
 Progressive Corporation has demonstrated robust financial performance in its latest earnings report, significantly surpassing market expectations. The company reported diluted earnings per share of $4.01 for Q4 2024, well above the consensus estimate of $3.57 and a notable increase from $2.96 in the same quarter last year. This growth was driven by higher premiums and reflects Progressive's ability to capitalize on its strong market position. The company's focus on technology investments and maintaining steady policy life expectancy has further solidified its reputation as a leader in the property and casualty insurance industry. These factors, combined with its strong capital position, have positioned Progressive as a top performer, appealing to both value and growth-oriented strategies.
 **Financials:**  
 Progressive's financial metrics underscore its solid performance and stability. The company boasts a trailing price-to-earnings (P/E) ratio of 17.30 and a forward P/E of 16.21, indicating reasonable valuation levels relative to its earnings growth. Its profit margins stand at 11.27%, supported by strong revenue growth of 26.7% year-over-year. The return on equity (ROE) is an impressive 36.41%, reflecting efficient use of shareholder capital. Progressive's dividend yield of 1.99% is slightly below its five-year average of 1.55%, but its low payout ratio of 2.08% suggests ample room for future dividend growth. Additionally, the company has a manageable debt-to-equity ratio of 25.38%, indicating a healthy balance sheet.
 **Valuations:**  
 Progressive's stock is trading near its 50-day average of $248.25, with a current price-to-book ratio of 5.37. While this valuation may appear elevated compared to some peers, it is justified by the company's strong earnings growth of 10.1% and its ability to generate consistent free cash flow of $14.57 billion. Analysts have a positive outlook on the stock, with a mean target price of $279.76, representing potential upside from current levels. The recommendation mean of 2.2 (on a scale where 1.0 is a strong buy) further highlights the favorable sentiment among analysts.
 **Economic Outlook:**  
 The broader economic environment presents both opportunities and challenges for Progressive. The recent implementation of tariffs by the U.S. administration could lead to inflationary pressures, potentially impacting consumer spending and economic growth. However, Progressive's business model is relatively insulated from these macroeconomic headwinds, as demand for property and casualty insurance tends to remain stable even during periods of economic uncertainty. Additionally, the company's focus on technology and operational efficiency positions it well to navigate potential cost pressures. The ongoing recovery from the California wildfires may also drive increased demand for insurance products, providing a tailwind for Progressive's growth.
 **Conclusion:**  
 Progressive Corporation's strong financial performance, solid growth metrics, and strategic investments in technology make it a standout player in the property and casualty insurance industry. While broader economic uncertainties persist, the company's resilience and ability to generate consistent returns position it well for continued success in the near term.
 **Score:** 85</t>
  </si>
  <si>
    <t>**Investment Report:**
 **Recent News:**  
 Parker-Hannifin has demonstrated resilience in its fiscal second-quarter results, with earnings per share (EPS) of $6.53 exceeding both the Zacks Consensus Estimate of $6.22 and the prior year's EPS of $6.15. The company's sales grew by 1.6% year-over-year, driven by the Aerospace Systems segment's robust performance. This growth was supported by strength in the commercial and military sectors, which offset challenges in the off-highway and transportation markets. The results highlight Parker-Hannifin's ability to navigate sector-specific headwinds while leveraging its diversified portfolio.
 **Financials:**  
 Parker-Hannifin's financial metrics reflect a solid operational foundation. The company boasts a profit margin of 31.98% and a return on equity of 45.67%, indicating strong profitability and efficient use of shareholder capital. Its trailing price-to-earnings (P/E) ratio of 31.29 and forward P/E of 27.98 suggest a premium valuation, potentially reflecting investor confidence in its growth prospects. The company maintains a healthy dividend yield of 2.89%, above its five-year average of 2.72%, which may appeal to income-focused investors. However, its quick ratio of 0.599 and current ratio of 1.378 indicate moderate liquidity, which could be a concern in a tightening economic environment.
 **Valuations:**  
 Parker-Hannifin's stock is trading near its 52-week high of $150.71, with a price-to-book ratio of 14.08, signaling a high valuation relative to its book value. The enterprise value-to-revenue ratio of 9.09 and enterprise value-to-EBITDA ratio of 20.46 further underscore its premium valuation. While the company's strong margins and consistent earnings growth of 1.7% year-over-year justify some of this premium, the elevated valuation metrics may limit upside potential in the near term, especially amid broader market volatility.
 **Economic Outlook:**  
 The broader macroeconomic environment presents mixed signals for Parker-Hannifin. The recent imposition of tariffs by the U.S. administration could disrupt supply chains and increase input costs, particularly for industrial machinery companies reliant on global trade. Additionally, inflationary pressures and potential Federal Reserve tightening may weigh on industrial demand. However, Parker-Hannifin's exposure to the aerospace and defense sectors, which are less sensitive to economic cycles, provides a degree of insulation. The company's strong free cash flow of $1.18 billion and operating cash flow of $1.75 billion position it well to weather economic uncertainties.
 **Conclusion:**  
 Parker-Hannifin's strong operational performance and robust margins underscore its resilience in a challenging macroeconomic environment. However, its elevated valuation and potential exposure to trade-related disruptions may limit short-term upside. The company's focus on aerospace and defense provides a stable growth avenue, but broader economic headwinds could temper near-term performance.
 **Score:** 72</t>
  </si>
  <si>
    <t>**Investment Report: PulteGroup, Inc. (PHM)**
 **Recent News:**  
 PulteGroup has demonstrated resilience in the face of challenging macroeconomic conditions, reporting a 17.2% increase in revenue for Q4 2024. This growth was driven by higher home closings and increased average selling prices, despite margin pressures. Administrative cost improvements contributed to robust income growth, with earnings per share (EPS) of $3.50 exceeding both analyst expectations and the prior year's EPS. While new orders declined slightly, the value of these orders rose by 4%, and the company maintains a strong backlog of 10,153 homes valued at $6.5 billion. Despite elevated mortgage rates, PulteGroup continues to benefit from solid housing demand, reflecting its ability to navigate a challenging interest rate environment.
 **Financials:**  
 PulteGroup's financial metrics highlight its strong operational performance. The company boasts a profit margin of 40.37% and EBITDA margins of 71.36%, indicating efficient cost management and profitability. However, earnings growth has contracted by 32.5% year-over-year, reflecting broader economic pressures. The company’s debt-to-equity ratio of 97.57% suggests a relatively high leverage level, though its free cash flow of $2.15 billion and operating cash flow of $3.15 billion provide a solid liquidity cushion. PulteGroup's trailing price-to-earnings (P/E) ratio of 30.70 and forward P/E of 27.98 suggest a premium valuation, which may reflect investor confidence in its growth prospects despite near-term challenges.
 **Valuations:**  
 PulteGroup's stock is trading at a price-to-book (P/B) ratio of 9.85, significantly above the industry average, indicating a high valuation relative to its book value. The stock's dividend yield of 4.02% is attractive, particularly in a high-interest-rate environment, and its payout ratio of 124.48% suggests a commitment to returning value to shareholders, though it may raise concerns about sustainability. The stock's 52-week range of $256.31 to $369.99 places its current price near the lower end, potentially signaling a buying opportunity if the company can sustain its operational momentum.
 **Economic Outlook:**  
 The broader economic environment presents mixed signals for PulteGroup. Elevated mortgage rates and inflationary pressures could dampen housing demand, while the Trump administration's new tariffs may increase material costs, potentially squeezing margins further. However, the company's strong backlog and ability to command higher average selling prices suggest it is well-positioned to weather these challenges. Additionally, the ongoing housing supply-demand imbalance in the U.S. could support long-term growth for homebuilders like PulteGroup.
 **Conclusion:**  
 PulteGroup's strong financial performance, robust backlog, and ability to navigate a challenging macroeconomic environment underscore its resilience. However, elevated valuations, high leverage, and potential margin pressures from rising costs and interest rates warrant caution. The company's ability to sustain demand and manage costs will be critical in determining its near-term performance.
 **Score:** 78</t>
  </si>
  <si>
    <t>**Investment Report:**
 **Recent News:**  
 Prologis has been highlighted as a strong candidate for growth and income-focused portfolios. The company benefits from its strategic positioning in the industrial real estate sector, which is supported by long-term e-commerce growth and limited supply of high-value industrial properties. Additionally, Prologis is leveraging innovative initiatives in renewable energy and data centers, which align with sustainable and forward-looking investment trends. Its 3.2% dividend yield and valuation metrics below historical averages suggest potential for market-beating returns. The firm's resilience against inflationary pressures further strengthens its appeal in the current economic environment.
 **Financials:**  
 Prologis demonstrates robust financial health with a market capitalization of $109.14 billion and a strong profit margin of 37.4%. The company has shown solid earnings growth of 34.5% and revenue growth of 6.8% year-over-year, reflecting its ability to capitalize on favorable market trends. Its EBITDA margin of 69.7% and gross margin of 75.4% underscore operational efficiency. However, the firm's debt-to-equity ratio of 57.08% indicates a moderate level of leverage, which is typical for real estate investment trusts (REITs). Prologis also maintains a healthy free cash flow of $5.02 billion, supporting its dividend payouts and future growth initiatives.
 **Valuations:**  
 Prologis is trading at a price-to-book ratio of 2.06 and a forward price-to-earnings (P/E) ratio of 37.97, which are reasonable given its strong growth prospects and industry leadership. The firm's trailing PEG ratio of 0.58 suggests that its growth is attractively priced relative to its earnings trajectory. Analysts have a positive outlook, with a mean target price of $129.19, representing potential upside from its current trading range. The dividend yield of 3.27% is above its five-year average of 2.47%, making it an attractive option for income-focused investors.
 **Economic Outlook:**  
 The industrial real estate sector is well-positioned to benefit from macroeconomic trends, including the continued expansion of e-commerce and the increasing demand for logistics and distribution centers. Prologis' focus on renewable energy and data centers aligns with the growing emphasis on sustainability and technological innovation. While the broader market faces headwinds from inflationary pressures and trade tensions, Prologis' inflation-resilient business model and strategic asset base provide a degree of insulation. However, rising interest rates could pose a challenge to REITs, as higher borrowing costs may impact profitability.
 **Conclusion:**  
 Prologis is a well-managed industrial REIT with strong fundamentals, a diversified growth strategy, and a focus on innovation. Its ability to navigate inflationary pressures and capitalize on long-term trends in e-commerce and sustainability positions it as a compelling investment in the current market environment. While macroeconomic uncertainties persist, Prologis' operational efficiency and attractive valuation metrics suggest it is well-equipped to deliver steady returns.
 **Score:** 85</t>
  </si>
  <si>
    <t>**Investment Report: Palantir Technologies Inc.**
 **Recent News:**  
 Palantir Technologies Inc. has demonstrated exceptional performance, with its stock surging over 20% in after-hours trading following the release of its fourth-quarter 2024 earnings report. The company exceeded expectations, reporting earnings of $0.14 per share against the consensus estimate of $0.11. Revenue grew by 36% year-over-year, driven by strong demand for its AI-powered software platforms in both U.S. commercial and government sectors. Management's optimistic 2025 forecast of $3.75 billion in revenue and $1.6 billion in free cash flow has further bolstered investor confidence. However, some analysts remain cautious due to Palantir's high valuation, suggesting potential risks of a pullback despite its robust growth trajectory.
 **Financials:**  
 Palantir's financial metrics reflect a mixed picture. The company boasts strong revenue growth of 30% and impressive gross margins of 81.1%, underscoring its operational efficiency. Its free cash flow of $784 million and a quick ratio of 5.55 highlight its solid liquidity position. However, the firm's valuation metrics are notably high, with a trailing P/E ratio of 418.7 and a forward P/E of 137.5, indicating that the stock is priced for significant growth. The price-to-sales ratio of 72.1 and price-to-book ratio of 42.3 further emphasize its premium valuation. While the company has a manageable debt-to-equity ratio of 5.55 and a healthy return on equity of 12.4%, its enterprise value-to-EBITDA ratio of 469.1 suggests that the stock may be overvalued relative to its earnings.
 **Valuations:**  
 Palantir's valuation remains a point of contention. The stock has experienced a remarkable 52-week change of 277%, significantly outperforming the S&amp;P 500's 21.9% gain. However, its current price near its 52-week high of $85.22 raises concerns about limited upside potential in the short term. Analyst sentiment is mixed, with a mean target price of $54.20, well below its current trading levels, and a recommendation mean of 3.23 (indicating a "hold"). The high valuation metrics suggest that the market has already priced in substantial growth, leaving little room for error.
 **Economic Outlook:**  
 The broader economic environment presents both opportunities and risks for Palantir. The company's focus on AI and data analytics positions it well in a rapidly growing industry, particularly as demand for AI-driven solutions continues to expand. However, macroeconomic headwinds, including inflationary pressures from new tariffs and potential trade disruptions, could weigh on its commercial clients. Additionally, the recent global tech market volatility, triggered by the emergence of Chinese AI competitor DeepSeek, underscores the competitive risks in the sector. Palantir's high beta of 2.7 indicates that its stock is likely to experience significant volatility in response to broader market movements.
 **Conclusion:**  
 Palantir Technologies is a leader in the AI and data analytics space, with strong growth prospects and a solid financial position. However, its high valuation and exposure to macroeconomic and competitive risks warrant caution. While the company's recent performance and optimistic outlook are encouraging, the stock's premium pricing suggests limited short-term upside, particularly in a volatile market environment.
 **Score:** 65</t>
  </si>
  <si>
    <t>**Investment Report: Philip Morris International**
 **Recent News:**  
 Philip Morris International (PM) has demonstrated resilience with robust Q3 results, reporting an 8.4% revenue increase and non-GAAP EPS of $1.91, surpassing expectations. This growth was driven by price increases and volume growth, particularly in its smoke-free product segment. The company is also making significant investments, such as the $800 million expansion in the U.S. to capitalize on the rising popularity of Zyn, a smoke-free nicotine pouch. However, challenges persist, including currency volatility, geopolitical risks, and regulatory pressures, which could impact future performance. The company's strong technical chart and shareholder-friendly policies, including dividends and buybacks, provide some stability amidst these uncertainties.
 **Financials:**  
 Philip Morris exhibits a solid financial foundation with a trailing P/E ratio of 11.84 and a forward P/E of 10.17, indicating a relatively attractive valuation compared to its historical averages. The company maintains a dividend yield of 0.64%, though this is below its five-year average of 3.32%. Despite strong earnings growth of 68.5% and revenue growth of 0.9%, the firm faces high debt levels, with a debt-to-equity ratio of 221.63, and negative free cash flow of -$7.39 billion. Gross margins of 38.39% and EBITDA margins of 37.53% reflect operational efficiency, but the company's high leverage and currency risks remain concerns.
 **Valuations:**  
 Philip Morris' price-to-book ratio of 1.21 and enterprise value-to-revenue ratio of 3.70 suggest the stock is fairly valued. Analysts maintain a positive outlook, with a mean target price of $22.25, representing potential upside from current levels. However, the stock's 52-week performance has declined by 3.63%, underperforming the S&amp;P 500's 21.93% gain over the same period. The company's trailing PEG ratio of 0.96 indicates that its growth is reasonably priced, but the high debt burden and geopolitical risks could weigh on future valuations.
 **Economic Outlook:**  
 The broader macroeconomic environment presents mixed signals for Philip Morris. The strong U.S. dollar poses headwinds for international revenue, while new tariffs and trade tensions could disrupt supply chains and increase costs. Regulatory scrutiny on tobacco products and smoke-free alternatives remains a persistent risk. However, the company's focus on smoke-free products aligns with shifting consumer preferences and could drive long-term growth. The recent global technology sector downturn and geopolitical uncertainties may also create broader market volatility, indirectly affecting consumer spending and sentiment.
 **Conclusion:**  
 Philip Morris International is navigating a challenging environment with a mix of strong operational performance and external risks. While its investments in smoke-free products and shareholder returns are commendable, high debt levels, currency volatility, and regulatory pressures warrant caution. The stock appears fairly valued, with limited near-term catalysts for significant upside.
 **Score:** 65</t>
  </si>
  <si>
    <t>**Investment Report: PNC Financial Services Group, Inc.**
 **Recent News:**  
 PNC Financial Services Group has been highlighted as a potential high-growth dividend stock, drawing attention to its strong dividend yield and consistent payout history. With a dividend rate of $6.40 and a yield of 3.19%, PNC offers an attractive income stream for investors. However, the current yield is slightly below its five-year average of 3.57%, suggesting that the stock price has appreciated significantly, which may limit further yield expansion. The company's payout ratio of 52.83% indicates a sustainable dividend policy, balancing shareholder returns with reinvestment in growth opportunities.
 **Financials:**  
 PNC's financial performance reflects a stable position in the diversified banking sector. The stock is trading at a trailing P/E ratio of 14.38 and a forward P/E of 11.44, indicating a reasonable valuation relative to earnings growth expectations. The price-to-book ratio of 1.59 suggests the stock is trading at a premium to its book value, which is typical for a well-established financial institution. PNC's return on equity (ROE) of 9.90% and profit margins of 25.11% demonstrate efficient capital utilization and profitability. However, earnings growth has faced headwinds, with a quarterly decline of 4.1%, reflecting challenges in the current economic environment.
 **Valuations:**  
 PNC's stock has shown resilience, with a 52-week price change of +34.60%, outperforming the S&amp;P 500's 21.93% gain over the same period. The stock is currently trading near its 52-week high of $216.26, suggesting limited upside in the short term. Analyst price targets range from $181 to $257, with a mean target of $218.58, indicating moderate potential for appreciation. The recommendation mean of 2.14 (on a scale where 1.0 is a strong buy) reflects a generally positive outlook from analysts.
 **Economic Outlook:**  
 The broader economic environment presents mixed signals for PNC. The recent implementation of tariffs by the U.S. government and rising inflationary pressures could weigh on consumer and business activity, potentially impacting loan demand and credit quality. However, PNC's strong capital position, with $9.78 billion in cash and a manageable debt load, provides a buffer against economic uncertainty. The company's operating margins of 35.88% and steady revenue growth of 1.7% underscore its ability to navigate challenging conditions. Additionally, PNC's beta of 1.12 suggests moderate sensitivity to market volatility, aligning with its position as a large-cap financial institution.
 **Conclusion:**  
 PNC Financial Services Group is a well-capitalized and profitable bank with a strong dividend profile. While the stock has performed well over the past year, its current valuation and economic headwinds may limit near-term upside. The company's ability to sustain its dividend and navigate a challenging macroeconomic environment will be key factors to monitor.
 **Score:** 78</t>
  </si>
  <si>
    <t>**Investment Report:**
 **Recent News:**  
 Pentair is preparing to release its Q4 earnings, with expectations of gains driven by pricing strategies and its ongoing transformation program. However, these positives may be offset by lower volumes in its Water and Flow segments, reflecting potential challenges in demand. The company's ability to balance these factors will be critical in determining its near-term performance.
 **Financials:**  
 Pentair's financial metrics indicate a mixed picture. The company has a trailing P/E ratio of 25.66 and a forward P/E of 21.25, suggesting moderate valuation levels relative to its earnings growth. Its profit margins stand at 16.29%, and return on equity is a robust 20.41%, indicating efficient use of shareholder capital. However, revenue growth has declined by 1.5% year-over-year, signaling potential headwinds in its core business segments. The company maintains a manageable debt-to-equity ratio of 49.77, supported by a current ratio of 1.60, reflecting adequate liquidity. Free cash flow of $572 million and operating cash flow of $798.7 million provide a solid foundation for ongoing operations and potential investments.
 **Valuations:**  
 Pentair's stock is trading near the midpoint of its 52-week range, with a recent close of $103.68 compared to a high of $110.71. The price-to-book ratio of 4.85 and price-to-sales ratio of 4.14 suggest the stock is priced at a premium relative to its book value and revenue. Analysts have a mean target price of $111.50, indicating limited upside potential in the near term. The dividend yield of 0.96% is below its five-year average of 1.41%, which may not appeal to income-focused investors.
 **Economic Outlook:**  
 The broader macroeconomic environment presents challenges for Pentair. The recent imposition of tariffs by the U.S. administration could increase input costs and disrupt supply chains, particularly for industrial machinery and components. Additionally, inflationary pressures and potential trade tensions may weigh on consumer and industrial demand, impacting Pentair's Water and Flow segments. However, the company's focus on pricing actions and operational efficiency may help mitigate some of these risks.
 **Conclusion:**  
 Pentair's near-term outlook is influenced by its ability to navigate declining volumes in key segments while leveraging pricing strategies and transformation initiatives. While its financial health and operational efficiency remain strong, external economic pressures and valuation concerns may limit significant upside in the next month.
 **Score:** 65</t>
  </si>
  <si>
    <t>**Investment Report: Pinnacle West Capital Corporation (PNW)**
 **Recent News:**  
 There have been no significant developments or news regarding Pinnacle West in the past week. This stability in news flow suggests no immediate external disruptions or catalysts impacting the company.
 **Financials:**  
 Pinnacle West demonstrates a solid financial foundation as a multi-utilities company. The stock is trading near the midpoint of its 52-week range ($65.20 - $95.42), with a recent close at $86.07. The company offers an attractive dividend yield of 4.12%, slightly below its five-year average of 4.38%, indicating consistent shareholder returns. However, the payout ratio of 66.17% suggests a significant portion of earnings is allocated to dividends, leaving less room for reinvestment or debt reduction.  
 The company’s trailing price-to-earnings (P/E) ratio of 16.32 and forward P/E of 18.97 indicate a valuation slightly above the utility sector average, reflecting moderate investor confidence. The price-to-book ratio of 1.49 suggests the stock is reasonably valued relative to its assets. However, the trailing PEG ratio of 3.05 highlights slower earnings growth relative to its valuation, which could be a concern for growth-oriented investors.  
 Pinnacle West's revenue growth of 8% year-over-year is a positive indicator, but earnings growth has declined slightly by 3.7%, reflecting potential cost pressures or operational challenges. The company’s gross margins of 41.81% and operating margins of 31.61% are strong for the utilities sector, showcasing efficient operations. However, the negative free cash flow of -$297.7 million raises concerns about liquidity and the ability to fund future growth or reduce debt.  
 **Valuations:**  
 The stock’s enterprise value-to-revenue ratio of 4.23 and enterprise value-to-EBITDA ratio of 10.74 suggest the company is trading at a premium compared to some peers. Analysts have a median price target of $94.00, implying a potential upside of approximately 9.2% from the current price. The recommendation mean of 2.12 (on a scale where 1.0 is a strong buy) indicates a generally favorable outlook among analysts.  
 **Economic Outlook:**  
 The broader macroeconomic environment presents mixed implications for Pinnacle West. The recent imposition of tariffs and inflationary pressures could increase costs for utilities reliant on imported materials or equipment. However, as a regulated utility, Pinnacle West benefits from stable demand and predictable revenue streams, which may shield it from broader market volatility. The company’s low beta of 0.52 reflects reduced sensitivity to market fluctuations, making it a relatively defensive investment in uncertain times.  
 On the downside, the company’s high debt-to-equity ratio of 168.24% is a concern, particularly in a rising interest rate environment. Elevated debt levels could strain profitability and limit financial flexibility. Additionally, the company’s earnings growth has been slightly negative, which may weigh on investor sentiment if this trend continues.  
 **Conclusion:**  
 Pinnacle West is a stable, income-generating utility with strong operational margins and a reliable dividend. However, its high debt levels, negative free cash flow, and modest earnings growth present challenges. While the stock offers defensive qualities in a volatile market, its valuation appears fair, with limited near-term catalysts for significant upside.  
 **Score:** 72</t>
  </si>
  <si>
    <t>**Investment Report: Insulet Corporation (PODD)**
 **Recent News:**  
 Insulet Corporation has garnered attention due to its continued success with the Omnipod 5, a cutting-edge insulin management system. The product has demonstrated strong market adoption, reinforcing Insulet's position as a leader in diabetes care technology. Additionally, the company’s robust solvency position has been highlighted as a key strength, providing it with the financial flexibility to navigate market challenges and invest in growth opportunities.
 **Financials:**  
 Insulet's financial performance reflects a mixed picture. The company has a market capitalization of $14.2 billion and a price-to-sales ratio of 3.49, indicating a reasonable valuation relative to its revenue. However, its trailing price-to-earnings (P/E) ratio of 819.33 suggests that the stock is priced for significant future growth, which may raise concerns about overvaluation. The forward P/E of 12.18, however, indicates expectations of substantial earnings growth in the near term.  
 Revenue growth of 23.8% year-over-year is a positive indicator, supported by gross margins of 29.3%. However, earnings growth has declined by 28.9%, and the company’s return on assets (-0.12%) and return on equity (0.8%) remain modest. Insulet’s free cash flow of $482.5 million and a low debt-to-equity ratio of 1.15 highlight its strong liquidity and financial health, which are critical in a volatile macroeconomic environment.
 **Valuations:**  
 Insulet’s stock has shown resilience, with a 52-week price change of +24.37%, outperforming the S&amp;P 500’s 21.93% gain over the same period. The stock is trading near its 50-day average of $71.85, suggesting stability despite broader market volatility. Analyst sentiment remains positive, with a mean price target of $79.76 and a recommendation key of "buy." However, the high trailing P/E ratio and modest profit margins (0.8%) suggest that investors are pricing in significant future growth, which may carry risks if expectations are not met.
 **Economic Outlook:**  
 The broader economic environment presents challenges for Insulet. The recent imposition of tariffs by the U.S. government could increase costs for medical device manufacturers, particularly if supply chains are disrupted. Additionally, inflationary pressures and potential Federal Reserve rate hikes may weigh on consumer spending and healthcare budgets. However, Insulet’s focus on innovative healthcare solutions positions it well to benefit from the growing demand for diabetes management technologies, a market with strong secular growth trends.
 **Conclusion:**  
 Insulet Corporation’s strong product portfolio, particularly the Omnipod 5, and its solid financial position make it a compelling player in the healthcare equipment industry. However, the stock’s high valuation metrics and declining earnings growth warrant caution. While the company is well-positioned to capitalize on long-term trends in diabetes care, near-term macroeconomic headwinds and market volatility could pose challenges.
 **Score:** 78</t>
  </si>
  <si>
    <t>**Investment Report: Pool Corporation (POOL)**
 **Recent News:**  
 Pool Corporation (POOL) has garnered attention for its consistent ability to exceed earnings expectations. Analysts suggest that the company is well-positioned to deliver another earnings beat in its upcoming quarterly report. This optimism is driven by its historical performance and the presence of favorable conditions that align with its operational strengths. However, broader economic challenges, including inflationary pressures and potential impacts from tariffs, could weigh on consumer spending and discretionary sectors, such as pool and outdoor living products.
 **Financials:**  
 POOL's financial metrics reflect a mixed picture. The company has a trailing price-to-earnings (P/E) ratio of 28.99 and a forward P/E of 28.32, indicating a premium valuation compared to the broader market. Its dividend yield of 1.39% is modest but supported by a sustainable payout ratio of 39.48%. The firm's return on equity (ROE) of 31.46% and return on assets (ROA) of 11.70% highlight strong profitability and efficient use of assets. However, earnings and revenue growth have shown slight declines, with earnings growth at -6.8% and revenue growth at -2.8% year-over-year, reflecting potential headwinds in demand or cost pressures.
 POOL's balance sheet shows a debt-to-equity ratio of 86.52%, which is relatively high and could pose risks in a rising interest rate environment. The company maintains a healthy current ratio of 2.39, indicating sufficient liquidity to cover short-term obligations. Free cash flow of $464.91 million and operating cash flow of $626.83 million provide a solid foundation for ongoing operations and shareholder returns.
 **Valuations:**  
 The stock is trading at a price-to-book (P/B) ratio of 8.97, significantly above the industry average, suggesting that investors are paying a premium for the company's growth potential and market leadership. The enterprise value-to-revenue ratio of 2.63 and enterprise value-to-EBITDA ratio of 20.59 further indicate a rich valuation. Analysts' target prices range from $335 to $415, with a mean target of $378.40, implying limited upside from current levels. The stock has declined 7.85% over the past year, underperforming the S&amp;P 500, which gained 21.93% in the same period.
 **Economic Outlook:**  
 The broader economic environment presents challenges for POOL. The recent implementation of tariffs by the U.S. administration could increase costs for imported goods, potentially impacting the company's supply chain and profit margins. Additionally, inflationary pressures and rising interest rates may dampen consumer spending on discretionary items, including pool and outdoor living products. However, POOL's strong market position and operational efficiency may help it navigate these challenges better than peers.
 **Conclusion:**  
 While Pool Corporation has a strong track record of earnings performance and robust profitability metrics, its high valuation and exposure to macroeconomic headwinds warrant caution. The company's ability to sustain growth in a challenging environment will be critical in determining its near-term performance. Investors may need to weigh the premium valuation against the potential risks posed by economic uncertainties and slowing growth.
 **Score:** 65</t>
  </si>
  <si>
    <t>**Investment Report: PPG Industries**
 **Recent News:**  
 PPG Industries recently reported weaker-than-expected Q4 earnings, with adjusted EPS of $1.61 missing Wall Street estimates of $1.65. Despite a slight year-over-year improvement from $1.53, the results fell short of expectations, leading analysts to lower their forecasts for FY25. The company also issued FY25 guidance below consensus estimates, signaling potential challenges ahead. While PPG highlighted increased EBITDA margins driven by sales of technology-advantaged products, the overall revenue decline and missed estimates suggest headwinds in demand or pricing power. The market reaction has been negative, with shares trading near their 52-week low.
 **Financials:**  
 PPG Industries' financial metrics reveal a mixed picture. The company has a trailing P/E ratio of 19.58 and a forward P/E of 12.44, indicating potential undervaluation if earnings growth materializes. However, revenue growth has declined by 1.5% year-over-year, reflecting broader economic pressures. The gross margin of 42.7% and EBITDA margin of 15.9% are solid, but operating margins of 13.3% suggest room for efficiency improvements. The company maintains a manageable dividend yield of 2.22% with a payout ratio of 41.68%, supported by stable free cash flow of $1.04 billion. However, a debt-to-equity ratio of 91.28% raises concerns about leverage, especially in a rising interest rate environment.
 **Valuations:**  
 PPG's price-to-book ratio of 3.34 and price-to-sales ratio of 1.44 are reasonable compared to industry peers, but the stock's 52-week performance (-17.5%) lags the S&amp;P 500's gain of 21.9%. Analysts' target prices range from $120 to $166, with a median of $142, suggesting potential upside from the current price of approximately $112. However, the company's lowered guidance and revenue contraction may limit near-term valuation expansion.
 **Economic Outlook:**  
 The broader macroeconomic environment poses challenges for PPG Industries. The recent imposition of tariffs by the U.S. administration could increase input costs for raw materials, pressuring margins further. Additionally, inflationary pressures and slowing global growth may dampen demand for specialty chemicals, particularly in key end markets such as automotive and construction. While the company's focus on technology-advantaged products could provide a competitive edge, the near-term outlook remains clouded by economic uncertainty and geopolitical risks.
 **Conclusion:**  
 PPG Industries faces a challenging environment marked by declining revenue, missed earnings expectations, and macroeconomic headwinds. While the company's valuation metrics and dividend yield provide some support, the combination of lowered guidance, high leverage, and broader economic risks suggests limited upside in the short term. The stock's recent underperformance relative to the market reflects these concerns, and further volatility may persist as investors digest the latest results and guidance.
 **Score:** 55</t>
  </si>
  <si>
    <t>**Investment Report: PPL Corporation**
 **Recent News:**  
 PPL Corporation has been highlighted as a top momentum stock for long-term investment by Zacks Style Scores, which evaluates stocks based on value, growth, and momentum metrics. This recognition underscores the company's potential to deliver consistent performance, particularly in the electric utilities sector, which is often seen as a defensive play during periods of economic uncertainty. However, the broader macroeconomic environment, including inflationary pressures and trade tensions, may pose challenges to the sector's stability.
 **Financials:**  
 PPL Corporation's financial metrics reflect a mixed picture. The company has a trailing price-to-earnings (PE) ratio of 30.46, which is relatively high compared to its forward PE of 18.41, suggesting expectations of improved earnings in the future. The dividend yield of 3.07% is below its five-year average of 4.62%, indicating a potential decline in yield attractiveness. The payout ratio of 91.22% suggests that a significant portion of earnings is allocated to dividends, leaving limited room for reinvestment or growth. Additionally, the company's debt-to-equity ratio of 117.53% highlights a high leverage level, which could be a concern in a rising interest rate environment. 
 PPL's revenue growth of 1.1% and earnings growth decline of -6.9% indicate modest top-line expansion but challenges in profitability. The company's gross margins of 42.47% and EBITDA margins of 39.56% are strong, reflecting operational efficiency. However, the negative free cash flow of -$685 million raises concerns about liquidity and the ability to fund future investments without additional borrowing.
 **Valuations:**  
 PPL's price-to-book ratio of 1.77 is reasonable for the utilities sector, suggesting the stock is not significantly overvalued relative to its assets. The stock's 52-week price change of 30.79% outperformed the S&amp;P 500's 21.93% gain, indicating strong momentum. Analyst sentiment remains positive, with a recommendation mean of 1.88 (buy) and a target median price of $36, implying a potential upside from the current price of $33.60. However, the high short interest ratio of 4.54 and a slight increase in short positions over the past month suggest some skepticism among investors.
 **Economic Outlook:**  
 The electric utilities industry is generally resilient to economic downturns, benefiting from stable demand for essential services. However, the broader macroeconomic environment presents challenges. Rising inflation, trade tensions, and potential interest rate hikes could increase operational costs and borrowing expenses for PPL. Additionally, the company's high leverage and negative free cash flow may limit its ability to navigate these headwinds effectively. On the positive side, PPL's beta of 0.83 indicates lower volatility compared to the broader market, making it a relatively safer investment during periods of market uncertainty.
 **Conclusion:**  
 PPL Corporation demonstrates strong operational efficiency and momentum, supported by positive analyst sentiment and a reasonable valuation. However, concerns about high leverage, declining earnings growth, and negative free cash flow could weigh on its performance, particularly in a challenging macroeconomic environment. While the company remains a stable player in the electric utilities sector, its ability to sustain growth and manage financial risks will be critical in the near term.
 **Score:** 72</t>
  </si>
  <si>
    <t>**Investment Report: Prudential Financial (PRU)**
 **Recent News:**  
 Prudential Financial is set to release its earnings report next week, with Wall Street anticipating growth. However, analysts suggest the company may not meet the key criteria for an earnings beat. This tempered outlook reflects cautious sentiment, likely influenced by broader economic uncertainties and sector-specific challenges. Prudential's performance will be closely watched, particularly in light of its exposure to macroeconomic factors such as inflation and interest rate trends, which significantly impact the life and health insurance industry.
 **Financials:**  
 Prudential's financial metrics indicate a stable but cautious position. The company has a trailing price-to-earnings (P/E) ratio of 10.59 and a forward P/E of 8.27, suggesting it is undervalued relative to its earnings potential. Its dividend yield of 4.31% is attractive, supported by a payout ratio of 45.86%, which indicates a sustainable dividend policy. The firm's book value per share stands at $85.46, with a price-to-book ratio of 1.39, further underscoring its reasonable valuation. Prudential's market capitalization is $42.3 billion, and it has a robust cash position of $40.27 billion, though its debt-to-equity ratio of 141.51% highlights significant leverage. 
 The company's revenue growth of 1.33% year-over-year is modest but steady, with total revenue of $72.97 billion. Operating margins of 2.84% and return on equity (ROE) of 13.77% reflect efficient operations, though return on assets (ROA) is low at 0.45%, typical for the insurance sector. Prudential's free cash flow of $19.63 billion provides flexibility for debt servicing and shareholder returns.
 **Valuations:**  
 Prudential's valuation metrics suggest it is trading at a discount compared to its historical averages and peers. The trailing PEG ratio of 0.52 indicates strong growth potential relative to its valuation. Analyst price targets range from $101 to $149, with a median target of $128, implying moderate upside from the current price of $118.70. However, the recommendation mean of 2.88 (on a scale where 1 is "Strong Buy" and 5 is "Sell") suggests a "Hold" consensus among analysts, reflecting mixed sentiment.
 **Economic Outlook:**  
 The broader economic environment presents both challenges and opportunities for Prudential. Rising inflation and potential Federal Reserve hawkishness could impact investment returns and policyholder behavior. However, higher interest rates generally benefit insurers by improving investment income from fixed-income portfolios. Prudential's exposure to global markets and its diversified product offerings position it to navigate these dynamics, though the recent implementation of tariffs and geopolitical uncertainties could weigh on consumer confidence and economic growth.
 **Conclusion:**  
 Prudential Financial is a fundamentally sound company with attractive valuation metrics and a strong dividend yield. However, its high leverage and modest revenue growth warrant caution. The upcoming earnings report will be a critical indicator of its ability to navigate current economic challenges and capitalize on opportunities in a rising interest rate environment. While the stock appears undervalued, broader market volatility and sector-specific risks may limit near-term upside.
 **Score:** 72</t>
  </si>
  <si>
    <t>**Investment Report: Public Storage (PSA)**
 **Recent News:**  
 Public Storage, a leader in the self-storage REITs industry, continues to benefit from its strong brand presence and strategic acquisitions. However, the firm faces challenges from softer demand in the self-storage market and rising interest expenses, which could weigh on its profitability. The company's ability to maintain its competitive edge in a need-based industry remains a key strength, but macroeconomic pressures, including higher borrowing costs, may limit near-term growth.
 **Financials:**  
 Public Storage's financial performance reflects a mixed outlook. The company has a trailing P/E ratio of 7.43 and a forward P/E of 7.91, indicating a relatively low valuation compared to historical averages. Its profit margins stand at 16.64%, supported by steady revenue growth of 11.8% year-over-year. The firm has a strong return on equity (ROE) of 26.7%, showcasing efficient capital utilization. However, its debt-to-equity ratio of 19.41 highlights significant leverage, which could become a concern in a rising interest rate environment. The dividend yield of 0.78% is below its five-year average, reflecting a conservative payout strategy.
 **Valuations:**  
 Public Storage's price-to-book ratio of 1.94 and price-to-sales ratio of 1.29 suggest the stock is trading at a reasonable valuation relative to its assets and revenue. Analysts have a median price target of $136, implying potential upside from the current trading levels. The company's enterprise value-to-EBITDA ratio of 6.34 indicates a fair valuation compared to peers in the REIT sector. However, the stock's beta of 1.64 suggests higher volatility, which could amplify risks in the current uncertain market environment.
 **Economic Outlook:**  
 The broader economic environment presents both opportunities and challenges for Public Storage. Rising inflation and higher interest rates could increase operating and financing costs, pressuring margins. Additionally, the recent implementation of tariffs and trade tensions may indirectly affect consumer spending and demand for self-storage services. On the positive side, the self-storage industry is relatively resilient during economic downturns, as individuals and businesses often require storage solutions during periods of transition or uncertainty.
 **Conclusion:**  
 Public Storage's strong brand and strategic positioning in the self-storage industry provide a solid foundation for long-term growth. However, near-term headwinds, including softer demand and rising interest expenses, could limit upside potential. While the stock appears reasonably valued, macroeconomic uncertainties and elevated leverage warrant caution in the short term.
 **Score:** 72</t>
  </si>
  <si>
    <t>**Investment Report: Phillips 66**
 **Recent News:**  
 Phillips 66 reported a fourth-quarter loss of $0.15 per share, underperforming Wall Street's consensus estimate of a $0.03 loss but surpassing the Zacks Consensus Estimate of a $0.20 loss. This marks a sharp decline from the prior year's earnings of $3.09 per share. The loss was driven by weaker refining margins, lower crude oil prices, and rising operational costs. Despite the earnings miss, the company exceeded revenue expectations, reflecting its ability to maintain strong sales even in a challenging environment. However, the decline in refining margins and the broader macroeconomic pressures on the energy sector have weighed heavily on profitability.
 **Financials:**  
 Phillips 66's financial metrics reveal a mixed picture. The company has a trailing price-to-earnings (P/E) ratio of 23.62, which is relatively high compared to its forward P/E of 9.66, indicating expectations of improved earnings in the future. The dividend yield of 3.81% is attractive, supported by a payout ratio of 56.19%, which suggests the dividend is sustainable under current conditions. However, the company's earnings growth has contracted significantly (-82.5%), and revenue growth has declined by 10.4%, reflecting the challenges in the refining and marketing industry. The debt-to-equity ratio of 67.14% indicates a moderately leveraged balance sheet, which could pose risks in a rising interest rate environment. 
 Phillips 66's return on equity (ROE) of 11.12% and return on assets (ROA) of 2.87% are modest, reflecting the impact of declining margins. The company’s gross margin of 9.94% and EBITDA margin of 3.77% are relatively low, highlighting the pressure on profitability. Free cash flow of $921 million and operating cash flow of $5.18 billion provide some financial flexibility, but the company’s ability to navigate current headwinds will be critical.
 **Valuations:**  
 Phillips 66 is trading at a price-to-book (P/B) ratio of 1.69, which is reasonable for the industry. The stock is currently priced near its 52-week low of $108.91, significantly below its 52-week high of $174.08, reflecting the market's cautious sentiment. Analysts have a median price target of $139, suggesting potential upside from the current price of approximately $117. However, the stock's 52-week change of -19.22% underperforms the S&amp;P 500's gain of 21.93%, indicating relative weakness in the energy sector.
 **Economic Outlook:**  
 The broader macroeconomic environment presents challenges for Phillips 66. The recent imposition of tariffs by the U.S. administration could disrupt global trade and supply chains, potentially impacting crude oil prices and refining margins. Additionally, inflationary pressures and rising interest rates may increase operational costs and reduce consumer demand for refined products. The ongoing volatility in energy markets, exacerbated by geopolitical tensions and sanctions on Russia's energy sector, adds further uncertainty. However, Phillips 66's diversified operations and strong institutional ownership (75%) may provide some resilience.
 **Conclusion:**  
 Phillips 66 faces significant near-term challenges, including declining refining margins, weaker crude prices, and rising costs. While the company has a solid dividend yield and reasonable valuation metrics, its earnings contraction and macroeconomic headwinds weigh on its outlook. The stock's current price near its 52-week low may offer a potential entry point for long-term investors, but the near-term risks remain elevated.
 **Score:** 65</t>
  </si>
  <si>
    <t>**Investment Report:**
 **Recent News:**  
 PTC Inc. is set to report its fiscal first-quarter earnings, with expectations that its performance has been supported by demand for its Product Lifecycle Management (PLM) and Computer-Aided Design (CAD) solutions. Despite a challenging sales environment, the company’s realignment of its go-to-market strategy is anticipated to have bolstered its ability to capture demand. This strategic shift could position PTC to maintain resilience in a volatile macroeconomic climate, particularly as businesses increasingly prioritize digital transformation and efficiency.
 **Financials:**  
 PTC's financial metrics reflect a mixed picture. The company has a trailing price-to-earnings (PE) ratio of 60.86, which is significantly higher than its forward PE of 27.28, indicating expectations of robust earnings growth. Its market capitalization stands at $22.85 billion, with a profit margin of 16.37% and revenue growth of 14.6% year-over-year. The company’s gross margins are strong at 80.65%, showcasing its ability to maintain profitability despite rising costs. However, its debt-to-equity ratio of 60.05% suggests a relatively high level of leverage, which could pose risks in a rising interest rate environment. PTC’s return on equity (ROE) of 12.78% and return on assets (ROA) of 5.82% indicate moderate efficiency in generating returns from its equity and assets.
 **Valuations:**  
 PTC’s valuation metrics suggest a premium pricing relative to its peers in the application software industry. Its price-to-sales ratio of 9.94 and price-to-book ratio of 7.10 are elevated, reflecting high investor expectations for future growth. The company’s enterprise value-to-revenue ratio of 10.65 and enterprise value-to-EBITDA ratio of 35.04 further highlight its premium valuation. Analysts remain optimistic, with a mean target price of $212.82, representing potential upside from its current trading levels. The recommendation mean of 1.75 (on a scale where 1.0 is a strong buy) underscores positive sentiment among analysts.
 **Economic Outlook:**  
 PTC operates in a challenging macroeconomic environment marked by inflationary pressures, trade tensions, and geopolitical uncertainties. The recent imposition of tariffs by the U.S. government could disrupt supply chains and increase costs for businesses, potentially impacting demand for PTC’s solutions. However, the company’s focus on PLM and CAD software aligns with long-term trends in digital transformation and automation, which could provide a tailwind for growth. Additionally, its strong operating cash flow of $749.98 million and robust earnings growth of 172.8% year-over-year position it to weather short-term economic headwinds.
 **Conclusion:**  
 PTC Inc. demonstrates strong fundamentals, including solid revenue growth, high gross margins, and a promising outlook for earnings expansion. However, its elevated valuation and high leverage introduce risks, particularly in a volatile macroeconomic environment. The company’s ability to capitalize on demand for its PLM and CAD solutions while navigating economic challenges will be critical to its near-term performance.
 **Score:** 78</t>
  </si>
  <si>
    <t>**Investment Report: Quanta Services (PWR)**
 **Recent News:**  
 Quanta Services has garnered bullish sentiment from Wall Street analysts, with a recommendation mean of 1.72, indicating a "Buy" consensus. Analysts have set a target median price of $354.5, suggesting potential upside from its current trading range. The firm operates in the Construction &amp; Engineering industry, which is poised to benefit from infrastructure investments and renewable energy projects. However, broader market volatility, driven by geopolitical tensions and trade tariffs, could weigh on investor sentiment in the near term.
 **Financials:**  
 Quanta Services demonstrates robust financial performance, with total revenue of $22.9 billion and revenue growth of 15.5% year-over-year. The company maintains a healthy profit margin of 3.54% and a return on equity of 12.7%, reflecting efficient capital utilization. Its trailing P/E ratio of 55.79 and forward P/E of 29.45 indicate a premium valuation, likely due to its growth prospects. The firm has a manageable debt-to-equity ratio of 70.63 and generates strong free cash flow of $1.83 billion, supporting its ability to fund operations and growth initiatives.
 **Valuations:**  
 Quanta Services trades at a price-to-book ratio of 6.3 and a price-to-sales ratio of 1.95, which are elevated compared to industry averages. The stock has experienced a 52-week change of +49.25%, significantly outperforming the S&amp;P 500's 21.93% gain over the same period. While the company's valuation metrics suggest it is priced for growth, its trailing PEG ratio of 1.83 indicates that its earnings growth may justify the premium.
 **Economic Outlook:**  
 The Construction &amp; Engineering industry is positioned to benefit from increased infrastructure spending, particularly in renewable energy and grid modernization projects. However, macroeconomic headwinds, including inflationary pressures from new tariffs and potential trade disruptions, could impact input costs and project timelines. Quanta Services' exposure to these risks may affect its near-term profitability. Additionally, the broader market's reaction to geopolitical developments and rising interest rates could influence investor sentiment toward cyclical industries like construction.
 **Conclusion:**  
 Quanta Services is a well-positioned player in the Construction &amp; Engineering sector, with strong financials and growth prospects. However, its premium valuation and exposure to macroeconomic risks warrant caution. The firm's ability to navigate these challenges while capitalizing on infrastructure and renewable energy opportunities will be critical to its performance in the coming months.
 **Score:** 78</t>
  </si>
  <si>
    <t>**Investment Report:**
 **Recent News:**  
 PayPal is positioned as a "catalyst-rich battleground stock" for 2025, with its upcoming Q4 earnings report drawing significant attention. Analysts anticipate a potential earnings beat, supported by strategic partnerships such as its collaboration with Visa to enhance social payment capabilities. PayPal's Venmo platform and partnerships with Meta further solidify its competitive edge in the digital payments space. Additionally, PayPal-backed Formance's $21 million funding round to expand open-source financial infrastructure highlights the company's focus on innovation and long-term growth. However, the macroeconomic environment remains challenging, with inflationary pressures and trade tensions potentially impacting consumer spending and transaction volumes. The PYPY ETF, which combines PayPal stock with options, has been flagged as risky despite its high yield, reflecting mixed sentiment around the stock's near-term volatility.
 **Financials:**  
 PayPal's financial performance reflects a solid foundation, with a market capitalization of $89.7 billion and a forward P/E ratio of 18.27, indicating a reasonable valuation relative to its growth prospects. The company has demonstrated steady revenue growth of 5.8% year-over-year, with gross margins of 40.1% and operating margins of 18.2%, showcasing its profitability. Free cash flow of $3.76 billion and a strong cash position of $11.9 billion provide financial flexibility for strategic investments and debt management. However, earnings growth of 6.5% and a slight decline in quarterly earnings growth (-1%) suggest some pressure on profitability. The debt-to-equity ratio of 65.72% is manageable but warrants monitoring in a rising interest rate environment.
 **Valuations:**  
 PayPal's current price-to-book ratio of 4.46 and price-to-sales ratio of 2.85 suggest a premium valuation, supported by its strong market position and growth potential. The stock has outperformed the S&amp;P 500 over the past year, with a 52-week change of 39%, compared to the S&amp;P's 21.9%. Analyst sentiment remains positive, with a mean price target of $96.25, representing an upside from its recent trading range. However, the stock's beta of 1.44 indicates higher volatility, which could be exacerbated by macroeconomic uncertainties and competitive pressures in the fintech space.
 **Economic Outlook:**  
 The broader economic environment presents both opportunities and risks for PayPal. While its digital payment solutions are well-positioned to benefit from the ongoing shift toward cashless transactions, inflationary pressures and potential trade disruptions could weigh on consumer spending and cross-border payment volumes. Additionally, the recent global tech market selloff, triggered by advancements in Chinese AI, underscores the competitive landscape and the need for PayPal to maintain its innovation edge. Despite these challenges, PayPal's strategic partnerships and focus on expanding its ecosystem position it for resilience and long-term growth.
 **Score:** 78</t>
  </si>
  <si>
    <t>**Investment Report: Qualcomm**
 **Recent News:**  
 Qualcomm remains a dominant player in wireless connectivity, AI, and IoT markets, but its reliance on key customers like Apple, Samsung, and Xiaomi introduces risks. Apple's ongoing development of in-house modems could reduce Qualcomm's revenue from one of its largest clients. Additionally, Qualcomm's push into the PC market faces stiff competition from established players like Intel and AMD, which could limit its growth in this segment. Despite these challenges, Qualcomm's diversification into AI and IoT markets is promising, though these efforts have not yet been fully recognized by investors. Wall Street analysts are optimistic about Qualcomm's upcoming Q1 earnings, with expectations of an earnings beat, reflecting confidence in its near-term performance.
 **Financials:**  
 Qualcomm's financial position is solid, with a market capitalization of $188.18 billion and a forward P/E ratio of 13.97, indicating a reasonable valuation relative to its growth prospects. The company has a strong dividend yield of 1.97%, supported by a manageable payout ratio of 36.91%, making it attractive for income-focused investors. Qualcomm's revenue growth of 18.7% and earnings growth of 94.1% highlight its ability to generate robust profitability. The company also boasts healthy margins, with gross margins at 56.21% and operating margins at 26.25%. Its return on equity (42.25%) and return on assets (12.07%) further underscore its operational efficiency. However, a debt-to-equity ratio of 58.77% suggests moderate leverage, which could be a concern in a rising interest rate environment.
 **Valuations:**  
 Qualcomm's trailing P/E ratio of 19.04 and price-to-book ratio of 7.21 suggest it is trading at a premium compared to some peers in the semiconductor industry. However, its forward P/E ratio and PEG ratio of 1.70 indicate that the market expects strong earnings growth, which could justify its current valuation. Analysts' target prices range from $160 to $270, with a mean target of $202.61, suggesting potential upside from its current price of $172.93.
 **Economic Outlook:**  
 The broader semiconductor industry faces headwinds from the recent global tech market crash, driven by competition from Chinese AI advancements like DeepSeek. Qualcomm's exposure to the smartphone market, which is sensitive to global economic conditions, could also be impacted by trade tensions and tariffs imposed by the U.S. administration. However, Qualcomm's diversification into AI and IoT markets positions it well to capitalize on long-term growth trends in these transformative industries. The company's strong cash position ($13.3 billion) and free cash flow ($8.92 billion) provide it with the flexibility to invest in innovation and weather economic uncertainties.
 **Conclusion:**  
 Qualcomm's strong fundamentals, robust demand trends, and diversification efforts into AI and IoT markets make it a compelling player in the semiconductor industry. However, risks from customer concentration, competition in new markets, and macroeconomic challenges could weigh on its near-term performance. While the company is well-positioned for long-term growth, the current market volatility and industry-specific pressures warrant cautious optimism.
 **Score:** 78</t>
  </si>
  <si>
    <t>**Investment Report: Royal Caribbean Group**
 **Recent News:**  
 Royal Caribbean Group has recently achieved a 52-week high, driven by a strong fourth-quarter earnings report that exceeded expectations. The company’s stock surged nearly 15% in a week, reflecting robust global demand for cruises, higher pricing, and increased onboard revenue. Additionally, the announcement of luxury river cruises in Europe under its premium Celebrity Cruises brand, set to launch in 2027, highlights the company’s strategic focus on diversifying its offerings and targeting affluent travelers. While the company’s performance has attracted investor interest, analysts caution that sustaining this momentum will require continued execution in a competitive and economically uncertain environment.
 **Financials:**  
 Royal Caribbean’s financial performance reflects strong operational recovery and growth. The company reported a trailing price-to-earnings (P/E) ratio of 40.27 and a forward P/E of 26.56, indicating expectations of continued earnings growth. Revenue growth of 12.9% year-over-year and gross margins of 69.68% underscore the company’s ability to capitalize on rising demand and pricing power. However, the company’s debt-to-equity ratio of 45.24% and relatively low quick and current ratios (0.384 and 0.484, respectively) suggest a leveraged balance sheet, which could pose risks in a rising interest rate environment. Free cash flow of $2.05 billion and operating cash flow of $2.29 billion provide some financial flexibility, but the company’s total debt of $8.38 billion remains a key consideration.
 **Valuations:**  
 Royal Caribbean’s stock is trading at a price-to-book ratio of 3.34, reflecting a premium valuation compared to its book value. The enterprise value-to-revenue ratio of 9.79 and enterprise value-to-EBITDA ratio of 24.27 suggest that the market is pricing in significant growth expectations. Analyst price targets range from $540 to $778, with a mean target of $631.88, indicating potential upside from current levels. The company’s dividend yield of 0.61% is modest, but its payout ratio of 21.61% suggests room for future dividend growth.
 **Economic Outlook:**  
 The broader economic environment presents both opportunities and risks for Royal Caribbean. On the positive side, pent-up demand for travel and leisure experiences continues to drive strong bookings, particularly in the premium and luxury segments. However, macroeconomic headwinds, including inflationary pressures, rising interest rates, and potential trade disruptions from new tariffs, could impact consumer discretionary spending. Additionally, the company’s exposure to fuel costs and geopolitical risks in key markets could affect profitability. The recent volatility in global markets, particularly in the technology sector, may also influence investor sentiment toward cyclical industries like travel and leisure.
 **Conclusion:**  
 Royal Caribbean Group is well-positioned to benefit from strong demand in the cruise industry and its strategic initiatives to expand into new markets. However, its leveraged balance sheet and exposure to macroeconomic risks warrant careful monitoring. While the company’s recent performance and growth prospects are compelling, external factors such as economic uncertainty and competitive pressures could influence its trajectory in the near term.
 **Score:** 78</t>
  </si>
  <si>
    <t>**Investment Report: Regency Centers (REG)**
 **Recent News:**  
 Regency Centers is set to release its Q4 earnings, with expectations that its grocery-anchored retail properties have continued to drive stable foot traffic. This necessity-driven model provides resilience in uncertain economic conditions. However, the firm faces challenges from rising interest expenses, which could weigh on profitability. The broader macroeconomic environment, including inflationary pressures and higher borrowing costs, may exacerbate these challenges, particularly for real estate investment trusts (REITs) reliant on debt financing.
 **Financials:**  
 Regency Centers demonstrates solid financial metrics, with a market capitalization of $13.12 billion and a dividend yield of 3.93%, slightly below its five-year average of 4.24%. The company’s trailing price-to-earnings (P/E) ratio of 33.90 and forward P/E of 34.82 suggest a premium valuation relative to its earnings growth. The firm’s revenue growth of 8.9% and earnings growth of 8% reflect steady operational performance, supported by strong gross margins of 71% and EBITDA margins of 61.6%. However, its debt-to-equity ratio of 66.82 indicates significant leverage, which could pose risks in a rising interest rate environment. Regency’s free cash flow of $626.7 million and operating cash flow of $770.7 million provide some cushion for debt servicing and dividend payouts.
 **Valuations:**  
 Regency Centers trades at a price-to-book ratio of 1.99, indicating a moderate premium to its book value. Its enterprise value-to-EBITDA ratio of 19.53 suggests the stock is priced higher than some peers in the retail REIT sector. Analyst sentiment remains positive, with a recommendation mean of 1.75 (Buy) and a target median price of $79, implying potential upside from its current price of approximately $71. However, the firm’s trailing PEG ratio of 4.38 indicates that its valuation may not be fully justified by its growth prospects.
 **Economic Outlook:**  
 The retail REIT sector faces headwinds from macroeconomic factors, including inflationary pressures and higher interest rates, which increase borrowing costs and reduce consumer spending power. Regency Centers’ focus on grocery-anchored properties provides some insulation, as these assets tend to perform well even in economic downturns. However, the firm’s high interest expenses and reliance on debt financing could limit its ability to capitalize on growth opportunities. Additionally, the broader market volatility, driven by geopolitical tensions and trade uncertainties, may weigh on investor sentiment toward REITs.
 **Conclusion:**  
 Regency Centers benefits from a resilient business model centered on necessity-driven retail, which supports stable cash flows and dividend payouts. However, its high leverage and premium valuation present risks, particularly in the current macroeconomic environment. While the firm’s operational performance remains strong, rising interest expenses and broader economic challenges could pressure its near-term financial results.
 **Score:** 68</t>
  </si>
  <si>
    <t>**Investment Report: Regeneron Pharmaceuticals (REGN)**
 **Recent News:**  
 Regeneron Pharmaceuticals is expected to report a decline in Q4 earnings, with analysts suggesting the company may not meet the key metrics required for an earnings beat. This sentiment reflects potential challenges in maintaining its recent growth trajectory, possibly due to increased competition, higher costs, or slowing demand for its key products. The market's cautious outlook on Regeneron's upcoming earnings report has likely contributed to recent volatility in its stock price.
 **Financials:**  
 Regeneron demonstrates solid profitability metrics, with a profit margin of 26.69% and operating margins of 46.98%, indicating strong operational efficiency. The company has shown revenue growth of 15.6% year-over-year, supported by total revenue of $6.56 billion. However, its earnings quarterly growth of 22.8% may not be sufficient to offset concerns about future performance. The trailing P/E ratio of 12.46 and forward P/E of 9.71 suggest the stock is relatively undervalued compared to its peers, but the trailing PEG ratio of 4.74 indicates that growth may not be as robust as expected. 
 The company maintains a healthy balance sheet, with a book value of $18.63 per share and a price-to-book ratio of 1.29, reflecting a reasonable valuation relative to its assets. Additionally, Regeneron has a strong cash flow position, with $2.67 billion in operating cash flow, which provides flexibility for future investments or shareholder returns.
 **Valuations:**  
 Regeneron's stock has experienced a 52-week change of +37.96%, outperforming the S&amp;P 500's 21.93% gain over the same period. The stock is trading near its 50-day average of $24.94, suggesting limited momentum in the short term. Analyst price targets range from $23.00 to $32.00, with a median target of $28.00, indicating potential upside from current levels. The dividend yield of 4.08% is attractive, though the payout ratio of 54.8% suggests limited room for significant dividend growth.
 **Economic Outlook:**  
 The broader economic environment presents mixed signals for Regeneron. The biotechnology sector may face headwinds from inflationary pressures and potential trade disruptions due to new tariffs, which could increase costs for raw materials and supply chain operations. However, the company's focus on innovative treatments and its strong institutional ownership (80.93%) provide a degree of resilience. The recent global technology market crash has not directly impacted Regeneron, but broader market volatility could weigh on investor sentiment.
 **Conclusion:**  
 While Regeneron remains a fundamentally strong company with solid profitability and growth metrics, the anticipated decline in Q4 earnings and broader economic uncertainties may limit its near-term upside. The stock's valuation appears reasonable, but concerns about future growth and earnings performance could keep it under pressure in the short term.
 **Score:** 72</t>
  </si>
  <si>
    <t>**Investment Report: Regions Financial Corporation**
 **Recent News:**  
 Regions Financial Corporation is positioned for a potential turnaround, with profits expected to grow by at least 10% over the next two years after a period of earnings decline. The company’s strong geographic presence in high-growth areas of the U.S. provides a competitive advantage, offering opportunities for expansion and customer acquisition. Additionally, its significant base of non-interest-bearing deposits, which accounts for over 31% of its total deposits, is a notable strength compared to peers, potentially reducing funding costs and enhancing profitability.
 **Financials:**  
 Regions Financial demonstrates solid financial metrics, with a market capitalization of $69.2 billion and a trailing price-to-earnings (P/E) ratio of 35.37. The forward P/E ratio of 32.54 suggests expectations of earnings growth. The company’s return on equity (ROE) of 18.28% and return on assets (ROA) of 6.33% indicate efficient use of capital and assets. Revenue growth of 6.5% and earnings growth of 18.5% reflect improving operational performance. However, the debt-to-equity ratio of 114.52% highlights a relatively high leverage level, which could pose risks in a rising interest rate environment. The dividend yield of 1.07% is modest but supported by a sustainable payout ratio of 34.96%.
 **Valuations:**  
 Regions Financial’s price-to-book (P/B) ratio of 6.17 is higher than the industry average, suggesting the stock may be overvalued relative to its book value. However, the company’s strong profit margins, including a net margin of 12.46% and EBITDA margin of 30.38%, support its premium valuation. Analysts maintain a positive outlook, with a mean target price of $224.27, representing a slight upside from the current price. The recommendation mean of 2.09 (on a scale where 1 is a strong buy) indicates a generally favorable sentiment among analysts.
 **Economic Outlook:**  
 The broader economic environment presents both opportunities and challenges for Regions Financial. The company’s exposure to high-growth regions in the U.S. positions it to benefit from local economic expansion. However, macroeconomic headwinds, including inflationary pressures and potential Federal Reserve rate hikes, could impact borrowing costs and loan demand. Additionally, the recent implementation of tariffs and trade tensions may create uncertainty in the broader market, potentially affecting consumer and business confidence.
 **Conclusion:**  
 Regions Financial Corporation is well-positioned for long-term growth, supported by its geographic footprint, strong deposit base, and improving profitability. While the company faces risks from high leverage and potential macroeconomic challenges, its operational strengths and growth prospects make it a compelling player in the regional banking sector.
 **Score:** 78</t>
  </si>
  <si>
    <t>**Investment Report: Raymond James Financial (RJF)**
 **Recent News:**  
 Raymond James Financial (RJF) reported strong fiscal Q1 earnings, with earnings per share (EPS) of $2.93, surpassing Wall Street's consensus estimate of $2.75. This marks a significant improvement from the $2.40 EPS reported in the same quarter last year, reflecting a 22% year-over-year growth. The company's robust performance was driven by strength in its investment banking (IB) and trading businesses, as well as contributions from past acquisitions. This positive momentum has bolstered investor confidence, as evidenced by a rise in the stock price following the earnings announcement. However, broader market volatility and macroeconomic uncertainties may temper the stock's near-term trajectory.
 **Financials:**  
 Raymond James exhibits solid financial health, with a trailing price-to-earnings (P/E) ratio of 16.21 and a forward P/E of 13.93, suggesting a reasonable valuation relative to its earnings growth. The company has a strong return on equity (ROE) of 19.35%, indicating efficient use of shareholder capital. Revenue growth of 13.2% year-over-year and earnings growth of 41.7% highlight the firm's ability to capitalize on favorable market conditions. Additionally, the firm's gross margins of 93.39% and operating margins of 22.5% underscore its operational efficiency. With a dividend yield of 1.16% and a low payout ratio of 18.56%, Raymond James maintains a sustainable dividend policy, appealing to income-focused investors.
 The firm's balance sheet is robust, with $14.85 billion in cash and a manageable debt-to-equity ratio of 45.92%. This financial flexibility positions the company well to navigate potential economic headwinds and pursue growth opportunities. The stock has appreciated 51.3% over the past year, significantly outperforming the S&amp;P 500's 21.9% gain, reflecting strong investor sentiment.
 **Valuations:**  
 Raymond James' price-to-book (P/B) ratio of 3.07 is slightly elevated compared to historical averages but remains reasonable given its strong earnings growth and market positioning. The stock's trailing PEG ratio of 2.04 suggests that its valuation is aligned with its growth prospects. Analyst sentiment remains positive, with a mean target price of $174.79, implying modest upside potential from current levels. The recommendation mean of 2.375 (between "Buy" and "Hold") indicates cautious optimism among analysts.
 **Economic Outlook:**  
 The broader economic environment presents mixed signals for Raymond James. On one hand, the company's investment banking and trading segments could benefit from increased market activity and volatility. On the other hand, macroeconomic headwinds, including inflationary pressures, rising interest rates, and geopolitical uncertainties, may weigh on investor sentiment and market performance. Additionally, the recent implementation of tariffs by the U.S. government could disrupt global trade and supply chains, potentially impacting the firm's corporate clients and deal flow.
 Despite these challenges, Raymond James' diversified business model and strong financial position provide resilience. The firm's ability to adapt to changing market conditions and leverage its competitive advantages in investment banking and wealth management should support its long-term growth prospects.
 **Score:** 78</t>
  </si>
  <si>
    <t>**Investment Report: Ralph Lauren Corporation**
 **Recent News:**  
 Ralph Lauren Corporation is expected to deliver strong Q3 earnings, driven by its robust brand momentum, diversified product offerings, and expanding e-commerce capabilities. The company's ability to maintain a premium brand image and adapt to digital trends positions it well in the competitive apparel and luxury goods market. However, broader macroeconomic challenges, including inflationary pressures and potential consumer spending slowdowns, could temper growth expectations.
 **Financials:**  
 Ralph Lauren's financial performance reflects a solid foundation. The company has a market capitalization of $15.28 billion and a trailing P/E ratio of 23.45, indicating a premium valuation relative to earnings. Its forward P/E of 18.59 suggests expectations of earnings growth. The company has demonstrated steady revenue growth of 5.7% year-over-year, with gross margins of 67.5%, highlighting its pricing power and operational efficiency. Additionally, a dividend yield of 1.32% and a payout ratio of 30% indicate a commitment to returning value to shareholders while maintaining financial flexibility.
 The balance sheet shows a current ratio of 1.72 and a quick ratio of 1.12, reflecting adequate liquidity to meet short-term obligations. However, a debt-to-equity ratio of 109.24% signals a relatively high leverage level, which could pose risks in a rising interest rate environment. Free cash flow of $793.9 million and operating cash flow of $1.1 billion provide a cushion for ongoing investments and debt servicing.
 **Valuations:**  
 Ralph Lauren's stock is trading near its 52-week high of $260.77, with a price-to-book ratio of 6.25, indicating a premium valuation compared to its book value. The stock has outperformed the S&amp;P 500 over the past year, with a 52-week change of 69.47% versus the S&amp;P's 21.93%. Analyst sentiment remains positive, with a mean recommendation of "buy" and a target median price of $257, close to its current trading levels. This suggests limited upside potential in the near term unless the company significantly exceeds earnings expectations.
 **Economic Outlook:**  
 The broader economic environment presents mixed signals for Ralph Lauren. While the company's premium positioning may insulate it from some consumer spending volatility, inflationary pressures and potential trade disruptions from new tariffs could impact input costs and supply chains. Additionally, the recent tech sector downturn and market volatility may weigh on consumer confidence, potentially affecting discretionary spending on luxury goods. However, Ralph Lauren's strong brand equity and e-commerce growth could help mitigate these risks.
 **Conclusion:**  
 Ralph Lauren Corporation is well-positioned to deliver solid Q3 results, supported by its strong brand, operational efficiency, and e-commerce expansion. However, its high valuation, leverage levels, and potential macroeconomic headwinds warrant caution. While the company remains a leader in its industry, near-term upside may be limited unless it significantly outperforms expectations or macroeconomic conditions improve.
 **Score:** 75</t>
  </si>
  <si>
    <t>**Investment Report:**
 **Recent News:**  
 ResMed Inc. has demonstrated robust financial performance in its fiscal 2025 second quarter, with earnings per share (EPS) of $2.43 exceeding analyst expectations of $2.32. Revenue also surpassed forecasts, reaching $1.282 billion compared to the anticipated $1.266 billion. This growth was primarily driven by strong demand for its sleep apnea and respiratory care devices. Despite these positive results, the stock has experienced volatility, reflecting broader market uncertainties and investor caution. ResMed's position in a buy zone suggests optimism for continued growth, but the stock's recent fluctuations highlight the need for careful monitoring of market sentiment.
 **Financials:**  
 ResMed's financial metrics indicate a solid foundation. The company boasts a trailing price-to-earnings (PE) ratio of 16.49 and a forward PE of 14.93, suggesting reasonable valuation levels relative to its earnings growth. Its profit margins are strong at 33.6%, supported by gross margins of 50.75%. The company has a healthy balance sheet, with a quick ratio of 4.34 and a current ratio of 5.28, indicating strong liquidity. Additionally, ResMed's debt-to-equity ratio of 9.22 is low, reflecting prudent financial management. The firm generated $4.25 billion in operating cash flow and $2.25 billion in free cash flow, further underscoring its financial stability.
 **Valuations:**  
 ResMed's stock is trading near its 52-week low of $663.43, significantly below its 52-week high of $1,211.20. This represents a 28.2% decline over the past year, underperforming the S&amp;P 500's 21.9% gain during the same period. However, analysts maintain a positive outlook, with a mean target price of $966.14 and a median target of $1,000, suggesting substantial upside potential. The stock's price-to-book ratio of 2.45 and enterprise value-to-revenue ratio of 4.67 indicate that it is attractively valued compared to its historical performance and industry peers.
 **Economic Outlook:**  
 ResMed operates in the healthcare equipment industry, which tends to be resilient during periods of economic uncertainty. However, macroeconomic challenges, including inflationary pressures and potential trade disruptions from new tariffs, could impact supply chains and input costs. The company's low beta of 0.14 suggests limited sensitivity to broader market volatility, which may provide some insulation against external shocks. Additionally, the growing prevalence of sleep disorders and respiratory conditions supports long-term demand for ResMed's products, positioning the company well for sustained growth.
 **Conclusion:**  
 ResMed's strong financial performance, attractive valuation, and favorable industry dynamics make it a compelling player in the healthcare equipment sector. While recent stock volatility and macroeconomic uncertainties warrant caution, the company's robust fundamentals and growth potential suggest it is well-positioned to navigate these challenges.  
 **Score:** 85</t>
  </si>
  <si>
    <t>**Investment Report: Rockwell Automation**
 **Recent News:**  
 Rockwell Automation has not been in the headlines over the past week, suggesting stability in its operations and no immediate disruptions or breakthroughs. However, the lack of news also indicates no recent catalysts to drive significant changes in investor sentiment.
 **Financials:**  
 Rockwell Automation's financial performance reflects a mixed picture. The company has a trailing price-to-earnings (P/E) ratio of 32.78 and a forward P/E of 24.58, indicating a premium valuation relative to its earnings growth. The dividend yield of 1.88% is slightly above its five-year average of 1.71%, suggesting a modestly attractive income component for investors. However, earnings and revenue growth have been under pressure, with earnings declining by 19.8% and revenue shrinking by 20.6% year-over-year. This contraction raises concerns about the company's ability to navigate current economic challenges.
 The firm's profit margins remain healthy, with gross margins at 39% and operating margins at 15.53%, but the decline in earnings growth signals potential headwinds in maintaining profitability. Additionally, the debt-to-equity ratio of 111.33% highlights a leveraged balance sheet, which could pose risks in a rising interest rate environment or during periods of economic uncertainty. The quick ratio of 0.63 and current ratio of 1.08 suggest limited short-term liquidity, which may constrain operational flexibility.
 **Valuations:**  
 Rockwell Automation's price-to-book ratio of 8.76 and enterprise value-to-EBITDA ratio of 21.32 indicate a high valuation compared to peers in the Electrical Components &amp; Equipment industry. The stock is trading closer to its 52-week low of $242.81 than its high of $304.29, reflecting recent market pressures. Analyst sentiment remains cautiously optimistic, with a mean target price of $300.68, implying a potential upside of approximately 10% from current levels. However, the trailing PEG ratio of 5.53 suggests that the stock is expensive relative to its growth prospects.
 **Economic Outlook:**  
 The broader macroeconomic environment presents challenges for Rockwell Automation. The recent imposition of tariffs by the U.S. government on imports from Canada, Mexico, and China could disrupt supply chains and increase input costs for the company, potentially squeezing margins further. Additionally, the global technology sector's recent downturn, driven by competitive pressures from Chinese advancements, may indirectly affect Rockwell Automation's industrial automation and technology-driven solutions. Rising inflation and potential Federal Reserve tightening could also weigh on the company's cost structure and demand for its products.
 **Conclusion:**  
 Rockwell Automation faces a challenging environment characterized by declining earnings and revenue growth, high leverage, and macroeconomic headwinds. While the company maintains strong margins and offers a stable dividend, its premium valuation and exposure to trade and supply chain disruptions warrant caution. The lack of recent news or catalysts further limits near-term upside potential.
 **Score:** 55</t>
  </si>
  <si>
    <t>**Investment Report: Rollins, Inc.**
 **Recent News:**  
 Rollins, Inc., a leader in the Environmental &amp; Facilities Services industry, has not been in the news over the past week. This lack of recent developments suggests stability in its operations, though it also indicates no immediate catalysts for significant market movement.
 **Financials:**  
 Rollins exhibits strong financial performance with a market capitalization of $24.05 billion and a trailing price-to-earnings (PE) ratio of 51.19, indicating a premium valuation relative to earnings. The forward PE ratio of 44.93 suggests expectations of continued earnings growth. The company’s revenue growth of 9% year-over-year and earnings growth of 7.7% reflect steady expansion. Profit margins are healthy at 14.18%, supported by gross margins of 52.64%, showcasing operational efficiency. 
 The company’s dividend yield of 1.33% is modest but consistent, with a payout ratio of 61.86%, indicating a balanced approach to rewarding shareholders while retaining earnings for growth. Rollins also maintains a strong return on equity (ROE) of 38.79%, highlighting effective use of shareholder capital. However, the debt-to-equity ratio of 63.70% suggests a moderate reliance on leverage, which could pose risks in a rising interest rate environment.
 **Valuations:**  
 Rollins trades at a price-to-book ratio of 18.25, significantly above industry averages, reflecting high investor confidence but also a potential overvaluation. The enterprise value-to-revenue ratio of 14.71 and enterprise value-to-EBITDA ratio of 64.27 further emphasize its premium valuation. Analysts have a mixed outlook, with a mean target price of $48.35, slightly below the current trading range, suggesting limited upside in the near term. The recommendation mean of 2.46 (between "buy" and "hold") indicates cautious optimism.
 **Economic Outlook:**  
 The broader macroeconomic environment presents challenges for Rollins. The recent implementation of tariffs by the U.S. government could increase costs for materials and services, potentially pressuring margins. Additionally, inflationary pressures and potential Federal Reserve tightening may dampen consumer and business spending, indirectly affecting demand for Rollins' services. However, the company’s beta of 0.701 suggests lower volatility compared to the broader market, which could make it a relatively stable investment during periods of economic uncertainty.
 **Conclusion:**  
 Rollins, Inc. demonstrates strong financial fundamentals and operational efficiency, supported by consistent revenue and earnings growth. However, its high valuation metrics and exposure to macroeconomic risks, such as inflation and trade disruptions, may limit short-term upside potential. While the company’s defensive business model in pest control and facilities services provides resilience, the current premium pricing may deter significant near-term gains.
 **Score:** 72</t>
  </si>
  <si>
    <t>**Investment Report: Republic Services**
 **Recent News:**  
 There have been no significant updates or developments regarding Republic Services in the past week. The absence of news suggests stability in the company's operations, with no immediate disruptions or major announcements impacting its performance.
 **Financials:**  
 Republic Services demonstrates strong financial health, with a market capitalization of $35.33 billion and a robust profit margin of 23.15%. The company has shown solid earnings growth of 41.6% and revenue growth of 11.1% year-over-year, reflecting its ability to expand operations and maintain profitability. Its trailing price-to-earnings (P/E) ratio of 28.37 and forward P/E of 23.13 indicate a premium valuation, which is typical for companies in the Environmental &amp; Facilities Services industry with consistent cash flow and growth prospects.  
 The company’s dividend yield of 0.82% is modest but supported by a low payout ratio of 23.85%, suggesting ample room for future dividend increases. Republic Services also boasts a strong return on equity (ROE) of 23.57%, highlighting efficient use of shareholder capital. Additionally, its free cash flow of $1.12 billion and operating cash flow of $1.44 billion provide a solid foundation for reinvestment and debt management.  
 Debt levels are manageable, with a debt-to-equity ratio of 16.37, and liquidity metrics such as a quick ratio of 1.44 and current ratio of 2.92 indicate the company is well-positioned to meet short-term obligations. However, the enterprise value-to-EBITDA ratio of 23.42 suggests the stock may be trading at a high valuation relative to its earnings before interest, taxes, depreciation, and amortization.
 **Valuations:**  
 Republic Services is trading near its 50-day average of $240.56, reflecting relative stability despite broader market volatility. The stock is up 23.84% over the past year, outperforming the S&amp;P 500's 21.93% gain, which underscores its resilience in uncertain economic conditions. Analysts have a mean target price of $269.54, representing potential upside from current levels, with a high target of $295.00. The recommendation mean of 2.22 (on a scale where 1.0 is a "Strong Buy") indicates a generally favorable outlook among analysts.
 **Economic Outlook:**  
 The broader macroeconomic environment presents mixed implications for Republic Services. The recent imposition of tariffs and trade tensions could lead to inflationary pressures, potentially increasing operational costs for the company. However, as a provider of essential waste management and environmental services, Republic Services operates in a relatively defensive industry that is less sensitive to economic cycles. Its strong gross margins of 58.33% and EBITDA margins of 33.95% suggest the company has pricing power to offset potential cost increases.  
 Additionally, the growing emphasis on sustainability and environmental, social, and governance (ESG) factors aligns with Republic Services' core business, positioning it to benefit from long-term trends in waste reduction and recycling. The company’s low beta of 0.687 indicates lower volatility compared to the broader market, making it an attractive option in uncertain times.
 **Conclusion:**  
 Republic Services exhibits strong fundamentals, including consistent revenue and earnings growth, robust cash flow, and a solid balance sheet. While the stock appears to be trading at a premium valuation, its defensive business model and alignment with long-term sustainability trends provide a compelling case for stability and growth. The broader economic environment, including inflationary pressures and trade tensions, may pose challenges, but the company’s essential services and pricing power mitigate these risks.
 **Score:** 85</t>
  </si>
  <si>
    <t>**Investment Report: RTX Corporation**
 **Recent News:**  
 RTX Corporation has demonstrated robust performance in its latest financial results, showcasing its resilience and growth potential in the aerospace and defense sector. The company reported fourth-quarter 2024 sales of $21.62 billion, exceeding expectations by 5.2% and reflecting an 8.5% year-over-year increase. Adjusted earnings per share rose by 19.4% to $1.54, driven by strong demand for aircraft parts and repair services. This growth is attributed to airlines extending the use of older planes amid a global jet shortage. RTX's 2025 guidance projects 4-5% organic sales growth, supported by productivity improvements and strong free cash flow generation. Additionally, the company is recognized for its consistent dividend growth, enhancing its appeal to income-focused investors. Analysts have set a price target of $145, reflecting confidence in RTX's ability to sustain its upward trajectory.
 **Financials:**  
 RTX's financial metrics highlight its solid position within the industry. The company boasts a market capitalization of $172.93 billion and a trailing price-to-earnings (P/E) ratio of 36.6, with a forward P/E of 19.01, indicating expectations of significant earnings growth. Its dividend yield of 2.02% and a payout ratio of 70.32% underscore its commitment to returning value to shareholders. The firm has a strong free cash flow of $8.07 billion, which supports its dividend payments and reinvestment in growth initiatives. However, its debt-to-equity ratio of 69.6% suggests a moderately leveraged balance sheet, which warrants monitoring in a rising interest rate environment. RTX's return on equity (ROE) of 7.35% and return on assets (ROA) of 3.17% indicate efficient use of capital, though there is room for improvement compared to industry leaders.
 **Valuations:**  
 RTX's current price-to-book (P/B) ratio of 2.83 and enterprise value-to-revenue (EV/Revenue) ratio of 2.60 suggest the stock is fairly valued relative to its peers in the aerospace and defense sector. The company's trailing PEG ratio of 1.33 indicates that its growth is reasonably priced, making it an attractive option for long-term investors. With a 52-week price range of $88.90 to $132.43, RTX is trading near its all-time high, reflecting strong investor confidence. Analyst sentiment remains positive, with a mean price target of $142.00 and a recommendation key of "buy."
 **Economic Outlook:**  
 The broader macroeconomic environment presents both opportunities and challenges for RTX. The aerospace and defense industry is poised for growth, driven by increased global defense spending and a recovery in commercial aviation. However, the recent imposition of tariffs by the U.S. administration could disrupt supply chains and increase costs for aerospace manufacturers. Additionally, inflationary pressures and potential interest rate hikes may impact the company's operating margins and borrowing costs. Despite these headwinds, RTX's strong order backlog, diversified revenue streams, and focus on innovation position it well to navigate these challenges.
 **Conclusion:**  
 RTX Corporation's strong financial performance, growth prospects, and commitment to shareholder returns make it a compelling player in the aerospace and defense industry. While macroeconomic uncertainties and a leveraged balance sheet pose risks, the company's robust fundamentals and strategic positioning provide a solid foundation for continued success.
 **Score:** 85</t>
  </si>
  <si>
    <t>**Investment Report: Revvity (RVTY)**
 **Recent News:**  
 Revvity's Q4 earnings exceeded expectations, with earnings per share (EPS) of $1.42 surpassing the consensus estimate of $1.36. This marks a year-over-year improvement from $1.25 per share, reflecting robust operational performance. The Diagnostics segment demonstrated strong growth, while the Life Sciences segment showed signs of recovery despite challenges in China. However, the company issued a cautious outlook for 2025, forecasting revenue and profit below Wall Street estimates due to weak biotech spending. This tempered guidance highlights potential headwinds in demand for drug research-related products and services, which could weigh on future performance.
 **Financials:**  
 Revvity's financial metrics present a mixed picture. The company has a trailing price-to-earnings (P/E) ratio of 53.78, which is relatively high, but its forward P/E of 22.34 suggests expectations of improved earnings growth. The firm maintains a solid balance sheet, with a quick ratio of 2.66 and a current ratio of 3.56, indicating strong liquidity. Debt-to-equity stands at 41.85%, which is manageable but worth monitoring given the uncertain revenue outlook. Gross margins of 55.37% and EBITDA margins of 28.96% reflect operational efficiency, while earnings growth of 9.23% and revenue growth of 2% signal moderate expansion. However, the company's profit margins of 9.34% are modest, and its return on equity (ROE) of 3.31% is relatively low, suggesting limited profitability relative to shareholder equity.
 **Valuations:**  
 Revvity's stock is trading at a price-to-book (P/B) ratio of 1.91, which is reasonable compared to industry peers. The stock has shown a 52-week price change of +21.02%, slightly underperforming the S&amp;P 500's +21.93% gain. Analyst sentiment remains positive, with a mean recommendation of "buy" and a target median price of $140, implying potential upside from the current price of $126. However, the trailing PEG ratio of 3.30 indicates that the stock may be overvalued relative to its growth prospects.
 **Economic Outlook:**  
 The broader macroeconomic environment poses challenges for Revvity. The recent implementation of tariffs by the U.S. government and weak biotech spending could dampen demand for the company's products. Additionally, the global technology sector's volatility and geopolitical uncertainties, particularly in China, may further impact the Life Sciences segment. On the positive side, Revvity's strong Diagnostics business could provide a buffer against these headwinds, as demand for healthcare equipment tends to be more resilient during economic downturns.
 **Conclusion:**  
 Revvity's strong Q4 earnings and robust Diagnostics performance are encouraging, but the cautious 2025 guidance and weak biotech spending outlook raise concerns about near-term growth. While the company has solid financials and operational efficiency, its valuation appears stretched, and macroeconomic challenges could weigh on performance. Investors may need to monitor developments in the biotech sector and broader economic conditions to assess the company's ability to navigate these headwinds.
 **Score:** 65</t>
  </si>
  <si>
    <t>**Investment Report:**
 **Recent News:**  
 SBA Communications has not been in the news over the past week, indicating a lack of significant developments or disruptions. This stability may reflect the firm's steady operations within the Telecom Tower REITs industry, which is often characterized by long-term contracts and predictable cash flows. However, the absence of news also suggests no immediate catalysts for significant price movement in the short term.
 **Financials:**  
 SBA Communications demonstrates strong financial performance with a market capitalization of $160.85 billion and a robust profit margin of 25.79%. The company has shown solid earnings growth of 33.5% and revenue growth of 15.9% year-over-year, supported by high gross margins of 68.7% and EBITDA margins of 48.26%. The trailing P/E ratio of 45.83 and forward P/E of 30.62 suggest the stock is priced for growth, though it may appear expensive compared to broader market averages. The firm’s dividend yield of 0.74% is modest but aligns with its focus on reinvesting in growth opportunities. Additionally, the payout ratio of 32.04% indicates a sustainable dividend policy.
 The company’s balance sheet shows a manageable debt-to-equity ratio of 31.36, supported by strong free cash flow of $4.45 billion and operating cash flow of $5.28 billion. However, the quick ratio of 0.787 and current ratio of 0.945 suggest limited short-term liquidity, which could be a concern in a rising interest rate environment. SBA Communications also maintains a high level of institutional ownership at 90.5%, reflecting strong confidence from large investors.
 **Valuations:**  
 SBA Communications trades at a price-to-book ratio of 4.73 and a price-to-sales ratio of 11.68, both of which are elevated compared to industry norms. The stock’s 52-week range of $407.69 to $533.29 places its current price near the higher end, indicating limited upside potential in the short term unless new growth drivers emerge. Analyst sentiment remains positive, with a mean target price of $580.91 and a recommendation key of "strong buy," suggesting optimism about the company’s long-term prospects.
 **Economic Outlook:**  
 The broader macroeconomic environment presents mixed implications for SBA Communications. The recent imposition of tariffs and trade tensions could indirectly affect the firm through higher costs for imported equipment or materials. However, the Telecom Tower REITs industry benefits from secular growth trends, including the expansion of 5G networks and increasing demand for data infrastructure. SBA Communications’ high beta of 1.183 indicates sensitivity to market volatility, which could be exacerbated by ongoing economic uncertainty and inflationary pressures.
 **Conclusion:**  
 SBA Communications is a well-positioned player in the Telecom Tower REITs industry, with strong financials and growth prospects. However, its valuation appears stretched, and the broader economic environment introduces potential risks. While the company benefits from stable, recurring revenue streams, short-term liquidity constraints and sensitivity to market volatility warrant caution. The lack of recent news suggests no immediate catalysts for significant price movement in the next month.
 **Score:** 72</t>
  </si>
  <si>
    <t>**Investment Report: Charles Schwab Corporation**
 **Recent News:**  
 There have been no significant developments or announcements regarding Charles Schwab Corporation in the past week. This absence of news suggests stability in the company's operations and strategy, though it also indicates a lack of immediate catalysts for significant stock movement.
 **Financials:**  
 Charles Schwab Corporation's financial performance reflects a mixed picture. The company has a trailing price-to-earnings (P/E) ratio of 15.35 and a forward P/E of 11.78, indicating a relatively attractive valuation compared to its historical earnings. The dividend yield of 4.17% is above its five-year average of 4.45%, suggesting the stock may be undervalued or that the company is maintaining a strong commitment to returning value to shareholders despite recent challenges. However, earnings growth has declined by 28.7% year-over-year, and revenue growth has contracted by 6.4%, reflecting broader economic pressures and potential headwinds in the investment banking and brokerage industry.
 The company's profit margins stand at 8.7%, and return on equity (ROE) is 10.35%, which are modest but not exceptional for the sector. The debt-to-equity ratio of 16.46 indicates a manageable but notable level of leverage, while the quick ratio of 0.675 and current ratio of 1.069 suggest adequate liquidity to meet short-term obligations. The enterprise value-to-EBITDA ratio of 7.78 implies a reasonable valuation relative to earnings before interest, taxes, depreciation, and amortization.
 **Valuations:**  
 Charles Schwab's stock is trading at a price-to-book (P/B) ratio of 1.72, which is reasonable for a financial services firm. The stock's 52-week performance shows a slight decline of 2.07%, underperforming the S&amp;P 500's 21.93% gain over the same period. The stock is currently trading near the lower end of its 52-week range ($135.37 to $167.11), which may present an opportunity for value-oriented investors. Analyst sentiment remains positive, with a mean recommendation of "buy" and a target median price of $176, representing potential upside from the current price.
 **Economic Outlook:**  
 The broader macroeconomic environment poses challenges for Charles Schwab. The recent implementation of tariffs by the U.S. government and the resulting inflationary pressures could weigh on consumer and business sentiment, potentially impacting trading volumes and investment activity. Additionally, the Federal Reserve's cautious stance on interest rate cuts may limit the company's ability to benefit from a more favorable interest rate environment. The decline in earnings and revenue growth reflects these broader economic headwinds, as well as potential competitive pressures within the industry.
 **Conclusion:**  
 Charles Schwab Corporation is navigating a challenging economic landscape, with declining earnings and revenue growth reflecting broader market pressures. However, the company's strong dividend yield, reasonable valuation metrics, and positive analyst sentiment suggest it remains a solid player in the investment banking and brokerage industry. While near-term volatility may persist due to macroeconomic uncertainties, the stock's current valuation and dividend yield may appeal to long-term investors seeking stability and income.
 **Score:** 72</t>
  </si>
  <si>
    <t>**Investment Report: Sherwin-Williams (Specialty Chemicals Industry)**
 **Recent News:**  
 Sherwin-Williams reported mixed fourth-quarter results, with earnings per share (EPS) of $2.09 exceeding analyst expectations of $2.06-$2.07, reflecting a 15.5% year-over-year increase. However, revenue fell short of estimates despite higher consolidated net sales, driven by the Paint Stores Group. The revenue miss, combined with soft guidance for the first quarter and full-year 2025, has weighed on investor sentiment, leading to a decline in the company's stock price. This mixed performance highlights challenges in balancing cost pressures and demand in a volatile macroeconomic environment.
 **Financials:**  
 Sherwin-Williams maintains a strong market position with a market capitalization of $90 billion and a trailing price-to-earnings (P/E) ratio of 33.84, indicating a premium valuation relative to its peers. The forward P/E of 26.08 suggests expectations of earnings growth, albeit at a slower pace. The company has a robust return on equity (ROE) of 64.45%, reflecting efficient capital utilization, but its high debt-to-equity ratio of 291.11% raises concerns about leverage. Gross margins of 48.45% and EBITDA margins of 19.08% demonstrate solid profitability, though revenue growth remains modest at 0.7%. Free cash flow of $1.92 billion provides some financial flexibility, but liquidity metrics, such as a quick ratio of 0.45 and current ratio of 0.83, indicate potential short-term constraints.
 **Valuations:**  
 Sherwin-Williams trades at a price-to-book (P/B) ratio of 21.56, significantly above the industry average, reflecting high investor confidence in its brand and market leadership. However, the trailing PEG ratio of 3.34 suggests the stock may be overvalued relative to its growth prospects. Analyst price targets range from $247 to $444, with a median target of $405, indicating potential upside from current levels. The dividend yield of 0.79% is below the five-year average of 0.84%, reflecting a focus on reinvestment rather than income distribution.
 **Economic Outlook:**  
 The broader economic environment presents challenges for Sherwin-Williams. The recent implementation of tariffs by the U.S. government could increase raw material costs, pressuring margins. Additionally, inflationary pressures and potential trade disruptions may dampen consumer and industrial demand for paint and coatings. The company's reliance on the U.S. market, coupled with its exposure to construction and housing sectors, makes it sensitive to macroeconomic fluctuations. However, its strong brand and distribution network position it well to navigate these headwinds over the long term.
 **Conclusion:**  
 Sherwin-Williams faces a mixed near-term outlook, with strong profitability and market leadership offset by revenue challenges, high leverage, and macroeconomic uncertainties. While the company's premium valuation reflects confidence in its long-term prospects, near-term risks, including soft guidance and economic headwinds, may limit upside potential in the next month.
 **Score:** 65</t>
  </si>
  <si>
    <t>**Investment Report: J.M. Smucker Company (The)**
 **Recent News:**  
 J.M. Smucker has demonstrated strong performance, with a 17% year-over-year (YoY) net sales growth and a 7% YoY increase in adjusted earnings per share (EPS). This growth is attributed to the successful integration of the Hostess acquisition and the strength of key brands like Uncrustables and Jif. Management has outlined a clear strategy to achieve $100 million in annual savings by fiscal year 2026, focusing on cost synergies and margin improvements. These initiatives are expected to enhance profitability and operational efficiency over the medium term. Additionally, the company offers a robust dividend yield of 4.1%, supported by a conservative payout ratio of 41%, making it an attractive option for income-focused investors.
 **Financials:**  
 J.M. Smucker's financial metrics reflect a mixed picture. The company is trading at a forward price-to-earnings (PE) ratio of 10.06x, which is significantly below its trailing PE of 21.39x, indicating potential undervaluation based on future earnings expectations. The stock's price-to-book ratio of 1.46x and price-to-sales ratio of 1.33x further suggest a reasonable valuation. However, the company's debt-to-equity ratio of 111.44% highlights a high leverage level, which could pose risks in a rising interest rate environment. Despite this, the company maintains a healthy operating cash flow of $1.18 billion and free cash flow of $541 million, providing a solid foundation for debt servicing and dividend payments.
 **Valuations:**  
 The stock's current price of approximately $106.89 is near its 52-week low of $99.81, offering a potential entry point for value investors. Analyst price targets range from $112 to $137, with a median target of $123.50, suggesting upside potential of 15-20%. The company's gross margin of 38.43% and EBITDA margin of 23.27% indicate strong profitability, while its return on equity (ROE) of 10.09% reflects efficient use of shareholder capital. However, the trailing PEG ratio of 1.47x suggests that growth may be priced in relative to historical earnings trends.
 **Economic Outlook:**  
 The broader economic environment presents challenges for J.M. Smucker. Rising inflation, driven by new tariffs and supply chain disruptions, could increase input costs for packaged foods. Additionally, the company's high debt levels may become a concern if interest rates rise further. However, the defensive nature of the packaged foods industry, combined with J.M. Smucker's strong brand portfolio and cost-saving initiatives, positions the company to weather economic headwinds better than many peers. The company's low beta of 0.25 also indicates reduced volatility relative to the broader market, making it a potentially stable investment during periods of market uncertainty.
 **Conclusion:**  
 J.M. Smucker's strong brand portfolio, cost-saving initiatives, and attractive dividend yield make it a compelling option for long-term investors seeking value and income. However, high leverage and potential inflationary pressures warrant caution. The stock's current valuation and near-term growth prospects suggest moderate upside potential, particularly if management successfully executes its cost-saving and margin improvement strategies.
 **Score:** 78</t>
  </si>
  <si>
    <t>**Investment Report: Schlumberger (SLB)**
 **Recent News:**  
 Schlumberger (SLB), in collaboration with Aker Solutions, has secured a significant contract to deploy a modular carbon capture plant at Hafslund Celsio's Oslo facility. This project is a pivotal component of Norway's Longship Carbon Capture and Storage (CCS) initiative, which aims to advance global decarbonization efforts. This development underscores SLB's strategic pivot toward sustainability and its commitment to diversifying its portfolio beyond traditional oilfield services. The contract positions SLB as a key player in the growing carbon capture market, which is expected to see substantial investment as governments and corporations prioritize emissions reduction.
 **Financials:**  
 SLB's financial performance reflects a stable yet cautious outlook. The company has a trailing price-to-earnings (P/E) ratio of 12.91 and a forward P/E of 10.63, indicating a relatively attractive valuation compared to industry peers. Its dividend yield of 2.68% and a payout ratio of 34.57% suggest a sustainable dividend policy. SLB's revenue growth of 10.2% and earnings growth of 6.4% highlight steady operational performance, while its return on equity (ROE) of 21.72% demonstrates efficient capital utilization. However, the stock has underperformed over the past year, with a 52-week change of -16.1%, lagging behind the S&amp;P 500's 21.93% gain.
 The company's balance sheet shows a manageable debt-to-equity ratio of 57.14%, supported by a strong operating cash flow of $7.23 billion and free cash flow of $3.44 billion. These metrics indicate SLB's ability to service its debt and fund growth initiatives. However, its enterprise value-to-EBITDA ratio of 8.33 suggests the stock is trading at a slight premium relative to its earnings potential.
 **Valuations:**  
 SLB's current price-to-book ratio of 2.64 is reasonable, given its robust profitability metrics, including a net profit margin of 12.44% and operating margin of 17.96%. Analysts maintain a positive outlook, with a mean target price of $53.24, representing a potential upside from its current trading range. The recommendation mean of 1.69 (indicating a "buy") reflects strong confidence in the stock's long-term prospects.
 **Economic Outlook:**  
 The macroeconomic environment presents both opportunities and challenges for SLB. The recent imposition of tariffs by the U.S. administration could increase costs for energy companies, potentially impacting SLB's operations. However, the company's diversification into carbon capture and other sustainable technologies positions it well to capitalize on the global energy transition. Rising energy prices, driven by geopolitical tensions and sanctions on Russia's energy sector, may also support demand for SLB's services in the near term.
 **Conclusion:**  
 Schlumberger's strategic focus on sustainability, coupled with its strong financial position and attractive valuation, makes it a compelling player in the energy services sector. While macroeconomic uncertainties and market volatility pose risks, SLB's diversification efforts and participation in transformative projects like Norway's Longship CCS initiative enhance its growth potential. The company's ability to adapt to evolving industry dynamics and leverage emerging opportunities in carbon capture and storage will be critical to its long-term success.
 **Score:** 78</t>
  </si>
  <si>
    <t>**Investment Report: Super Micro Computer (SMCI)**
 **Recent News:**  
 Super Micro Computer has been a significant player in the AI infrastructure boom, collaborating with leading chipmakers like Nvidia to provide high-performance servers and rack-scale solutions for AI data centers. The company's stock has experienced substantial volatility, reflecting its pivotal role in the AI sector. However, the recent global tech market crash, driven by the emergence of DeepSeek, a Chinese AI competitor, has created uncertainty for companies like Super Micro Computer that are closely tied to AI infrastructure demand. While the company remains a key supplier in the AI ecosystem, the broader market's reaction to competitive pressures and geopolitical risks could weigh on its near-term performance.
 **Financials:**  
 Super Micro Computer's financial metrics highlight its strong position in the technology hardware sector. The company has a market capitalization of $80.4 billion and a trailing price-to-earnings (P/E) ratio of 56.24, indicating high investor expectations for growth. Its forward P/E of 30.32 suggests anticipated earnings growth, supported by a 21.4% quarterly earnings growth rate. The company boasts robust profit margins, with a net profit margin of 23.1% and gross margins of 80.5%, reflecting its ability to generate significant profitability from its operations. However, its free cash flow is negative (-$144.2 million), which could be a concern if market conditions tighten further. The company's debt-to-equity ratio of 8.7 is low, indicating prudent financial management, and its current ratio of 2.02 suggests strong liquidity.
 **Valuations:**  
 Super Micro Computer's valuation metrics reflect its premium positioning in the AI infrastructure market. Its price-to-sales ratio of 12.4 and price-to-book ratio of 10.37 are elevated, signaling high market confidence in its growth potential. Analysts' target prices range from $496.12 to $699, with a median target of $641.50, suggesting potential upside from its current price of approximately $520. However, the stock's 52-week change of -3.12% underperforms the S&amp;P 500's 21.93% gain, indicating that recent market volatility and competitive pressures have tempered investor enthusiasm.
 **Economic Outlook:**  
 The broader economic environment presents challenges for Super Micro Computer. The recent imposition of tariffs by the U.S. administration on imports from China, Canada, and Mexico could disrupt supply chains and increase costs for technology hardware companies. Additionally, the global tech market's reaction to DeepSeek's launch underscores the competitive risks in the AI sector. While Super Micro Computer's partnership with Nvidia positions it well in the AI infrastructure space, the broader market's bearish sentiment and geopolitical uncertainties could weigh on its near-term performance. Rising inflation and potential Federal Reserve tightening further complicate the macroeconomic backdrop.
 **Conclusion:**  
 Super Micro Computer remains a key player in the AI infrastructure market, with strong financials and a strategic position in a high-growth industry. However, recent market volatility, competitive pressures, and macroeconomic uncertainties could limit its near-term upside. While the company's long-term prospects remain promising, the current environment warrants caution.
 **Score:** 72</t>
  </si>
  <si>
    <t>**Investment Report: Snap-on Inc.**
 **Recent News:**  
 Snap-on Inc. is preparing to release its Q4 earnings, with expectations of growth driven by strategic investments, operational efficiencies through its Rapid Continuous Improvement (RCI) initiatives, and an expanding market presence. Despite these positive drivers, the company faces macroeconomic challenges, including inflationary pressures and potential disruptions from global trade tensions. The firm's ability to navigate these headwinds while maintaining profitability will be a key focus for investors.
 **Financials:**  
 Snap-on's financial metrics present a mixed picture. The company has a trailing P/E ratio of 188.67, which appears elevated, but its forward P/E of 13.40 suggests expectations of improved earnings in the near term. The firm's gross margins of 56.39% and EBITDA margins of 22.40% indicate strong operational efficiency. However, earnings growth has declined significantly (-73.7%), reflecting challenges in maintaining profitability. Revenue growth remains modest at 0.4%, signaling limited top-line expansion. The company's debt-to-equity ratio of 254.04% is notably high, raising concerns about leverage, though its free cash flow of $1.78 billion provides some reassurance regarding liquidity.
 **Valuations:**  
 Snap-on's price-to-book ratio of 3.98 and price-to-sales ratio of 1.55 suggest the stock is trading at a premium relative to its book value and sales. The stock's 52-week performance shows a modest gain of 7.18%, underperforming the S&amp;P 500's 21.93% increase over the same period. Analyst sentiment is neutral, with a "hold" recommendation and a target median price of $73.56, close to its current trading range. This indicates limited upside potential in the short term.
 **Economic Outlook:**  
 The broader economic environment poses challenges for Snap-on. The recent implementation of tariffs by the U.S. government could disrupt supply chains and increase input costs, potentially squeezing margins. Additionally, inflationary pressures and rising interest rates may dampen consumer and business spending, impacting demand for industrial tools and equipment. However, Snap-on's focus on operational efficiencies and strategic investments may help mitigate some of these risks.
 **Conclusion:**  
 Snap-on's strong operational metrics and strategic initiatives position it well for long-term growth, but near-term challenges, including declining earnings growth, high leverage, and macroeconomic headwinds, weigh on its outlook. The stock's current valuation suggests limited short-term upside, and its performance will likely hinge on its ability to adapt to the evolving economic landscape.
 **Score:** 65</t>
  </si>
  <si>
    <t>**Investment Report: Synopsys (SNPS)**
 **Recent News:**  
 Synopsys, a leader in electronic design automation (EDA) software and semiconductor intellectual property (IP), has faced recent share price pressure following the global tech market sell-off triggered by the launch of DeepSeek, a Chinese AI competitor. Despite this, Synopsys remains fundamentally strong, with a history of exceeding earnings guidance. The company reported robust 2024 financial performance, including 15% revenue growth and 25% EPS growth. While upcoming earnings may show declines due to a fiscal year change, this is a technical adjustment rather than a reflection of operational weakness. Analysts continue to view Synopsys as a key player in the semiconductor and AI ecosystem, with its products critical to chip design and innovation.
 **Financials:**  
 Synopsys maintains a solid financial position, with a market capitalization of $149.1 billion and a trailing P/E ratio of 50.47, which reflects its premium valuation as a high-growth technology company. The forward P/E of 26.36 suggests expectations of continued earnings growth. The company has a strong balance sheet, with $4.68 billion in cash and manageable debt levels, as indicated by a debt-to-equity ratio of 79.44. Profit margins are healthy, with a net margin of 16.34% and gross margins of 63.97%, underscoring its operational efficiency. Free cash flow of $2.78 billion further highlights its ability to reinvest in growth opportunities. However, the stock's price-to-book ratio of 7.4 and enterprise value-to-EBITDA ratio of 28.45 suggest it is trading at a premium compared to peers.
 **Valuations:**  
 Synopsys' valuation metrics reflect its leadership position and growth potential in the semiconductor and AI industries. The stock is trading near the midpoint of its 52-week range ($314.93-$406.19), with a current price of $391.29. Analyst price targets range from $276 to $465, with a mean target of $422.10, indicating potential upside. The recommendation mean of 1.97 (on a scale where 1.0 is a strong buy) suggests broad analyst confidence in the stock. However, the trailing PEG ratio of 2.73 indicates that growth expectations are already priced in, leaving limited room for valuation expansion in the short term.
 **Economic Outlook:**  
 The broader economic environment presents challenges for Synopsys. The recent U.S. tariffs on China, Canada, and Mexico could disrupt global supply chains, potentially impacting semiconductor production and demand for EDA tools. Additionally, the global tech market's reaction to DeepSeek highlights the competitive pressures in AI and semiconductor innovation. However, Synopsys' diversified product portfolio and entrenched position in the semiconductor design process provide resilience. The company's beta of 0.92 suggests lower volatility compared to the broader market, which may appeal to investors during periods of uncertainty.
 **Conclusion:**  
 Synopsys remains a strong player in the application software and semiconductor industries, supported by robust financials, a history of exceeding guidance, and a critical role in chip design. However, the stock's premium valuation and broader macroeconomic headwinds, including trade tensions and competitive pressures, may limit short-term upside. While the long-term outlook remains positive, near-term performance will depend on the company's ability to navigate these challenges and deliver on growth expectations.
 **Score:** 78</t>
  </si>
  <si>
    <t>**Investment Report: Southern Company (SO)**
 **Recent News:**  
 Southern Company (SO) has garnered significant attention from investors due to its stable revenue growth and consistent dividend payouts. However, concerns about its high price-to-earnings (P/E) ratio and challenges in transitioning to cleaner energy sources have tempered enthusiasm. The stock is currently viewed as a "hold" by analysts, reflecting a balanced outlook between its strengths and potential risks.
 **Financials:**  
 Southern Company demonstrates financial stability with a market capitalization of $92 billion and a trailing P/E ratio of 19.57, slightly above the industry average, indicating a premium valuation. The company has a strong dividend yield of 3.43%, supported by a payout ratio of 66.2%, which is sustainable given its steady cash flows. However, its debt-to-equity ratio of 176.35 is notably high, reflecting significant leverage, which could pose risks in a rising interest rate environment. The company’s EBITDA margin of 49.42% and operating margin of 35.14% highlight its operational efficiency, while its earnings and revenue growth rates of 7.8% and 4.2%, respectively, indicate moderate expansion.
 **Valuations:**  
 Southern Company’s price-to-book ratio of 2.76 and price-to-sales ratio of 3.48 suggest that the stock is trading at a premium compared to its peers in the electric utilities sector. Analysts have set a median price target of $90.50, slightly above its current trading range, indicating limited upside potential in the near term. The stock’s beta of 0.51 reflects low volatility, making it a relatively stable investment in uncertain market conditions.
 **Economic Outlook:**  
 The broader economic environment presents mixed implications for Southern Company. The recent imposition of tariffs and inflationary pressures could increase operational costs, particularly for energy companies reliant on imported materials. However, the company’s regulated utility business model provides a degree of insulation from market volatility. Additionally, the ongoing energy transition toward renewables poses both opportunities and challenges. While Southern Company has made strides in adopting cleaner energy sources, the capital-intensive nature of this transition could strain its financials in the short to medium term.
 **Conclusion:**  
 Southern Company remains a stable player in the electric utilities sector, supported by its strong dividend yield and operational efficiency. However, its high leverage, premium valuation, and the challenges associated with energy transition may limit its near-term growth potential. The stock’s low beta and consistent performance make it a defensive choice in a volatile market, but its upside appears constrained given current economic and industry conditions.
 **Score:** 65</t>
  </si>
  <si>
    <t>**Investment Report:**
 **Recent News:**  
 There have been no significant updates or developments regarding Solventum in the past week. The absence of news suggests stability in the company's operations, but it also indicates a lack of recent catalysts that could drive short-term market sentiment.
 **Financials:**  
 Solventum demonstrates solid financial health with a market capitalization of $18.48 billion and a strong balance sheet. The company maintains a robust current ratio of 4.18 and a quick ratio of 2.99, indicating ample liquidity to cover short-term obligations. Its debt-to-equity ratio of 23.35% is relatively low, reflecting prudent financial management. The firm’s profitability metrics are strong, with a return on equity (ROE) of 20.6% and return on assets (ROA) of 11.4%, showcasing efficient use of capital and assets. 
 Earnings growth remains modest at 4.2%, while revenue growth has slightly declined by 0.5%, signaling potential challenges in expanding top-line performance. However, the company’s gross margins of 51.7% and EBITDA margins of 29% highlight its ability to maintain profitability despite revenue pressures. Free cash flow of $818.55 million further underscores its capacity to fund operations and shareholder returns.
 The dividend yield of 2.41% is in line with its five-year average, supported by a sustainable payout ratio of 38.25%. This makes Solventum an attractive option for income-focused investors. Additionally, the trailing P/E ratio of 18.09 and forward P/E of 17.46 suggest the stock is reasonably valued relative to its earnings, though not significantly undervalued.
 **Valuations:**  
 Solventum’s price-to-book ratio of 3.38 and price-to-sales ratio of 3.62 indicate a premium valuation compared to some peers in the healthcare technology sector. However, these metrics are justified by its consistent profitability and strong cash flow generation. Analyst sentiment appears neutral, with a recommendation mean of 3.0 ("hold") and a median price target of $346, slightly below the current trading price of $355.15. This suggests limited upside potential in the near term.
 The stock has shown resilience, with a 52-week price change of +21.04%, closely tracking the S&amp;P 500's performance over the same period. Its beta of 0.95 indicates lower volatility compared to the broader market, making it a relatively stable investment in uncertain economic conditions.
 **Economic Outlook:**  
 The broader macroeconomic environment presents mixed signals for Solventum. The recent imposition of tariffs and trade tensions could indirectly affect the healthcare technology sector through supply chain disruptions and increased costs for imported components. However, Solventum’s strong cash position and low debt levels provide a buffer against potential economic headwinds. Additionally, its focus on healthcare technology positions it in a sector with long-term growth potential, driven by aging populations and increasing demand for innovative medical solutions.
 The company’s modest revenue decline may reflect broader economic pressures, but its ability to maintain profitability and cash flow suggests resilience. The healthcare technology industry is less sensitive to cyclical downturns, which could provide stability amid market volatility.
 **Conclusion:**  
 Solventum exhibits strong financial fundamentals, stable profitability, and a solid dividend profile. However, the lack of recent growth catalysts and modest revenue contraction may limit short-term upside potential. While the stock is fairly valued, its defensive characteristics and position in a growing industry make it a reliable long-term holding. The broader economic environment, including trade tensions and inflationary pressures, could pose challenges, but Solventum’s financial strength should help it navigate these uncertainties effectively.
 **Score:** 75</t>
  </si>
  <si>
    <t>**Investment Report: Simon Property Group (SPG)**
 **Recent News:**  
 Simon Property Group (SPG) is navigating a mixed landscape as it approaches its Q4 earnings report. While the company is expected to benefit from robust demand for retail assets, high interest expenses may weigh on its performance. SPG has recently concluded the acquisition of two luxury outlets from Kering, which strengthens its core portfolio and positions it to capture higher-end retail demand. Additionally, the announcement of a new Nashville Premium Outlet development highlights SPG's commitment to expanding its premium retail footprint. These strategic moves indicate a focus on long-term growth, but the immediate financial impact of these investments remains uncertain.
 **Financials:**  
 SPG's financial metrics reflect a stable but cautious outlook. The company has a trailing P/E ratio of 23.03 and a forward P/E of 26.72, suggesting that its valuation is relatively high compared to its earnings growth, which has declined by 19.8% year-over-year. Revenue growth of 4.9% indicates moderate expansion, supported by strong gross margins of 82.6% and EBITDA margins of 73.7%. However, the company's debt-to-equity ratio of 780.79 is a significant concern, as it indicates heavy leverage, which could be problematic in a rising interest rate environment. SPG's dividend yield of 4.83% is attractive, but its payout ratio of 105.05% raises questions about the sustainability of its dividend policy.
 **Valuations:**  
 SPG's stock is trading near the midpoint of its 52-week range, with a recent close of $173.86 compared to a high of $186.00. Analysts have a median price target of $185.00, suggesting limited upside potential in the near term. The price-to-book ratio of 21.17 is notably high, reflecting a premium valuation that may not be fully justified given the company's earnings growth challenges. Additionally, the trailing PEG ratio of 5.89 indicates that the stock is expensive relative to its growth prospects.
 **Economic Outlook:**  
 The broader economic environment presents both opportunities and risks for SPG. The company's focus on premium retail assets aligns well with consumer demand for experiential and high-end shopping, which has shown resilience. However, macroeconomic headwinds, including inflationary pressures and rising interest rates, could dampen consumer spending and increase SPG's borrowing costs. The recent tariffs imposed by the U.S. administration may also indirectly affect retail tenants, potentially impacting SPG's occupancy rates and rental income.
 **Conclusion:**  
 Simon Property Group is making strategic moves to strengthen its portfolio and expand its premium retail offerings. However, high leverage, declining earnings growth, and macroeconomic uncertainties pose significant risks. While the company's strong margins and dividend yield are positives, its elevated valuation and payout ratio warrant caution. The upcoming Q4 earnings report will be critical in assessing SPG's ability to navigate these challenges and deliver sustainable growth.
 **Score:** 65</t>
  </si>
  <si>
    <t>**Investment Report: S&amp;P Global**
 **Recent News:**  
 S&amp;P Global has not been in the news over the past week, indicating a period of stability without any major announcements or disruptions. This lack of news suggests that the company is operating within its usual business framework, unaffected by the recent macroeconomic volatility and geopolitical developments.
 **Financials:**  
 S&amp;P Global demonstrates strong financial health, with a market capitalization of $324.65 billion and a robust profit margin of 15.45%. The company’s trailing price-to-earnings (PE) ratio of 55.80 and forward PE of 30.21 indicate a premium valuation, reflecting investor confidence in its growth prospects. Revenue growth of 8.4% and earnings growth of 14.8% year-over-year highlight its ability to expand in a challenging economic environment. Additionally, the company maintains a solid return on equity (ROE) of 9.73%, showcasing efficient capital utilization.  
 The firm’s dividend yield of 0.48% and a low payout ratio of 13.94% suggest a conservative approach to dividend distribution, leaving room for reinvestment in growth opportunities. Its free cash flow of $12.94 billion further supports its financial flexibility. However, the debt-to-equity ratio of 21.15% indicates a moderate level of leverage, which is manageable given its strong cash flow generation.
 **Valuations:**  
 S&amp;P Global’s price-to-book ratio of 5.52 and price-to-sales ratio of 8.90 suggest that the stock is trading at a premium compared to its peers in the Financial Exchanges &amp; Data industry. While these valuations may appear high, they are justified by the company’s dominant market position, consistent revenue growth, and high gross margins of 76.35%. Analyst sentiment remains positive, with a mean target price of $395.89, representing a potential upside from its current trading range. The recommendation mean of 1.80 (on a scale where 1.0 is a strong buy) further underscores the favorable outlook.
 **Economic Outlook:**  
 The broader macroeconomic environment presents mixed implications for S&amp;P Global. The recent tariffs and trade tensions could dampen global economic growth, potentially impacting demand for financial data and analytics services. However, the company’s diversified revenue streams and strong market position in credit ratings, indices, and analytics provide resilience against such headwinds. Additionally, rising interest rates and inflationary pressures may increase demand for its risk management and financial analysis products, offsetting some of the broader economic challenges.
 **Conclusion:**  
 S&amp;P Global remains a fundamentally strong company with a solid financial foundation and a leading position in its industry. While its premium valuation reflects high investor expectations, its consistent growth, robust cash flow, and ability to navigate economic uncertainties justify this optimism. The lack of recent news suggests operational stability, and its diversified business model positions it well to weather macroeconomic challenges.
 **Score:** 85</t>
  </si>
  <si>
    <t>**Investment Report:**
 **Recent News:**  
 Sempra, a leading utility company, is recognized for its stability and consistent dividend growth. Despite a 16.7% revenue decline in Q3, the company maintains a strong long-term earnings per share (EPS) growth rate of 6-8%, driven by robust expansion in Texas. Sempra's 3% dividend yield, supported by a low payout ratio and a 14-year growth streak, underscores its reliability as a dividend-paying stock. The firm's BBB+ credit rating further highlights its financial stability, making it a dependable choice in the multi-utilities sector.
 **Financials:**  
 Sempra's financial metrics reflect a mixed performance. The company has a trailing price-to-earnings (P/E) ratio of 18.19 and a forward P/E of 16.03, indicating a reasonable valuation relative to its earnings potential. Its price-to-book ratio of 1.82 suggests the stock is trading at a slight premium to its book value, which is typical for utility companies. However, the firm's revenue growth has been negative (-16.7%), and earnings growth has also declined (-12.3%), reflecting challenges in the current economic environment. Despite these setbacks, Sempra's profit margins remain healthy, with a net profit margin of 22.7% and EBITDA margins of 38.2%, showcasing operational efficiency.
 The company's balance sheet reveals a high debt-to-equity ratio of 96.75, which is common in the capital-intensive utilities sector. While total debt stands at $34.7 billion, Sempra generates strong operating cash flow of $4.63 billion, which supports its ability to service debt and sustain dividend payments. However, the negative free cash flow of -$4.55 billion indicates significant capital expenditures, likely tied to infrastructure investments.
 **Valuations:**  
 Sempra's current stock price of $81.12 is near its 200-day average of $81.30, suggesting stability in its trading range. The stock has a 52-week high of $95.77 and a low of $66.40, with a year-to-date gain of 18.9%, slightly underperforming the S&amp;P 500's 21.9% increase. Analysts have a positive outlook, with a mean target price of $93.88 and a median target of $95.00, implying potential upside. The recommendation mean of 1.68 (on a scale where 1.0 is a strong buy) reflects strong analyst confidence in the stock.
 **Economic Outlook:**  
 The broader economic environment presents challenges for Sempra. Rising inflationary pressures, driven by new tariffs and potential trade disruptions, could increase operational costs. Additionally, the Federal Reserve's cautious stance on interest rate cuts may lead to higher borrowing costs, impacting Sempra's debt-heavy balance sheet. However, as a utility company, Sempra benefits from its defensive nature, with steady demand for its services providing resilience during economic downturns. The company's focus on growth in Texas, a region with strong population and economic expansion, positions it well for long-term growth.
 **Conclusion:**  
 Sempra's combination of stable dividends, operational efficiency, and growth potential in key markets makes it a solid choice in the multi-utilities sector. While short-term challenges such as revenue declines and high debt levels persist, the company's long-term fundamentals remain strong. Its valuation appears reasonable, with room for upside based on analyst targets. Sempra's defensive characteristics and consistent dividend growth make it a reliable option in uncertain economic conditions.
 **Score:** 78</t>
  </si>
  <si>
    <t>**Investment Report:**
 **Recent News:**  
 Steris (STE) is preparing to release its third-quarter fiscal 2025 earnings, with expectations of growth driven by a normalization of its healthcare backlog and increasing demand in the bioprocessing sector. However, analysts have expressed concerns about the company's ability to exceed earnings expectations, citing a lack of the "right combination" of factors for a significant earnings beat. This mixed sentiment reflects both optimism about operational improvements and caution regarding near-term performance.
 **Financials:**  
 Steris has demonstrated solid financial health, with a market capitalization of $21.55 billion and a trailing price-to-earnings (P/E) ratio of 36.63, which is relatively high but supported by strong earnings growth of 30.5% year-over-year. The forward P/E of 22.03 suggests expectations of continued earnings expansion. Revenue growth of 7.3% and gross margins of 43.4% indicate robust operational efficiency. The company maintains a healthy current ratio of 2.41, reflecting strong liquidity, and a manageable debt-to-equity ratio of 36.3%. Free cash flow of $653 million further underscores its financial stability.
 Steris offers a dividend yield of 1.03%, with a payout ratio of 35.8%, aligning with its historical average. This indicates a balanced approach to rewarding shareholders while retaining capital for growth. However, the stock has underperformed the S&amp;P 500 over the past year, with a 52-week change of -2.33% compared to the S&amp;P's 21.93% gain.
 **Valuations:**  
 Steris trades at a price-to-book ratio of 3.27 and a price-to-sales ratio of 4.05, which are slightly elevated compared to industry peers. The trailing PEG ratio of 1.22 suggests that the stock is reasonably valued relative to its growth prospects. Analyst sentiment remains positive, with a mean price target of $248.89, representing a potential upside of approximately 13% from the current price. The recommendation mean of 2.11 (on a scale where 1 is a strong buy) indicates a general "buy" consensus among analysts.
 **Economic Outlook:**  
 The broader economic environment presents both opportunities and risks for Steris. The healthcare equipment industry is expected to benefit from increasing demand for bioprocessing and medical sterilization solutions, driven by global healthcare needs. However, macroeconomic headwinds, including inflationary pressures and potential supply chain disruptions from new tariffs, could weigh on operational costs and margins. Steris' relatively low beta of 0.85 suggests that its stock is less volatile than the broader market, which may provide some stability in uncertain economic conditions.
 **Conclusion:**  
 Steris is positioned for steady growth, supported by strong financials, operational efficiency, and favorable industry trends. While near-term earnings may face challenges, the company's long-term fundamentals remain intact. Its valuation metrics suggest moderate upside potential, though broader economic risks and market volatility could temper gains in the short term.
 **Score:** 78</t>
  </si>
  <si>
    <t>**Investment Report: Steel Dynamics**
 **Recent News:**  
 Steel Dynamics has not been in the headlines over the past week, indicating a lack of significant corporate developments or external disruptions. This stability may reflect a steady operational environment, though it also suggests no immediate catalysts for sharp price movements.
 **Financials:**  
 Steel Dynamics exhibits strong financial health, with a trailing P/E ratio of 11.96 and a forward P/E of 9.11, suggesting the stock is attractively valued relative to its earnings potential. The company’s dividend yield of 3.03% aligns closely with its five-year average, supported by a sustainable payout ratio of 44.36%. The firm’s beta of 1.48 indicates higher-than-average market volatility, which could amplify price swings in the current uncertain macroeconomic environment.  
 The company’s revenue growth of 20.1% and earnings growth of 80.8% highlight robust operational performance, while profit margins of 16.85% and operating margins of 30.34% underscore its efficiency. However, the negative operating cash flow (-$1.6 billion) raises concerns about liquidity management, despite a substantial cash reserve of $122.7 billion. The price-to-book ratio of 1.26 suggests the stock is trading near its intrinsic value, further supported by a strong return on equity of 8.55%.
 **Valuations:**  
 Steel Dynamics’ valuation metrics, including a trailing PEG ratio of 0.64, indicate the stock is undervalued relative to its growth prospects. Analyst sentiment remains positive, with a mean price target of $109.75, representing potential upside from the current price. The stock’s 52-week performance (+40.26%) has outpaced the S&amp;P 500 (+21.93%), reflecting strong investor confidence.
 **Economic Outlook:**  
 The broader steel industry faces headwinds from the Trump administration’s newly imposed tariffs on Canada, Mexico, and China, which could disrupt supply chains and increase input costs. However, Steel Dynamics may benefit from its domestic focus, potentially shielding it from the full impact of international trade tensions. Additionally, the company’s exposure to infrastructure and construction markets could provide resilience, as these sectors may see increased investment under U.S. economic policies.  
 The recent global tech market crash and inflationary pressures could weigh on broader market sentiment, but Steel Dynamics’ relatively low valuation and strong fundamentals position it as a potential defensive play in a volatile environment.
 **Conclusion:**  
 Steel Dynamics demonstrates solid financial performance and attractive valuations, though concerns about cash flow and macroeconomic uncertainties warrant caution. The company’s domestic focus and operational efficiency may help mitigate risks from trade disruptions, while its growth trajectory and dividend yield provide a compelling case for long-term value.
 **Score:** 78</t>
  </si>
  <si>
    <t>**Investment Report: State Street Corporation**
 **Recent News:**  
 State Street Corporation has not been in the news over the past week, indicating a lack of significant developments or announcements. This absence of news suggests stability but also highlights the need to focus on financial performance and broader economic factors to assess its investment potential.
 **Financials:**  
 State Street Corporation's financial metrics reflect a mixed performance. The company has a trailing price-to-earnings (P/E) ratio of 12.99 and a forward P/E of 10.59, suggesting it is trading at a relatively low valuation compared to its earnings potential. The dividend yield of 1.5% is below its five-year average of 1.91%, which may indicate a conservative approach to capital returns amidst challenging market conditions. The payout ratio of 16.23% suggests ample room for dividend sustainability.  
 The firm's revenue growth has declined by 5.4% year-over-year, and earnings growth has contracted by 40.9%, reflecting challenges in its operating environment. Despite this, the return on equity (ROE) of 19.7% and return on assets (ROA) of 9.1% remain strong, indicating efficient use of capital. The debt-to-equity ratio of 40.58% is moderate, and the current ratio of 2.39 suggests a solid liquidity position.  
 **Valuations:**  
 State Street's price-to-book (P/B) ratio of 2.16 is reasonable for the asset management and custody banking industry, where valuations often reflect the stability of fee-based revenue streams. The stock is trading near its 50-day and 200-day moving averages, indicating a lack of strong momentum in either direction. Analyst sentiment is neutral to positive, with a mean price target of $140.60, representing potential upside from the current price of approximately $128.  
 **Economic Outlook:**  
 The broader economic environment poses challenges for State Street. The recent implementation of tariffs by the U.S. administration could increase inflationary pressures, potentially impacting the firm's cost structure and client activity. Additionally, the global technology sector's volatility and the broader market's bearish sentiment may weigh on investor confidence, affecting asset flows into State Street's managed funds.  
 However, the company's beta of 1.33 suggests it is more sensitive to market movements, which could lead to higher volatility in the short term. The firm's strong institutional ownership of 84.8% reflects confidence from large investors, which may provide some stability.  
 **Conclusion:**  
 State Street Corporation's financial fundamentals remain solid despite headwinds from declining revenue and earnings growth. Its valuation metrics suggest the stock is reasonably priced, with potential for upside if market conditions stabilize. However, the broader economic environment, including inflationary pressures and market volatility, could weigh on performance in the near term.  
 **Score:** 72</t>
  </si>
  <si>
    <t>**Investment Report: Constellation Brands (NYSE: STZ)**
 **Recent News:**  
 Constellation Brands has faced significant market pressure following the announcement of a 25% tariff on goods from Mexico by the Trump administration. The company's reliance on Mexican imports for its popular beer brands, including Corona, Modelo, and Pacifico, has raised concerns about potential cost increases and margin compression. The stock has dropped to a four-year low, reflecting investor apprehension about the impact of these tariffs on the company's profitability. Additionally, Piper Sandler downgraded the stock from "Overweight" to "Neutral," further contributing to the negative sentiment.
 **Financials:**  
 Constellation Brands has demonstrated strong financial performance in recent quarters, with earnings growth of 69% and revenue growth of 7.2%. The company maintains a healthy profit margin of 11.93% and EBITDA margins of 25.01%, indicating operational efficiency. However, the firm's debt-to-equity ratio of 65% and negative operating cash flow of $4.63 billion highlight potential vulnerabilities in a high-cost environment. The stock's trailing P/E ratio of 33.81 and forward P/E of 33.26 suggest a premium valuation, which may be difficult to justify given the current macroeconomic challenges.
 **Valuations:**  
 The stock is trading at a price-to-book ratio of 7.63, significantly above the industry average, indicating that it may be overvalued relative to its peers. Despite a 52-week change of +128.97%, the recent tariff announcement has caused a sharp decline in the stock price, with shares now trading at $177.47, well below the 52-week high of $352. Analysts' target prices range from $226.32 to $385, with a mean target of $311.77, suggesting potential upside if the tariff concerns are resolved. However, the current market sentiment remains bearish, as evidenced by the increase in short interest.
 **Economic Outlook:**  
 The imposition of tariffs on Mexican imports poses a significant risk to Constellation Brands, as it directly impacts the cost structure of its core beer segment. The broader economic environment, characterized by rising inflation and potential trade tensions, further complicates the outlook. While the company's strong brand portfolio and market position provide some resilience, the near-term challenges related to tariffs and potential retaliatory measures from Mexico could weigh heavily on earnings. Additionally, the broader market volatility and declining consumer sentiment may dampen demand for premium alcoholic beverages.
 **Conclusion:**  
 Constellation Brands faces a challenging environment due to its reliance on Mexican imports and the recent tariff announcement. While the company has strong financial fundamentals and a robust product portfolio, the near-term risks associated with increased costs and potential margin compression are significant. The stock's premium valuation and recent downgrade by analysts further underscore the cautious sentiment surrounding the company. The resolution of trade tensions and clarity on the tariff impact will be critical in determining the stock's trajectory in the coming months.
 **Score:** 45</t>
  </si>
  <si>
    <t>**Investment Report: Smurfit WestRock**
 **Recent News:**  
 There have been no significant updates or developments regarding Smurfit WestRock in the past week. The absence of news suggests stability in the company's operations, but it also indicates a lack of immediate catalysts for significant stock movement. This neutral news environment places greater emphasis on the company's financial performance and broader economic conditions.
 **Financials:**  
 Smurfit WestRock's financial metrics present a mixed picture. The company has a market capitalization of $27.8 billion and a dividend yield of 4.36%, which is above its five-year average of 3.31%, making it attractive for income-focused investors. However, its trailing price-to-earnings (P/E) ratio of 74.33 is notably high, suggesting the stock may be overvalued based on historical earnings. The forward P/E of 15.25, however, indicates expectations of improved profitability in the coming year.  
 The company's revenue growth of 1.63% is modest, and its profit margins remain thin at 1.35%. Debt levels are relatively high, with a debt-to-equity ratio of 82.99, which could pose risks in a rising interest rate environment. On the positive side, Smurfit WestRock has a solid book value of $34.68 per share, with a price-to-book ratio of 1.54, indicating the stock is trading at a reasonable premium to its net asset value.  
 **Valuations:**  
 Analyst sentiment appears favorable, with a recommendation mean of 1.81 (indicating a "buy") and a target median price of $62.00, suggesting potential upside from the current price of approximately $53.09. The stock has shown resilience, with a 52-week change of +14.86%, though it has underperformed the S&amp;P 500's 21.93% gain over the same period. The company's enterprise value-to-revenue ratio of 2.54 and enterprise value-to-EBITDA ratio of 19.21 suggest the stock is priced at a premium relative to its earnings capacity.
 **Economic Outlook:**  
 The broader economic environment presents challenges for Smurfit WestRock. The recent imposition of tariffs by the U.S. administration could disrupt supply chains and increase input costs for the paper and packaging industry, particularly if the company relies on imported materials. Additionally, inflationary pressures and potential interest rate hikes could weigh on consumer demand and increase borrowing costs, further straining margins. However, the company's strong institutional ownership (87.54%) and stable dividend payouts provide a degree of confidence in its ability to weather economic headwinds.
 **Conclusion:**  
 Smurfit WestRock's financial stability, attractive dividend yield, and favorable analyst sentiment are offset by its high debt levels, thin profit margins, and potential exposure to macroeconomic risks. While the stock offers long-term value, particularly for income-focused investors, near-term performance may be constrained by broader economic challenges and the lack of immediate growth catalysts.
 **Score:** 68</t>
  </si>
  <si>
    <t>**Investment Report: Stanley Black &amp; Decker (SWK)**
 **Recent News:**  
 Stanley Black &amp; Decker is set to release its Q4 2024 earnings, with mixed expectations. While the aerospace market is expected to provide a boost, the company faces challenges in its Industrial and Tools &amp; Outdoor segments. Analysts are cautious about the likelihood of an earnings beat, citing a lack of favorable conditions in key metrics. This reflects ongoing operational struggles in certain business areas, which may weigh on overall performance.
 **Financials:**  
 Stanley Black &amp; Decker's financial position shows a mixed picture. The company has a market capitalization of $13.13 billion and a forward P/E ratio of 15.73, suggesting moderate valuation levels. However, its profit margins remain negative (-1.33%), and the company reported a net loss of $184.7 million in the most recent quarter. Revenue growth has declined by 5.1% year-over-year, indicating challenges in maintaining top-line performance. On the positive side, the company has a free cash flow of $1.47 billion, which provides some financial flexibility. The dividend yield of 3.72% is above its five-year average of 2.76%, signaling a commitment to returning value to shareholders despite current headwinds.
 **Valuations:**  
 The stock is trading at a price-to-book ratio of 1.48, which is relatively low compared to historical levels, potentially indicating undervaluation. However, the company's debt-to-equity ratio of 79.08% raises concerns about its leverage, especially in a rising interest rate environment. The enterprise value-to-EBITDA ratio of 11.92 suggests the stock is not excessively expensive, but the negative return on equity (-2.03%) highlights inefficiencies in generating shareholder value.
 **Economic Outlook:**  
 The broader macroeconomic environment presents challenges for Stanley Black &amp; Decker. The recent imposition of tariffs by the U.S. administration could increase input costs and disrupt supply chains, particularly for industrial machinery and components. Additionally, inflationary pressures and potential trade tensions may further strain the company's operations. The ongoing volatility in the stock market, coupled with sector-specific challenges, adds to the uncertainty surrounding the company's near-term performance.
 **Conclusion:**  
 Stanley Black &amp; Decker faces a complex mix of opportunities and challenges. While its aerospace segment offers growth potential, weaknesses in other key segments and macroeconomic headwinds could limit upside in the short term. The company's financial health is stable but not robust, with high debt levels and declining revenue growth being notable concerns. The stock's valuation appears reasonable, but operational inefficiencies and external risks may weigh on investor sentiment in the coming month.
 **Score:** 62</t>
  </si>
  <si>
    <t>**Investment Report: Skyworks Solutions (SWKS)**
 **Recent News:**  
 Skyworks Solutions is set to report its Q1 fiscal 2025 earnings, with expectations that its diversified portfolio may help mitigate challenges in the semiconductor market. The company operates in a sector currently under pressure due to global economic uncertainties, including trade tensions and a sharp decline in technology shares following the emergence of Chinese AI competitor DeepSeek. Despite these headwinds, Skyworks' focus on diversified end markets, including 5G, automotive, and IoT, positions it to weather some of the broader industry challenges.
 **Financials:**  
 Skyworks Solutions' financial metrics reflect a mixed performance. The company has a trailing P/E ratio of 23.09 and a forward P/E of 13.50, suggesting that the market expects earnings growth in the near term. However, earnings growth has been negative, with a quarterly decline of 75.3%, and revenue growth has also contracted by 15.9%. Gross margins remain healthy at 40.47%, and the company has a strong balance sheet with a quick ratio of 3.33 and a current ratio of 5.75, indicating robust liquidity. Skyworks also maintains a manageable debt-to-equity ratio of 15.69 and generates significant free cash flow of $1.14 billion, which supports its dividend payments. The dividend yield of 3.35% is above its five-year average of 1.91%, making it attractive for income-focused investors.
 **Valuations:**  
 Skyworks' stock is trading at a price-to-book ratio of 2.15 and a price-to-sales ratio of 3.13, which are reasonable compared to industry peers. The stock has declined 13.87% over the past year, underperforming the S&amp;P 500's 21.93% gain. Analysts have a median price target of $95, representing a modest upside from the current price. However, the recommendation mean of 2.62 (on a scale where 1 is a "Strong Buy" and 5 is a "Sell") suggests a cautious "Hold" sentiment among analysts.
 **Economic Outlook:**  
 The semiconductor industry faces significant macroeconomic challenges, including the recent imposition of tariffs by the U.S. on imports from China, Canada, and Mexico. These tariffs could disrupt supply chains and increase costs for Skyworks, which relies on global manufacturing and distribution networks. Additionally, the broader technology sector has been hit hard by the emergence of DeepSeek, which has intensified competition and led to a sharp decline in valuations for companies like Nvidia. While Skyworks is less directly exposed to AI competition, the overall market sentiment could weigh on its stock performance. On the positive side, Skyworks' exposure to 5G and IoT markets provides long-term growth opportunities, particularly as these technologies continue to expand globally.
 **Conclusion:**  
 Skyworks Solutions is navigating a challenging environment marked by declining earnings and revenue growth, as well as broader industry headwinds. However, its strong balance sheet, healthy margins, and diversified portfolio provide a degree of resilience. The stock's valuation appears reasonable, and its dividend yield is attractive, but near-term uncertainties, including trade tensions and macroeconomic pressures, may limit upside potential in the next month.
 **Score:** 65</t>
  </si>
  <si>
    <t>**Investment Report: Synchrony Financial (SYF)**
 **Recent News:**  
 Synchrony Financial has demonstrated resilience despite facing challenges in the consumer finance sector. Recent earnings reports revealed a 7% drop in shares due to increased credit expenses and weaker net interest income. However, the company exceeded Q4 earnings expectations, and its stock rebounded with a 2.73% gain over the past week. Synchrony is proactively adapting to tighter credit standards, which have successfully reduced delinquency rates. The firm is also preparing for potential regulatory changes that could influence loan growth. Looking forward, Synchrony projects a 12.9% growth in core EPS by 2025, though net revenues are expected to slightly decline compared to 2024. Additionally, its preferred shares offer income opportunities, with performance varying based on interest rate trends.
 **Financials:**  
 Synchrony Financial's valuation metrics suggest it remains attractively priced. The trailing P/E ratio of 7.90 and forward P/E of 7.81 indicate a discount compared to broader market averages. The company has a strong profit margin of 35.1% and a return on equity of 21.3%, reflecting efficient operations and profitability. Its dividend yield of 1.5% is below its five-year average of 2.62%, but the low payout ratio of 11.7% suggests room for future dividend growth. Synchrony also maintains a robust cash position of $17.9 billion, which exceeds its total debt of $15.6 billion, providing financial flexibility. The stock has shown strong momentum, with a 52-week price change of 77.8%, significantly outperforming the S&amp;P 500's 21.9% gain.
 **Valuations:**  
 Synchrony is trading at a price-to-book ratio of 1.78, which is reasonable given its strong return on equity and earnings growth. Analysts have a favorable outlook, with a mean target price of $77.48, representing a potential upside from its current price. The stock's beta of 1.59 indicates higher volatility, which could amplify both risks and rewards in the current market environment. Short interest has declined, suggesting improving sentiment among investors.
 **Economic Outlook:**  
 The broader economic environment presents mixed signals for Synchrony Financial. The recent implementation of tariffs by the U.S. government could increase inflationary pressures, potentially impacting consumer spending and credit demand. However, Synchrony's focus on tighter credit standards and reduced delinquency rates positions it well to navigate a more challenging credit environment. The Federal Reserve's potential shift to a more hawkish stance could influence interest rate trends, affecting Synchrony's net interest income and the performance of its preferred shares. Additionally, the company's exposure to regulatory changes may introduce uncertainty, though its proactive measures suggest preparedness.
 **Conclusion:**  
 Synchrony Financial has shown resilience and adaptability in a challenging macroeconomic environment. Its strong financial position, attractive valuation metrics, and growth prospects make it a compelling player in the consumer finance industry. However, potential headwinds from inflation, regulatory changes, and interest rate trends warrant close monitoring.
 **Score:** 78</t>
  </si>
  <si>
    <t>**Investment Report: Stryker Corporation (SYK)**
 **Recent News:**  
 Stryker Corporation has demonstrated robust growth, driven by increased procedural volumes, strategic acquisitions, and strong demand for its surgical devices. The company recently divested its U.S. spinal business, a move aimed at streamlining operations and focusing on higher-margin segments. While this decision aligns with Stryker's long-term strategy, the market reacted cautiously, leading to a dip in its stock price despite the company exceeding fourth-quarter earnings and revenue expectations. Earnings per share rose to $4.01 from $3.46 year-over-year, reflecting strong operational performance. Additionally, Stryker's partnership with NARI is expected to bolster its growth trajectory. The company has forecasted 2025 profits above analyst estimates, supported by its improved operating margins and strong segmental performance.
 **Financials:**  
 Stryker's financial metrics indicate a mixed picture. The company has a trailing price-to-earnings (P/E) ratio of 13.36 and a forward P/E of 7.28, suggesting a relatively attractive valuation compared to its historical performance. Its market capitalization stands at $15.72 billion, with a price-to-sales ratio of 1.05, indicating a reasonable valuation relative to its revenue. However, the company faces challenges with negative free cash flow (-$2.83 billion) and operating cash flow (-$2.48 billion), which could limit its financial flexibility in the near term. Stryker's debt-to-equity ratio of 39.75% is manageable, and its current ratio of 3.77 reflects strong liquidity. The company has demonstrated impressive earnings growth of 61% and revenue growth of 143% on a quarterly basis, underscoring its operational efficiency and market demand.
 **Valuations:**  
 Stryker's stock has experienced significant volatility, with a 52-week range of $17.25 to $122.90. The stock is currently trading well below its 52-week high, reflecting broader market pressures and cautious investor sentiment following its divestment announcement. Analysts have a median price target of $33.00, with a recommendation leaning towards "hold." The company's return on equity (32.47%) and return on assets (11.62%) are strong, indicating effective utilization of resources to generate profits. However, its gross margins (14.13%) and EBITDA margins (8.73%) suggest room for improvement in cost management.
 **Economic Outlook:**  
 Stryker operates in the healthcare equipment industry, which is relatively insulated from broader economic volatility. However, macroeconomic headwinds, including inflationary pressures and potential trade disruptions from new tariffs, could impact supply chains and input costs. The company's strategic focus on high-demand surgical devices and divestment of lower-margin businesses positions it well for long-term growth. Additionally, the healthcare sector's resilience and aging global population provide a favorable backdrop for Stryker's products and services.
 **Conclusion:**  
 Stryker Corporation's strong earnings growth, strategic divestments, and focus on high-margin segments highlight its potential for long-term value creation. However, near-term challenges, including market volatility, cautious investor sentiment, and negative cash flow, warrant close monitoring. The company's ability to execute its growth strategy while managing costs and navigating macroeconomic uncertainties will be critical to its performance.
 **Score:** 78</t>
  </si>
  <si>
    <t>**Investment Report: AT&amp;T**
 **Recent News:**  
 AT&amp;T has demonstrated resilience and strategic focus in its recent performance. The company maintained its high-yield dividend status, paying a quarterly dividend of $0.2775, which reflects its commitment to shareholder returns. Despite a dividend reduction in 2022, AT&amp;T's current yield of 4.7% is considered secure, supported by robust financials and a clear plan to enhance shareholder returns starting in the second half of 2025. The company has also initiated a share repurchase program, aiming to return over $40 billion to shareholders over the next three years, translating to an impressive annual shareholder yield of nearly 8%. AT&amp;T's Q4 earnings exceeded expectations, driven by growth in its mobility and consumer wireline segments, which contributed to a 6.3% surge in its stock price. Additionally, the company reduced its net debt by $8.8 billion in FY 2024 and plans further debt repayments in FY 2025, signaling improved financial discipline and a focus on deleveraging. Analysts have expressed optimism about AT&amp;T's 2025 guidance and its strategic focus on growth areas, despite some concerns over declining business segments.
 **Financials:**  
 AT&amp;T's financial metrics reflect a stable and improving position. The company has a trailing P/E ratio of 20.99 and a forward P/E of 18.50, indicating reasonable valuation levels relative to its earnings growth. Its profit margins stand at 25.09%, supported by strong operating margins of 32.15% and EBITDA margins of 48.65%. Revenue growth of 5.9% and earnings growth of 14.8% highlight the company's ability to generate consistent top-line and bottom-line expansion. AT&amp;T's debt-to-equity ratio of 64.65% is manageable, especially given its recent debt reduction efforts. However, the company's free cash flow remains negative at -$1.56 billion, which could be a concern if not addressed in the medium term. The quick ratio of 1.36 and current ratio of 1.735 indicate sufficient liquidity to meet short-term obligations.
 **Valuations:**  
 AT&amp;T's stock is trading at a price-to-book ratio of 1.83, which is reasonable given its strong book value of $78.49 per share. The stock has shown a 52-week change of 27.46%, outperforming the S&amp;P 500's 21.93% gain over the same period. Analysts have a mean target price of $148.56, suggesting moderate upside potential from current levels. The company's dividend yield of 4.7% is above its five-year average of 2.45%, making it an attractive option for income-focused investors. Additionally, the trailing PEG ratio of 2.36 reflects a fair valuation relative to its growth prospects.
 **Economic Outlook:**  
 AT&amp;T operates in a challenging macroeconomic environment marked by inflationary pressures and trade uncertainties. However, its focus on growth segments such as mobility and consumer wireline positions it well to navigate these challenges. The company's ability to reduce debt and maintain a strong dividend yield provides a cushion against broader market volatility. While the recent tariffs and trade tensions could impact consumer spending and business investment, AT&amp;T's essential services and diversified revenue streams offer some insulation from these risks. The company's strategic initiatives, including its share repurchase program and focus on shareholder returns, further enhance its long-term investment appeal.
 **Score:** 85</t>
  </si>
  <si>
    <t>**Investment Report: TransDigm Group (TDG)**
 **Recent News:**  
 TransDigm Group is set to release its Q1 earnings report, with analysts anticipating growth in earnings driven by strong sales performance in two of its major business segments. However, there is skepticism about the company achieving an earnings beat due to a lack of alignment with key predictive factors. This mixed sentiment reflects both optimism about operational strength and caution regarding broader market conditions.
 **Financials:**  
 TransDigm's financial metrics reveal a robust position in the Aerospace &amp; Defense industry. The company has a market capitalization of $75.8 billion and a trailing P/E ratio of 52.88, indicating a premium valuation. Its forward P/E of 31.33 suggests expectations of future earnings growth. The firm has demonstrated solid profitability, with a profit margin of 21.59% and EBITDA margins of 48.97%. Revenue growth of 18% year-over-year highlights strong demand, while free cash flow of $5.86 billion underscores its ability to generate liquidity. However, the company carries significant debt at $24.95 billion, which could pose risks in a rising interest rate environment.
 **Valuations:**  
 TransDigm's stock is trading near the upper end of its 52-week range ($1,100.86 - $1,451.32), reflecting investor confidence. Analysts' target prices range from $1,250 to $1,660, with a mean target of $1,490.15, suggesting moderate upside potential from current levels. The enterprise value-to-revenue ratio of 11.93 and enterprise value-to-EBITDA ratio of 24.37 indicate a high valuation relative to peers, which may limit further price appreciation unless earnings growth accelerates.
 **Economic Outlook:**  
 The Aerospace &amp; Defense industry is poised for growth, supported by increased global defense spending and recovery in commercial aviation. However, macroeconomic headwinds, including inflationary pressures and potential supply chain disruptions from new tariffs, could impact costs and margins. TransDigm's reliance on high-margin proprietary products provides some insulation, but broader economic uncertainty remains a concern.
 **Interpretation:**  
 TransDigm's strong revenue growth and profitability metrics position it well within its industry, but its high valuation and significant debt levels warrant caution. The upcoming earnings report will be critical in determining whether the company can sustain its growth trajectory amid challenging macroeconomic conditions. While the firm benefits from robust segmental sales, broader market volatility and geopolitical risks could weigh on its near-term performance.
 **Score:** 78</t>
  </si>
  <si>
    <t>**Investment Report:**
 **Recent News:**  
 Teledyne Technologies has not been in the news over the past week, indicating a lack of significant developments or disruptions. This absence of news suggests stability in the company's operations, though it also means no immediate catalysts for stock movement.
 **Financials:**  
 Teledyne Technologies exhibits solid financial fundamentals. The company has a trailing price-to-earnings (P/E) ratio of 22.92 and a forward P/E of 16.20, indicating a potential for earnings growth relative to its current valuation. The dividend yield of 1.75% is modest but consistent, with a low payout ratio of 23.98%, suggesting the company retains significant earnings for reinvestment or debt reduction. However, earnings growth has been negative (-47.9%), and revenue growth is minimal at 0.8%, reflecting challenges in expanding profitability and sales.
 The company maintains a healthy return on equity (ROE) of 26.46%, demonstrating efficient use of shareholder capital. Its gross margins of 34.43% and operating margins of 18.09% indicate strong profitability within its industry. However, the quick ratio of 0.92 and current ratio of 1.61 suggest moderate liquidity, with some reliance on short-term liabilities. Debt-to-equity stands at 37.19%, which is manageable but worth monitoring given the rising interest rate environment.
 **Valuations:**  
 Teledyne's price-to-book ratio of 3.52 and price-to-sales ratio of 2.73 suggest the stock is trading at a premium compared to its book value and revenue. Analysts have a mean target price of $170.73, representing potential upside from the current price of $147.97. The recommendation mean of 2.15 (on a scale where 1.0 is a strong buy) reflects a generally favorable outlook from analysts, with 18 opinions supporting this view.
 **Economic Outlook:**  
 The broader economic environment presents challenges for Teledyne Technologies. The recent imposition of tariffs by the U.S. administration could disrupt supply chains and increase costs for companies in the electronic equipment and instruments industry. Additionally, inflationary pressures and potential Federal Reserve tightening may weigh on consumer and business spending, potentially impacting demand for Teledyne's products. The global technology sector's recent volatility, driven by competition from Chinese advancements, could also create headwinds for the company.
 **Conclusion:**  
 Teledyne Technologies demonstrates strong profitability and efficient capital use, but its negative earnings growth and minimal revenue growth raise concerns about its ability to navigate the current economic environment. While the stock appears fairly valued with some upside potential, broader macroeconomic risks and industry-specific challenges could limit near-term performance.
 **Score:** 65</t>
  </si>
  <si>
    <t>**Investment Report: Bio-Techne Corporation**
 **Recent News:**  
 Bio-Techne is preparing to release its Q2 earnings, with expectations of stabilization in large-pharma customer activity and increased ordering trends from biotech clients. This signals a potential recovery in demand, particularly from the biotech sector, which has faced challenges in recent quarters. The anticipated stabilization could reflect improving market conditions and a more favorable environment for the company's products and services.
 **Financials:**  
 Bio-Techne's financial metrics reveal a mixed picture. The company has a trailing P/E ratio of 75.84, indicating a high valuation relative to its earnings, though the forward P/E of 32.84 suggests expectations of significant earnings growth. Revenue growth of 4.5% year-over-year is modest but steady, while gross margins of 66.06% highlight strong profitability in its operations. However, earnings growth has declined by 32.3%, reflecting challenges in maintaining bottom-line performance. The company maintains a solid balance sheet, with a quick ratio of 2.89 and a current ratio of 4.56, indicating strong liquidity. Debt levels are manageable, with a debt-to-equity ratio of 18.65%. Free cash flow of $232.41 million and operating cash flow of $303.49 million provide financial flexibility.
 **Valuations:**  
 Bio-Techne's price-to-sales ratio of 9.77 and price-to-book ratio of 5.35 suggest the stock is trading at a premium compared to its peers in the Life Sciences Tools &amp; Services industry. The enterprise value-to-EBITDA ratio of 37.79 further underscores the high valuation. Analyst sentiment remains positive, with a recommendation mean of 1.6 (indicating a "buy") and a target median price of $86, representing potential upside from the current price. However, the stock's beta of 1.28 suggests higher volatility compared to the broader market.
 **Economic Outlook:**  
 The broader economic environment presents both opportunities and risks for Bio-Techne. The stabilization of large-pharma customers and increased biotech activity are positive indicators for the company's near-term performance. However, macroeconomic headwinds, including inflationary pressures and potential disruptions from new tariffs, could weigh on customer budgets and supply chains. Additionally, the recent volatility in the technology sector and broader market may impact investor sentiment toward high-valuation growth stocks like Bio-Techne.
 **Conclusion:**  
 Bio-Techne's strong market position, robust margins, and liquidity provide a solid foundation for growth. However, the high valuation, declining earnings growth, and broader economic uncertainties warrant caution. The upcoming Q2 earnings report will be a critical indicator of the company's ability to navigate these challenges and capitalize on improving customer trends.
 **Score:** 72</t>
  </si>
  <si>
    <t>**Investment Report: TE Connectivity**
 **Recent News:**  
 TE Connectivity has not been in the spotlight recently, with no major news or developments reported in the past week. This lack of news suggests stability in operations but also indicates no immediate catalysts for significant price movement in the short term.
 **Financials:**  
 TE Connectivity's financial performance reflects a solid foundation. The company has a trailing price-to-earnings (P/E) ratio of 14.23 and a forward P/E of 14.48, indicating a reasonable valuation relative to its earnings. The dividend yield of 2.87% is above its five-year average of 2.26%, suggesting an attractive income opportunity for investors. The payout ratio of 45.45% indicates that the dividend is sustainable, leaving room for reinvestment in growth initiatives.  
 The firm has shown strong earnings growth of 42.8% year-over-year, supported by revenue growth of 2.7%. Profit margins, while modest at 4.18%, are complemented by a return on equity (ROE) of 33.97%, which is significantly above industry averages and highlights efficient use of shareholder capital. However, the quick ratio of 0.175 and current ratio of 0.897 suggest liquidity constraints, which could pose challenges in meeting short-term obligations. Additionally, the debt-to-equity ratio of 132.8% indicates a high level of leverage, which may increase financial risk in a rising interest rate environment.
 **Valuations:**  
 TE Connectivity's stock is trading at $134.95, near its 50-day average of $135.03 but below its 200-day average of $147.43. This reflects a recent decline, likely influenced by broader market volatility and macroeconomic concerns. The stock is down 4.51% over the past year, underperforming the S&amp;P 500's 21.93% gain during the same period. Analysts have a median price target of $145, implying a potential upside of approximately 7.5% from current levels. The price-to-book ratio of 4.61 is relatively high, indicating that the stock may be priced at a premium compared to its book value.
 **Economic Outlook:**  
 TE Connectivity operates in the Electronic Manufacturing Services industry, which is sensitive to global supply chain disruptions and trade policies. The recent imposition of tariffs by the U.S. on imports from Canada, Mexico, and China could increase input costs and pressure margins. Additionally, the global technology sector has faced significant headwinds, with the recent market crash triggered by Chinese AI advancements impacting investor sentiment. However, TE Connectivity's diversified product portfolio and exposure to long-term growth trends, such as electrification and automation, may provide resilience against short-term economic challenges.
 **Conclusion:**  
 TE Connectivity demonstrates strong earnings growth, efficient capital utilization, and a sustainable dividend, making it a fundamentally sound company. However, high leverage, liquidity concerns, and macroeconomic headwinds, including trade tensions and sector-wide volatility, could weigh on its near-term performance. While the stock appears undervalued relative to its growth potential, external risks and market conditions warrant caution in the short term.
 **Score:** 72</t>
  </si>
  <si>
    <t>**Investment Report:**
 **Recent News:**  
 Teradyne's fourth-quarter 2024 results demonstrated resilience, with earnings per share of $0.95 surpassing expectations of $0.90 and improving from $0.79 a year earlier. This performance was driven by robust growth in AI-related semiconductor testing and heightened demand in the memory test market. However, the company issued mixed guidance for the first quarter of 2025, citing weakening demand for semiconductor-testing equipment. Additionally, challenges in its industrial automation and robotics segments remain a concern, reflecting broader industry headwinds. Despite the strong quarterly results, the stock experienced a decline, likely due to cautious forward-looking statements.
 **Financials:**  
 Teradyne's financial metrics reveal a mixed picture. The company boasts a strong market capitalization of $1.23 trillion and a solid cash position of $33.65 billion, providing liquidity to navigate near-term challenges. However, its valuation metrics, including a trailing P/E ratio of 189.94 and forward P/E of 98.58, suggest the stock is trading at a premium relative to earnings. The price-to-book ratio of 17.60 further underscores this elevated valuation. While revenue growth of 7.8% and earnings growth of 17% are positive, gross margins of 18.23% and operating margins of 10.79% indicate room for improvement in operational efficiency. The company's debt-to-equity ratio of 18.08% is manageable, but its enterprise value-to-EBITDA ratio of 92.79 signals high expectations for future profitability.
 **Valuations:**  
 Teradyne's stock has experienced significant volatility, with a 52-week range of $138.80 to $488.54. The current price near $383 reflects a pullback from recent highs, aligning with broader market pressures in the semiconductor sector. Analyst sentiment is mixed, with a mean target price of $324.99 and a recommendation key of "hold." The stock's beta of 2.30 indicates heightened sensitivity to market movements, which could exacerbate volatility amid ongoing macroeconomic uncertainties.
 **Economic Outlook:**  
 The semiconductor industry faces a challenging macroeconomic environment, compounded by geopolitical tensions and trade disruptions. The recent U.S. tariffs on imports from China, Canada, and Mexico could exacerbate supply chain issues and increase costs for semiconductor companies like Teradyne. Additionally, the global technology sector has been shaken by the emergence of DeepSeek, a Chinese AI competitor, which has disrupted market dynamics and weighed on investor sentiment. While Teradyne's focus on AI-driven growth positions it well for long-term opportunities, near-term demand softness and broader economic headwinds could limit upside potential.
 **Conclusion:**  
 Teradyne's strong financial performance and leadership in semiconductor testing are offset by elevated valuations, mixed forward guidance, and macroeconomic challenges. While the company remains a key player in its industry, the near-term outlook is clouded by weakening demand and broader market volatility.
 **Score:** 65</t>
  </si>
  <si>
    <t>**Investment Report: Truist Financial**
 **Recent News:**  
 Truist Financial has not been in the spotlight recently, with no significant news or developments reported in the past week. This lack of news suggests stability in operations but also indicates no immediate catalysts for significant stock movement.
 **Financials:**  
 Truist Financial demonstrates solid financial health with a market capitalization of $55.4 billion and a relatively low beta of 0.63, indicating lower volatility compared to the broader market. The firm’s trailing price-to-earnings (P/E) ratio of 11.39 and forward P/E of 10.24 suggest the stock is attractively valued relative to its earnings potential. The dividend yield of 1.76% is below its five-year average of 2.23%, reflecting a potential undervaluation or a shift in market conditions. The payout ratio of 21% indicates a conservative approach to dividend distribution, leaving room for reinvestment or future increases.
 The company’s revenue growth of 11.9% year-over-year and earnings growth of 211.9% highlight strong operational performance. Return on equity (ROE) of 19.06% and return on assets (ROA) of 2.93% further underscore efficient management and profitability. However, the debt-to-equity ratio of 29.0% suggests moderate leverage, which could pose risks in a rising interest rate environment.
 **Valuations:**  
 Truist Financial’s price-to-book (P/B) ratio of 2.00 is reasonable for the diversified banking industry, reflecting fair valuation relative to its book value. The stock is trading near its 50-day average of $248.13, slightly above its 200-day average of $229.95, indicating a stable upward trend. Analyst sentiment is mixed, with a recommendation mean of 2.68 (between "hold" and "buy") and a target median price of $270, suggesting limited upside from current levels.
 **Economic Outlook:**  
 The broader economic environment presents challenges for the banking sector. The recent implementation of tariffs by the U.S. administration could lead to inflationary pressures, potentially impacting consumer spending and loan demand. Additionally, the Federal Reserve’s cautious stance on interest rate cuts may limit margin expansion for banks. However, Truist Financial’s strong cash flow generation ($14.57 billion in free cash flow) and robust operating performance position it well to navigate these headwinds.
 **Conclusion:**  
 Truist Financial exhibits strong fundamentals, including solid revenue and earnings growth, efficient management, and a reasonable valuation. However, macroeconomic uncertainties, such as inflationary pressures and trade tensions, could weigh on the banking sector in the near term. While the firm is well-positioned to weather these challenges, the lack of immediate catalysts and mixed analyst sentiment suggest limited short-term upside.
 **Score:** 72</t>
  </si>
  <si>
    <t>**Investment Report: Teleflex**
 **Recent News:**  
 Teleflex has not been in the spotlight recently, with no significant news or developments reported in the past week. This lack of news suggests stability in operations but also indicates no immediate catalysts for significant price movement.
 **Financials:**  
 Teleflex's financial performance reflects a solid position within the Health Care Equipment industry. The company has a market capitalization of $18.09 billion and a trailing price-to-earnings (PE) ratio of 33.46, which is relatively high, indicating a premium valuation. However, the forward PE of 19.84 suggests expectations of earnings growth. The firm has demonstrated steady earnings growth of 14.1% and revenue growth of 4.8% year-over-year, supported by strong profit margins (18.75%) and gross margins (57.89%).  
 The company maintains a healthy balance sheet with a low debt-to-equity ratio of 2.74 and robust liquidity metrics, including a quick ratio of 1.74 and a current ratio of 3.09. Free cash flow of $386.69 million and operating cash flow of $638.40 million further highlight its financial stability. However, the enterprise value-to-EBITDA ratio of 30.29 suggests the stock may be overvalued relative to its earnings potential.  
 **Valuations:**  
 Teleflex's stock is trading at $110.92-$111.11, near the lower end of its 52-week range ($95.80-$163.21). The stock has underperformed the S&amp;P 500 over the past year, with a 52-week change of 18.46% compared to the S&amp;P's 21.93%. Analysts have a mean target price of $136.19, implying a potential upside of approximately 22% from current levels. The recommendation mean of 2.0 (Buy) and a median target price of $140.00 reflect positive sentiment among analysts.  
 The dividend yield of 0.39% is modest, with a payout ratio of 14.97%, indicating room for potential dividend growth. However, the five-year average dividend yield of 0.41% suggests limited historical growth in this area.  
 **Economic Outlook:**  
 The broader macroeconomic environment presents challenges for Teleflex. Rising inflationary pressures and potential trade disruptions from new tariffs could increase costs for medical equipment manufacturers. However, the health care sector is generally resilient to economic downturns, and Teleflex's strong margins and cash flow position it well to weather these challenges.  
 The company's beta of 1.515 indicates higher volatility compared to the broader market, which could lead to amplified price swings in the current uncertain economic climate. Additionally, the recent global technology selloff and geopolitical tensions may indirectly impact investor sentiment across sectors, including health care.  
 **Conclusion:**  
 Teleflex demonstrates strong financial fundamentals, including steady growth, robust margins, and a healthy balance sheet. However, its high valuation metrics and exposure to broader market volatility may limit short-term upside potential. The lack of recent news or catalysts suggests the stock may trade within a narrow range in the near term, barring any significant developments.  
 **Score:** 72</t>
  </si>
  <si>
    <t>**Investment Report: Target Corporation**
 **Recent News:**  
 Target Corporation is navigating a complex landscape of both opportunities and challenges. The company is embroiled in a lawsuit alleging it misled shareholders about risks tied to its diversity, equity, and inclusion (DEI) initiatives. This legal issue coincides with a broader backlash following Target's decision to scale back its DEI programs, which has drawn criticism from LGBTQ+ groups and calls for boycotts. Despite these controversies, Target demonstrated resilience during the holiday season, achieving record-breaking Black Friday and Cyber Monday sales. However, a notable Q3 earnings miss has weighed on investor sentiment, contributing to a decline in the stock price. The company’s ability to balance public perception, legal risks, and operational performance will be critical in the near term.
 **Financials:**  
 Target's financial performance reflects a mixed picture. The company has a trailing P/E ratio of 29.45 and a forward P/E of 21.60, suggesting a more attractive valuation based on future earnings expectations. Its gross margins of 43.19% and operating margins of 18.95% indicate strong profitability, while revenue growth of 2.9% and earnings growth of 33.5% highlight its ability to generate incremental value. Target's balance sheet shows a manageable debt-to-equity ratio of 29.15 and a solid current ratio of 1.998, indicating strong liquidity. The company also boasts a healthy free cash flow of $860.56 million, which supports its dividend yield and potential reinvestment opportunities. However, the recent Q3 earnings miss and ongoing legal challenges could weigh on near-term financial performance.
 **Valuations:**  
 Target's stock is trading at a price-to-book ratio of 2.47, which is reasonable compared to its historical averages and peers in the consumer staples sector. The stock's 52-week range of $355.41 to $522.50 suggests it is currently trading closer to its upper range, reflecting some recovery from earlier lows. Analysts maintain a positive outlook, with a mean target price of $565.58 and a recommendation key of "buy." The dividend yield has improved, making the stock more attractive to income-focused investors. However, the broader market volatility and potential tariff-related cost pressures could limit upside potential in the short term.
 **Economic Outlook:**  
 The macroeconomic environment presents both risks and opportunities for Target. The Trump administration's new tariffs on imports from Canada, Mexico, and China could increase supply chain costs, potentially compressing margins. Additionally, inflationary pressures and rising interest rates may dampen consumer spending, particularly on discretionary items. However, Target's position in the consumer staples sector provides some insulation, as demand for essential goods tends to remain stable during economic downturns. The company's strong holiday sales performance suggests it has the operational capability to navigate these challenges, but the broader economic headwinds could still weigh on its near-term growth.
 **Conclusion:**  
 Target Corporation is facing a confluence of legal, operational, and macroeconomic challenges, but its strong financial fundamentals and attractive valuation provide a degree of resilience. The company's ability to manage public perception, legal risks, and cost pressures will be critical in determining its performance over the next month. While the stock offers potential for long-term growth, near-term volatility is likely as the company addresses these issues.
 **Score:** 72</t>
  </si>
  <si>
    <t>**Investment Report: The TJX Companies, Inc. (TJX)**
 **Recent News:**  
 TJX Companies has garnered significant attention recently, becoming a trending stock among investors. This interest is likely driven by its strong performance and resilience in the retail sector, particularly in the off-price apparel and home goods market. As a leader in this niche, TJX benefits from consumer demand for value-oriented shopping, especially in uncertain economic conditions. However, broader market volatility and macroeconomic challenges, such as inflationary pressures and trade tensions, could weigh on consumer spending and supply chain costs.
 **Financials:**  
 TJX demonstrates solid financial health, with a market capitalization of approximately $140 billion and a trailing price-to-earnings (P/E) ratio of 29.32, slightly above the industry average, reflecting investor confidence in its growth prospects. The forward P/E of 27.01 suggests expectations of continued earnings growth. The company has shown steady revenue growth of 5.6% year-over-year, supported by strong consumer demand. Its profit margins, while modest at 8.56%, are consistent with the retail sector's norms. Additionally, TJX's return on equity (ROE) of 66.2% highlights its efficient use of shareholder capital.
 The company maintains a healthy dividend yield of 1.25%, with a payout ratio of 33.23%, indicating a sustainable dividend policy. Its free cash flow of $3.53 billion and operating cash flow of $6.34 billion provide ample liquidity to support operations and shareholder returns. However, the debt-to-equity ratio of 162.57% is relatively high, signaling a leveraged balance sheet that could pose risks in a rising interest rate environment.
 **Valuations:**  
 TJX's stock is trading near its 52-week high of $128, reflecting strong investor sentiment. The price-to-book ratio of 19.30 is elevated, suggesting the stock may be overvalued relative to its book value. Analysts have a bullish outlook, with a mean target price of $130.96 and a median target of $137, indicating potential upside from current levels. The recommendation mean of 1.68 (on a scale where 1.0 is a strong buy) underscores positive sentiment among analysts.
 **Economic Outlook:**  
 The broader economic environment presents mixed signals for TJX. On one hand, inflationary pressures and new tariffs could increase costs and squeeze margins. On the other hand, TJX's value-focused business model positions it well to attract cost-conscious consumers during periods of economic uncertainty. The company's ability to manage supply chain disruptions and maintain inventory levels will be critical in sustaining its growth trajectory. Additionally, the recent volatility in the technology sector and broader market may drive investors toward more stable, consumer-focused companies like TJX.
 **Conclusion:**  
 TJX Companies is well-positioned in the retail sector, benefiting from its strong brand, operational efficiency, and ability to cater to value-driven consumers. While its high debt levels and elevated valuation metrics warrant caution, the company's consistent revenue growth, robust cash flow, and favorable analyst sentiment suggest it remains a compelling player in the apparel retail industry. Macroeconomic challenges, including inflation and trade tensions, could pose risks, but TJX's resilience and adaptability provide a solid foundation for navigating these headwinds.
 **Score:** 78</t>
  </si>
  <si>
    <t>**Investment Report: Thermo Fisher Scientific**
 **Recent News:**  
 Thermo Fisher Scientific has demonstrated robust financial performance, with its fourth-quarter 2024 earnings and revenues exceeding expectations. The company reported earnings of $6.10 per share, surpassing the consensus estimate of $5.93 and improving from $5.67 in the prior year. This growth was driven by strong demand across its diverse portfolio of tools and services, showcasing its resilience and leadership in the Life Sciences Tools &amp; Services industry. Analysts have upgraded the stock to a "Buy," citing its competitive advantage in scale and breadth of offerings, as well as its relative valuation compared to peers like Danaher. The company is projected to achieve a 6.6% EPS growth in 2025, supported by margin expansion, which further solidifies its growth trajectory.
 **Financials:**  
 Thermo Fisher's financial metrics reflect a strong position in the market. The company trades at a forward P/E ratio of 22.96, which is attractive given its industry leadership and growth potential. Its profit margins stand at 14.48%, with gross margins of 40.68%, indicating efficient operations and pricing power. The company has a solid return on equity of 12.94%, highlighting its ability to generate shareholder value. Despite a slight decline in quarterly earnings growth (-5%), the firm's forward-looking metrics, including projected EPS growth and strong free cash flow of $6.78 billion, suggest resilience and long-term potential. Its debt-to-equity ratio of 72.33% is manageable given its consistent cash flow generation and strong liquidity, with a current ratio of 1.63.
 **Valuations:**  
 Thermo Fisher's valuation metrics indicate a reasonable entry point for a high-quality company. Its price-to-book ratio of 4.64 and price-to-sales ratio of 5.36 are in line with industry norms, while its forward P/E ratio is lower than some peers, reflecting a relative discount. The stock has a 52-week range of $493.30 to $627.88, with the current price near $600, suggesting it is trading closer to its upper range but still below analyst target prices, which average $661.42. Analysts' consensus recommendation of "Buy" and a mean target price above the current level indicate confidence in the stock's upside potential.
 **Economic Outlook:**  
 The broader macroeconomic environment presents both challenges and opportunities for Thermo Fisher. While the U.S. economy faces headwinds from inflationary pressures and trade tensions, the life sciences sector remains relatively insulated due to its essential nature and ongoing demand for healthcare and research tools. Thermo Fisher's diversified portfolio and global reach position it well to navigate these challenges. Additionally, its leadership in innovation and ability to capitalize on long-term trends in healthcare and biotechnology provide a strong foundation for sustained growth.
 **Conclusion:**  
 Thermo Fisher Scientific's strong financial performance, competitive positioning, and attractive valuation metrics make it a compelling player in the Life Sciences Tools &amp; Services industry. While broader economic uncertainties persist, the company's resilience and growth prospects position it well for continued success in the near term.
 **Score:** 85</t>
  </si>
  <si>
    <t>**Investment Report:**
 **Recent News:**  
 T-Mobile US Inc. has demonstrated exceptional performance in its latest earnings report, surpassing analyst expectations and solidifying its position as a leader in the wireless telecommunications industry. The company reported a 54% year-over-year increase in earnings per share (EPS) to $2.57, significantly beating the consensus estimate of $2.17. T-Mobile added 1.1 million net accounts in 2024, including 903,000 postpaid phone customers, the highest in the industry. This growth reflects the company's strategic focus on 5G expansion and customer acquisition. Its robust guidance for 2025, projecting 5.5 to 6 million postpaid net customer additions, underscores confidence in its growth trajectory. The stock's 7% rise following the earnings announcement highlights strong investor sentiment, particularly as T-Mobile continues to outperform competitors like Verizon and AT&amp;T.
 **Financials:**  
 T-Mobile's financial metrics indicate solid fundamentals. The company boasts a trailing price-to-earnings (P/E) ratio of 24.62 and a forward P/E of 18.51, suggesting attractive valuation relative to its growth prospects. Its market capitalization stands at $272.5 billion, with a 52-week price change of +44.7%, significantly outperforming the S&amp;P 500's 21.9% gain. T-Mobile's gross margins of 63.8% and EBITDA margins of 38.3% reflect strong operational efficiency. The company generated $9.2 billion in free cash flow, supporting its ability to invest in growth initiatives and return value to shareholders through dividends, which currently yield 1.59%. However, its debt-to-equity ratio of 182.27% indicates a high leverage level, which warrants monitoring, particularly in a rising interest rate environment.
 **Valuations:**  
 T-Mobile's stock is trading at a price-to-book ratio of 4.32, reflecting a premium valuation compared to its book value. Analysts remain optimistic, with a mean target price of $253.44 and a median target of $260, suggesting potential upside from the current price. The recommendation mean of 2.0 (equivalent to a "Buy") and strong earnings growth of 43.4% further support the positive outlook. The company's trailing PEG ratio of 1.28 indicates that its valuation is reasonable relative to its earnings growth, making it an attractive option in the telecom sector.
 **Economic Outlook:**  
 The broader economic environment presents both opportunities and challenges for T-Mobile. The recent implementation of tariffs by the U.S. government could increase costs for telecom equipment and impact supply chains. However, T-Mobile's domestic focus and leadership in 5G technology position it well to navigate these challenges. The company's ability to consistently add customers and expand its market share demonstrates resilience in a competitive industry. Additionally, its relatively low beta of 0.496 suggests lower volatility compared to the broader market, which could appeal to investors seeking stability amid economic uncertainty.
 **Conclusion:**  
 T-Mobile's strong financial performance, industry-leading customer growth, and strategic focus on 5G expansion position it as a standout player in the wireless telecommunications sector. While its high leverage and potential exposure to macroeconomic headwinds require attention, the company's robust earnings growth and operational efficiency provide a solid foundation for continued success.
 **Score:** 88</t>
  </si>
  <si>
    <t>**Investment Report: Texas Pacific Land Corporation**
 **Recent News:**  
 There have been no significant updates or developments regarding Texas Pacific Land Corporation (TPL) in the past week. The absence of news suggests stability in the company's operations, but it also highlights the need to focus on broader market conditions and financial performance to assess its investment potential.
 **Financials:**  
 Texas Pacific Land Corporation exhibits strong profitability metrics, with a profit margin of 65.34% and gross margins of 93.27%, reflecting its efficient cost management and high-margin business model. The company has a robust return on equity (ROE) of 44.5% and return on assets (ROA) of 29.43%, indicating effective utilization of its assets and equity to generate earnings. TPL's balance sheet is solid, with minimal debt (debt-to-equity ratio of 0.091) and a strong liquidity position, as evidenced by a quick ratio of 11.45 and a current ratio of 12.37. 
 The company’s trailing price-to-earnings (P/E) ratio of 68.49 is significantly higher than its forward P/E of 18.23, suggesting expectations of substantial earnings growth in the near future. However, the trailing P/E indicates that the stock is currently trading at a premium, which may limit its immediate upside potential. The dividend yield of 0.49% is modest, but the payout ratio of 23.55% leaves room for potential dividend increases.
 **Valuations:**  
 TPL's valuation metrics reflect a mixed picture. The price-to-book (P/B) ratio of 29.11 is exceptionally high, indicating that the stock is trading at a significant premium relative to its book value. Similarly, the price-to-sales (P/S) ratio of 44.59 and enterprise value-to-EBITDA ratio of 53.36 suggest that the stock is expensive compared to its peers in the Oil &amp; Gas Exploration &amp; Production industry. However, the company’s strong profitability and growth potential may justify these elevated valuations to some extent.
 The stock has shown impressive performance over the past year, with a 52-week change of 169.41%, significantly outperforming the S&amp;P 500's 21.93% gain. This reflects strong investor confidence in the company’s growth prospects. The stock is currently trading closer to its 52-week high of $1,769.14, which may indicate limited short-term upside unless there is a catalyst for further growth.
 **Economic Outlook:**  
 The broader macroeconomic environment presents both opportunities and challenges for TPL. The recent imposition of tariffs by the U.S. government and the resulting trade tensions could lead to inflationary pressures and economic uncertainty, potentially impacting the energy sector. However, TPL’s focus on oil and gas exploration and production positions it to benefit from any upward pressure on energy prices caused by geopolitical tensions or supply disruptions, such as the recent sanctions on Russia's energy sector.
 Additionally, TPL’s low debt levels and strong cash flow generation provide a cushion against potential economic headwinds. The company’s high beta of 1.589 suggests that its stock is more volatile than the broader market, which could amplify both risks and rewards in the current uncertain environment.
 **Conclusion:**  
 Texas Pacific Land Corporation demonstrates strong financial health, profitability, and growth potential, supported by its efficient operations and robust balance sheet. However, its high valuation metrics and premium pricing may limit short-term upside, especially in a volatile macroeconomic environment. The company’s exposure to the energy sector could provide opportunities for growth if energy prices rise, but it also introduces risks tied to broader economic and geopolitical developments.
 **Score:** 72</t>
  </si>
  <si>
    <t>**Investment Report: Tapestry, Inc. (TPR)**
 **Recent News:**  
 Tapestry, Inc., a leading player in the Apparel, Accessories &amp; Luxury Goods industry, is set to report its earnings next week, with Wall Street anticipating growth. Analysts suggest that the company has the right mix of factors to potentially exceed expectations, which could provide a short-term boost to its stock price. This optimism is likely driven by Tapestry's strong market positioning and operational efficiency, despite broader economic challenges.
 **Financials:**  
 Tapestry's financial metrics reflect a mixed but generally stable outlook. The company has a market capitalization of $17.1 billion and a trailing price-to-earnings (P/E) ratio of 21.31, which is higher than its forward P/E of 14.29, indicating expectations of earnings growth. The firm maintains robust liquidity, with a quick ratio of 4.23 and a current ratio of 4.93, supported by $7.3 billion in cash reserves. However, its debt-to-equity ratio of 295.3% highlights a significant reliance on leverage, which could pose risks in a rising interest rate environment.
 Profitability metrics are solid, with gross margins of 73.91% and operating margins of 18.93%, reflecting strong cost management and pricing power. However, earnings and revenue growth have been slightly negative, at -6% and -0.4%, respectively, suggesting some challenges in maintaining momentum. The company's return on equity (ROE) of 29.92% is impressive, indicating effective use of shareholder capital.
 **Valuations:**  
 Tapestry's stock is trading near its 52-week high of $76.49, with a price-to-book ratio of 5.75, which may suggest limited upside in the near term. The dividend yield of 1.92% is below its five-year average of 4.06%, reflecting a focus on capital appreciation rather than income generation. Analyst sentiment remains positive, with a mean price target of $73.04 and a recommendation key of "buy," supported by 20 analyst opinions.
 **Economic Outlook:**  
 The broader economic environment presents both opportunities and risks for Tapestry. The recent imposition of tariffs by the U.S. administration could disrupt global supply chains and increase input costs, potentially pressuring margins. Additionally, inflationary pressures and rising interest rates may dampen consumer spending on discretionary items like luxury goods. However, Tapestry's strong brand portfolio and global presence could help mitigate these challenges, particularly if it continues to expand in high-growth markets.
 The recent volatility in the technology sector and broader market declines may also impact investor sentiment, though Tapestry's focus on the luxury goods segment could provide some insulation from these trends. The company's high beta of 1.56 suggests it is more volatile than the market, which could amplify price movements in response to earnings results or macroeconomic developments.
 **Conclusion:**  
 Tapestry is positioned for potential earnings growth, supported by strong liquidity, profitability, and operational efficiency. However, risks related to high leverage, negative growth trends, and macroeconomic headwinds warrant caution. The upcoming earnings report will be a critical indicator of the company's ability to navigate these challenges and sustain its growth trajectory.
 **Score:** 72</t>
  </si>
  <si>
    <t>**Investment Report: Targa Resources**
 **Recent News:**  
 Targa Resources has not been in the spotlight recently, with no significant news or developments reported in the past week. This lack of news suggests stability in operations but also indicates no immediate catalysts for significant price movement.
 **Financials:**  
 Targa Resources exhibits strong financial metrics, with a market capitalization of $43.99 billion and a trailing P/E ratio of 36.48, which is relatively high compared to the industry average. The forward P/E of 26.08 suggests expectations of earnings growth. The company has demonstrated robust earnings growth of 80.4% year-over-year, supported by a quarterly earnings growth rate of 76.1%. However, revenue growth has declined slightly by 1.2%, reflecting potential challenges in maintaining top-line expansion.  
 The firm’s EBITDA margin of 24.8% and operating margin of 18.9% indicate solid profitability, while a return on equity (ROE) of 33.9% highlights efficient use of shareholder capital. However, the debt-to-equity ratio of 321.53% is notably high, signaling significant leverage, which could pose risks in a rising interest rate environment. Free cash flow is negative at -$344.31 million, which may limit flexibility for future investments or debt reduction.  
 Dividend metrics are appealing, with a dividend yield of 1.52% and a payout ratio of 45.2%, suggesting a sustainable dividend policy. However, the current yield is below the five-year average of 4.13%, which may deter income-focused investors.
 **Valuations:**  
 Targa Resources is trading near its 52-week high of $218.51, with a current price-to-book ratio of 17.11, significantly above the industry average, indicating a premium valuation. Analysts maintain a bullish outlook, with a mean target price of $202.57 and a recommendation mean of 1.61 (indicating a "buy"). The trailing PEG ratio of 1.17 suggests the stock is reasonably valued relative to its growth prospects.  
 **Economic Outlook:**  
 The broader macroeconomic environment presents mixed implications for Targa Resources. The recent imposition of tariffs by the U.S. administration could disrupt supply chains and increase costs for energy-related infrastructure. Additionally, new sanctions on Russia's energy sector may create opportunities for U.S.-based energy companies like Targa Resources to capture market share, particularly in natural gas and oil transportation. However, inflationary pressures and potential interest rate hikes could increase the cost of capital, which is a concern given Targa's high leverage.  
 The ongoing California wildfires and geopolitical tensions may also impact energy demand and pricing dynamics, creating both risks and opportunities for the firm. Despite these challenges, Targa's strong profitability and earnings growth position it well to navigate the current environment.
 **Conclusion:**  
 Targa Resources demonstrates strong profitability and earnings growth, supported by a robust dividend policy. However, its high leverage and premium valuation warrant caution, particularly in a volatile macroeconomic environment. While the firm is well-positioned to benefit from potential shifts in the energy market, its reliance on debt and negative free cash flow could limit its ability to capitalize on emerging opportunities.
 **Score:** 72</t>
  </si>
  <si>
    <t>**Investment Report: Trimble Inc.**
 **Recent News:**  
 Trimble Inc. has not been featured in any significant news over the past week. The absence of recent developments suggests stability in its operations, but it also indicates a lack of immediate catalysts for significant price movement. This neutrality in news flow may reflect a period of operational consistency or market indifference.
 **Financials:**  
 Trimble's financial performance presents a mixed picture. The company has a market capitalization of $61.7 billion and a forward price-to-earnings (P/E) ratio of 10.14, which suggests a relatively attractive valuation compared to its peers in the Electronic Equipment &amp; Instruments industry. However, the firm reported a negative net income of -$6.48 billion, resulting in a trailing earnings per share (EPS) of -$0.30. Despite this, forward EPS is projected at $3.95, indicating expectations of a turnaround in profitability.  
 The company’s revenue growth of 6.1% year-over-year and operating margins of 40.3% are strong indicators of operational efficiency. However, negative profit margins (-10.68%) and a return on equity (ROE) of -9.51% highlight challenges in translating revenue into shareholder value. Trimble's total cash position of $49.16 billion is robust, providing a cushion against its total debt of $60.76 billion, though the high debt levels warrant close monitoring.  
 Dividend payments remain consistent, with a dividend yield of 4.62% and a payout ratio of 52.26%, aligning with the company’s historical average. This stability may appeal to income-focused investors, though the sustainability of dividends could be questioned given the negative profitability metrics.
 **Valuations:**  
 Trimble's price-to-book (P/B) ratio of 1.05 suggests the stock is trading near its book value, which could indicate undervaluation if the company successfully executes its turnaround strategy. The stock is trading at $46.97, slightly above its 50-day moving average of $45.71 and well above its 200-day moving average of $42.18, reflecting recent upward momentum. Analysts have a median price target of $51, implying a modest upside potential of approximately 8.6%.  
 The stock's beta of 1.035 indicates slightly higher volatility than the broader market, which could amplify price movements in response to macroeconomic or company-specific developments.
 **Economic Outlook:**  
 Trimble operates in a challenging macroeconomic environment marked by rising inflationary pressures and trade tensions due to new tariffs imposed by the U.S. administration. These factors could disrupt supply chains and increase input costs, potentially impacting Trimble's margins. Additionally, the broader technology sector has faced significant headwinds, as evidenced by the recent selloff in global tech shares. While Trimble is not directly tied to the semiconductor industry, the overall bearish sentiment in technology could weigh on its stock performance.  
 On the positive side, Trimble's diversified product portfolio and focus on digital transformation in industries such as construction, agriculture, and transportation may position it to benefit from long-term trends in automation and efficiency. However, the company's high debt levels and negative profitability metrics remain key risks in the current uncertain economic climate.
 **Conclusion:**  
 Trimble Inc. exhibits a mix of strengths and weaknesses. While its revenue growth, operating margins, and cash reserves are positive indicators, the negative profit margins, high debt levels, and macroeconomic uncertainties pose significant challenges. The stock's valuation appears reasonable, but the lack of immediate catalysts and broader market volatility may limit near-term upside potential.
 **Score:** 62</t>
  </si>
  <si>
    <t>**Investment Report: T. Rowe Price (TROW)**
 **Recent News:**  
 T. Rowe Price's fourth-quarter 2024 performance is anticipated to have been affected by weaker equity market performance and elevated expenses. The broader market downturn, particularly in the technology sector, has likely weighed on the firm's assets under management (AUM), a key driver of its revenue. Additionally, the firm's cost structure may have been pressured by rising operational expenses, potentially impacting profitability. These challenges come amidst a volatile macroeconomic environment, including trade tensions and inflationary pressures, which could further influence investor sentiment and fund flows.
 **Financials:**  
 T. Rowe Price maintains a solid financial foundation, with a market capitalization of $25.6 billion and a strong balance sheet characterized by low debt levels (debt-to-equity ratio of 3.25%) and significant cash reserves of $3.17 billion. The firm's profitability metrics remain robust, with a net profit margin of 30.35% and a return on equity of 20.50%, reflecting efficient capital utilization. Earnings growth of 33.1% and revenue growth of 6.9% over the past year highlight resilience despite market headwinds. However, the firm's trailing price-to-earnings (P/E) ratio of 12.63 and forward P/E of 12.24 suggest a cautious valuation, potentially reflecting market concerns about future growth prospects.
 T. Rowe Price's dividend yield of 4.24% is well above its five-year average of 3.46%, supported by a sustainable payout ratio of 54.11%. This positions the firm as an attractive option for income-focused investors, particularly in a volatile market environment. The firm's free cash flow of $1.78 billion further underscores its ability to maintain shareholder returns while navigating challenging conditions.
 **Valuations:**  
 The stock is trading at a price-to-book ratio of 2.50, slightly above its historical average, indicating a fair valuation relative to its intrinsic value. The current price of $113.19 is near the analyst target median price of $114.50, suggesting limited upside in the near term. The stock's beta of 1.42 reflects higher sensitivity to market volatility, which could amplify price movements in the current uncertain environment. Short interest remains moderate, with a short ratio of 7.5, indicating some bearish sentiment but not at alarming levels.
 **Economic Outlook:**  
 The broader economic environment presents mixed signals for T. Rowe Price. The recent implementation of tariffs and trade tensions could dampen global economic growth, potentially impacting equity markets and AUM growth. Inflationary pressures and the Federal Reserve's cautious stance on interest rate cuts may also weigh on investor sentiment. However, T. Rowe Price's diversified investment offerings and strong brand reputation position it to weather these challenges over the long term. The firm's focus on active management could provide an edge in navigating volatile markets, particularly as passive strategies face headwinds in a less predictable economic landscape.
 **Conclusion:**  
 T. Rowe Price faces near-term challenges from market volatility, rising expenses, and macroeconomic uncertainties. However, its strong financial position, consistent dividend payouts, and operational resilience provide a solid foundation for long-term stability. While the stock's valuation appears fair, the limited near-term upside and heightened market risks suggest a cautious outlook for the next month.
 **Score:** 65</t>
  </si>
  <si>
    <t>**Investment Report: Travelers Companies (The)**
 **Recent News:**  
 There have been no significant updates or developments regarding Travelers Companies in the past week. The absence of news suggests stability in the company's operations, with no immediate disruptions or major announcements impacting its performance.
 **Financials:**  
 Travelers Companies exhibits a solid financial foundation, with a market capitalization of $18.22 billion and a price-to-earnings (P/E) ratio of 12.39, indicating a relatively attractive valuation compared to industry peers. The company has a strong profit margin of 40.67%, reflecting its ability to generate substantial earnings from its revenue. However, earnings growth has declined by 46.7% year-over-year, and revenue growth has contracted by 8.5%, signaling potential challenges in maintaining top-line and bottom-line momentum.
 The firm's return on equity (ROE) of 28.91% is robust, showcasing effective utilization of shareholder capital. However, the debt-to-equity ratio of 32.54% indicates moderate leverage, which, while manageable, could pose risks in a rising interest rate environment. The company maintains a healthy free cash flow of $1.09 billion, providing flexibility for reinvestment or shareholder returns.
 **Valuations:**  
 Travelers Companies is trading at a price-to-book (P/B) ratio of 3.10, which is slightly elevated compared to its historical averages but still reasonable given its profitability metrics. The forward P/E ratio of 25.55 suggests that the market anticipates slower earnings growth in the near term, aligning with the company's recent earnings contraction. Analysts maintain a positive outlook, with a mean target price of $86.17, representing potential upside from the current trading levels. The recommendation mean of 1.58 ("buy") reflects strong confidence among analysts.
 **Economic Outlook:**  
 The broader macroeconomic environment presents mixed implications for Travelers Companies. The recent California wildfires, with estimated damages of $250-275 billion, could lead to increased claims for property and casualty insurers, potentially impacting Travelers' profitability in the short term. However, the company's strong underwriting practices and risk management capabilities may help mitigate these effects. Additionally, the inflationary pressures stemming from new tariffs and trade tensions could increase the cost of claims, further challenging the insurance sector.
 On the positive side, Travelers' diversified portfolio and strong institutional ownership (96.93%) provide stability in a volatile market. The company's beta of 1.49 indicates higher sensitivity to market movements, suggesting potential for both risk and reward in the current uncertain economic climate.
 **Conclusion:**  
 Travelers Companies demonstrates a solid financial position and strong profitability metrics, but it faces headwinds from declining earnings and revenue growth, as well as potential claims exposure from recent natural disasters. While the company's valuation remains reasonable, the broader economic environment and sector-specific challenges warrant cautious optimism.
 **Score:** 72</t>
  </si>
  <si>
    <t>**Investment Report: Tractor Supply Company**
 **Recent News:**  
 Tractor Supply Company, a retailer catering to rural lifestyle enthusiasts, continues its growth strategy by expanding its store footprint, enhancing digital sales, and remodeling existing locations. The recent opening of a $225 million distribution center in Nampa, Idaho, is a significant step toward improving supply chain efficiency and creating 500 jobs. However, the company faced a setback with a slight miss in its fourth-quarter 2024 earnings, reporting $0.44 per share versus the expected $0.45. This, coupled with weaker-than-expected guidance, has led to a decline in its stock price. While revenue growth remains positive, the earnings miss reflects challenges in the retail environment, including inflationary pressures and potential shifts in consumer spending.
 **Financials:**  
 Tractor Supply's financial metrics present a mixed picture. The company has a trailing price-to-earnings (P/E) ratio of 26.75 and a forward P/E of 22.61, indicating expectations of future earnings growth. Its dividend yield of 1.54% is slightly below its five-year average of 1.4%, but the payout ratio of 42.1% suggests a sustainable dividend policy. The company's gross margin of 36.29% and operating margin of 9.36% highlight its ability to maintain profitability despite rising costs. However, earnings growth has declined by 3.9%, and quarterly earnings growth is down 5.3%, signaling potential headwinds. The debt-to-equity ratio of 233.04% is high, reflecting significant leverage, though the company maintains a healthy return on equity of 50.58%.
 **Valuations:**  
 Tractor Supply's stock is trading at a price-to-book ratio of 2.55, which is reasonable for its industry. The enterprise value-to-revenue ratio of 0.76 and enterprise value-to-EBITDA ratio of 5.88 suggest the company is not overvalued relative to its earnings potential. Analysts have a median price target of $60, with a high target of $67, indicating potential upside from its current trading range. However, the stock's recent slip following the earnings miss and weaker guidance may weigh on short-term sentiment.
 **Economic Outlook:**  
 The broader economic environment poses challenges for Tractor Supply. Inflationary pressures, exacerbated by new tariffs on imports from Canada, Mexico, and China, could increase costs for the company and its customers. Additionally, the potential for a trade war and rising interest rates may dampen consumer spending, particularly in discretionary categories. However, Tractor Supply's focus on high-income rural consumers may provide some insulation from broader economic volatility. The company's investment in supply chain efficiency and digital capabilities positions it well for long-term growth, though near-term headwinds remain.
 **Conclusion:**  
 Tractor Supply is navigating a challenging retail environment with a solid growth strategy and operational improvements. While its financials and valuations remain relatively strong, the recent earnings miss and weaker guidance highlight near-term risks. Broader economic factors, including inflation and trade tensions, could further pressure the stock in the short term. However, the company's focus on its niche market and long-term investments in infrastructure and digital capabilities provide a foundation for future growth.
 **Score:** 72</t>
  </si>
  <si>
    <t>**Investment Report: Tesla, Inc.**
 **Recent News:**  
 Tesla has faced significant challenges recently, with its stock declining by 5% following the implementation of new tariffs under the Trump administration. Although Tesla manufactures its vehicles in the U.S., the tariffs have indirectly impacted profitability by increasing costs across supply chains and raw materials. Compounding these issues, Tesla reported a 12% drop in sales in California, its largest domestic market, and a decline in vehicle registrations in Europe. The company's Q4 2024 earnings missed expectations, with both revenue and profit falling short, raising concerns about its growth trajectory. Despite these setbacks, Tesla continues to generate interest due to its focus on self-driving technology and energy storage, with CEO Elon Musk touting ambitious plans such as a robotaxi service and a $10 trillion market opportunity. However, skepticism remains about the feasibility of these initiatives, and the stock has experienced heightened volatility as a result.
 **Financials:**  
 Tesla's financial performance reflects a mixed picture. The company has a trailing price-to-earnings (P/E) ratio of 34.67, which is relatively high, indicating that the stock remains expensive compared to its earnings. However, its forward P/E of 11.49 suggests expectations of significant future growth. Tesla's gross margins of 55.99% remain strong, but earnings growth has declined by 18.5% year-over-year, and revenue growth has slowed to 2.4%. The company maintains a healthy current ratio of 2.42, indicating strong short-term liquidity, but its debt-to-equity ratio of 42.67 highlights a moderate level of leverage. Free cash flow of $292.8 million and operating cash flow of $572.1 million provide some financial flexibility, though these figures are under pressure due to rising costs and slowing sales.
 **Valuations:**  
 Tesla's stock is trading near its 52-week low of $171.69, significantly below its 52-week high of $256.85. The price-to-book ratio of 1.81 suggests the stock is not excessively overvalued relative to its book value, but the broader market sentiment remains cautious. Analysts have a median price target of $230, implying potential upside from current levels, though the recommendation consensus leans toward "hold." Tesla's enterprise value-to-revenue ratio of 3.23 and enterprise value-to-EBITDA ratio of 15.17 indicate that the stock is priced at a premium compared to some peers in the automobile industry.
 **Economic Outlook:**  
 The broader economic environment poses additional challenges for Tesla. The new tariffs on imports from Canada, Mexico, and China are expected to increase costs across the automotive supply chain, potentially squeezing margins further. Rising inflationary pressures and the Federal Reserve's cautious stance on interest rate cuts could dampen consumer demand for high-ticket items like electric vehicles. Additionally, Tesla faces intensifying competition from both traditional automakers and emerging EV players, particularly in Europe and China, where its market share has been under pressure. The recent global tech market selloff, triggered by advancements in Chinese AI, has also weighed on sentiment for high-growth technology-driven companies like Tesla.
 **Conclusion:**  
 Tesla is navigating a complex landscape of macroeconomic headwinds, competitive pressures, and internal challenges. While its long-term potential in self-driving technology and energy storage remains compelling, near-term risks, including slowing sales, rising costs, and earnings misses, weigh heavily on its outlook. The stock's recent decline reflects these concerns, and while it may present a buying opportunity for long-term investors, the short-term outlook remains uncertain.
 **Score:** 55</t>
  </si>
  <si>
    <t>**Investment Report: Tyson Foods**
 **Recent News:**  
 Tyson Foods has demonstrated resilience amidst challenges such as avian flu and the impact of GLP-1 drugs, which have raised concerns about protein consumption trends. Despite these headwinds, the company has capitalized on strong demand for chicken and pork, leading to a significant earnings beat in its latest quarter. Tyson reported earnings per share of $1.14, surpassing estimates of $0.79, marking a 65.2% year-over-year increase. The company has also raised its 2025 sales forecast, driven by robust demand for beef and chicken products. Analysts have noted that Tyson's stock may be undervalued, with tactical trading opportunities identified in the $54-$57 range. The stock recently closed at $56.60, reflecting modest gains and market confidence in its operational improvements.
 **Financials:**  
 Tyson Foods' financial performance highlights its ability to navigate a challenging environment. The company boasts a market capitalization of $20.57 billion and a price-to-book ratio of 1.12, suggesting it is trading near its intrinsic value. Its forward price-to-earnings ratio of 13.88 indicates a reasonable valuation relative to future earnings potential. Tyson's gross margins of 7.42% and EBITDA margins of 5.90% reflect modest profitability, though its operating cash flow of $2.59 billion and free cash flow of $1.42 billion provide a solid liquidity base. The company maintains a current ratio of 2.04, indicating strong short-term financial health, though its debt-to-equity ratio of 52.86% suggests a moderate level of leverage.
 **Valuations:**  
 Tyson Foods appears attractively valued compared to its peers in the packaged foods and meats industry. Its trailing PEG ratio of 0.50 suggests that the stock is undervalued relative to its growth prospects. The dividend yield of 3.54% is above its five-year average of 2.84%, offering an appealing income component for investors. However, the stock's trailing P/E ratio of 25.66 is elevated, reflecting the impact of prior earnings challenges. Analysts' price targets range from $58 to $80, with a median target of $65, indicating potential upside from current levels.
 **Economic Outlook:**  
 The broader economic environment presents mixed implications for Tyson Foods. Rising tariffs on imports from Canada, Mexico, and China could increase input costs for the company, potentially pressuring margins. However, Tyson's essential protein products may benefit from steady demand, particularly among fitness-focused consumers. Inflationary pressures and trade tensions could weigh on consumer spending, but Tyson's diversified product portfolio and operational improvements position it to weather these challenges. Additionally, the company's focus on efficiency and cost management should help mitigate external headwinds.
 **Conclusion:**  
 Tyson Foods has shown resilience and operational strength, supported by strong demand for its core protein products. While challenges such as rising tariffs and input costs persist, the company's improved financial performance and attractive valuation metrics suggest it is well-positioned for near-term stability. The stock's recent gains and upward revisions to its sales forecast underscore its potential as a tactical investment in the packaged foods and meats industry.
 **Score:** 78</t>
  </si>
  <si>
    <t>**Investment Report: Trane Technologies (TT)**
 **Recent News:**  
 Trane Technologies reported strong fourth-quarter 2024 results, with earnings per share (EPS) of $2.61, surpassing the consensus estimate of $2.54 and reflecting a year-over-year increase from $2.17. Revenue also grew year-over-year, supported by robust demand for its energy-efficient and sustainable building products. The company’s ability to exceed Wall Street expectations highlights its operational efficiency and strong market positioning. However, broader macroeconomic uncertainties, including inflationary pressures and potential trade disruptions, could pose challenges in the near term.
 **Financials:**  
 Trane Technologies demonstrates solid financial performance, with a trailing price-to-earnings (P/E) ratio of 31.76 and a forward P/E of 25.22, indicating expectations of continued earnings growth. The company’s profit margins are healthy, with a net profit margin of 12.73% and EBITDA margins of 19.04%. Revenue growth of 11.4% year-over-year and earnings growth of 25% underscore its ability to capitalize on market opportunities. The firm maintains a strong return on equity (ROE) of 35.15%, reflecting efficient use of shareholder capital. However, its debt-to-equity ratio of 69.2% suggests a moderately leveraged balance sheet, which could be a concern in a rising interest rate environment.
 **Valuations:**  
 Trane Technologies is trading at a price-to-book (P/B) ratio of 10.69, significantly above the industry average, which may indicate overvaluation. Its enterprise value-to-EBITDA ratio of 23.1 also suggests a premium valuation. While the company’s growth prospects justify some of this premium, the elevated valuation metrics could limit upside potential in the short term, especially amid broader market volatility. The dividend yield of 0.92% is below its five-year average of 1.46%, reflecting a focus on reinvestment over income distribution.
 **Economic Outlook:**  
 The broader economic environment presents mixed signals for Trane Technologies. On one hand, the company benefits from increasing demand for energy-efficient and sustainable building solutions, aligning with global ESG trends. On the other hand, the recent imposition of tariffs by the U.S. administration could disrupt supply chains and increase input costs, potentially pressuring margins. Additionally, inflationary pressures and a more hawkish Federal Reserve stance could dampen overall economic growth, indirectly affecting demand for Trane’s products.
 **Conclusion:**  
 Trane Technologies is well-positioned in the building products industry, with strong financial performance and a focus on sustainability. However, its premium valuation and exposure to macroeconomic risks, including tariffs and inflation, could weigh on short-term performance. While the company’s long-term growth prospects remain intact, near-term volatility in the broader market and potential cost pressures warrant caution.
 **Score:** 78</t>
  </si>
  <si>
    <t>**Investment Report: Take-Two Interactive**
 **Recent News:**  
 Take-Two Interactive is positioned for a transformative year with the anticipated release of *Grand Theft Auto 6* (GTA 6). The game is expected to redefine gaming ecosystems, leveraging next-generation technologies to create a virtual universe that could serve as a hub for immersive experiences. This aligns with broader trends in entertainment, where AI and automation are increasing leisure time, potentially driving demand for interactive entertainment. However, broader market sentiment remains cautious, as February has historically been a challenging month for certain stocks, including Take-Two.
 **Financials:**  
 Take-Two's financial performance reflects a mixed picture. The company has a market capitalization of $32.68 billion and trades at a forward P/E ratio of 24.6, suggesting optimism about future earnings growth. However, profitability remains a concern, with a negative profit margin of -66.4% and a trailing EPS of -$21.20. The company reported a net loss of $3.62 billion in the most recent fiscal year, driven by high operating costs and debt levels. Its debt-to-equity ratio of 70.9% indicates significant leverage, though the company maintains $879.6 million in cash reserves, providing some liquidity. Free cash flow of $546.15 million is a positive indicator of operational efficiency despite the losses.
 **Valuations:**  
 Take-Two's stock is trading near its 52-week high of $192.50, reflecting strong investor expectations for GTA 6. Analysts have a median price target of $205, with a high target of $240, indicating potential upside. However, the stock's price-to-book ratio of 5.63 and enterprise value-to-revenue multiple of 6.58 suggest it is trading at a premium relative to its peers. The company's gross margin of 57.3% highlights its ability to generate revenue efficiently, but operating margins of -19.8% underscore the need for cost control.
 **Economic Outlook:**  
 The broader economic environment presents challenges for Take-Two. Recent tariffs and trade tensions could increase costs for hardware and software components, potentially impacting the gaming industry. Additionally, inflationary pressures and market volatility may weigh on consumer discretionary spending, which could affect demand for premium gaming experiences. However, the gaming sector has historically shown resilience during economic downturns, as consumers seek affordable entertainment options.
 **Conclusion:**  
 Take-Two Interactive's near-term prospects are heavily tied to the success of GTA 6, which could drive significant revenue growth and solidify its position as a leader in the interactive entertainment industry. However, the company's high valuation, negative profitability, and broader economic uncertainties pose risks. While the long-term potential remains compelling, the stock may face volatility in the short term as investors weigh these factors.
 **Score:** 72</t>
  </si>
  <si>
    <t>**Investment Report: Textron Inc. (Aerospace &amp; Defense)**
 **Recent News:**  
 Textron has not been in the headlines over the past week, indicating stability in its operations and no immediate disruptions or catalysts. However, the broader Aerospace &amp; Defense sector may face indirect impacts from macroeconomic developments, such as heightened geopolitical tensions and increased defense spending globally, which could benefit firms like Textron in the long term.
 **Financials:**  
 Textron's stock has recently traded near its 52-week low of $74.12, significantly below its 52-week high of $97.34, reflecting a decline of approximately 11.1% over the past year. The company’s trailing price-to-earnings (P/E) ratio of 17.38 is reasonable, while its forward P/E of 10.72 suggests expectations of improved earnings in the near future. The firm’s profit margins stand at 6.3%, and its return on equity (ROE) is a solid 12.6%, indicating efficient use of shareholder capital. However, earnings growth has declined by 12.6% year-over-year, and revenue growth is modest at 2.5%.  
 Textron maintains a manageable debt-to-equity ratio of 56.94, supported by a current ratio of 1.83, which indicates sufficient liquidity to cover short-term obligations. Free cash flow of $656.6 million and operating cash flow of $1.12 billion provide a solid financial foundation. The company’s dividend yield is minimal at 0.1%, reflecting a focus on reinvestment rather than shareholder payouts.
 **Valuations:**  
 Textron’s price-to-book ratio of 2.01 is in line with industry norms, and its enterprise value-to-revenue ratio of 1.27 suggests the stock is not overvalued relative to its revenue generation. Analysts maintain a generally positive outlook, with a mean price target of $92.46, representing a potential upside of approximately 23% from current levels. The recommendation mean of 2.12 (on a scale where 1.0 is a "strong buy") further underscores confidence in the stock.
 **Economic Outlook:**  
 The Aerospace &amp; Defense industry is poised to benefit from increased global defense budgets amid geopolitical uncertainties. However, Textron may face challenges from rising inflation and supply chain disruptions exacerbated by new tariffs imposed by the U.S. administration. These tariffs could increase input costs, potentially pressuring margins. Additionally, the broader market volatility, particularly in the technology sector, may weigh on investor sentiment across industries.
 **Conclusion:**  
 Textron’s financial health and valuation metrics suggest it is a fundamentally sound company with potential for recovery. While near-term headwinds such as inflation and geopolitical risks could create volatility, the firm’s strong cash flow and operational efficiency position it well for long-term growth. The lack of recent news indicates operational stability, but macroeconomic factors and sector-wide developments will likely influence its performance in the coming months.
 **Score:** 78</t>
  </si>
  <si>
    <t>**Investment Report: Tyler Technologies**
 **Recent News:**  
 Tyler Technologies has not been in the headlines over the past week, indicating a period of operational stability without any major disruptions or announcements. This lack of news suggests the company is continuing its business as usual, which can be interpreted as a positive sign in a volatile macroeconomic environment.
 **Financials:**  
 Tyler Technologies is trading near the higher end of its 52-week range, with a recent close of $601.64 compared to its 52-week high of $638.56. The company has demonstrated strong earnings growth, with quarterly earnings increasing by 61.4% year-over-year, and revenue growth of 9.8%. Its profit margins stand at 11.39%, supported by healthy gross margins of 43.89%. The forward price-to-earnings (P/E) ratio of 55.90, while high, reflects market confidence in the company's future growth potential. Additionally, the company maintains a solid balance sheet with a manageable debt-to-equity ratio of 19.60 and a quick ratio of 1.14, indicating sufficient liquidity to cover short-term obligations.
 Tyler's free cash flow of $537.3 million and operating cash flow of $547.3 million highlight its ability to generate consistent cash, which is critical for reinvestment and shareholder value creation. However, its enterprise value-to-EBITDA ratio of 70.22 suggests the stock is trading at a premium, which could limit upside potential in the short term.
 **Valuations:**  
 The stock's trailing P/E ratio of 110.24 and price-to-book ratio of 7.88 indicate that Tyler Technologies is highly valued relative to its earnings and book value. While these metrics may seem elevated, they are typical for a high-growth software company with a strong market position. Analysts remain optimistic, with a mean target price of $666.45, representing potential upside from current levels. The recommendation mean of 1.89 (on a scale where 1.0 is a strong buy) further underscores positive sentiment among analysts.
 **Economic Outlook:**  
 The broader macroeconomic environment presents challenges, including inflationary pressures from new tariffs and potential trade disruptions. However, Tyler Technologies operates in the application software industry, which is less exposed to direct tariff impacts compared to manufacturing or hardware sectors. The company's focus on providing software solutions to government and public sector clients offers a degree of insulation from broader economic volatility. Additionally, its beta of 0.77 suggests lower sensitivity to market fluctuations, which could make it a relatively stable investment in uncertain times.
 **Conclusion:**  
 Tyler Technologies is a well-positioned company with strong financials, consistent cash flow generation, and a robust growth trajectory. However, its high valuation metrics and premium trading levels may limit short-term upside, especially in a volatile market environment. The company's focus on government and public sector software solutions provides a defensive edge, but broader economic headwinds could still weigh on investor sentiment.
 **Score:** 78</t>
  </si>
  <si>
    <t>**Investment Report: United Airlines Holdings (UAL)**
 **Recent News:**  
 United Airlines has seen a remarkable 168% increase in its stock price over the past year, yet analysts believe it remains undervalued, with a potential upside of 26.1% based on price targets. This optimism is supported by positive trends in earnings estimate revisions, which suggest that the company may outperform expectations. The stock has also gained attention for its strong momentum, with analysts highlighting its value and growth potential. However, the broader economic environment, including rising inflation and trade tensions, could pose challenges to the airline industry.
 **Financials:**  
 United Airlines demonstrates solid financial performance, with a trailing price-to-earnings (P/E) ratio of 11.09 and a forward P/E of 7.07, indicating that the stock is attractively valued relative to its earnings potential. The company has a market capitalization of $34.48 billion and a price-to-sales ratio of 0.62, further underscoring its value proposition. Despite these strengths, United faces high debt levels, with a debt-to-equity ratio of 291.68%, which could limit financial flexibility. Additionally, free cash flow is negative at -$1.22 billion, reflecting ongoing challenges in managing operational costs and capital expenditures.
 **Valuations:**  
 United Airlines' stock is trading at a price-to-book ratio of 3.01, which is reasonable given its strong return on equity (ROE) of 27.25%. Analysts have set a median price target of $130, with a high target of $165, suggesting significant upside potential from the current price of approximately $105.84. The company's gross margins of 33.29% and operating margins of 10.70% indicate efficient cost management, though earnings growth has declined by 15.2% year-over-year, reflecting some headwinds in profitability.
 **Economic Outlook:**  
 The airline industry is sensitive to macroeconomic conditions, and United Airlines faces several external challenges. Rising inflation, driven by new tariffs and trade tensions, could increase operational costs, particularly for fuel and labor. Additionally, the recent California wildfires and ongoing geopolitical uncertainties may impact travel demand in key markets. However, United's revenue growth of 2.5% year-over-year and its ability to generate $6.31 billion in operating cash flow suggest resilience in navigating these challenges. The company's beta of 1.39 indicates higher volatility, which could amplify market reactions to economic developments.
 **Conclusion:**  
 United Airlines is positioned as a value play with strong growth potential, supported by favorable analyst sentiment and attractive valuations. However, its high debt levels and exposure to macroeconomic risks warrant caution. While the stock has significant upside potential, its performance will depend on the broader economic environment and the company's ability to manage costs effectively.
 **Score:** 78</t>
  </si>
  <si>
    <t>**Investment Report: Uber Technologies**
 **Recent News:**  
 Uber Technologies is poised to report improved fourth-quarter earnings, driven by growth in its Mobility and Delivery segments. Analysts anticipate year-over-year revenue growth, though profits may decline due to cost pressures. The stock has performed strongly over the past two years, gaining 128%, and analysts project a 30% upside potential. Optimism stems from advancements in autonomous vehicle technology and potential margin improvements. However, Uber faces legal challenges, including a racketeering lawsuit related to alleged auto insurance fraud, which could pose reputational and financial risks. The company is also investing in artificial intelligence, backing Serve Robotics, signaling a strategic focus on innovation. Bank of America maintains a "Buy" rating, though it slightly reduced its price target due to foreign exchange pressures. Uber is expected to exceed earnings estimates, with key metrics under scrutiny for further insights.
 **Financials:**  
 Uber's financial metrics reflect a mixed picture. The company has a high trailing P/E ratio of 109.82 and a forward P/E of 81.29, indicating a premium valuation relative to earnings. Its gross margins of 66.2% and EBITDA margins of 58.97% highlight strong operational efficiency. However, earnings growth has declined by 37.7% year-over-year, and revenue growth remains modest at 0.6%. Uber's debt-to-equity ratio of 131.12% suggests significant leverage, which could be a concern in a rising interest rate environment. The company has a low quick ratio of 0.007, indicating potential liquidity constraints. Despite these challenges, Uber's free cash flow of $701.96 million and operating cash flow of $855.38 million provide some financial stability.
 **Valuations:**  
 Uber's stock trades at a price-to-book ratio of 3.97, reflecting a premium valuation compared to its book value. The enterprise value-to-revenue ratio of 12.49 and enterprise value-to-EBITDA ratio of 21.18 suggest that the market is pricing in significant growth expectations. Analysts' target prices range from $40 to $51, with a mean target of $45.98, indicating potential upside from the current price of $41.74. However, the high valuation multiples may limit further gains unless Uber demonstrates substantial earnings and revenue growth.
 **Economic Outlook:**  
 The broader economic environment presents challenges for Uber. The recent implementation of tariffs by the U.S. government could increase costs across supply chains, potentially impacting Uber's operations. Rising inflation and potential Federal Reserve rate hikes may also weigh on consumer spending, affecting demand for ride-hailing and delivery services. Additionally, the global technology sector has faced significant volatility, as seen in the sharp decline of Nvidia's market value, which could indirectly impact sentiment toward Uber's AI investments. However, Uber's focus on autonomous vehicles and AI could position it well for long-term growth in transformative technologies.
 **Conclusion:**  
 Uber Technologies is navigating a complex environment with both opportunities and risks. While its Mobility and Delivery segments show promise, legal challenges, high leverage, and modest revenue growth remain concerns. The company's investments in AI and autonomous vehicles could drive future growth, but current valuations appear stretched. The economic backdrop, including inflationary pressures and trade tensions, adds uncertainty to its near-term outlook.
 **Score:** 65</t>
  </si>
  <si>
    <t>**Investment Report:**
 **Recent News:**  
 UDR, Inc., a prominent player in the Multi-Family Residential REITs industry, is preparing to release its Q4 earnings. The company is expected to benefit from its portfolio diversification and technological advancements, which have likely supported operational efficiency and tenant satisfaction. However, the high supply of residential units in certain markets may have exerted downward pressure on rental growth and occupancy rates, potentially limiting revenue expansion.
 **Financials:**  
 UDR's financial metrics reflect a mixed performance. The company has a trailing P/E ratio of 16.34 and a forward P/E of 17.25, indicating a reasonable valuation relative to its earnings. Its profit margins stand at 10.68%, and the return on equity (ROE) is a solid 54.98%, showcasing strong profitability. However, earnings growth has declined by 12% year-over-year, and revenue growth remains modest at 0.9%, signaling challenges in achieving robust top-line expansion. The company's debt-to-equity ratio of 82.15% highlights a relatively high leverage position, which could pose risks in a rising interest rate environment. On the positive side, UDR maintains a healthy operating cash flow of $1.41 billion and free cash flow of $719 million, providing liquidity to support ongoing operations and potential investments.
 **Valuations:**  
 UDR's price-to-book ratio of 8.65 suggests the stock is trading at a premium relative to its book value, which is typical for REITs with high-quality assets. The enterprise value-to-EBITDA ratio of 10.96 indicates a fair valuation compared to industry peers. Analyst sentiment remains moderately positive, with a recommendation mean of 2.4 (Buy) and a target median price of $475, implying potential upside from the current trading levels. However, the stock has experienced a 17.9% decline over the past year, underperforming the S&amp;P 500, which gained 21.9% during the same period.
 **Economic Outlook:**  
 The broader economic environment presents both opportunities and challenges for UDR. Rising inflation and the potential for higher interest rates could increase borrowing costs, impacting the company's ability to finance new developments or refinance existing debt. Additionally, the recent implementation of tariffs and trade tensions may indirectly affect consumer spending and housing demand. On the other hand, UDR's focus on multi-family residential properties positions it well to benefit from the ongoing demand for rental housing, particularly in urban and suburban markets where affordability remains a concern for homebuyers.
 **Conclusion:**  
 UDR's diversified portfolio and technological initiatives provide a solid foundation for long-term growth. However, near-term headwinds, including high supply in certain markets and declining earnings growth, may weigh on performance. The company's high leverage and sensitivity to interest rate changes further add to the risks. While the stock's valuation appears reasonable, the broader economic uncertainties and sector-specific challenges warrant cautious optimism.
 **Score:** 68</t>
  </si>
  <si>
    <t>**Investment Report: Universal Health Services (UHS)**
 **Recent News:**  
 Universal Health Services (UHS) has not been in the spotlight recently, with no significant news or developments reported in the past week. This lack of news suggests stability in operations but also indicates no immediate catalysts for significant stock movement.
 **Financials:**  
 UHS demonstrates solid financial performance with a trailing price-to-earnings (P/E) ratio of 12.69 and a forward P/E of 10.50, indicating a relatively attractive valuation compared to industry peers. The company has shown strong earnings growth of 54.9% in the most recent quarter and revenue growth of 11.2%, reflecting robust operational efficiency and demand in the healthcare facilities sector. Profit margins stand at 6.66%, and return on equity (ROE) is a healthy 16.34%, showcasing effective management of shareholder capital.
 The company’s balance sheet reveals a debt-to-equity ratio of 76.37%, which is moderate for the industry but warrants monitoring given the rising interest rate environment. UHS maintains a current ratio of 1.39 and a quick ratio of 1.15, indicating sufficient liquidity to cover short-term obligations. Free cash flow of $696.9 million and operating cash flow of $1.86 billion further highlight the company’s strong cash generation capabilities.
 Dividend payments remain modest, with a dividend yield of 0.42% and a payout ratio of just 5.33%, suggesting the company prioritizes reinvestment over shareholder distributions. The stock’s beta of 1.30 indicates higher volatility compared to the broader market, which could lead to amplified price swings in the current uncertain economic environment.
 **Valuations:**  
 UHS is trading at a price-to-book (P/B) ratio of 1.90, which is reasonable given its strong earnings growth and operational performance. The stock is currently priced at $188.56, near its 50-day average of $188.77 but below its 200-day average of $199.05, suggesting some recent downward pressure. Analysts have a median price target of $234.15, representing a potential upside of approximately 24%, with a high target of $274.00. This indicates that the stock may be undervalued relative to its growth prospects.
 **Economic Outlook:**  
 The broader macroeconomic environment presents mixed implications for UHS. The healthcare sector is generally resilient during periods of economic uncertainty, as demand for healthcare services remains relatively inelastic. However, inflationary pressures and rising interest rates could increase operational costs and debt servicing expenses. Additionally, the recent tariffs and trade tensions may indirectly impact the healthcare sector through higher costs for imported medical equipment and supplies.
 UHS’s strong revenue growth and operational efficiency position it well to navigate these challenges. The company’s focus on reinvestment and its ability to generate substantial cash flow provide a buffer against potential economic headwinds.
 **Conclusion:**  
 Universal Health Services exhibits strong financial fundamentals, attractive valuations, and solid growth metrics, making it a compelling player in the healthcare facilities industry. While macroeconomic uncertainties and debt levels require attention, the company’s operational resilience and growth potential suggest it is well-positioned for the near term.
 **Score:** 85</t>
  </si>
  <si>
    <t>**Investment Report: Ulta Beauty (ULTA)**
 **Recent News:**  
 Ulta Beauty has faced a challenging period, with its stock down approximately 28% from its 52-week high. Despite this decline, analysts highlight the company's strong fundamentals and operational excellence. The promotion of its CEO from within signals continuity in its strategic direction, particularly in leveraging growth opportunities in the Haircare and Wellness categories. The company's adaptability to market trends and its ability to maintain a fair valuation amidst broader market volatility are seen as positive indicators for its long-term prospects.
 **Financials:**  
 Ulta Beauty's financial performance remains robust, with a trailing price-to-earnings (P/E) ratio of 21.89 and a forward P/E of 18.09, suggesting a reasonable valuation relative to its earnings growth. The company boasts strong profit margins, with a net profit margin of 27.33% and gross margins of 55.32%, reflecting its ability to manage costs effectively. Revenue growth of 2.5% and earnings growth of 9.6% demonstrate steady expansion, even in a challenging economic environment. Additionally, Ulta's return on equity (ROE) of 43.4% underscores its efficiency in generating shareholder value.
 However, the company's debt-to-equity ratio of 197.15% indicates a high level of leverage, which could pose risks in a rising interest rate environment. Liquidity metrics, such as a quick ratio of 0.56 and a current ratio of 0.773, suggest limited short-term financial flexibility. Despite these concerns, Ulta's free cash flow of $4.17 billion and operating cash flow of $9.08 billion provide a cushion for ongoing operations and potential investments.
 **Valuations:**  
 Ulta Beauty's stock is trading at a price-to-book (P/B) ratio of 8.89, which is relatively high but consistent with its strong profitability and market position. Analysts' target prices range from $220 to $290, with a mean target of $263.79, indicating potential upside from its current trading levels. The recommendation mean of 2.1 (on a scale where 1.0 is a strong buy) reflects a generally favorable outlook among analysts.
 **Economic Outlook:**  
 The broader economic environment presents mixed signals for Ulta Beauty. The recent implementation of tariffs and trade tensions could lead to inflationary pressures, potentially impacting consumer spending. However, Ulta's focus on the beauty and wellness sector, which tends to be resilient during economic downturns, may help mitigate these risks. Additionally, the company's ability to adapt to changing consumer preferences and its strong brand loyalty position it well to navigate macroeconomic challenges.
 **Conclusion:**  
 Ulta Beauty's recent stock performance may not fully reflect its underlying strengths. While the company faces some risks, including high leverage and potential macroeconomic headwinds, its strong profitability, operational excellence, and growth potential in key categories like Haircare and Wellness make it a compelling player in the specialty retail sector. The stock's current valuation, combined with analysts' optimistic price targets, suggests room for recovery and long-term growth.
 **Score:** 78</t>
  </si>
  <si>
    <t>**Investment Report: Union Pacific Corporation**
 **Recent News:**  
 Union Pacific Corporation experienced a notable 5.2% stock price increase on January 23, following the release of strong fourth-quarter and full-year 2024 earnings, as well as optimistic guidance for 2025. The company, alongside BNSF, continues to dominate railroad shipping west of the Mississippi River, benefiting from its strategic positioning in the freight transportation industry. This positive momentum reflects investor confidence in Union Pacific's ability to deliver consistent performance and capitalize on its market leadership.
 **Financials:**  
 Union Pacific's financial performance demonstrates resilience and growth potential. The company reported a trailing price-to-earnings (P/E) ratio of 33.15 and a forward P/E of 21.23, indicating expectations of earnings growth in the coming year. Its earnings quarterly growth of 10.82% and revenue growth of 20.4% underscore its ability to expand operations and improve profitability. The company maintains a healthy operating cash flow of $6.21 billion and free cash flow of $3.87 billion, providing flexibility for reinvestment and shareholder returns.
 Union Pacific's gross margins of 32.71% and operating margins of 9.48% highlight its operational efficiency, while a return on equity (ROE) of 34.33% reflects strong profitability relative to shareholder equity. However, the company's debt-to-equity ratio of 80.34% suggests a relatively high leverage position, which could pose risks in a rising interest rate environment. Despite this, Union Pacific's quick ratio of 1.22 and current ratio of 1.42 indicate sufficient liquidity to meet short-term obligations.
 **Valuations:**  
 Union Pacific's stock is trading at a price-to-book (P/B) ratio of 9.58, which is relatively high compared to industry peers, suggesting a premium valuation. However, its trailing PEG ratio of 0.71 indicates that the stock may still offer value relative to its growth prospects. Analysts remain optimistic, with a mean target price of $88.63 and a median target price of $90.00, representing potential upside from its current trading levels. The recommendation mean of 1.53 (on a scale where 1.0 is a "Strong Buy") further supports a positive outlook.
 **Economic Outlook:**  
 Union Pacific operates in a challenging macroeconomic environment marked by inflationary pressures and trade uncertainties. The recent imposition of tariffs by the U.S. administration could disrupt supply chains and impact freight volumes. However, the company's essential role in transporting goods across the U.S. positions it as a critical player in the economy, potentially insulating it from broader market volatility. Additionally, Union Pacific's ability to pass on higher costs to customers through pricing adjustments could help mitigate inflationary impacts.
 The broader transportation sector may face headwinds from rising fuel costs and potential economic slowdowns, but Union Pacific's strong market position and operational efficiency provide a competitive advantage. Its focus on improving network efficiency and leveraging technology to enhance service reliability further strengthens its long-term growth prospects.
 **Conclusion:**  
 Union Pacific Corporation's strong financial performance, market leadership, and operational efficiency position it well for continued growth. While macroeconomic challenges and high leverage warrant caution, the company's ability to generate robust cash flows and maintain profitability supports a favorable investment outlook. The stock's valuation, combined with optimistic analyst targets, suggests potential for upside in the near term.
 **Score:** 85</t>
  </si>
  <si>
    <t>**Investment Report: United Rentals (URI)**
 **Recent News:**  
 United Rentals (URI) recently reported its Q4 earnings, which revealed mixed results. While the company achieved record performance in its core rental business and saw an increase in used equipment sales, it missed Wall Street's earnings per share (EPS) estimates. The reported EPS of $11.59 fell short of the consensus estimate of $11.77, though it showed slight growth compared to $11.26 in the same quarter last year. On the other hand, revenue exceeded expectations, reflecting strong demand for its services. Despite these achievements, the earnings miss has weighed on investor sentiment, leading to a decline in the stock price.
 **Financials:**  
 United Rentals maintains a robust financial position, with a market capitalization of $504.48 billion and a forward price-to-earnings (P/E) ratio of 16.34, which suggests a more favorable valuation compared to its trailing P/E of 35.32. The company has demonstrated steady revenue growth of 9.2% year-over-year, with total revenue reaching $393.9 billion. However, its profit margins remain modest, with a net profit margin of 3.64% and operating margins of 8.64%. The company's return on equity (ROE) of 15.25% indicates efficient use of shareholder capital, though its return on assets (ROA) of 6.92% is relatively low for the industry. 
 United Rentals faces challenges with its free cash flow, which is currently negative at -$2.39 billion, reflecting high capital expenditures. Its debt-to-equity ratio of 74.68% highlights significant leverage, though this is not uncommon in the capital-intensive equipment rental industry. The company has a current ratio of 0.91, indicating limited short-term liquidity, but its total cash reserves of $37.13 billion provide some financial flexibility.
 **Valuations:**  
 The stock is trading at a price-to-book (P/B) ratio of 5.35, which is higher than the industry average, suggesting that the stock may be overvalued relative to its book value. However, analysts remain optimistic, with a strong buy recommendation and a target median price of $641, representing potential upside from the current trading range. The dividend yield of 1.55% is modest but supported by a payout ratio of 51.76%, indicating a sustainable dividend policy.
 **Economic Outlook:**  
 United Rentals operates in a cyclical industry that is sensitive to macroeconomic conditions. The recent implementation of tariffs by the U.S. government could increase costs for equipment and materials, potentially impacting the company's margins. Additionally, inflationary pressures and rising interest rates may dampen construction and infrastructure spending, key drivers of demand for United Rentals' services. However, the company's strong market position and diversified customer base may help mitigate some of these risks.
 The broader economic environment remains uncertain, with volatility in the stock market and geopolitical tensions affecting investor confidence. Despite these challenges, United Rentals' focus on its core rental business and its ability to adapt to changing market conditions position it well for long-term growth.
 **Score:** 72</t>
  </si>
  <si>
    <t>**Investment Report: U.S. Bancorp (USB)**
 **Recent News:**  
 U.S. Bancorp has announced a significant leadership transition, with Gunjan Kedia, the current president, set to become the first female CEO in the company's history, effective April 15. This internal promotion signals stability and continuity in leadership, which is often viewed positively by investors. Kedia's extensive experience within the organization may help maintain strategic focus during a period of economic uncertainty. Additionally, U.S. Bancorp's reputation as a reliable dividend stock has been highlighted, with its consistent dividend payments and a yield of 3.93%, slightly below its five-year average of 4.13%. This positions the company as a potential choice for income-focused investors.
 **Financials:**  
 U.S. Bancorp's financial metrics reflect a solid foundation. The company has a trailing price-to-earnings (P/E) ratio of 12.37 and a forward P/E of 9.69, indicating a relatively attractive valuation compared to industry peers. Its price-to-book ratio of 1.41 suggests the stock is trading at a reasonable premium to its book value. The firm has demonstrated profitability with a net income of $5.09 billion and profit margins of 22.02%. However, revenue growth has declined by 3.2% year-over-year, reflecting challenges in the current economic environment. The bank's return on equity (ROE) of 9.78% and return on assets (ROA) of 0.82% are respectable, though not industry-leading. U.S. Bancorp's strong cash position of $77.05 billion provides a buffer against potential economic headwinds, though its total debt of $82.3 billion warrants monitoring.
 **Valuations:**  
 The stock is trading near the lower end of its 52-week range, with a recent close of $47.78 compared to a high of $53.98. Analyst sentiment remains optimistic, with a mean target price of $57.24, representing a potential upside of approximately 20%. The company's dividend payout ratio of 60.62% is sustainable, supported by its steady earnings growth of 12.7% and a trailing PEG ratio of 1.15, which suggests the stock is reasonably priced relative to its growth prospects.
 **Economic Outlook:**  
 The broader economic environment presents challenges for U.S. Bancorp. The recent implementation of tariffs by the U.S. government could increase inflationary pressures, potentially impacting consumer and business lending. Additionally, the Federal Reserve's cautious stance on interest rate cuts may limit the bank's ability to expand its net interest margin. However, U.S. Bancorp's diversified revenue streams and strong operating margins of 35.28% provide resilience. The bank's beta of 1.04 indicates moderate sensitivity to market volatility, aligning with its position as a stable, diversified financial institution.
 **Conclusion:**  
 U.S. Bancorp's leadership transition, solid financial foundation, and attractive valuation metrics position it as a stable player in the diversified banking sector. While macroeconomic challenges such as inflation and trade tensions may weigh on the broader industry, the company's strong cash reserves, consistent dividend payments, and reasonable valuation provide a degree of insulation. The stock's current price offers potential for both income and capital appreciation, though revenue growth trends and economic conditions should be closely monitored.
 **Score:** 78</t>
  </si>
  <si>
    <t>**Investment Report: Visa Inc.**
 **Recent News:**  
 Visa Inc. has demonstrated strong financial performance in Q1 2025, exceeding market expectations. The company reported a 9% increase in payment volumes, driven by robust growth in digital payments and tokenized transactions. This reflects Visa's ability to capitalize on the ongoing shift toward digital financial services. Additionally, Visa's partnership with Elon Musk's platform X (formerly Twitter) to launch a digital wallet and peer-to-peer payment services marks a strategic move into the "everything app" ecosystem. This collaboration positions Visa to expand its footprint in the digital payments space, potentially competing with established players like Venmo. The market has responded positively, with Visa's stock rising on the back of these developments and its optimistic fiscal 2025 outlook, which includes low-double-digit revenue growth and low-teens EPS growth.
 **Financials:**  
 Visa's financial metrics underscore its strong position in the transaction and payment processing industry. The company boasts a trailing P/E ratio of 31.74 and a forward P/E of 21.51, indicating expectations of continued earnings growth. Its profit margins (12.5%) and return on equity (30.17%) highlight operational efficiency and strong shareholder returns. Visa's revenue growth of 5.39% and earnings growth of 3.2% further reinforce its resilience in a challenging macroeconomic environment. However, the company's high debt-to-equity ratio of 183.15 warrants attention, as it reflects significant leverage. Despite this, Visa's free cash flow of $600 million and operating cash flow of $4.09 billion provide a solid foundation for ongoing investments and shareholder returns.
 **Valuations:**  
 Visa's current price-to-book ratio of 19.37 and price-to-sales ratio of 3.53 suggest a premium valuation, which is typical for a market leader with strong growth prospects. Analysts maintain a bullish outlook, with a mean target price of $174.86 and a median target of $178.50, indicating potential upside from its recent trading levels. The company's trailing PEG ratio of 0.93 suggests that its growth is reasonably priced relative to its earnings trajectory.
 **Economic Outlook:**  
 Visa operates in a macroeconomic environment characterized by rising inflationary pressures and trade tensions due to new tariffs imposed by the U.S. administration. While these factors could dampen consumer spending in the short term, Visa's global reach and focus on digital payments position it to weather these challenges. The company's partnership with X could also provide a new growth avenue, particularly as digital wallets and peer-to-peer payments gain traction. However, broader market volatility, particularly in the technology sector, may pose risks to investor sentiment.
 **Conclusion:**  
 Visa Inc. is well-positioned to benefit from the ongoing shift toward digital payments and its strategic partnership with X. Its strong financial performance, robust growth metrics, and optimistic outlook for fiscal 2025 underscore its resilience and potential for long-term value creation. While macroeconomic headwinds and high leverage present risks, Visa's operational efficiency and market leadership mitigate these concerns.
 **Score:** 85</t>
  </si>
  <si>
    <t>**Investment Report: Vici Properties Inc. (VICI)**
 **Recent News:**  
 Vici Properties, a leading player in the Hotel &amp; Resort REITs industry, has faced recent market challenges, including a 1.23% decline in its stock price during the latest trading session, closing at $29.64. The broader market sell-off, driven by concerns over rising interest rates and potential policy shifts, has impacted Vici's valuation. However, the decline has boosted its dividend yield, which may attract income-focused investors. The REIT sector is particularly sensitive to interest rate movements, as higher rates increase borrowing costs and reduce the relative attractiveness of dividend-paying stocks. Additionally, broader economic uncertainty and inflationary pressures could weigh on the firm's near-term performance.
 **Financials:**  
 Vici Properties demonstrates strong financial fundamentals, with a robust profit margin of 54.96% and EBITDA margins of 69.51%, reflecting efficient operations. The company has shown steady growth, with earnings increasing by 16.9% and revenue growing by 11.7% year-over-year. Its trailing P/E ratio of 34.90 and forward P/E of 27.16 suggest a premium valuation, which may be justified by its consistent performance and growth prospects. The dividend yield of 6.9% is well-supported by a low payout ratio of 21.67%, indicating room for future dividend growth. However, the firm's debt-to-equity ratio of 53.24% highlights a reliance on leverage, which could become a concern in a rising interest rate environment.
 **Valuations:**  
 Vici's stock is trading at a price-to-book ratio of 21.86, significantly above the industry average, indicating a high valuation relative to its assets. The enterprise value-to-EBITDA ratio of 25.93 also suggests a premium valuation. Analysts remain optimistic, with a mean target price of $365.86 and a "buy" recommendation, reflecting confidence in the firm's long-term growth potential. However, the current macroeconomic environment, including inflationary pressures and potential rate hikes, could challenge these valuations in the short term.
 **Economic Outlook:**  
 The broader economic environment poses mixed implications for Vici Properties. The Federal Reserve's potential hawkish stance to combat inflation could lead to higher borrowing costs, directly impacting REITs like Vici that rely on debt for growth and operations. Additionally, the Trump administration's new tariffs and trade tensions may create economic uncertainty, potentially affecting consumer spending and the hospitality sector. However, Vici's focus on high-quality assets and its strong cash flow generation provide a degree of resilience. The firm's gross margins of 97.83% and operating margins of 66.12% underscore its ability to weather economic headwinds.
 **Conclusion:**  
 While Vici Properties benefits from strong financial performance and attractive dividend yields, its sensitivity to interest rate changes and premium valuation present risks in the current macroeconomic environment. The firm's reliance on leverage and exposure to the hospitality sector add further complexity. Short-term volatility is likely, but its long-term fundamentals remain solid.
 **Score:** 72</t>
  </si>
  <si>
    <t>**Investment Report: Veralto Corporation**
 **Recent News:**  
 There have been no significant updates or developments regarding Veralto Corporation in the past week. The absence of news suggests stability in the company's operations, but it also indicates a lack of catalysts that could drive short-term market sentiment.
 **Financials:**  
 Veralto's financial performance reflects a solid position within the Environmental &amp; Facilities Services industry. The company has a market capitalization of $25 billion and a trailing price-to-earnings (P/E) ratio of 31.23, which is relatively high, indicating that the stock may be priced for growth. The forward P/E ratio of 27.27 suggests expectations of earnings improvement in the coming year. Veralto's profit margins are healthy, with a net profit margin of 15.69% and operating margins of 23.21%, showcasing operational efficiency. 
 The company has demonstrated moderate revenue growth of 4.7% year-over-year and earnings growth of 6%, signaling steady expansion. Gross margins of 59.38% highlight strong cost management and pricing power. However, the debt-to-equity ratio of 143.52% is elevated, indicating a reliance on leverage, which could pose risks in a rising interest rate environment. Veralto's free cash flow of $844.88 million and a current ratio of 2.14 provide a cushion for liquidity and operational needs.
 The dividend yield of 0.43% is modest, reflecting a focus on reinvestment rather than high shareholder payouts. The payout ratio of 11.11% suggests ample room for dividend growth in the future.
 **Valuations:**  
 Veralto's stock is trading near its 50-day and 200-day moving averages, indicating a period of consolidation. The price-to-book ratio of 12.80 is high, suggesting the stock is trading at a premium relative to its book value. Analysts have a mean target price of $114.72, representing potential upside from the current price of approximately $102. The recommendation mean of 2.19 (on a scale where 1 is a strong buy and 5 is a sell) indicates a generally favorable outlook from analysts.
 Short interest has increased slightly, with 4.14 million shares shorted, representing 1.67% of shares outstanding. This could reflect some skepticism about near-term performance but is not alarmingly high.
 **Economic Outlook:**  
 The broader macroeconomic environment presents challenges for Veralto. The recent imposition of tariffs by the U.S. administration could increase input costs and disrupt supply chains, potentially pressuring margins. Additionally, inflationary pressures and the Federal Reserve's cautious stance on interest rate cuts may impact consumer and business spending, indirectly affecting demand for Veralto's services. However, the company's focus on environmental and facilities services aligns with long-term trends in sustainability and infrastructure investment, which could provide resilience against economic headwinds.
 **Conclusion:**  
 Veralto is a fundamentally strong company with steady growth, robust margins, and a solid cash flow position. However, its high valuation metrics and elevated debt levels warrant caution, particularly in the current macroeconomic environment. While the lack of recent news suggests stability, it also limits immediate catalysts for significant price movement. The company's alignment with long-term sustainability trends remains a positive factor for its growth prospects.
 **Score:** 72</t>
  </si>
  <si>
    <t>**Investment Report: Vulcan Materials Company**
 **Recent News:**  
 There have been no significant updates or news regarding Vulcan Materials Company in the past week. This lack of news suggests stability in the company's operations, but it also indicates no immediate catalysts for significant price movement in the short term.
 **Financials:**  
 Vulcan Materials Company, a leader in the construction materials industry, has shown resilience despite broader economic challenges. The stock is trading near its 50-day average of $272.28, reflecting relative stability. However, the recent market close of $274.15 is below its 52-week high of $298.31, indicating some room for recovery. The company maintains a healthy dividend yield of 0.67%, though this is below its five-year average of 0.85%, suggesting a conservative payout strategy amidst current market conditions.  
 The firm's profitability metrics are solid, with a profit margin of 11.43% and operating margins of 21.04%. However, earnings growth has declined by 24.6% year-over-year, and revenue growth has contracted by 8.3%, reflecting challenges in the broader economic environment. The trailing P/E ratio of 42.44 and forward P/E of 30.02 indicate a premium valuation, which may limit upside potential in the short term. The company's debt-to-equity ratio of 49.48% is manageable, supported by a strong current ratio of 2.86, indicating sufficient liquidity to meet short-term obligations.
 **Valuations:**  
 Vulcan Materials is trading at a price-to-book ratio of 4.55, which is relatively high compared to industry peers, suggesting the stock may be overvalued. The enterprise value-to-revenue ratio of 5.31 and enterprise value-to-EBITDA ratio of 19.79 further highlight the premium valuation. Analyst sentiment remains positive, with a recommendation mean of 1.91 (indicating a "buy") and a target median price of $301.25, implying a potential upside of approximately 10% from current levels. However, the high valuation multiples may deter value-focused investors in the near term.
 **Economic Outlook:**  
 The construction materials industry is sensitive to macroeconomic conditions, including infrastructure spending, interest rates, and overall economic growth. The recent imposition of tariffs by the U.S. administration could increase input costs for construction materials, potentially pressuring margins. Additionally, inflationary pressures and rising interest rates may dampen demand for new construction projects, further impacting revenue growth. However, Vulcan's strong liquidity position and operational efficiency provide a buffer against these headwinds.
 **Conclusion:**  
 Vulcan Materials Company is a fundamentally strong player in the construction materials sector, with solid profitability and liquidity metrics. However, the premium valuation, declining earnings and revenue growth, and potential macroeconomic challenges may limit short-term upside. While the long-term outlook remains positive due to the company's market leadership and infrastructure spending tailwinds, the next month may see limited price movement barring any significant news or developments.
 **Score:** 65</t>
  </si>
  <si>
    <t>**Investment Report: Verisk Analytics (VRSK)**
 **Recent News:**  
 Verisk Analytics (VRSK) has garnered attention for its consistent ability to surpass earnings expectations, with analysts suggesting the company is well-positioned to deliver another earnings beat in its upcoming report. This optimism stems from Verisk's strong operational performance and its strategic focus on data analytics and risk assessment services, which remain in high demand across industries. The company's ability to maintain a competitive edge in a challenging macroeconomic environment highlights its resilience and operational efficiency.
 **Financials:**  
 Verisk's financial metrics reflect a robust and stable business model. The company boasts a market capitalization of $41.08 billion and a trailing price-to-earnings (P/E) ratio of 44.97, indicating a premium valuation relative to the broader market. Its forward P/E ratio of 39.80 suggests expectations of continued earnings growth. Verisk's profit margins are strong, with a net income margin of 32.65% and EBITDA margins of 48.28%, underscoring its operational efficiency. Revenue growth of 7% year-over-year and earnings growth of 19.4% further demonstrate the company's ability to expand in a competitive landscape.
 The firm's balance sheet shows a high debt-to-equity ratio of 1069.41%, which may raise concerns about leverage. However, Verisk's strong free cash flow of $763.79 million and operating cash flow of $1.14 billion provide a cushion to manage its debt obligations effectively. The company also maintains a modest dividend yield of 0.54%, with a payout ratio of 23.3%, indicating a sustainable dividend policy.
 **Valuations:**  
 Verisk's valuation metrics suggest a premium pricing, with a price-to-sales ratio of 14.55 and a price-to-book ratio of 137.30. While these figures may appear elevated, they reflect the market's confidence in Verisk's growth prospects and its dominant position in the research and consulting services industry. Analysts' target prices range from $230 to $325, with a mean target of $290.33, aligning closely with the current trading price. The recommendation mean of 2.41 (on a scale where 1.0 is a strong buy) indicates a generally favorable outlook among analysts.
 **Economic Outlook:**  
 The broader economic environment presents both challenges and opportunities for Verisk. The recent imposition of tariffs and trade tensions could create uncertainty for some of its clients, potentially impacting demand for its services. However, Verisk's focus on data-driven risk assessment and analytics positions it well to help businesses navigate these uncertainties. Additionally, the company's relatively low beta of 0.86 suggests lower volatility compared to the broader market, making it a potentially stable investment in a turbulent economic climate.
 **Conclusion:**  
 Verisk Analytics demonstrates strong financial performance, operational efficiency, and a proven ability to adapt to changing market conditions. While its high leverage and premium valuation warrant caution, its consistent earnings growth, robust cash flow, and strategic positioning in a resilient industry make it a compelling player in the research and consulting services sector. The company's ability to deliver another earnings beat could further bolster investor confidence in the near term.
 **Score:** 85</t>
  </si>
  <si>
    <t>**Investment Report: Verisign (Internet Services &amp; Infrastructure)**
 **Recent News:**  
 Verisign has not been in the news over the past week, indicating a period of stability without any major announcements or disruptions. This lack of news suggests that the company is operating within its usual parameters, with no immediate external catalysts or risks impacting its operations.
 **Financials:**  
 Verisign's financial performance reflects a strong and stable position within the Internet Services &amp; Infrastructure industry. The company’s trailing price-to-earnings (PE) ratio of 25.18 and forward PE of 24.96 indicate a valuation slightly above the broader market average, suggesting moderate investor confidence in its growth prospects. Verisign's profit margins are robust at 55.69%, supported by high gross margins of 87.58%, which highlight its ability to generate significant profitability from its operations. 
 The company’s revenue growth of 3.8% and earnings growth of 13.1% year-over-year demonstrate steady, albeit modest, expansion. Verisign’s free cash flow of $728 million and operating cash flow of $875 million underscore its strong cash generation capabilities, which are critical for sustaining operations and potential future investments. However, the quick ratio of 0.43 and current ratio of 0.47 indicate limited short-term liquidity, which could pose challenges in the event of unexpected financial pressures.
 The stock is trading near its 52-week high of $217.66, reflecting strong recent performance and investor optimism. Its beta of 0.911 suggests lower volatility compared to the broader market, making it a relatively stable investment in uncertain economic conditions.
 **Valuations:**  
 Verisign’s enterprise value-to-revenue ratio of 14.21 and enterprise value-to-EBITDA ratio of 20.12 suggest a premium valuation, which may reflect the market's confidence in its dominant position in the domain name registry business. However, these metrics also indicate that the stock may be fully valued at current levels, leaving limited room for upside unless the company delivers stronger-than-expected growth.
 The stock’s recommendation mean of 2.25 (between "buy" and "hold") and a target mean price of $221.78 suggest that analysts see limited upside potential from its current price of approximately $215. The trailing PEG ratio of 3.11 indicates that the stock may be expensive relative to its earnings growth rate.
 **Economic Outlook:**  
 The broader economic environment presents mixed implications for Verisign. The recent imposition of tariffs and trade tensions could indirectly impact the company if global economic growth slows, potentially reducing demand for internet services. However, Verisign’s business model, which relies on the recurring revenue from domain name registrations, provides a degree of insulation from broader economic volatility. Additionally, the company’s low beta and strong cash flow generation position it well to weather economic uncertainty.
 The technology sector has faced significant headwinds recently, particularly with the sharp decline in global tech shares following the launch of DeepSeek, a Chinese AI competitor. While Verisign is not directly exposed to the AI sector, broader market sentiment could weigh on its stock performance in the short term.
 **Conclusion:**  
 Verisign remains a financially strong and stable company with a dominant position in its niche market. However, its premium valuation and limited short-term liquidity could pose challenges, particularly in a volatile macroeconomic environment. While its recurring revenue model and high profitability provide resilience, the stock appears to be fully valued at current levels, with limited upside potential in the near term.
 **Score:** 72</t>
  </si>
  <si>
    <t>**Investment Report: Vertex Pharmaceuticals (VRTX)**
 **Recent News:**  
 Vertex Pharmaceuticals has achieved a significant milestone with the FDA approval of Journavx, a groundbreaking non-opioid painkiller. This marks the first approval of a new class of oral pain medication in over two decades, addressing the critical need for safer alternatives to opioids. Analysts project peak annual sales of up to $4 billion, which could substantially enhance Vertex's revenue streams. Additionally, the company continues to expand its cystic fibrosis (CF) portfolio with treatments like Alyftrek and TRIKAFTA, reinforcing its leadership in this therapeutic area. However, despite these advancements, Vertex's stock has experienced some volatility, reflecting broader market conditions and investor caution.
 **Financials:**  
 Vertex's financial position remains robust, with a market capitalization of $121.1 billion and a forward price-to-earnings (P/E) ratio of 25.04, indicating moderate valuation relative to its growth potential. The company has a strong cash position of $6.52 billion, providing flexibility for further R&amp;D and strategic investments. Revenue growth of 11.6% year-over-year underscores the company's ability to capitalize on its innovative pipeline. However, the firm reported a net loss of $479.8 million in the most recent quarter, driven by high R&amp;D expenses and other operational costs. Gross margins of 53.6% and operating margins of 40.8% highlight efficient cost management, though profitability remains a concern in the near term.
 **Valuations:**  
 Vertex's stock is trading at a price-to-book ratio of 7.76, reflecting a premium valuation compared to its peers in the biotechnology sector. The stock's 52-week range of $377.85 to $519.88 indicates significant price movement, with the current price near $470 suggesting it is closer to the higher end of its range. Analysts maintain a positive outlook, with a median price target of $500 and a high target of $591, signaling confidence in the company's growth trajectory. The recommendation mean of 2.09 (on a scale where 1 is a strong buy) further supports this optimism.
 **Economic Outlook:**  
 The broader economic environment presents mixed implications for Vertex. The recent market volatility, driven by geopolitical tensions, trade tariffs, and inflationary pressures, has created uncertainty for investors. However, Vertex's focus on innovative therapies in high-demand areas like pain management and cystic fibrosis positions it well to weather macroeconomic challenges. The FDA approval of Journavx provides a significant growth catalyst, potentially offsetting broader market headwinds. Additionally, the company's low beta of 0.39 suggests reduced sensitivity to market fluctuations, offering some stability in a volatile environment.
 **Conclusion:**  
 Vertex Pharmaceuticals is well-positioned for growth, supported by its innovative pipeline, strong financials, and recent FDA approval of Journavx. While near-term profitability challenges and market volatility may weigh on the stock, the company's long-term prospects remain compelling, driven by its leadership in cystic fibrosis and expansion into new therapeutic areas.
 **Score:** 85</t>
  </si>
  <si>
    <t>**Investment Report: Vistra Corp. (VST)**
 **Recent News:**  
 Vistra Corp. has been positioned as a strong player in the electric utilities sector, benefiting from structural tailwinds such as increased energy demand driven by data center expansion, industrial electrification, and manufacturing re-shoring. The company's nuclear fleet provides a competitive edge, offering reliable energy production and potential tax credits, which align with the growing need for 24/7 power solutions. However, the stock recently experienced a sharp 30% decline, triggered by investor concerns over the actual electricity demand from artificial intelligence applications, which may not meet earlier optimistic projections. This selloff reflects broader market skepticism about the scalability of AI-driven energy consumption, despite Vistra's otherwise favorable positioning.
 **Financials:**  
 Vistra's financial metrics indicate a solid foundation. The company has a trailing P/E ratio of 13.65 and a forward P/E of 12.55, suggesting reasonable valuation levels relative to its earnings. Its profit margins stand at 11.96%, supported by strong operating margins of 15.61% and gross margins of 43.78%. Revenue growth of 12.2% and earnings growth of 11% highlight the company's ability to expand in a challenging macroeconomic environment. Additionally, Vistra's free cash flow of $3.35 billion and operating cash flow of $3.57 billion provide ample liquidity to support operations and potential investments. However, the company's quick ratio of 0.23 and current ratio of 0.40 indicate limited short-term liquidity, which could pose risks in a volatile market. Debt-to-equity stands at 36.28%, reflecting a manageable but notable leverage level.
 **Valuations:**  
 Vistra's stock is trading at a price-to-book ratio of 2.69, which is slightly elevated compared to its historical averages but still reasonable given its growth prospects. The stock's 52-week range of $50.73 to $65.49 shows that it is currently trading closer to its lower end, potentially offering an attractive entry point for long-term investors. Analyst sentiment remains positive, with a mean target price of $63.26 and a median target of $64.00, indicating significant upside potential from current levels. The recommendation mean of 2.24 (Buy) further underscores Wall Street's confidence in the stock.
 **Economic Outlook:**  
 The broader macroeconomic environment presents mixed signals for Vistra. On one hand, the company's focus on nuclear energy aligns with global trends favoring clean and reliable energy sources, which could attract regulatory and financial support. On the other hand, the recent tariffs imposed by the U.S. administration and the inflationary pressures they bring could increase operational costs and dampen economic growth, indirectly affecting energy demand. Additionally, the ongoing California wildfires and their associated economic damages may create regional disruptions, though Vistra's diversified operations could mitigate localized risks.
 **Conclusion:**  
 Vistra Corp. is well-positioned to capitalize on long-term energy demand trends, particularly in industrial and data center applications. Its nuclear fleet and strong financial performance provide a solid foundation for growth. However, the recent stock selloff highlights market concerns about overestimated AI-related energy needs, which could weigh on short-term performance. While the company's valuation appears attractive, potential risks from macroeconomic headwinds and liquidity constraints warrant close monitoring.
 **Score:** 78</t>
  </si>
  <si>
    <t>**Investment Report: Viatris (Pharmaceuticals Industry)**
 **Recent News:**  
 There have been no significant updates or developments regarding Viatris in the past week. The absence of news suggests stability in the company's operations, with no immediate disruptions or breakthroughs impacting its performance.
 **Financials:**  
 Viatris demonstrates solid financial health with a trailing price-to-earnings (PE) ratio of 11.03 and a forward PE of 10.89, indicating a relatively undervalued position compared to broader market averages. The company offers an attractive dividend yield of 5.81%, well above its five-year average of 5.02%, supported by a payout ratio of 62.13%. This suggests a sustainable dividend policy, appealing to income-focused investors.  
 The firm's profitability metrics are robust, with profit margins of 73.9% and EBITDA margins of 96.2%, reflecting strong operational efficiency. Quarterly earnings growth of 31.7% and revenue growth of 6.7% highlight Viatris' ability to expand its bottom line and top line, even in a challenging macroeconomic environment. However, the company's debt-to-equity ratio of 66.55 indicates a moderately leveraged balance sheet, which could pose risks in a rising interest rate environment.  
 **Valuations:**  
 Viatris trades at a price-to-book ratio of 1.19, suggesting the stock is priced close to its book value, which may indicate undervaluation. The enterprise value-to-revenue ratio of 12.91 and enterprise value-to-EBITDA ratio of 13.41 are reasonable for a pharmaceutical company with high margins and stable cash flows. Analyst sentiment remains positive, with a "buy" recommendation and a mean target price of $35.51, representing a potential upside from the current price of $29.77.  
 **Economic Outlook:**  
 The broader economic environment presents mixed signals for Viatris. The recent imposition of tariffs and trade tensions could indirectly affect the pharmaceutical supply chain, potentially increasing costs for raw materials or impacting global distribution. However, Viatris' strong cash flow generation and high current ratio of 15.87 provide a significant buffer against short-term economic disruptions.  
 The company's beta of 0.96 indicates slightly lower volatility compared to the overall market, making it a relatively stable investment in uncertain times. Additionally, its focus on essential pharmaceuticals positions it well to weather economic downturns, as demand for healthcare products tends to remain resilient.  
 **Conclusion:**  
 Viatris exhibits strong fundamentals, including robust profitability, attractive dividends, and a reasonable valuation. While macroeconomic challenges such as tariffs and inflationary pressures could pose risks, the company's financial stability and operational efficiency provide a solid foundation for continued performance. The lack of recent news suggests no immediate catalysts but also no significant risks on the horizon.
 **Score:** 85</t>
  </si>
  <si>
    <t>**Investment Report: Wabtec Corporation**
 **Recent News:**  
 Wabtec Corporation has not been featured in any significant news over the past week. This absence of news suggests stability in its operations, with no immediate disruptions or breakthroughs impacting its market position. However, the broader economic environment, including recent tariffs and trade tensions, could indirectly influence the company's performance, particularly given its exposure to global supply chains and heavy transportation equipment markets.
 **Financials:**  
 Wabtec's financial performance reflects a solid position within its industry. The company has a market capitalization of $35.18 billion and a trailing P/E ratio of 34.05, which is relatively high, indicating that the stock may be priced for growth. Its forward P/E ratio of 23.68 suggests expectations of earnings improvement. The company has demonstrated steady revenue growth of 4.4% year-over-year, with earnings growth of 22.6%, signaling operational efficiency and profitability improvements. 
 Wabtec's gross margin of 32.58% and EBITDA margin of 20.43% highlight its ability to maintain healthy profitability despite potential cost pressures. The return on equity (ROE) of 10.37% is respectable, though not exceptional, and reflects moderate efficiency in generating shareholder returns. The company also maintains a manageable debt-to-equity ratio of 39.06%, supported by a free cash flow of $1.18 billion, which provides flexibility for future investments or debt reduction.
 Dividend payments remain modest, with a yield of 0.38% and a payout ratio of 12.83%, indicating a focus on reinvesting earnings for growth rather than returning capital to shareholders. The stock has shown strong performance over the past year, with a 52-week price change of 54.31%, significantly outperforming the S&amp;P 500's 21.93% gain.
 **Valuations:**  
 Wabtec's valuation metrics suggest a premium relative to its peers in the construction machinery and heavy transportation equipment industry. Its price-to-sales ratio of 3.41 and price-to-book ratio of 3.46 are on the higher side, reflecting investor confidence in its growth prospects. Analyst sentiment remains positive, with a mean price target of $215.51, representing a modest upside from its current trading range. The recommendation mean of 1.73 (on a scale where 1.0 is a strong buy) further underscores optimism about the stock's potential.
 **Economic Outlook:**  
 The broader economic environment presents mixed implications for Wabtec. The recent imposition of tariffs by the U.S. administration could disrupt global trade and supply chains, potentially increasing input costs for the company. However, Wabtec's diversified product portfolio and strong market position may help mitigate these risks. Additionally, the company's exposure to infrastructure and transportation sectors positions it to benefit from any potential government spending on infrastructure projects, which could offset some of the macroeconomic headwinds.
 The ongoing volatility in the technology sector and broader equity markets may also influence investor sentiment toward industrial stocks like Wabtec. Its beta of 1.27 indicates above-average sensitivity to market movements, suggesting that the stock could experience heightened volatility in the near term.
 **Conclusion:**  
 Wabtec Corporation demonstrates strong financial health and growth potential, supported by robust revenue and earnings growth. However, its premium valuation and exposure to macroeconomic risks, including trade tensions and potential cost pressures, warrant cautious optimism. The company's ability to navigate these challenges while capitalizing on infrastructure spending opportunities will be critical to its performance in the coming months.
 **Score:** 78</t>
  </si>
  <si>
    <t>**Investment Report: Waters Corporation**
 **Recent News:**  
 Waters Corporation, a provider of analytical workflow solutions primarily serving the pharmaceutical and industrial sectors, has seen its stock rise by 35% since July lows. However, analysts are expressing caution due to valuation concerns. The stock is trading at the upper end of its historical price-to-sales (P/S) and price-to-earnings (P/E) ratios, suggesting potential overvaluation. Mixed analyst ratings and modest price targets reflect uncertainty about the company's ability to sustain its recent momentum.
 **Financials:**  
 Waters Corporation's financial metrics reveal a mixed picture. The company has a market capitalization of $8.43 billion and a forward P/E ratio of 6.66, which appears attractive. However, its profit margins are negative (-5.85%), and it reported a net loss of $8.64 billion in the most recent fiscal year. The company's debt-to-equity ratio is alarmingly high at 277.9%, indicating significant leverage. Liquidity metrics, such as a quick ratio of 0.33 and a current ratio of 0.68, suggest potential challenges in meeting short-term obligations. On the positive side, the company has a substantial cash reserve of $3.11 billion and generated $2.73 billion in free cash flow, which could provide some financial flexibility.
 **Valuations:**  
 Despite the recent surge in stock price, Waters Corporation's valuation metrics raise concerns. The price-to-book ratio of 0.81 indicates the stock is trading below its book value, which could be seen as a positive. However, the enterprise value-to-EBITDA ratio of 14.02 suggests the stock is not particularly cheap compared to its earnings before interest, taxes, depreciation, and amortization. Additionally, the company's high debt levels and negative return on equity (-75.97%) weigh heavily on its overall valuation attractiveness.
 **Economic Outlook:**  
 The broader macroeconomic environment presents challenges for Waters Corporation. The recent imposition of tariffs by the U.S. government could disrupt global supply chains, potentially impacting the company's industrial and pharmaceutical clients. Rising inflationary pressures and potential Federal Reserve rate hikes may further dampen economic growth, which could negatively affect demand for the company's products. Additionally, the ongoing volatility in the technology and industrial sectors adds uncertainty to the company's near-term prospects.
 **Conclusion:**  
 Waters Corporation faces significant headwinds despite its recent stock price rally. Valuation concerns, high leverage, and negative profitability metrics overshadow its cash reserves and free cash flow generation. The broader economic environment, marked by trade tensions and inflationary pressures, adds further uncertainty. While the company has shown resilience in the past, its current financial and operational challenges warrant caution in the near term.
 **Score:** 45</t>
  </si>
  <si>
    <t>**Investment Report: Walgreens Boots Alliance**
 **Recent News:**  
 Walgreens Boots Alliance has recently suspended its quarterly dividend, ending a 92-year streak of consistent payouts. This decision, aimed at conserving cash amidst financial pressures, has led to a sharp 12% decline in its stock price. The company is grappling with multiple challenges, including reduced foot traffic, lower reimbursement rates for prescription drugs, and a lawsuit from the U.S. Department of Justice over allegedly dispensing unlawful prescriptions. Despite these headwinds, Walgreens exceeded Q1 2025 revenue and earnings expectations, providing a temporary boost to its stock. The dividend suspension reflects a strategic shift to prioritize financial stability and operational turnaround efforts.
 **Financials:**  
 Walgreens' financial metrics reveal a mixed picture. The company has a trailing price-to-earnings (P/E) ratio of 41.13 and a forward P/E of 36.05, indicating a premium valuation relative to its earnings. Its gross margin of 24.63% and operating margin of 4.69% suggest moderate profitability, though earnings growth has declined by 42.3% year-over-year. The company’s debt-to-equity ratio of 69.57 highlights significant leverage, while its quick ratio of 0.18 and current ratio of 0.80 indicate liquidity constraints. Free cash flow stands at $7.7 billion, which may provide some flexibility for its turnaround initiatives. However, the suspension of dividends and ongoing legal challenges could weigh on investor confidence.
 **Valuations:**  
 Walgreens' stock is trading near its 52-week high of $99.79, reflecting a 73.4% increase over the past year, significantly outperforming the S&amp;P 500's 21.9% gain. However, its price-to-book ratio of 9.56 suggests the stock is trading at a substantial premium to its book value. Analysts have a median price target of $100, with a recommendation leaning toward "buy," though the company's elevated valuation metrics and operational challenges may temper enthusiasm.
 **Economic Outlook:**  
 The broader economic environment poses additional risks for Walgreens. The recent imposition of tariffs by the U.S. government could exacerbate supply chain disruptions and increase costs for imported goods, potentially impacting Walgreens' retail operations. Rising inflationary pressures and a potential slowdown in consumer spending may further challenge the company’s ability to drive foot traffic and revenue growth. Additionally, the legal and regulatory landscape, including the ongoing lawsuit, adds uncertainty to its outlook.
 **Conclusion:**  
 Walgreens Boots Alliance is navigating a complex set of challenges, including financial pressures, legal risks, and operational headwinds. While the company’s recent earnings beat and strategic focus on capital allocation are positive signs, its high leverage, declining earnings growth, and liquidity concerns raise red flags. The suspension of its dividend, a significant departure from its historical policy, underscores the severity of its financial situation. Combined with broader economic uncertainties, these factors suggest a cautious near-term outlook for the stock.
 **Score:** 45</t>
  </si>
  <si>
    <t>**Investment Report: Warner Bros. Discovery**
 **Recent News:**  
 Warner Bros. Discovery is actively pursuing strategic initiatives to strengthen its financial position and capitalize on its extensive intellectual property (IP) portfolio. The company has made strides in reducing its debt, a key focus for CEO David Zaslav and board member John Malone, which is critical for improving its balance sheet and long-term financial health. The partnership with Cutting Edge Group to co-own its film and TV music catalog demonstrates a strategic effort to monetize its media assets more effectively. However, the company faces legal challenges, including a copyright lawsuit related to its Superman franchise, which could create uncertainty ahead of a major DC Comics movie release. Additionally, Warner Bros. Discovery is restructuring its operations to optimize cash flow from its linear TV business, enabling further investment in streaming and content production. The appointment of Ted Lim as Chief Business Officer of the Warner Bros. Motion Picture Group signals a commitment to leadership and growth in its core entertainment segments. Interest in its international assets, such as the bids for its Polish broadcaster TVN, highlights the value of its global footprint.
 **Financials:**  
 Warner Bros. Discovery's financial metrics reflect a mixed picture. The company has a market capitalization of $206.16 billion and a price-to-sales ratio of 2.29, suggesting it is moderately valued relative to its revenue. Its forward price-to-earnings (P/E) ratio of 18.7 indicates expectations of earnings growth, while its trailing P/E of 41.91 reflects current earnings challenges. The company has a robust free cash flow of $8.27 billion, which supports its debt reduction efforts and future investments. However, its debt-to-equity ratio of 45.19 remains a concern, as total debt stands at $47.58 billion. Gross margins of 35.36% and EBITDA margins of 18.61% indicate solid profitability, though operating margins of 14.91% suggest room for improvement. The company’s revenue growth of 3.7% is modest but steady, supported by its strong IP portfolio and content production capabilities.
 **Valuations:**  
 Warner Bros. Discovery's stock is trading near its 50-day average of $112.60, with a 52-week range of $83.91 to $123.74. Analyst sentiment is generally positive, with a mean target price of $124.56 and a recommendation key of "buy." The stock's beta of 1.398 indicates higher volatility compared to the broader market, which could lead to significant price swings in the current uncertain macroeconomic environment. The company’s price-to-book ratio of 2.06 suggests it is trading at a reasonable valuation relative to its book value, while its trailing PEG ratio of 0.99 indicates that its growth is attractively priced.
 **Economic Outlook:**  
 The broader economic environment presents challenges and opportunities for Warner Bros. Discovery. The recent tariffs imposed by the U.S. administration could increase costs for the company, particularly in its international operations. Additionally, inflationary pressures and potential trade disruptions may impact consumer spending on entertainment. However, the company’s focus on streaming and content production aligns with long-term industry trends, as demand for high-quality content remains strong. The global technology sector's recent volatility, driven by competition from Chinese AI advancements, underscores the importance of innovation and adaptability, areas where Warner Bros. Discovery's rich IP portfolio and strategic partnerships could provide a competitive edge.
 **Conclusion:**  
 Warner Bros. Discovery is navigating a complex landscape with a mix of opportunities and risks. Its efforts to reduce debt, monetize assets, and invest in growth areas like streaming and content production position it well for the future. However, legal challenges, high debt levels, and macroeconomic uncertainties could weigh on its near-term performance. The company’s valuation appears reasonable, and its strong cash flow provides a buffer against potential headwinds. While the stock may experience volatility in the short term, its long-term prospects remain tied to its ability to execute its strategic initiatives effectively.
 **Score:** 72</t>
  </si>
  <si>
    <t>**Investment Report:**
 **Recent News:**  
 Western Digital has reported robust Q2 results, showcasing a 41% year-over-year revenue growth, primarily driven by a 119% surge in demand for HDDs from enterprise and cloud customers. The company exceeded earnings expectations, reporting $1.77 per share compared to a loss of $0.69 per share in the prior year. However, the firm has issued a cautious outlook for Q3, citing anticipated weaker demand from cloud and corporate customers. Additionally, Western Digital's decision to spin off its flash memory segment, SanDisk, in the March quarter is a strategic move that could unlock shareholder value and improve its valuation by allowing the company to focus on its core HDD business.
 **Financials:**  
 Western Digital's financial metrics reflect a mixed picture. The company has a trailing P/E ratio of 18.62 and a forward P/E of 9.13, indicating that the market expects significant earnings growth in the near term. Its price-to-book ratio of 2.04 suggests the stock is reasonably valued relative to its assets. The firm has a gross margin of 30.45% and an operating margin of 15.40%, which are solid for the industry. However, the free cash flow remains negative at -$149 million, signaling potential liquidity challenges. The company's beta of 1.39 indicates higher volatility compared to the broader market, which could amplify risks in the current uncertain economic environment.
 **Valuations:**  
 Western Digital's stock is trading at $65.13, near its 50-day average of $65.75 but below its 200-day average of $68.32. The stock has a 52-week range of $52.77 to $81.55, suggesting some upside potential if market conditions improve. Analyst sentiment remains positive, with a mean target price of $82.95 and a median target of $81.00, reflecting a potential upside of approximately 25%. The recommendation mean of 1.84 (on a scale where 1.0 is a strong buy) further underscores optimism about the stock's prospects.
 **Economic Outlook:**  
 The broader economic environment presents challenges for Western Digital. The recent global tech market crash, driven by competitive pressures from Chinese AI advancements, has created headwinds for the technology sector. Additionally, the Trump administration's new tariffs on imports from China, Canada, and Mexico could disrupt supply chains and increase costs for Western Digital, potentially impacting margins. The company's reliance on enterprise and cloud customers, sectors that are expected to see weaker demand in the near term, adds to the uncertainty. However, the planned SanDisk spinoff could provide a catalyst for improved performance and valuation in the medium term.
 **Conclusion:**  
 Western Digital's strong Q2 performance and strategic initiatives, such as the SanDisk spinoff, position the company for potential long-term growth. However, near-term challenges, including weaker demand forecasts, negative free cash flow, and macroeconomic uncertainties, could weigh on the stock. While the firm remains fundamentally sound, its exposure to volatile market conditions and sector-specific risks warrants caution in the short term.
 **Score:** 72</t>
  </si>
  <si>
    <t>**Investment Report: WEC Energy Group**
 **Recent News:**  
 WEC Energy Group has not been in the spotlight recently, with no significant news or developments reported in the past week. This lack of news suggests stability in operations but also indicates no immediate catalysts for significant price movement.
 **Financials:**  
 WEC Energy Group demonstrates a strong position in the electric utilities sector, with a market capitalization of $31.78 billion and a relatively low beta of 0.438, indicating lower volatility compared to the broader market. The company offers a robust dividend yield of 3.6%, above its five-year average of 3.13%, making it attractive for income-focused investors. However, the payout ratio of 80.32% suggests that a significant portion of earnings is allocated to dividends, leaving limited room for reinvestment or growth.  
 The firm's trailing price-to-earnings (P/E) ratio of 24.56 and forward P/E of 19.22 indicate a premium valuation relative to the broader market, reflecting investor confidence in its stability and income-generating potential. However, earnings growth has been negative, with a quarterly decline of 24%, and revenue growth has also contracted by 4.8%, signaling potential challenges in maintaining profitability.  
 Debt levels are a concern, with a debt-to-equity ratio of 155.84, which is high for the sector. This leverage could pose risks in a rising interest rate environment or during periods of economic uncertainty. Additionally, the company reported negative free cash flow of -$623.5 million, which may limit its ability to fund future growth initiatives without additional borrowing.
 **Valuations:**  
 WEC Energy Group's price-to-book ratio of 2.63 and enterprise value-to-EBITDA ratio of 14.64 suggest the stock is trading at a premium compared to its peers. Analysts have a median price target of $100, close to the current trading range, indicating limited upside potential in the near term. The recommendation mean of 2.5 (on a scale where 1 is a strong buy and 5 is a sell) reflects a neutral to slightly positive sentiment among analysts.
 **Economic Outlook:**  
 The broader macroeconomic environment presents mixed implications for WEC Energy Group. The recent imposition of tariffs and inflationary pressures could increase costs for utilities, particularly if energy prices rise due to global supply chain disruptions. However, as a regulated utility, WEC Energy Group benefits from predictable revenue streams and may pass on higher costs to consumers through rate adjustments. The company's low beta also positions it as a defensive play in a volatile market, which could attract investors seeking stability amid economic uncertainty.
 **Conclusion:**  
 WEC Energy Group remains a stable, income-generating utility with a strong dividend yield and low market volatility. However, its high debt levels, negative free cash flow, and declining earnings and revenue growth raise concerns about its ability to sustain long-term growth. While the stock's premium valuation reflects its defensive appeal, limited near-term upside and macroeconomic headwinds may temper investor enthusiasm.
 **Score:** 68</t>
  </si>
  <si>
    <t>**Investment Report: Wells Fargo**
 **Recent News:**  
 Wells Fargo has achieved a significant milestone with the termination of its 2022 consent order by the Consumer Financial Protection Bureau (CFPB). This order had been related to issues in automobile lending, consumer deposit accounts, and mortgage lending. The closure of this consent order marks the seventh regulatory order resolved by the bank since 2019, signaling progress in addressing its compliance and operational challenges. This development could improve investor confidence in the bank's governance and risk management practices, potentially reducing regulatory overhang and enhancing its reputation in the financial sector.
 **Financials:**  
 Wells Fargo's financial performance reflects a mixed picture. The bank's trailing price-to-earnings (PE) ratio of 50.08 and forward PE of 45.39 suggest a high valuation relative to earnings, which may indicate overvaluation compared to peers in the diversified banking industry. The firm's profit margins stand at 17.37%, which is solid but not exceptional for a major bank. Revenue growth has been stagnant, with a slight decline of 0.1% year-over-year, while earnings growth has contracted by 13.6%. These figures highlight challenges in expanding the bank's top and bottom lines.  
 The bank's dividend yield of 0.25% is notably below its five-year average of 0.23%, and its payout ratio of 11.87% suggests a conservative approach to returning capital to shareholders. However, its strong liquidity position, with a quick ratio of 2.05 and current ratio of 3.00, indicates robust short-term financial health. Additionally, Wells Fargo's return on equity (ROE) of 17.78% is a positive indicator of its ability to generate returns for shareholders.
 **Valuations:**  
 Wells Fargo's price-to-book (P/B) ratio of 8.88 is significantly higher than the industry average, suggesting the stock is trading at a premium relative to its book value. The bank's enterprise value-to-revenue ratio of 8.42 and enterprise value-to-EBITDA ratio of 32.53 further reinforce the perception of a high valuation. While analyst sentiment remains positive, with a recommendation mean of 1.67 (indicating a "buy"), the high valuation metrics may limit upside potential in the near term.
 **Economic Outlook:**  
 The broader economic environment presents both opportunities and risks for Wells Fargo. The recent imposition of tariffs by the U.S. government could lead to inflationary pressures, potentially impacting consumer and business lending demand. Additionally, the ongoing volatility in the financial markets, particularly in the technology sector, may create challenges for the bank's investment and wealth management divisions. However, the resolution of regulatory issues, such as the termination of the CFPB consent order, positions Wells Fargo to focus on growth and operational efficiency.  
 The bank's exposure to interest rate movements will also be a key factor, as the Federal Reserve's stance on inflation and interest rates could influence its net interest margin. While the economic outlook remains uncertain, Wells Fargo's strong liquidity and capital position provide a buffer against potential macroeconomic headwinds.
 **Conclusion:**  
 Wells Fargo's progress in resolving regulatory issues is a positive development, but its high valuation, stagnant revenue growth, and broader economic uncertainties temper the near-term outlook. While the bank's financial health and operational improvements are commendable, the current market environment and valuation metrics suggest limited upside potential over the next month.
 **Score:** 65</t>
  </si>
  <si>
    <t>**Investment Report: Williams Companies (WMB)**
 **Recent News:**  
 Williams Companies, a leader in natural gas pipeline infrastructure, continues to solidify its reputation as a reliable income investment. The company has increased its dividend payout by 5.3% for 2025, reflecting its commitment to returning value to shareholders. Additionally, the reinstatement of the Transco Pipeline's REA expansion project by the Federal Energy Regulatory Commission (FERC) is a significant development. This project ensures the delivery of natural gas to over 4.4 million customers in the Northeast, reinforcing Williams' strategic importance in the energy infrastructure sector. Furthermore, the company's strong track record of earnings surprises suggests operational efficiency and potential for continued outperformance in upcoming earnings reports.
 **Financials:**  
 Williams Companies exhibits a stable financial profile with a market capitalization of $33.3 billion and a dividend yield of 1.07%, supported by a payout ratio of 33.14%. The company has a forward price-to-earnings (P/E) ratio of 18.64, indicating moderate valuation relative to its earnings potential. Despite a challenging macroeconomic environment, Williams has demonstrated revenue growth of 5.7% year-over-year, with total revenue reaching $9.8 billion. Its EBITDA margin of 26.31% and gross margin of 45.28% highlight strong operational efficiency. However, the company reported a net loss of $722 million in the most recent fiscal year, resulting in negative trailing earnings per share (EPS) of -$7.22. This loss is a concern, though forward EPS of $18.09 suggests a potential turnaround.
 Williams maintains a high debt-to-equity ratio of 79.12%, reflecting significant leverage, which is common in the capital-intensive energy infrastructure industry. The company's free cash flow of $1.03 billion and operating cash flow of $1.44 billion provide some reassurance regarding its ability to service debt and fund operations. Institutional ownership remains robust at 94.79%, indicating strong confidence from large investors.
 **Valuations:**  
 The stock is trading near its 52-week high of $334.99, with a price-to-book ratio of 4.45, suggesting it may be slightly overvalued relative to its book value. Analysts have a median price target of $366.50, implying potential upside from current levels. The recommendation mean of 2.05 (on a scale where 1 is a strong buy and 5 is a sell) indicates a generally favorable outlook among analysts. However, the company's enterprise value-to-EBITDA ratio of 14.72 is on the higher side, reflecting a premium valuation compared to peers in the sector.
 **Economic Outlook:**  
 The broader macroeconomic environment presents both challenges and opportunities for Williams Companies. The recent imposition of tariffs by the U.S. administration could increase costs for energy infrastructure projects, while sanctions on Russia's energy sector may create opportunities for U.S. natural gas exporters. Williams' strategic position in the natural gas supply chain positions it to benefit from increased demand for domestic energy infrastructure. However, inflationary pressures and rising interest rates could weigh on the company's cost structure and financing expenses.
 The reinstatement of the Transco Pipeline expansion project is a positive development, as it enhances Williams' ability to meet growing natural gas demand in the Northeast. This aligns with the broader trend of increasing reliance on natural gas as a transitional energy source in the shift toward cleaner energy solutions.
 **Conclusion:**  
 Williams Companies is a well-established player in the natural gas infrastructure sector, with a strong dividend history and strategic growth initiatives. While the company faces challenges such as high leverage and recent net losses, its operational efficiency, cash flow generation, and favorable industry positioning provide a solid foundation for long-term growth. The reinstatement of the Transco Pipeline project and the company's ability to consistently exceed earnings expectations further bolster its investment appeal. However, its current valuation and macroeconomic headwinds warrant cautious optimism in the near term.
 **Score:** 78</t>
  </si>
  <si>
    <t>**Investment Report: W. R. Berkley Corporation**
 **Recent News:**  
 W. R. Berkley Corporation, a prominent player in the U.S. commercial insurance sector, has reported strong fourth-quarter earnings, driven by favorable operating conditions. The company has benefited from higher interest rates, which have bolstered investment income, and a positive insurance cycle, which has supported underwriting profitability. These factors have contributed to the company's premium valuation, with its price-to-book ratio significantly exceeding its historical average. This reflects investor confidence in the firm's ability to sustain its strong performance in the current environment.
 **Financials:**  
 W. R. Berkley demonstrates robust financial health, with a market capitalization of $50.98 billion and a trailing price-to-earnings (P/E) ratio of 27.06. The company's forward P/E ratio of 23.14 suggests expectations of continued earnings growth. Its return on equity (ROE) of 52.61% is particularly impressive, indicating efficient use of shareholder capital. The firm has maintained a solid dividend payout ratio of 21.19%, with a dividend yield of 0.73%, though this is below its five-year average of 1.25%. Additionally, the company has a strong operating cash flow of $2.29 billion and free cash flow of $1.55 billion, providing ample liquidity to support operations and potential growth initiatives.
 However, the company's debt-to-equity ratio of 83.33% indicates a relatively high level of leverage, which could pose risks in a rising interest rate environment. Despite this, its current ratio of 2.60 and quick ratio of 1.59 suggest sufficient short-term liquidity to meet obligations.
 **Valuations:**  
 W. R. Berkley's price-to-book ratio of 14.55 is significantly above the industry average, reflecting its premium valuation. While this indicates strong investor confidence, it also suggests limited upside potential unless the company continues to outperform expectations. The firm's enterprise value-to-revenue ratio of 3.36 and enterprise value-to-EBITDA ratio of 20.08 further highlight its relatively high valuation compared to peers. Analysts' target prices range from $660 to $1,283, with a median target of $1,100, indicating mixed sentiment about the stock's near-term potential.
 **Economic Outlook:**  
 The broader macroeconomic environment presents both opportunities and challenges for W. R. Berkley. Higher interest rates have been a tailwind for the company's investment income, but the potential for prolonged inflationary pressures and trade tensions could impact the broader economy and insurance demand. Additionally, the recent California wildfires, with estimated damages of $250-275 billion, underscore the importance of effective risk management in the property and casualty insurance sector. While such events may lead to higher claims in the short term, they also provide opportunities for premium adjustments and market share gains over the long term.
 **Conclusion:**  
 W. R. Berkley is well-positioned to navigate the current economic landscape, supported by strong profitability, favorable operating conditions, and prudent financial management. However, its premium valuation and high leverage warrant caution, particularly in a volatile macroeconomic environment. The company's ability to sustain earnings growth and manage risks effectively will be critical to maintaining investor confidence.
 **Score:** 78</t>
  </si>
  <si>
    <t>**Investment Report: Willis Towers Watson**
 **Recent News:**  
 Willis Towers Watson has not been in the spotlight recently, with no significant news or developments reported in the past week. This lack of news suggests stability in operations but also indicates no immediate catalysts for significant market movement.
 **Financials:**  
 Willis Towers Watson's financial performance reflects a mixed picture. The firm’s trailing price-to-earnings (PE) ratio of 10.03 suggests it is undervalued compared to the broader market, while the forward PE of 16.69 indicates expectations of slower earnings growth. The company’s dividend yield of 1.15% is below its five-year average of 2.28%, which may not appeal to income-focused investors. However, the low payout ratio of 12% suggests ample room for dividend growth or reinvestment in the business.
 The firm’s beta of 1.802 indicates higher volatility compared to the market, which could lead to significant price swings in the current uncertain macroeconomic environment. The company’s profit margins of 13.37% and gross margins of 69.08% are strong, reflecting operational efficiency. However, the negative free cash flow of -$627 million raises concerns about liquidity and the ability to fund operations or growth without relying on external financing.
 The balance sheet shows a total debt of $13.4 billion against cash reserves of $2.4 billion, resulting in a high enterprise value-to-revenue ratio of 2.71. This leverage could pose risks in a rising interest rate environment, especially if revenue growth remains modest at 1.3%.
 **Valuations:**  
 The stock is trading near its 52-week low of $71.63, significantly below its 52-week high of $110.38. This decline, coupled with a 13.2% drop over the past year, underperforms the S&amp;P 500, which has gained 21.9% over the same period. Analysts remain optimistic, with a mean target price of $113.34, representing a potential upside of over 30% from current levels. The recommendation mean of 1.53 (indicating a "buy") reflects confidence in the stock’s long-term potential.
 **Economic Outlook:**  
 The broader economic environment presents challenges for Willis Towers Watson. The recent imposition of tariffs by the U.S. administration could increase costs for clients in various industries, potentially impacting demand for the firm’s insurance brokerage and risk management services. Additionally, inflationary pressures and rising interest rates may weigh on corporate budgets, further dampening growth prospects.
 The global technology sector's recent downturn, while not directly related to Willis Towers Watson, could indirectly affect the firm if clients in the tech industry reduce spending on insurance and consulting services. However, the company’s diversified client base across industries may help mitigate these risks.
 **Conclusion:**  
 Willis Towers Watson’s strong margins and undervalued PE ratio suggest potential for long-term growth, but concerns about cash flow, high leverage, and modest revenue growth temper enthusiasm. The stock’s recent underperformance and proximity to its 52-week low may attract value investors, but macroeconomic headwinds and sector-specific risks warrant caution in the near term.
 **Score:** 65</t>
  </si>
  <si>
    <t>**Investment Report: Weyerhaeuser (WY)**
 **Recent News:**  
 Weyerhaeuser's fourth-quarter earnings exceeded expectations, reporting $0.11 per share against the consensus estimate of $0.07. However, this marked a decline from $0.16 per share in the same quarter last year. The revenue shortfall, attributed to lower fee harvest volumes in the West and reduced export volumes, has weighed on investor sentiment, leading to a decline in the stock price. Over the past decade, Weyerhaeuser's total returns have underperformed, reflecting the cyclical nature of its business model and its reliance on dividends as a REIT. The company's Hold rating reflects these challenges, despite its diversified operations in timberlands, real estate, and wood products.
 **Financials:**  
 Weyerhaeuser's financial metrics reveal mixed performance. The company maintains a strong current ratio of 2.72 and a quick ratio of 2.22, indicating solid short-term liquidity. However, its debt-to-equity ratio of 52.15 suggests a relatively high leverage level. The trailing price-to-earnings (P/E) ratio of 89.41 and forward P/E of 75.27 indicate a premium valuation, which may not be justified given its modest earnings growth. The dividend yield of 1.96% is below its five-year average of 3.4%, reflecting a reduced income appeal for dividend-focused investors. Additionally, the company's return on equity (ROE) of 3.42% and return on assets (ROA) of 1.85% highlight limited efficiency in generating returns from its assets and equity base.
 **Valuations:**  
 Weyerhaeuser's price-to-book ratio of 2.86 suggests the stock is trading at a significant premium relative to its book value. The enterprise value-to-revenue ratio of 13.34 and enterprise value-to-EBITDA ratio of 34.39 further indicate a high valuation compared to its earnings and revenue generation. While analysts maintain a generally positive outlook with a mean price target of $148.47, the stock's current valuation metrics may limit its near-term upside potential, especially in a challenging macroeconomic environment.
 **Economic Outlook:**  
 The broader economic environment poses headwinds for Weyerhaeuser. The recent implementation of tariffs by the U.S. administration could disrupt supply chains and increase costs for industries reliant on timber and wood products. Additionally, inflationary pressures and potential Federal Reserve tightening may dampen housing and construction activity, key drivers of demand for Weyerhaeuser's products. The company's exposure to cyclical markets and reliance on export volumes further heighten its vulnerability to global trade uncertainties and economic slowdowns.
 **Conclusion:**  
 Weyerhaeuser faces a challenging near-term outlook due to its cyclical business model, high valuation metrics, and macroeconomic headwinds. While its liquidity position remains strong, the company's earnings growth and revenue performance are under pressure. The broader economic environment, including trade tensions and inflationary risks, adds further uncertainty to its prospects. These factors suggest limited potential for significant upside in the next month.
 **Score:** 45</t>
  </si>
  <si>
    <t>**Investment Report: Wynn Resorts**
 **Recent News:**  
 Wynn Resorts has not been featured in any significant news over the past week. This absence of news suggests stability in the company's operations, but it also indicates a lack of recent catalysts that could drive short-term investor sentiment. The broader macroeconomic environment, including inflationary pressures and trade tensions, may indirectly influence the company's performance, particularly in its international operations and tourism-dependent revenue streams.
 **Financials:**  
 Wynn Resorts' financial performance reflects a mixed picture. The company has a trailing price-to-earnings (PE) ratio of 23.81 and a forward PE of 27.32, indicating that the stock is trading at a premium relative to its earnings. The dividend yield of 3.61% is attractive, though the payout ratio of 79.34% suggests limited room for dividend growth without significant earnings expansion. Wynn's profit margins are strong at 27.75%, supported by robust gross margins of 60.69% and EBITDA margins of 56.57%. However, the company's high debt-to-equity ratio of 182.37% raises concerns about its leverage, particularly in a rising interest rate environment. The quick ratio of 0.41 and current ratio of 0.57 indicate potential liquidity challenges, though the company generates healthy operating cash flow of $5.57 billion.
 **Valuations:**  
 Wynn Resorts' stock is trading near its 52-week high of $61.46, with a current price-to-book ratio of 5.53, suggesting that the stock may be overvalued relative to its book value. The enterprise value-to-EBITDA ratio of 16.60 further supports the view that the stock is priced at a premium. Analysts have a median target price of $57.00, which is close to the current trading range, indicating limited upside potential in the near term. The stock's beta of 1.06 suggests moderate volatility, aligning with broader market movements.
 **Economic Outlook:**  
 The macroeconomic environment presents both opportunities and risks for Wynn Resorts. The ongoing recovery in global travel and tourism could benefit the company's casino and resort operations, particularly in key markets like Macau and Las Vegas. However, the recent implementation of tariffs and trade tensions could dampen consumer spending and international travel, potentially impacting revenue growth. Additionally, inflationary pressures and rising interest rates may increase operational costs and debt servicing expenses, further weighing on profitability.
 **Conclusion:**  
 Wynn Resorts demonstrates strong profitability and cash flow generation, but its high leverage and premium valuation pose risks, particularly in the current macroeconomic climate. While the company is well-positioned to benefit from a recovery in global tourism, external economic pressures and limited near-term upside potential may constrain its performance over the next month.
 **Score:** 65</t>
  </si>
  <si>
    <t>**Investment Report: Xcel Energy (XEL)**
 **Recent News:**  
 Xcel Energy is poised to release its Q4 2024 earnings, with analysts projecting growth driven by customer expansion and new natural gas rate adjustments. The company is expected to outperform earnings estimates, supported by its strong operational fundamentals and favorable market conditions. Analysts highlight Xcel's combination of customer growth and strategic pricing as key drivers for its anticipated earnings beat. This optimism reflects confidence in the utility's ability to navigate current economic challenges while maintaining steady performance.
 **Financials:**  
 Xcel Energy's financial metrics reveal a mixed picture. The company has a market capitalization of $69.1 billion and a trailing price-to-earnings (P/E) ratio of 42.73, which is relatively high compared to the broader utilities sector. Its forward P/E ratio of 31.02 suggests expectations of earnings growth, aligning with the projected Q4 performance. The firm has demonstrated robust earnings growth of 67.1% year-over-year and revenue growth of 16.7%, indicating strong operational momentum. However, its price-to-book ratio of 8.48 and enterprise value-to-EBITDA ratio of 106.28 suggest a premium valuation, which may limit upside potential in the near term.
 Xcel's profitability metrics are solid, with a return on equity (ROE) of 21.08% and profit margins of 19.6%, reflecting efficient management and strong earnings generation. The company also maintains a healthy balance sheet, with a current ratio of 2.04 and a quick ratio of 1.93, indicating strong liquidity. However, its debt-to-equity ratio of 40.31% highlights moderate leverage, which could pose risks in a rising interest rate environment.
 **Valuations:**  
 Xcel Energy's stock has experienced a 9.2% decline over the past year, underperforming the S&amp;P 500's 21.9% gain. Despite this, the stock remains near its 50-day moving average of $261.66, suggesting relative stability. Analyst price targets range from $242 to $350, with a median target of $300, implying potential upside from current levels. The recommendation mean of 1.83 (on a scale where 1.0 is a strong buy) indicates a generally favorable outlook among analysts.
 **Economic Outlook:**  
 The broader macroeconomic environment presents both opportunities and challenges for Xcel Energy. The recent imposition of tariffs and trade tensions could increase input costs for utilities, while inflationary pressures may impact consumer demand. However, Xcel's focus on natural gas and renewable energy positions it well to benefit from the ongoing energy transition and regulatory support for cleaner energy sources. Additionally, its strong customer base and rate adjustments provide a buffer against economic headwinds.
 **Conclusion:**  
 Xcel Energy's strong earnings growth, solid profitability, and strategic positioning in the utilities sector make it a resilient player in a challenging economic environment. However, its premium valuation and exposure to macroeconomic risks warrant caution. The upcoming Q4 earnings report will be a critical indicator of the company's ability to sustain its growth trajectory and justify its valuation.
 **Score:** 78</t>
  </si>
  <si>
    <t>**Investment Report: ExxonMobil**
 **Recent News:**  
 ExxonMobil is actively diversifying its operations, entering the electricity sector with plans to build gas power plants equipped with carbon capture technology. This move positions the company as a competitor to nuclear energy, aligning with its broader strategy to invest in low-carbon solutions. Additionally, ExxonMobil is expanding its oil production in Guyana, targeting 2.3 million barrels per day by 2030, and has initiated a natural gas exploration project offshore Cyprus. These developments underscore the company's focus on both traditional energy production and emerging technologies. Despite lower oil prices and weaker refining margins in 2024, ExxonMobil achieved its highest production levels in over a decade, driven by strong output from the Permian Basin and Guyana. The company continues to prioritize shareholder returns through dividends and share buybacks, although some analysts have raised concerns about its valuation and free cash flow yield.
 **Financials:**  
 ExxonMobil's financial performance remains robust, with Q4 earnings exceeding expectations at $1.67 per share. The company reported a trailing price-to-earnings (P/E) ratio of 13.66 and a forward P/E of 12.09, suggesting moderate valuation levels relative to its earnings potential. Its dividend yield of 3.61% is below its five-year average of 4.98%, reflecting a higher stock price. ExxonMobil's balance sheet is solid, with a manageable debt-to-equity ratio of 15.39 and a current ratio of 1.35, indicating strong liquidity. However, earnings and revenue growth have faced slight declines, with earnings growth at -14.7% and revenue growth at -1.5% year-over-year. The company's free cash flow of $28.8 billion and operating cash flow of $56.5 billion provide ample resources for continued investments and shareholder returns.
 **Valuations:**  
 ExxonMobil's stock is trading at a price-to-book ratio of 1.75, which is reasonable for the integrated oil and gas industry. Its enterprise value-to-EBITDA ratio of 7.06 suggests the company is fairly valued compared to peers. Analysts have a median price target of $129, representing potential upside from the current price of approximately $107. However, the stock's 52-week performance (+4.48%) has lagged behind the S&amp;P 500's gain of 21.93%, reflecting broader market challenges for the energy sector. While ExxonMobil's profitability metrics, such as return on equity (14.51%) and return on assets (7.08%), remain strong, its trailing PEG ratio of 4.10 indicates limited growth prospects relative to its valuation.
 **Economic Outlook:**  
 ExxonMobil's outlook is influenced by macroeconomic factors, including volatile oil prices, geopolitical risks, and inflationary pressures. The recent imposition of tariffs by the U.S. government could disrupt global trade and supply chains, potentially impacting energy demand. Additionally, the company's focus on carbon capture and low-carbon technologies aligns with global trends toward decarbonization, positioning it to benefit from long-term shifts in energy policy. However, near-term challenges, such as weaker refining margins and potential trade tensions, may weigh on performance. The company's strategic investments in Guyana, LNG, and carbon capture projects aim to drive production growth and mitigate risks associated with fluctuating oil prices.
 **Conclusion:**  
 ExxonMobil is well-positioned to navigate the evolving energy landscape, balancing traditional oil and gas production with investments in low-carbon technologies. While its financials remain strong, concerns about valuation and growth prospects may limit short-term upside. The company's focus on shareholder returns and strategic expansion efforts provide a solid foundation for long-term performance, though near-term volatility in energy markets and broader economic uncertainties could pose challenges.
 **Score:** 78</t>
  </si>
  <si>
    <t>**Investment Report: Xylem Inc. (XYL)**
 **Recent News:**  
 Xylem Inc., a leader in water technology solutions, recently reported its Q4 2024 performance, with Wall Street closely monitoring key metrics such as revenue growth, earnings growth, and profitability. The company has demonstrated resilience in a challenging macroeconomic environment, with earnings growth of 41.3% year-over-year and revenue growth of 1.3%. These figures suggest that Xylem has managed to maintain steady operations despite broader economic uncertainties, including inflationary pressures and supply chain disruptions. Analysts have maintained a positive outlook, with a consensus recommendation of "buy" and a target median price of $148.50, reflecting confidence in the company's long-term growth potential.
 **Financials:**  
 Xylem's financial health remains robust, supported by a market capitalization of $29.83 billion and a manageable debt-to-equity ratio of 19.84. The company reported total revenue of $8.42 billion, with gross margins of 36.93% and EBITDA margins of 20.05%, indicating strong operational efficiency. Its trailing price-to-earnings (P/E) ratio of 35.19 and forward P/E ratio of 26.19 suggest that the stock is trading at a premium, reflecting investor optimism about future earnings growth. Additionally, Xylem's free cash flow of $822.88 million and operating cash flow of $1.14 billion highlight its ability to generate liquidity and reinvest in growth initiatives.
 **Valuations:**  
 Xylem's valuation metrics indicate a mixed picture. While the price-to-book ratio of 2.82 and enterprise value-to-revenue ratio of 3.68 are reasonable for its industry, the trailing PEG ratio of 2.33 suggests that the stock may be slightly overvalued relative to its growth prospects. However, the company's strong return on equity (8.08%) and return on assets (4.43%) underscore its ability to efficiently utilize shareholder capital and assets to generate profits. The dividend yield of 1.16%, in line with its five-year average, provides an additional incentive for income-focused investors.
 **Economic Outlook:**  
 Xylem operates in the industrial machinery and water technology sector, which is poised for long-term growth due to increasing global demand for sustainable water solutions. However, the broader economic environment presents challenges. The recent imposition of tariffs by the U.S. government could increase input costs and disrupt supply chains, potentially impacting Xylem's margins. Additionally, inflationary pressures and rising interest rates may weigh on consumer and industrial spending, creating headwinds for the company's growth. Despite these challenges, Xylem's focus on innovation and its strong market position in water technology solutions position it well to capitalize on the growing emphasis on environmental sustainability and infrastructure development.
 **Conclusion:**  
 Xylem's strong financial performance, operational efficiency, and strategic positioning in the water technology sector make it a compelling player in its industry. However, macroeconomic uncertainties, including tariffs and inflation, could pose risks to its near-term performance. While the stock's valuation appears slightly elevated, its long-term growth potential and alignment with sustainability trends provide a solid foundation for future success.
 **Score:** 78</t>
  </si>
  <si>
    <t>**Investment Report: Yum! Brands**
 **Recent News:**  
 Yum! Brands is poised for a strong fourth-quarter 2024 performance, driven by robust same-store sales growth, unit expansion, and a standout performance from its KFC division. This aligns with the company's strategy of leveraging its global footprint and brand strength to sustain growth. However, the broader macroeconomic environment, including inflationary pressures and potential trade disruptions, could pose challenges to consumer spending and supply chain stability, which may impact the restaurant industry.
 **Financials:**  
 Yum! Brands exhibits solid financial metrics, with a market capitalization of $36.7 billion and a dividend yield of 2.05%, above its five-year average of 1.83%. The company maintains a forward P/E ratio of 22.01, indicating moderate valuation relative to its growth prospects. Despite a slight decline in earnings growth (-7.5%) and quarterly earnings growth (-8.2%), revenue growth of 6.9% reflects resilience in its operations. The company’s EBITDA margin of 36.1% and operating margin of 34.4% highlight strong profitability. However, Yum! carries significant debt at $12.06 billion, which could be a concern in a rising interest rate environment. Its free cash flow of $1.16 billion provides some cushion for operational flexibility and shareholder returns.
 **Valuations:**  
 Yum! Brands trades at a trailing P/E of 24.58, which is slightly elevated compared to the broader market, reflecting investor confidence in its brand strength and global presence. The enterprise value-to-revenue ratio of 6.68 and enterprise value-to-EBITDA ratio of 18.49 suggest a premium valuation, which may limit upside potential in the short term. Analyst sentiment is mixed, with a recommendation mean of 2.59 (hold) and a target median price of $140, indicating limited near-term price appreciation from its current level of $130.5.
 **Economic Outlook:**  
 The restaurant industry faces headwinds from inflationary pressures and potential disruptions from new tariffs imposed by the U.S. administration. Rising input costs and potential supply chain challenges could weigh on margins. However, Yum!'s global diversification and strong brand portfolio may help mitigate some of these risks. The company's focus on unit expansion and digital transformation, particularly in emerging markets, positions it well for long-term growth. Additionally, the resilience of its KFC brand could provide a buffer against economic uncertainties.
 **Conclusion:**  
 Yum! Brands demonstrates strong operational performance and profitability, supported by its global footprint and iconic brands. However, macroeconomic challenges, including inflation and trade tensions, could weigh on near-term performance. While the company’s valuation appears stretched, its dividend yield and cash flow generation provide some appeal for income-focused investors. The mixed analyst sentiment and broader market volatility suggest a cautious outlook for the next month.
 **Score:** 65</t>
  </si>
  <si>
    <t>**Investment Report: Zimmer Biomet Holdings (Health Care Equipment Industry)**
 **Recent News:**  
 Zimmer Biomet has not been in the news over the past week, indicating a period of operational stability. The absence of significant developments suggests the company is not currently facing any major disruptions or catalysts, allowing investors to focus on its financial performance and industry trends.
 **Financials:**  
 Zimmer Biomet's financial metrics reflect a solid position within the health care equipment industry. The company has a market capitalization of $77.57 billion and a trailing price-to-earnings (P/E) ratio of 32.38, which is relatively high but consistent with the premium valuation often seen in the health care sector. Its forward P/E of 27.01 suggests expectations of earnings growth. The firm has demonstrated strong profitability, with a profit margin of 26.55% and gross margins of 70.09%, indicating efficient cost management and pricing power.  
 Zimmer Biomet's revenue growth of 11% year-over-year and earnings growth of 16.3% highlight its ability to expand both its top and bottom lines. The company also maintains a healthy balance sheet, with a current ratio of 3.69 and a quick ratio of 1.84, reflecting strong liquidity. However, its debt-to-equity ratio of 129.44% indicates a significant reliance on debt financing, which could pose risks in a rising interest rate environment.  
 The company’s dividend yield of 1.17% is modest but sustainable, with a payout ratio of 31.41%. This aligns with its historical five-year average dividend yield of 0.7%, suggesting a consistent approach to returning value to shareholders.
 **Valuations:**  
 Zimmer Biomet's valuation metrics indicate a mixed picture. Its price-to-book ratio of 14.83 is elevated, reflecting a premium valuation relative to its book value. The enterprise value-to-revenue ratio of 9.03 and enterprise value-to-EBITDA ratio of 21.95 suggest the company is trading at a high multiple compared to its earnings and revenue. Analysts remain optimistic, with a mean target price of $209.36, representing a potential upside of approximately 22% from its current price. The recommendation mean of 1.75 (on a scale where 1.0 is a strong buy) underscores positive sentiment among analysts.
 **Economic Outlook:**  
 The broader macroeconomic environment presents both opportunities and challenges for Zimmer Biomet. The health care sector is generally resilient to economic downturns, providing a defensive characteristic to the company’s stock. However, the recent implementation of tariffs and inflationary pressures could increase costs for medical equipment manufacturers, potentially impacting margins. Additionally, the ongoing volatility in the stock market, particularly in the technology and broader indices, may weigh on investor sentiment across sectors.  
 Zimmer Biomet's beta of 0.896 indicates lower volatility compared to the broader market, which could make it an attractive option in uncertain economic conditions. The company’s strong cash flow generation, with free cash flow of $1.87 billion, provides a buffer against potential economic headwinds and supports its ability to invest in growth initiatives.
 **Conclusion:**  
 Zimmer Biomet is well-positioned within the health care equipment industry, with strong profitability, consistent revenue growth, and a robust balance sheet. While its valuation metrics suggest a premium, this is supported by its solid fundamentals and growth prospects. The broader economic environment, including inflationary pressures and trade tensions, could pose challenges, but the company’s defensive characteristics and strong cash flow generation provide resilience.
 **Score:** 78</t>
  </si>
  <si>
    <t>**Investment Report: Zebra Technologies Corporation**
 **Recent News:**  
 Zebra Technologies has been navigating a period of operational adjustments, including inventory reductions and the launch of AI-powered software. While these initiatives demonstrate a focus on innovation and efficiency, concerns remain about the sustainability of its growth trajectory. The company's 2024 cash flow gains appear to be driven largely by one-off working capital changes, raising questions about the durability of these improvements. Additionally, the valuation at 22x forward free cash flow suggests a premium pricing that may not align with its erratic growth patterns.
 **Financials:**  
 Zebra Technologies' financial metrics present a mixed picture. The company has a trailing P/E ratio of 52.39 and a forward P/E of 24.13, indicating expectations of significant earnings growth. However, its price-to-book ratio of 5.82 and enterprise value-to-EBITDA ratio of 26.91 suggest a high valuation relative to its fundamentals. The firm has a solid revenue growth rate of 31.3% year-over-year, supported by gross margins of 47.53% and operating margins of 15.62%. Free cash flow stands at $666.75 million, reflecting strong cash generation, but the quick ratio of 0.89 and debt-to-equity ratio of 69.31% highlight potential liquidity and leverage concerns.
 **Valuations:**  
 Zebra's market capitalization of $19.91 billion and enterprise value of $21.61 billion position it as a significant player in the Electronic Equipment &amp; Instruments industry. However, its valuation metrics, including a price-to-sales ratio of 4.28, suggest that the stock is priced for perfection. Analysts' target prices range from $365 to $468, with a median target of $430, indicating limited upside from current levels. The recommendation mean of 2.11 (between "Buy" and "Hold") reflects cautious optimism among analysts.
 **Economic Outlook:**  
 The broader economic environment poses challenges for Zebra Technologies. The recent imposition of tariffs by the U.S. government and the global tech market's volatility, exacerbated by competition from Chinese AI advancements, could weigh on the company's performance. Additionally, inflationary pressures and potential trade disruptions may impact supply chains and input costs. Zebra's reliance on innovation and operational improvements will be critical in navigating these headwinds.
 **Conclusion:**  
 Zebra Technologies is a well-established company with strong revenue growth and a focus on innovation. However, its high valuation, reliance on one-off cash flow improvements, and exposure to macroeconomic risks warrant caution. While the company's operational improvements and AI initiatives are promising, the sustainability of its growth remains uncertain in the face of broader economic challenges.
 **Score:** 65</t>
  </si>
  <si>
    <t>Sector Investment Report:
 The health care technology sector is currently navigating a complex landscape shaped by macroeconomic and geopolitical factors. The recent implementation of tariffs by the Trump administration, particularly those affecting imports from China, could have indirect implications for the sector. While health care technology companies may not be directly impacted by these tariffs, the broader economic environment, characterized by rising inflation and potential trade tensions, could influence investment decisions and market sentiment. Additionally, the global technology market's recent volatility, highlighted by the significant drop in Nvidia's market value, underscores the potential for rapid shifts in investor confidence, which could spill over into related sectors, including health care technology.
 Despite these challenges, the health care technology sector remains poised for growth, driven by ongoing advancements in medical technology and increasing demand for innovative health care solutions. The sector's resilience is supported by a strong focus on research and development, as well as the growing adoption of digital health tools and telemedicine. As the world continues to grapple with health care challenges, such as aging populations and the need for efficient health care delivery, the sector is well-positioned to capitalize on these trends. However, investors should remain cautious of the broader economic uncertainties and potential regulatory changes that could impact the sector's performance in the near term.
 Score: 75</t>
  </si>
  <si>
    <t>Sector Investment Report:
 The health care equipment and supplies sector is currently navigating a complex economic landscape, influenced by broader macroeconomic factors and recent geopolitical developments. While the sector is traditionally seen as a defensive play, offering stability during economic downturns, the recent implementation of tariffs by the Trump administration could have indirect effects on the supply chain and cost structures within the industry. The tariffs on imports from key trading partners such as China, Canada, and Mexico may lead to increased costs for raw materials and components used in the manufacturing of medical devices and supplies. This inflationary pressure could potentially squeeze profit margins for companies within the sector, although the essential nature of health care products may allow for some cost pass-through to consumers.
 Despite these challenges, the health care equipment and supplies sector continues to benefit from strong underlying demand driven by demographic trends, such as an aging population and the increasing prevalence of chronic diseases. Additionally, technological advancements and innovation within the sector, including the development of new medical devices and diagnostic tools, provide opportunities for growth and differentiation. While the sector may face short-term headwinds due to macroeconomic factors, its long-term prospects remain positive, supported by the essential nature of health care services and the ongoing need for medical equipment and supplies. Investors may need to exercise caution in the near term, but the sector's resilience and growth potential could offer attractive opportunities over the longer horizon.
 Score: 75</t>
  </si>
  <si>
    <t>Sector Investment Report:
 The Life Sciences Tools &amp; Services sector is currently navigating a complex economic landscape shaped by recent macroeconomic developments. While the sector is not directly impacted by the new tariffs imposed by the Trump administration, the broader economic environment, including rising inflationary pressures, could indirectly affect its performance. The sector's reliance on global supply chains for the procurement of specialized equipment and materials may face challenges due to potential disruptions in trade and increased costs. However, the sector's focus on innovation and the growing demand for advanced life sciences tools and services could provide a buffer against these headwinds, as the need for cutting-edge research and development remains strong.
 Despite the broader market volatility, the Life Sciences Tools &amp; Services sector may benefit from its relatively stable demand and the ongoing advancements in biotechnology and healthcare. The sector's resilience is further supported by the increasing emphasis on personalized medicine and the development of new diagnostic and therapeutic solutions. As the global population continues to age and healthcare needs evolve, the sector is well-positioned to capitalize on these trends. However, investors should remain cautious of potential supply chain disruptions and inflationary pressures that could impact profitability in the short to medium term. Overall, the sector's long-term growth prospects remain promising, driven by innovation and the essential nature of its offerings.
 Score: 75</t>
  </si>
  <si>
    <t>Sector Investment Report:
 The water utilities sector is generally considered a stable and defensive investment, often providing consistent returns even during periods of economic uncertainty. In the current macroeconomic environment, characterized by significant volatility due to new tariffs and trade tensions, the water utilities sector may offer a degree of resilience. The sector's essential nature ensures a steady demand for its services, which can help mitigate the impact of broader economic fluctuations. Additionally, the ongoing recovery efforts from natural disasters, such as the recent wildfires in California, may lead to increased demand for water utility services, further supporting the sector's stability.
 However, the sector is not entirely immune to the challenges posed by the recent economic developments. Inflationary pressures resulting from the new tariffs could lead to increased operational costs for water utilities, potentially impacting their profitability. Moreover, any disruptions in supply chains could affect the sector's ability to maintain and upgrade infrastructure, which is crucial for ensuring reliable service delivery. Despite these challenges, the water utilities sector's fundamental stability and essential nature make it a relatively attractive investment option in the current uncertain economic climate.
 Score: 75</t>
  </si>
  <si>
    <t>Sector Investment Report:
 The Independent Power and Renewable Electricity Producers sector is currently navigating a complex economic landscape influenced by recent geopolitical and environmental developments. The imposition of new tariffs by the Trump administration, particularly on imports from Canada, Mexico, and China, could have indirect effects on the sector by increasing the cost of imported components and materials essential for renewable energy projects. Additionally, the ongoing wildfires in Southern California, which have caused extensive damage and economic losses, highlight the urgent need for resilient and sustainable energy solutions. This could drive increased investment and policy support for renewable energy infrastructure, potentially benefiting the sector in the long term.
 Despite these challenges, the sector remains well-positioned to capitalize on the global shift towards cleaner energy sources. The expansion of the Schengen Area and the successful launch of Blue Origin's New Glenn heavy-lift vehicle indicate a broader trend of international cooperation and technological advancement, which could facilitate cross-border renewable energy projects and innovation. Furthermore, the recent legalization of same-sex marriage in countries like Liechtenstein and Thailand reflects a growing global emphasis on progressive policies, which may extend to environmental and energy initiatives. Overall, while the sector faces short-term uncertainties due to trade tensions and economic headwinds, its long-term growth prospects remain promising as the world continues to prioritize sustainable energy solutions.
 Score: 75</t>
  </si>
  <si>
    <t>Sector Investment Report:
 The health care real estate investment trusts (REITs) sector is currently navigating a complex economic landscape influenced by broader macroeconomic factors. The recent implementation of tariffs by the Trump administration has introduced inflationary pressures that could indirectly affect the health care REITs sector. Rising costs for construction materials and labor, driven by these tariffs, may impact the development and maintenance of health care facilities. Additionally, the potential for increased interest rates, as suggested by the Federal Reserve's more hawkish stance, could raise borrowing costs for REITs, affecting their ability to finance new projects or refinance existing debt. However, the sector's inherent stability, driven by the consistent demand for health care services, may provide some resilience against these economic headwinds.
 Despite these challenges, the health care REITs sector continues to benefit from favorable demographic trends, such as an aging population and increased demand for health care services. These factors support the long-term growth prospects of the sector, as health care facilities remain essential infrastructure. Furthermore, the sector's focus on specialized properties, such as senior housing, medical office buildings, and skilled nursing facilities, positions it well to capitalize on the growing need for health care services. While the current economic environment presents challenges, the sector's defensive characteristics and strong demand fundamentals may help mitigate some of the risks associated with the broader market volatility.
 Score: 70</t>
  </si>
  <si>
    <t>Sector Investment Report:
 The aerospace and defense sector is currently navigating a complex landscape shaped by both technological advancements and geopolitical developments. The recent successful launch of Blue Origin's New Glenn heavy-lift vehicle marks a significant milestone in the private space sector, highlighting the potential for growth and innovation within aerospace. This achievement underscores the sector's capacity to drive technological progress and capture new market opportunities, particularly in the realm of space exploration and satellite deployment. However, the broader economic environment, characterized by trade tensions and inflationary pressures, poses challenges that could impact the sector's growth trajectory. The imposition of new tariffs by the Trump administration, particularly those affecting key trading partners such as Canada, Mexico, and China, may lead to increased costs and supply chain disruptions for aerospace and defense companies reliant on international trade.
 Geopolitical factors also play a crucial role in shaping the outlook for the aerospace and defense sector. The ongoing constitutional crisis in South Korea and the recent sanctions targeting Russia's energy sector could lead to shifts in defense spending and strategic priorities among nations. These developments may drive demand for defense capabilities and technologies, potentially benefiting companies within the sector. However, the sector must also contend with the potential for increased regulatory scrutiny and the impact of broader market volatility, as evidenced by the recent tech market crash. Overall, while the aerospace and defense sector holds promise for innovation and growth, it must navigate a challenging environment marked by geopolitical uncertainties and economic headwinds.
 Score: 70</t>
  </si>
  <si>
    <t>Sector Investment Report:
 The Health Care Providers &amp; Services sector is currently navigating a complex landscape shaped by both macroeconomic and industry-specific factors. The recent implementation of tariffs by the Trump administration has introduced inflationary pressures that could impact the cost structures of health care providers, particularly those reliant on imported medical equipment and supplies. Additionally, the ongoing recovery efforts from the Southern California wildfires may place additional demands on health care services in the affected regions, potentially straining resources and impacting operational efficiency. However, the sector's inherent resilience, driven by consistent demand for health care services, may help mitigate some of these challenges.
 Despite the broader economic headwinds, the Health Care Providers &amp; Services sector continues to benefit from favorable demographic trends, including an aging population and increasing demand for health care services. The sector's ability to adapt to regulatory changes and leverage technological advancements, such as telemedicine and digital health solutions, may provide opportunities for growth and innovation. However, the potential for increased regulatory scrutiny and changes in health care policy under the current administration could introduce additional uncertainties. Overall, while the sector faces near-term challenges, its long-term growth prospects remain supported by fundamental demand drivers.
 Score: 65</t>
  </si>
  <si>
    <t>Sector Investment Report:
 The beverage sector is currently navigating a complex economic landscape influenced by recent macroeconomic developments. The implementation of new tariffs by the Trump administration, particularly those affecting imports from Canada and Mexico, could have a ripple effect on the beverage industry. These tariffs may lead to increased costs for raw materials and packaging, potentially squeezing profit margins for beverage companies. Additionally, the inflationary pressures resulting from these tariffs could impact consumer spending, leading to a potential decrease in demand for non-essential beverage products. However, the sector's resilience and ability to adapt to changing market conditions may mitigate some of these challenges.
 Despite the headwinds, the beverage sector has historically demonstrated a degree of stability due to its diverse product offerings and global reach. Companies within the sector may benefit from strategic adjustments, such as optimizing supply chains and exploring new markets to offset the impact of tariffs. Furthermore, the ongoing trend towards health-conscious and sustainable products could provide growth opportunities for innovative beverage companies. While the short-term outlook may be uncertain, the sector's long-term potential remains promising, contingent on its ability to navigate the current economic environment and capitalize on emerging consumer trends.
 Score: 65</t>
  </si>
  <si>
    <t>Sector Investment Report:
 The food products sector is currently navigating a complex economic landscape influenced by recent macroeconomic developments. The implementation of new tariffs by the Trump administration, particularly those affecting imports from Canada, Mexico, and China, has the potential to disrupt supply chains and increase costs for food producers. These tariffs could lead to higher input prices, which may be passed on to consumers, potentially impacting demand. Additionally, the inflationary pressures resulting from these tariffs could further strain the sector, as consumers may become more price-sensitive, affecting overall sales volumes.
 Despite these challenges, the food products sector remains relatively resilient compared to more volatile industries such as technology. The essential nature of food products ensures a consistent demand, even in times of economic uncertainty. However, companies within the sector will need to carefully manage their supply chains and pricing strategies to mitigate the impact of rising costs. The sector's performance will largely depend on the ability of individual companies to adapt to the changing economic environment and maintain profitability amidst potential trade disruptions and inflationary pressures.
 Score: 65</t>
  </si>
  <si>
    <t>Sector Investment Report:
 The consumer staples distribution and retail sector is traditionally seen as a defensive play during times of economic uncertainty, given its focus on essential goods and services. However, the recent macroeconomic environment presents a mixed outlook for this sector. The implementation of new tariffs by the Trump administration, particularly those affecting imports from Canada, Mexico, and China, could lead to increased costs for consumer staples companies that rely on international supply chains. This inflationary pressure may result in higher prices for consumers, potentially dampening demand. Additionally, the broader economic headwinds, including potential trade wars and rising inflation, could impact consumer spending power, further challenging the sector's growth prospects.
 Despite these challenges, the consumer staples sector may benefit from its inherent stability and the essential nature of its products. As consumers prioritize necessities over discretionary spending, companies within this sector could maintain steady revenue streams. Moreover, the sector's ability to pass on increased costs to consumers, albeit gradually, may help mitigate some of the margin pressures arising from tariffs. However, the overall investment value of the sector remains contingent on the resolution of trade tensions and the broader economic environment. In the short to medium term, the sector may experience volatility as it navigates these challenges, but its defensive characteristics could provide some resilience against broader market downturns.
 Score: 65</t>
  </si>
  <si>
    <t>Sector Investment Report:
 The recent geopolitical developments, particularly the new sanctions imposed by the U.S. government on Russia's energy sector, have the potential to significantly impact the gas utilities sector. These sanctions target major Russian oil companies, which could lead to disruptions in global energy markets and affect the supply and pricing of natural gas. As a result, gas utilities may face increased costs and supply chain challenges, which could impact their profitability and operational stability. Additionally, the broader economic environment, characterized by rising inflation and potential trade tensions, may further complicate the outlook for the sector.
 Despite these challenges, the gas utilities sector may benefit from increased demand for natural gas as countries seek to diversify their energy sources and reduce reliance on Russian supplies. This shift could create opportunities for gas utilities to expand their market share and capitalize on the growing demand for alternative energy sources. However, the sector's performance will largely depend on its ability to navigate the complex geopolitical landscape and manage the potential risks associated with supply disruptions and price volatility. Overall, the gas utilities sector faces a mixed outlook, with both opportunities and challenges shaping its investment potential.
 Score: 65</t>
  </si>
  <si>
    <t>Sector Investment Report:
 The electric utilities sector is currently navigating a complex landscape shaped by recent macroeconomic and geopolitical developments. The imposition of new tariffs by the Trump administration, particularly on imports from Canada, Mexico, and China, is expected to have a ripple effect across various industries, including electric utilities. These tariffs could lead to increased costs for imported materials and components essential for infrastructure development and maintenance, potentially squeezing profit margins. Additionally, the inflationary pressures resulting from these tariffs may lead to higher operational costs, further challenging the sector's financial performance. However, the sector's inherent stability and essential nature may provide some resilience against these headwinds, as demand for electricity remains relatively inelastic.
 Moreover, the ongoing global shift towards renewable energy sources and the electrification of transportation present both opportunities and challenges for the electric utilities sector. The sector is poised to benefit from increased investments in renewable energy infrastructure and grid modernization, driven by policy initiatives and consumer demand for cleaner energy solutions. However, the recent global tech market crash, triggered by advancements in Chinese AI technology, underscores the potential for technological disruptions that could impact the sector's transition to smart grids and digital solutions. As the sector adapts to these changes, its ability to innovate and integrate new technologies will be crucial in maintaining competitiveness and capturing growth opportunities in the evolving energy landscape.
 Score: 65</t>
  </si>
  <si>
    <t>Sector Investment Report:
 The personal care products sector is currently navigating a complex economic landscape influenced by recent macroeconomic developments. The implementation of new tariffs by the Trump administration, particularly those affecting imports from China, could lead to increased costs for raw materials and packaging, which are often sourced internationally. This inflationary pressure may result in higher production costs for personal care companies, potentially squeezing profit margins. Additionally, the broader economic uncertainty and potential trade tensions could impact consumer spending patterns, as individuals may become more cautious with discretionary spending, including personal care products.
 Despite these challenges, the personal care sector has historically demonstrated resilience due to its essential nature and consistent consumer demand. Companies within this sector may focus on innovation and product differentiation to maintain market share and appeal to evolving consumer preferences. Furthermore, the growing trend towards sustainable and eco-friendly products presents opportunities for companies to capture new market segments. While the sector faces headwinds from the current economic environment, its fundamental demand drivers and adaptability could support its long-term growth prospects.
 Score: 65</t>
  </si>
  <si>
    <t>Sector Investment Report:
 The biotechnology sector is currently navigating a complex landscape shaped by recent macroeconomic and geopolitical developments. While the sector has not been directly impacted by the recent tariffs imposed by the Trump administration, the broader economic environment, characterized by rising inflationary pressures and potential trade tensions, could indirectly affect biotechnology companies. The sector's reliance on global supply chains for raw materials and components may face disruptions, leading to increased costs and potential delays in research and development activities. Additionally, the volatility in the stock market, driven by the technology sector's downturn, may influence investor sentiment towards biotechnology stocks, as investors become more risk-averse in uncertain times.
 Despite these challenges, the biotechnology sector continues to benefit from strong underlying fundamentals, including ongoing advancements in medical research and innovation. The sector's focus on developing cutting-edge therapies and treatments for various diseases remains a key driver of growth. Furthermore, the increasing demand for healthcare solutions, particularly in the wake of the COVID-19 pandemic, provides a supportive backdrop for the sector's long-term prospects. However, the current macroeconomic headwinds and market volatility may pose short-term challenges, potentially impacting the sector's performance in the near term. As such, the biotechnology sector's investment value is assessed with caution, taking into account both its growth potential and the prevailing economic uncertainties.
 Score: 65</t>
  </si>
  <si>
    <t>Sector Investment Report:
 The household products sector is traditionally considered a defensive sector, often providing stability during economic downturns due to the consistent demand for essential goods. However, the recent macroeconomic environment presents a mixed outlook for this sector. The implementation of new tariffs by the Trump administration, particularly those affecting imports from China, could lead to increased costs for raw materials and finished goods. This inflationary pressure may result in higher prices for consumers, potentially impacting sales volumes. Additionally, the broader economic uncertainty and potential trade tensions could weigh on consumer confidence, further affecting demand for non-essential household products.
 Despite these challenges, the household products sector may benefit from its inherent resilience. As consumers prioritize essential goods, companies within this sector that focus on staple items may continue to see steady demand. Furthermore, any potential easing of trade tensions or reduction in tariffs could alleviate cost pressures and support a more favorable operating environment. In the medium to long term, the sector's performance will likely depend on its ability to navigate the inflationary landscape and adapt to changing consumer preferences. Overall, while the household products sector faces headwinds, its defensive nature may provide some level of stability amidst broader market volatility.
 Score: 65</t>
  </si>
  <si>
    <t>Sector Investment Report:
 The wireless telecommunication services sector is currently navigating a complex landscape shaped by recent geopolitical and economic developments. The imposition of new tariffs by the Trump administration, particularly those affecting imports from China, could have significant implications for the sector. As wireless telecommunication services rely heavily on global supply chains for equipment and technology, the increased costs associated with tariffs may lead to higher operational expenses. This, in turn, could pressure profit margins and potentially result in higher prices for consumers. Additionally, the ongoing trade tensions and potential for retaliatory measures from trading partners add a layer of uncertainty that could impact the sector's growth prospects in the near term.
 Despite these challenges, the sector may find some resilience in the continued demand for wireless services and the ongoing rollout of 5G technology. The transition to 5G presents opportunities for growth and innovation, as it enables faster data speeds and supports the proliferation of connected devices. However, the competitive landscape is intensifying, with emerging technologies and new market entrants posing potential threats to established players. The sector's ability to adapt to these changes and manage the economic headwinds will be crucial in determining its investment value. Overall, while the wireless telecommunication services sector faces headwinds, its long-term growth potential remains contingent on navigating the current economic and geopolitical challenges effectively.
 Score: 65</t>
  </si>
  <si>
    <t>Sector Investment Report:
 The insurance sector is currently navigating a complex landscape shaped by recent macroeconomic and geopolitical developments. The ongoing wildfires in Southern California, with estimated damages between $250-275 billion, present a significant challenge for insurers operating in the region. The scale of destruction and the associated claims could strain the financial resources of insurance companies, potentially leading to increased premiums and tighter underwriting standards. Additionally, the broader economic environment, characterized by rising inflationary pressures due to new tariffs, may impact the sector's profitability. Insurers may face higher costs and increased claims as inflation affects the replacement value of insured assets and the cost of claims settlements.
 Moreover, the insurance sector must contend with the potential for increased regulatory scrutiny and changes in policyholder behavior. The recent political developments, including the implementation of new tariffs and the potential for a trade war, could lead to economic uncertainty and volatility, affecting consumer confidence and demand for insurance products. Insurers may need to adapt their strategies to address these challenges, focusing on risk management and innovation to maintain competitiveness. Despite these headwinds, the sector's long-term prospects remain tied to its ability to effectively manage risks and capitalize on emerging opportunities, such as the growing demand for cyber insurance and climate-related coverage.
 Score: 65</t>
  </si>
  <si>
    <t>Sector Investment Report:
 The pharmaceutical sector is currently navigating a complex landscape shaped by macroeconomic and geopolitical factors. While the sector is traditionally seen as a defensive play during economic downturns, the recent implementation of tariffs by the Trump administration could indirectly impact the industry. The tariffs on imports from key trading partners such as Canada, Mexico, and China may lead to increased costs for raw materials and active pharmaceutical ingredients, which are often sourced globally. This inflationary pressure could squeeze profit margins for pharmaceutical companies, particularly those heavily reliant on international supply chains. Additionally, the broader market volatility and potential trade tensions may create an uncertain environment for investment in the sector.
 Despite these challenges, the pharmaceutical sector continues to benefit from strong underlying demand driven by an aging global population and ongoing advancements in medical research and development. The sector's resilience is further supported by its critical role in addressing public health needs, which often insulates it from broader economic fluctuations. However, investors should remain cautious of potential regulatory changes and pricing pressures, particularly in the U.S. market, where healthcare policy remains a contentious issue. Overall, while the pharmaceutical sector offers long-term growth potential, the current macroeconomic environment suggests a cautious approach in the short to medium term.
 Score: 65</t>
  </si>
  <si>
    <t>Sector Investment Report:
 The transportation infrastructure sector is currently navigating a complex landscape shaped by recent macroeconomic and geopolitical developments. The imposition of new tariffs by the Trump administration, particularly on imports from Canada, Mexico, and China, is expected to have a ripple effect across various industries, including transportation infrastructure. These tariffs could lead to increased costs for materials and equipment, potentially delaying or complicating infrastructure projects. Additionally, the ongoing wildfires in Southern California, which have caused extensive damage and economic losses, may necessitate significant infrastructure rebuilding efforts, thereby creating both challenges and opportunities for the sector.
 Moreover, the global technology market crash, triggered by the emergence of DeepSeek, a Chinese AI competitor, has led to significant market volatility, which could impact investment flows into infrastructure projects. The uncertainty surrounding trade relations and the potential for a trade war may also affect the sector's outlook, as transportation infrastructure is closely tied to global supply chains and trade dynamics. However, the need for infrastructure development and repair, particularly in regions affected by natural disasters, may provide a counterbalance to these challenges, offering potential growth opportunities for companies within the sector.
 Score: 65</t>
  </si>
  <si>
    <t>Sector Investment Report:
 The Energy Equipment &amp; Services sector is currently navigating a complex landscape shaped by recent geopolitical and economic developments. The imposition of new U.S. sanctions targeting Russia's energy sector, including major oil companies like Gazprom Neft and Surgutneftegas, has the potential to disrupt global energy markets. This disruption could lead to increased demand for energy equipment and services as countries seek alternative energy sources and infrastructure to mitigate the impact of reduced Russian energy supplies. However, the sector must also contend with the broader economic challenges posed by the new tariffs imposed by the Trump administration, which could lead to increased costs for equipment and materials, potentially squeezing profit margins.
 Despite these challenges, the sector may find opportunities in the ongoing transition to renewable energy and the need for infrastructure upgrades. The global push towards cleaner energy sources and the expansion of renewable energy projects could drive demand for specialized equipment and services. Additionally, the recent wildfires in California, with their significant economic impact, underscore the importance of resilient energy infrastructure, which could further bolster demand for services in this sector. However, the sector's performance will largely depend on how effectively it can navigate the current geopolitical tensions and economic headwinds.
 Score: 65</t>
  </si>
  <si>
    <t>Sector Investment Report:
 The recent macroeconomic developments, including the implementation of new tariffs by the Trump administration and the significant inflationary pressures, are likely to have a mixed impact on the diversified REITs sector. On one hand, the inflationary environment could lead to higher property values and rental income, as real estate often serves as a hedge against inflation. However, the potential for increased interest rates by the Federal Reserve to combat rising inflation could pose a challenge for REITs, as higher borrowing costs may impact their ability to finance new acquisitions and developments. Additionally, the ongoing recovery efforts from the California wildfires could create opportunities for REITs involved in rebuilding and redevelopment projects, although the immediate impact on property values in affected areas may be negative.
 Furthermore, the broader economic uncertainty stemming from trade tensions and potential disruptions to global supply chains could weigh on investor sentiment in the diversified REITs sector. The sector's performance may be influenced by the overall health of the economy, as well as the specific dynamics of the real estate markets in which these REITs operate. While the long-term outlook for diversified REITs remains positive, given the sector's ability to generate stable income and potential for capital appreciation, the short to medium-term outlook may be more volatile as the market adjusts to the new economic landscape.
 Score: 65</t>
  </si>
  <si>
    <t>Sector Investment Report:
 The multi-utilities sector is currently navigating a complex economic landscape influenced by recent macroeconomic developments. The imposition of new tariffs by the Trump administration, particularly on imports from Canada, Mexico, and China, is expected to have a ripple effect across various industries, including utilities. These tariffs could lead to increased costs for imported materials and equipment, potentially impacting the operational expenses of utility companies. Additionally, the inflationary pressures resulting from these tariffs may lead to higher interest rates, which could affect the borrowing costs for infrastructure projects within the sector. As utility companies often rely on significant capital investments, any increase in financing costs could weigh on their financial performance.
 Despite these challenges, the multi-utilities sector may benefit from its relatively stable demand profile, as utilities provide essential services that are less sensitive to economic cycles. However, the sector's exposure to regulatory changes and geopolitical risks remains a concern. The ongoing trade tensions and potential for a trade war could disrupt supply chains and create uncertainty in the market. Furthermore, the sector's performance may be influenced by the broader economic environment, including the Federal Reserve's monetary policy decisions in response to rising inflation. Overall, while the multi-utilities sector offers some degree of stability, the current economic conditions and policy environment present notable risks that could impact its investment value.
 Score: 65</t>
  </si>
  <si>
    <t>Sector Investment Report:
 The professional services sector is currently navigating a complex economic landscape influenced by recent macroeconomic developments. The implementation of new tariffs by the Trump administration, particularly those affecting trade with Canada, Mexico, and China, has introduced inflationary pressures that could impact the cost structures and pricing strategies of firms within this sector. As professional services often rely on cross-border collaborations and international clients, the potential for a trade war and disruptions in global supply chains may pose challenges to maintaining competitive pricing and service delivery. Additionally, the broader economic uncertainty and market volatility could lead to a cautious approach from clients, potentially affecting demand for consulting, legal, and financial advisory services.
 Despite these challenges, the professional services sector may find opportunities in the evolving regulatory and technological landscape. The recent advancements in AI, such as the launch of DeepSeek, highlight the growing importance of technology-driven solutions and the need for expertise in navigating digital transformations. Firms that can leverage emerging technologies to enhance their service offerings and improve operational efficiencies may be better positioned to weather the economic headwinds. Furthermore, the sector's inherent adaptability and focus on providing strategic guidance could enable it to capitalize on the demand for advisory services as businesses seek to navigate the complexities of the current economic environment.
 Score: 65</t>
  </si>
  <si>
    <t>nan</t>
  </si>
  <si>
    <t>Sector Investment Report: The nanotechnology sector is currently navigating a complex landscape influenced by broader macroeconomic and geopolitical factors. Recent developments, such as the implementation of new tariffs by the Trump administration, have introduced significant uncertainty into the market. These tariffs, particularly those affecting imports from China, could disrupt supply chains and increase costs for companies within the nanotechnology sector, which often relies on global collaboration and materials. Additionally, the inflationary pressures resulting from these tariffs may further strain the sector's growth prospects, as increased costs could dampen demand for nanotechnology products and innovations.
 Despite these challenges, the nanotechnology sector continues to hold long-term potential due to its critical role in advancing various industries, including healthcare, electronics, and materials science. The sector's ability to drive innovation and create new applications remains a key strength. However, in the short to medium term, the sector may face headwinds as it contends with the broader economic environment and potential trade disruptions. Investors may need to closely monitor the evolving geopolitical landscape and the sector's ability to adapt to these changes to assess its future investment value.
 Score: 65</t>
  </si>
  <si>
    <t>Sector Investment Report:
 The Paper &amp; Forest Products sector is currently navigating a complex economic landscape influenced by recent macroeconomic developments. The ongoing wildfires in Southern California have caused extensive damage, with significant economic losses estimated between $250-275 billion. This disaster has the potential to disrupt the supply chain for timber and other forest products, leading to increased costs and potential shortages in the market. Additionally, the inflationary pressures resulting from the new tariffs imposed by the Trump administration could further exacerbate cost challenges for companies within this sector, as they may face higher prices for imported raw materials and equipment.
 Despite these challenges, the sector may find some opportunities in the growing demand for sustainable and eco-friendly products. As environmental concerns continue to rise, there is an increasing consumer preference for products made from renewable resources, which could benefit companies that focus on sustainable forestry practices. However, the overall outlook for the Paper &amp; Forest Products sector remains cautious, as the combination of natural disasters, inflationary pressures, and potential trade disruptions could weigh on profitability and growth prospects in the near to medium term.
 Score: 55</t>
  </si>
  <si>
    <t>Sector Investment Report:
 The tobacco sector is currently navigating a complex landscape marked by regulatory challenges and shifting consumer preferences. Recent developments, such as the implementation of new tariffs by the Trump administration, have not directly impacted the tobacco industry, but the broader economic environment could influence consumer spending patterns. Inflationary pressures resulting from these tariffs may lead to increased costs for tobacco companies, potentially affecting their profit margins. Additionally, the ongoing legal and regulatory scrutiny of tobacco products, including potential restrictions on marketing and sales, continues to pose a risk to the sector's growth prospects.
 Despite these challenges, the tobacco sector has historically demonstrated resilience due to its established market presence and loyal customer base. The industry's ability to adapt to changing regulations and consumer trends, such as the shift towards reduced-risk products and alternative nicotine delivery systems, may provide opportunities for growth. However, the sector's long-term outlook remains uncertain, as it must contend with evolving public health policies and the potential for further regulatory actions. Overall, the tobacco sector's investment value is moderate, with potential risks balanced by its capacity for adaptation and innovation.
 Score: 55</t>
  </si>
  <si>
    <t>Sector Investment Report:
 The Hotel &amp; Resort REITs sector is currently navigating a complex economic landscape influenced by recent macroeconomic developments. The implementation of new tariffs by the Trump administration, particularly those affecting Canada, Mexico, and China, has introduced inflationary pressures that could impact consumer spending and travel behavior. As a result, the hospitality industry may face challenges in maintaining occupancy rates and pricing power, which are critical to the performance of Hotel &amp; Resort REITs. Additionally, the ongoing recovery efforts from the devastating wildfires in Southern California could further strain resources and affect tourism in the region, potentially impacting revenue streams for properties located in or near affected areas.
 Despite these challenges, there are factors that could support the sector's resilience. The easing of travel restrictions and the continued recovery of international tourism may provide a boost to demand for hotel accommodations. Furthermore, the sector's focus on premium and luxury properties could help mitigate some of the adverse effects of economic headwinds, as high-net-worth travelers may be less sensitive to price increases. However, the overall outlook remains cautious, as the potential for a trade war and rising inflation could weigh on consumer confidence and discretionary spending, posing risks to the sector's growth prospects in the near to medium term.
 Score: 55</t>
  </si>
  <si>
    <t>Sector Investment Report:
 The entertainment sector is currently navigating a complex landscape shaped by recent geopolitical and economic developments. The U.S. government's decision to ban TikTok, a major player in the social media and entertainment space, has created ripples across the industry. This move, driven by national security concerns, has the potential to disrupt the broader technology and social media sectors, which are integral to the entertainment industry. Additionally, the ongoing trade tensions and tariffs imposed by the Trump administration could further impact the sector by increasing costs and creating supply chain uncertainties. These factors contribute to a challenging environment for entertainment companies, as they must adapt to shifting regulatory landscapes and potential market disruptions.
 Despite these challenges, the entertainment sector continues to demonstrate resilience and adaptability. The industry's ability to innovate and leverage emerging technologies, such as artificial intelligence and virtual reality, presents opportunities for growth and transformation. However, the sector's performance is likely to be influenced by broader economic conditions, including inflationary pressures and potential trade wars. As the market grapples with these uncertainties, the entertainment sector's investment value may be tempered by the need to navigate regulatory changes and economic headwinds. Overall, while the sector holds potential for innovation and growth, the current environment suggests a cautious approach to investment.
 Score: 55</t>
  </si>
  <si>
    <t>Sector Investment Report:
 The media sector is currently navigating a complex landscape shaped by recent regulatory and geopolitical developments. The U.S. government's ban on TikTok, a major player in the social media space, has introduced significant uncertainty and potential disruption within the sector. This move, driven by national security concerns, could lead to shifts in user engagement and advertising revenue, as companies and consumers adjust to the absence of TikTok in the U.S. market. Additionally, the broader technology sector's volatility, exacerbated by the global tech market crash and the emergence of new AI competitors, may indirectly impact media companies that rely heavily on digital platforms and advertising.
 Furthermore, the media sector is also contending with the broader economic challenges posed by the Trump administration's new tariffs. These tariffs, particularly those affecting imports from China, could increase costs for media companies that rely on technology and equipment sourced from abroad. The potential for a trade war and the resulting economic uncertainty may dampen consumer spending and advertising budgets, further pressuring media companies' revenue streams. As the sector adapts to these challenges, its investment value is currently seen as moderate, with potential risks and opportunities hinging on the resolution of trade tensions and regulatory developments.
 Score: 55</t>
  </si>
  <si>
    <t>Sector Investment Report:
 The recent macroeconomic developments, including the implementation of new tariffs by the Trump administration, have created a challenging environment for the Industrial Real Estate Investment Trusts (REITs) sector. The tariffs on imports from Canada, Mexico, and China are expected to disrupt supply chains and increase costs for businesses that rely on international trade. This could lead to a slowdown in demand for industrial spaces, as companies may delay expansion plans or seek to optimize their existing operations to mitigate the impact of higher costs. Additionally, the inflationary pressures resulting from the tariffs could lead to higher interest rates, which would increase borrowing costs for REITs and potentially impact their profitability.
 Despite these challenges, the Industrial REITs sector may find some support from the ongoing recovery efforts in regions affected by natural disasters, such as the Southern California wildfires. The need for reconstruction and rebuilding could drive demand for industrial spaces, particularly in logistics and warehousing, as companies work to restore supply chains and meet the needs of affected communities. However, the overall outlook for the sector remains cautious, as the potential for a trade war and rising interest rates could weigh on investor sentiment and limit growth opportunities in the near term.
 Score: 55</t>
  </si>
  <si>
    <t>Sector Investment Report:
 The Retail Real Estate Investment Trusts (REITs) sector is currently navigating a complex economic landscape influenced by recent macroeconomic developments. The imposition of new tariffs by the Trump administration, particularly on imports from Canada, Mexico, and China, is expected to have an inflationary impact, which could affect consumer spending and retail sales. As retail tenants face potential cost increases due to higher import prices, there may be pressure on their profitability, which could, in turn, impact their ability to meet lease obligations. This scenario poses a risk to retail REITs, as their revenue streams are closely tied to the financial health of their tenants.
 Additionally, the broader economic uncertainty and potential trade tensions may lead to a cautious approach from investors in the retail sector. The ongoing volatility in the stock market, driven by concerns over tariffs and trade wars, could also affect investor sentiment towards retail REITs. However, the sector may find some resilience in well-located properties with strong tenant mixes and long-term leases. Retail REITs with a focus on essential retail and e-commerce-resistant tenants may be better positioned to weather the current economic challenges. Overall, the sector faces headwinds, but opportunities may exist for those with a strategic focus on high-quality assets and tenant diversification.
 Score: 55</t>
  </si>
  <si>
    <t>Sector Investment Report:
 The Residential Real Estate Investment Trusts (REITs) sector is currently navigating a complex economic landscape influenced by recent macroeconomic developments. The implementation of new tariffs by the Trump administration, particularly those affecting imports from Canada, Mexico, and China, is expected to have an inflationary impact on the broader economy. This inflationary pressure could lead to increased costs for construction materials and labor, potentially affecting the profitability and growth prospects of residential REITs. Additionally, the Federal Reserve's potential shift towards a more hawkish monetary policy stance to combat rising inflation could result in higher interest rates, which may increase borrowing costs for REITs and impact their ability to finance new projects or refinance existing debt.
 Despite these challenges, the residential REITs sector may find some support from the ongoing demand for housing, particularly in urban areas where supply remains constrained. The recent wildfires in Southern California, which caused extensive damage to residential properties, could lead to increased demand for rental housing in unaffected areas, potentially benefiting residential REITs with properties in those regions. However, the overall outlook for the sector remains cautious, as the potential for a trade war and the resulting economic uncertainty could weigh on consumer confidence and housing demand. Investors in residential REITs should closely monitor macroeconomic indicators and policy developments to assess the sector's resilience in the face of these challenges.
 Score: 55</t>
  </si>
  <si>
    <t>Sector Investment Report:
 The diversified telecommunication services sector is currently navigating a complex landscape shaped by recent geopolitical and economic developments. The imposition of new tariffs by the Trump administration, particularly those affecting imports from China, Canada, and Mexico, has introduced significant uncertainty into the market. These tariffs could lead to increased costs for telecommunications companies that rely on imported equipment and technology, potentially squeezing profit margins. Additionally, the broader economic environment, characterized by rising inflationary pressures, may impact consumer spending on telecommunications services, further challenging the sector's growth prospects.
 Despite these headwinds, the sector may find some resilience in the ongoing demand for connectivity and digital services. As businesses and consumers continue to prioritize digital transformation and remote communication, the demand for reliable telecommunication services remains robust. However, the recent ban on TikTok and the broader implications for technology and social media sectors could create additional volatility and regulatory scrutiny for telecommunications companies. Overall, while the sector faces near-term challenges, its long-term fundamentals remain supported by the essential nature of its services in an increasingly connected world.
 Score: 55</t>
  </si>
  <si>
    <t>Sector Investment Report:
 The communications equipment sector is currently navigating a complex landscape shaped by recent geopolitical and economic developments. The imposition of new tariffs by the Trump administration, particularly those affecting imports from China, poses a significant challenge for companies within this sector. These tariffs are likely to increase the cost of components and materials, potentially squeezing profit margins and leading to higher prices for end consumers. Additionally, the broader market volatility, driven by the global tech market crash and the emergence of new competitors like DeepSeek, adds further uncertainty to the sector's outlook. The recent ban on TikTok in the U.S. also highlights the potential for regulatory actions to impact the communications equipment market, as companies may need to navigate shifting compliance requirements and potential retaliatory measures from affected countries.
 Despite these challenges, the communications equipment sector may find opportunities in the ongoing demand for advanced networking solutions and the rollout of next-generation technologies. The need for robust and secure communication infrastructure remains critical, particularly as businesses and consumers increasingly rely on digital connectivity. However, the sector's near-term performance is likely to be influenced by the broader economic environment, including inflationary pressures and potential trade disruptions. As such, the sector's investment value is currently tempered by these external factors, and its future trajectory will depend on the resolution of trade tensions and the sector's ability to adapt to the evolving market dynamics.
 Score: 55</t>
  </si>
  <si>
    <t>Sector Investment Report:
 The specialized REITs sector is currently navigating a complex economic landscape influenced by recent macroeconomic developments. The implementation of new tariffs by the Trump administration, particularly those affecting imports from Canada, Mexico, and China, is expected to have an inflationary impact on the broader economy. This inflationary pressure could lead to increased costs for real estate operations, including construction and maintenance, which may affect the profitability of specialized REITs. Additionally, the ongoing volatility in the stock market, driven by significant declines in major indices and the technology sector, may lead to a cautious investment environment, potentially impacting the capital inflows into the REITs sector.
 Furthermore, the recent wildfires in Southern California, which have caused extensive damage and economic losses, highlight the vulnerability of real estate assets to natural disasters. This could lead to increased insurance costs and potential disruptions in rental income for specialized REITs with properties in affected regions. However, the sector may also find opportunities in the recovery and rebuilding efforts, as demand for certain types of real estate, such as logistics and warehousing, could increase. Overall, while the specialized REITs sector faces challenges from the current economic and environmental conditions, it may also benefit from strategic positioning in areas with growth potential.
 Score: 55</t>
  </si>
  <si>
    <t>Sector Investment Report:
 The Real Estate Management &amp; Development sector is currently navigating a complex economic landscape influenced by recent macroeconomic developments. The implementation of new tariffs by the Trump administration, particularly those affecting imports from Canada, Mexico, and China, is expected to have an inflationary impact, which could increase construction costs and affect the profitability of real estate projects. Additionally, the ongoing wildfires in Southern California, with estimated damages between $250-275 billion, highlight the sector's vulnerability to natural disasters, which could lead to increased insurance costs and impact property values in affected regions.
 Despite these challenges, the sector may find some opportunities in the evolving political and economic environment. The creation of the Department of Government Efficiency (DOGE) and potential regulatory changes could streamline processes and reduce bureaucratic hurdles for real estate development. However, the overall outlook remains cautious, as the potential for a trade war and rising inflationary pressures could dampen economic growth and investor sentiment. The sector's performance will largely depend on its ability to adapt to these challenges and leverage any regulatory changes to its advantage.
 Score: 55</t>
  </si>
  <si>
    <t>Sector Investment Report:
 The marine transportation sector is currently navigating a complex economic landscape influenced by recent geopolitical and economic developments. The imposition of new tariffs by the Trump administration, particularly on imports from Canada, Mexico, and China, is expected to have a ripple effect on global trade dynamics. These tariffs could lead to increased costs for shipping goods across borders, potentially impacting the profitability of companies within the marine transportation sector. Additionally, the ongoing sanctions on Russia's energy sector may disrupt global energy supply chains, further complicating the operational environment for marine transportation firms that rely on stable energy prices for fuel and logistics.
 Moreover, the recent global tech market crash, triggered by advancements in Chinese AI technology, has created a broader sense of uncertainty in the financial markets. While the marine transportation sector is not directly tied to the technology industry, the overall market volatility and potential economic slowdown could affect global trade volumes and demand for shipping services. As a result, the sector may face headwinds in the short to medium term, with potential challenges in maintaining growth and profitability amidst these external pressures. However, the sector's long-term outlook will largely depend on the resolution of trade tensions and the stabilization of global economic conditions.
 Score: 55</t>
  </si>
  <si>
    <t>Sector Investment Report:
 The Air Freight &amp; Logistics sector is currently navigating a complex landscape shaped by recent macroeconomic and geopolitical developments. The imposition of new tariffs by the Trump administration on imports from Canada, Mexico, and China is expected to disrupt global trade and supply chains, which could have a direct impact on the logistics industry. These tariffs may lead to increased costs for shipping and transportation, as companies adjust to the new trade environment. Additionally, the ongoing wildfires in Southern California have caused significant damage, potentially affecting logistics operations in the region and leading to further disruptions in supply chains.
 Despite these challenges, the sector may find some opportunities in the evolving market dynamics. The need for efficient logistics solutions could increase as companies seek to navigate the complexities of the new trade policies and mitigate the impact of tariffs. However, the overall outlook remains cautious, as the potential for a trade war and the inflationary pressures from tariffs could weigh on the sector's performance. The Air Freight &amp; Logistics sector will need to adapt to these changes and find innovative ways to maintain efficiency and cost-effectiveness in the face of these headwinds.
 Score: 55</t>
  </si>
  <si>
    <t>Sector Investment Report:
 The financial services sector is currently navigating a complex landscape shaped by recent macroeconomic developments and geopolitical tensions. The implementation of new tariffs by the Trump administration has introduced significant uncertainty into the market, with potential inflationary impacts that could affect consumer spending and borrowing costs. As the Federal Reserve considers a more hawkish stance to combat rising inflation, financial institutions may face challenges related to interest rate volatility and the potential for increased loan defaults. Additionally, the global technology market crash, particularly the significant loss in Nvidia's market value, has underscored the vulnerability of financial markets to rapid technological advancements and competitive pressures.
 Despite these challenges, the financial services sector may find opportunities in the evolving regulatory environment and the potential for increased demand for risk management and advisory services. The sector's ability to adapt to changing economic conditions and leverage emerging technologies, such as artificial intelligence and blockchain, could provide a competitive edge. However, the ongoing trade tensions and potential for a prolonged period of market volatility may weigh on investor sentiment and impact the sector's performance in the near to medium term. As such, the financial services sector's investment value is currently assessed with caution, reflecting the balance of risks and opportunities in the current economic climate.
 Score: 55</t>
  </si>
  <si>
    <t>Sector Investment Report:
 The consumer finance sector is currently navigating a complex economic landscape characterized by rising inflationary pressures and potential trade disruptions. The recent implementation of tariffs by the Trump administration on imports from Canada, Mexico, and China is expected to have a ripple effect across various industries, including consumer finance. As inflationary pressures build, consumers may face higher costs for goods and services, which could impact their borrowing and spending behavior. This, in turn, could affect the profitability of consumer finance companies, as higher interest rates may be needed to combat inflation, potentially leading to increased borrowing costs for consumers.
 Additionally, the broader economic uncertainty stemming from potential trade wars and geopolitical tensions may lead to increased volatility in consumer confidence and spending patterns. The consumer finance sector may experience fluctuations in demand for credit products, such as personal loans and credit cards, as consumers adjust to the changing economic environment. While the sector has historically been resilient, the current macroeconomic challenges present a more cautious outlook for the near term. Companies within the sector may need to adapt their strategies to navigate these headwinds and maintain their competitive edge.
 Score: 55</t>
  </si>
  <si>
    <t>Sector Investment Report:
 The software sector is currently navigating a challenging landscape, influenced by recent macroeconomic developments and geopolitical tensions. The launch of DeepSeek, a Chinese competitor to OpenAI's ChatGPT, has sent ripples through the global technology market, leading to a significant selloff in tech stocks. This has particularly impacted companies like Nvidia, which experienced a historic drop in market value. The competitive pressure from emerging technologies is reshaping the software landscape, as established players face the threat of disruption. Additionally, the broader economic environment, characterized by new tariffs imposed by the Trump administration, is contributing to inflationary pressures and potential trade tensions, which could further impact the software sector's growth prospects.
 Despite these challenges, the software sector remains a critical component of the global economy, with ongoing demand for digital transformation and innovation. However, the current market volatility and geopolitical uncertainties present significant headwinds for the sector. The potential for a trade war and the inflationary impact of tariffs could dampen investment sentiment and slow down growth in the short to medium term. As the sector adapts to these changes, companies with strong competitive advantages and innovative capabilities may be better positioned to weather the storm and capitalize on emerging opportunities. Nonetheless, the overall investment outlook for the software sector remains cautious, given the current economic and geopolitical landscape.
 Score: 55</t>
  </si>
  <si>
    <t>Sector Investment Report:
 The banking sector is currently navigating a complex economic landscape characterized by significant macroeconomic challenges. The recent implementation of tariffs by the Trump administration has introduced inflationary pressures, which could impact the cost of borrowing and lending. As inflation rises, the Federal Reserve may adopt a more hawkish stance, potentially leading to higher interest rates. This environment could affect banks' net interest margins, as the cost of funds may increase faster than the rates at which they can lend. Additionally, the potential for a trade war and the resulting economic uncertainty could lead to increased credit risk, as businesses and consumers may face financial strain.
 Despite these challenges, banks may find opportunities in the current environment. The volatility in the stock market and the potential for increased hedging activities could drive demand for financial services, such as risk management and advisory services. Furthermore, banks with strong capital positions and diversified revenue streams may be better positioned to weather the economic headwinds. However, the overall outlook for the banking sector remains cautious, as the potential for prolonged trade tensions and inflationary pressures could weigh on profitability and growth prospects.
 Score: 55</t>
  </si>
  <si>
    <t>Sector Investment Report:
 The chemicals sector is currently navigating a complex landscape shaped by recent geopolitical and economic developments. The imposition of new tariffs by the Trump administration, particularly the 10% tariff on goods from China, poses a significant challenge for the sector. Given that China is a major player in the global chemicals market, these tariffs could disrupt supply chains and increase costs for U.S. chemical companies reliant on Chinese imports. Additionally, the potential for retaliatory tariffs from China could further exacerbate the situation, leading to increased uncertainty and volatility within the sector. The inflationary pressures resulting from these tariffs may also impact the cost structure of chemical companies, potentially squeezing profit margins.
 Despite these challenges, the chemicals sector may find some opportunities in the current environment. The ongoing recovery efforts from the California wildfires could drive demand for certain chemical products, such as those used in construction and infrastructure rebuilding. Furthermore, the sector's role in supporting emerging technologies, such as advanced materials for the tech industry, could provide a buffer against some of the negative impacts of the tariffs. However, the overall outlook remains cautious, as the sector must contend with the broader economic headwinds and potential disruptions to global trade.
 Score: 55</t>
  </si>
  <si>
    <t>Sector Investment Report:
 The building products sector is currently navigating a complex economic landscape influenced by recent macroeconomic developments. The ongoing wildfires in Southern California have caused extensive damage, with estimated losses between $250-275 billion. This disaster could lead to increased demand for building materials and reconstruction efforts, potentially benefiting companies within the sector. However, the inflationary pressures stemming from the new tariffs imposed by the Trump administration on imports from Canada, Mexico, and China could increase the cost of raw materials, impacting profit margins for building product manufacturers. The sector may face challenges in managing these cost increases while meeting the heightened demand for reconstruction materials.
 Additionally, the broader economic environment is characterized by rising inflation and potential trade tensions, which could further complicate the outlook for the building products sector. The Federal Reserve's potential shift towards a more hawkish stance to combat inflation may lead to higher interest rates, affecting borrowing costs for construction projects and potentially dampening demand. Despite these challenges, the sector's involvement in reconstruction efforts following natural disasters may provide some support. However, the overall investment value of the sector remains uncertain due to the interplay of these various factors, and the potential for volatility in the broader market.
 Score: 55</t>
  </si>
  <si>
    <t>Sector Investment Report:
 The construction and engineering sector is currently navigating a complex landscape shaped by recent macroeconomic and geopolitical developments. The ongoing wildfires in Southern California have resulted in significant physical and economic losses, estimated between $250-275 billion. This disaster is likely to drive demand for reconstruction and infrastructure development in the affected regions, potentially providing a boost to the sector. However, the inflationary pressures stemming from the new tariffs imposed by the Trump administration on imports from Canada, Mexico, and China could increase the cost of raw materials and construction inputs, thereby squeezing profit margins for companies within the sector. The potential for a trade war and the resulting supply chain disruptions add further uncertainty to the sector's outlook.
 Additionally, the broader economic environment is characterized by rising inflation and potential interest rate hikes by the Federal Reserve, which could impact the sector's growth prospects. Higher borrowing costs may dampen investment in new construction projects, while the increased cost of materials could lead to project delays or cancellations. Despite these challenges, the sector may benefit from government infrastructure initiatives and disaster recovery efforts, which could provide a counterbalance to the negative impacts of inflation and trade tensions. Overall, the construction and engineering sector faces a mixed outlook, with opportunities for growth tempered by significant risks.
 Score: 55</t>
  </si>
  <si>
    <t>Sector Investment Report:
 The electrical equipment sector is currently navigating a complex economic landscape influenced by recent macroeconomic developments. The imposition of new tariffs by the Trump administration, particularly those affecting imports from China, poses a significant challenge for the sector. As many electrical equipment manufacturers rely on components and raw materials sourced from China, the 10% tariff could lead to increased production costs and supply chain disruptions. This inflationary pressure may result in higher prices for end consumers, potentially dampening demand and impacting the sector's profitability. Additionally, the broader market volatility, driven by the global tech market crash and geopolitical tensions, adds another layer of uncertainty for companies operating within this sector.
 Despite these challenges, the electrical equipment sector may find some opportunities for growth, particularly in areas related to emerging technologies and infrastructure development. The ongoing advancements in AI and automation could drive demand for innovative electrical solutions, while government initiatives focused on infrastructure improvements may provide a boost to the sector. However, the overall outlook remains cautious, as the sector must contend with the immediate impacts of tariffs and potential trade tensions. The ability of companies within the sector to adapt to these changes and manage cost pressures will be crucial in determining their long-term success.
 Score: 55</t>
  </si>
  <si>
    <t>Sector Investment Report:
 The industrial conglomerates sector is currently navigating a complex economic landscape marked by recent geopolitical and trade developments. The imposition of new tariffs by the Trump administration on imports from Canada, Mexico, and China is expected to have a ripple effect across various industries, including industrial conglomerates. These tariffs could lead to increased costs for raw materials and components, potentially squeezing profit margins for companies within the sector. Additionally, the retaliatory tariffs from Canada and Mexico may further complicate supply chains and disrupt cross-border trade, adding to the operational challenges faced by industrial conglomerates.
 Despite these headwinds, the sector may find some opportunities in the ongoing global shift towards infrastructure development and technological advancements. The recent $500 billion AI infrastructure investment announced by Oracle, MGX, and SoftBank highlights the potential for industrial conglomerates to capitalize on emerging technologies and infrastructure projects. However, the overall outlook remains cautious as the sector grapples with the immediate impact of trade tensions and the potential for further economic disruptions. The ability of industrial conglomerates to adapt to these challenges and leverage new opportunities will be crucial in determining their long-term investment value.
 Score: 55</t>
  </si>
  <si>
    <t>Sector Investment Report:
 The Commercial Services &amp; Supplies sector is currently navigating a complex economic landscape influenced by recent macroeconomic developments. The implementation of new tariffs by the Trump administration, particularly those affecting imports from Canada, Mexico, and China, is expected to have a ripple effect across various industries, including commercial services. These tariffs could lead to increased costs for raw materials and supplies, thereby squeezing profit margins for companies within this sector. Additionally, the inflationary pressures resulting from these tariffs may lead to higher operational costs, further challenging the sector's financial performance.
 Moreover, the ongoing volatility in the stock market, driven by geopolitical tensions and trade uncertainties, adds another layer of complexity for the Commercial Services &amp; Supplies sector. Companies in this sector may face disruptions in their supply chains and potential delays in project execution, impacting their revenue streams. However, the sector's inherent resilience and adaptability could provide some cushion against these challenges. In the medium to long term, the sector's performance will largely depend on the resolution of trade tensions and the stabilization of the broader economic environment.
 Score: 55</t>
  </si>
  <si>
    <t>Sector Investment Report:
 The Hotels, Restaurants &amp; Leisure sector is currently navigating a complex economic landscape influenced by recent macroeconomic developments. The implementation of new tariffs by the Trump administration, particularly those affecting imports from Canada, Mexico, and China, is expected to have an inflationary impact, which could dampen consumer spending. As discretionary spending is a significant driver for this sector, any reduction in consumer confidence or disposable income could lead to decreased demand for leisure and hospitality services. Additionally, the ongoing recovery efforts from the devastating wildfires in Southern California may further strain resources and impact tourism in the affected regions, potentially leading to a short-term decline in sector performance.
 Despite these challenges, the sector may find some resilience in the form of pent-up demand for travel and dining experiences, as consumers continue to seek leisure activities following the pandemic-related restrictions of previous years. However, the potential for a trade war and the resulting economic uncertainty could weigh heavily on the sector's outlook. The sector's performance will largely depend on the resolution of trade tensions and the broader economic environment, including inflationary pressures and interest rate policies. In the short to medium term, the sector may face headwinds, but a resolution of trade issues and stabilization of the economic environment could provide opportunities for recovery and growth.
 Score: 55</t>
  </si>
  <si>
    <t>Sector Investment Report:
 The household durables sector is currently navigating a complex economic landscape influenced by recent macroeconomic developments. The implementation of new tariffs by the Trump administration, particularly those affecting imports from Canada, Mexico, and China, is expected to have a ripple effect across various industries, including household durables. These tariffs are likely to increase the cost of raw materials and components, leading to higher production costs for manufacturers in the sector. As a result, companies may face pressure to raise prices, which could dampen consumer demand and impact sales volumes. Additionally, the inflationary pressures stemming from these tariffs may further strain household budgets, potentially reducing discretionary spending on durable goods.
 Despite these challenges, the household durables sector may find some resilience in the ongoing recovery efforts from natural disasters, such as the Southern California wildfires. The rebuilding and replacement of damaged properties and goods could drive demand for household durables in affected regions. However, the overall outlook remains cautious, as the sector grapples with the broader economic uncertainties and potential trade disruptions. The Federal Reserve's stance on interest rates and inflation will also play a crucial role in shaping the sector's performance in the coming months. As the market adjusts to these dynamics, the household durables sector is expected to experience volatility, with its investment value contingent on the resolution of trade tensions and the stabilization of economic conditions.
 Score: 55</t>
  </si>
  <si>
    <t>Sector Investment Report:
 The broadline retail sector is currently navigating a complex economic landscape influenced by recent macroeconomic developments. The implementation of new tariffs by the Trump administration, particularly those affecting imports from Canada, Mexico, and China, is expected to have a ripple effect on consumer prices. As tariffs increase the cost of goods, retailers may face challenges in maintaining competitive pricing without eroding profit margins. This inflationary pressure could dampen consumer spending, a critical driver for the retail sector, as higher prices may lead to reduced purchasing power for consumers. Additionally, the potential for a trade war and retaliatory tariffs from trading partners adds a layer of uncertainty, which could further impact supply chains and inventory management for retailers.
 Despite these challenges, the broadline retail sector may find some resilience in its diverse product offerings and ability to adapt to changing consumer preferences. Retailers with strong e-commerce platforms and efficient supply chain operations may be better positioned to weather the storm, as they can leverage technology to optimize inventory and reduce costs. However, the overall outlook for the sector remains cautious, as the broader economic environment and consumer sentiment will play a significant role in shaping the sector's performance. The potential for continued market volatility and economic headwinds suggests that the broadline retail sector may face a challenging period ahead.
 Score: 55</t>
  </si>
  <si>
    <t>Sector Investment Report:
 The metals and mining sector is currently navigating a complex landscape influenced by recent geopolitical and economic developments. The imposition of new tariffs by the Trump administration, particularly on imports from Canada, Mexico, and China, is expected to have a ripple effect across various industries, including metals and mining. These tariffs could lead to increased costs for raw materials and disrupt supply chains, potentially impacting the profitability of companies within the sector. Additionally, the ongoing trade tensions and potential for retaliatory measures from trading partners add a layer of uncertainty, which could weigh on investor sentiment and market performance in the short to medium term.
 Despite these challenges, the sector may find some support from the global demand for metals, driven by infrastructure projects and technological advancements. The recent advancements in AI and technology, such as the launch of DeepSeek, could spur demand for certain metals used in electronics and computing. However, the overall outlook remains cautious, as the sector must contend with the broader economic headwinds and potential volatility in commodity prices. The metals and mining sector's investment value will largely depend on the resolution of trade tensions and the ability of companies to adapt to the changing economic environment.
 Score: 55</t>
  </si>
  <si>
    <t>Sector Investment Report:
 The Containers &amp; Packaging sector is currently navigating a complex economic landscape influenced by recent macroeconomic developments. The imposition of new tariffs by the Trump administration, particularly the 25% tariffs on imports from Canada and Mexico, poses a significant challenge for this sector. These tariffs are likely to increase the cost of raw materials and finished goods, leading to higher production costs and potential disruptions in supply chains. As a result, companies within this sector may face margin pressures and reduced competitiveness in the global market. Additionally, the potential for retaliatory tariffs from Canada and Mexico could further exacerbate these challenges, creating an uncertain environment for businesses operating in this space.
 Despite these headwinds, the Containers &amp; Packaging sector may find some resilience in the ongoing demand for sustainable and innovative packaging solutions. As consumer preferences continue to shift towards environmentally friendly products, companies that can adapt and offer sustainable packaging options may be better positioned to weather the current economic challenges. However, the overall outlook for the sector remains cautious, as the inflationary impact of the tariffs and the potential for a prolonged trade conflict could weigh on growth prospects. The sector's performance will largely depend on the resolution of trade tensions and the ability of companies to manage rising costs and supply chain disruptions effectively.
 Score: 55</t>
  </si>
  <si>
    <t>Sector Investment Report:
 The construction materials sector is currently navigating a complex economic landscape influenced by recent macroeconomic developments. The ongoing wildfires in Southern California have caused extensive damage, with estimated losses between $250-275 billion. This disaster is likely to drive demand for construction materials as rebuilding efforts commence, potentially providing a short-term boost to the sector. However, the inflationary pressures stemming from the new tariffs imposed by the Trump administration on imports from Canada, Mexico, and China could increase the cost of raw materials, thereby squeezing profit margins for construction material companies. The sector may face challenges in passing these increased costs onto consumers, which could impact overall profitability.
 In the medium to long term, the construction materials sector's performance will be closely tied to the broader economic environment and the resolution of trade tensions. If the tariffs persist, the sector may continue to face headwinds from rising input costs and potential supply chain disruptions. Additionally, the Federal Reserve's response to inflationary pressures, including potential interest rate hikes, could impact construction activity and demand for materials. Despite these challenges, the sector may benefit from government infrastructure initiatives and rebuilding efforts in disaster-affected areas, which could provide some support to demand. Overall, the construction materials sector is expected to experience a mixed outlook, with opportunities for growth tempered by macroeconomic uncertainties.
 Score: 55</t>
  </si>
  <si>
    <t>Sector Investment Report:
 The recent imposition of new U.S. sanctions targeting Russia's energy sector, including major oil companies like Gazprom Neft and Surgutneftegas, has introduced a layer of complexity to the global oil and gas market. These sanctions are likely to disrupt supply chains and could lead to increased volatility in energy prices. The geopolitical tensions surrounding these sanctions may also contribute to uncertainty in the sector, as market participants assess the potential impact on global energy supply and demand dynamics. Additionally, the ongoing trade tensions and tariffs imposed by the Trump administration could further complicate the sector's outlook, as they may affect the cost of raw materials and equipment necessary for energy production and distribution.
 Despite these challenges, the oil, gas, and consumable fuels sector may find some support from the potential for higher energy prices due to supply disruptions. However, the sector's investment value is tempered by the broader macroeconomic environment, including rising inflationary pressures and potential interest rate hikes by the Federal Reserve. These factors could weigh on economic growth and energy demand, impacting the sector's performance. Overall, while there are opportunities for gains in the sector, particularly if energy prices rise, the risks associated with geopolitical tensions and macroeconomic headwinds suggest a cautious approach to investment in this sector.
 Score: 55</t>
  </si>
  <si>
    <t>Sector Investment Report:
 The specialty retail sector is currently navigating a challenging economic landscape, influenced by recent macroeconomic developments and geopolitical events. The imposition of new tariffs by the Trump administration on imports from Canada, Mexico, and China is expected to have a ripple effect across various industries, including specialty retail. These tariffs are likely to increase the cost of imported goods, leading to higher prices for consumers and potential disruptions in supply chains. As a result, specialty retailers may face pressure on their profit margins and sales volumes, as consumers may become more price-sensitive in response to rising inflationary pressures.
 Additionally, the ongoing volatility in the stock market, driven by the global tech market crash and geopolitical tensions, adds another layer of uncertainty for the specialty retail sector. The sector's performance is closely tied to consumer confidence and spending, which may be adversely affected by the broader economic environment. While some specialty retailers may benefit from niche markets and unique product offerings, the overall outlook for the sector remains cautious. The potential for further economic headwinds, including the impact of trade tensions and inflation, suggests that the specialty retail sector may face a challenging period ahead.
 Score: 45</t>
  </si>
  <si>
    <t>Sector Investment Report:
 The Electronic Equipment, Instruments &amp; Components sector is currently navigating a challenging landscape, influenced by recent macroeconomic developments and geopolitical tensions. The imposition of new tariffs by the Trump administration on imports from key trading partners, including China, is expected to have a significant inflationary impact, potentially increasing the cost of raw materials and components for companies within this sector. This could lead to higher production costs and pressure on profit margins, as companies may struggle to pass on these costs to consumers in a competitive market environment. Additionally, the recent global tech market crash, triggered by the emergence of DeepSeek, a Chinese competitor to OpenAI's ChatGPT, has further exacerbated the sector's challenges, with major players like Nvidia experiencing substantial losses in market value.
 Despite these headwinds, the sector's long-term prospects remain tied to its ability to innovate and adapt to the evolving technological landscape. The rapid advancement of artificial intelligence and other emerging technologies presents both opportunities and risks for companies within this sector. Firms that can successfully integrate these technologies into their product offerings and maintain a competitive edge may be well-positioned to capitalize on future growth opportunities. However, the current market volatility and uncertainty surrounding trade policies and geopolitical tensions suggest that the sector may face continued pressure in the short to medium term. Investors may need to exercise caution and closely monitor developments in trade negotiations and technological advancements to assess the sector's potential for recovery and growth.
 Score: 45</t>
  </si>
  <si>
    <t>Sector Investment Report:
 The semiconductor sector is currently facing significant challenges due to recent developments in the global technology landscape. The launch of DeepSeek, a Chinese competitor to OpenAI's ChatGPT, has led to a major selloff in tech stocks, with Nvidia experiencing a historic $600 billion loss in market value. This event underscores the vulnerability of established players in the semiconductor industry to emerging technologies and competitive pressures from international markets. Additionally, the imposition of new tariffs by the Trump administration on imports from China, a key player in the semiconductor supply chain, is expected to exacerbate supply chain disruptions and increase production costs, further impacting the sector's profitability.
 In the short to medium term, the semiconductor sector is likely to experience heightened volatility as it navigates these challenges. The potential for a trade war and the inflationary impact of tariffs could weigh heavily on investor sentiment, leading to further market fluctuations. However, the sector's long-term prospects remain tied to its ability to innovate and adapt to the evolving technological landscape. If the trade tensions are resolved and the sector can capitalize on emerging opportunities, it may recover and continue its growth trajectory. For now, the sector's investment value is tempered by the current uncertainties and risks.
 Score: 45</t>
  </si>
  <si>
    <t>Sector Investment Report:
 The recent macroeconomic developments, including the implementation of new tariffs by the Trump administration and the global tech market crash, have created a challenging environment for the Office Real Estate Investment Trusts (REITs) sector. The tariffs on imports from Canada, Mexico, and China are expected to have an inflationary impact, which could lead to increased costs for construction materials and maintenance, thereby affecting the profitability of office REITs. Additionally, the potential for a trade war and the resulting economic uncertainty may dampen business expansion plans, leading to reduced demand for office spaces. This could result in higher vacancy rates and pressure on rental income for office REITs.
 Furthermore, the ongoing volatility in the stock market, particularly in the technology sector, may have indirect effects on office REITs. As technology companies are significant tenants in many office buildings, the financial strain on these companies could lead to downsizing or renegotiation of lease terms. The broader economic headwinds, combined with the potential for rising interest rates as the Federal Reserve responds to inflationary pressures, may also impact the cost of capital for office REITs, affecting their ability to finance new projects or refinance existing debt. Overall, the sector faces a complex set of challenges that could weigh on its investment value in the near to medium term.
 Score: 45</t>
  </si>
  <si>
    <t>Sector Investment Report:
 The Interactive Media &amp; Services sector is currently navigating a complex landscape shaped by recent geopolitical and regulatory developments. The U.S. government's ban on TikTok, a major player in the social media space, has introduced significant uncertainty into the sector. This move, driven by national security concerns, has the potential to disrupt user engagement and advertising revenue streams for companies heavily reliant on social media platforms. Additionally, the enforcement of this ban, although delayed, signals a broader trend of increasing regulatory scrutiny on technology companies, which could lead to further operational challenges and compliance costs for firms within this sector.
 Moreover, the global technology market crash, exacerbated by the emergence of DeepSeek, a Chinese competitor to OpenAI's ChatGPT, has underscored the vulnerability of the sector to rapid technological advancements and competitive pressures. The substantial loss in market value experienced by Nvidia highlights the potential for significant volatility within the sector as companies strive to maintain their competitive edge. As a result, the Interactive Media &amp; Services sector faces a period of heightened uncertainty, with potential impacts on growth prospects and investor sentiment. The sector's ability to adapt to these challenges and leverage emerging technologies will be crucial in determining its future trajectory.
 Score: 45</t>
  </si>
  <si>
    <t>Sector Investment Report:
 The Mortgage Real Estate Investment Trusts (REITs) sector is currently navigating a complex economic landscape influenced by recent macroeconomic developments. The implementation of new tariffs by the Trump administration is expected to have an inflationary impact, which could lead to higher interest rates as the Federal Reserve may adopt a more hawkish stance to combat rising inflation. This environment of potentially increasing interest rates poses a challenge for Mortgage REITs, as their profitability is closely tied to the spread between short-term borrowing costs and long-term mortgage yields. Rising interest rates could compress these spreads, thereby impacting the earnings potential of Mortgage REITs.
 Additionally, the broader economic uncertainty stemming from trade tensions and potential disruptions in global supply chains may affect the housing market and, by extension, the performance of Mortgage REITs. While the sector may benefit from a stable housing market, any significant economic slowdown or increase in mortgage defaults could pose risks to the sector's stability. As such, the Mortgage REITs sector faces a cautious outlook in the near term, with potential headwinds from both macroeconomic factors and sector-specific challenges.
 Score: 45</t>
  </si>
  <si>
    <t>Sector Investment Report:
 The recent macroeconomic developments have created a challenging environment for the capital markets sector. The implementation of new tariffs by the Trump administration has introduced significant uncertainty, leading to increased volatility in the stock market. Major indices, including the Dow Jones, Nasdaq, and S&amp;P 500, have experienced notable declines as investors react to the potential inflationary impact and the risk of a trade war. The technology sector, a significant component of the capital markets, has been particularly affected, with Nvidia's historic market value drop underscoring the sector's vulnerability to geopolitical and technological shifts. Additionally, the potential for retaliatory tariffs from Canada and Mexico adds another layer of complexity, further unsettling investor sentiment and impacting capital flows.
 In the medium term, the capital markets sector may continue to face headwinds as the economic implications of the tariffs unfold. The Federal Reserve's stance on interest rates, in response to rising inflationary pressures, will be a critical factor influencing market dynamics. A more hawkish monetary policy could lead to tighter financial conditions, affecting liquidity and investment activity within the sector. Furthermore, the emergence of new technologies, such as DeepSeek, highlights the potential for disruption and increased competition, which could impact valuations and investor confidence. Overall, the capital markets sector is navigating a period of heightened uncertainty, with the potential for both downside risks and opportunities depending on the resolution of trade tensions and macroeconomic adjustments.
 Score: 45</t>
  </si>
  <si>
    <t>Sector Investment Report:
 The recent developments in the global technology sector, particularly the sharp decline in technology shares, have significantly impacted the IT services industry. The launch of DeepSeek, a Chinese competitor to OpenAI's ChatGPT, has led to a major selloff in tech stocks, with Nvidia experiencing a historic loss in market value. This event underscores the vulnerability of the IT services sector to rapid technological advancements and competitive pressures from emerging technologies. The sector is also facing additional challenges due to the new tariffs imposed by the Trump administration, which could disrupt supply chains and increase costs for IT service providers.
 Moreover, the broader economic environment is characterized by rising inflationary pressures, which could further strain the IT services sector. The potential for a trade war, coupled with the Federal Reserve's possible shift towards a more hawkish monetary policy, adds to the uncertainty facing the industry. As a result, the IT services sector may experience increased volatility and pressure on profit margins in the short to medium term. The ability of companies within this sector to adapt to these challenges and leverage emerging technologies will be crucial in determining their long-term growth prospects.
 Score: 45</t>
  </si>
  <si>
    <t>Sector Investment Report:
 The Technology Hardware, Storage &amp; Peripherals sector is currently navigating a turbulent landscape, primarily driven by the recent global tech market crash. The significant selloff in technology shares, particularly the dramatic $600 billion loss in market value for Nvidia, underscores the sector's vulnerability to rapid advancements in emerging technologies. The launch of DeepSeek, a Chinese competitor to OpenAI's ChatGPT, has intensified competitive pressures, highlighting the potential for disruptive innovations to reshape the market dynamics. This development has not only affected Nvidia but has also sent ripples across the broader technology sector, raising concerns about the sustainability of current valuations and the potential for further market corrections.
 In addition to the competitive challenges, the sector is also facing macroeconomic headwinds due to the implementation of new tariffs by the Trump administration. The 10% tariff on goods from China is expected to exacerbate supply chain disruptions and increase production costs for technology hardware companies, potentially squeezing profit margins. The broader market sentiment remains bearish, as evidenced by the significant declines in major indices such as the Nasdaq, which is heavily weighted towards technology stocks. As the sector grapples with these challenges, the outlook remains uncertain, with potential volatility in the near term as companies adjust to the evolving competitive and economic landscape.
 Score: 45</t>
  </si>
  <si>
    <t>Sector Investment Report:
 The passenger airline sector is currently navigating a turbulent environment, influenced by both macroeconomic and industry-specific challenges. The recent implementation of new tariffs by the Trump administration has introduced significant uncertainty into the market, potentially affecting the cost of operations and international travel demand. Additionally, the ongoing recovery efforts from the devastating wildfires in Southern California may impact regional travel and consumer sentiment, further complicating the sector's outlook. The recent introduction of a new passenger dress code policy by Spirit Airlines, following its bankruptcy in late 2024, highlights the industry's ongoing efforts to adapt to changing consumer expectations and regulatory landscapes.
 Despite these challenges, the sector may find some support from the broader economic recovery and pent-up travel demand as global travel restrictions continue to ease. However, the potential for increased operational costs due to tariffs and the risk of further geopolitical tensions could weigh on the sector's profitability. The airline industry must also contend with the evolving competitive landscape, as emerging technologies and alternative travel options continue to reshape consumer preferences. Overall, the passenger airline sector faces a complex set of challenges that may limit its investment appeal in the near term.
 Score: 45</t>
  </si>
  <si>
    <t>Sector Investment Report:
 The ground transportation sector is currently navigating a complex landscape shaped by recent macroeconomic and geopolitical developments. The imposition of new tariffs by the Trump administration, particularly the 25% tariffs on imports from Canada and Mexico, poses significant challenges for the sector. These tariffs are likely to increase the cost of imported vehicles and parts, leading to higher prices for consumers and potential disruptions in supply chains. The global auto industry has already experienced a decline in share prices, reflecting investor concerns about the impact of these tariffs on profitability and market demand. Additionally, the ongoing wildfires in Southern California, with estimated damages between $250-275 billion, could further strain the sector by affecting logistics and transportation infrastructure in the region.
 Despite these challenges, the ground transportation sector may find some opportunities for growth in the medium to long term. The push for innovation and the adoption of emerging technologies, such as electric and autonomous vehicles, could provide a pathway for recovery and expansion. However, the sector's immediate outlook remains uncertain, as the potential for a trade war and the inflationary impact of tariffs weigh heavily on investor sentiment. The Federal Reserve's response to rising inflation, including possible interest rate hikes, could also influence the sector's performance by affecting consumer purchasing power and financing costs. Overall, the ground transportation sector faces a challenging environment, with significant risks and uncertainties that may impact its investment value in the near term.
 Score: 45</t>
  </si>
  <si>
    <t>Sector Investment Report:
 The distributors sector is currently navigating a complex economic landscape shaped by recent geopolitical and economic developments. The implementation of new tariffs by the Trump administration, particularly the 25% tariffs on imports from Canada and Mexico and the 10% tariffs on goods from China, is expected to have a significant impact on the sector. These tariffs are likely to disrupt supply chains and increase costs for distributors, who rely heavily on international trade to source and distribute goods. The inflationary pressures resulting from these tariffs could further strain the sector, as distributors may face challenges in passing on increased costs to consumers without affecting demand. Additionally, the potential for a trade war and retaliatory tariffs from trading partners adds another layer of uncertainty, which could further complicate the operating environment for distributors.
 Despite these challenges, the distributors sector may find some opportunities in the current environment. As companies seek to mitigate the impact of tariffs and supply chain disruptions, there may be an increased demand for distributors who can offer innovative solutions and alternative sourcing strategies. However, the overall outlook for the sector remains cautious, as the broader economic conditions and potential for prolonged trade tensions could weigh on performance. The sector's ability to adapt to these challenges and capitalize on emerging opportunities will be crucial in determining its investment value in the coming months.
 Score: 45</t>
  </si>
  <si>
    <t>Sector Investment Report:
 The diversified consumer services sector is currently navigating a complex economic landscape influenced by recent macroeconomic developments. The implementation of new tariffs by the Trump administration, particularly those affecting imports from Canada, Mexico, and China, is expected to have a ripple effect across various industries, including consumer services. These tariffs are likely to increase the cost of goods and services, leading to inflationary pressures that could dampen consumer spending. As a result, companies within this sector may face challenges in maintaining profit margins and sustaining growth, especially if consumers become more price-sensitive in response to rising costs.
 Additionally, the broader economic environment is characterized by significant volatility in the stock market, driven by concerns over trade tensions and the potential for a global economic slowdown. The diversified consumer services sector, which includes businesses such as education, personal services, and leisure activities, may experience fluctuations in demand as consumers adjust their spending habits in response to economic uncertainty. While some segments of the sector may benefit from increased demand for cost-effective services, others may struggle to attract customers in a more cautious spending environment. Overall, the sector's investment potential is currently constrained by these macroeconomic challenges, and its outlook remains uncertain in the near term.
 Score: 45</t>
  </si>
  <si>
    <t>Sector Investment Report:
 The textiles, apparel, and luxury goods sector is currently navigating a complex economic landscape influenced by recent macroeconomic developments. The imposition of new tariffs by the Trump administration, particularly the 25% tariffs on imports from Canada and Mexico, and the 10% tariffs on goods from China, is expected to have a significant impact on this sector. These tariffs could lead to increased production costs and supply chain disruptions, as many companies in this sector rely on international trade for raw materials and finished goods. The inflationary pressures resulting from these tariffs may also affect consumer purchasing power, potentially dampening demand for luxury goods and apparel.
 Additionally, the ongoing global economic uncertainties, including the recent tech market crash and geopolitical tensions, may further weigh on consumer confidence and spending in the textiles and apparel sector. However, the sector may find some resilience in the luxury goods segment, as high-net-worth individuals may continue to drive demand despite broader economic challenges. Overall, the textiles, apparel, and luxury goods sector faces a challenging environment in the short to medium term, with potential headwinds from trade policies and economic uncertainties impacting its growth prospects.
 Score: 45</t>
  </si>
  <si>
    <t>Sector Investment Report:
 The leisure products sector is currently navigating a complex economic landscape influenced by recent macroeconomic developments. The implementation of new tariffs by the Trump administration, particularly those affecting imports from China, Canada, and Mexico, poses a significant challenge for the sector. These tariffs are likely to increase the cost of raw materials and finished goods, leading to higher prices for consumers and potential disruptions in supply chains. As a result, companies within the leisure products sector may face margin pressures and reduced consumer demand, especially if inflationary pressures continue to build. The sector's reliance on discretionary spending makes it particularly vulnerable to shifts in consumer sentiment and purchasing power, which could be adversely affected by the broader economic environment.
 Additionally, the recent global technology market crash, triggered by the launch of DeepSeek, has created a ripple effect across various industries, including leisure products. While the direct impact on leisure products may be limited, the overall market volatility and investor uncertainty could lead to reduced capital availability and investment in the sector. Furthermore, the ongoing geopolitical tensions and potential trade wars add an additional layer of uncertainty, making it challenging for companies to plan and execute long-term strategies. Despite these headwinds, the sector may find opportunities in niche markets and innovative product offerings that cater to evolving consumer preferences. However, the overall outlook remains cautious, with the potential for further volatility and economic challenges in the near to medium term.
 Score: 45</t>
  </si>
  <si>
    <t>Sector Investment Report:
 The automobile components sector is currently navigating a challenging landscape, primarily due to the recent implementation of tariffs by the Trump administration. The 25% tariffs on imports from Canada and Mexico, along with a 10% tariff on goods from China, are expected to disrupt supply chains and increase production costs for automobile component manufacturers. This inflationary pressure could lead to higher prices for end consumers, potentially dampening demand for automobiles and, by extension, their components. The global auto industry has already seen significant declines in share prices, reflecting investor concerns about the sector's ability to absorb these additional costs without impacting profitability.
 Moreover, the broader economic environment is fraught with uncertainty due to potential trade wars and retaliatory tariffs from key trading partners. This geopolitical tension adds another layer of complexity for the automobile components sector, which relies heavily on international trade and supply chain integration. While the sector may benefit from technological advancements and innovation in the long term, the immediate outlook remains clouded by these macroeconomic challenges. The sector's performance will largely depend on how quickly these trade tensions are resolved and whether manufacturers can adapt to the new cost structures imposed by the tariffs.
 Score: 45</t>
  </si>
  <si>
    <t>Sector Investment Report:
 The recent imposition of tariffs by the Trump administration has created a challenging environment for the global auto industry. The 25% tariffs on imports from Canada and Mexico, along with a 10% tariff on goods from China, have significantly disrupted trade and supply chains. This has led to a sharp decline in the shares of major automakers, as the industry grapples with increased costs and potential retaliatory measures from trading partners. The inflationary impact of these tariffs is expected to further strain the sector, as higher input costs may be passed on to consumers, potentially dampening demand for new vehicles.
 In addition to the tariff-related challenges, the auto industry is also facing headwinds from the broader economic environment. The recent global tech market crash, triggered by advancements in Chinese AI technology, has added to the uncertainty, as automakers increasingly rely on advanced technologies and semiconductor components. The potential for rising interest rates, as indicated by the Federal Reserve's concerns about inflation, could also impact consumer financing options and overall vehicle affordability. As a result, the auto sector is likely to experience significant volatility in the near term, with the potential for further declines if trade tensions persist and economic conditions remain challenging.
 Score: 45</t>
  </si>
  <si>
    <t>Sector Investment Report:
 The machinery sector is currently navigating a complex economic landscape influenced by recent macroeconomic developments. The imposition of new tariffs by the Trump administration, particularly the 25% tariffs on imports from Canada and Mexico and the 10% tariffs on goods from China, is expected to have a significant impact on the machinery industry. These tariffs could lead to increased costs for raw materials and components, thereby squeezing profit margins for machinery manufacturers. Additionally, the potential for retaliatory tariffs from trading partners may further disrupt supply chains and increase operational challenges for companies within this sector. The machinery sector's reliance on global trade makes it particularly vulnerable to these geopolitical tensions, and the uncertainty surrounding trade policies is likely to weigh on investor sentiment.
 Moreover, the broader economic environment, characterized by rising inflationary pressures and potential interest rate hikes by the Federal Reserve, adds another layer of complexity for the machinery sector. As inflationary pressures build, the cost of capital may increase, potentially impacting investment in new machinery and equipment. The sector's performance is also closely tied to industrial production and construction activities, which may be adversely affected by the economic headwinds. While the long-term outlook for the machinery sector may improve if trade tensions ease and inflationary pressures subside, the current environment presents significant challenges that could hinder growth prospects in the near to medium term.
 Score: 45</t>
  </si>
  <si>
    <t>Sector Investment Report:
 The Trading Companies &amp; Distributors sector is currently navigating a complex landscape shaped by recent geopolitical and economic developments. The imposition of new tariffs by the Trump administration on imports from Canada, Mexico, and China is expected to have a significant impact on this sector. These tariffs are likely to disrupt supply chains and increase costs for companies involved in the distribution of goods across borders. The potential for retaliatory tariffs from trading partners further exacerbates the uncertainty, making it challenging for companies to plan and execute their distribution strategies effectively. As a result, the sector may face increased volatility and pressure on profit margins in the short to medium term.
 Moreover, the broader economic environment, characterized by rising inflationary pressures and potential trade wars, adds another layer of complexity for trading companies and distributors. The Federal Reserve's stance on interest rates, in response to inflation, could influence borrowing costs and investment decisions within the sector. Additionally, the ongoing global tech market crash, triggered by advancements in Chinese AI technology, may indirectly affect the sector by altering demand patterns and impacting the distribution of technology-related products. Overall, the Trading Companies &amp; Distributors sector is facing a challenging period, with significant headwinds that could impact its performance in the near future.
 Score: 45</t>
  </si>
  <si>
    <t>Market cap</t>
  </si>
  <si>
    <t>Investment Report:
 Advanced Micro Devices (AMD) is well-positioned to capitalize on the growing demand for AI and gaming technologies in 2025. The company's recent unveiling of its Ryzen AI Max processors and PRO variants at CES 2025 showcases its commitment to innovation and competitiveness in the semiconductor market.
 The latest news highlights AMD's efforts to challenge Nvidia's dominance in the AI datacenter market. While Nvidia currently holds over 90% market share, AMD is making strides with its hardware and software offerings, including the upcoming MI350 series. AMD's diversified revenue streams, spanning CPUs and GPUs, provide a cushion against potential slowdowns in AI hardware CapEx, unlike Nvidia's heavy reliance on datacenter GPUs.
 Financially, AMD appears attractive, with a forward P/E ratio of 25.23 and a price-to-book ratio of 3.69, suggesting potential value and growth opportunities. The company's strong fundamentals, including market share gains, innovation, and strategic partnerships, support its attractiveness for long-term investors, despite the risks of cyclicality and competition.
 The overall macroeconomic outlook, with expectations of strong earnings growth and continued resilience in the labor market, further bolsters the investment case for AMD. However, the potential for market volatility and concerns about inflation and uneven economic performance should be considered.
 Score: 90</t>
  </si>
  <si>
    <t>Investment Report:
 Amazon (NASDAQ: AMZN) has been a standout performer in the Broadline Retail industry, with its stock price surging 45.6% in 2024. The company's strong financial results, driven by its dominant position in e-commerce and the continued growth of its Amazon Web Services (AWS) cloud computing business, have been key factors behind its success.
 Recent News:
 - Amazon unveiled plans to offer satellite broadband in the UK, competing with Elon Musk's Starlink. This move could help the company expand its presence in the UK internet market.
 - The viewership of "Thursday Night Football" on Amazon Prime Video increased for the third straight season, up 11% from last season and 38% over the 2022 campaign.
 - A US judge ruled that Amazon must face a lawsuit accusing the company of hurting competition in the online superstore market, causing rival Zulily to lose sales and consumers to pay higher prices.
 Financials:
 - Amazon's financial performance has been strong, with the company reporting an 8.7% revenue increase and a 31.5% rise in operating profits in its North America segment in Q3 2024.
 - The company's international segment also turned profitable, with a $1.30 billion profit in Q3 2024, up from a $95 million loss in Q3 2023.
 - Amazon's profitability metrics, such as profit margins and return on equity, have been improving, indicating the company's ability to generate sustainable growth.
 Valuation and Economic Outlook:
 - Amazon's stock is currently trading at a forward P/E ratio of 11.85, which is lower than the industry average, suggesting potential upside.
 - The overall macroeconomic outlook for the US remains positive, with strong earnings growth expectations and a resilient labor market, although concerns about inflation and potential volatility persist.
 - The rise of emerging technologies, particularly artificial intelligence (AI), could further benefit Amazon's business, as the company continues to invest in and leverage these technologies.
 Score: 90</t>
  </si>
  <si>
    <t>Investment Report:
 Northrop Grumman (NOC) is a leading aerospace and defense company that has consistently delivered strong financial performance. The recent news highlights the company's ability to secure lucrative contracts, such as the $481.3 million deal to aid the Integrated Air and Missile Defense Battle Command System. This demonstrates Northrop Grumman's expertise in the missile defense systems market, which is a key growth area for the industry.
 Financially, Northrop Grumman appears well-positioned. The company's financial data shows a healthy balance sheet, with a strong market capitalization of over $11 billion and a relatively low debt-to-equity ratio. Additionally, the company's profitability metrics, such as profit margins and return on equity, are impressive, indicating efficient operations and effective management.
 The economic outlook for the aerospace and defense sector remains positive, with continued government spending on defense and national security initiatives. Northrop Grumman's diversified product portfolio and its focus on emerging technologies, such as missile defense systems, position the company well to capitalize on these industry trends.
 Overall, Northrop Grumman's strong financial performance, contract wins, and favorable industry outlook suggest that the company could be a compelling investment opportunity in the near to medium term.
 Score: 90</t>
  </si>
  <si>
    <t>Investment Report:
 EOG Resources, a leading shale producer, remains a compelling investment opportunity in the current market environment. The company's strategic acquisitions, efficient operations, and shareholder-friendly approach position it for sustained growth and high returns.
 Recent News:
 - EOG Resources is considered a top pick for 2025, with analysts maintaining a "Buy" rating on the stock.
 - The company's strong assets, particularly in the Delaware Basin and Utica shale, and minimal debt levels make it an attractive investment.
 - Despite market volatility, EOG's robust dividend and potential for capital appreciation offer attractive income and growth prospects for investors.
 Financials:
 - EOG's financial data shows a healthy balance sheet, with a low debt-to-equity ratio of 30.376 and a quick ratio of 1.323, indicating strong liquidity.
 - The company's profitability metrics, such as profit margins of 11.25% and return on equity of 5.93%, demonstrate its operational efficiency.
 - EOG's dividend yield of 1.73% and a payout ratio of 74.47% suggest a shareholder-friendly approach, further enhancing its investment appeal.
 Economic Outlook:
 - The overall macroeconomic environment remains mixed, with concerns about potential volatility, inflation, and uneven economic performance.
 - However, the expected strong earnings growth in the U.S. economy, coupled with the rise of emerging technologies like AI, offer significant growth opportunities for the energy sector.
 Score: 90</t>
  </si>
  <si>
    <t>Investment Report:
 Danaher Corporation (DHR) is a diversified conglomerate that operates in the Life Sciences Tools &amp; Services industry. The company's wide-moat business model, disciplined M&amp;A strategy, and focus on innovation have driven consistent financial performance and long-term growth potential.
 Recent News:
 - Danaher boasts a wide-moat business model with mission-critical products and recurring revenue streams, ensuring a durable competitive advantage.
 - The company's disciplined M&amp;A strategy and integration capabilities have driven significant value creation, supported by strong secular healthcare trends.
 - Danaher's 12.4% five-year CAGR and low payout ratio offer substantial growth potential for total return investors, despite a modest 0.5% dividend yield.
 - The company has an impressive earnings surprise history and is expected to beat estimates in its next earnings report, according to recent analysis.
 Financials:
 - Danaher's financial data shows a strong balance sheet, with a market capitalization of $21.55 billion, $192.5 million in total cash, and a low debt-to-equity ratio of 326.28%.
 - The company's profitability metrics, such as profit margins (9.11%), return on assets (7.41%), and return on equity (48.62%), are impressive.
 - Danaher's valuation metrics, including a forward P/E ratio of 17.26 and a price-to-sales ratio of 1.89, suggest the stock is reasonably priced.
 Economic Outlook:
 - The overall macroeconomic environment remains mixed, with concerns about potential volatility, inflation, and uneven economic performance.
 - However, the healthcare and life sciences sectors are expected to benefit from strong secular trends, which could positively impact Danaher's performance.
 - The rise of emerging technologies, particularly artificial intelligence, may also present growth opportunities for the company.
 Score: 90</t>
  </si>
  <si>
    <t>Investment Report:
 Salesforce (CRM) is a leading provider of cloud-based customer relationship management (CRM) software and a pioneer in the enterprise software industry. The company has been at the forefront of the artificial intelligence (AI) revolution, leveraging its powerful AI-driven platform to drive innovation and growth.
 Recent News:
 - Salesforce's AI-powered chatbots helped boost online sales during the 2024 holiday season, indicating the company's strong position in the AI-driven e-commerce space.
 - However, some analysts have expressed concerns about Salesforce's ability to effectively monetize its AI capabilities, as the technology becomes more widely adopted across the industry.
 - Despite these concerns, Salesforce's stock has continued to perform well, with the share price up 39% in the past four months, reflecting the market's confidence in the company's long-term growth prospects.
 Financials:
 - Salesforce's financial data shows a strong and stable business, with a market capitalization of over $316 billion, healthy profit margins, and robust cash flow generation.
 - The company's forward P/E ratio of 29.4 suggests that the stock may be reasonably valued, considering its growth potential.
 Economic Outlook:
 - The overall macroeconomic environment remains mixed, with concerns about inflation and potential market volatility. However, the continued growth of the AI and enterprise software sectors is expected to provide tailwinds for Salesforce.
 In summary, Salesforce's position as a leader in the AI-driven enterprise software market, coupled with its strong financial performance and growth prospects, make it an attractive investment opportunity in the current market environment.
 Score: 90</t>
  </si>
  <si>
    <t>Investment Report:
 United Airlines (UAL) is poised for a strong performance in 2025, driven by several positive developments. The company's recent announcement to partner with Elon Musk's Starlink for in-flight internet services is a significant move that could enhance the passenger experience and drive customer satisfaction. The planned rollout of Starlink connectivity on commercial flights as early as this spring is an accelerated timeline, indicating United's commitment to staying ahead of the curve in the industry.
 Financially, United Airlines has demonstrated impressive momentum, with a 138% return in 2024 and the potential for continued earnings growth. The company is forecasted to achieve an EPS of $10+ in 2024 and potentially $12+ in 2025, showcasing its ability to capitalize on the industry's recovery. United's return to capital returns, with a new $1.5 billion share buyback program, further underscores its financial strength and confidence in its long-term prospects.
 The overall macroeconomic outlook for the airline industry appears mixed, with concerns about potential volatility and uneven economic performance. However, United Airlines' focus on innovation, strong earnings growth, and capital returns position it well to navigate these challenges. The company's status as a top momentum stock and its appeal to value investors further enhance its investment potential.
 Score: 90</t>
  </si>
  <si>
    <t>Investment Report:
 Broadcom Inc. (AVGO) is a leading semiconductor company that has been experiencing strong growth momentum in recent months. The company's recent financial results have surpassed Wall Street's expectations, with its fourth-quarter earnings and revenue exceeding estimates. Broadcom's focus on application-specific integrated circuits (ASICs) used in artificial intelligence (AI) data center infrastructure has been a key driver of its success.
 The recent news highlights several positive factors for Broadcom:
 1. Broadcom's stock has more than doubled in 2024, reflecting the market's excitement around the "custom silicon" wave and the various industry-wide trends that are playing into the company's favor. Analysts have upgraded the stock to a "buy" rating, citing the potential for further revenue growth.
 2. Technical analysis of Broadcom's stock chart suggests a highly bullish outlook, with the stock in an accelerated uptrend, supported by strong moving averages and Bollinger Bands. This indicates that the stock may have room to continue its rally in 2025.
 3. Broadcom's valuation has reached the $1 trillion mark, a significant milestone that highlights the company's strong performance and growth potential. The stock's valuation more than doubled in 2024 as sales and profits have been soaring in recent quarters.
 The firm's financial data also paints a positive picture, with strong profitability metrics, healthy cash flow, and a solid balance sheet. The company's forward P/E ratio of 31.04 suggests that the stock may still be reasonably valued, despite its recent surge.
 Overall, the combination of Broadcom's strong financial performance, industry-leading position in AI-related semiconductors, and positive market sentiment suggests that the company may continue to be a solid growth stock in the near future.
 Score: 90</t>
  </si>
  <si>
    <t>Investment Report:
 Recent News: Alphabet Inc. (GOOGL), the parent company of Google, is considered a strong growth stock according to Zacks. The company's robust financial performance and growth prospects make it an attractive investment option.
 Financials: Alphabet's latest financial data shows strong fundamentals. The company has a market capitalization of over $2.4 trillion, with a healthy balance sheet, including $93.2 billion in total cash. Its profitability metrics, such as profit margins (27.7%) and return on equity (32.1%), are impressive. Additionally, the company's earnings and revenue growth rates of 36.6% and 15.1%, respectively, indicate solid business momentum.
 Valuations: Alphabet's valuation metrics, including a forward P/E ratio of 21.96 and a price-to-sales ratio of 7.11, suggest the stock is reasonably valued compared to its growth potential. The company's PEG ratio of 1.28 further supports the view that it is a growth stock trading at a reasonable price.
 Economic Outlook: The overall macroeconomic environment appears mixed, with concerns about inflation and potential market volatility. However, the expected strong earnings growth in the U.S. market, coupled with the rise of emerging technologies like AI, could benefit Alphabet's performance in the medium to long term.
 Score: 90</t>
  </si>
  <si>
    <t>Investment Report:
 Regeneron Pharmaceuticals continues to demonstrate strong growth, driven by the success of its key products. The recent FDA approval of Dupixent for COPD and the resilience of Eylea HD against biosimilars have contributed to the company's impressive Q3 earnings, which beat expectations with $3.72 billion in revenue and $11.54 EPS. Despite a drop in Eylea's revenue, Eylea HD's gains have helped offset this challenge.
 Regeneron's financial health remains robust, with $2.012 billion in cash, $7.785 billion in marketable securities, and a current ratio comfortably over 2. This solid financial position provides the company with the resources to invest in further growth and development.
 The recent news highlights Regeneron's diversified product portfolio and its ability to navigate industry challenges, such as the impact of biosimilars. The company's strong performance and financial stability make it an attractive investment option in the biotechnology sector.
 The macroeconomic outlook, with expectations of continued earnings growth and potential volatility, may also impact Regeneron's stock performance. However, the company's diversified growth and resilience in the face of industry headwinds suggest that it could be well-positioned to weather any market fluctuations.
 Score: 90</t>
  </si>
  <si>
    <t>Investment Report:
 Amphenol (APH) is a strong growth stock in the Electronic Components industry, as evidenced by its recent financial performance and positive industry outlook.
 Recent News:
 The company's stock has been buoyed by strong earnings growth, with Zacks reporting that Amphenol is a top pick for value, growth, and momentum investors. This suggests the company is well-positioned to capitalize on the ongoing trends in the electronic components market.
 Financials:
 Amphenol's financial data shows solid fundamentals, including a strong balance sheet, healthy profit margins, and robust cash flow generation. The company's forward P/E ratio of 33.02 indicates that the stock is reasonably valued, considering its growth potential.
 Valuation and Economic Outlook:
 The overall macroeconomic environment appears favorable for Amphenol, with the U.S. economy expected to see strong earnings growth in 2025. The rise of emerging technologies, such as artificial intelligence, could also drive demand for the company's electronic components, further supporting its growth prospects.
 Score: 90</t>
  </si>
  <si>
    <t>Investment Report:
 Nvidia (NASDAQ: NVDA) has been a standout performer in the semiconductor industry, driven by its dominance in the artificial intelligence (AI) chip market. The recent news highlights Nvidia's continued innovation and expansion into new areas, including robotics, autonomous vehicles, and media processing.
 The company's CEO, Jensen Huang, has been making a series of major announcements at CES 2025, showcasing Nvidia's latest advancements in AI, such as the GB10 super chip, the Cosmos robotics platform, and the high-performance GeForce RTX 50 series graphics cards. These developments have generated significant investor enthusiasm, as evidenced by the $124 billion increase in Nvidia's market value following the CES event.
 Nvidia's financial data also paints a positive picture, with strong revenue growth, healthy profit margins, and a robust balance sheet. The company's forward P/E ratio of 15.15 suggests that its stock may be reasonably valued, considering its growth potential in the AI and related markets.
 The macroeconomic outlook for the U.S. economy is mixed, with concerns about inflation and uneven economic performance, but the technology sector, particularly the AI segment, is expected to be a key driver of growth. Nvidia's dominant position in the AI chip market and its ability to capitalize on the increasing demand for AI-powered technologies make it well-positioned to benefit from these trends.
 Score: 90</t>
  </si>
  <si>
    <t>Investment Report:
 Recent News:
 The recent news highlights Progressive Corporation's (PGR) strong performance in the market, even as the overall market declines. The company has an impressive earnings surprise history and is expected to continue its growth trajectory. Progressive has received significant attention from investors, indicating its potential as a top growth stock for the long-term.
 Financials:
 Progressive's financial data shows a robust financial position. The company has a strong balance sheet, with a healthy cash position and manageable debt levels. Its profitability metrics, such as profit margins and return on assets and equity, are also impressive. The company's valuation, with a forward P/E ratio of 16.76, suggests that it is reasonably priced compared to its growth potential.
 Economic Outlook:
 The overall macroeconomic environment remains mixed, with concerns about persistent inflation and potential volatility in the market. However, the U.S. economy is expected to see strong earnings growth in 2025, which could benefit companies like Progressive. Additionally, the rise of emerging technologies, such as artificial intelligence, could present significant growth opportunities for the company.
 Conclusion:
 Given Progressive's strong financial performance, growth prospects, and the favorable macroeconomic outlook, the company appears to be a compelling investment opportunity in the Property &amp; Casualty Insurance industry. Investors should closely monitor the company's progress and the broader market conditions to make informed investment decisions.
 Score: 90</t>
  </si>
  <si>
    <t>Investment Report:
 Airbnb, Inc. (ABNB) has been attracting significant investor attention recently, and for good reason. The company is well-positioned to capitalize on the growing demand for vacation rentals and alternative accommodations, which has been accelerated by the COVID-19 pandemic.
 Recent News:
 The recent news highlights Airbnb's potential to be a top-performing stock in the coming years. The article suggests that Airbnb could be worth more than telecom giant Verizon in the next five years, indicating the company's strong growth prospects. This aligns with the company's recent financial performance, which has shown impressive revenue growth and profitability.
 Financials:
 Airbnb's financial data paints a positive picture. The company's stock is trading at a forward P/E ratio of 30.78, which is relatively high but not unreasonable given its growth potential. The company's profit margins, at 16.96%, are also healthy, and its free cash flow of $3.36 billion demonstrates its ability to generate significant cash.
 Economic Outlook:
 The overall economic outlook remains mixed, with concerns about inflation and potential market volatility. However, the continued recovery in the travel and hospitality industry, coupled with Airbnb's unique business model and strong brand recognition, could help the company navigate these challenges and deliver solid returns for investors.
 Score: 85</t>
  </si>
  <si>
    <t>Investment Report:
 The recent news indicates that Alexandria Real Estate Equities (ARE) may have reached a bottom, leading to an upgrade to a "Strong Buy" recommendation. Despite recent share price declines and a challenging market environment, ARE offers an attractive 5.3% yield, making it a compelling long-term investment.
 The company's financials remain strong, with solid AFFO and revenue growth. Management has expressed confidence in the stock's undervaluation and future upside potential. Additionally, ARE's balance sheet is robust, with low net debt to EBITDA and significant liquidity, positioning it well against peers like Healthpeak Properties and Omega Healthcare Investors.
 The macroeconomic outlook suggests a mixed picture, with the U.S. economy expected to see strong earnings growth, but also potential volatility and concerns about persistent inflation. However, the rise of emerging technologies, particularly artificial intelligence, could offer significant growth opportunities for the real estate sector.
 Overall, the recent news and financial data suggest that Alexandria Real Estate Equities may be an attractive investment opportunity, particularly for long-term investors seeking a stable and high-yielding REIT with strong fundamentals.
 Score: 85</t>
  </si>
  <si>
    <t>Investment Report:
 Zebra Technologies (ZBRA) is a leading provider of enterprise asset intelligence solutions, specializing in rugged mobile computers, barcode scanners, and other data capture and automation products. The recent news of Zebra's acquisition of Photoneo, a 3D machine vision solutions provider, is a strategic move that is expected to strengthen the company's product offerings and boost its position in the growing 3D machine vision market.
 The latest financial data shows that Zebra Technologies is in a relatively strong financial position, with a market capitalization of over $20 billion and a healthy balance sheet. The company's profitability metrics, such as profit margins and return on equity, are also solid, indicating a well-managed business. However, the stock's valuation, as reflected in the forward P/E ratio of 12.1, suggests that the market may have already priced in the company's growth potential.
 The overall economic outlook for the Electronic Equipment &amp; Instruments industry remains positive, with the rise of emerging technologies like artificial intelligence and automation driving demand for Zebra's products and solutions. The company's ability to capitalize on these trends and successfully integrate Photoneo's capabilities will be crucial in determining its future performance.
 Score: 85</t>
  </si>
  <si>
    <t>Investment Report:
 Nucor (NUE) stock has fallen over 30% in the past year, trading near its 52-week low of $112.25. However, the recent financial data suggests the company remains in a strong position.
 Nucor's financials show solid profitability, with a trailing P/E ratio of 11.6 and a forward P/E of 14.8, indicating the stock may be undervalued. The company's dividend yield of 1.8% is also attractive, and its payout ratio of 20.8% suggests the dividend is sustainable.
 The macroeconomic outlook is mixed, with concerns about potential volatility, inflation, and uneven economic performance. However, the steel industry is expected to benefit from the continued development of emerging technologies like AI, which could drive demand for Nucor's products.
 Additionally, the political landscape under the new administration may be more favorable for the steel industry, with a potentially more deregulatory environment. However, there are also concerns about the impact of tariff policies on the U.S. economy.
 Overall, Nucor's strong financial position, attractive valuation, and potential industry tailwinds make it a compelling investment opportunity, despite the mixed macroeconomic and political outlook.
 Score: 85</t>
  </si>
  <si>
    <t>Investment Report:
 Recent News: Northern Trust (NTRS) has a strong earnings surprise history, indicating the company's ability to consistently beat market expectations. This suggests the firm may outperform again in its upcoming earnings report.
 Financials: Northern Trust's financial data shows a healthy balance sheet, with a solid current ratio of 1.094 and a quick ratio of 0.905, indicating the company's ability to meet short-term obligations. The firm's profitability metrics, such as profit margins, return on assets, and return on equity, are also relatively strong, further supporting its financial stability.
 Valuations: Northern Trust's valuation metrics, including a forward P/E ratio of 16.24 and a price-to-book ratio of 4.50, suggest the stock may be reasonably valued compared to its peers. The company's dividend yield of 1.81% and payout ratio of 48.46% also make it an attractive option for income-oriented investors.
 Economic Outlook: The overall macroeconomic environment, with expectations of strong earnings growth and a resilient labor market, could provide a favorable backdrop for Northern Trust's performance. However, concerns about persistent inflation and potential market volatility may pose challenges.
 Score: 85</t>
  </si>
  <si>
    <t>Investment Report:
 NRG Energy (NRG) is a leading independent power producer and energy trader in the United States. The company's recent financial data and industry outlook suggest it could be a compelling value investment opportunity for the long-term.
 Recent News:
 The latest news highlights NRG Energy's position as a top value stock. The Zacks Style Scores, which evaluate stocks based on their value, growth, and momentum characteristics, have identified NRG as a strong value play. This indicates the stock is trading at a discount compared to its intrinsic value and could be poised for long-term growth.
 Financials:
 NRG's financial data shows a mixed picture. The company's valuation metrics, such as a forward P/E ratio of 13.6 and a price-to-book ratio of 10.8, suggest the stock is undervalued compared to its peers. However, its profitability metrics, including a profit margin of 3.4% and a return on equity of 31.9%, are relatively strong. The company also has a healthy balance sheet, with a current ratio of 1.17 and a manageable debt-to-equity ratio of 433%.
 Economic Outlook:
 The overall macroeconomic environment is expected to be mixed, with concerns about inflation and potential market volatility. However, the independent power and energy trading industry is likely to benefit from the continued growth in renewable energy and the transition towards a more sustainable energy mix. NRG's diversified portfolio of power generation assets and its focus on clean energy could position the company well to capitalize on these industry trends.
 Score: 85</t>
  </si>
  <si>
    <t>Investment Report:
 Micron Technology (MU) has been a standout performer in the semiconductor industry, leading a broad chip rally amid optimism over the growing demand for artificial intelligence (AI) infrastructure. The recent news highlights Micron's strong positioning in the AI memory market, with its data center revenue surging and high-bandwidth memory (HBM) revenue doubling sequentially in the latest quarter.
 The company's financial data also paints a positive picture, with a strong balance sheet, healthy profitability, and robust cash flow generation. However, the stock has faced some challenges, with a 14% decline in December 2024, which could present a buying opportunity for investors.
 The macroeconomic outlook remains mixed, with the U.S. economy expected to see strong earnings growth, but also potential volatility and concerns about inflation and uneven economic performance. The political landscape and the rise of emerging technologies, particularly AI, will also play a significant role in shaping the market's direction.
 Given Micron's strong positioning in the AI memory market, its solid financial performance, and the positive long-term outlook for the semiconductor industry, the stock could be an attractive investment opportunity for investors with a medium to long-term horizon.
 Score: 85</t>
  </si>
  <si>
    <t>Investment Report:
 Motorola Solutions (MSI) has seen impressive stock performance, with a 48.1% surge in the past year. This strong showing is backed by several factors, including healthy demand trends across various end markets, a flexible business model, and solid cash flow generation.
 The company's recent financial data highlights its robust position. Key metrics such as a forward P/E ratio of 16.06, a dividend yield of 2.88%, and a strong balance sheet with $574.6 billion in total cash showcase Motorola's financial strength. Additionally, the firm's profitability metrics, including a profit margin of 19.2% and a return on equity of 11.1%, indicate its ability to generate consistent earnings.
 The macroeconomic outlook also appears favorable for Motorola Solutions. The overall U.S. stock market is expected to see strong earnings growth of 12-13% in 2025, driven by resilient labor market conditions and continued technology sector momentum. While some concerns around inflation and uneven economic performance persist, the communications equipment industry is poised to benefit from the rising demand for advanced communication technologies.
 Score: 85</t>
  </si>
  <si>
    <t>Investment Report:
 Recent News:
 Microsoft has announced plans to invest $3 billion to expand its Azure cloud computing and AI capabilities in India. This investment is part of the company's broader strategy to strengthen its presence in the rapidly growing Indian market and capitalize on the increasing demand for cloud and AI services. Additionally, Microsoft has revealed plans to spend $80 billion on AI-enabled data centers in fiscal year 2025, with over half of the investment taking place in the United States. This significant investment underscores Microsoft's commitment to driving innovation and maintaining its leadership in the AI and cloud computing space.
 Financials:
 Microsoft's financial performance has been strong, with the company reporting a market capitalization of $17.97 billion and a trailing P/E ratio of 33.81. The company's revenue growth has been modest at 1.7%, but its earnings growth has been more robust at 3.9%. Microsoft's Azure cloud computing business has been a key driver of growth, and the company's investment in AI-enabled data centers is expected to further strengthen its competitive position in this rapidly evolving market.
 Valuation:
 Microsoft's stock is currently trading at a forward P/E ratio of 26.97, which is slightly above the industry average. However, the company's strong financial performance, growth prospects, and strategic investments in cloud and AI suggest that the stock may be undervalued. Analysts have a mean price target of $165.82 for the stock, indicating a potential upside of around 10% from the current trading price.
 Economic Outlook:
 The overall macroeconomic environment remains mixed, with concerns about inflation and potential volatility in the markets. However, the technology sector, particularly the cloud computing and AI segments, is expected to continue to perform well, driven by the increasing adoption of these technologies across various industries. Microsoft's strategic investments in these areas position the company well to capitalize on these trends and deliver strong returns for investors.
 Score: 85</t>
  </si>
  <si>
    <t>Investment Report:
 MSCI (MSCI), a leading provider of investment decision support tools, has demonstrated strong earnings growth and price strength, making it a stock to watch in the Financial Exchanges &amp; Data industry.
 Recent News:
 - MSCI's earnings are expected to grow by 12-13% in 2025, according to Strategas' Jason Trennert, indicating the company's strong performance.
 - The technology sector, including semiconductor stocks, has been a key driver of the overall market's performance, and MSCI's exposure to this sector could benefit from the continued growth.
 - However, the market is expected to be choppy in the near term, with potential volatility driven by macroeconomic and political factors, which could impact MSCI's stock price.
 Financials:
 - MSCI's financial data shows a strong balance sheet, with a market capitalization of $44.15 billion and a healthy cash position of $276 million.
 - The company's profitability metrics, such as profit margins (13.67%) and return on equity (10.89%), are also impressive.
 - MSCI's valuation, with a forward P/E ratio of 24.40, suggests that the stock may be reasonably priced, considering its growth potential.
 Economic Outlook:
 - The overall U.S. stock market is expected to be up 10-15% this year, according to Defiance ETFs CEO Sylvia Jablonski, which could benefit MSCI's performance.
 - However, the market may face challenges from persistent inflation, uneven economic performance, and potential policy changes, which could create volatility and impact MSCI's stock price.
 Score: 85</t>
  </si>
  <si>
    <t>Investment Report:
 Merck &amp; Co., Inc. (MRK) is a leading pharmaceutical company that has recently gained attention due to several positive developments. The company's recent approval by the UK's Medicines and Healthcare products Regulatory Agency (MHRA) for a therapy to treat a rare lung condition, pulmonary arterial hypertension, is a significant achievement that could expand its product portfolio and revenue streams.
 Financially, Merck's latest financial data shows a mixed picture. While the company's stock price has seen a 20% increase over the past year, outperforming the S&amp;P 500, its valuation metrics, such as a forward P/E ratio of 15.8, suggest that the stock may be reasonably priced. Additionally, Merck's strong financial position, with a healthy balance sheet and robust cash flow, provides a solid foundation for future growth.
 The overall economic outlook for the pharmaceutical industry remains positive, with the sector expected to benefit from the aging global population and the increasing demand for healthcare services. However, the industry also faces challenges, such as pricing pressures and regulatory changes, which could impact Merck's performance.
 Given the recent positive developments, Merck's strong financial position, and the favorable industry outlook, the company's stock appears to have potential investment value in the near term. Investors should closely monitor the company's progress in expanding its product portfolio and managing industry-specific challenges.
 Score: 85</t>
  </si>
  <si>
    <t>Investment Report:
 Recent News:
 Atmos Energy (ATO) has a strong earnings surprise history and the right combination of factors that suggest it could beat estimates in its upcoming earnings report. The company is seen as a good pick in the utility space, given its growth prospects, debt management, and ability to increase shareholder value. Atmos recently hiked its dividend for the 41st consecutive year and plans to invest $24 billion in capital expenditures over the next five fiscal years. The company possesses an A- credit rating from S&amp;P on a stable outlook.
 Financials and Valuation:
 Atmos Energy's financial data shows a trailing PEG ratio of None, indicating the stock may be fairly valued or potentially undervalued. The company's secure cash flow supports stable dividends, though its EPS growth is slower due to necessary debt and equity issuance for its capital programs.
 Economic Outlook:
 The overall U.S. economy is expected to see strong earnings growth of 12-13% in 2025, according to Strategas' Jason Trennert. However, the markets are likely to be choppy, indicating potential volatility ahead. Key macroeconomic indicators point to a mixed picture, with a resilient labor market, slowing business spending, and persistent inflation concerns.
 Score: 85</t>
  </si>
  <si>
    <t>Investment Report:
 The recent news highlights that 3M (MMM) is finally becoming a compelling investment opportunity, warranting an upgrade to a "Buy" rating. The company's strategic focus on high-growth markets and improved balance sheet health are seen as positive factors that justify this upgrade.
 Financially, 3M appears to be in a strong position. The company has raised its FY2024 guidance, and its year-to-date performance suggests the potential to outperform these numbers. Additionally, 3M's valuations appear compelling, with a forward P/E ratio of 17.71x, indicating the possibility of a double-digit capital appreciation if the stock's valuation is re-rated closer to its peers.
 The overall economic outlook, while mixed, does not seem to be the primary focus for investors in 3M. Instead, the market is likely more interested in the company's ability to execute on its plans to rejuvenate its fortunes and unlock shareholder value under the leadership of CEO Bill Brown.
 Score: 85</t>
  </si>
  <si>
    <t>Investment Report:
 Baker Hughes (BKR) has been a standout performer in the Energy sector, outpacing its peers since October 2022. This strong performance has been driven by the company's robust earnings, healthy cash flow, and significant margin expansion.
 The recent news highlights several key factors that support Baker Hughes' investment potential:
 1. New LNG Buildouts and Rising Global LNG Demand: The company's strong position in the LNG equipment market, evidenced by its major order from the Louisiana LNG project, positions it well to capitalize on the growing global demand for LNG. This trend is a significant growth catalyst for the firm.
 2. Earnings Estimate Upgrades and Favorable Valuation: Analysts have become increasingly bullish on Baker Hughes, with multiple earnings estimate upgrades and a favorable valuation given its growth profile and free cash flow yield.
 3. Resilient North American Operations: While the company may face potential near-term capex spending reductions in North America, its diversified business model and strong presence in the global LNG market help mitigate this risk.
 The firm's financial data further supports its investment potential, with a strong balance sheet, healthy profitability metrics, and attractive valuation ratios, such as a forward P/E of 12.3 and a price-to-book ratio of 1.28.
 Considering the positive industry trends, the company's strategic positioning, and its solid financial performance, Baker Hughes appears to be a compelling investment opportunity in the Oil &amp; Gas Equipment &amp; Services sector.
 Score: 85</t>
  </si>
  <si>
    <t>Investment Report:
 Chubb Limited (CB) is a leading global insurance provider in the Property &amp; Casualty Insurance industry. The company has a strong earnings surprise history, consistently beating analyst estimates in its quarterly reports. This, combined with the recent price correction, presents an attractive entry point for investors.
 Recent News:
 - Chubb's earnings are expected to beat estimates again in its next quarterly report, as the company has a history of positive earnings surprises.
 - Analysts have recently upgraded their rating on Chubb, citing the recent price correction as an opportunity to enter the stock at an attractive valuation.
 Financials:
 - Chubb's financial data shows a strong balance sheet, with a healthy current ratio of 0.386 and a manageable debt-to-equity ratio of 31.706.
 - The company's profitability metrics, such as profit margins, return on assets, and return on equity, are also impressive, indicating efficient operations.
 - Chubb's valuation, with a forward P/E ratio of 11.34, appears reasonable compared to the industry average.
 Economic Outlook:
 - The overall macroeconomic environment remains mixed, with concerns about potential volatility, inflation, and uneven economic performance.
 - However, the expected strong earnings growth in the U.S. stock market, particularly in the technology and semiconductor sectors, could benefit Chubb's performance.
 Score: 85</t>
  </si>
  <si>
    <t>Investment Report:
 Becton Dickinson (BDX) is a leading global medical technology company that develops, manufactures, and sells a wide range of medical devices and instruments. The recent news highlights that BDX is considered a top-ranked value stock, indicating its potential investment value.
 Financially, BDX appears to be in a strong position. The company's financial data shows solid performance, with a market capitalization of over $66 billion, a forward P/E ratio of 14.8, and a dividend yield of 1.75%. Additionally, BDX has a strong balance sheet, with a healthy current ratio of 1.85 and a manageable debt-to-equity ratio of 77.6%.
 The economic outlook for the healthcare equipment industry remains positive, driven by factors such as an aging population, increasing healthcare spending, and the ongoing demand for medical devices. The recent macroeconomic data suggests a mixed picture, with concerns about potential volatility and uneven economic performance. However, the healthcare sector is generally considered more resilient and less affected by broader economic fluctuations.
 Overall, Becton Dickinson appears to be a well-positioned company in the healthcare equipment industry, with solid financials, a strong market presence, and favorable industry trends. The recent news and financial data suggest that BDX could be a compelling investment opportunity for investors seeking exposure to the healthcare sector.
 Score: 85</t>
  </si>
  <si>
    <t>Investment Report:
 Corpay, a leading provider of transaction and payment processing services, is well-positioned to capitalize on the growing demand for digital payment solutions. The company's recent financial performance has been impressive, with strong sales growth, improving client retention, and successful initiatives driving organic revenue expansion.
 The latest financial data shows that Corpay's stock (CPAY) has a strong valuation, with a forward P/E ratio of 46.18 and a price-to-sales ratio of 1.61. The company's profitability metrics, such as profit margins and return on equity, also indicate a healthy financial position.
 Furthermore, the macroeconomic outlook remains favorable for the transaction and payment processing industry. The continued shift towards digital payments and the growing adoption of emerging technologies, such as artificial intelligence and blockchain, are expected to drive long-term growth in the sector.
 While the stock may face some near-term volatility due to broader market conditions, Corpay's solid fundamentals, innovative product offerings, and favorable industry trends make it a compelling investment opportunity for the medium to long term.
 Score: 85</t>
  </si>
  <si>
    <t>Investment Report:
 BlackRock, the world's largest asset manager, has seen its stock soar 26.3% in 2024, outperforming the broader market. The impressive performance was driven by the firm's strong push into private markets and rising demand for its exchange-traded funds (ETFs).
 The recent news highlights several key developments for BlackRock:
 1. BlackRock TCP Capital Rating Upgrade: Analysts have upgraded their rating on BlackRock TCP Capital, a subsidiary of BlackRock, indicating that the tide is turning for the firm's alternative investment business.
 2. FDIC Passivity Agreement Deadline: BlackRock has received a deadline from the FDIC to accept a passivity agreement, which would enable the regulator to raise scrutiny over the firm's investments in FDIC-regulated banks. This could potentially impact BlackRock's strategy and operations in the banking sector.
 Financially, BlackRock remains a strong performer. The firm's latest financial data shows robust metrics, including a market capitalization of over $156 billion, a forward P/E ratio of 20.95, and a dividend yield of 2.01%. The company's profitability, as measured by profit margins and return on equity, also remains healthy.
 The macroeconomic outlook for the asset management industry is mixed. While the U.S. economy is expected to see strong earnings growth in 2025, the stock market may face some volatility due to concerns about persistent inflation, uneven economic performance, and potential policy changes. However, the rise of emerging technologies, such as artificial intelligence, could present significant growth opportunities for firms like BlackRock.
 Score: 85</t>
  </si>
  <si>
    <t>Investment Report:
 Nordson Corporation, a leading manufacturer of precision dispensing equipment, has reinforced its position in the industrial machinery and supplies industry through a strategic acquisition strategy. The company's recent tuck-in acquisitions have expanded its product offerings and opened up new markets, complementing its organic growth.
 Nordson's strong financial performance is evident in its impressive dividend history, with 61 consecutive years of dividend increases and a 10-year dividend growth rate of 15.4%. This dividend aristocrat status underscores the company's financial stability and commitment to shareholder value.
 The latest financial data shows Nordson's solid fundamentals, including a market capitalization of $12 billion, a forward P/E ratio of 19.16, and a dividend yield of 2.98%. The company's profitability metrics, such as profit margins of 14.6% and a return on equity of 8.76%, further demonstrate its operational efficiency.
 The macroeconomic outlook for the industrial machinery and supplies industry remains positive, with the U.S. economy expected to see strong earnings growth in 2025. However, the market may experience some volatility due to concerns about persistent inflation and uneven economic performance.
 Overall, Nordson's strategic acquisitions, strong financial position, and favorable industry outlook make it a compelling investment opportunity in the industrial machinery and supplies sector.
 Score: 85</t>
  </si>
  <si>
    <t>Investment Report:
 Paychex, a leading provider of human resource and employment services, has not seen any significant news developments in the past week. However, the company's latest financial data provides insights into its current performance and valuation.
 Financials:
 Paychex's financial metrics indicate a strong and stable business. The company's profitability is reflected in its high profit margins of 25.8% and a healthy return on equity of 32.6%. Additionally, Paychex maintains a solid balance sheet with low debt levels and a current ratio of 1.192, suggesting good liquidity.
 Valuation:
 Paychex's valuation appears reasonable, with a forward P/E ratio of 23.75 and a price-to-book ratio of 7.69. The company's shares are trading near the middle of their 52-week range, and the average analyst price target of $220.75 suggests potential upside.
 Economic Outlook:
 The overall macroeconomic environment remains mixed, with concerns about persistent inflation and potential volatility in the stock market. However, the human resource and employment services industry is expected to benefit from the continued strength in the labor market, which could support Paychex's growth.
 Score: 85</t>
  </si>
  <si>
    <t>Investment Report:
 News Corp. (NWSA) is a leading global media and information services company that operates in the Publishing industry. The company's recent financial data shows strong performance, with a previous close of $116.94 and a current trading range between $117.17 and $119.51. News Corp. has a healthy dividend yield of 1.64% and a forward P/E ratio of 15.01, indicating potential growth opportunities.
 The company's financials highlight its robust financial position, with a market capitalization of $23.99 billion, a strong balance sheet, and healthy profitability metrics. News Corp. has a trailing P/E ratio of 21.73 and a price-to-book ratio of 21.21, suggesting the stock may be trading at a premium valuation.
 The overall economic outlook for the Publishing industry appears mixed, with concerns about persistent inflation and potential volatility in the broader market. However, the rise of emerging technologies, such as artificial intelligence, could present growth opportunities for companies like News Corp. that are adapting to the changing media landscape.
 Given the company's strong financial performance, growth prospects, and the industry's mixed outlook, News Corp. (NWSA) may be an attractive investment option for investors seeking exposure to the Publishing sector. The stock's potential investment value warrants further research and analysis.
 Score: 85</t>
  </si>
  <si>
    <t>Investment Report:
 Old Dominion, a leading player in the Cargo Ground Transportation industry, has not seen any significant news developments in the past week. However, the company's latest financial data provides insights into its current performance and valuation.
 Financials:
 - The company's stock has shown a mixed performance, with the share price fluctuating between $84.91 and $86.545 during the day's trading. The stock's previous close was $85.89.
 - Old Dominion's financial metrics, such as a trailing P/E ratio of 11.63 and a forward P/E ratio of 9.79, suggest the stock may be undervalued compared to its peers.
 - The company's profitability indicators, including a profit margin of 9.45% and a return on equity of 33.92%, indicate a relatively strong financial position.
 Valuation:
 - The stock's current market capitalization stands at $16.71 billion, with a price-to-sales ratio of 1.08, indicating the company may be trading at a reasonable valuation.
 - Analysts have a mean price target of $115.66 for the stock, with a range from $89 to $130, suggesting potential upside from the current trading levels.
 Economic Outlook:
 - The overall macroeconomic environment remains mixed, with concerns about persistent inflation and uneven economic performance. However, the transportation and logistics sector is expected to benefit from continued strength in the labor market and business spending.
 - The rise of emerging technologies, particularly artificial intelligence, could also present growth opportunities for companies like Old Dominion in the long term.
 Score: 85</t>
  </si>
  <si>
    <t>Investment Report:
 Recent News:
 NXP Semiconductors, a leading chipmaker, has announced plans to acquire Austria's TTTech Auto for $625 million. This strategic move aims to strengthen NXP's automotive operations, as the company seeks to capitalize on the growing demand for advanced automotive technologies. Additionally, NXP's executive has indicated that the company could generate between 8% and 10% of its revenue from India over the next three to five years, highlighting the firm's focus on emerging markets.
 Financials:
 NXP Semiconductors' financial data suggests a strong performance, with a market capitalization of over $3.6 billion and a healthy balance sheet. The company's profitability metrics, such as profit margins and return on assets, are impressive, indicating efficient operations. However, the firm's valuation, as reflected in its high price-to-earnings and price-to-book ratios, may raise concerns about potential overvaluation.
 Economic Outlook:
 The overall macroeconomic environment appears mixed, with the U.S. economy expected to see strong earnings growth but also facing potential volatility and challenges from factors like persistent inflation and uneven economic performance. The rise of emerging technologies, particularly artificial intelligence, could present significant growth opportunities for the semiconductor industry, including NXP Semiconductors.
 Score: 85</t>
  </si>
  <si>
    <t>Investment Report:
 Recent News:
 ON Semiconductor Corp. (ON) has been a trending stock in the market, with the company's shares outpacing the overall stock market in the latest trading session. The company's stock reached $64.51 at the closing of the latest trading day, reflecting a 0.94% change compared to its last close.
 The recent news highlights the potential value of ON Semiconductor as a long-term growth stock. Despite a 24.5% decline in the stock price last year, the market may have overreacted to the weakness in the company's key end markets during the previous 18 months. The long-term case for the stock remains compelling, as the company is well-positioned to benefit from the growing demand for semiconductor products.
 Financials:
 ON Semiconductor's financial data shows a strong financial position, with a market capitalization of $463.4 billion and an enterprise value of $601.8 billion. The company's profitability metrics, such as profit margins (20.4%) and return on assets (7.29%), indicate a healthy financial performance.
 Valuation:
 The stock's valuation metrics, including a forward P/E ratio of 23.49 and a price-to-sales ratio of 8.61, suggest that the stock may be trading at a discount compared to its peers. This could present an opportunity for investors to capitalize on the company's long-term growth potential.
 Economic Outlook:
 The overall macroeconomic outlook for the semiconductor industry remains positive, with the market expected to see strong earnings growth of 12-13% in 2025. The rise of emerging technologies, such as artificial intelligence, is expected to drive demand for semiconductor products, which could benefit ON Semiconductor in the long run.
 Score: 85</t>
  </si>
  <si>
    <t>Investment Report:
 Oracle Corporation, a leading provider of enterprise software and cloud services, has wrapped up its best year since 1999, with its stock rallying 60% in 2024. However, the company has recently experienced a post-earnings slump, which has led to a pullback in its stock price.
 The recent financial data shows that Oracle's stock is trading at a forward P/E ratio of 15.04, indicating that the market is pricing in future growth potential. The company's profitability metrics, such as profit margins and return on equity, remain strong, suggesting a healthy financial position.
 The macroeconomic outlook for the technology sector, particularly the application software industry, remains positive. The continued adoption of cloud-based solutions and the growing demand for enterprise software are expected to drive growth in the industry. Additionally, the rise of emerging technologies, such as artificial intelligence, could further benefit Oracle's product offerings.
 However, the company may face challenges from the ongoing economic uncertainty, potential policy changes, and increased competition in the cloud computing market. Investors should closely monitor the company's ability to adapt to these changing market conditions and maintain its competitive edge.
 Score: 85</t>
  </si>
  <si>
    <t>Investment Report:
 Paycom, a leading provider of human resource and employment services, has not seen any significant news developments in the past week. However, the company's latest financial data provides insights into its current performance and valuation.
 Financials:
 Paycom's financial metrics indicate a strong and stable business. The company's profitability is reflected in its high profit margins, with a net income margin of 31.98%. Additionally, Paycom's return on assets and return on equity are both impressive, at 12.03% and 45.67%, respectively. The company's balance sheet is also healthy, with a current ratio of 1.378 and a quick ratio of 0.599, suggesting good liquidity.
 Valuation:
 Paycom's valuation appears to be in line with industry standards. The company's forward P/E ratio of 25.61 is slightly higher than the industry average, but its PEG ratio of 4.072 suggests that the stock may be reasonably valued. The company's enterprise value-to-revenue ratio of 9.088 and enterprise value-to-EBITDA ratio of 20.462 also indicate that the stock is not significantly overvalued.
 Economic Outlook:
 The overall macroeconomic environment remains mixed, with concerns about potential volatility, inflation, and uneven economic performance. However, the human resource and employment services industry is expected to benefit from the continued strength of the labor market and the growing demand for HR technology solutions.
 Score: 85</t>
  </si>
  <si>
    <t>Investment Report:
 Recent News: L3Harris (LHX) is considered a strong value stock, according to the Zacks Style Scores, a feature of the Zacks Premium research service. The company's financial data shows a mixed picture, with a relatively high trailing P/E ratio of 32.27 but a more attractive forward P/E of 14.36. The stock's dividend yield of 2.27% and payout ratio of 73% also suggest it could be a value play.
 Financials: L3Harris' financial performance has been solid, with revenue growth of 7.7% and earnings growth of 4% in the latest reported period. The company's profitability metrics, such as profit margins of 5.71% and return on assets of 3.55%, are respectable. However, the company's debt-to-equity ratio of 67.73% may be a concern for some investors.
 Valuations: The stock is currently trading at a price-to-sales ratio of 1.83, which is lower than the industry average, indicating it may be undervalued. The company's price-to-book ratio of 2.04 also suggests the stock could be a value opportunity.
 Economic Outlook: The overall macroeconomic environment remains mixed, with concerns about inflation and potential volatility in the market. However, the aerospace and defense industry is expected to benefit from increased government spending and the continued development of new technologies, which could support L3Harris' growth.
 Score: 85</t>
  </si>
  <si>
    <t>Investment Report:
 Paccar (PCAR), a leading manufacturer of heavy-duty trucks, has seen its stock price increase by 0.4% in the latest trading session, despite the overall market slip. This performance can be attributed to the company's strong financial position and positive industry outlook.
 Recent News:
 Paccar's recent financial data shows a robust performance, with a market capitalization of over $20 billion and a strong balance sheet. The company's dividend yield of 2.2% and a payout ratio of 58.3% indicate a healthy and sustainable dividend policy. Additionally, Paccar's forward P/E ratio of 20.0 suggests that the stock may be reasonably valued compared to its earnings potential.
 Financials and Valuations:
 Paccar's financial data highlights its strong position in the industry. The company's revenue growth of 12.7% and earnings growth of 30% demonstrate its ability to capitalize on the growing demand for heavy-duty trucks. Furthermore, Paccar's profitability metrics, such as a gross margin of 21.1% and an EBITDA margin of 19.9%, suggest efficient operations and a competitive advantage.
 Economic Outlook:
 The overall macroeconomic environment appears to be mixed, with concerns about potential volatility, inflation, and uneven economic performance. However, the construction and transportation sectors are expected to benefit from the continued development of emerging technologies, such as artificial intelligence, which could drive further growth for Paccar.
 Score: 85</t>
  </si>
  <si>
    <t>Investment Report:
 PG&amp;E Corporation (PCG) is a top value stock in the Multi-Utilities industry, offering strong long-term investment potential. The recent financial data highlights the company's solid fundamentals, including a healthy dividend yield of 4.46%, a low beta of 0.56, and a forward P/E ratio of 16.97, indicating the stock is undervalued compared to its peers.
 The company's earnings growth of 49.3% and revenue growth of 8.4% in the latest quarter suggest the business is performing well. Additionally, PG&amp;E's strong cash flow generation, with $9.2 billion in free cash flow, provides financial flexibility and the ability to invest in growth initiatives.
 The macroeconomic outlook for the utilities sector remains positive, with the U.S. economy expected to see strong earnings growth of 12-13% in 2025. However, the market may face some volatility due to persistent inflation concerns and uneven economic performance.
 Despite the potential market choppiness, PG&amp;E's defensive characteristics, such as its low beta and stable dividend, make it an attractive long-term investment option for value-oriented investors. The company's focus on renewable energy and grid modernization also positions it well to benefit from the ongoing shift towards sustainable energy solutions.
 Score: 85</t>
  </si>
  <si>
    <t>Investment Report:
 Crown Castle, a leading communications infrastructure REIT, has seen its stock price decline significantly over the past year, down 57.24% from its all-time highs. However, this underperformance presents an attractive investment opportunity for investors.
 Recent News:
 - The company has announced a strategic review, including the potential sale of its fiber business, which could unlock value and improve its financial discipline.
 - Despite the stock's decline, Crown Castle's fundamentals remain strong, with rising data usage and increasing demand for network infrastructure.
 Financials:
 - Crown Castle's valuation metrics, including FFO and EBITDA multiples, indicate the stock is trading at a discount compared to its peers.
 - The company's dividend yield of nearly 7% is attractive, and its payout ratio of 25% suggests the dividend is sustainable.
 Economic Outlook:
 - The overall macroeconomic environment remains mixed, with concerns about inflation and potential volatility in the markets.
 - However, the continued growth in data usage and the need for communications infrastructure are expected to drive demand for Crown Castle's services, supporting the company's long-term prospects.
 In summary, Crown Castle's current undervaluation, high dividend yield, and strong business model make it an attractive investment opportunity for investors with a medium to long-term horizon. The company's strategic review and focus on financial discipline could further enhance its investment appeal.
 Score: 85</t>
  </si>
  <si>
    <t>Investment Report:
 Berkshire Hathaway, a diversified holding company, has not seen any recent news that would significantly impact its investment value. However, the firm's latest financial data provides insights into its current performance and valuation.
 Financials:
 Berkshire Hathaway's stock price has been trading in the range of $84.00 to $85.74 over the past week, with a previous close of $83.62. The company's dividend rate stands at $3.76, with a dividend yield of 4.04%. Its trailing P/E ratio is 14.52, and the forward P/E ratio is 12.77, indicating a relatively attractive valuation.
 Valuation and Outlook:
 Berkshire Hathaway's market capitalization is $18.12 billion, and its enterprise value is $22.49 billion. The company's price-to-sales ratio of 0.43 suggests that the stock may be undervalued compared to its peers. Additionally, the firm's profitability metrics, such as profit margins and return on assets and equity, are relatively strong.
 Economic Outlook:
 The overall macroeconomic environment remains mixed, with concerns about potential volatility, inflation, and uneven economic performance. However, the U.S. economy is expected to see strong earnings growth in 2025, which could benefit diversified companies like Berkshire Hathaway.
 Score: 85</t>
  </si>
  <si>
    <t>Investment Report:
 Recent News:
 The news highlights Boston Scientific's (BSX) strong performance, outpacing the broader market. The company's international expansion efforts and the success of its WATCHMAN device have contributed to investor optimism. Additionally, Boston Scientific has a history of positive earnings surprises, indicating its ability to consistently meet or exceed expectations.
 Financials:
 Boston Scientific's financial data shows a healthy company with solid profit margins, robust growth expectations, and a strong balance sheet. The company's profitability metrics, such as return on assets and return on equity, are impressive. Furthermore, Boston Scientific's valuation, as reflected in its forward P/E ratio, suggests that the stock may be reasonably priced, despite trading near its 52-week high.
 Economic Outlook:
 The overall macroeconomic environment appears favorable for the medical equipment industry, with the healthcare sector expected to continue its growth trajectory. Factors such as an aging population, advancements in medical technology, and the ongoing demand for innovative healthcare solutions are likely to benefit companies like Boston Scientific.
 Conclusion:
 Boston Scientific's recent performance, solid financials, and the positive industry outlook make it a potentially attractive investment option. The company's focus on international expansion and the success of its key products, such as WATCHMAN, suggest that it is well-positioned to capitalize on the growing demand for medical devices and equipment.
 Score: 85</t>
  </si>
  <si>
    <t>Investment Report:
 TE Connectivity (TEL) is a strong growth stock in the Electronic Manufacturing Services industry, offering long-term investment potential. The recent financial data and industry outlook suggest the following:
 Financials: TE Connectivity's financials are robust, with a healthy balance sheet, strong profitability metrics, and solid cash flow generation. The company's revenue growth, profit margins, and return on assets and equity indicate its ability to generate consistent earnings.
 Valuation: The stock's valuation metrics, such as the forward P/E ratio and price-to-book ratio, are reasonable compared to the industry average, suggesting the stock is not overpriced.
 Economic Outlook: The overall macroeconomic environment, with expected earnings growth and resilient labor market conditions, is favorable for the Electronic Manufacturing Services industry. The rise of emerging technologies, particularly artificial intelligence, could also benefit TE Connectivity's growth prospects.
 News: Recent news highlights TE Connectivity's position as a leading player in the industry, with its strong performance and growth potential. The company's focus on innovation and its ability to adapt to changing market dynamics are positive factors.
 In summary, TE Connectivity's solid financials, reasonable valuation, and favorable industry outlook make it a compelling long-term investment opportunity in the Electronic Manufacturing Services sector.
 Score: 85</t>
  </si>
  <si>
    <t>Investment Report:
 Blackstone Inc., a leading global investment management firm, has not seen any significant news developments in the past week. However, the company's latest financial data provides insights into its current performance and valuation.
 Financials:
 Blackstone's stock has shown a positive trend, with the previous close at $76.93 and the current open at $77.78. The stock has traded within a range of $77.61 to $78.69 during the day. The company's dividend rate stands at $1.88, with a dividend yield of 2.41%. Its trailing P/E ratio is 17.43, while the forward P/E ratio is 11.75, indicating potential growth opportunities.
 Valuation:
 Blackstone's market capitalization is $56.65 billion, and the stock is trading at a price-to-sales ratio of 3.18 for the trailing 12 months. The company's book value per share is $51.78, and the price-to-book ratio is 1.50, suggesting the stock may be undervalued compared to its book value.
 Economic Outlook:
 The overall macroeconomic environment remains mixed, with concerns about potential volatility, inflation, and uneven economic performance. However, the asset management industry is expected to benefit from the continued rise of emerging technologies, particularly artificial intelligence, which could drive growth opportunities for Blackstone.
 Score: 85</t>
  </si>
  <si>
    <t>Investment Report:
 Bank of America (BAC) is attracting significant investor attention due to its strong prospects for 2025. The bank is well-positioned to benefit from the Federal Reserve's higher-for-longer interest rate environment, which is expected to boost its net interest income. Additionally, the favorable economic backdrop, with the U.S. economy's growth and record stock market highs, creates a positive environment for cyclical bank stocks like Bank of America.
 The bank's Consumer Banking segment is thriving, with robust deposit growth, positioning it for cyclical profit growth in a growing economy. This, coupled with the bank's outperformance of the S&amp;P 500 Index in 2024, suggests that 2025 could be a strong year for Bank of America.
 The recent financial data shows that Bank of America's stock is trading at a forward P/E ratio of 11.95, indicating that it may be undervalued compared to its earnings potential. The bank's dividend yield of 2.29% also provides an attractive income stream for investors.
 Overall, the macroeconomic conditions, the bank's strong performance, and its attractive valuation make Bank of America a compelling investment opportunity in the Diversified Banks industry.
 Score: 85</t>
  </si>
  <si>
    <t>Investment Report:
 The recent news and financial data suggest that Leidos (LDOS) is a strong growth stock with solid earnings growth prospects and an impressive return on equity. The company's backlog is also rising, indicating a positive outlook.
 The stock has faced some selling pressure recently, with a 12.72% decline in the past four weeks. However, the stock appears to be in oversold territory, and there is strong agreement among Wall Street analysts in revising earnings estimates higher, which enhances the stock's potential for a turnaround in the near term.
 Leidos' financial data shows a healthy balance sheet, with a current ratio of 1.193 and a quick ratio of 0.486. The company's profitability metrics, such as profit margins and return on assets and equity, are also favorable.
 The overall economic outlook, with expectations of strong earnings growth and a positive market performance, further supports the investment case for Leidos. The company's exposure to the aerospace and defense sectors, which are expected to benefit from increased government spending, also adds to its appeal.
 Score: 85</t>
  </si>
  <si>
    <t>Investment Report:
 Recent News:
 The news highlights several positive factors for Southwest Airlines (LUV) that could make the stock an attractive investment option. The company is seeing upbeat air travel demand, which bodes well for its financial performance. Additionally, Southwest's fleet modernization efforts and shareholder-friendly moves, such as dividend payments, suggest the company is well-positioned to capitalize on the industry's recovery.
 Financials:
 Southwest's financial data indicates a strong financial position. The company has a healthy balance sheet, with a reasonable debt-to-equity ratio and good liquidity ratios. Its profitability metrics, such as profit margins and return on assets and equity, are also solid. The company's valuation, as reflected in its price-to-earnings and price-to-book ratios, appears reasonable compared to industry peers.
 Economic Outlook:
 The overall macroeconomic environment appears favorable for the airline industry. The resilient labor market and gradual cooling of inflation suggest continued strength in air travel demand. However, the market is expected to be choppy in the near term, with potential volatility driven by various factors, including political and economic developments.
 Score: 85</t>
  </si>
  <si>
    <t>Investment Report:
 Recent news indicates that LabCorp (LH) stock may be undervalued at the moment. The company's focus on high-growth areas and strategic partnerships have made investors increasingly optimistic about its prospects. Additionally, the latest financial data shows a trailing PEG ratio of 2.76, suggesting the stock may be trading at a discount compared to its earnings growth potential.
 The overall macroeconomic outlook, as discussed in the provided context, points to a mixed picture for the U.S. economy and stock market. While the market is expected to see strong earnings growth, there are concerns about potential volatility, inflation, and uneven economic performance. The rise of emerging technologies, particularly artificial intelligence, could also have a significant impact on the healthcare services industry in which LabCorp operates.
 Given the company's strategic positioning, financial metrics, and the broader economic and industry trends, LabCorp appears to have the potential to deliver solid returns for investors in the near term.
 Score: 85</t>
  </si>
  <si>
    <t>Investment Report:
 Recent News: Shares of homebuilder Lennar Corporation (LEN) are trading higher on Tuesday, indicating a potential rally may be on the horizon. This positive momentum could be driven by the company's strong financial performance and the overall resilience of the U.S. housing market.
 Financials: Lennar's recent financial data shows a healthy financial position. The company has a strong balance sheet, with a market capitalization of over $21 billion and a relatively low debt-to-equity ratio of 188.727. Additionally, Lennar's profitability metrics, such as a profit margin of 14.6% and a return on equity of 165%, suggest the company is generating solid earnings.
 Valuations: Lennar's valuation metrics, including a forward P/E ratio of 26.16 and a price-to-book ratio of 28.83, suggest the stock may be fairly valued or slightly overvalued compared to its peers. However, the company's strong financial performance and the positive outlook for the housing market could justify the current valuation.
 Economic Outlook: The U.S. housing market has remained resilient, with continued demand for new homes and a relatively low inventory of existing homes. This favorable market environment, coupled with the potential for further economic growth, could benefit Lennar and other homebuilders in the near term.
 Score: 85</t>
  </si>
  <si>
    <t>Investment Report:
 Disney's recent news highlights the company's efforts to bolster its live-event advertising capabilities. The partnerships with major demand-side platforms like Google's Display &amp; Video 360, The Trade Desk, and Yahoo DSP, as well as the new certification program for live sports and entertainment, demonstrate Disney's focus on enhancing its advertising offerings for live events. This move aligns with the broader trend of increasing advertiser demand for live content, which can provide higher engagement and more valuable audience data.
 Additionally, Disney's settlement with Fubo to relaunch the Venu sports streaming service suggests the company's willingness to invest in new sports streaming initiatives, despite the initial challenges faced. This strategic move could help Disney expand its reach in the rapidly evolving sports streaming landscape.
 From a financial perspective, Disney's recent financial data indicates a solid performance, with a market capitalization of over $51 billion and strong profitability metrics, such as a profit margin of 10.8% and a return on equity of 52.6%. The company's forward P/E ratio of 25.01 suggests that the stock may be reasonably valued, considering its growth potential.
 The overall macroeconomic outlook, as discussed earlier, points to a mixed picture, with concerns about potential volatility, inflation, and uneven economic performance. However, the expected earnings growth and the rise of emerging technologies like AI could provide tailwinds for Disney's performance.
 Score: 85</t>
  </si>
  <si>
    <t>Investment Report:
 Recent news indicates that Digital Realty (DLR) stock has gained 12.7% in the past three months, outperforming the broader market. This positive trend can be attributed to the company's strong positioning in the data center REIT industry, which is benefiting from the growing demand for cloud computing, the Internet of Things, and Big Data.
 The latest financial data shows that Digital Realty has a trailing price-to-earnings growth (PEG) ratio of 10.36, suggesting that the stock may be reasonably valued compared to its earnings growth potential.
 The macroeconomic outlook remains mixed, with the U.S. economy expected to see strong earnings growth of 12-13% in 2025, according to Strategas' Jason Trennert. However, the markets are likely to be choppy, indicating potential volatility ahead. Key factors such as the resilient labor market, slowing business spending, and persistent inflation concerns could impact the overall market performance.
 In the technology sector, the continued development and adoption of AI-powered technologies could significantly impact various industries, including the data center REIT segment. Digital Realty's unmatched global footprint and its ability to capitalize on these emerging trends position the company well for potential growth.
 Score: 85</t>
  </si>
  <si>
    <t>Investment Report:
 Constellation Energy (CEG) is well-positioned to capitalize on the growing demand for clean energy and the rise of emerging technologies like artificial intelligence (AI). The company's strategic investments in nuclear uprates, small modular reactors, and renewable energy projects position it as a leader in the transition to a sustainable energy future.
 Recent News:
 - Constellation Energy secured a landmark $1 billion contract to supply nuclear power to the U.S. government, underscoring the company's growing prominence in the clean energy sector.
 - The easing of hydrogen tax-credit rules is expected to benefit nuclear power plants, including Constellation Energy's assets, potentially allowing them to produce hydrogen and diversify their revenue streams.
 - Constellation Energy's stock has climbed over 8% on the back of these positive developments, reflecting the market's confidence in the company's ability to navigate the evolving energy landscape.
 Financials and Valuation:
 - Constellation Energy's financial position remains strong, with a BBB+ credit rating and low leverage, providing it with the flexibility to continue investing in growth initiatives.
 - The company's profitability metrics, such as profit margins and return on assets and equity, are solid, indicating its ability to generate consistent earnings.
 - However, Constellation Energy's high valuation, with a P/E ratio of 29.3x, may limit its immediate upside potential, as the market has already priced in its growth prospects.
 Economic Outlook:
 - The U.S. economy is expected to see strong earnings growth in 2025, driven by factors like the AI revolution and data center expansion, which could further boost demand for Constellation Energy's services.
 - Persistent inflation concerns and potential policy changes, such as the impact of President Trump's tariff policies, may introduce some volatility in the market, but Constellation Energy's focus on clean energy and its diversified revenue streams could help it navigate these challenges.
 Score: 85</t>
  </si>
  <si>
    <t>Investment Report:
 Recent News:
 Quest Diagnostics (DGX) has a strong earnings surprise history and the right combination of factors that suggest it is poised to beat earnings estimates again. The company's strength in the base business and robust adoption of Advanced Diagnostics services bode well for its future performance.
 Financials:
 Quest Diagnostics' financial data shows a healthy financial position. The company has a market capitalization of $16.99 billion, a forward P/E ratio of 15.65, and a dividend yield of 1.97%. Its profitability metrics, such as profit margins (8.82%) and return on equity (13.22%), are also impressive.
 Valuation:
 The stock is currently trading at a discount to its 52-week high of $165.32, with a price target range of $153 to $185, suggesting potential upside. The company's valuation metrics, including a price-to-sales ratio of 1.78 and a price-to-book ratio of 2.50, appear reasonable.
 Economic Outlook:
 The overall macroeconomic environment remains mixed, with concerns about inflation and potential volatility in the market. However, the healthcare sector, particularly the diagnostic services industry, is expected to continue performing well, driven by the aging population and the increasing demand for healthcare services.
 Score: 85</t>
  </si>
  <si>
    <t>Investment Report:
 Healthpeak Properties, a leading healthcare REIT, has demonstrated strong fundamentals and strategic positioning in the market. Despite recent price declines, the company's robust portfolio, low leverage, and focus on life-science assets make it an attractive investment opportunity.
 The recent news highlights the REIT's resilience, with a well-covered 6% yield and AFFO growth potential. The tightening supply in the lab space market and increased biotech capital raise Healthpeak's valuation prospects, justifying a conservative P/AFFO of 14-16x.
 Healthpeak's financial data shows a stable balance sheet, with a low debt-to-equity ratio and healthy liquidity ratios. The company's profitability metrics, such as profit margins and return on assets and equity, are also favorable.
 The overall economic outlook, with expectations of continued earnings growth and potential volatility, may provide a supportive environment for Healthpeak's performance. The rise of emerging technologies, particularly in the healthcare and life-science sectors, could further enhance the company's growth prospects.
 Score: 85</t>
  </si>
  <si>
    <t>Investment Report:
 Cencora (COR), a leading healthcare distributor, has recently made a strategic move by acquiring Retina Consultants of America (RCA). This acquisition is expected to expand Cencora's specialty healthcare and managed service organization (MSO) solutions, strengthening its position in the industry.
 The latest financial data shows that Cencora has raised its annual adjusted profit forecast, indicating a positive outlook for the company's performance. Additionally, the stock has been upgraded to a Zacks Rank #2 (Buy), reflecting growing optimism about the company's earnings prospects.
 The firm's financial metrics are also encouraging, with a strong balance sheet, healthy profit margins, and a solid return on assets and equity. The company's valuation, as indicated by the forward P/E ratio of 21.72, suggests that the stock may be reasonably priced.
 However, the macroeconomic outlook remains mixed, with concerns about potential volatility, inflation, and uneven economic performance. The political landscape and the rise of emerging technologies, particularly AI, will also play a significant role in shaping the market's direction.
 Overall, Cencora's recent strategic acquisition, positive earnings outlook, and solid financial performance make it a potentially attractive investment opportunity in the healthcare distribution sector. Investors should closely monitor the company's progress and the broader market conditions to make informed investment decisions.
 Score: 85</t>
  </si>
  <si>
    <t>Investment Report:
 Chipotle Mexican Grill (CMG) has been attracting significant investor attention lately, and for good reason. The company has a strong earnings surprise history, consistently beating analysts' estimates. This suggests that Chipotle possesses the right combination of factors to potentially outperform in its upcoming earnings report.
 The recent news highlights Chipotle's impressive growth attributes, which could help it outperform the market. The company's financial data also paints a positive picture, with a strong balance sheet, healthy profit margins, and solid financial ratios. Chipotle's valuation, as indicated by its forward P/E ratio of 27.26, suggests that the market is pricing in continued growth potential.
 However, the company's high trailing P/E ratio of 45.59 and the overall mixed macroeconomic outlook may introduce some volatility in the near term. Investors should closely monitor the company's performance and any potential impact from broader economic and industry trends.
 Score: 85</t>
  </si>
  <si>
    <t>Investment Report:
 Cigna (CI) remains a strong player in the health insurance industry, despite the challenges faced by the sector. The company has demonstrated resilience in managing its medical benefits ratios (MBRs) and maintaining profitability, even as competitors like Humana, UnitedHealth, and CVS Health have seen their margins squeezed.
 Recent News:
 The health insurance industry has faced backlash over its managed care practices, which have been perceived as burdensome for healthcare providers. However, Cigna has managed to navigate these challenges and maintain its position as a leading player in the market.
 Financials:
 Cigna's financial data shows a strong performance, with a market capitalization of over $80 billion and a healthy balance sheet. The company's profitability metrics, such as profit margins and return on assets, are also impressive. Additionally, Cigna's valuation ratios, including a forward P/E of 44.5, suggest that the stock may be undervalued compared to its growth potential.
 Economic Outlook:
 The overall economic outlook for the healthcare sector remains positive, with the aging population and the continued demand for medical services driving growth. However, the industry is also facing challenges, such as rising healthcare costs and regulatory changes. Cigna's diversified business model and strong market position should help it navigate these challenges and capitalize on the industry's growth opportunities.
 Score: 85</t>
  </si>
  <si>
    <t>Investment Report:
 Cadence Design Systems (CDNS) has been outperforming the broader market, closing at $308.14 in the latest trading session, a 1.41% increase from the prior day. The company's recent financial data shows a mixed picture, with a trailing P/E ratio of 31.3 and a forward P/E ratio of 38.76, indicating potential overvaluation. However, the company's profitability metrics, such as profit margins of 10.86% and a return on equity of 5.83%, suggest strong financial performance.
 The macroeconomic outlook for the Application Software industry remains positive, with the overall U.S. stock market expected to be up 10-15% this year, driven by strong earnings growth. The rise of emerging technologies, particularly artificial intelligence (AI), is also expected to be a key driver for the industry, which could benefit Cadence Design Systems as a leading provider of electronic design automation (EDA) software.
 However, the market is likely to be choppy in the near term, with potential volatility driven by macroeconomic and political factors, such as concerns about persistent inflation and the impact of the new administration's policies. Additionally, the uneven economic performance across different sectors could pose challenges for the company's growth.
 Overall, Cadence Design Systems appears to be well-positioned to capitalize on the industry's growth opportunities, but investors should be prepared for potential short-term volatility and the impact of broader economic and political developments.
 Score: 85</t>
  </si>
  <si>
    <t>Investment Report:
 Copart, a leading provider of online vehicle auctions and remarketing services, has not seen any significant news developments in the past week. However, the company's latest financial data provides insights into its current performance and valuation.
 Financials:
 Copart's financial metrics indicate a strong and profitable business. The company has a healthy balance sheet, with a current ratio of 1.7 and a quick ratio of 0.796, suggesting good liquidity. Profitability measures, such as profit margins (11.9%) and return on equity (22.8%), are also favorable. The company's revenue growth of 7.2% and earnings growth of 69% further demonstrate its financial strength.
 Valuation:
 Copart's valuation appears reasonable, with a forward P/E ratio of 29.5 and a price-to-book ratio of 6.58. The company's enterprise value-to-revenue and enterprise value-to-EBITDA ratios of 3.74 and 14.95, respectively, are within industry norms. Analysts have a mean price target of $278.29, suggesting potential upside from the current market price.
 Economic Outlook:
 The overall macroeconomic environment remains mixed, with concerns about inflation and potential market volatility. However, the U.S. economy is expected to see strong earnings growth in 2025, which could benefit Copart's performance. Additionally, the continued development and adoption of emerging technologies, such as artificial intelligence, may create new opportunities for the company.
 Score: 85</t>
  </si>
  <si>
    <t>Investment Report:
 Charles River Laboratories (CRL) is a leading provider of products and services to support the drug discovery and development process. The company's recent financial data and industry outlook suggest a favorable investment opportunity for investors.
 Recent News:
 - CRL's Research Models and Services (RMS) segment, which accounts for a significant portion of the company's revenue, has shown solid prospects. The segment's strong performance is expected to continue, driven by increased demand for research models and services.
 - The company's financial stability, as evidenced by its strong balance sheet and cash flow, provides a solid foundation for future growth and investment.
 Financials:
 - CRL's financial data indicates a healthy financial position, with a strong balance sheet, robust cash flow, and reasonable valuation metrics. The company's profitability ratios, such as profit margins and return on equity, are also favorable.
 - The company's forward P/E ratio of 9.69 suggests that the stock may be undervalued compared to its peers, providing an attractive entry point for investors.
 Economic Outlook:
 - The overall macroeconomic environment, as outlined in the provided summary, appears to be mixed, with concerns about potential volatility and uneven economic performance. However, the expected strong earnings growth in the U.S. market and the rise of emerging technologies, such as AI, could benefit CRL's business and drive future growth.
 In conclusion, Charles River Laboratories' solid prospects in the RMS segment, strong financial stability, and favorable valuation create a positive outlook for investors. The company's ability to navigate the current economic landscape and capitalize on industry trends will be crucial in determining its future performance.
 Score: 85</t>
  </si>
  <si>
    <t>Investment Report:
 Recent News: CrowdStrike, the cybersecurity firm, has managed to recover from a major crisis last year. The company's CEO claims that they have turned the previous year's outage, caused by a botched software update, into an opportunity. This incident highlighted the critical role CrowdStrike plays in protecting businesses from cyber threats in the digital age.
 Financials: CrowdStrike's financial data shows a strong performance, with a market capitalization of over $90 billion and a forward P/E ratio of 83.43. The company's revenue growth rate of 31.7% and earnings growth of 5.33% indicate a robust business model. Additionally, CrowdStrike's profitability metrics, such as profit margins of 4.84% and a return on equity of 7.33%, suggest the company is well-positioned to capitalize on the growing demand for cybersecurity solutions.
 Valuation: CrowdStrike's stock price has seen a 31.14% increase over the past 52 weeks, outperforming the S&amp;P 500's 24.93% gain. The company's shares are trading at a premium, with a price-to-sales ratio of 25.66 and a price-to-book ratio of 38.46. However, the strong growth prospects and the critical nature of CrowdStrike's services may justify the valuation.
 Economic Outlook: The overall macroeconomic environment remains mixed, with concerns about persistent inflation and potential volatility in the stock market. However, the continued digitalization of businesses and the increasing threat of cyber attacks are expected to drive demand for CrowdStrike's services. The rise of emerging technologies, such as artificial intelligence, could also benefit the company's growth.
 Score: 85</t>
  </si>
  <si>
    <t>Investment Report:
 Cummins (CMI) has been performing well, with an impressive earnings surprise history and a recent upgrade to a Zacks Rank #2 (Buy), indicating growing optimism about the company's earnings prospects. This positive outlook could drive the stock higher in the near term.
 The recent news highlights Cummins' ability to consistently beat earnings estimates, which is a positive sign for investors. Additionally, the company's financial data shows strong performance, with a healthy balance sheet, solid profitability metrics, and a reasonable valuation compared to its peers.
 The macroeconomic outlook for the Construction Machinery &amp; Heavy Transportation Equipment industry appears mixed, with concerns about potential volatility, inflation, and uneven economic performance. However, the rise of emerging technologies, particularly AI, could offer significant growth opportunities for companies like Cummins.
 Overall, Cummins' recent performance, financial strength, and positive industry outlook suggest that the stock could be a compelling investment opportunity for the next month.
 Score: 85</t>
  </si>
  <si>
    <t>Investment Report:
 Centene Corporation, a leading managed healthcare company, remains well-positioned for growth in the coming months. The recent financial data and news highlights several compelling reasons for investors to hold on to Centene stock.
 Firm News:
 - Centene reported strong Q3'24 results, beating revenue expectations and achieving impressive EPS growth, driven by Medicaid rate increases and membership expansion.
 - The company has successfully navigated Medicaid reprocurements, improved its 2025 Medicare Advantage star ratings, and made advancements in AI for operational efficiency, positioning it for long-term growth.
 - Despite some leverage, Centene's investment-grade rating and attractive debt maturities suggest financial stability, with a promising outlook for EPS growth and Medicare revenue.
 Firm Financials:
 - Centene's financial data indicates a healthy balance sheet, with strong cash reserves, investment-grade credit rating, and manageable debt levels.
 - The company's valuation metrics, such as a forward P/E ratio of 8.56 and a price-to-book ratio of 1.17, suggest the stock is trading at an attractive value compared to its peers.
 Economic Outlook:
 - The overall macroeconomic environment remains mixed, with concerns about potential volatility, inflation, and uneven economic performance. However, the managed healthcare industry is expected to continue benefiting from favorable demographic trends and increased demand for healthcare services.
 Score: 85</t>
  </si>
  <si>
    <t>Investment Report:
 Eli Lilly and Company (LLY) has been attracting significant investor attention lately, and for good reason. The pharmaceutical giant has demonstrated strong financial performance, with impressive revenue growth of 20.4% and robust profit margins of over 40%. 
 The recent financial data shows that Lilly is in a solid financial position, with a strong balance sheet, healthy cash flow, and a manageable debt load. The company's valuation metrics, such as a forward P/E ratio of 33.8, suggest that the stock may be reasonably priced, considering its growth potential.
 However, the company faces some risks, including audit, board, and shareholder rights risks, which investors should consider. Additionally, the pharmaceutical industry is highly competitive and subject to regulatory changes, which could impact Lilly's future performance.
 The overall macroeconomic outlook, with expectations of continued earnings growth and market volatility, could also affect Lilly's stock performance in the short to medium term. The rise of emerging technologies, particularly in the healthcare sector, may also present both opportunities and challenges for the company.
 Score: 85</t>
  </si>
  <si>
    <t>Investment Report:
 Lockheed Martin (LMT), a leading aerospace and defense company, has seen its stock price increase by 0.53% in the most recent trading session, despite the overall market slip. This positive performance can be attributed to the company's strong financial standing and its position as a key player in the defense industry.
 The recent financial data shows that Lockheed Martin has a trailing P/E ratio of 10.953, indicating that the stock is undervalued compared to its earnings. Additionally, the company's forward P/E ratio of 28.403 suggests that the market expects future earnings growth. The company's market capitalization of $17.84 billion and its 52-week high of $87.45 further demonstrate its financial strength and investor confidence.
 The macroeconomic outlook for the aerospace and defense industry remains positive, with the U.S. government's continued focus on national security and defense spending. The recent political developments, such as the transition to a new administration, may also present opportunities for Lockheed Martin to secure new contracts and expand its market share.
 However, investors should be mindful of potential challenges, such as supply chain disruptions, labor shortages, and geopolitical tensions, which could impact the company's operations and financial performance.
 Score: 85</t>
  </si>
  <si>
    <t>Investment Report:
 Medtronic (MDT) is a leading medical technology company that has demonstrated strong fundamentals and growth potential. The recent news highlights several positive factors for the firm:
 1. Dividend Aristocrat Status: Medtronic has a long history of consecutive dividend increases, making it a Dividend Aristocrat. This provides income potential for investors with a 3.5% dividend yield.
 2. Valuation Upside: Medtronic's forward P/E ratio of 14.9 is well below its historical average, suggesting the stock may be undervalued and poised for potential valuation expansion.
 3. Innovation and Growth: Medtronic has been driving revenue and earnings growth through innovation in high-growth healthcare segments, despite recent share price underperformance.
 4. Strong Financials: The firm's financial data shows solid metrics, including a healthy balance sheet, strong profitability, and robust cash flow generation.
 The overall macroeconomic outlook, with expectations of continued earnings growth and potential market volatility, could provide a favorable environment for Medtronic's defensive characteristics and growth prospects.
 Score: 85</t>
  </si>
  <si>
    <t>Investment Report:
 MetLife (MET) remains well-positioned for growth, driven by a strong performance in its Group Benefits segment, strategic partnerships, and a solid financial position.
 Recent News:
 - MetLife's Group Benefits segment has been a standout performer, contributing to the company's overall growth. The segment's strong performance can be attributed to increased demand for group insurance products and effective cost management.
 - The company has also been actively forging partnerships to expand its reach and diversify its offerings. These partnerships have the potential to unlock new revenue streams and enhance MetLife's competitive edge.
 - Financially, MetLife is in a robust position, with a healthy balance sheet and ample liquidity. This financial strength provides the company with the flexibility to navigate market uncertainties and pursue strategic initiatives.
 Financials:
 - MetLife's financial data indicates a stable and well-performing business. The company's profitability metrics, such as profit margins and return on equity, are within acceptable ranges, suggesting efficient operations.
 - The company's valuation metrics, including a forward P/E ratio of 8.46 and a price-to-book ratio of 1.84, suggest that the stock may be undervalued compared to its peers.
 - MetLife's dividend yield of 2.66% and a payout ratio of 43.2% provide an attractive income stream for investors.
 Economic Outlook:
 - The overall macroeconomic environment remains mixed, with concerns about persistent inflation and potential volatility in the stock market. However, the life and health insurance industry is expected to benefit from the continued strength in the labor market and the growing demand for insurance products.
 Score: 85</t>
  </si>
  <si>
    <t>Investment Report:
 Meta Platforms, the parent company of Facebook, Instagram, and WhatsApp, has made several notable moves in recent weeks that could impact its future direction and investment potential.
 The appointment of UFC President Dana White, a prominent supporter of former President Donald Trump, to Meta's board of directors is a significant development. This move, along with the elevation of Republican policy executive Joel Kaplan to the position of global affairs head, suggests that Meta is seeking to deepen its ties with conservative political figures and policies. This could have implications for the company's regulatory environment and public perception, particularly in the current political climate.
 Financially, Meta continues to demonstrate strong growth, with impressive margins in its core advertising business. The company's stock has seen a significant rebound, up over 400% in the last two years. However, the market's reaction to Meta's increased capital expenditure plans has been muted, as the company seeks to ramp up its investments in emerging technologies like artificial intelligence (AI).
 The economic outlook for the U.S. is mixed, with concerns about potential volatility, inflation, and uneven economic performance. However, the technology sector, particularly the semiconductor industry, is expected to be a key driver of growth. Meta's focus on AI could position the company well to capitalize on these trends.
 Overall, Meta's recent strategic moves, combined with its strong financial performance and the broader economic outlook, suggest that the company may continue to be an attractive investment option. However, investors should closely monitor the potential impact of political and regulatory developments, as well as the company's ability to execute on its AI and other technology initiatives.
 Score: 85</t>
  </si>
  <si>
    <t>Investment Report:
 Jabil (JBL) has seen its shares rise by a remarkable 32.5% in the past 6 months, outperforming the broader market. This uptrend can be attributed to several factors:
 1. Healthy Demand Across Multiple End Markets: Jabil is benefiting from strong demand in various industries, including automotive, healthcare, and 5G infrastructure, which is driving its revenue growth.
 2. Solid Growth in Free Cash Flow: The company has demonstrated impressive free cash flow generation, which has increased by 15% year-over-year, providing financial flexibility and supporting its growth initiatives.
 3. Integration of Artificial Intelligence (AI): Jabil's strategic focus on integrating AI-powered technologies across its operations is expected to enhance its operational efficiency and competitiveness.
 Financials:
 Jabil's recent financial data shows a strong performance, with a market capitalization of $16.98 billion, a forward P/E ratio of 15.02, and a healthy dividend yield of 0.22%. The company's profitability metrics, such as profit margins and return on equity, are also impressive.
 Economic Outlook:
 The overall macroeconomic environment remains mixed, with concerns about inflation and potential volatility in the stock market. However, the technology and semiconductor sectors, where Jabil operates, are expected to continue their strong performance, driven by the growing demand for AI-powered solutions and the ongoing digital transformation across various industries.
 Score: 85</t>
  </si>
  <si>
    <t>Investment Report:
 Intuit (INTU) is well-positioned for strong earnings growth in the coming years, driven by favorable macroeconomic conditions and successful upmarket penetration of its premium products. The recent news highlights Intuit's ability to capitalize on the improving US economy, with lower inflation, reduced interest rates, and higher consumer confidence, all of which benefit the company's business environment.
 Intuit's premium offerings, such as QBO Advanced and Intuit Enterprise Suite, have shown robust demand, with revenue growth of 42% year-over-year in the first quarter of 2025. This indicates the company's successful efforts to expand its presence in the upmarket segment, which could contribute to its overall earnings growth.
 The financial data provided further supports Intuit's positive outlook, with a strong balance sheet, healthy profitability metrics, and a reasonable valuation. The company's forward P/E ratio of 28.31 suggests that the stock is not overpriced, and the potential for earnings growth could make it an attractive investment option.
 Overall, the combination of favorable macroeconomic conditions, successful upmarket penetration, and solid financial performance makes Intuit a compelling investment opportunity in the Application Software industry.
 Score: 85</t>
  </si>
  <si>
    <t>Investment Report:
 IQVIA, a leading provider of advanced analytics, technology solutions, and contract research services to the life sciences industry, is well-positioned to benefit from the growing global demand for its services. The company's vast data assets and robust IT infrastructure have been key drivers of its recent performance, even amid the broader market volatility.
 The recent news highlights IQVIA's ability to capitalize on its $330-billion addressable market and its extensive data resources, which are crucial competitive advantages in the life sciences tools and services industry. The company's strong financial metrics, including a forward P/E ratio of 16.7 and a profit margin of 9.1%, further underscore its attractive investment potential.
 However, the stock has experienced a 10.9% decline over the past 52 weeks, underperforming the S&amp;P 500's 24.9% gain. This underperformance may be attributed to the broader market conditions, including concerns over inflation and the potential impact of economic slowdown on the life sciences sector.
 Despite these challenges, the long-term outlook for IQVIA remains positive, driven by the continued growth in the life sciences industry and the company's ability to leverage its data and technology capabilities to drive innovation and expand its market share.
 Score: 85</t>
  </si>
  <si>
    <t>Investment Report:
 Recent News: PepsiCo, the global leader in the soft drinks and non-alcoholic beverages industry, has been highlighted as a "Super-Safe High-Yield Dividend King Stock" that could be a good investment even in the event of a stock market sell-off in 2025. This suggests that the company's strong financial position and consistent dividend payouts make it an attractive option for long-term investors, particularly during periods of market volatility.
 Financials: PepsiCo's latest financial data shows a healthy financial profile. The company has a strong balance sheet with a market capitalization of over $43 billion and a relatively low debt-to-equity ratio of 221.6%. Additionally, PepsiCo has a consistent dividend history, with a current dividend yield of 0.5% and a five-year average dividend yield of 3.32%. The company's profitability metrics, such as profit margins and return on equity, also indicate a well-managed business.
 Valuation: PepsiCo's valuation metrics, including a forward P/E ratio of 13.3 and a price-to-book ratio of 1.58, suggest that the stock may be reasonably valued compared to its peers. The company's earnings growth and dividend history could make it an attractive investment option for investors seeking a combination of stability and growth potential.
 Economic Outlook: The overall macroeconomic environment is expected to be mixed, with concerns about potential volatility, inflation, and uneven economic performance. However, the soft drinks and non-alcoholic beverages industry may be relatively resilient, as consumer demand for these products tends to be less sensitive to economic fluctuations.
 Score: 85</t>
  </si>
  <si>
    <t>Investment Report:
 Pfizer (PFE) is a leading pharmaceutical company that has shown strong momentum in recent months. The company's stock has risen 5.6% in the past month, driven by its encouraging guidance for 2025 issued in mid-December.
 Financials:
 Pfizer's financial data indicates a healthy company with a market capitalization of $89.8 billion and a forward P/E ratio of 18.3, suggesting the stock may be undervalued at current prices. The company has a strong balance sheet, with $11.9 billion in total cash and a current ratio of 1.247, indicating good liquidity. Pfizer's profitability metrics, such as a profit margin of 14.1% and a return on equity of 22.2%, are also impressive.
 Valuation:
 Pfizer's stock is trading at a discount compared to its 52-week high of $93.66, with a current price of around $88. The company's target mean price of $94.13 suggests potential upside for investors. Additionally, the majority of analysts covering the stock have a "buy" recommendation, further supporting the investment case.
 Economic Outlook:
 The overall macroeconomic environment appears favorable for Pfizer, with the U.S. economy expected to see strong earnings growth of 12-13% in 2025. The healthcare sector, in particular, is likely to benefit from the continued development and adoption of new treatments and technologies, which could drive demand for Pfizer's products.
 Score: 85</t>
  </si>
  <si>
    <t>Investment Report:
 Lam Research, a leading semiconductor materials and equipment manufacturer, is showing promising signs heading into 2025. The stock has formed a strong bottoming pattern, with neutral RSI and PPO levels, and a positive Chaikin Money Flow index, suggesting a potential bullish reversal.
 Financially, Lam Research appears undervalued, trading at a forward P/E ratio of around 20x, which is below its two-year average. This suggests the potential for multiple expansion, despite mixed EPS estimates and risks from the Chinese market.
 The recent news highlights several bullish factors for Lam Research. The company's valuation and seasonality make it a compelling buy, as the stock is cheap compared to its historical levels. While there are some risks, such as the mixed EPS estimates and the potential impact of the situation in China, the overall technical and valuation picture appears favorable for the stock.
 The macroeconomic outlook, with expectations of strong earnings growth and a resilient labor market, further supports the positive sentiment around Lam Research. The continued development and adoption of emerging technologies, particularly artificial intelligence, could also benefit the semiconductor industry and Lam Research specifically.
 Score: 85</t>
  </si>
  <si>
    <t>Investment Report:
 Lululemon Athletica (LULU) continues to demonstrate strong fundamentals and growth potential, despite a recent 33% stock price increase. The company's recent earnings beat expectations, driven by robust e-commerce performance and international expansion. However, there are some concerns around U.S. foot traffic and inventory levels that warrant monitoring.
 The recent news highlights the mixed sentiment surrounding the stock, with one analyst firm maintaining a sell rating due to valuation concerns, while others see further upside potential. The option trading activity also suggests that some investors are positioning for the stock to trade sideways in the near term.
 Financially, Lululemon remains in a solid position, with strong profitability metrics, healthy cash flow, and a robust share repurchase program. The company's international expansion and continued growth in the athleisure market provide significant catalysts for future performance.
 While the stock may face some near-term volatility, the overall outlook for Lululemon remains positive, with the potential for further upside in the medium to long term. The company's strong brand, innovative product pipeline, and successful execution of its growth strategy make it an attractive investment option in the Apparel, Accessories &amp; Luxury Goods industry.
 Score: 85</t>
  </si>
  <si>
    <t>Investment Report:
 Thermo Fisher Scientific, a leading provider of scientific instruments, reagents, and software, has not seen any significant news developments in the past week. However, the company's latest financial data provides insights into its current performance and valuation.
 Financials:
 Thermo Fisher Scientific's stock has been trading around $120 per share, with a 52-week range of $92.2 to $128. The company's financial metrics, such as a trailing P/E ratio of 28.5 and a forward P/E ratio of 26.3, suggest that the stock may be reasonably valued. Additionally, the company's dividend yield of 1.25% and payout ratio of 33.23% indicate a stable and sustainable dividend policy.
 Valuation:
 The company's market capitalization of $135.9 billion and enterprise value of $142.5 billion suggest that it is a large and well-established player in the Life Sciences Tools &amp; Services industry. The stock's price-to-sales ratio of 2.44 and price-to-book ratio of 18.76 are in line with industry averages, indicating that the company's valuation is not overly stretched.
 Economic Outlook:
 The overall macroeconomic environment remains mixed, with concerns about persistent inflation and potential volatility in the stock market. However, the Life Sciences Tools &amp; Services industry is expected to benefit from continued investment in research and development, as well as the growing demand for advanced scientific instruments and technologies.
 Score: 85</t>
  </si>
  <si>
    <t>Investment Report:
 Biogen Inc. (BIIB) is a top value stock in the biotechnology industry, offering long-term investment potential. The company's recent financial data shows a strong balance sheet, with a healthy cash position, low debt levels, and solid profitability metrics. Biogen's forward P/E ratio of 9.23 suggests the stock is undervalued compared to its industry peers.
 The latest news highlights Biogen's position as a leader in the biotechnology sector. The company's Zacks Style Scores, which evaluate stocks based on their value, growth, and momentum characteristics, indicate that Biogen is a top-rated value stock. This suggests the stock may be an attractive option for investors seeking undervalued companies with the potential for long-term growth.
 While the stock has faced some challenges, with a 52-week low of $145.07, the overall economic outlook and industry trends appear favorable for Biogen. The company's strong pipeline of drug candidates and its focus on developing innovative therapies position it well to capitalize on the growing demand for biotechnology solutions.
 Score: 85</t>
  </si>
  <si>
    <t>Investment Report:
 Sysco, a leading food distribution company, has demonstrated resilience in the face of industry challenges. Despite declining restaurant traffic and inflationary pressures, the company has enhanced its operational efficiency and expanded through strategic acquisitions.
 Recent News:
 - Sysco is leveraging its operational strategies to overcome industry slowdowns, such as declining restaurant traffic and inflationary pressures.
 - The company is focused on improving efficiency and expanding its reach through acquisitions, positioning it to navigate the current market environment.
 Financials:
 - Sysco's financial data shows a strong balance sheet, with a market capitalization of $26.3 billion and a healthy cash position of $17.9 billion.
 - The company's profitability metrics, such as a profit margin of 35.1% and a return on equity of 21.3%, indicate a well-managed business.
 - Sysco's valuation, with a forward P/E ratio of 9.97, suggests the stock may be undervalued compared to its growth potential.
 Economic Outlook:
 - The overall U.S. economic outlook remains mixed, with concerns about potential volatility, inflation, and uneven economic performance.
 - However, the expected earnings growth of 12-13% in 2025 and the resilience of the labor market provide a positive backdrop for Sysco's operations.
 Score: 85</t>
  </si>
  <si>
    <t>Investment Report:
 RTX Corporation (RTX) is a leading aerospace and defense conglomerate that has seen significant growth in recent quarters. The company's Q3'24 sales were up 49.21% year-over-year, and it reported an EBITDA of $2.99 billion, indicating strong financial performance.
 The recent news highlights several factors that could contribute to RTX's potential long-term upside:
 1. Geopolitical tensions: The ongoing geopolitical tensions are likely to drive increased demand for defense and aerospace products, which could benefit RTX.
 2. Robust project backlog: RTX has a $221 billion project backlog, providing a solid foundation for future growth.
 3. Strong capital deployment: The company's focus on capital deployment, including dividends and share buybacks, is a positive sign for investors.
 4. Outperformance: RTX's stock has outperformed the defense sector and the broader market, driven by its strong financials, undervaluation, and robust organic growth trajectory.
 However, the recent trading session saw RTX's stock slide by 1.53%, even as the broader market rose. This could be due to short-term market volatility or concerns about the company's performance.
 Overall, RTX's strong financial position, growth prospects, and industry leadership make it a potentially attractive long-term investment, despite the recent stock price decline.
 Score: 85</t>
  </si>
  <si>
    <t>Investment Report:
 Recent News:
 Synopsys (SNPS) stock has declined by 6.3% since the company's last earnings report, which was released 30 days ago. The recent drop in the stock price could be attributed to a combination of factors, including broader market volatility and potential concerns about the company's future performance.
 Financials:
 Synopsys is a leading provider of electronic design automation (EDA) software and services, with a strong presence in the semiconductor industry. The company's latest financial data shows a healthy financial position, with a market capitalization of $36.7 billion, a forward P/E ratio of 15.1, and a dividend yield of 2.7%. However, the company's earnings growth rate has slowed down to -2.6% in the most recent quarter, which could be a concern for investors.
 Valuation and Economic Outlook:
 The overall economic outlook for the technology sector remains positive, with the continued growth of emerging technologies like artificial intelligence and the increasing demand for semiconductor chips. Synopsys' position as a leading provider of EDA software and services positions the company to benefit from these trends. However, the potential impact of macroeconomic factors, such as inflation and interest rate hikes, could create some headwinds for the company in the short term.
 Score: 85</t>
  </si>
  <si>
    <t>Investment Report:
 Recent News: KeyCorp (KEY) has an impressive earnings surprise history and currently possesses the right combination of the two key ingredients for a likely beat in its next quarterly report. This suggests the bank is well-positioned to continue its strong financial performance.
 Financials: KeyCorp's latest financial data shows a healthy balance sheet, with a market capitalization of over $40 billion and a strong liquidity position. The company's profitability metrics, such as profit margins and return on equity, are also solid. Additionally, KeyCorp's valuation ratios, including a forward P/E of 17.38, indicate the stock may be reasonably priced.
 Economic Outlook: The overall macroeconomic environment remains mixed, with concerns about potential volatility, inflation, and uneven economic performance. However, the U.S. economy is expected to see strong earnings growth in 2025, which could benefit regional banks like KeyCorp.
 Valuation: KeyCorp's current valuation, with a forward P/E of 17.38, appears reasonable compared to the industry average. The company's strong financial position and earnings growth potential make it an attractive investment option in the regional banking sector.
 Score: 85</t>
  </si>
  <si>
    <t>Investment Report:
 Johnson &amp; Johnson (JNJ) has a strong earnings surprise history, indicating the company's ability to consistently outperform market expectations. The recent financial data shows that the company is in a solid financial position, with a healthy balance sheet, strong profitability metrics, and a robust dividend payout ratio.
 The macroeconomic outlook for the Pharmaceuticals industry remains positive, with the global healthcare sector expected to continue its growth trajectory. The rising demand for innovative medical treatments and the aging population are expected to drive the industry's performance.
 However, the company faces some challenges, such as the ongoing legal issues related to its talcum powder products and the potential impact of increased competition in the pharmaceutical market. Additionally, the recent market volatility and concerns about the broader economic outlook may create some headwinds for the stock.
 Overall, Johnson &amp; Johnson's strong financial performance, diversified product portfolio, and leading position in the Pharmaceuticals industry make it a relatively attractive investment option. The company's ability to consistently deliver earnings surprises and its attractive valuation metrics suggest that it could potentially outperform the market in the near term.
 Score: 85</t>
  </si>
  <si>
    <t>Investment Report:
 Coca-Cola (KO) is a leading global beverage company with a strong brand portfolio and a history of consistent dividend growth. The recent news and financial data suggest a mixed outlook for the company.
 Recent News:
 - Coca-Cola's stock has underperformed the market in 2024, but the company is expected to announce its 63rd consecutive annual dividend increase in February 2025, indicating its financial stability.
 - Analysts are bullish on Coca-Cola, citing its strong cash flow, profitability, and reasonable valuation. The company's digital transformation and AI investments are expected to enhance its margins and competitiveness.
 - However, the company's free cash flow is a concern, and its valuation is neither cheap nor expensive, but reasonable for a defensive, cash-generating company.
 Financials:
 - Coca-Cola's financial data shows strong profitability, with a profit margin of 22.45% and a return on equity of 37.23%.
 - The company has a robust cash position, with $18.16 billion in total cash and a quick ratio of 0.784, indicating a healthy liquidity position.
 - Coca-Cola's debt-to-equity ratio of 167.358 is relatively high, which could be a concern for some investors.
 Economic Outlook:
 - The overall U.S. stock market is expected to be volatile in the near term, with potential choppiness driven by macroeconomic and political factors.
 - However, the long-term prospects for the U.S. stock market remain positive, with the rise of emerging technologies like AI offering significant growth opportunities.
 In conclusion, Coca-Cola appears to be a relatively safe investment in the current market environment, with its strong brand, consistent dividend growth, and reasonable valuation. The company's digital transformation and AI investments could further enhance its competitiveness and profitability, making it an attractive long-term investment.
 Score: 85</t>
  </si>
  <si>
    <t>Investment Report:
 Recent News: State Street (STT) has a strong earnings surprise history, indicating the potential to beat estimates again in its upcoming earnings report. The company's financial data shows a healthy financial position, with a solid balance sheet, strong profitability metrics, and a reasonable valuation.
 Financials: State Street's financial data highlights its strong financial position. The company has a healthy balance sheet, with a significant amount of cash and a manageable debt load. Its profitability metrics, such as profit margins, return on assets, and return on equity, are also impressive. Additionally, the company's valuation, as reflected in its forward P/E ratio, appears reasonable compared to industry peers.
 Economic Outlook: The overall macroeconomic environment is expected to be mixed, with concerns about potential volatility, inflation, and uneven economic performance. However, the asset management and custody banks industry, in which State Street operates, is likely to benefit from the continued growth in the financial markets and the rising demand for investment management services.
 Given State Street's strong financial performance, reasonable valuation, and the favorable industry outlook, the company appears to be well-positioned to navigate the current market conditions. The recent news and financial data suggest that State Street could potentially beat earnings estimates in its upcoming report.
 Score: 85</t>
  </si>
  <si>
    <t>Investment Report:
 Deere &amp; Company, a leading manufacturer of agricultural and construction equipment, has recently made significant strides in the autonomous machinery space. The company unveiled a new line of autonomous tractors and industrial equipment at the CES trade show in Las Vegas, further strengthening its bet on self-driving technology.
 The move comes as Deere aims to address the ongoing labor shortage in the agriculture industry, providing farmers with the ability to operate machinery without the need for a human operator. This innovation aligns with the broader trend of automation and technological advancements in the sector, which could enhance productivity and efficiency for Deere's customers.
 Financially, Deere's recent performance has been solid, with the company reporting strong earnings growth and healthy profit margins. The stock's valuation, as indicated by the forward P/E ratio of 13.26, suggests that the market may be pricing in the company's growth potential.
 However, the overall economic outlook remains mixed, with concerns about persistent inflation and uneven economic performance. Additionally, the political landscape, particularly the potential impact of trade policies, could pose challenges for Deere and the broader agricultural industry.
 Despite these headwinds, the company's focus on autonomous technology and its strong financial position make it a potentially attractive investment opportunity. Investors should closely monitor the company's progress in the autonomous machinery space, as well as the broader macroeconomic and industry trends that may affect Deere's performance.
 Score: 85</t>
  </si>
  <si>
    <t>Investment Report:
 Kinder Morgan (KMI) is a leading energy infrastructure company that operates a vast network of natural gas pipelines and storage facilities across the United States. The recent news highlights the company's strategic investments in expanding its pipeline infrastructure, which is crucial given the growing demand for natural gas in the country.
 The financial data shows that Kinder Morgan has a strong balance sheet, with a market capitalization of over $61 billion and a healthy dividend yield of 4.13%. However, the stock has experienced a slight decline of 1.56% in the latest trading session, despite the overall market uptick. This could be due to short-term market volatility or concerns about the company's ability to navigate the evolving energy landscape.
 The economic outlook for the oil and gas storage and transportation industry remains positive, with the growing demand for natural gas driving investment in pipeline infrastructure. Kinder Morgan's strategic initiatives, such as the Tennessee Gas Pipeline Greenlights Mississippi Crossing Project, position the company to capitalize on this trend and potentially deliver strong returns for investors.
 Score: 85</t>
  </si>
  <si>
    <t>Investment Report:
 Recent News: CarMax, the largest used car dealership in the United States, is showing signs of a strong comeback as the auto industry recovers from the pandemic-induced slump. The company operates over 245 physical dealerships across the country and is known for its "no-haggle" pricing policy, which has helped it gain a loyal customer base.
 Financials: CarMax's financial data indicates a healthy and growing business. The company's stock is trading at a forward P/E ratio of 11.82, suggesting that it is undervalued compared to its earnings potential. Additionally, the company has a strong balance sheet, with a total cash position of $50.98 billion and a manageable debt load of $52.87 billion. The company's profitability metrics, such as profit margins and return on equity, are also impressive.
 Valuation: CarMax's stock is currently trading at $184.98, which is near the upper end of its 52-week range of $123.23 to $198.3. The stock has a market capitalization of $69.96 billion, making it a significant player in the automotive retail industry. The company's average analyst price target of $196.64 suggests a potential upside of around 6% from the current levels.
 Economic Outlook: The overall economic outlook for the automotive industry appears to be improving, with the labor market remaining resilient and consumer spending on durable goods, including vehicles, showing signs of recovery. However, concerns about persistent inflation and potential policy changes could introduce some volatility in the near term.
 Score: 85</t>
  </si>
  <si>
    <t>Investment Report:
 Henry Schein, a leading distributor of healthcare products and services, is well-positioned to navigate the current macroeconomic challenges. The company has strategically set up distribution centers worldwide, which is expected to enhance its operating efficiency and better serve its customers.
 Recent News:
 - Henry Schein has been actively pursuing strategic acquisitions to expand its reach and capabilities. These acquisitions are likely to contribute to the company's growth and profitability in the coming months.
 - The healthcare industry has been resilient amid the broader economic uncertainty, and Henry Schein's diversified product portfolio and global footprint make it well-equipped to capitalize on the industry's growth opportunities.
 Financials:
 - Henry Schein's financial data shows a strong balance sheet, with a market capitalization of $8.95 billion and a healthy current ratio of 1.416.
 - The company's profitability metrics, such as profit margins and return on equity, indicate a well-managed business model.
 - Henry Schein's forward P/E ratio of 13.82 suggests that the stock may be undervalued compared to its growth potential.
 Economic Outlook:
 - The overall macroeconomic environment remains mixed, with concerns about inflation and potential volatility in the stock market. However, the healthcare sector is expected to continue its growth trajectory, supported by demographic trends and the increasing demand for medical products and services.
 Score: 85</t>
  </si>
  <si>
    <t>Investment Report:
 Hubbell Incorporated (HUBB) is a leading manufacturer of industrial products, including electrical and electronic components, as well as utility solutions. The company has demonstrated strong financial performance, with a recent increase in its stock price and positive earnings growth.
 Recent News:
 Hubbell's stock has outperformed its sector peers, such as Powell Industries (POWL), so far this year. This suggests that the company may be well-positioned to capitalize on the ongoing recovery in the industrial products market.
 Financials:
 Hubbell's financial data indicates a healthy balance sheet, with a strong cash position, low debt levels, and solid profitability metrics. The company's trailing P/E ratio of 43.26 and forward P/E ratio of 35.16 suggest that the stock may be reasonably valued, considering its growth potential.
 Valuation and Economic Outlook:
 The overall economic outlook for the industrial products sector appears positive, with expectations of continued earnings growth and market recovery. Hubbell's strong market position, diversified product portfolio, and financial stability make it a potentially attractive investment option in this environment.
 Score: 85</t>
  </si>
  <si>
    <t>Investment Report:
 The recent news suggests that investors may be undervaluing Coterra Energy (CTRA), a leading Oil &amp; Gas Exploration &amp; Production company. Despite strong financial performance, the stock has seen a 20.9% decline in the past 52 weeks, underperforming the S&amp;P 500's 24.9% gain.
 Coterra's financials paint a positive picture. The company reported robust earnings growth of 14.3% in the most recent quarter and has a healthy profit margin of 18.6%. Additionally, Coterra boasts a strong balance sheet with a manageable debt-to-equity ratio of 559.6 and a decent quick ratio of 0.365, indicating its ability to meet short-term obligations.
 The macroeconomic outlook for the Oil &amp; Gas industry remains mixed. While the energy sector has been a relative outperformer, concerns persist around inflation, potential policy changes, and uneven economic performance. However, the continued development and adoption of emerging technologies, such as AI, could provide growth opportunities for companies like Coterra.
 Valuation-wise, Coterra appears to be trading at a discount compared to its peers. The stock's forward P/E ratio of 33.3 is lower than the industry average, and its PEG ratio of 4.07 suggests the market may be underestimating the company's growth potential.
 Overall, the recent data and industry trends suggest that Coterra Energy could be an attractive investment opportunity for investors willing to navigate the potential volatility in the Oil &amp; Gas sector.
 Score: 85</t>
  </si>
  <si>
    <t>Investment Report:
 Huntington Bancshares (HBAN) has been consistently delivering strong earnings surprises, indicating its ability to outperform market expectations. The company's recent financial data shows a healthy balance sheet, with a solid dividend yield, low debt-to-equity ratio, and robust profitability metrics. Additionally, the firm's organic growth initiatives and expansion plans suggest a positive outlook for the future.
 The macroeconomic environment also appears favorable, with the U.S. economy expected to see strong earnings growth in 2025. However, the market may face some volatility and uneven performance, particularly in the near term, due to factors such as persistent inflation and potential policy changes.
 Overall, Huntington Bancshares' solid financial position, growth strategies, and the positive economic outlook make it an attractive investment option in the Regional Banks industry. Investors should closely monitor the company's upcoming earnings report and any developments that may impact the broader market and the banking sector.
 Score: 85</t>
  </si>
  <si>
    <t>Investment Report:
 Deckers Brands (DECK), the footwear and apparel company, has outperformed the broader market in recent trading sessions. This outperformance can be attributed to several factors:
 1. Resilient Financial Performance: Deckers' latest financial data shows strong metrics, including a high profit margin of 18.8%, a healthy current ratio of 3.085, and robust free cash flow generation of $702.5 million. These figures suggest the company's financial health remains solid.
 2. Positive Investor Sentiment: The stock's 52-week change of 78.4% and the S&amp;P 500's 24.9% change indicate that Deckers has significantly outpaced the broader market. This suggests investors are optimistic about the company's growth prospects.
 3. Favorable Valuation: Deckers' forward P/E ratio of 32.84 is reasonable, considering its strong earnings growth potential. The company's PEG ratio of 2.46 also suggests the stock may be undervalued relative to its earnings growth.
 4. Macroeconomic Outlook: The overall positive economic outlook, with expectations of strong earnings growth and resilient consumer demand, bodes well for the footwear industry and Deckers' performance.
 However, investors should be mindful of potential risks, such as the company's exposure to macroeconomic factors, competitive pressures, and any potential supply chain disruptions.
 Score: 85</t>
  </si>
  <si>
    <t>Investment Report:
 Cisco Systems, a leading player in the Communications Equipment industry, has not seen any significant news developments in the past week. However, the company's latest financial data provides insights into its current performance and valuation.
 Financials:
 Cisco's stock has shown a positive trend, with the current trading price of $73.985 being higher than the previous close of $71.00. The company's dividend rate of $2.24 and dividend yield of 3.08% suggest a stable income stream for investors. Additionally, Cisco's forward P/E ratio of 9.91 indicates that the stock may be undervalued compared to its earnings potential.
 Valuation and Outlook:
 Cisco's market capitalization of $137.57 billion and enterprise value of $12.84 billion suggest that the company is a large and established player in the industry. The stock's 52-week high of $73.985 and 52-week low of $50.51 demonstrate its volatility, but the overall trend has been positive.
 The macroeconomic outlook for the Communications Equipment industry appears mixed, with concerns about inflation and potential policy changes, but also opportunities in emerging technologies like AI. Cisco's strong financial position and its focus on innovative solutions could position the company to navigate these challenges and capitalize on industry trends.
 Score: 85</t>
  </si>
  <si>
    <t>Investment Report:
 Parker-Hannifin (PH) is well-positioned to navigate the current market environment, driven by its strong performance in the Aerospace Systems segment, strategic acquisitions, and shareholder-friendly policies.
 Recent News:
 - The company's Aerospace Systems segment has been a key growth driver, benefiting from solid momentum in the commercial aviation market. This segment's strong performance is expected to continue, supporting the overall financial results.
 - Parker-Hannifin has been actively pursuing accretive acquisitions, which have helped expand its product portfolio and market reach. These strategic moves have enhanced the company's competitive positioning and diversified its revenue streams.
 - The firm has maintained a shareholder-friendly approach, with a consistent dividend payout and share buyback program. This demonstrates management's commitment to creating value for shareholders.
 Financials and Valuation:
 - Parker-Hannifin's financial metrics, such as profitability, cash flow, and debt levels, are generally healthy, indicating a stable financial foundation.
 - The company's valuation, as reflected in its forward P/E ratio of 21.67, is reasonable compared to its industry peers, suggesting the stock is not overpriced.
 Economic Outlook:
 - The overall macroeconomic environment remains mixed, with concerns about potential volatility, inflation, and uneven economic performance. However, the expected strong earnings growth in the U.S. market provides a favorable backdrop for Parker-Hannifin's performance.
 Score: 85</t>
  </si>
  <si>
    <t>Investment Report:
 Recent News: The latest news suggests that Prudential Financial (PRU) stock could be an attractive option for value investors. The company's financial data shows a strong balance sheet, with a market capitalization of over $22 billion and a healthy cash position. Additionally, Prudential's forward P/E ratio of 26.76 indicates that the stock may be undervalued compared to its earnings potential.
 Financials: Prudential's financial data reveals a solid performance, with a trailing P/E ratio of 59.24 and a forward P/E ratio of 26.76. The company's profitability margins are also healthy, with a profit margin of 16.37%. Furthermore, Prudential's return on assets and return on equity are respectable at 5.82% and 12.78%, respectively.
 Valuations: The stock's current valuation metrics, such as the price-to-book ratio of 6.91 and the price-to-sales ratio of 9.68, suggest that Prudential Financial may be trading at a discount compared to its intrinsic value. The company's target mean price of $211.67 also indicates potential upside for investors.
 Economic Outlook: The overall macroeconomic environment appears to be mixed, with concerns about inflation and potential market volatility. However, the expected strong earnings growth in the U.S. economy and the resilience of the labor market could provide a favorable backdrop for Prudential Financial's performance.
 Score: 85</t>
  </si>
  <si>
    <t>Investment Report:
 Palantir Technologies (PLTR) has had an exceptional year in 2024, with its stock price surging by an impressive 340%. The company's strong performance has been driven by its leading position in the artificial intelligence (AI) and data analytics space, as well as the growing demand for its software solutions across various industries.
 Recent News:
 - Palantir's stock price has continued to climb, with the company being added to the S&amp;P 500 and Nasdaq-100 indices in 2024.
 - However, some analysts, such as Morgan Stanley, have raised concerns about the stock's valuation, noting that the recent gains may have been driven more by multiple expansion rather than substantial revenue growth.
 - Despite these concerns, Palantir has continued to secure new deals and partnerships, including a recent agreement with Red Cat, which could further boost the company's growth prospects.
 Financials:
 - Palantir's financial data shows strong performance, with a market capitalization of $117.8 billion, a trailing P/E ratio of 46.5, and a forward P/E ratio of 49.5.
 - The company's revenue growth of 12.1% and earnings growth of 59.1% in the latest quarter indicate its ability to capitalize on the growing demand for its services.
 - Palantir's balance sheet is also healthy, with $2.6 billion in cash and a relatively low debt-to-equity ratio of 27.28.
 Economic Outlook:
 - The overall macroeconomic environment remains positive, with the U.S. economy expected to see strong earnings growth of 12-13% in 2025.
 - The technology sector, particularly the AI and data analytics space, is expected to continue driving market performance, which could further benefit Palantir's stock.
 - However, the market may face some volatility and uneven performance, with concerns about persistent inflation and the potential impact of political and economic developments.
 Score: 85</t>
  </si>
  <si>
    <t>Investment Report:
 Prologis (PLD), a leading industrial real estate investment trust (REIT), has been outperforming the broader market despite the recent market dip. The company's stock closed at $106.66, up 0.98% from the previous day's close.
 Recent News:
 - Prologis has faced negative returns due to overvaluation, but recent price drops and dovish interest rate expectations make it more attractive. 
 - Industrial market fundamentals are improving, with e-commerce growth and peaking vacancy rates supporting long-term rent growth for Prologis.
 - Consensus revenue growth of 7-8% is ambitious, but the company is expected to see closer to 5-6% growth due to cautious acquisition and development strategies.
 Financials:
 - Prologis' financial data shows a mixed picture, with a trailing P/E ratio of 32.22 and a forward P/E ratio of 39.99, indicating potential overvaluation.
 - However, the company's profitability metrics, such as profit margins (37.4%) and return on equity (5.7%), suggest strong operational performance.
 - Prologis has a healthy balance sheet, with a debt-to-equity ratio of 57.1% and a current ratio of 0.62.
 Economic Outlook:
 - The overall macroeconomic environment remains mixed, with concerns about persistent inflation and uneven economic performance.
 - However, the industrial real estate sector is expected to benefit from the continued growth of e-commerce and the need for modern, efficient logistics facilities.
 Score: 85</t>
  </si>
  <si>
    <t>Investment Report:
 Recent News: Raymond James Financial (RJF) has an impressive earnings surprise history and currently possesses the right combination of the two key ingredients for a likely beat in its next quarterly report. The firm's strong financial performance and positive earnings outlook suggest it could continue to outperform expectations.
 Financials: Raymond James Financial's latest financial data shows the company is in a strong position. Key highlights include:
 - Robust revenue growth of 5.7% year-over-year
 - Healthy profit margins of 10.1%
 - Solid return on equity of 28.4%
 - Strong cash flow generation, with free cash flow of $793.9 million
 Valuations: The stock is currently trading at a forward P/E ratio of 18.36, which is lower than the industry average. This suggests the stock may be undervalued compared to its peers.
 Economic Outlook: The overall macroeconomic environment remains mixed, with concerns about potential volatility, inflation, and uneven economic performance. However, the expected strong earnings growth in the U.S. stock market, particularly in the technology and semiconductor sectors, could benefit Raymond James Financial.
 Score: 85</t>
  </si>
  <si>
    <t>Investment Report:
 Ralph Lauren Corporation (RL) has seen its stock surge by 61% over the past year, showcasing the company's resilience and ability to navigate the evolving retail landscape. The firm's unwavering focus on delivering premium lifestyle products, coupled with its commitment to innovation and quality, has been the driving force behind its impressive performance.
 The recent financial data paints a positive picture for RL. The company's stock is trading at a forward P/E ratio of 13.87, indicating that it may be undervalued compared to its growth potential. Additionally, RL's dividend yield of 1.25% provides a steady stream of income for investors.
 The macroeconomic outlook also appears favorable for the apparel and luxury goods industry. The U.S. economy is expected to see strong earnings growth in 2025, which could translate into increased consumer spending on high-end products. Furthermore, the rise of emerging technologies, such as artificial intelligence, is expected to drive innovation and growth in the sector.
 However, the market is likely to remain choppy in the near term, with potential volatility driven by macroeconomic and political factors. Investors should be prepared for continued market fluctuations and the potential impact of policy changes.
 Overall, Ralph Lauren's strong brand positioning, focus on innovation, and favorable industry trends make it an attractive investment opportunity. While the short-term outlook may be mixed, the company's long-term prospects remain positive.
 Score: 85</t>
  </si>
  <si>
    <t>Investment Report:
 Recent News:
 ResMed's (RMD) shares have gained 37.8% in the past year, driven by robust growth in mask and device sales. However, the unfavorable macroeconomic scenario, including concerns about persistent inflation and potential volatility, could pose challenges for the company.
 Financials:
 ResMed's financial data shows a strong financial position, with a market capitalization of $21.6 billion, a trailing P/E ratio of 13.4, and a forward P/E ratio of 10.5. The company's profitability metrics, such as profit margins (26.7%) and return on equity (10%), are also impressive. Additionally, ResMed has a healthy dividend yield of 4.2%.
 Valuation:
 ResMed's valuation appears attractive, with a price-to-sales ratio of 3.3 and a price-to-book ratio of 1.3. The company's earnings growth is also expected to be strong, with a forward P/E ratio of 10.5, indicating potential upside.
 Economic Outlook:
 The overall macroeconomic environment remains mixed, with concerns about inflation and potential market volatility. However, the healthcare equipment industry, in which ResMed operates, is generally considered defensive and less susceptible to economic fluctuations.
 Score: 85</t>
  </si>
  <si>
    <t>Investment Report:
 Qualcomm (QCOM) is a leading semiconductor company that has been making strategic moves to expand its presence in various industries, including automotive, PCs, and smart homes. The recent news highlights Qualcomm's collaborations and product launches that could drive growth for the company.
 The partnership with Tata Elxsi to utilize Qualcomm's Snapdragon automotive platforms is a positive development, as it aligns with the industry's shift towards software-defined vehicle technology. This collaboration could help Qualcomm strengthen its position in the automotive semiconductor market.
 Furthermore, Qualcomm's decision to bring its Snapdragon X chips to mid-range Windows laptops and desktops, as well as its unveiling of new AI chips for PCs, cars, smart homes, and enterprises, demonstrate the company's diversification efforts and its ability to capitalize on emerging technology trends.
 Financially, Qualcomm appears to be in a strong position, with a market capitalization of over $48 billion and solid financial metrics, such as a current ratio of 1.233 and a return on equity of 12.696%. The company's recent upgrade to a Zacks Rank #2 (Buy) also suggests growing optimism about its earnings prospects.
 However, the stock has faced some volatility, with the share price remaining flat in the recent trading session despite the broader market decline. This could be due to the mixed economic outlook, with concerns about persistent inflation and uneven economic performance.
 Overall, Qualcomm's strategic initiatives, financial strength, and industry positioning make it a potentially attractive investment option, but investors should be mindful of the broader market conditions and potential volatility.
 Score: 85</t>
  </si>
  <si>
    <t>Investment Report:
 Recent News: Roper Technologies (ROP) has a strong earnings surprise history, indicating the company's ability to consistently beat market expectations. This suggests the firm may outperform again in its upcoming earnings report.
 Financials: Roper's financial data shows a mixed picture. While the company has a high trailing P/E ratio of 55.30, its forward P/E of 22.71 suggests the market expects improved earnings going forward. The firm's profitability metrics, such as profit margins and return on assets, are also relatively strong. However, its debt-to-equity ratio of 41.85% may raise some concerns.
 Valuation: Roper's valuation appears reasonable, with a price-to-sales ratio of 5.17 and a price-to-book ratio of 1.78. The company's target mean price of $137.97 suggests potential upside from the current market price.
 Economic Outlook: The overall macroeconomic environment remains mixed, with concerns about inflation and potential market volatility. However, the technology and semiconductor sectors, in which Roper operates, are expected to continue performing well.
 Score: 85</t>
  </si>
  <si>
    <t>Investment Report:
 Fidelity National Information Services (FIS) is a leading provider of transaction and payment processing services, operating in the financial technology (fintech) industry. The company's recent financial data shows a mixed picture, with a decline in the stock price from the previous close and a relatively high trailing P/E ratio of 81.48. However, the forward P/E ratio of 13.84 suggests that the market expects the company to deliver strong earnings growth in the future.
 The macroeconomic outlook for the fintech industry remains positive, with the continued adoption of digital payment solutions and the growing demand for financial technology services. The rise of emerging technologies, such as artificial intelligence, is also expected to drive growth in the sector.
 While the company has not reported any significant news in the past week, the overall economic and industry trends suggest that Fidelity National Information Services could be a potentially attractive investment option for the next month. The company's strong market position, diversified product portfolio, and growth prospects make it a compelling choice for investors seeking exposure to the fintech industry.
 Score: 85</t>
  </si>
  <si>
    <t>Investment Report:
 Recent News: Fifth Third Bancorp (FITB) has a strong earnings surprise history, indicating the potential to beat estimates again in its upcoming earnings report. The company's financial data shows a healthy financial position, with a market capitalization of over $20 billion, a forward P/E ratio of 9.06, and a recommendation of "buy" from analysts.
 Financials: FITB's financial data suggests a robust performance, with a trailing P/E ratio of 16.47, a profit margin of 32.41%, and a return on equity of 17.96%. The company's balance sheet is also in good shape, with a quick ratio of 1.21 and a current ratio of 2.14, indicating strong liquidity.
 Valuations: FITB's valuation metrics are attractive, with a forward P/E ratio of 9.06 and a price-to-book ratio of 2.70. The company's shares have a 52-week range of $135.88 to $306.77, and the current market price is within this range, suggesting potential upside.
 Economic Outlook: The overall macroeconomic environment appears to be mixed, with concerns about inflation and potential volatility, but also expectations of strong earnings growth and the continued development of emerging technologies like AI. These factors could impact the performance of the regional banking sector, including FITB.
 Score: 85</t>
  </si>
  <si>
    <t>Investment Report:
 Alphabet Inc. (Class C), the parent company of Google, is a leading player in the interactive media and services industry. The latest financial data shows the company's strong financial position, with a market capitalization of over $2.4 trillion and a healthy balance sheet.
 The firm's financials indicate solid performance, with a trailing P/E ratio of 26.25 and a forward P/E ratio of 22.08, suggesting the stock is reasonably valued. The company's profitability metrics, such as profit margins (27.74%) and return on equity (32.10%), are also impressive.
 The macroeconomic outlook for the U.S. economy remains mixed, with concerns about potential volatility, inflation, and uneven economic performance. However, the technology sector, particularly the semiconductor industry, is expected to continue leading the market's growth.
 Given the firm's strong financial position, favorable valuation, and the positive outlook for the technology sector, Alphabet Inc. (Class C) appears to be an attractive investment option for the next month.
 Score: 85</t>
  </si>
  <si>
    <t>Investment Report:
 Philip Morris International (PM) continues to demonstrate strong financial performance and strategic positioning in the tobacco industry. The company's shift towards smoke-free products, such as IQOS and ZYN, has been a key driver of its growth, as it aims to have 66% of its revenue come from smoke-free products by 2030. The acquisition of Swedish Match and the rights to IQOS in the U.S. have further strengthened PM's portfolio of high-margin, smoke-free offerings.
 The recent news highlights PM's consistent dividend growth, with a current yield of around 4.5%, and its plans to reinstate share buybacks once it has deleveraged by 2026. The company's strong cash generation, with over $10 billion in annual free cash flow, supports its ability to maintain its dividend and invest in growth initiatives.
 Despite regulatory risks in the tobacco industry, PM's diversified product portfolio and focus on smoke-free alternatives position it for continued revenue and earnings growth in 2025. Analysts are forecasting a 20% increase in earnings per share over the next two years, making PM a compelling income investment option.
 The firm's financial data shows strong profitability, with expanding operating margins and a healthy balance sheet. The stock's valuation, with a forward P/E ratio of 9.2, suggests it may be undervalued compared to its growth potential.
 Overall, the combination of PM's strategic shift, robust financials, and attractive dividend yield make it a compelling investment option in the tobacco sector.
 Score: 85</t>
  </si>
  <si>
    <t>Investment Report:
 Recent News: The PNC Financial Services Group (PNC) has a strong earnings surprise history, indicating the potential to beat estimates again in its upcoming earnings report. The company's financial data shows a mixed picture, with a relatively low trailing P/E ratio of 15.62 but a higher forward P/E of 18.17, suggesting that the market expects earnings growth. The stock's dividend yield of 4.31% is also attractive, though the payout ratio of 66.17% may limit future dividend increases.
 Financials: PNC's financial metrics are generally solid, with a healthy profit margin of 12.26% and a return on equity of 9.58%. However, the company's free cash flow is negative, which could be a concern. The balance sheet appears strong, with a current ratio of 0.708 and a debt-to-equity ratio of 168.24.
 Valuations: PNC's stock is trading at a discount to its 52-week high of $95.42, with a current price of $83.80. The stock's target mean price of $92.80 suggests potential upside, and the majority of analysts covering the stock have a "buy" recommendation.
 Economic Outlook: The overall macroeconomic environment remains mixed, with concerns about inflation and potential volatility in the markets. However, the expected earnings growth of 12-13% for the U.S. economy in 2025 could provide a favorable backdrop for PNC's performance.
 Score: 85</t>
  </si>
  <si>
    <t>Investment Report:
 KKR, a leading global investment firm, has demonstrated strong financial performance and growth prospects, making it an attractive investment option for the medium to long term.
 Recent News:
 - KKR's assets under management (AUM) have been steadily increasing, reflecting the firm's ability to attract and manage capital effectively. This organic growth is a positive sign for the company's future earnings potential.
 - The firm's liquidity position, with a significant cash balance, provides financial flexibility and the ability to capitalize on investment opportunities as they arise.
 Financials:
 - KKR's financial data shows a healthy balance sheet, with a strong cash position and manageable debt levels. The firm's profitability metrics, such as profit margins and return on assets, are also encouraging.
 - The company's valuation, based on metrics like price-to-earnings and price-to-book, appears reasonable compared to industry peers, suggesting potential upside for investors.
 Economic Outlook:
 - The overall macroeconomic environment, with expectations of continued earnings growth and a resilient labor market, provides a favorable backdrop for KKR's operations.
 - However, the potential for market volatility and concerns about persistent inflation may pose challenges that the firm will need to navigate effectively.
 In summary, KKR's rising AUM, solid financial position, and positive long-term growth prospects make it a compelling investment opportunity for investors seeking exposure to the asset management industry. The firm's ability to navigate the evolving market conditions will be crucial in delivering consistent returns.
 Score: 85</t>
  </si>
  <si>
    <t>Investment Report:
 The semiconductor materials and equipment company KLA Corporation has not seen any significant news developments in the past week. However, the firm's latest financial data provides insights into its current performance and valuation.
 Financials:
 KLA's stock has shown strong performance, with the share price increasing by 18.1% over the past 52 weeks, outpacing the S&amp;P 500's 24.9% gain. The company's financial metrics, such as a trailing P/E ratio of 31.5 and a forward P/E of 20.9, suggest that the stock may be reasonably valued. Additionally, KLA's profitability metrics, including a profit margin of 28.9% and a return on equity of 90.6%, indicate a healthy financial position.
 Valuation:
 KLA's stock is currently trading at a price-to-sales ratio of 9.0, which is higher than the industry average, but the company's strong growth prospects and market leadership may justify the premium valuation. The firm's target mean price of $787.76, as estimated by analysts, suggests a potential upside of around 14% from the current market price.
 Economic Outlook:
 The overall macroeconomic environment remains mixed, with concerns about persistent inflation and potential volatility in the stock market. However, the semiconductor industry is expected to continue benefiting from the growing demand for advanced technologies, such as artificial intelligence and 5G, which could drive further growth for KLA.
 Score: 85</t>
  </si>
  <si>
    <t>Investment Report:
 The recent news and financial data suggest that Globe Life (GL) stock may be undervalued at the moment. The company's strong financial performance, with a trailing P/E ratio of 9.42 and a forward P/E ratio of 8.20, indicates that the stock could be trading at a discount compared to its intrinsic value.
 The company's profitability metrics, such as profit margins of 19.04% and a return on equity of 23.55%, are impressive and suggest that Globe Life is generating solid earnings. Additionally, the company's dividend yield of 0.86% and a payout ratio of 8.01% indicate that it has a healthy and sustainable dividend policy.
 The macroeconomic outlook for the life and health insurance industry appears to be positive, with the U.S. economy expected to see strong earnings growth of 12-13% in 2025. This could bode well for Globe Life's future performance, as the company is well-positioned to capitalize on the industry's growth.
 However, the market may be facing some volatility in the near term due to factors such as persistent inflation, uneven economic performance, and potential policy changes. Investors should be prepared for potential choppiness in the stock market, which could affect Globe Life's share price in the short term.
 Overall, the recent news and financial data suggest that Globe Life's stock may be undervalued, and the company's strong fundamentals and positive industry outlook make it a potentially attractive investment option for the medium to long term.
 Score: 85</t>
  </si>
  <si>
    <t>Investment Report:
 Recent News: eBay (EBAY) is considered a top value stock for the long-term, according to the Zacks Style Scores, a feature of the Zacks Premium research service. The company's strong financial performance and attractive valuation metrics suggest it could be a compelling investment opportunity.
 Financials: eBay's recent financial data shows a healthy balance sheet, with a current ratio of 1.252 and a quick ratio of 1.088, indicating strong liquidity. The company's profitability metrics, such as profit margins of 19.7% and a return on equity of 35.9%, are also impressive. Additionally, eBay's dividend yield of 1.72% provides an attractive income stream for investors.
 Valuations: eBay's valuation metrics, including a forward P/E ratio of 12.07 and a price-to-sales ratio of 2.94, suggest the stock is undervalued compared to its peers. The company's enterprise value-to-EBITDA ratio of 12.65 also indicates the stock may be trading at a discount.
 Economic Outlook: The overall macroeconomic environment appears to be mixed, with concerns about potential volatility, inflation, and uneven economic performance. However, the expected strong earnings growth in the U.S. stock market, particularly in the technology and semiconductor sectors, could benefit eBay's performance.
 Score: 85</t>
  </si>
  <si>
    <t>Investment Report:
 General Dynamics, a leading aerospace and defense company, has not seen any significant news developments in the past week. However, the firm's latest financial data provides insights into its current performance and valuation.
 Financials:
 - The company's stock price has seen some volatility, with the day's trading range between $257.61 and $264.285.
 - General Dynamics maintains a healthy dividend yield of 2.2% and a payout ratio of 42.5%, indicating a stable and sustainable dividend policy.
 - The firm's valuation metrics, such as a forward P/E ratio of 16.1 and a price-to-book ratio of 3.08, suggest that the stock may be reasonably valued compared to its peers.
 - Key financial ratios, including a quick ratio of 0.722 and a current ratio of 1.316, demonstrate the company's strong liquidity position.
 Economic Outlook:
 - The overall macroeconomic environment remains mixed, with concerns about potential volatility, inflation, and uneven economic performance.
 - However, the aerospace and defense industry is expected to benefit from continued government spending and the development of emerging technologies, such as artificial intelligence.
 Score: 85</t>
  </si>
  <si>
    <t>Investment Report:
 Fortinet (FTNT) is a leading cybersecurity solutions provider that has been gaining significant traction in the market. The company's recent financial performance and growth prospects make it a compelling investment opportunity.
 Recent News:
 Fortinet's stock has been on a strong upward trajectory, with the share price reaching new highs. The company's growth attributes, including its solid financial performance and innovative product offerings, have been driving investor interest.
 Financials:
 Fortinet's financial data paints a picture of a healthy and growing company. The firm's revenue has been increasing steadily, with a 13% year-over-year growth. Its profitability metrics, such as profit margins and EBITDA margins, are also impressive, indicating the company's ability to generate strong cash flows.
 Valuation:
 Fortinet's valuation metrics, including its forward P/E ratio of 40.44, suggest that the stock may be trading at a premium compared to the industry average. However, the company's growth potential and market leadership position could justify the higher valuation.
 Economic Outlook:
 The overall macroeconomic environment remains favorable, with the U.S. economy expected to see strong earnings growth in 2025. The continued demand for cybersecurity solutions, driven by the increasing threat of cyber attacks, is likely to benefit Fortinet and the broader industry.
 Score: 85</t>
  </si>
  <si>
    <t>Investment Report:
 Equinix (EQIX), a leading global data center operator, is well-positioned to capitalize on the growing demand for interconnected data center infrastructure. The company's extensive global portfolio of data centers is expected to benefit from the increasing need for reliable and secure data storage and processing solutions.
 Recent News:
 - Equinix's global data center footprint is set to expand, as the company continues to invest in new facilities and upgrades to meet the rising demand for interconnected data center services.
 - However, the company faces stiff competition from other data center providers, which may put pressure on pricing and margins.
 - Additionally, Equinix's high interest expenses could weigh on its profitability, as the company has a significant debt load on its balance sheet.
 Financials:
 - Equinix's financial data shows a strong balance sheet, with a healthy cash position and a relatively low debt-to-equity ratio.
 - The company's profitability metrics, such as profit margins and return on equity, are also solid, indicating its ability to generate consistent earnings.
 - Equinix's valuation, as reflected in its forward P/E ratio, suggests that the stock may be trading at a premium compared to its industry peers.
 Economic Outlook:
 - The overall macroeconomic environment remains mixed, with concerns about persistent inflation and potential volatility in the stock market.
 - However, the continued growth in data usage and the increasing reliance on cloud-based services are expected to drive demand for Equinix's data center services, providing a favorable backdrop for the company's performance.
 Score: 85</t>
  </si>
  <si>
    <t>Investment Report:
 The recent news highlights several positive developments for EQT Corporation (EQT), an oil and gas exploration and production company. The company's acquisition of Equitrans has significantly reduced its breakeven cost, providing a competitive edge in the current weak natural gas pricing environment. This acquisition has lowered the company's breakeven point, which is a crucial factor for profitability in the industry.
 Additionally, EQT has cashed out $3.5 billion from a joint venture with Blackstone (BX), further strengthening its financial position. This influx of cash could be used to fund future growth initiatives or reduce debt, both of which would be beneficial for the company's long-term prospects.
 Regarding the company's financials, EQT's key metrics, such as profit margins, return on assets, and return on equity, appear to be in a healthy range. The company's valuation, as indicated by the forward P/E ratio of 27.58, suggests that the stock may be reasonably priced compared to its earnings potential.
 The overall macroeconomic outlook, with expectations of strong earnings growth in the U.S. market, could also be favorable for EQT. However, the potential volatility and uneven economic performance highlighted in the broader market analysis may present some challenges for the company.
 Score: 85</t>
  </si>
  <si>
    <r>
      <t xml:space="preserve">Investment Report:
 Eaton Corporation, PLC (ETN) is a leading manufacturer of electrical components and equipment, serving a diverse range of industries. The company has recently experienced a stock price correction, which presents a potential buying opportunity for investors.
 Recent News:
 </t>
    </r>
    <r>
      <rPr>
        <rFont val="&quot;Helvetica Neue&quot;"/>
        <color rgb="FF1155CC"/>
        <sz val="8.0"/>
        <u/>
      </rPr>
      <t>Zacks.com</t>
    </r>
    <r>
      <rPr>
        <rFont val="&quot;Helvetica Neue&quot;"/>
        <sz val="8.0"/>
      </rPr>
      <t xml:space="preserve"> has highlighted Eaton as a trending stock, indicating increased investor attention. The recent correction in the stock price could be an opportunity for investors to capitalize on the company's strong fundamentals.
 Financials:
 Eaton's financial data shows a robust performance, with a market capitalization of over $137 billion and a strong balance sheet. The company's profitability metrics, such as profit margins and return on assets and equity, are also impressive. Additionally, Eaton has a history of consistent dividend payments, with a current dividend yield of 1.08%.
 Valuation:
 Eaton's valuation metrics, including a forward P/E ratio of 28.87 and a price-to-book ratio of 7.21, suggest that the stock may be reasonably valued, especially considering the company's growth prospects.
 Economic Outlook:
 The overall macroeconomic environment remains mixed, with concerns about inflation and potential volatility. However, the expected strong earnings growth in the U.S. market and the continued development of emerging technologies, such as artificial intelligence, could benefit Eaton's performance.
 Score: 85</t>
    </r>
  </si>
  <si>
    <t>Investment Report:
 EPAM Systems, an IT consulting and services firm, has not seen any significant news developments in the past week. However, the company's financial data provides insights into its current performance and valuation.
 Recent Financials:
 EPAM's financial metrics indicate a strong and profitable business. The company has a healthy balance sheet with a quick ratio of 4.396, suggesting ample liquidity. EPAM's profitability is also impressive, with a net income margin of 9.67% and a return on equity of 13.09%. The company's revenue growth of 1.3% and earnings growth of 43.6% year-over-year demonstrate its ability to generate consistent growth.
 Valuation:
 EPAM's valuation appears reasonable, with a forward P/E ratio of 20.40 and a price-to-sales ratio of 2.83. The company's shares are trading at a discount to their 52-week high of $317.50, currently at $234.72. Analysts have a mean price target of $258.74, suggesting potential upside.
 Economic Outlook:
 The overall macroeconomic environment remains mixed, with concerns about inflation and potential market volatility. However, the IT consulting and services industry is expected to benefit from the continued growth in emerging technologies, such as artificial intelligence and cloud computing. EPAM's focus on these areas could position the company well to capitalize on these trends.
 Score: 85</t>
  </si>
  <si>
    <t>Investment Report:
 Estée Lauder Companies (The), a leading player in the Personal Care Products industry, has not seen any significant news developments in the past week. However, the firm's latest financial data provides insights into its current performance and valuation.
 Financials:
 - The company's stock is trading at a price-to-earnings (P/E) ratio of 5.64, indicating a relatively low valuation compared to the industry average.
 - Estée Lauder has a strong balance sheet, with a healthy cash position and a manageable debt-to-equity ratio of 22.1%.
 - The firm's profitability metrics, such as profit margins and return on assets and equity, suggest a well-performing business.
 Valuation:
 - The stock's current price of $365.14 is within the 52-week range of $343.76 to $407.30, indicating a potential upside based on the target mean price of $424.25.
 - The company's dividend yield of 2.21% is lower than the industry average, but the payout ratio of 11.7% suggests room for potential dividend growth.
 Economic Outlook:
 - The overall macroeconomic environment remains mixed, with concerns about inflation and potential market volatility. However, the personal care products industry is expected to benefit from the continued recovery in consumer spending.
 Score: 85</t>
  </si>
  <si>
    <t>Investment Report:
 Recent News: Aspen Insurance Holdings Ltd. has issued a new 7.00% non-cumulative preferred stock, AHL-F, with $200 million in gross proceeds. The preferred shares are rated BB+ by S&amp;P and Ba1 by Moody's, offering a 6.88% current yield and 6.59% yield to call. The new preferred stock issuance provides Aspen Insurance with additional capital and diversifies its funding sources.
 Financials: Apollo Global Management's financial data shows a strong balance sheet with a market capitalization of over $3.7 trillion, a healthy current ratio of 0.867, and a manageable debt-to-equity ratio of 209.059. The company's profitability metrics, such as a profit margin of 23.97% and a return on equity of 15.74%, indicate a well-performing business. Additionally, the firm's free cash flow of over $110 billion provides financial flexibility.
 Valuations: Apollo Global Management's valuation metrics, including a forward P/E ratio of 29.46 and a price-to-book ratio of 65.04, suggest the stock may be trading at a premium compared to its peers. However, the company's strong financial performance and growth prospects could justify the current valuation.
 Economic Outlook: The overall macroeconomic environment remains mixed, with concerns about persistent inflation, uneven economic performance, and potential policy changes. However, the asset management industry is expected to benefit from continued earnings growth and the rise of emerging technologies, such as artificial intelligence, which could drive demand for Apollo Global Management's services.
 Score: 85</t>
  </si>
  <si>
    <t>Investment Report:
 Verisk Analytics (VRSK) is a leading provider of data analytics and risk assessment solutions, primarily serving the insurance industry. The company's recent transition to a subscription-based model from a transaction-based model has been a key driver of its performance, as it provides more stable and recurring revenue streams.
 The latest financial data shows that Verisk has maintained a strong financial position, with a healthy balance sheet and robust profitability metrics. The company's revenue growth, earnings growth, and profit margins indicate its ability to capitalize on the growing demand for data-driven decision-making in the insurance and risk management sectors.
 Furthermore, the macroeconomic outlook for the research and consulting services industry remains positive, with the rise of emerging technologies like artificial intelligence (AI) offering significant growth opportunities. The overall U.S. stock market is expected to be up 10-15% this year, which could also benefit Verisk's performance.
 However, the market is likely to be choppy in the near term, with potential volatility driven by macroeconomic and political factors. Investors should be prepared for continued market fluctuations and the potential impact of policy changes, particularly in the regulatory environment.
 Score: 85</t>
  </si>
  <si>
    <t>Investment Report:
 Zimmer Biomet (ZBH) is making a strong comeback, with a focus on expanding its product portfolio and improving cash flow. The company's recent financial data shows promising signs, including a strong cash position, healthy profitability metrics, and a relatively low valuation compared to its peers.
 The latest news highlights Zimmer Biomet's efforts to drive long-term growth and profitability. The company is leveraging its innovation capabilities, strategic acquisitions, and operational efficiency improvements to position itself for success in high-growth markets. This indicates a positive outlook for the firm's future performance.
 Despite past underperformance, Zimmer Biomet's current financial standing and strategic initiatives suggest significant growth potential. The company's focus on cash flow generation, profitability enhancement, and portfolio diversification are likely to contribute to its overall financial health and market competitiveness.
 The macroeconomic outlook, with expectations of continued earnings growth and a mixed but generally positive market environment, further supports the investment potential of Zimmer Biomet. The firm's ability to navigate industry challenges and capitalize on emerging opportunities could drive its stock price higher in the coming months.
 Score: 85</t>
  </si>
  <si>
    <t>Investment Report:
 Recent News:
 The recent news highlights Warren Buffett's increased investment in VeriSign, a leading provider of internet domain-name registry services. Buffett's Berkshire Hathaway has been steadily accumulating VeriSign shares, indicating his confidence in the company's long-term prospects. The news suggests that VeriSign's stock price has been rising, reaching its highest level since December 2023, and the company's high-margin business model has attracted Buffett's attention.
 Financials:
 VeriSign's financial data shows a strong and stable company. The company has a market capitalization of over $38 billion, with a healthy balance sheet, low debt levels, and robust profitability. VeriSign's revenue growth, profit margins, and free cash flow generation are all positive indicators of the company's financial health.
 Valuations:
 VeriSign's valuation metrics, such as a forward P/E ratio of 37.3 and a price-to-sales ratio of 13.7, suggest that the stock may be trading at a premium compared to the broader market. However, the company's strong financial performance and Buffett's investment could justify the current valuation.
 Economic Outlook:
 The overall macroeconomic outlook for the U.S. economy is mixed, with concerns about potential volatility, inflation, and uneven economic performance. However, the technology and internet sectors are expected to continue performing well, driven by the rise of emerging technologies like artificial intelligence. VeriSign's position as a leading provider of internet infrastructure services could benefit from these broader trends.
 Score: 85</t>
  </si>
  <si>
    <r>
      <t xml:space="preserve">Investment Report:
 Vertex Pharmaceuticals (VRTX) has been attracting significant investor attention lately, as evidenced by the recent data from </t>
    </r>
    <r>
      <rPr>
        <rFont val="&quot;Helvetica Neue&quot;"/>
        <color rgb="FF1155CC"/>
        <sz val="8.0"/>
        <u/>
      </rPr>
      <t>Zacks.com</t>
    </r>
    <r>
      <rPr>
        <rFont val="&quot;Helvetica Neue&quot;"/>
        <sz val="8.0"/>
      </rPr>
      <t>. The company's financial performance and market positioning suggest that it could be a compelling investment opportunity.
 Recent News: Vertex Pharmaceuticals has been in the spotlight due to its strong pipeline of cystic fibrosis treatments and its potential to expand into other therapeutic areas. The company's recent financial results have been positive, with revenue growth of 11.6% year-over-year.
 Financials: Vertex's financial data shows a mixed picture. While the company has a strong balance sheet with $6.5 billion in total cash, it has also reported negative net income in the most recent quarter. However, the company's forward P/E ratio of 21.5 suggests that the market is anticipating future earnings growth.
 Valuations: Vertex's valuation metrics, such as its price-to-sales ratio of 9.75 and price-to-book ratio of 6.64, indicate that the stock may be trading at a premium compared to its peers. However, the company's strong market position and growth potential could justify the higher valuation.
 Economic Outlook: The overall macroeconomic environment remains mixed, with concerns about inflation and potential volatility in the stock market. However, the biotechnology sector, including Vertex, is expected to benefit from the continued focus on healthcare and the development of innovative treatments.
 Score: 85</t>
    </r>
  </si>
  <si>
    <t>Investment Report:
 Recent News:
 American Express (AXP) stock has seen a slight dip of 0.4% in the recent trading session, despite the overall market uptick. This comes as the top stock in Berkshire Hathaway's portfolio, Apple (AAPL), has seen Warren Buffett selling large chunks of his position throughout 2024. However, American Express continued its strong rally in 2024, becoming one of the best-performing companies in the S&amp;P 500 index, with the stock soaring to a record high of $307, up by over 57%.
 Financials:
 American Express benefits from a premium customer base, resulting in low delinquency rates and stable revenue even during economic uncertainty. The company's revenue grew 8% year-over-year, driven by international expansion, premium card fees, and disciplined cost management. American Express also boasts a superior return on equity of 33.9%, far outpacing its competitors.
 Valuation:
 American Express is currently trading at a forward P/E ratio of 19.90, which is slightly higher than the industry average. However, the company's strong growth, premium customer base, and operational efficiency justify the premium valuation.
 Economic Outlook:
 The overall macroeconomic outlook for the U.S. economy is mixed, with strong earnings growth expectations but also concerns about potential volatility, inflation, and uneven economic performance. The political landscape and the rise of emerging technologies, particularly AI, will also play a significant role in shaping the market's direction.
 Score: 85</t>
  </si>
  <si>
    <t>Investment Report:
 Elevance Health, a leading managed healthcare company, has not seen any significant news developments in the past week. However, the firm's latest financial data provides insights into its current performance and valuation.
 Financials:
 Elevance Health's stock has shown a mixed performance, with the share price fluctuating between $373.36 and $383.79 during the recent trading session. The company's dividend yield of 1.72% and a payout ratio of 23.19% suggest a relatively stable dividend policy. The firm's trailing P/E ratio of 13.81 and forward P/E ratio of 10.78 indicate that the stock may be undervalued compared to its industry peers.
 Valuation:
 Elevance Health's market capitalization stands at $88.05 billion, with a price-to-sales ratio of 0.51 and a price-to-book ratio of 2.01. These valuation metrics suggest that the stock may be trading at a discount compared to its intrinsic value. However, the firm's 52-week low of $362.21 and high of $567.26 highlight the potential volatility in the stock price.
 Economic Outlook:
 The overall macroeconomic environment remains mixed, with concerns about persistent inflation and uneven economic performance. However, the managed healthcare industry is expected to benefit from the continued growth in healthcare spending and the increasing demand for comprehensive healthcare services. The rise of emerging technologies, such as artificial intelligence, may also present opportunities for Elevance Health to enhance its service offerings and operational efficiency.
 Score: 85</t>
  </si>
  <si>
    <t>Investment Report:
 Walmart (WMT) is a leading retailer in the Consumer Staples Merchandise Retail industry, known for its extensive brick-and-mortar presence and growing e-commerce capabilities. The recent news highlights several key aspects of the company's performance and outlook:
 1. Walmart's scale and focus on grocery have enabled it to gain market share, as traditional rivals struggle. The company's new store experience and competitive pricing are attracting more customers to its grocery offerings.
 2. Despite the broader market decline, Walmart's stock has outperformed, indicating its resilience and ability to navigate economic challenges. The company's strong financial results, including revenue growth and operating income increases, have contributed to its positive performance.
 3. Walmart's investments in digital platforms, international expansion, and brand elevation have significantly improved its financial performance and market position. The company is now a top-tier omnichannel player, second only to Amazon in e-commerce and Costco in physical retail quality.
 4. Walmart's valuation, with a forward PEG ratio of 3.83, suggests that the stock is well-priced compared to competitors, despite a slightly higher forward P/E ratio. The company's positive technical indicators and strong financial position make it an attractive investment option.
 Regarding the macroeconomic outlook, the U.S. economy is expected to see strong earnings growth in 2025, but the markets may experience volatility due to concerns about inflation and uneven economic performance. The political landscape and the rise of emerging technologies, particularly AI, will also play a significant role in shaping the market's direction.
 Score: 85</t>
  </si>
  <si>
    <t>Investment Report:
 Vistra Corp. (VST) has emerged as a strong player in the electric utilities industry, delivering impressive stock performance in 2024 and carrying that momentum into 2025. The company's strategic shift towards renewable energy, strategic acquisitions, and solid financial results have contributed to its success.
 Recent News:
 - Vistra stock was one of the biggest winners in 2024, rising nearly 19% in the first three trading sessions of 2025.
 - The stock is trading above its 50-day and 200-day simple moving averages, indicating potential for continued gains.
 - Analysts are optimistic about Vistra's prospects, citing the company's rising earnings estimates and strong return on invested capital (ROIC).
 - The stock's surge has been attributed to growing optimism about the use of nuclear capacity to serve energy-intensive artificial intelligence (AI) demand.
 Financials:
 - Vistra's financial data shows strong performance, with a market capitalization of over $21 billion, a trailing P/E ratio of 14.67, and a forward P/E ratio of 13.21.
 - The company has a healthy balance sheet, with a current ratio of 0.397 and a quick ratio of 0.232.
 - Vistra's revenue growth and earnings growth have been impressive, at 12.2% and 11%, respectively.
 Valuation and Economic Outlook:
 - Vistra's stock is currently trading at a discount to its 52-week high of $65.49, with a target mean price of $63.73 and a target median price of $65.
 - The overall macroeconomic outlook for the U.S. economy is mixed, with concerns about potential volatility, inflation, and uneven economic performance. However, the electric utilities sector is expected to benefit from the growing demand for clean power.
 Score: 85</t>
  </si>
  <si>
    <t>Investment Report:
 Recent News:
 The recent news indicates that Wells Fargo stock has been performing well, with the stock climbing on Monday as the broader market also saw gains. The reports suggest that Wells Fargo is expected to deliver strong earnings in its upcoming report, with the company possessing the right combination of factors to potentially beat earnings estimates again.
 Financials:
 Wells Fargo's financial data shows a strong financial position, with a market capitalization of over $239 billion and a healthy balance sheet. The company's profitability metrics, such as profit margins and return on assets and equity, are also relatively strong. Additionally, the company's valuation metrics, including a forward P/E ratio of 13.03, suggest that the stock may be reasonably valued.
 Economic Outlook:
 The overall economic outlook appears to be mixed, with the U.S. economy expected to see strong earnings growth in 2025, but also facing potential challenges from persistent inflation, uneven economic performance, and political factors. The financial sector, in particular, is expected to perform well, with the technology and semiconductor sectors leading the way.
 Conclusion:
 Based on the recent news, financial data, and economic outlook, Wells Fargo appears to be in a relatively strong position, with the potential to deliver solid earnings growth and positive stock performance in the near term. However, investors should be mindful of the broader market and economic conditions that may impact the company's performance.
 Score: 85</t>
  </si>
  <si>
    <t>Investment Report:
 Veralto, a leading player in the Environmental &amp; Facilities Services industry, has seen its stock rise by 30% over the past year. This impressive performance can be attributed to the company's strong positioning in key segments, strategic acquisitions, and growing dividends.
 Recent News:
 Veralto's leadership in the Water Quality and PQI (Process Quality Improvement) segments has been a key driver of its growth. The company's focus on providing innovative solutions in these areas has allowed it to capitalize on the increasing demand for environmental and facilities management services.
 Financials:
 Veralto's financial data paints a positive picture. The company's strong balance sheet, with a healthy cash position and manageable debt levels, provides it with the flexibility to pursue strategic initiatives. Additionally, Veralto's consistent dividend payouts and attractive dividend yield of 6.84% make it an appealing investment option for income-oriented investors.
 Valuation and Economic Outlook:
 Veralto's valuation metrics, such as a forward P/E ratio of 8.38 and a price-to-sales ratio of 1.24, suggest that the stock may be undervalued compared to its peers. The company's growth prospects are further bolstered by the positive macroeconomic outlook, with the overall U.S. economy expected to see strong earnings growth in 2025.
 In summary, Veralto's strategic positioning, financial strength, and favorable valuation make it an attractive investment opportunity in the Environmental &amp; Facilities Services industry. The company's continued focus on innovation and growth initiatives positions it well to capitalize on the industry's long-term trends.
 Score: 85</t>
  </si>
  <si>
    <t>Investment Report:
 The recent news highlights Waste Management's (WM) strong performance, with the stock gaining slightly but lagging the broader market. The company's strong economic moat, driven by its scale, pricing power, and vertical integration, ensures high profitability and market leadership in waste collection and disposal. The acquisition of Stericycle further enhances Waste Management's growth trajectory and market position, particularly in the medical waste sector.
 Financially, Waste Management appears to be in a solid position, with strong profitability metrics, including high profit margins and return on assets and equity. The company's financial data also indicates a healthy balance sheet, with a relatively low debt-to-equity ratio and ample cash reserves.
 However, the stock appears to be undervalued compared to its peers, with a forward P/E ratio of 29.3 and a price-to-book ratio of 13.9, suggesting a potential 20-30% upside. This undervaluation, combined with the company's strong fundamentals and growth prospects, could make Waste Management an attractive investment opportunity.
 The overall macroeconomic outlook, with expectations of continued earnings growth and a mixed but generally positive market performance, provides a favorable backdrop for Waste Management's future prospects. The rise of emerging technologies, particularly in the environmental and sustainability sectors, could also benefit the company's long-term growth.
 Score: 85</t>
  </si>
  <si>
    <t>Investment Report:
 Tyler Technologies (TYL) has been a standout performer in the Application Software industry, surging 39% year-to-date. This strong performance reflects the company's ability to continue attracting a steady flow of customers despite the macroeconomic and competitive challenges facing the sector.
 The latest financial data shows that Tyler Technologies is in a solid financial position, with a strong balance sheet and healthy profitability metrics. The company's trailing P/E ratio of 12.4 and forward P/E ratio of 11.4 suggest that the stock may be reasonably valued, especially considering its growth potential.
 The macroeconomic outlook for the U.S. economy remains mixed, with concerns about inflation, uneven economic performance, and potential policy changes. However, the rise of emerging technologies like artificial intelligence (AI) is expected to be a key driver of growth in the software industry, which could benefit Tyler Technologies.
 Overall, Tyler Technologies' strong business model, financial performance, and industry tailwinds make it an attractive investment option for investors seeking exposure to the Application Software sector. While the market may be choppy in the near term, the company's long-term prospects appear promising.
 Score: 85</t>
  </si>
  <si>
    <t>Investment Report:
 The recent news surrounding Uber (UBER) has been largely positive, with the company announcing an accelerated $1.5 billion stock buyback program. This move suggests that Uber's management believes the stock is currently undervalued, and it could help boost investor confidence in the company's long-term prospects.
 Financially, Uber appears to be in a strong position. The company's financial data shows solid metrics, including a healthy profit margin, strong revenue growth, and a relatively low debt-to-equity ratio. Additionally, Uber's valuation metrics, such as its forward P/E ratio, indicate that the stock may be attractively priced compared to its growth potential.
 The overall economic outlook also seems favorable for Uber. The passenger ground transportation industry is expected to continue growing, driven by factors such as the increasing adoption of ride-hailing services and the potential development of autonomous vehicles. Uber's dominant market position and diversified business model, which includes both ride-hailing and food delivery, could allow the company to capitalize on these industry trends.
 However, Uber is not without its risks. The company faces regulatory challenges, such as the recent court ruling in Seattle, and competition from other ride-hailing and delivery services. Additionally, the broader economic conditions and potential changes in consumer behavior could impact Uber's performance.
 Score: 85</t>
  </si>
  <si>
    <t>Investment Report:
 Tapestry, Inc. (NYSE: TPR), the parent company of luxury brands Coach, Kate Spade, and Stuart Weitzman, has seen its stock price reach a new 52-week high, indicating bullish momentum in the market. The recent financial data shows the company's strong performance, with a healthy balance sheet, robust profitability, and positive growth metrics.
 The firm's financial highlights include a strong cash position, with total cash of over $7.3 billion and a quick ratio of 4.233, suggesting ample liquidity. Tapestry's profitability is also impressive, with a gross margin of 73.9% and an EBITDA margin of 21.6%. The company's return on assets and return on equity are also noteworthy at 7.6% and 29.9%, respectively.
 The economic outlook for the luxury goods industry remains positive, with the continued recovery in consumer spending and the growing demand for premium products. Tapestry's diversified portfolio of iconic brands, strong brand recognition, and global reach position the company well to capitalize on these favorable market conditions.
 However, the company faces some risks, including compensation risk and shareholder rights risk, which investors should consider. Additionally, the overall market volatility and potential macroeconomic headwinds could impact the company's performance in the short term.
 Score: 85</t>
  </si>
  <si>
    <t>Investment Report:
 Recent News: T. Rowe Price (TROW) has a strong earnings surprise history, indicating the firm's ability to consistently beat market expectations. This suggests the company may be well-positioned to deliver another positive earnings surprise in its upcoming quarterly report.
 Financials: T. Rowe Price's financial data shows a healthy balance sheet, with a strong cash position, low debt levels, and solid profitability metrics. The firm's valuation, as reflected in its forward P/E ratio of 11.95, appears attractive compared to the industry average.
 Economic Outlook: The overall macroeconomic environment remains mixed, with concerns about potential volatility, inflation, and uneven economic performance. However, the expected earnings growth in the U.S. stock market, particularly in the technology and semiconductor sectors, could provide a favorable backdrop for T. Rowe Price's performance.
 Valuation: T. Rowe Price's current valuation, with a forward P/E ratio of 11.95, is lower than the industry average, indicating potential upside for the stock. The firm's strong financial position and earnings growth potential make it an attractive investment option in the current market environment.
 Score: 85</t>
  </si>
  <si>
    <t>Investment Report:
 The Travelers Companies (TRV) is a leading property and casualty insurance provider in the United States. The recent news and financial data suggest that the company is well-positioned to navigate the current market environment and deliver strong performance in the coming year.
 Recent News:
 - Travelers has an impressive earnings surprise history and is expected to beat earnings estimates again in its next quarterly report. The company's combination of earnings estimates and estimate revisions makes it a strong pick.
 - Despite a solid 24% return in 2024, Travelers' performance has lagged the market due to underwriting weakness in 2023. However, the company's combined ratio is improving, led by its personal business, as premium inflation has caught up to underlying inflation.
 - The overall market outlook for 2025 is favorable for Travelers, with elevated interest rates and insurance premium inflation expected to support the company's performance.
 Financials:
 - Travelers' financial data shows a strong balance sheet, with a market capitalization of over $58 billion and a healthy cash position of $49 billion.
 - The company's valuation metrics, such as a forward P/E ratio of 11.2 and a price-to-book ratio of 0.99, suggest that the stock is attractively priced.
 - Travelers' dividend yield of 4.7% and a payout ratio of 52% indicate a stable and sustainable dividend policy.
 Economic Outlook:
 - The overall macroeconomic environment is expected to be mixed, with strong earnings growth but also concerns about potential volatility, inflation, and uneven economic performance.
 - The rise of emerging technologies, particularly artificial intelligence, could present significant growth opportunities for the insurance industry, including Travelers.
 Score: 85</t>
  </si>
  <si>
    <t>Investment Report:
 Recent News: U.S. Bancorp (USB) has a strong earnings surprise history, indicating the potential to beat estimates again in its upcoming earnings report. The company's combination of positive factors, such as its impressive earnings surprise track record, suggests it may outperform expectations.
 Financials: U.S. Bancorp's recent financial data shows a healthy financial position. The company has a strong balance sheet, with a market capitalization of over $76 billion and a solid dividend yield of 4.1%. Its valuation metrics, including a forward P/E ratio of 11.2, suggest the stock may be undervalued compared to its peers.
 Economic Outlook: The overall macroeconomic environment remains mixed, with concerns about potential volatility, inflation, and uneven economic performance. However, the U.S. economy is expected to see strong earnings growth in 2025, which could benefit U.S. Bancorp and the broader banking sector.
 Valuation: U.S. Bancorp's valuation metrics, such as its forward P/E ratio and price-to-book ratio, suggest the stock may be undervalued compared to its historical levels and industry peers. This could indicate potential upside for the stock.
 In summary, U.S. Bancorp's strong earnings surprise history, healthy financial position, and potentially undervalued valuation make it an interesting investment opportunity in the Diversified Banks industry. However, investors should consider the broader macroeconomic and market conditions that may impact the company's performance.
 Score: 85</t>
  </si>
  <si>
    <t>Investment Report:
 Tyson Foods (TSN) is a strong value stock in the Packaged Foods &amp; Meats industry. The recent news highlights the company's financial strength and growth potential, making it an attractive investment option.
 Financials:
 Tyson Foods' financial data shows a solid performance, with a market capitalization of over $20 billion and a healthy balance sheet. The company's profitability metrics, such as profit margins and return on assets, are within the industry average. Additionally, Tyson Foods has a low debt-to-equity ratio, indicating a stable financial position.
 Valuation:
 The stock's valuation metrics, including a forward P/E ratio of 13.52 and a price-to-book ratio of 1.10, suggest that Tyson Foods is currently undervalued compared to its peers. The company's dividend yield of 3.52% also makes it an appealing option for income-oriented investors.
 Economic Outlook:
 The overall macroeconomic environment, with strong earnings growth expectations and a resilient labor market, is expected to benefit the packaged foods industry. However, concerns about persistent inflation and potential volatility in the stock market may pose some challenges.
 Score: 85</t>
  </si>
  <si>
    <t>Investment Report:
 American Electric Power (AEP) continues to demonstrate strong performance, driven by its strategic investments and expansion of its renewable energy portfolio. The company's recent financial data shows a healthy financial position, with a market capitalization of over $48 billion and a solid dividend yield of 4.12%.
 The firm's investment plan and renewable energy initiatives have been key drivers of its growth. AEP has been systematically investing in infrastructure upgrades and the development of renewable energy sources, which are expected to contribute to its long-term sustainability and profitability.
 The macroeconomic outlook for the electric utilities industry remains positive, with the continued demand for reliable and sustainable energy sources. The recent news highlights the company's ability to navigate the evolving energy landscape and capitalize on emerging opportunities.
 While the stock has experienced some volatility in the short term, the overall financial and operational performance of AEP suggests a favorable investment outlook. The company's strong market position, diversified portfolio, and strategic initiatives position it well to navigate the challenges and capitalize on the growth opportunities in the electric utilities sector.
 Score: 85</t>
  </si>
  <si>
    <t>Investment Report:
 UDR, Inc. is a well-diversified multifamily REIT with a strong presence in both Tier 1 coastal and high-growth Sunbelt markets. The recent news suggests that the company is well-positioned to benefit from the current market dynamics, including persistent high mortgage rates that make renting more attractive and lower new supply, which could support long-term value and income growth.
 The firm's financial data indicates a moderate valuation, with a forward P/E ratio of 21.08 and a price-to-book ratio of 9.44. The company's profitability metrics, such as profit margins (10.49%) and return on equity (34.33%), are also favorable. Additionally, UDR's strong balance sheet, with a quick ratio of 1.22 and a current ratio of 1.42, provides financial flexibility.
 The overall economic outlook, with expectations of strong earnings growth and potential market volatility, could benefit UDR's defensive positioning as a multifamily REIT. The rise of emerging technologies, particularly AI, may also present growth opportunities for the company in the long term.
 Given the positive industry trends, UDR's solid financial performance, and the supportive macroeconomic environment, the investment potential for UDR, Inc. appears promising.
 Score: 85</t>
  </si>
  <si>
    <t>Investment Report:
 Recent news highlights several factors that could impact UnitedHealth Group's (UNH) stock performance in the near term. The company's shares declined by 17% in December, partly due to a backlash following the murder of one of its executives and reports of a potential crackdown on pharmacy benefit managers (PBMs), including UnitedHealth's OptumRx.
 However, the company's financial data suggests it remains a strong value stock. UnitedHealth's valuation metrics, such as a forward P/E ratio of 9.97 and a price-to-book ratio of 1.81, indicate the stock is undervalued compared to its peers. Additionally, the company's profitability metrics, including a profit margin of 6.66% and a return on equity of 16.34%, are solid.
 The macroeconomic outlook for the healthcare sector remains mixed, with concerns about persistent inflation and potential policy changes. However, the rise of emerging technologies, such as artificial intelligence, could present growth opportunities for UnitedHealth Group in the long term.
 Overall, despite the recent negative news, UnitedHealth Group's strong financial position and valuation metrics suggest it could be a compelling investment option for the next month, though investors should be mindful of the potential volatility and challenges facing the healthcare industry.
 Score: 85</t>
  </si>
  <si>
    <t>Investment Report:
 Recent News: Analog Devices (ADI) stock outperformed the broader market in the most recent trading session, closing at $215.48, a 1.95% increase from the previous day. This positive performance could be attributed to the company's strong financial position and growth prospects in the semiconductor industry.
 Financials: Analog Devices' financial data indicates a healthy balance sheet, with a market capitalization of $139 billion and a strong cash position of $9 billion. The company's profitability metrics, such as profit margins (13%) and return on equity (55.72%), suggest it is well-positioned to navigate the current market environment.
 Valuations: Analog Devices' valuation metrics, including a forward P/E ratio of 12.52 and a price-to-sales ratio of 4.27, suggest the stock may be reasonably valued compared to its peers. The company's dividend yield of 3.68% and a payout ratio of 113.41% also make it an attractive option for income-oriented investors.
 Economic Outlook: The overall macroeconomic environment remains mixed, with concerns about persistent inflation and potential volatility in the stock market. However, the semiconductor industry is expected to continue benefiting from the growing demand for advanced technologies, such as artificial intelligence and 5G, which could drive Analog Devices' future growth.
 Score: 85</t>
  </si>
  <si>
    <t>Investment Report:
 Arch Capital Group (ACGL) is a leading global insurance and reinsurance company that has underperformed its industry peers over the past year. However, the company's recent financial data and industry outlook suggest potential for growth and improved performance.
 Recent News:
 - Arch Capital's stock has lagged the industry, raising questions about its investment potential.
 - However, the company is well-positioned for growth, with new business opportunities, increased exposures, a better renewal rate environment, and effective capital deployment.
 Financials:
 - Arch Capital's financial data shows a strong balance sheet, with a healthy current ratio of 4.468 and a quick ratio of 3.516, indicating a robust liquidity position.
 - The company's profitability metrics, such as profit margins (40.29%) and return on equity (33.83%), are also impressive.
 - Arch Capital's valuation, with a forward P/E ratio of 48.39, suggests that the stock may be trading at a premium compared to its industry peers.
 Economic Outlook:
 - The overall macroeconomic environment is expected to be mixed, with concerns about potential volatility, inflation, and uneven economic performance.
 - However, the rise of emerging technologies, particularly artificial intelligence, could offer significant growth opportunities for the insurance industry.
 In summary, Arch Capital Group's recent financial performance and industry outlook suggest that the company may be well-positioned for growth, despite its recent stock underperformance. Investors should closely monitor the company's progress and the broader economic and industry trends to make an informed investment decision.
 Score: 80</t>
  </si>
  <si>
    <t>Investment Report:
 Ulta Beauty (ULTA) has announced several significant developments that could impact its future performance. The company has named Kecia Steelman, its current Chief Operating Officer, as the new Chief Executive Officer, replacing the retiring Dave Kimbell. This transition in leadership could be seen as a positive move, as Steelman is described as an "instrumental" player in Ulta's recent comeback plans.
 Additionally, Ulta has provided an upbeat outlook for the upcoming holiday quarter, indicating stronger-than-expected sales. This is a promising sign, as the holiday season is a crucial period for the cosmetics retailer.
 Financially, Ulta's recent data shows a mixed picture. While the stock has seen some volatility, with the share price fluctuating between $228.91 and $232.30 during the day, the company's overall financial health appears stable. Key metrics, such as a price-to-earnings ratio of 21.14 and a forward price-to-earnings ratio of 18.91, suggest the stock may be reasonably valued.
 The macroeconomic outlook for the retail sector remains cautious, with concerns about inflation and potential economic slowdown. However, Ulta's focus on the beauty and personal care market, which has historically been more resilient, could help the company navigate these challenges.
 Overall, the recent news and financial data suggest Ulta Beauty may have the potential to perform well in the near term, particularly with the leadership transition and the positive outlook for the holiday season. However, investors should closely monitor the company's performance and the broader economic conditions that could impact the retail industry.
 Score: 80</t>
  </si>
  <si>
    <t>Investment Report:
 Ameren, a multi-utilities company, has not seen any significant news in the past week. However, the firm's latest financial data provides insights into its current performance and valuation.
 Financials:
 Ameren's financial metrics show a mixed picture. The company's profitability ratios, such as profit margins and return on assets and equity, are relatively strong, indicating solid operational efficiency. However, the firm's debt-to-equity ratio is high at 152.976, which could be a concern for investors.
 Valuation:
 Ameren's valuation appears reasonable, with a forward P/E ratio of 17.60 and a price-to-book ratio of 1.96. The company's dividend yield of 3.09% is also attractive for income-oriented investors.
 Economic Outlook:
 The overall macroeconomic environment remains mixed, with concerns about potential volatility, inflation, and uneven economic performance. However, the multi-utilities sector is generally considered a defensive investment, as it is less sensitive to economic fluctuations.
 Score: 80</t>
  </si>
  <si>
    <t>Investment Report:
 The recent financial data for Automatic Data Processing (ADP) shows a mixed picture. The company's stock price has seen some volatility, with the share price fluctuating between $285.86 and $290.32 over the past trading day. The company's valuation metrics, such as the forward P/E ratio of 26.4, suggest that the stock may be reasonably priced.
 However, the company's financial performance has been relatively strong, with a healthy profit margin of 19.7% and a solid return on equity of 87.3%. The company's dividend yield of 2.1% is also attractive, though it has declined from the 5-year average of 2.0%.
 The overall economic outlook for the Human Resource &amp; Employment Services industry remains positive, with the U.S. labor market continuing to show resilience. This could benefit ADP, as the company's core business is providing payroll and human resource management services to businesses.
 While there are no recent major news events or developments specific to ADP, the company's solid financial position and the favorable industry outlook suggest that the stock may have potential for investors in the near term.
 Score: 80</t>
  </si>
  <si>
    <t>Investment Report:
 Recent News: Warner Bros Discovery stock has been on the rise, gaining 1% to trade at $10.62 as the company looks to close out the month and quarter with solid gains. This positive momentum suggests that the stock could outperform in the near future.
 Financials: The company's financial data shows a mixed picture, with a trailing P/E ratio of 30.756 and a forward P/E ratio of 24.994, indicating that the stock may be fairly valued. However, the company's profitability metrics, such as profit margins and return on equity, are relatively strong, which could support the stock's performance.
 Valuations: The stock's valuation metrics, including its price-to-sales ratio of 3.786 and price-to-book ratio of 10.149, suggest that the stock may be trading at a premium compared to its peers. However, the company's strong financial performance and growth prospects could justify the current valuation.
 Economic Outlook: The overall macroeconomic environment remains mixed, with concerns about inflation and potential volatility in the market. However, the technology and media sectors, which are key to Warner Bros Discovery's business, are expected to continue performing well, driven by the rise of emerging technologies like artificial intelligence.
 Score: 80</t>
  </si>
  <si>
    <t>Investment Report:
 Avery Dennison, a leading provider of paper and plastic packaging products and materials, has not seen any significant news developments in the past week. However, the company's latest financial data provides insights into its current performance and valuation.
 Financials:
 - Avery Dennison's stock price has been trading in the range of $185.09 to $189.85 over the past trading session, with a previous close of $185.09.
 - The company's financial metrics, such as a trailing P/E ratio of 22.57 and a forward P/E ratio of 17.78, suggest that the stock may be reasonably valued compared to its earnings potential.
 - Avery Dennison's dividend yield of 1.87% and a payout ratio of 40.58% indicate a stable and sustainable dividend policy.
 - The company's strong balance sheet, with a total cash position of $250.6 million and a manageable debt-to-equity ratio of 131.96%, provides financial flexibility.
 Valuation and Economic Outlook:
 - The overall macroeconomic environment remains mixed, with concerns about potential volatility, inflation, and uneven economic performance.
 - However, the paper and plastic packaging industry is expected to benefit from the continued growth in e-commerce and the demand for sustainable packaging solutions.
 - Avery Dennison's position as a leading player in the industry and its focus on innovation and sustainability could position the company well to capitalize on these trends.
 Score: 80</t>
  </si>
  <si>
    <t>Investment Report:
 Recent News: AutoZone (AZO) has managed to close at $3,250 in the latest trading session, marking a 1.5% increase from the prior day. This performance is notable, considering the overall market slip.
 Financials: AutoZone's financial data presents a mixed picture. While the company's profitability metrics, such as profit margins and return on assets and equity, appear strong, there are some concerns around its debt levels and valuation. The company's debt-to-equity ratio of 71.946 is relatively high, and its forward P/E ratio of 38.24 suggests the stock may be overvalued compared to its earnings growth.
 Valuations: AutoZone's valuation metrics, including its price-to-sales and price-to-book ratios, indicate that the stock may be trading at a premium compared to its peers. However, the company's strong brand recognition and market position in the automotive retail industry could justify the higher valuation.
 Economic Outlook: The overall macroeconomic environment remains mixed, with concerns about persistent inflation and potential volatility in the stock market. However, the automotive industry has shown resilience, and the continued demand for auto parts and accessories could benefit AutoZone.
 Score: 80</t>
  </si>
  <si>
    <t>Investment Report:
 Targa Resources, a leading player in the Oil &amp; Gas Storage &amp; Transportation industry, has not seen any significant news developments in the past week. However, the company's latest financial data provides insights into its current performance and valuation.
 Financials:
 Targa Resources' stock has shown a mixed performance, with the share price fluctuating between $137.02 and $139.85 in the recent trading session. The company's dividend yield of 2.87% and a payout ratio of 45.45% suggest a relatively stable dividend policy. The firm's trailing and forward P/E ratios of 14.77 and 15.11, respectively, indicate that the stock may be reasonably valued compared to its earnings.
 Valuation:
 Targa Resources' market capitalization stands at $63.8 billion, with an enterprise value of $71.7 billion. The company's price-to-sales ratio of 0.59 and price-to-book ratio of 4.79 suggest that the stock may be trading at a discount compared to its intrinsic value.
 Economic Outlook:
 The overall macroeconomic environment remains mixed, with concerns about persistent inflation and potential volatility in the stock market. However, the Oil &amp; Gas Storage &amp; Transportation industry is expected to benefit from the continued demand for energy and the potential for increased infrastructure investments.
 Score: 80</t>
  </si>
  <si>
    <t>Investment Report:
 Trimble Inc., a leading provider of positioning technologies and solutions, has not seen any significant news developments in the past week. However, the company's financial data provides insights into its current performance and valuation.
 Financials:
 Trimble's stock has shown a mixed performance, with the share price fluctuating between $70.605 and $72.275 during the recent trading session. The company's trailing P/E ratio of 11.89 suggests that the stock may be undervalued compared to its forward P/E of 24.42. Additionally, Trimble's profit margins of 40.67% indicate strong profitability.
 Valuation:
 The company's market capitalization of $17.36 billion and enterprise value of $18.34 billion suggest that Trimble is a sizable player in the Electronic Equipment &amp; Instruments industry. The stock's 52-week range of $48.60 to $76.97 and the current trading price of around $70.62 indicate that the stock may have room for further upside potential.
 Economic Outlook:
 The overall macroeconomic environment remains mixed, with concerns about inflation and potential volatility in the stock market. However, the expected strong earnings growth in the technology sector, particularly in the semiconductor industry, could benefit Trimble's performance.
 Score: 80</t>
  </si>
  <si>
    <t>Investment Report:
 The recent news indicates that Visa Inc. (V) stock has experienced a slight decline despite an overall market uptick, closing at $313.04 and marking a -0.59% move from the previous day. However, the stock is still considered a top long-term investment option, as highlighted by its inclusion in the Zacks Focus List, which aims to identify market-beating stocks.
 Visa's trailing PEG ratio of 2.07 suggests the stock may be reasonably valued, though further analysis of the company's financials and valuation metrics would be necessary to make a more informed assessment.
 The latest economic outlook, with expectations of continued earnings growth and potential volatility in the market, could impact Visa's performance in the near term. However, the company's dominant position in the transaction and payment processing services industry, as well as the ongoing shift towards digital payments, may provide long-term growth opportunities.
 Score: 80</t>
  </si>
  <si>
    <t>Investment Report:
 Arthur J. Gallagher &amp; Co. is a leading insurance brokerage and risk management services firm operating in the Insurance Brokers industry. The latest financial data shows the company's strong financial position, with a market capitalization of over $162 billion and a healthy balance sheet.
 The firm's financial metrics, such as a trailing P/E ratio of 18.37 and a forward P/E ratio of 10.36, suggest the stock may be undervalued compared to its earnings potential. Additionally, the company's dividend yield of 4.91% and a payout ratio of 90.24% indicate a stable and shareholder-friendly dividend policy.
 The overall economic outlook for the Insurance Brokers industry appears mixed, with concerns about potential volatility and uneven economic performance. However, the rise of emerging technologies, particularly in the area of artificial intelligence, could present growth opportunities for the industry.
 Given the firm's strong financial position, attractive valuation, and the industry's mixed outlook, Arthur J. Gallagher &amp; Co. may present a potentially interesting investment opportunity for the next month.
 Score: 80</t>
  </si>
  <si>
    <t>Investment Report:
 International Flavors &amp; Fragrances (IFF) has shown resilience in recent quarters, with improved volumes across all segments despite facing high raw material costs. The company's financial data indicates a mixed picture, with a decline in profitability and net income, but also a strong balance sheet and healthy dividend yield.
 The recent news highlights IFF's ability to navigate the challenging operating environment, which is a positive sign for the company's long-term prospects. The firm's diversified product portfolio and global reach provide a degree of stability, and its focus on innovation and sustainability could help it capitalize on emerging trends in the specialty chemicals industry.
 While the stock has underperformed the broader market over the past year, the current valuation, with a forward P/E ratio of 17.5, appears reasonable. The company's strong market position, stable dividend, and potential for growth in the fragrance and flavor segments make it a stock worth retaining in a diversified portfolio.
 The overall macroeconomic outlook, with expectations of continued earnings growth and market volatility, suggests that IFF could be a suitable investment for investors seeking exposure to the specialty chemicals industry. However, investors should closely monitor the company's performance and any changes in the competitive landscape or regulatory environment that could impact its operations.
 Score: 80</t>
  </si>
  <si>
    <t>Investment Report:
 The recent news indicates that General Motors (GM) is well-positioned for a strong performance in the coming year. The company's robust electric vehicle (EV) sales, which grew 50% year-over-year in Q4 2024, demonstrate its ability to adapt to the shifting automotive landscape. Additionally, GM's focus on sustainability and its expansion into untapped European markets suggest that it is poised to maintain and potentially expand its market share.
 Financially, GM appears undervalued, trading at a low price-to-earnings ratio of around 6, despite its high-quality earnings and strong cash flow. The company has seen significant revenue and net income growth over the past five years, yet its stock has underperformed compared to the broader S&amp;P 500 index.
 The macroeconomic outlook for the automotive industry remains mixed, with concerns about persistent inflation and uneven economic performance. However, the rise of emerging technologies, such as artificial intelligence, could offer significant growth opportunities for GM and the broader sector.
 Overall, the recent news, financial data, and economic outlook suggest that General Motors may have the potential for a breakout year, making it an interesting investment opportunity in the Automobile Manufacturers industry.
 Score: 80</t>
  </si>
  <si>
    <t>Investment Report:
 GE Aerospace, a leading player in the Aerospace &amp; Defense industry, has not seen any significant news developments in the past week. However, the firm's latest financial data provides insights into its current performance and market positioning.
 Financials:
 - The company's stock has shown a mixed performance, with the share price fluctuating between $171.18 and $173.68 during the recent trading session.
 - GE Aerospace's financial metrics, such as a trailing P/E ratio of 34.01 and a forward P/E ratio of 32.73, suggest the stock may be trading at a premium valuation compared to the industry average.
 - The firm's strong balance sheet, with a total cash position of $15.56 billion and a quick ratio of 0.804, indicates a solid liquidity position.
 - GE Aerospace's profitability ratios, including a profit margin of 8.93% and a return on equity of 22.55%, demonstrate its ability to generate consistent earnings.
 Economic Outlook:
 - The overall macroeconomic environment remains mixed, with concerns about potential volatility, persistent inflation, and uneven economic performance.
 - However, the aerospace and defense sector is expected to benefit from continued government spending and the ongoing recovery in commercial aviation.
 - The rise of emerging technologies, particularly artificial intelligence, could also present growth opportunities for GE Aerospace in the medium to long term.
 Score: 80</t>
  </si>
  <si>
    <t>Investment Report:
 Gen Digital, a leading provider of cybersecurity solutions, has not seen any significant news developments in the past week. However, the company's latest financial data provides insights into its current performance and valuation.
 Financials:
 - The stock is trading at a previous close of $27.5, with a 52-week range of $19.08 to $31.72.
 - The company has a strong balance sheet, with a market capitalization of $16.9 billion and a healthy cash position of $737 million.
 - Gen Digital's profitability metrics, such as profit margins (16.15%) and return on equity (27.66%), suggest the company is generating solid earnings.
 - The firm's valuation, as indicated by its forward P/E ratio of 11.19, appears attractive compared to the industry average.
 Economic Outlook:
 - The overall macroeconomic environment remains mixed, with concerns about persistent inflation and potential volatility in the stock market.
 - However, the growing demand for cybersecurity solutions, driven by the increasing threat of cyber attacks, could continue to benefit companies like Gen Digital.
 Conclusion:
 Based on the latest financial data and the favorable economic outlook for the cybersecurity industry, Gen Digital appears to be a relatively attractive investment opportunity in the short to medium term.
 Score: 80</t>
  </si>
  <si>
    <t>Investment Report:
 Corning Inc. (GLW) is a leading manufacturer of specialty glass and ceramics, with a strong presence in the electronics, telecommunications, and life sciences industries. The company's recent financial data and industry outlook suggest potential investment value.
 Recent News:
 Corning has been upgraded to a Zacks Rank #2 (Buy), indicating growing optimism about the company's earnings prospects. This positive sentiment could drive the stock higher in the near term. Additionally, Corning's performance has been compared favorably to its sector peers, such as F5 Networks (FFIV), further highlighting its potential.
 Financials:
 Corning's financial data shows a mixed picture. While the company's market capitalization and enterprise value are substantial, its valuation metrics, such as the forward P/E ratio, suggest the stock may be trading at a premium. However, the company's strong balance sheet, with a high quick ratio and low debt-to-equity ratio, provides financial stability.
 Economic Outlook:
 The broader technology and computer sectors are expected to continue performing well, driven by the growth of emerging technologies like artificial intelligence. This positive macroeconomic outlook could benefit Corning, as the company's products are widely used in various technology applications.
 Overall, Corning's recent news, financial data, and the industry's economic outlook suggest the company may have investment potential in the near term. However, investors should carefully consider the company's valuation and potential risks before making any investment decisions.
 Score: 80</t>
  </si>
  <si>
    <t>Investment Report:
 Recent News: Devon Energy (DVN) has been outperforming the broader market, closing at $33.93 in the latest trading session, a 1.59% increase from the previous day. The company appears to be entering a favorable commodities market in 2025, with expectations of a slight fall in oil prices more than offset by projections of rising natural gas and NGL prices. Drilling activities' efficiency improvements are resulting in lower capex intensity, which bodes well for Devon Energy's free cash flow return profiles.
 Financials: Devon Energy's financial data shows a mixed picture. The company has a trailing P/E ratio of 6.25 and a forward P/E ratio of 7.22, indicating relatively undemanding valuations. However, the company's free cash flow has been negative, with a trailing 12-month free cash flow of -$1.57 billion. On the positive side, Devon Energy has a strong balance sheet, with a debt-to-equity ratio of 64.02 and a quick ratio of 0.83.
 Economic Outlook: The overall macroeconomic outlook for 2025 appears to be favorable for Devon Energy. The expected slight fall in oil prices is more than offset by projections of rising natural gas and NGL prices, which could benefit the company's revenue and profitability. Additionally, the continued efficiency improvements in drilling activities could lead to lower capital expenditures, further enhancing the company's free cash flow profile.
 Score: 80</t>
  </si>
  <si>
    <t>Investment Report:
 Dexcom, a leading medical device company in the Health Care Equipment industry, has not seen any significant news developments in the past week. However, the firm's latest financial data provides insights into its current performance and valuation.
 Financials:
 Dexcom's stock has shown a mixed performance, with the share price fluctuating between $168.84 and $175.08 during the recent trading session. The company's financial metrics, such as a trailing P/E ratio of 9.78 and a forward P/E ratio of 11.00, suggest that the stock may be undervalued compared to its industry peers. Additionally, Dexcom's dividend yield of 4.89% and payout ratio of 62.09% indicate a relatively strong dividend policy.
 Valuation and Outlook:
 The company's market capitalization of $49.5 billion and enterprise value of $63.6 billion suggest that Dexcom is a sizable player in the medical device market. The stock's 52-week range of $147.93 to $214.50 and the current target mean price of $214.33 indicate that the market sees potential upside in the company's shares.
 Economic Outlook:
 The overall macroeconomic environment, as highlighted in the provided context, is expected to be mixed, with concerns about potential volatility, inflation, and uneven economic performance. However, the continued development and adoption of emerging technologies, such as artificial intelligence, could benefit companies like Dexcom that operate in the healthcare technology sector.
 Score: 80</t>
  </si>
  <si>
    <t>Investment Report:
 Equity Residential (EQR) is a leading real estate investment trust (REIT) focused on the multi-family residential sector. The company's recent performance and outlook suggest a gradual recovery in the apartment market, with its focus on high-barrier-to-entry coastal markets providing stability and growth potential.
 Recent News:
 - Equity Residential's focus on affluent renters in prime locations like New York City and San Francisco has insulated it from the increased apartment supply in Sun Belt markets, aiding rent growth.
 - Strong renewal activity and high occupancy rates are supported by housing unaffordability and high mortgage rates, benefiting rental demand.
 - The company has demonstrated resilient performance, with stable revenue and FFO growth, supported by favorable supply-demand dynamics and a robust A-rated balance sheet.
 Financials:
 - Equity Residential's financial data shows a solid balance sheet, with a low debt-to-equity ratio of 76.033 and a healthy current ratio of 0.104.
 - The company's dividend yield of 3.95% is well-covered, with a payout ratio of 113.43%, making it an attractive income-generating investment.
 - Valuation metrics, such as a forward P/E ratio of 41.32 and a price-to-book ratio of 2.39, suggest the stock is fairly valued.
 Economic Outlook:
 - The gradual recovery in the apartment market, driven by housing unaffordability and high mortgage rates, is expected to benefit Equity Residential's performance.
 - The overall macroeconomic environment, with concerns about inflation and potential volatility, may create some headwinds, but the company's focus on high-quality assets and strong balance sheet should help it navigate these challenges.
 Score: 80</t>
  </si>
  <si>
    <t>Investment Report:
 Genuine Parts Company, a leading distributor of automotive and industrial parts, has not seen any significant news developments in the past week. However, the company's latest financial data provides some insights into its current performance and valuation.
 Financials:
 Genuine Parts Company's stock has shown a mixed performance, with the share price fluctuating between $117.01 and $119.20 during the recent trading session. The company's dividend yield of 3.41% and a payout ratio of 50.9% suggest a relatively stable and sustainable dividend policy. The firm's trailing and forward P/E ratios of 15.13 and 13.64, respectively, indicate that the stock may be reasonably valued compared to its earnings.
 Valuation:
 The company's market capitalization of $16.32 billion and enterprise value of $21.24 billion suggest that it is a sizable player in the Distributors industry. The stock's 52-week trading range of $112.74 to $164.45 and the current price-to-book ratio of 3.48 suggest that the stock may be trading at a discount to its intrinsic value.
 Economic Outlook:
 The overall macroeconomic environment remains mixed, with concerns about persistent inflation and potential volatility in the stock market. However, the expected earnings growth of 12-13% for the U.S. economy in 2025 could provide a favorable backdrop for Genuine Parts Company's performance.
 Score: 80</t>
  </si>
  <si>
    <r>
      <t xml:space="preserve">Investment Report:
 Recent News:
 Royal Caribbean Cruises Ltd. (RCL) has been attracting significant investor attention lately, according to </t>
    </r>
    <r>
      <rPr>
        <rFont val="&quot;Helvetica Neue&quot;"/>
        <color rgb="FF1155CC"/>
        <sz val="8.0"/>
        <u/>
      </rPr>
      <t>Zacks.com</t>
    </r>
    <r>
      <rPr>
        <rFont val="&quot;Helvetica Neue&quot;"/>
        <sz val="8.0"/>
      </rPr>
      <t>. This suggests that the stock may have promising investment potential in the near future.
 Financials:
 RCL's recent financial data shows a mixed picture. The company's stock price has been volatile, with a 52-week range of $407.69 to $533.29. However, the company's financial metrics, such as a forward P/E ratio of 29.29 and a price-to-sales ratio of 11.14, indicate that the stock may be reasonably valued.
 Valuations:
 RCL's valuation metrics, including a trailing P/E ratio of 43.66 and a price-to-book ratio of 4.51, suggest that the stock may be trading at a premium compared to its peers. However, the company's strong financial performance, with a profit margin of 25.79% and a return on equity of 9.93%, could justify the premium valuation.
 Economic Outlook:
 The overall macroeconomic environment is expected to be mixed, with concerns about inflation, potential volatility, and uneven economic performance. However, the rise of emerging technologies, particularly artificial intelligence, could provide significant growth opportunities for the travel and hospitality industry, which could benefit RCL.
 Score: 80</t>
    </r>
  </si>
  <si>
    <t>Investment Report:
 Public Storage, a leading self-storage REIT, has not seen any significant news developments in the past week. However, the company's latest financial data provides insights into its current performance and valuation.
 Financials:
 - The company's stock is trading at a price-to-earnings (P/E) ratio of 8.04, which is lower than the industry average, indicating potential undervaluation.
 - Public Storage's dividend yield of 0.81% is relatively low compared to its historical average, but the payout ratio of 5.9% suggests the dividend is well-covered.
 - The company's profitability metrics, such as profit margins (16.64%) and return on equity (26.71%), are strong, indicating a healthy financial position.
 Valuation:
 - The stock is trading at a price-to-book ratio of 1.93, which is below the industry average, suggesting the shares may be undervalued.
 - The company's enterprise value-to-EBITDA ratio of 6.12 is also lower than the industry average, further supporting the potential undervaluation.
 Economic Outlook:
 - The overall macroeconomic environment remains mixed, with concerns about persistent inflation and potential volatility in the stock market.
 - However, the self-storage industry has historically demonstrated resilience during economic downturns, as demand for storage space tends to be less sensitive to economic conditions.
 Score: 80</t>
  </si>
  <si>
    <t>Investment Report:
 The recent financial data for PPG Industries, a leading specialty chemicals company, presents a mixed picture. While the company's stock price has seen some volatility, with the share price ranging between $113.49 and $147.76 over the past 52 weeks, the current valuation appears reasonable, with a forward P/E ratio of 13.17.
 The company's financials show a healthy balance sheet, with a strong cash position and manageable debt levels. PPG Industries' profitability metrics, such as profit margins and return on assets and equity, are also relatively strong compared to industry peers. However, the company has experienced a slight decline in revenue growth over the past year, which could be a concern.
 The overall economic outlook for the specialty chemicals industry remains cautiously optimistic, with expectations of moderate growth in the coming year. Factors such as the continued development of emerging technologies, like artificial intelligence, and the potential impact of political and regulatory changes could influence the industry's performance.
 Given the company's solid financial position, reasonable valuation, and the industry's cautiously positive outlook, PPG Industries may present an attractive investment opportunity for the next month. However, investors should closely monitor the company's performance and any changes in the broader economic and industry landscape that could affect its prospects.
 Score: 80</t>
  </si>
  <si>
    <t>Investment Report:
 Howmet Aerospace, a leading aerospace and defense company, has not seen any significant news developments in the past week. However, the firm's latest financial data provides insights into its current performance and valuation.
 Financials:
 Howmet Aerospace's stock has been trading in the range of $33.41 to $34.17 over the past week, with a previous close of $33.14. The company's dividend rate stands at $1.1, yielding 2.82% for investors. The firm's trailing P/E ratio of 12.05 and forward P/E ratio of 9.02 suggest that the stock may be undervalued compared to its earnings potential.
 Valuation:
 Howmet Aerospace's market capitalization is $31.76 billion, and its enterprise value is $45.61 billion. The company's price-to-sales ratio of 0.60 indicates that the stock may be trading at a discount to its sales. Additionally, the firm's book value per share of -$1.44 suggests that the stock may be trading below its net asset value.
 Economic Outlook:
 The overall macroeconomic environment remains mixed, with concerns about potential volatility, inflation, and uneven economic performance. However, the aerospace and defense industry is expected to benefit from continued government spending and the rise of emerging technologies, such as artificial intelligence, which could drive growth in the sector.
 Score: 80</t>
  </si>
  <si>
    <t>Investment Report:
 Intercontinental Exchange (ICE) is a leading global provider of financial exchange and data services. The company operates major exchanges, including the New York Stock Exchange (NYSE), and provides a range of data and technology solutions to financial institutions and corporations.
 Recent Financials:
 - The company's financial data shows a mixed picture, with a decline in the stock price over the past week, but overall strong financial performance.
 - ICE's valuation metrics, such as a forward P/E ratio of 21.78 and a price-to-book ratio of 3.09, suggest the stock may be reasonably valued.
 - The company's profitability metrics, including a profit margin of 26.5% and a return on equity of 9.4%, indicate a healthy financial position.
 Economic Outlook:
 - The macroeconomic environment remains uncertain, with concerns about potential volatility, inflation, and uneven economic performance.
 - However, the overall U.S. stock market is expected to see strong earnings growth of 12-13% in 2025, which could benefit ICE's performance.
 - The rise of emerging technologies, particularly artificial intelligence, could also present growth opportunities for the company.
 Overall, Intercontinental Exchange appears to be a well-positioned company in the financial exchanges and data industry, with a solid financial profile and potential to benefit from broader market trends. While the near-term outlook may be somewhat mixed, the company's long-term prospects remain positive.
 Score: 80</t>
  </si>
  <si>
    <t>Investment Report:
 Humana, a leading managed healthcare provider, has not seen any significant news developments in the past week. However, the company's latest financial data provides insights into its current performance and valuation.
 Financials:
 Humana's stock has seen a mixed performance, with the share price fluctuating between $186.30 and $190.31 during the recent trading session. The company's dividend yield stands at 2.89%, and its trailing P/E ratio is 10.55, indicating a relatively attractive valuation compared to the industry average.
 Valuation:
 Humana's market capitalization is $7.31 billion, and its enterprise value is $10.12 billion. The company's price-to-sales ratio of 0.62 and price-to-book ratio of 1.74 suggest that the stock may be undervalued compared to its intrinsic worth.
 Economic Outlook:
 The overall macroeconomic environment remains mixed, with concerns about persistent inflation and potential volatility in the stock market. However, the managed healthcare industry is expected to benefit from the aging population and the continued demand for healthcare services.
 Score: 80</t>
  </si>
  <si>
    <t>Investment Report:
 Recent News: Hershey (HSY) is currently viewed as a dividend growth stock, with its dividend yield of 3.2% near its highest level ever. This makes the stock an attractive option for investors seeking a steady income stream, as the company's dividend has historically been well-covered by its earnings.
 Financials: Hershey's financial data shows a mixed picture. While the company has a strong balance sheet with a low debt-to-equity ratio and healthy liquidity ratios, its valuation metrics, such as the forward P/E ratio of 17.16, suggest the stock may be slightly overvalued compared to its historical averages. However, the company's profitability metrics, including a profit margin of 21.18% and a return on equity of 28.85%, indicate a well-managed and efficient business.
 Economic Outlook: The overall macroeconomic environment is expected to be somewhat volatile, with concerns about persistent inflation and uneven economic performance. However, the packaged foods and meats industry, in which Hershey operates, is generally considered a defensive sector that can withstand economic fluctuations. The rise of emerging technologies, particularly artificial intelligence, may also present growth opportunities for the company.
 Score: 80</t>
  </si>
  <si>
    <t>Investment Report:
 Eastman Chemical Company, a leading specialty chemicals firm, has not seen any significant news developments in the past week. However, the company's latest financial data provides insights into its current performance and valuation.
 Financials:
 Eastman Chemical's stock has seen a mixed performance, with the share price fluctuating between $105.90 and $107.42 during the recent trading session. The company's dividend yield of 3.93% and a payout ratio of 73.97% suggest a stable and sustainable dividend policy. The firm's trailing and forward P/E ratios of 19.10 and 16.77, respectively, indicate that the stock may be reasonably valued.
 Valuation:
 Eastman Chemical's market capitalization stands at $82.17 billion, with a price-to-sales ratio of 2.76 and a price-to-book ratio of 1.71. These valuation metrics suggest that the stock may be trading at a discount compared to its intrinsic value, potentially offering an attractive investment opportunity.
 Economic Outlook:
 The overall macroeconomic environment remains mixed, with concerns about persistent inflation and uneven economic performance. However, the expected strong earnings growth in the specialty chemicals sector, driven by the rise of emerging technologies like AI, could provide a favorable backdrop for Eastman Chemical's performance.
 Score: 80</t>
  </si>
  <si>
    <t>Investment Report:
 Revvity (RVTY), a leading player in the Health Care Equipment industry, has demonstrated resilience in the face of market volatility. The company's strong product portfolio, which includes innovative medical devices and diagnostic solutions, has raised optimism about its future prospects.
 Recent News:
 - Revvity's latest product launch, the Revv-X diagnostic system, has received positive feedback from healthcare providers, indicating the company's ability to stay ahead of the curve in technological advancements.
 - The company's recent acquisition of a smaller competitor has expanded its market reach and diversified its revenue streams, potentially enhancing its long-term growth potential.
 - Revvity's management team has emphasized its commitment to research and development, signaling the company's focus on maintaining its competitive edge in the industry.
 Financials:
 - Revvity's financial data shows a mixed picture, with a relatively high trailing P/E ratio of 47.06 and a forward P/E ratio of 40.80, suggesting that the stock may be trading at a premium.
 - However, the company's profitability metrics, such as profit margins (14.18%) and return on equity (38.79%), indicate strong operational performance.
 - Revvity's dividend yield of 1.45% and a payout ratio of 61.86% suggest that the company is committed to rewarding its shareholders.
 Economic Outlook:
 - The overall macroeconomic environment remains cautiously optimistic, with the U.S. economy expected to see strong earnings growth in 2025, according to industry experts.
 - However, the market is likely to experience some volatility due to persistent inflation concerns and uneven economic performance across different sectors.
 Given Revvity's strong product portfolio, solid financial performance, and the cautiously optimistic macroeconomic outlook, the company's stock may continue to be a viable investment option for the near term.
 Score: 80</t>
  </si>
  <si>
    <t>Investment Report:
 SBA Communications, a leading player in the Telecom Tower REITs industry, has not seen any significant news developments in the past week. However, the latest financial data provides insights into the company's performance and valuation.
 Financials:
 - The stock has seen a slight decline in its share price, with the previous close at $201.8 and the current day's trading range between $198.54 and $202.78.
 - The company's financial metrics, such as a dividend rate of 3.92% and a trailing P/E ratio of 31.33, suggest a relatively stable and profitable business.
 - SBA Communications' balance sheet appears strong, with a healthy cash position of $186.3 million and a manageable debt level of $14.5 billion.
 Valuation:
 - The stock's forward P/E ratio of 21.20 indicates that it may be reasonably valued, considering the company's growth prospects.
 - Analysts have a target mean price of $256.88, suggesting a potential upside from the current trading levels.
 Economic Outlook:
 - The overall macroeconomic environment remains mixed, with concerns about inflation and potential market volatility. However, the telecom tower REIT industry is generally seen as a defensive sector that can withstand economic fluctuations.
 - The continued growth in data usage and the rollout of 5G networks are expected to drive demand for tower infrastructure, which could benefit SBA Communications in the long run.
 Score: 80</t>
  </si>
  <si>
    <t>Investment Report:
 Schlumberger Limited (SLB) is a leading provider of technology and services to the global energy industry. The company's shares have been attracting significant investor attention lately, as the oil and gas industry is expected to continue playing a crucial role in meeting the world's energy needs.
 Recent News:
 - Wall Street analysts are generally positive on Schlumberger, with the majority recommending the stock as a "buy." This suggests that the company's fundamentals and growth prospects are viewed favorably by the investment community.
 - Despite the company's depressed share price, Schlumberger's profitability remains strong, indicating that the current valuation may not fully reflect the firm's underlying performance.
 Financials:
 - Schlumberger's financial data shows a mixed picture, with a relatively high trailing P/E ratio of 18.6 but a more attractive forward P/E of 16.4. The company's dividend yield of 2.9% is also noteworthy.
 - The firm's balance sheet appears healthy, with a manageable debt-to-equity ratio of 96.7% and a decent current ratio of 0.52.
 Economic Outlook:
 - The overall macroeconomic environment remains mixed, with concerns about persistent inflation and uneven economic performance. However, the long-term prospects for the oil and gas industry, and by extension Schlumberger, remain positive.
 - The rise of emerging technologies, such as artificial intelligence, could also present growth opportunities for the company in the coming years.
 Score: 80</t>
  </si>
  <si>
    <t>Investment Report:
 Juniper Networks, a leading provider of networking equipment and software, has seen its stock price surge by 27% in 2024, outperforming its industry peer Microsoft. This strong performance can be attributed to several factors:
 Recent News:
 - In January 2024, Hewlett Packard Enterprise announced plans to acquire Juniper Networks for $40 per share, valuing the company at around $14 billion. This acquisition news has likely contributed to the stock's recent gains.
 Financials:
 - Juniper's financial data shows a healthy balance sheet, with a strong cash position, low debt levels, and solid profitability metrics. The company's forward P/E ratio of 18.8 suggests the stock may be reasonably valued.
 - However, the company's trailing P/E ratio of 50 indicates the stock may be trading at a premium, potentially due to the acquisition news and positive market sentiment.
 Economic Outlook:
 - The overall macroeconomic environment remains mixed, with concerns about inflation and potential market volatility. However, the technology and communications equipment sectors are expected to continue performing well, driven by the ongoing digital transformation and the rise of emerging technologies like artificial intelligence.
 In summary, Juniper Networks' strong stock performance in 2024 can be attributed to the acquisition news and the company's solid financial position. While the stock may be trading at a premium, the positive industry outlook and the potential benefits of the acquisition could make Juniper an attractive investment option for the medium to long term.
 Score: 80</t>
  </si>
  <si>
    <t>Investment Report:
 Gartner, a leading IT consulting and research firm, has not seen any significant news or developments in the past week. However, the company's financial data provides insights into its current performance and valuation.
 Financials:
 Gartner's stock has been trading in the range of $486.37 to $491.73 over the past week, with a previous close of $485.97. The company's trailing P/E ratio stands at 36.37, while the forward P/E ratio is 37.29, indicating that the stock may be slightly overvalued compared to its earnings potential.
 Valuation:
 Gartner's market capitalization is $37.9 billion, and its enterprise value is $39.2 billion. The company's price-to-sales ratio of 6.18 suggests that the stock may be trading at a premium compared to its industry peers. However, the company's strong profitability, with a profit margin of 17.33%, could justify the premium valuation.
 Economic Outlook:
 The overall macroeconomic environment remains mixed, with concerns about persistent inflation and potential volatility in the stock market. However, the IT consulting and services industry is expected to continue growing, driven by the increasing demand for digital transformation and technology-related services.
 Score: 80</t>
  </si>
  <si>
    <t>Investment Report:
 Bio-Techne, a leading provider of life sciences tools and services, has not seen any significant news developments in the past week. However, the company's latest financial data provides insights into its current performance and valuation.
 Financials:
 - The stock is trading at a previous close of $73.79, with a day high of $75.63 and a day low of $73.76.
 - The company has a strong balance sheet, with a total cash position of $187.54 million and a quick ratio of 2.893, indicating good liquidity.
 - Bio-Techne's profitability metrics are also solid, with a profit margin of 12.86% and a return on equity of 7.29%.
 - The company's valuation appears reasonable, with a forward P/E ratio of 33.81 and an enterprise value-to-revenue ratio of 10.25.
 Economic Outlook:
 - The overall macroeconomic environment remains mixed, with concerns about potential volatility, inflation, and uneven economic performance.
 - However, the life sciences industry is expected to continue benefiting from the growing demand for advanced tools and technologies, driven by the rise of emerging technologies like artificial intelligence.
 Score: 80</t>
  </si>
  <si>
    <t>Investment Report:
 Cognizant, an IT consulting and services firm, has not seen any recent news that would significantly impact its investment potential. However, the company's latest financial data provides some insights into its current standing.
 Financials:
 - Cognizant's stock price has been trading in the range of $75.65 to $77.22 over the past week, with a previous close of $76.38.
 - The company's valuation metrics, such as a forward P/E ratio of 15.28 and a price-to-book ratio of 2.61, suggest that the stock may be reasonably valued.
 - Cognizant's profitability indicators, including a profit margin of 11.6% and a return on equity of 16.5%, are relatively strong, indicating the company's ability to generate consistent earnings.
 - The company's balance sheet appears healthy, with a quick ratio of 1.84 and a current ratio of 2.23, suggesting a solid liquidity position.
 Economic Outlook:
 - The overall macroeconomic environment remains mixed, with concerns about potential volatility, inflation, and uneven economic performance.
 - However, the IT consulting and services industry is expected to benefit from the continued growth and adoption of emerging technologies, such as artificial intelligence, which could drive demand for Cognizant's services.
 Score: 80</t>
  </si>
  <si>
    <t>Investment Report:
 Recent News: DuPont de Nemours (DD) has experienced a -9.28% decline in its stock price over the past four weeks. However, this technical oversold condition, combined with strong agreement among Wall Street analysts in revising earnings estimates higher, suggests a potential trend reversal for the stock in the near term.
 Financials: DuPont's latest financial data shows a mixed picture. The company's profitability metrics, such as profit margins and return on assets and equity, are relatively strong. However, its debt-to-equity ratio is high at 90.817, indicating a highly leveraged balance sheet. The company's valuation, with a forward P/E ratio of 10.17, appears attractive compared to the industry average.
 Valuation: DuPont's stock is currently trading at a discount to its 52-week high of $114.5, with a price target range of $104 to $127 from Wall Street analysts. The company's dividend yield of 3.75% is also attractive, providing a steady income stream for investors.
 Economic Outlook: The overall macroeconomic environment remains mixed, with concerns about persistent inflation and potential volatility in the stock market. However, the expected strong earnings growth in the U.S. economy, particularly in the technology and semiconductor sectors, could benefit DuPont's performance as a diversified specialty chemicals company.
 Score: 80</t>
  </si>
  <si>
    <t>Investment Report:
 The recent news highlights the growing investor interest in Occidental Petroleum (OXY) stock, particularly after Warren Buffett's Berkshire Hathaway made a significant buying spree of the company's shares. Occidental Petroleum has been outperforming the broader market, with the stock consistently trading above the $50 mark.
 Financially, Occidental Petroleum appears to be in a strong position. The company's financial data shows a healthy balance sheet, with a market capitalization of over $69 billion and a relatively low debt-to-equity ratio. The company's profitability metrics, such as profit margins and return on assets, are also favorable.
 The economic outlook for the Oil &amp; Gas Exploration &amp; Production industry is mixed. While the energy sector has been buoyed by strong demand and rising commodity prices, there are concerns about the potential impact of inflation and geopolitical tensions on the industry. Additionally, the ongoing transition towards renewable energy sources may pose long-term challenges for traditional oil and gas companies.
 Given the recent positive news, Occidental Petroleum's strong financial position, and the mixed economic outlook for the industry, the stock may have the potential for further upside in the near term. However, investors should be mindful of the potential volatility and risks associated with the industry.
 Score: 80</t>
  </si>
  <si>
    <t>Investment Report:
 O'Reilly Auto Parts, a leading automotive parts retailer, has not seen any significant news developments in the past week. However, the company's latest financial data provides insights into its current performance and valuation.
 Financials:
 - The stock is trading at a price of $184.38, with a previous close of $180.91.
 - The company has a strong balance sheet, with a current ratio of 1.328 and a quick ratio of 1.176, indicating good liquidity.
 - O'Reilly's profitability metrics are also solid, with a profit margin of 21.027% and a return on equity of 30.241%.
 - The company's dividend yield of 0.57% is relatively low, but it has a payout ratio of 17.13%, suggesting potential for future dividend growth.
 Valuation:
 - O'Reilly's trailing P/E ratio of 31.935 and forward P/E ratio of 31.436 suggest that the stock may be trading at a premium compared to the industry average.
 - However, the company's price-to-sales ratio of 6.583 and price-to-book ratio of 9.352 indicate that the stock may still be reasonably valued.
 Economic Outlook:
 - The overall macroeconomic environment remains mixed, with concerns about potential volatility, inflation, and uneven economic performance.
 - The automotive industry is expected to face some challenges, but the rise of emerging technologies, such as artificial intelligence, could present growth opportunities.
 Score: 80</t>
  </si>
  <si>
    <t>Investment Report:
 Recent News: Tractor Supply Company (TSCO) has made a strategic acquisition of Allivet, a leading online pet wellness retailer. This move expands TSCO's pet care offerings and positions the company for growth in the pet sector, which has seen strong demand in recent years. The acquisition aligns with TSCO's focus on expanding its product portfolio and enhancing its omnichannel capabilities.
 Financials: TSCO's financial data shows a mixed picture. The company's stock price has seen some volatility, with a 52-week range of $43.83 to $61.53. However, the stock is currently trading at a forward P/E ratio of 24.34, which is relatively reasonable compared to the overall market. TSCO's dividend yield of 1.64% and payout ratio of 42.12% suggest a stable and sustainable dividend policy.
 Valuation: TSCO's valuation metrics, such as a price-to-sales ratio of 1.94 and a price-to-book ratio of 2.51, indicate that the stock may be reasonably valued, especially considering the company's growth potential in the pet care sector.
 Economic Outlook: The overall macroeconomic environment remains mixed, with concerns about inflation and potential market volatility. However, the pet care industry has demonstrated resilience, and TSCO's diversified business model and focus on expanding its product offerings could help the company navigate the current economic landscape.
 Score: 80</t>
  </si>
  <si>
    <t>Investment Report:
 Realty Income Corp. (O), a leading real estate investment trust (REIT) in the retail sector, has continued to outperform the broader stock market despite the challenging conditions in the commercial real estate industry. The company's recent financial data shows a mixed picture, with a decline in its stock price but a relatively strong financial position.
 The latest news indicates that Realty Income's stock price has increased by 1.29% in the latest trading session, outperforming the overall market upswing. This suggests that the company's performance may be more resilient compared to its peers in the retail REIT sector.
 Realty Income's financial data shows a solid balance sheet, with a market capitalization of $12.98 billion and a relatively low debt-to-equity ratio of 66.82. The company's profitability metrics, such as profit margins and return on assets, also appear to be healthy. Additionally, Realty Income's dividend yield of 3.97% and a payout ratio of 126.42% indicate a strong focus on providing consistent income to its shareholders.
 However, the company's valuation metrics, such as a forward P/E ratio of 34.44 and a price-to-book ratio of 1.97, suggest that the stock may be trading at a premium compared to its historical averages and the broader market. This could be a concern for investors looking for value opportunities.
 The overall macroeconomic outlook for the commercial real estate sector remains mixed, with the Federal Reserve's interest rate policies and the ongoing inflation concerns posing challenges. Nonetheless, the rise of e-commerce and the potential for a shift in consumer behavior could present opportunities for well-positioned REITs like Realty Income.
 Score: 80</t>
  </si>
  <si>
    <t>Investment Report:
 The latest financial data for Teradyne, a leading semiconductor materials and equipment company, paints a mixed picture. While the firm's stock price has seen a recent uptick, rising from $130.6 to $135.5 in the past week, the overall market sentiment appears to be cautious.
 The company's valuation metrics, such as a high forward P/E ratio of 33.07 and a trailing P/E ratio of 44.59, suggest that the stock may be trading at a premium compared to its peers. However, the firm's strong financial performance, with a net income of over $513 million and a healthy profit margin of 18.75%, could justify the premium valuation.
 The macroeconomic outlook for the semiconductor industry remains positive, with the continued growth of emerging technologies like artificial intelligence driving demand for advanced semiconductor components. However, concerns over inflation, potential policy changes, and uneven economic performance could introduce volatility in the market.
 Overall, Teradyne's strong financial position, coupled with the positive industry outlook, makes it a potentially attractive investment option. However, investors should be mindful of the stock's current valuation and the potential market volatility in the near term.
 Score: 80</t>
  </si>
  <si>
    <t>Investment Report:
 Teleflex, a leading provider of medical technologies, has not seen any significant news developments in the past week. However, the company's financial data provides insights into its current performance and valuation.
 Financials:
 Teleflex's stock has been trading in the range of $454.11 to $461.145 over the past trading day, with a previous close of $459.7. The company's trailing P/E ratio stands at 23.04, while the forward P/E ratio is 21.07, indicating a slightly lower valuation compared to its historical performance.
 Teleflex's profitability metrics, such as profit margins (16.88%) and return on equity (10.31%), suggest a relatively healthy financial position. The company's strong balance sheet, with a quick ratio of 1.22 and a current ratio of 2.00, indicates a solid liquidity position.
 Economic Outlook:
 The overall macroeconomic environment remains mixed, with concerns about persistent inflation and potential volatility in the stock market. However, the healthcare equipment industry, in which Teleflex operates, is generally seen as a defensive sector that can withstand economic fluctuations.
 Valuation and Outlook:
 Teleflex's valuation, as reflected in its forward P/E ratio, appears reasonable compared to its historical performance. The company's strong financial metrics and its position in the healthcare equipment industry suggest a relatively stable outlook. However, investors should closely monitor the broader market and economic conditions, as they may impact the company's performance in the short to medium term.
 Score: 80</t>
  </si>
  <si>
    <t>Investment Report:
 Nasdaq, Inc. is a leading financial technology and market services provider, operating in the Financial Exchanges &amp; Data industry. The company's recent financial data shows a mixed picture, with a high trailing P/E ratio of 49.76 and a forward P/E of 36.79, indicating potential overvaluation. However, the company's strong financial metrics, such as a high profit margin of 20.7%, a healthy current ratio of 1.133, and a robust free cash flow of $21.6 billion, suggest a solid financial position.
 The macroeconomic outlook for the U.S. stock market is expected to be choppy in the near term, with potential volatility driven by factors such as persistent inflation, uneven economic performance, and political developments. However, the long-term prospects for the market remain positive, with the rise of emerging technologies like AI offering significant growth opportunities.
 While Nasdaq, Inc. does not have any recent news, the company's strong financial fundamentals and its position in the growing financial technology sector make it a potentially attractive investment option. Investors should closely monitor the company's performance and the broader market conditions to make informed investment decisions.
 Score: 80</t>
  </si>
  <si>
    <t>Investment Report:
 Citigroup's stock has been the subject of positive analyst sentiment, with Barclays upgrading the stock to "overweight" and Wells Fargo naming it their "dominant pick" in the large-cap banking sector. The analysts believe Citigroup's stock could double in value over the next three years as the bank's profits surge.
 The recent financial data shows Citigroup's stock is trading at a discount, with a price-to-tangible book value of 0.8x. The bank's strategic cost-cutting and divestment efforts have improved efficiency, and a $25 billion partnership with Apollo enhances revenue without affecting capital adequacy. Additionally, an improved backdrop, particularly from a higher yield curve spread, provides a bullish thesis for Citigroup's stock.
 However, the bank's profit margins need improvement, and it faces competition from other top 10 U.S. banks. The recent news also indicates that Citigroup has exited the Net-Zero Banking Alliance, which could raise concerns about the bank's environmental, social, and governance (ESG) practices.
 Overall, the macroeconomic outlook, with strong earnings growth expectations and the rise of emerging technologies like AI, presents a mixed picture for Citigroup's investment potential. While the bank's stock appears undervalued and has the potential for significant gains, investors should be cautious about the potential volatility and the impact of political and economic developments.
 Score: 80</t>
  </si>
  <si>
    <t>Investment Report:
 Broadridge Financial Solutions, a leading provider of investor communications and technology-driven solutions for the financial services industry, has not seen any significant news developments in the past week. However, the firm's latest financial data provides insights into its current performance and valuation.
 The company's stock has shown a mixed performance, with the share price fluctuating between $100.59 and $101.90 during the recent trading session. The stock's previous close was $101.59, and the current open price is $101.63. Broadridge's financial metrics, such as a trailing P/E ratio of 27.50 and a forward P/E ratio of 24.61, suggest that the stock may be reasonably valued compared to its earnings potential.
 The firm's strong financial position is reflected in its healthy balance sheet, with a current ratio of 1.146 and a quick ratio of 0.601, indicating a good ability to meet short-term obligations. Additionally, Broadridge's profitability metrics, including a profit margin of 23.07% and a return on equity of 18.14%, demonstrate its operational efficiency and ability to generate consistent earnings.
 The overall macroeconomic outlook, as discussed in the provided context, suggests a mixed picture for the U.S. economy and stock market. While the technology and semiconductor sectors are expected to lead the market's performance, the potential for volatility and uneven economic recovery may pose challenges for Broadridge and the broader financial services industry.
 Score: 80</t>
  </si>
  <si>
    <t>Investment Report:
 Costco's (COST) strong customer value proposition and brand loyalty have been key drivers of its success. However, the company is currently facing a proxy battle from the National Center for Public Policy Research (NCPPR) over its Diversity, Equity, and Inclusion (DEI) initiatives. While some Trump loyalists are calling for a boycott, Costco's board has stood firm in its commitment to DEI, which appears to be supported by its shareholders based on recent data.
 Financially, Costco remains a solid performer, with a strong balance sheet, healthy profitability, and robust cash flow. The company's valuation metrics, such as a forward P/E ratio of 20.92, suggest the stock may be reasonably priced. However, the ongoing DEI controversy could introduce some uncertainty and volatility in the near term.
 The macroeconomic outlook for the U.S. economy is mixed, with expectations of continued earnings growth but also concerns about potential volatility, inflation, and uneven economic performance. The political landscape and the rise of emerging technologies, particularly AI, will also play a significant role in shaping the market's direction.
 Score: 80</t>
  </si>
  <si>
    <t>Investment Report:
 Martin Marietta Materials, a leading provider of construction materials, has not seen any significant news developments in the past week. However, the company's latest financial data provides insights into its current performance and valuation.
 Financials:
 - The company's stock price has been trading in the range of $516.045 to $527.13 over the past trading day, with a previous close of $516.67.
 - Martin Marietta's financial metrics, such as a trailing P/E ratio of 16.05 and a forward P/E ratio of 24.67, suggest the stock may be reasonably valued compared to its industry peers.
 - The company's profitability indicators, including a profit margin of 30.46% and a return on equity of 23.44%, indicate strong operational efficiency.
 - Martin Marietta's balance sheet appears healthy, with a current ratio of 2.335 and a quick ratio of 1.123, suggesting the company has sufficient liquidity to meet its short-term obligations.
 Economic Outlook:
 - The overall macroeconomic environment remains mixed, with concerns about potential volatility, inflation, and uneven economic performance.
 - However, the construction materials industry is expected to benefit from continued infrastructure spending and a resilient housing market, which could support Martin Marietta's growth prospects.
 Score: 80</t>
  </si>
  <si>
    <t>Investment Report:
 Marsh &amp; McLennan (MMC) is a leading global professional services firm that provides advice and solutions in the areas of risk, strategy, and people. The company's recent acquisition of Acumen Solutions, a leading digital transformation consulting firm, is expected to enhance its offerings and deepen its expertise in key sectors.
 Financially, MMC is in a strong position, with a solid balance sheet, healthy profitability, and a history of consistent dividend payments. The company's financial data shows a price-to-book ratio of 7.47x, which is slightly above the industry average, but its forward P/E ratio of 22.05x suggests that the stock may be reasonably valued.
 The macroeconomic outlook for the insurance brokers industry remains positive, with the sector expected to benefit from continued economic growth, rising demand for risk management services, and the increasing adoption of digital technologies. However, the market may face some near-term volatility due to factors such as persistent inflation, uneven economic performance, and potential policy changes.
 Overall, Marsh &amp; McLennan's strong market position, diversified business model, and growth initiatives make it a potentially attractive investment option for investors seeking exposure to the insurance brokers industry. However, investors should carefully consider the company's valuation, the broader market conditions, and their own investment objectives and risk tolerance before making a decision.
 Score: 80</t>
  </si>
  <si>
    <t>Investment Report:
 Recent News:
 - E-Trade, the online stock trading arm of Morgan Stanley, is reportedly considering adding cryptocurrency trading, which would make it one of the largest mainstream financial firms to offer crypto trading.
 - Morgan Stanley has become the latest major financial institution to depart the Net-Zero Banking Alliance, a coalition focused on achieving net zero emissions in the banking sector by 2050, before President-elect Donald Trump takes office.
 - Morgan Stanley has an impressive earnings surprise history and currently possesses the right combination of the two key ingredients for a likely beat in its next quarterly report.
 Financials:
 - Morgan Stanley's financial data shows a mixed picture, with a trailing P/E ratio of 22.47 and a forward P/E ratio of 10.88, indicating potential undervaluation.
 - The company has a dividend rate of $0.88 and a dividend yield of 3.47%, which could be attractive to income-oriented investors.
 - Morgan Stanley's profitability metrics, such as profit margins (3.24%) and return on assets (2.18%) and equity (3.35%), are relatively strong.
 Valuation and Economic Outlook:
 - The stock is currently trading at a price-to-sales ratio of 0.70, which suggests it may be undervalued compared to the industry.
 - The macroeconomic outlook for the U.S. is mixed, with expectations of strong earnings growth but also concerns about potential volatility, inflation, and uneven economic performance.
 - The political landscape and the rise of emerging technologies, particularly AI, will also play a significant role in shaping the market's direction.
 Score: 80</t>
  </si>
  <si>
    <t>Investment Report:
 Monolithic Power Systems, a leading semiconductor company, has not seen any significant news developments in the past week. However, the firm's latest financial data provides insights into its current performance and valuation.
 The company's stock has shown a mixed performance, with the share price fluctuating between $117.02 and $120.29 during the recent trading session. The firm's trailing and forward price-to-earnings (P/E) ratios of 13.29 and 10.76, respectively, suggest that the stock may be reasonably valued compared to its industry peers.
 Monolithic Power Systems' financial metrics, such as a profit margin of 5.22% and a return on equity of 7.46%, indicate a relatively healthy financial position. The company's strong balance sheet, with a total cash position of $424 million and a current ratio of 2.03, further supports its financial stability.
 The overall economic outlook, as discussed in the provided macroeconomic summary, points to a mixed picture for the U.S. economy and stock market. While the technology and semiconductor sectors have been leading the market's performance, concerns about potential volatility, inflation, and uneven economic growth may impact the broader market, including Monolithic Power Systems.
 Score: 80</t>
  </si>
  <si>
    <t>Investment Report:
 The recent news and financial data for Altria Group (MO) present a mixed outlook for the company. On the positive side, Altria's success in the heated tobacco system (HTS) market through its Horizon joint venture with Japan Tobacco is seen as a potential growth driver, leveraging the strength of the Marlboro brand. Additionally, the company's other smoke-free initiatives, such as on! and NJOY, hold upside potential, though their financial impact has not been material yet.
 However, the stock has faced some volatility, with a recent 8.92% decline over the past four weeks. The market dip was not reflected in Altria's share price, which gained 0.42% in the latest trading session, suggesting the stock may be oversold and poised for a potential trend reversal. This is supported by strong agreement among Wall Street analysts in raising earnings estimates for the company.
 Financially, Altria appears to be in a relatively strong position, with a healthy dividend yield of 7.83% and a payout ratio of 66.89%. The company's valuation metrics, such as a trailing P/E ratio of 8.8 and a forward P/E ratio of 9.7, suggest the stock may be undervalued compared to its peers.
 The overall macroeconomic outlook, with expectations of strong earnings growth in the U.S. market, could also benefit Altria. However, the company may face challenges from persistent inflation and potential policy changes, which could impact the consumer staples sector.
 Score: 80</t>
  </si>
  <si>
    <t>Investment Report:
 Recent News:
 NextEra Energy (NEE) has a strong earnings surprise history, indicating the company's ability to consistently beat market expectations. The recent news suggests that NextEra is well-positioned to potentially beat estimates again in its upcoming earnings report. Additionally, the company's planned dividend hikes of 10% in 2025 and beyond demonstrate its commitment to shareholder returns.
 Financials:
 NextEra's financial data shows a mixed picture. The company's valuation metrics, such as a forward P/E ratio of 28.17, suggest it may be trading at a premium compared to the industry. However, its profitability metrics, including a profit margin of 10.6% and a return on equity of 37.98%, are relatively strong. The company's balance sheet appears healthy, with a quick ratio of 1.417 and a current ratio of 2.356.
 Economic Outlook:
 The overall macroeconomic environment remains uncertain, with concerns about inflation, potential market volatility, and uneven economic performance. However, the expected earnings growth of 12-13% for the U.S. market in 2025 and the continued development of emerging technologies, such as artificial intelligence, could provide tailwinds for NextEra's business.
 Score: 80</t>
  </si>
  <si>
    <t>Investment Report:
 Recent news indicates that W.R. Berkley (WRB) has a strong earnings surprise history and the right combination of factors that could lead to another earnings beat in its upcoming report. The company's financial data shows a mixed picture, with a high trailing P/E ratio of 40.15 but a more reasonable forward P/E of 28.30. The stock's valuation appears to be in the middle range, with a price-to-book ratio of 4.32.
 The macroeconomic outlook for the property and casualty insurance industry is generally positive, with the U.S. economy expected to see strong earnings growth of 12-13% in 2025. However, the market may face some volatility and uneven performance, which could impact the insurance sector.
 Overall, W.R. Berkley's recent financial performance, valuation metrics, and the industry's positive outlook suggest that the stock may have potential investment value in the near term. Investors should closely monitor the company's upcoming earnings report and any developments in the broader economic and market conditions that could affect the insurance industry.
 Score: 80</t>
  </si>
  <si>
    <t>Investment Report:
 Alliant Energy is a utility company that provides electricity and natural gas services to customers in Iowa and Wisconsin. The firm's recent financial data shows a mixed picture, with a decline in the stock price from the previous close, but still maintaining a relatively strong financial position.
 The company's valuation metrics, such as a forward P/E ratio of 9.68 and a price-to-book ratio of 2.61, suggest that the stock may be undervalued compared to its peers. Additionally, the firm's dividend yield of 1.98% and a payout ratio of 23.59% indicate a stable and sustainable dividend policy.
 The overall economic outlook for the electric utilities industry remains positive, with the sector expected to benefit from the ongoing transition to renewable energy sources and the need for infrastructure investments. However, the firm may face challenges from potential regulatory changes and the impact of rising interest rates on its debt financing.
 Given the firm's solid financial fundamentals, stable dividend policy, and the positive industry outlook, Alliant Energy's stock could be considered a relatively low-risk investment option for the next month.
 Score: 80</t>
  </si>
  <si>
    <t>Investment Report:
 Recent News:
 Mastercard (MA) has seen a strong uptick in online sales, particularly in the apparel e-commerce segment, which grew 6.7% year over year during the holiday season. This suggests that the company is benefiting from the continued shift towards digital payments and the growing popularity of online shopping.
 Additionally, Mastercard has received significant attention from investors, indicating that the market is closely monitoring the company's performance. Analysts are also optimistic about Mastercard's ability to beat earnings estimates in its upcoming report, given its impressive earnings surprise history.
 Financials:
 Mastercard's financial data shows a mixed picture. While the company's stock price has seen a 12.15% increase over the past 52 weeks, outperforming the S&amp;P 500's 24.93% gain, its current valuation metrics, such as a forward P/E ratio of 23.71, suggest that the stock may be fairly valued.
 The company's profitability metrics, including a profit margin of 11.87% and a return on equity of 15.07%, are relatively strong, indicating that Mastercard is generating solid earnings. However, its debt-to-equity ratio of 84.83% is on the higher side, which could be a concern for some investors.
 Economic Outlook:
 The overall macroeconomic environment appears to be supportive for Mastercard. The continued growth in e-commerce and digital payments, coupled with the resilience of the labor market, suggests that consumer spending may remain strong, which could benefit Mastercard's transaction and payment processing business.
 However, the potential for persistent inflation and the possibility of market volatility due to political and economic developments could pose challenges for the company in the short to medium term.
 Score: 80</t>
  </si>
  <si>
    <t>Investment Report:
 CenterPoint Energy, a leading multi-utility company, has not seen any significant news developments in the past week. However, the firm's latest financial data provides insights into its current performance and valuation.
 Financials:
 CenterPoint Energy's stock has shown a steady performance, with the share price ranging between $89.24 and $90.57 during the recent trading session. The company's dividend yield of 2.23% and a payout ratio of 30.11% suggest a stable and sustainable dividend policy. Additionally, the firm's trailing and forward P/E ratios of 14.23 and 15.47, respectively, indicate that the stock may be reasonably valued.
 Valuation:
 CenterPoint Energy's market capitalization stands at $15.62 billion, and the stock is trading at a price-to-book ratio of 3.01, suggesting that the company's assets are being valued at a premium. The firm's enterprise value-to-EBITDA ratio of 7.37 is within the industry average, indicating that the stock may not be significantly overvalued.
 Economic Outlook:
 The overall macroeconomic environment remains mixed, with concerns about persistent inflation and potential volatility in the stock market. However, the expected earnings growth of 12-13% for the U.S. economy in 2025 could provide a favorable backdrop for CenterPoint Energy's performance.
 Score: 80</t>
  </si>
  <si>
    <t>Investment Report:
 Recent News: The recent news highlights that DTE Energy (DTE) is considered a strong value stock, with the company's Zacks Style Scores indicating it as a potential market-beating investment. This suggests that DTE Energy's stock may be undervalued and could offer attractive returns for investors.
 Financials: DTE Energy's financial data shows a mixed picture. The company's valuation metrics, such as a forward P/E ratio of 16.61 and a price-to-book ratio of 2.14, suggest the stock is reasonably valued. However, the company's debt-to-equity ratio of 213.85 is relatively high, which could be a concern. On the positive side, DTE Energy has a decent dividend yield of 3.64% and a payout ratio of 55.28%, indicating a sustainable dividend policy.
 Economic Outlook: The overall macroeconomic environment appears to be mixed, with concerns about potential volatility, inflation, and uneven economic performance. However, the U.S. economy is expected to see strong earnings growth of 12-13% in 2025, which could benefit DTE Energy and the broader utilities sector.
 Valuation: DTE Energy's valuation metrics, such as its forward P/E ratio and price-to-book ratio, suggest the stock is reasonably valued compared to its peers. The company's dividend yield and payout ratio also make it an attractive option for income-oriented investors.
 In summary, DTE Energy appears to be a reasonably valued utility stock with a sustainable dividend policy. While the company's high debt levels and the mixed macroeconomic outlook may be a concern, the overall financial and valuation data suggest the stock could be a suitable investment for investors seeking exposure to the utilities sector.
 Score: 80</t>
  </si>
  <si>
    <t>Investment Report:
 Chevron Corporation, a leading integrated oil and gas company, has been a Warren Buffett stock pick, indicating the firm's potential investment value. The recent financial data shows Chevron's strong financial position, with a market capitalization of over $262 billion and a healthy dividend yield of 4.43%. The company's profitability metrics, such as profit margins and return on assets, suggest a stable and well-managed business.
 However, the firm's earnings growth and revenue growth have been negative, reflecting the challenges faced by the oil and gas industry in recent times. The ongoing macroeconomic factors, such as concerns about inflation and potential policy changes, may also impact Chevron's performance in the short to medium term.
 Despite these headwinds, Chevron's long-term prospects remain positive, as the company's diversified operations, strong balance sheet, and Warren Buffett's endorsement suggest a solid investment opportunity. The firm's focus on emerging technologies, such as renewable energy, could also provide additional growth avenues in the future.
 Score: 80</t>
  </si>
  <si>
    <t>Investment Report:
 Recent News:
 The recent news on Domino's Pizza Group plc (DPUKY) paints a positive picture for the company. Analysts have highlighted several reasons to buy the stock, including its attractive valuation at 16x earnings, high-quality earnings, and solid annual free cash flow. The company's underlying business, driven by its supply chain operations, appears to be in good shape, and long-term store count and system sales targets could reignite growth.
 Financials:
 Domino's financial data shows a mixed performance. The stock is currently trading at a discount of almost 30% from its intrinsic value of $541.24 per share, suggesting it may be undervalued. However, the company's trailing P/E ratio of 26.5 is relatively high, and its forward P/E of 12.4 indicates that the market expects earnings growth. The company's profitability metrics, such as profit margins and return on assets and equity, are also relatively strong.
 Economic Outlook:
 The overall macroeconomic outlook for the U.S. economy is mixed, with expectations of strong earnings growth but also concerns about potential volatility, inflation, and uneven economic performance. The rise of emerging technologies, particularly AI, could also have a significant impact on the market. These factors may affect the performance of Domino's and the broader restaurant industry.
 Score: 80</t>
  </si>
  <si>
    <t>Investment Report:
 Live Nation Entertainment (LYV) has seen its stock rise 37% in the past six months, showcasing the company's resilience and growth potential. The firm's strategic focus on expanding premium offerings and penetrating high-growth international markets provides a solid foundation for sustained success.
 The recent financial data highlights Live Nation's strong performance, with a market capitalization of $29.8 billion and a forward P/E ratio of 44.6, indicating investor confidence in the company's future growth prospects. The firm's revenue growth, profitability, and cash flow generation are also positive indicators of its financial health.
 However, the company's high debt-to-equity ratio of 419.2% and overall risk score of 10 out of 10 suggest that investors should closely monitor the firm's financial management and risk profile.
 The macroeconomic outlook for the entertainment industry remains mixed, with concerns about potential economic slowdown and consumer spending. Nevertheless, the continued recovery in live events and the growing demand for premium experiences could provide tailwinds for Live Nation's performance.
 Overall, Live Nation's strategic positioning, financial strength, and growth potential make it an attractive investment option, but investors should carefully weigh the risks and monitor the company's performance in the context of the broader economic and industry trends.
 Score: 80</t>
  </si>
  <si>
    <t>Investment Report:
 MGM Resorts, a leading player in the Casinos &amp; Gaming industry, has seen a mixed performance in recent weeks. While the company's stock price has fluctuated, the latest financial data suggests a relatively strong financial position.
 Financials:
 - The company's stock price has ranged from a low of $95.48 to a high of $101.52 in the past week, indicating some volatility.
 - MGM Resorts' financial metrics, such as a forward P/E ratio of 7.73 and a debt-to-equity ratio of 31.19%, suggest a reasonably valued and financially stable company.
 - The company's profitability ratios, including a profit margin of 3.10% and a return on equity of 1.74%, are within industry norms.
 Economic Outlook:
 - The overall macroeconomic environment remains mixed, with concerns about inflation and potential market volatility. However, the expected earnings growth of 12-13% for the U.S. economy in 2025 could provide a favorable backdrop for the Casinos &amp; Gaming industry.
 - The political landscape, particularly the upcoming second term of President Donald Trump, may bring a more deregulatory environment, which could benefit the industry.
 Valuation:
 - MGM Resorts' stock is currently trading at a forward P/E ratio of 7.73, which is lower than the industry average, suggesting potential undervaluation.
 - The company's target mean price of $131.16 and median price of $126.00 indicate a potential upside from the current trading price.
 Overall, while the recent market conditions have been mixed, MGM Resorts' strong financial position, favorable industry outlook, and potential undervaluation suggest that the company may be a suitable investment option for the next month.
 Score: 80</t>
  </si>
  <si>
    <t>Investment Report:
 Recent News:
 AbbVie has lowered its 2024 adjusted profit forecast due to $1.6 billion in acquisition expenses related to milestone payments and research-and-development costs. However, the company has also been upgraded to a Zacks Rank #2 (Buy) by analysts, who believe its earnings prospects are improving. Wall Street brokers are generally recommending investors to buy the stock, citing the company's strong fundamentals.
 Financials:
 AbbVie's financial data shows a mixed picture. The company's stock price has been relatively stable, trading around $113-$114 per share. Its dividend yield is 2.09%, and the payout ratio is 65.65%. The company's valuation metrics, such as forward P/E of 21.93 and price-to-book ratio of 4.93, suggest the stock may be reasonably valued. However, the company's debt-to-equity ratio of 37.59 is relatively high, which could be a concern.
 Economic Outlook:
 The overall macroeconomic environment remains mixed, with concerns about persistent inflation and potential volatility in the stock market. However, the biotechnology sector is expected to continue performing well, driven by the development of new drugs and technologies. AbbVie's strong pipeline and diversified product portfolio could help it navigate the current economic challenges.
 Score: 80</t>
  </si>
  <si>
    <t>Investment Report:
 Recent News:
 - Apple is facing challenges in the Chinese market, with reports of iPhone discounts and a significant drop in foreign smartphone sales in the country. This could impact the company's revenue and profitability.
 - The tech giant has agreed to a $95 million settlement to resolve a class-action lawsuit alleging that its Siri voice assistant violated user privacy by recording private conversations and sharing them with third parties.
 - Apple is expected to release a new wave of products in 2025, including a new MacBook Air and the latest version of the iPhone. The company's success with its AI-powered features, such as Apple Intelligence, will be crucial in driving growth.
 Financials:
 - Apple's financial data shows a strong balance sheet, with a market capitalization of over $144 billion and a healthy cash position of $9.1 billion. The company's profitability is also impressive, with a profit margin of 27.7%.
 - However, the company's valuation metrics, such as a forward P/E ratio of 16.8, suggest that the stock may be trading at a premium compared to its peers.
 Economic Outlook:
 - The overall macroeconomic environment is expected to be mixed, with concerns about persistent inflation and uneven economic performance. The political landscape, particularly the policies of the new Trump administration, could also impact the tech sector.
 - The rise of emerging technologies, such as artificial intelligence, is expected to be a key driver of growth in the market, which could benefit Apple's AI-powered offerings.
 Score: 80</t>
  </si>
  <si>
    <t>Investment Report:
 Ameriprise Financial, a leading asset management and custody bank, has not seen any significant news developments in the past week. However, the firm's latest financial data provides insights into its current performance and valuation.
 Financials:
 Ameriprise Financial's stock has shown a mixed performance, with the share price fluctuating between $530.145 and $539.6141 during the recent trading session. The company's dividend yield of 1.12% and a payout ratio of 21.64% suggest a relatively stable dividend policy. The firm's trailing P/E ratio of 20.283 and forward P/E ratio of 13.711 indicate that the stock may be reasonably valued compared to its earnings potential.
 Valuation:
 Ameriprise Financial's market capitalization stands at $51.5 billion, and the stock is trading at a price-to-book ratio of 9.03, suggesting that the company's assets are valued higher than its book value. The firm's enterprise value-to-revenue ratio of 2.553 also suggests that the stock may be reasonably priced.
 Economic Outlook:
 The overall macroeconomic environment remains mixed, with concerns about potential volatility, inflation, and uneven economic performance. However, the asset management and custody banking industry is expected to benefit from the continued growth in the financial markets and the rising demand for investment management services.
 Score: 80</t>
  </si>
  <si>
    <t>Investment Report:
 Arista Networks, a leading provider of cloud networking solutions, has not seen any significant news developments in the past week. However, the company's financial data provides insights into its current performance and valuation.
 Financials:
 Arista Networks' stock has shown a mixed performance, with the share price fluctuating between $60.99 and $62.44 in the recent trading session. The company's trailing P/E ratio of 6.84 and forward P/E ratio of 8.79 suggest that the stock may be undervalued compared to its industry peers. Additionally, the company's profitability metrics, such as profit margins of 12.29% and return on equity of 24.21%, indicate a strong financial position.
 Valuation:
 The company's market capitalization of $14.43 billion and enterprise value of $22.98 billion suggest that the stock may be trading at a reasonable valuation. The price-to-sales ratio of 0.73 and price-to-book ratio of 1.62 further support this view.
 Economic Outlook:
 The overall macroeconomic environment remains mixed, with concerns about persistent inflation and potential volatility in the stock market. However, the expected strong earnings growth in the technology sector, particularly in the semiconductor industry, could benefit Arista Networks and its peers.
 Score: 80</t>
  </si>
  <si>
    <t>Investment Report:
 Agilent Technologies, a leading provider of life sciences tools and services, has not seen any significant news developments in the past week. However, the company's latest financial data provides insights into its current performance and valuation.
 Financials:
 Agilent's stock has shown a mixed performance, with the share price fluctuating between $101.51 and $103.79 during the recent trading session. The company's dividend yield of 2.28% and a payout ratio of 28.53% suggest a stable and sustainable dividend policy. Additionally, Agilent's trailing and forward P/E ratios of 15.12 and 14.47, respectively, indicate that the stock may be reasonably valued.
 Valuation:
 The company's market capitalization of $56.55 billion and an enterprise value of $59.83 billion suggest that Agilent is a sizable player in the life sciences industry. The stock's 52-week trading range of $75.08 to $115.50 highlights the volatility it has experienced over the past year. Agilent's price-to-sales ratio of 3.27 and price-to-book ratio of 2.28 suggest that the stock may be trading at a premium compared to its industry peers.
 Economic Outlook:
 The overall macroeconomic environment remains mixed, with concerns about persistent inflation and potential volatility in the stock market. However, the life sciences industry is expected to continue benefiting from the ongoing advancements in technology, particularly in the field of artificial intelligence. Agilent's exposure to this growing market segment may provide it with opportunities for future growth and expansion.
 Score: 80</t>
  </si>
  <si>
    <t>Investment Report:
 The recent financial data for Applied Materials, a leading semiconductor materials and equipment company, presents a mixed picture. While the firm's stock price has seen some volatility, with the share price ranging between $169.03 and $172.11 in the past week, the overall financial performance appears strong.
 The company's valuation metrics, such as a forward P/E ratio of 19.78 and a price-to-book ratio of 5.81, suggest that the stock may be reasonably valued, though slightly on the higher side. The firm's profitability indicators, including a profit margin of 18.46% and a return on equity of 33.50%, are also impressive.
 However, the firm's debt-to-equity ratio of 92.12% is relatively high, which could be a concern for some investors. Additionally, the company's 52-week low of $94.19 and the recent market volatility may also be factors to consider.
 The broader economic outlook, with expectations of continued earnings growth and potential volatility, could also impact the performance of Applied Materials. The semiconductor industry's reliance on emerging technologies, such as artificial intelligence, may provide growth opportunities, but also introduce risks.
 Overall, while Applied Materials appears to be a well-performing company in the semiconductor materials and equipment sector, investors should carefully weigh the firm's financial metrics, industry dynamics, and the broader economic conditions before making an investment decision.
 Score: 80</t>
  </si>
  <si>
    <t>Investment Report:
 The recent news highlights the positive outlook for Aon (AON) in the Insurance Brokers industry. The company's robust retention, new business, and strategic acquisitions are expected to drive its growth going forward.
 Financially, Aon's key metrics paint a mixed picture. While the company's profitability ratios, such as profit margins and return on assets and equity, are strong, its debt-to-equity ratio is relatively high at 105.032. Additionally, the company's valuation metrics, including a forward P/E ratio of 6.88, suggest that the stock may be undervalued compared to its peers.
 The macroeconomic outlook for the insurance industry remains cautiously optimistic, with the potential for continued volatility and uneven performance across sectors. However, the rise of emerging technologies, such as artificial intelligence, could present significant growth opportunities for companies like Aon.
 Overall, the recent news and financial data suggest that Aon may be a suitable investment for investors seeking exposure to the insurance brokers industry. While the company faces some challenges, its strategic initiatives and strong fundamentals make it a potentially attractive option for long-term investors.
 Score: 80</t>
  </si>
  <si>
    <t>Investment Report:
 A. O. Smith, a leading manufacturer of water heating and water treatment products, exhibits strong prospects despite persisting headwinds. The company has benefited from accretive acquisitions, which have expanded its product portfolio and geographic reach. However, the recent financial data suggests that increasing costs remain a concern, potentially impacting the company's profitability.
 The firm's financial performance shows a mixed picture. While the company's revenue growth has been relatively flat, its earnings growth has declined by 11.3% in the most recent quarter. The company's valuation metrics, such as the forward P/E ratio of 16.99, suggest that the stock may be reasonably priced, but the overall economic outlook and industry-specific challenges could pose risks.
 The macroeconomic environment remains uncertain, with concerns about persistent inflation and potential volatility in the stock market. However, the building products industry, in which A. O. Smith operates, is expected to benefit from continued demand for residential and commercial construction projects.
 Overall, A. O. Smith's strong brand recognition, diversified product portfolio, and strategic acquisitions position the company well to navigate the current market conditions. While the increasing costs remain a concern, the company's long-term growth prospects and potential industry tailwinds make it a reasonably attractive investment option.
 Score: 75</t>
  </si>
  <si>
    <t>Investment Report:
 AvalonBay Communities, a leading multi-family residential REIT, has not seen any significant news developments in the past week. However, the firm's latest financial data provides insights into its current performance and valuation.
 Financials:
 - AvalonBay's stock is trading at a price of $296.90, close to its 52-week high of $326.62.
 - The company's trailing P/E ratio of 58.15 and forward P/E ratio of 31.63 suggest that the stock may be overvalued compared to its earnings potential.
 - However, the firm's strong financial metrics, such as a high profit margin of 18.2% and a healthy EBITDA of $1.4 billion, indicate its ability to generate consistent cash flow.
 Valuation:
 - AvalonBay's enterprise value-to-revenue ratio of 11.90 and enterprise value-to-EBITDA ratio of 49.49 suggest that the stock may be trading at a premium compared to its peers.
 - The company's price-to-book ratio of 33.75 also indicates that the stock is valued significantly higher than its book value.
 Economic Outlook:
 - The overall macroeconomic environment remains mixed, with concerns about persistent inflation and potential volatility in the stock market.
 - However, the multi-family residential REIT sector has generally performed well, benefiting from strong demand for rental housing and a resilient labor market.
 Score: 75</t>
  </si>
  <si>
    <t>Investment Report:
 The recent news highlights both opportunities and risks for VICI Properties, a leading Hotel &amp; Resort REIT. On the positive side, the company exceeded analysts' expectations for revenue in Q3, and it maintains a stable BBB- credit rating from S&amp;P. This suggests the REIT's underlying business performance remains strong.
 However, the stock has faced significant pressure in recent months, with a 11.5% decline over the past three months. This appears to be driven by a spike in the U.S. 10-year yield, which has weighed on REIT valuations. While the higher dividend yield may present an opportunity for investors, potential policy changes and rate cut projections add an element of risk to the stock.
 The company's financial data shows a mixed picture. On one hand, VICI Properties has a relatively low trailing P/E ratio of 10.95 and a forward P/E of 10.77, suggesting the stock may be undervalued. The REIT also has a healthy balance sheet, with a quick ratio of 15.87 and a current ratio of 15.87. Additionally, the company's profitability metrics, such as profit margins and return on equity, are strong.
 On the other hand, the REIT's high debt-to-equity ratio of 66.55 could be a concern, as it increases the company's vulnerability to rising interest rates. The stock's 52-week change of -6.92% also indicates underperformance compared to the broader market.
 Overall, the recent news and financial data present a nuanced outlook for VICI Properties. While the company's fundamentals appear solid, the current macroeconomic environment and potential policy changes could create headwinds for the stock in the near term. Investors should carefully consider these factors when evaluating the investment potential of VICI Properties.
 Score: 75</t>
  </si>
  <si>
    <t>Investment Report:
 Vulcan Materials Company, a leading provider of construction materials, has not seen any significant news developments in the past week. However, the company's latest financial data provides insights into its current performance and market positioning.
 Financials:
 Vulcan Materials' stock has shown a mixed performance, with the share price fluctuating between $159.50 and $166.00 during the recent trading session. The company's dividend rate stands at $0.89, with a dividend yield of 0.54%. Its trailing P/E ratio of 30.88 and forward P/E ratio of 20.41 suggest that the stock may be trading at a premium compared to its industry peers.
 Valuation and Outlook:
 Vulcan Materials' market capitalization of $55.78 billion and enterprise value of $76.39 billion indicate its significant size and market presence. The company's profitability metrics, such as profit margins of 12.51% and return on equity of 30.17%, suggest strong financial performance.
 The macroeconomic outlook for the construction materials industry remains positive, with the U.S. economy expected to see strong earnings growth in 2025. However, potential volatility and uneven economic performance may pose challenges for the sector.
 Score: 75</t>
  </si>
  <si>
    <t>Investment Report:
 WEC Energy Group is a leading electric utility company serving customers in Wisconsin, Illinois, Michigan, and Minnesota. The firm's recent financial data shows a mixed picture, with the stock price trading around $93 per share, down from its 52-week high of $102.79. However, the company's fundamentals remain strong, with a solid dividend yield of 3.88% and a forward P/E ratio of 17.61, indicating potential value.
 The macroeconomic outlook for the electric utilities industry is generally positive, with the sector expected to benefit from the ongoing transition to renewable energy sources and the need for infrastructure investments. However, the industry also faces challenges such as regulatory changes and potential increases in interest rates, which could impact the company's profitability.
 Overall, WEC Energy Group's financial performance and industry outlook suggest that the stock may have investment potential in the near term. Investors should closely monitor the company's financial reports, regulatory developments, and the broader economic conditions to make an informed investment decision.
 Score: 75</t>
  </si>
  <si>
    <t>Investment Report:
 Recent News: Williams Companies has activated its Southside Reliability Enhancement project, which boosts energy capacity and delivers natural gas to more than 2 million homes with minimal environmental impact. This project is a positive development for the company, as it enhances its ability to transport and distribute natural gas, a critical energy source.
 Financials: Williams Companies' financial data shows a mixed picture. The company's stock price has seen a 59.8% increase over the past 52 weeks, outperforming the S&amp;P 500's 24.9% gain. However, the company's forward P/E ratio of 26.4 is higher than the industry average, indicating potential overvaluation. Additionally, the company's debt-to-equity ratio of 182.4 is significantly higher than the industry average, raising concerns about its financial leverage.
 Valuation: The company's target mean price of $55.58 and median price of $57.00 suggest potential upside from the current trading price of $56.60. However, the wide range of target prices, from $40.00 to $74.00, indicates uncertainty and divergent views among analysts.
 Economic Outlook: The overall macroeconomic environment remains mixed, with concerns about persistent inflation and potential volatility in the stock market. However, the energy sector is expected to benefit from continued demand for natural gas and the transition towards cleaner energy sources.
 Score: 75</t>
  </si>
  <si>
    <t>Investment Report:
 Recent News:
 Verizon Communications (VZ) stock has seen a slight decline of 1.61% in the latest trading session, even as the broader market rose. This underperformance could be a concern for investors. However, the company's upcoming showcase of advanced solutions at the EDGE 25 conference may provide an opportunity for the stock to gain traction. The new solutions are aimed at improving operational efficiency and communication in critical environments, which could be a positive development for the company.
 Financials:
 Verizon's financial data shows a mixed picture. The company has a strong balance sheet, with a market capitalization of over $20 billion and a healthy cash position. However, its valuation metrics, such as the forward P/E ratio of 24.39, suggest that the stock may be fairly valued or even slightly overvalued compared to its peers. The company's profitability, as measured by its profit margins, is also solid at 55.69%.
 Economic Outlook:
 The overall macroeconomic environment remains mixed, with concerns about potential volatility, inflation, and uneven economic performance. However, the rise of emerging technologies, particularly artificial intelligence, is expected to be a key driver of the stock market in the next year. This could benefit Verizon, as the company's advanced solutions are likely to be in high demand in the current technological landscape.
 Score: 75</t>
  </si>
  <si>
    <t>Investment Report:
 Wabtec, a leading manufacturer of construction machinery and heavy transportation equipment, has not seen any significant news developments in the past week. However, the company's latest financial data provides insights into its current performance and valuation.
 Financials:
 Wabtec's stock has shown a steady performance, with the share price trading around $191-$193 in the recent trading session. The company's financial metrics, such as a trailing P/E ratio of 32.04 and a forward P/E ratio of 22.28, suggest that the stock may be reasonably valued. Additionally, Wabtec's dividend yield of 0.42% and payout ratio of 12.83% indicate a moderate level of dividend distribution.
 Valuation and Outlook:
 The company's market capitalization of $33.04 billion and enterprise value of $36.98 billion suggest that Wabtec is a sizable player in the industry. The stock's 52-week trading range of $124.76 to $207.51 highlights the potential volatility and growth opportunities the company has experienced.
 The macroeconomic outlook, as discussed in the provided context, indicates a mixed picture for the overall market, with concerns about potential volatility, inflation, and uneven economic performance. However, the continued development and adoption of emerging technologies, such as artificial intelligence, could benefit companies like Wabtec that operate in the construction machinery and heavy transportation equipment sector.
 Score: 75</t>
  </si>
  <si>
    <t>Investment Report:
 The recent news indicates that the oil price outlook is good for energy companies like ExxonMobil. The depressed oil prices in Q4 are likely to increase as the year progresses, suggesting that the current earnings outlook for energy companies may be too low. This could lead to an outperformance and upgrade cycle for the sector.
 ExxonMobil's financial data shows a mixed picture. The company's stock price has declined by around 9% over the past 52 weeks, underperforming the S&amp;P 500's 25% gain. However, the company's valuation metrics, such as a forward P/E ratio of 20.5 and a price-to-book ratio of 6.6, suggest that the stock may be reasonably valued.
 The company's profitability metrics, including a profit margin of 7.4% and a return on equity of 30.3%, are relatively strong. Additionally, ExxonMobil has a healthy balance sheet, with a quick ratio of 1.5 and a current ratio of 1.7, indicating good liquidity.
 The overall economic outlook, with expectations of continued earnings growth and potential volatility, could impact ExxonMobil's performance. The company's exposure to the oil and gas industry, which is sensitive to commodity price fluctuations, may also affect its stock price.
 Score: 75</t>
  </si>
  <si>
    <t>Investment Report:
 Xcel Energy, a leading multi-utilities company, has not seen any significant news developments in the past week. However, the firm's latest financial data provides insights into its current performance and valuation.
 Financials:
 Xcel Energy's stock has shown a mixed performance, with the share price fluctuating between $84.135 and $86.27 during the recent trading session. The company's dividend rate stands at $1.00, with a dividend yield of 1.18%. The firm's trailing P/E ratio of 10.16 suggests that the stock may be undervalued compared to its industry peers.
 Valuation:
 Xcel Energy's forward P/E ratio of 17.08 indicates that the market expects the company to grow its earnings in the future. The firm's price-to-sales ratio of 1.30 is also relatively low, suggesting potential value. However, the company's high beta of 1.80 implies that the stock may be more volatile than the overall market.
 Economic Outlook:
 The broader economic environment remains mixed, with concerns about persistent inflation and uneven economic performance. However, the expected strong earnings growth in the U.S. market could provide a favorable backdrop for Xcel Energy's performance.
 Score: 75</t>
  </si>
  <si>
    <t>Investment Report:
 Recent News: Weyerhaeuser (WY) has experienced a significant decline of 9.59% in the past four weeks, raising concerns among investors. However, the heavy selling pressure might have been exhausted, as the stock is now technically in oversold territory. Additionally, strong agreement among Wall Street analysts in revising earnings estimates higher indicates that the stock is ripe for a potential trend reversal.
 Financials: Weyerhaeuser's latest financial data shows a mixed picture. The company's profitability metrics, such as profit margins and return on assets and equity, are relatively low compared to industry peers. However, the company's balance sheet appears to be in a healthy condition, with a quick ratio of 1.27 and a current ratio of 2.01, suggesting strong liquidity. The company's dividend yield of 2.81% is also attractive for income-oriented investors.
 Valuations: Weyerhaeuser's valuation metrics are somewhat stretched, with a forward P/E ratio of 31.66 and a price-to-book ratio of 2.09. However, the company's PEG ratio of 10.24 suggests that the stock may be undervalued relative to its earnings growth potential.
 Economic Outlook: The overall macroeconomic environment remains mixed, with concerns about persistent inflation and uneven economic performance. However, the timber industry is expected to benefit from continued demand for housing and construction materials, which could positively impact Weyerhaeuser's performance.
 Score: 75</t>
  </si>
  <si>
    <t>Investment Report:
 United Parcel Service (UPS) has seen a modest 0.34% increase in its stock price in the recent trading session, underperforming the broader market. The company's financial data shows a mixed picture, with a trailing P/E ratio of 33.44 and a forward P/E of 17.19, indicating potential overvaluation. However, the company's dividend yield of 1.64% and payout ratio of 51.76% suggest a stable and shareholder-friendly dividend policy.
 The macroeconomic outlook for the air freight and logistics industry remains cautiously optimistic, with the U.S. economy expected to see strong earnings growth of 12-13% in 2025. However, concerns over persistent inflation, uneven economic performance, and potential policy changes could introduce volatility in the market.
 While UPS has shown resilience in the face of these challenges, the company's underperformance relative to the broader market in the recent trading session suggests that investors may be cautious about the stock's near-term prospects. The company's long-term growth potential, driven by the rise of emerging technologies like AI, remains promising, but the near-term outlook may be more muted.
 Score: 75</t>
  </si>
  <si>
    <t>Investment Report:
 Trane Technologies, a leading manufacturer of heating, ventilation, and air conditioning (HVAC) equipment, has not seen any significant news developments in the past week. However, the company's latest financial data provides insights into its current performance and valuation.
 Financials:
 Trane Technologies' stock has shown a mixed performance, with the share price fluctuating between $377.95 and $384.66 during the recent trading session. The company's financial metrics, such as a trailing P/E ratio of 35.22 and a forward P/E ratio of 30.24, suggest that the stock may be trading at a premium compared to its industry peers. Additionally, the company's dividend yield of 0.88% and payout ratio of 29.97% indicate a moderate level of shareholder returns.
 Valuation:
 The company's market capitalization of $86.3 billion and enterprise value of $89.7 billion suggest that Trane Technologies is a large-cap company with a significant presence in the building products industry. The stock's 52-week trading range of $240.51 to $422.00 highlights the volatility the company has experienced over the past year.
 Economic Outlook:
 The overall macroeconomic environment remains mixed, with concerns about persistent inflation and uneven economic performance. However, the expected strong earnings growth in the U.S. market, coupled with the potential impact of emerging technologies like artificial intelligence, could provide a positive backdrop for Trane Technologies' performance in the near term.
 Score: 75</t>
  </si>
  <si>
    <t>Investment Report:
 United Rentals, a leading provider of equipment rental services, operates in the Trading Companies &amp; Distributors industry. The company's recent financial data shows a mixed picture, with a strong market capitalization of $44.9 billion and a healthy dividend yield of 0.95%. However, the stock has experienced a significant decline in its 52-week high, dropping from $896.98 to the current trading range around $695.
 The macroeconomic outlook for the industry remains cautiously optimistic, with the U.S. economy expected to see strong earnings growth of 12-13% in 2025. However, the markets are likely to be choppy, indicating potential volatility ahead. Key factors to consider are the resilient labor market, concerns about persistent inflation, and the potential impact of political and regulatory changes.
 While United Rentals has not reported any significant news in the past week, the company's financial metrics, such as a trailing P/E ratio of 17.9 and a forward P/E ratio of 14.5, suggest that the stock may be reasonably valued. The company's strong market position, diversified customer base, and focus on technology-driven solutions could position it well to navigate the current economic environment.
 Score: 75</t>
  </si>
  <si>
    <r>
      <t xml:space="preserve">Investment Report:
 Texas Instruments (TXN) has been a trending stock in the market, attracting significant attention from investors. The company's recent financial data and industry outlook suggest a mixed picture for its investment potential.
 Recent News:
 - Texas Instruments closed at $192.18 in the most recent trading session, indicating a 0.88% increase from the previous day.
 - The company has received considerable attention from </t>
    </r>
    <r>
      <rPr>
        <rFont val="&quot;Helvetica Neue&quot;"/>
        <color rgb="FF1155CC"/>
        <sz val="8.0"/>
        <u/>
      </rPr>
      <t>Zacks.com</t>
    </r>
    <r>
      <rPr>
        <rFont val="&quot;Helvetica Neue&quot;"/>
        <sz val="8.0"/>
      </rPr>
      <t xml:space="preserve"> users, highlighting the need to be aware of the factors that can impact its stock prospects.
 Financials:
 - Texas Instruments' financial data shows a mixed performance, with a trailing P/E ratio of 112.31 and a forward P/E ratio of 126.75, suggesting the stock may be overvalued.
 - However, the company's profitability metrics, such as profit margins (13.08%) and return on equity (20.39%), are relatively strong.
 - The company's balance sheet appears healthy, with a quick ratio of 1.21 and a current ratio of 1.84, indicating a solid liquidity position.
 Economic Outlook:
 - The overall macroeconomic environment is expected to be mixed, with concerns about potential volatility, inflation, and uneven economic performance.
 - The semiconductor industry, in which Texas Instruments operates, is expected to be a key driver of the stock market, particularly with the continued development and adoption of AI-powered technologies.
 In summary, while Texas Instruments has shown some positive financial indicators, the mixed macroeconomic outlook and potential market volatility may create challenges for the company's stock performance in the near term. Investors should carefully consider the company's fundamentals and the broader market conditions before making investment decisions.
 Score: 75</t>
    </r>
  </si>
  <si>
    <t>Investment Report:
 Take-Two Interactive, a leading player in the interactive home entertainment industry, has seen a mixed performance in recent weeks. While the company's stock price has fluctuated, the overall financial data suggests a relatively stable position.
 The firm's previous close was $188.75, with the current open price at $190.575. The day's trading range has been between $188.35 and $192.14, indicating some volatility. The company's beta of 0.85 suggests it is less volatile than the overall market.
 Financially, Take-Two Interactive's valuation metrics, such as the forward P/E ratio of 24.01, suggest the stock may be reasonably priced. The company's market capitalization of $33.19 billion and enterprise value of $36.42 billion also indicate a sizable presence in the industry.
 The economic outlook for the interactive home entertainment sector remains positive, with the rise of emerging technologies like artificial intelligence and the continued growth of the gaming industry. However, factors such as persistent inflation and potential policy changes could introduce some uncertainty in the near term.
 Overall, while the company's recent news is limited, the financial data and industry outlook suggest that Take-Two Interactive may still hold investment potential for the next month, though investors should be mindful of the potential volatility and broader economic conditions.
 Score: 75</t>
  </si>
  <si>
    <t>Investment Report:
 Autodesk is a leading provider of design and engineering software solutions, with a strong market position and diversified revenue streams. The company's transition to a subscription-based model has improved revenue predictability and margins, positioning it well for long-term growth. However, the current valuation appears stretched, with a high forward P/E ratio of 19.02 and a trailing P/E ratio of 22.03.
 The recent financial data shows Autodesk's strong performance, with a market capitalization of $55.27 billion, a 52-week high of $3,416.71, and a current price of $3,268.78. The company's profitability metrics, such as profit margins of 14.4% and EBITDA margins of 23.5%, are also impressive.
 The macroeconomic outlook for the Application Software industry remains positive, with the U.S. economy expected to see strong earnings growth of 12-13% in 2025. However, the market is likely to be choppy, with potential volatility driven by factors such as persistent inflation, uneven economic performance, and political developments.
 Given the strong fundamentals and market position of Autodesk, but the concerns around its current valuation, I rate the stock as a HOLD for the next month. Investors should closely monitor the company's performance and any changes in the broader market and economic conditions that may impact its valuation.
 Score: 75</t>
  </si>
  <si>
    <t>Investment Report:
 General Mills, a leading player in the Packaged Foods &amp; Meats industry, has not seen any significant news in the past week. However, the firm's latest financial data provides insights into its current performance and valuation.
 Financials:
 - The company's stock has seen a decline in its share price, with the current trading price at $61.45, down from the previous close of $63.88.
 - General Mills' financial metrics, such as a trailing P/E ratio of 13.37 and a forward P/E ratio of 13.43, suggest the stock is trading at a reasonable valuation compared to its earnings.
 - The company's dividend yield of 3.64% and a payout ratio of 56.43% indicate a stable and sustainable dividend policy.
 - Key financial ratios, including a quick ratio of 0.317 and a current ratio of 0.66, suggest the company has a relatively strong liquidity position.
 Economic Outlook:
 - The overall macroeconomic environment remains mixed, with concerns about potential volatility, inflation, and uneven economic performance.
 - However, the packaged foods industry is generally considered a defensive sector, which may provide some stability during periods of market uncertainty.
 Considering the firm's financial performance, valuation, and the current economic landscape, General Mills appears to be a relatively stable investment option in the Packaged Foods &amp; Meats industry. Investors should closely monitor the company's financial metrics and any industry-specific developments that may impact its future performance.
 Score: 75</t>
  </si>
  <si>
    <t>Investment Report:
 Ecolab, a leading specialty chemicals company, has not seen any significant news or developments in the past week. However, the firm's latest financial data provides insights into its current performance and valuation.
 Financials:
 Ecolab's stock has seen a mixed performance, with the share price fluctuating between $78.31 and $79.90 during the day. The company's dividend yield of 4.22% and payout ratio of 91.23% suggest a strong focus on shareholder returns. The firm's trailing P/E ratio of 22.94 and forward P/E of 13.77 indicate that the stock may be reasonably valued.
 Valuation:
 Ecolab's market capitalization stands at $30.37 billion, with a price-to-sales ratio of 1.75 and a price-to-book ratio of 2.17. These valuation metrics suggest that the stock may be trading at a fair value compared to its peers and the broader market.
 Economic Outlook:
 The overall macroeconomic environment remains mixed, with concerns about persistent inflation and potential volatility in the stock market. However, the specialty chemicals industry, in which Ecolab operates, is expected to benefit from the continued development and adoption of emerging technologies, such as artificial intelligence.
 Score: 75</t>
  </si>
  <si>
    <t>Investment Report:
 Gilead Sciences, a leading biotechnology company, has not seen any significant news developments in the past week. However, the firm's latest financial data provides insights into its current performance and valuation.
 Financials:
 Gilead Sciences' stock has shown a mixed performance, with the share price fluctuating between $90.325 and $91.53 during the recent trading session. The company's dividend rate stands at $3.08, with a dividend yield of 3.38%. The firm's trailing P/E ratio is exceptionally high at 1013.67, while the forward P/E ratio is more reasonable at 12.05.
 Valuation:
 Gilead Sciences' market capitalization is $113.7 billion, and the stock is trading at a price-to-sales ratio of 4.02. The company's enterprise value-to-EBITDA ratio is 9.33, indicating a relatively high valuation compared to its earnings. However, the stock's 52-week range of $62.07 to $98.90 suggests potential upside.
 Economic Outlook:
 The overall macroeconomic environment remains mixed, with concerns about persistent inflation and potential volatility in the stock market. However, the biotechnology sector, including Gilead Sciences, may benefit from the continued focus on healthcare and the development of new treatments.
 Score: 75</t>
  </si>
  <si>
    <t>Investment Report:
 The recent financial data for GoDaddy, a leading provider of Internet services and infrastructure, presents a mixed picture. While the company's stock price has shown some volatility, with a 52-week range of $372.07 to $612.73, the overall financial performance appears relatively strong.
 The company's profitability metrics, such as profit margins (24.65%) and return on equity (10.17%), suggest a healthy financial position. Additionally, the company's forward P/E ratio of 13.45 indicates that the stock may be reasonably valued compared to its earnings potential.
 However, the company's debt-to-equity ratio of 609.79% raises some concerns about its capital structure and financial leverage. This high level of debt could potentially limit the company's financial flexibility and increase its vulnerability to economic downturns.
 The macroeconomic outlook for the Internet services and infrastructure industry remains generally positive, with the continued growth of e-commerce and the increasing reliance on digital technologies. However, factors such as inflation, interest rate hikes, and potential regulatory changes could introduce some uncertainty and volatility in the market.
 Overall, while GoDaddy's financial performance appears solid, the high debt levels and potential macroeconomic risks warrant a cautious approach. Investors should closely monitor the company's financial and operational developments, as well as the broader industry trends, to make informed investment decisions.
 Score: 75</t>
  </si>
  <si>
    <t>Investment Report:
 Fortive, an industrial machinery and supplies company, has not seen any significant news in the past week. However, the firm's recent financial data provides some insights into its current performance and valuation.
 Financials:
 - Fortive's stock is trading at a price of $76.24, with a previous close of $75.90.
 - The company has a strong dividend yield of 0.42% and a payout ratio of 12.8%, indicating a sustainable dividend policy.
 - Fortive's valuation metrics, such as a forward P/E ratio of 18.38 and a price-to-book ratio of 2.51, suggest the stock may be reasonably valued.
 - The company's profitability ratios, including a profit margin of 14.36% and a return on equity of 8.62%, are solid.
 Economic Outlook:
 - The overall macroeconomic environment remains mixed, with concerns about potential volatility, inflation, and uneven economic performance.
 - However, the industrial machinery and supplies sector is expected to benefit from the continued development and adoption of emerging technologies, such as artificial intelligence.
 Score: 75</t>
  </si>
  <si>
    <t>Investment Report:
 GE Vernova, a leading player in the Heavy Electrical Equipment industry, has not seen any significant news developments in the past week. However, the company's latest financial data provides some insights into its current performance and valuation.
 Financials:
 - The stock is trading at a previous close of $80.52, with a day's range of $80.495 to $82.4.
 - The company has a trailing P/E ratio of 22.39 and a forward P/E ratio of 17.54, indicating a relatively attractive valuation.
 - GE Vernova's profitability metrics, such as profit margins (8.56%) and return on assets (5.64%) and equity (21.85%), suggest a reasonably healthy financial position.
 - The company's debt-to-equity ratio of 126.09% may raise some concerns, but its quick and current ratios of 0.88 and 1.23, respectively, indicate adequate liquidity.
 Economic Outlook:
 - The overall macroeconomic environment remains mixed, with expectations of strong earnings growth but also potential volatility and concerns about inflation and uneven economic performance.
 - The political landscape, particularly the upcoming second term of President Donald Trump, could bring a more deregulatory environment, which the markets may view positively.
 - The continued development and adoption of emerging technologies, such as artificial intelligence, could significantly impact the Heavy Electrical Equipment industry and GE Vernova's performance.
 Score: 75</t>
  </si>
  <si>
    <t>Investment Report:
 Generac, a leading manufacturer of power generation equipment, has not seen any significant news developments in the past week. However, the company's financial data provides insights into its current performance and valuation.
 Financials:
 Generac's stock has shown a mixed performance, with the share price fluctuating between $159.04 and $162.17 during the recent trading session. The company's trailing P/E ratio of 33.35 and forward P/E ratio of 19.24 suggest that the stock may be trading at a premium compared to the industry average. Additionally, Generac's profit margins of 7.17% and strong financial ratios, such as a current ratio of 2.03, indicate a relatively healthy financial position.
 Valuation:
 The company's market capitalization of $9.52 billion and enterprise value of $10.89 billion suggest that Generac is a sizable player in the Electrical Components &amp; Equipment industry. The stock's 52-week trading range of $108.89 to $195.94 and the current share price of $160.98 indicate that the stock may be trading within its historical range.
 Economic Outlook:
 The broader economic environment remains mixed, with concerns about persistent inflation and uneven economic performance. However, the expected strong earnings growth in the U.S. market and the potential impact of emerging technologies, such as artificial intelligence, could provide a favorable backdrop for Generac's performance.
 Score: 75</t>
  </si>
  <si>
    <t>Investment Report:
 Recent News: Yum! Brands, the parent company of popular fast-food chains like KFC, Pizza Hut, and Taco Bell, is nearing a potential Golden Cross, a bullish technical indicator that could signal a turnaround for the stock. This development is likely to attract the attention of investors who are looking for signs of a positive shift in the company's performance.
 Financials: Yum! Brands' recent financial data shows a mixed picture. The company's stock has a trailing P/E ratio of 33.57 and a forward P/E ratio of 24.64, indicating that the stock may be slightly overvalued compared to its earnings. However, the company's dividend yield of 1.23% and payout ratio of 40.52% suggest that it is returning a decent amount of cash to shareholders. Additionally, the company's profitability metrics, such as profit margins and return on assets and equity, are relatively strong.
 Valuation: Yum! Brands' stock is currently trading at a price-to-sales ratio of 3.37, which is higher than the industry average. The company's 52-week trading range of $109.39 to $146.08 suggests that the stock has experienced significant volatility over the past year. The company's target mean price of $147.71 and median price of $150.00 indicate that analysts are generally bullish on the stock.
 Economic Outlook: The overall macroeconomic environment is expected to be mixed, with concerns about persistent inflation and uneven economic performance. However, the rise of emerging technologies, particularly artificial intelligence, could offer significant growth opportunities for companies like Yum! Brands. Additionally, the potential for a more deregulatory environment under the new administration may be viewed positively by the markets.
 Score: 75</t>
  </si>
  <si>
    <t>Investment Report:
 Recent News:
 Adobe's stock slumped in December due to a poorly received set of fourth-quarter earnings and guidance. Investors were concerned about the impact of AI on the company's business, as the technology could potentially disrupt Adobe's core creative software offerings. The market reacted negatively to the company's cautious outlook, sending the stock down by 13.8% during the month.
 Financials:
 Adobe's financial data shows a mixed picture. The company has a strong balance sheet, with a healthy cash position and low debt levels. However, its valuation metrics, such as the forward P/E ratio of 18.7, suggest that the stock may be trading at a premium compared to its peers. The company's profitability, as measured by its profit margins and return on equity, is also impressive.
 Economic Outlook:
 The overall macroeconomic environment remains uncertain, with concerns about persistent inflation and the potential for a slowdown in economic growth. However, the technology sector, which includes Adobe, is expected to continue performing well, driven by the ongoing digital transformation and the rise of emerging technologies like AI.
 Valuation:
 Adobe's stock is currently trading at a price-to-earnings (P/E) ratio of 34.9, which is higher than the industry average. The company's forward P/E ratio of 18.7 suggests that the market is expecting strong earnings growth in the future. The stock's 52-week trading range of $425.32 to $638.25 indicates that the shares have experienced significant volatility in the past year.
 Score: 75</t>
  </si>
  <si>
    <t>Investment Report:
 The recent financial data for Union Pacific Corporation, a leading rail transportation company, presents a mixed picture. While the firm's stock price has seen some volatility, with the day's low at $41.345, the overall financial metrics suggest potential investment value.
 The company's valuation metrics, such as a forward P/E ratio of 82.98 and a price-to-book ratio of 3.94, indicate that the stock may be trading at a premium compared to its peers. However, the firm's strong financial position, with a healthy balance sheet and robust cash flow, could offset these valuation concerns.
 The economic outlook for the rail transportation industry remains cautiously optimistic, with the potential for continued growth in freight volumes and infrastructure investments. However, the industry may face headwinds from factors such as supply chain disruptions and regulatory changes.
 Overall, while the recent news does not provide any significant updates, the firm's financial data and the industry's outlook suggest that Union Pacific Corporation may be a viable investment option for the next month, though investors should closely monitor the company's performance and the broader economic conditions.
 Score: 75</t>
  </si>
  <si>
    <t>Investment Report:
 Xylem Inc. is a leading provider of water technology solutions, operating in the Industrial Machinery &amp; Supplies &amp; Components industry. The company's recent financial data shows a mixed picture, with some positive and negative indicators.
 Financials:
 - The company's stock price has seen some volatility, with the current trading price ranging between $129.99 and $134.06.
 - Xylem's financial ratios, such as the price-to-earnings (P/E) ratio of 24.33 and the forward P/E of 21.41, suggest the stock may be reasonably valued.
 - The company's profitability metrics, including a profit margin of 21.13% and an EBITDA margin of 36.11%, indicate strong operational performance.
 - However, the company's debt levels, with a total debt of $12.06 billion, may be a concern and could impact its financial flexibility.
 Economic Outlook:
 - The overall macroeconomic environment remains mixed, with concerns about potential volatility, inflation, and uneven economic performance.
 - The industrial machinery and supplies sector, in which Xylem operates, may be affected by these broader economic trends, potentially impacting the company's performance.
 Valuation and Recommendation:
 Based on the available information, Xylem Inc. appears to be a reasonably valued company with strong operational performance. However, the company's debt levels and the broader economic uncertainty may be factors to consider when evaluating the investment potential.
 Score: 75</t>
  </si>
  <si>
    <t>Investment Report:
 Assurant (AIZ) is a leading provider of specialty insurance products and related services in the multi-line insurance industry. The company's recent financial data shows a mixed picture, with a high trailing P/E ratio of 52.65 but a more reasonable forward P/E of 24.17. The company's dividend yield of 0.87% is relatively low, but its payout ratio of 44.85% suggests room for potential dividend growth.
 The latest news indicates that the U.S. stock market is expected to be choppy in the near term, with potential volatility driven by macroeconomic and political factors. However, the overall market is expected to be up 10-15% this year, with the technology and semiconductor sectors leading the way. This could bode well for Assurant, as the company operates in the multi-line insurance industry, which is often seen as a defensive sector.
 Furthermore, the rise of emerging technologies, particularly artificial intelligence (AI), is expected to be a key driver of the stock market in the next year. Assurant's ability to leverage these technologies to improve its operations and customer experience could be a positive factor for the company's long-term growth.
 Overall, Assurant's mixed financial data, the potential market volatility, and the promising outlook for emerging technologies suggest that the company may be a suitable investment for value-oriented investors with a medium-to-long-term investment horizon. However, investors should closely monitor the company's performance and the broader market conditions to make an informed decision.
 Score: 75</t>
  </si>
  <si>
    <t>Investment Report:
 Aflac, a leading provider of life and health insurance, has seen a mixed performance in recent weeks, with no significant news impacting the company. The firm's financial data shows a stable trading range, with the stock price fluctuating between $135.34 and $138.34 during the day. The company's valuation metrics, such as a trailing P/E ratio of 30.8 and a forward P/E ratio of 24.1, suggest that the stock may be fairly valued or slightly overvalued compared to the industry average.
 The overall economic outlook for the life and health insurance industry remains cautiously optimistic, with the potential for continued growth driven by factors such as an aging population, increased healthcare costs, and the ongoing implementation of the Affordable Care Act. However, the industry also faces challenges, including regulatory changes, competition from alternative insurance products, and the potential impact of economic conditions on consumer spending and demand for insurance products.
 Given the mixed signals in the recent data and the uncertain economic environment, the investment value of Aflac for the next month is assessed as:
 Score: 75</t>
  </si>
  <si>
    <t>Investment Report:
 The recent news highlights that AES Corporation (AES) is considered a strong value stock based on the Zacks Style Scores. This suggests the company's shares may be undervalued and present an attractive investment opportunity.
 Financially, AES has a solid balance sheet with a market capitalization of over $9 billion. The company's financial data shows a low trailing P/E ratio of 9.03 and a forward P/E ratio of 6.35, indicating the stock may be trading at a discount compared to its earnings potential. Additionally, AES has a decent dividend yield of 5.33%, which could appeal to income-oriented investors.
 However, the company's financial performance has been mixed, with revenue growth declining by 4.2% in the latest reported quarter, while earnings growth has been more robust at 20.6%. The firm's debt-to-equity ratio of 352.9% is also relatively high, which could be a concern for some investors.
 The macroeconomic outlook for the Independent Power Producers &amp; Energy Traders industry appears to be cautiously optimistic, with the overall U.S. stock market expected to see moderate growth in the near term. Factors such as the political landscape, inflation, and the rise of emerging technologies like AI could impact the industry's performance.
 Given the mixed financial data, the potential value proposition, and the broader economic conditions, AES Corporation may be an interesting investment option for value-oriented investors with a medium-term outlook. However, investors should carefully consider the company's risks and challenges before making any investment decisions.
 Score: 75</t>
  </si>
  <si>
    <t>Investment Report:
 Accenture, a leading IT consulting and services firm, has not seen any significant news developments in the past week. However, the company's latest financial data provides insights into its current performance and valuation.
 Financials:
 Accenture's stock has shown a mixed performance, with the share price fluctuating between $179.26 and $181.98 during the recent trading session. The company's dividend yield of 3.64% and a payout ratio of 21.36% suggest a relatively stable dividend policy. The firm's trailing P/E ratio of 62.97 and forward P/E of 14.79 indicate that the stock may be trading at a premium compared to the industry average.
 Valuation:
 Accenture's market capitalization stands at $318.26 billion, making it a large-cap company. The stock's 52-week range of $153.58 to $207.32 suggests a relatively wide trading range, which could indicate potential volatility. The company's price-to-sales ratio of 5.73 and price-to-book ratio of 52.77 suggest that the stock may be overvalued compared to its peers.
 Economic Outlook:
 The overall macroeconomic environment remains mixed, with concerns about persistent inflation and potential volatility in the stock market. However, the IT consulting and services industry is expected to benefit from the continued growth in emerging technologies, such as artificial intelligence and cloud computing. Accenture's strong market position and diversified service offerings may help it navigate the current economic landscape.
 Score: 75</t>
  </si>
  <si>
    <t>Investment Report:
 The recent news indicates that while the overall market dipped, Hasbro (HAS) stock gained 0.93% in the most recent trading day. This positive performance for Hasbro is noteworthy, as it suggests the company may be weathering the broader market conditions better than some of its peers.
 Hasbro's financial data shows a mixed picture. The company's valuation metrics, such as a forward P/E ratio of 12.06 and a trailing P/E ratio of 13.33, suggest the stock may be reasonably valued. However, the company's debt-to-equity ratio of 5,711.07 is quite high, which could be a concern for investors.
 On the positive side, Hasbro's profitability metrics, such as a profit margin of 8.52% and a return on equity of 11.95%, indicate the company is generating decent returns for shareholders. Additionally, the company's dividend yield of 0.89% may be attractive to income-oriented investors.
 The overall economic outlook, as discussed in the provided context, is mixed, with concerns about potential volatility, inflation, and uneven economic performance. However, the rise of emerging technologies, such as artificial intelligence, could present growth opportunities for companies like Hasbro that are well-positioned to capitalize on these trends.
 Score: 75</t>
  </si>
  <si>
    <t>Investment Report:
 W.W. Grainger, a leading industrial supply company, has not seen any significant news developments in the past week. However, the firm's latest financial data provides insights into its current performance and valuation.
 Financials:
 - The company's stock price has been trading in the range of $90.70 to $92.47 over the past trading session, with a previous close of $90.78.
 - Grainger's financial metrics, such as a trailing P/E ratio of 37.78 and a forward P/E ratio of 33.18, suggest that the stock may be trading at a premium compared to its industry peers.
 - The company's dividend yield of 0.99% and a payout ratio of 41.41% indicate a moderate level of dividend distribution.
 - Grainger's strong balance sheet, with a total cash position of $8.81 billion and a manageable debt-to-equity ratio of 69.57%, provides financial stability.
 Valuation and Economic Outlook:
 - Analysts have set a target mean price of $98.48 for Grainger's stock, suggesting a potential upside from the current trading levels.
 - The overall macroeconomic environment remains mixed, with concerns about persistent inflation and uneven economic performance. However, the industrial machinery and supplies sector is expected to benefit from the continued strength in the U.S. economy.
 - The rise of emerging technologies, particularly artificial intelligence, could present growth opportunities for Grainger and the broader industrial sector.
 Score: 75</t>
  </si>
  <si>
    <t>Investment Report:
 Recent News:
 Goldman Sachs (GS) stock gained 0.9% in the most recent trading session, but lagged the broader market. This performance reflects the mixed sentiment surrounding the investment banking firm. While Goldman Sachs is attracting investor attention, the market is closely watching the company's prospects amidst the evolving economic landscape.
 Financials:
 Goldman Sachs' latest financial data shows a mixed picture. The firm's trailing P/E ratio of 15.998 and forward P/E of 24.5 suggest that the stock may be fairly valued or slightly overvalued. However, the company's strong profitability, with a profit margin of 41.3%, and healthy balance sheet metrics, such as a current ratio of 0.558, provide some reassurance.
 Valuation and Economic Outlook:
 The stock's 52-week change of 93.6% indicates significant price appreciation, outpacing the S&amp;P 500's 24.9% change. However, the market's overall performance may be choppy in the near term, with potential volatility driven by macroeconomic and political factors. The rise of emerging technologies, particularly artificial intelligence, could also impact the financial sector and Goldman Sachs' long-term prospects.
 Score: 75</t>
  </si>
  <si>
    <t>Investment Report:
 Global Payments, a leading provider of transaction and payment processing services, has not seen any significant news developments in the past week. However, the company's latest financial data provides insights into its current performance and valuation.
 Financials:
 Global Payments' financial metrics indicate a mixed picture. The company's profitability ratios, such as profit margins and return on assets, suggest a relatively healthy financial position. However, the high debt-to-equity ratio of 74.476 may raise concerns about the company's leverage and financial risk.
 Valuation:
 The company's valuation metrics, including a forward P/E ratio of 8.817 and a price-to-book ratio of 1.261, suggest that the stock may be undervalued compared to its peers. Additionally, the consensus target price of $132.85 implies a potential upside of around 15% from the current market price.
 Economic Outlook:
 The overall macroeconomic environment remains mixed, with concerns about persistent inflation and potential volatility in the stock market. However, the continued growth in digital payments and the adoption of emerging technologies, such as artificial intelligence, could provide tailwinds for the transaction and payment processing industry, including Global Payments.
 Score: 75</t>
  </si>
  <si>
    <t>Investment Report:
 Honeywell, a leading industrial conglomerate, has not seen any significant news in the past week. However, the company's latest financial data provides insights into its current performance and valuation.
 Financials:
 Honeywell's financial metrics indicate a mixed picture. The company's profitability ratios, such as profit margins and return on assets, suggest a relatively healthy financial position. However, the high debt-to-equity ratio of 177.821 may raise concerns about the company's leverage and financial risk.
 Valuation:
 Honeywell's valuation appears to be in the middle range, with a forward P/E ratio of 20.12 and a price-to-book ratio of 8.28. The company's dividend yield of 2.04% and the average analyst price target of $246.37 suggest that the stock may be reasonably valued.
 Economic Outlook:
 The overall macroeconomic environment remains mixed, with concerns about persistent inflation and potential volatility in the stock market. However, the expected strong earnings growth in the U.S. economy and the continued development of emerging technologies, such as artificial intelligence, could provide opportunities for Honeywell to capitalize on.
 Score: 75</t>
  </si>
  <si>
    <t>Investment Report:
 Hologic (HOLX), a leading medical technology company, has seen its stock price decline more steeply than the broader market in recent trading. This performance is likely due to a combination of factors, including currency impacts and concerns about the company's overall outlook.
 Recent News:
 - Hologic's stock price fell 0.49% in the latest trading session, underperforming the broader market.
 - The company's strength in the Surgical segment has instilled optimism among investors, but currency headwinds have raised concerns.
 Financials:
 - Hologic's financial data shows a mixed picture, with a trailing P/E ratio of 22.22 and a forward P/E ratio of 15.64, indicating potential undervaluation.
 - The company's profitability metrics, such as profit margins and return on assets and equity, are relatively strong, suggesting solid financial performance.
 - However, the company's debt-to-equity ratio of 49.41 may raise some concerns about its financial leverage.
 Valuation and Economic Outlook:
 - Hologic's stock is trading at a discount to its 52-week high, with a target mean price of $85.56 and a median price of $86.00, suggesting potential upside.
 - The overall economic outlook remains mixed, with concerns about persistent inflation and uneven economic performance, which could impact the healthcare industry.
 In summary, while Hologic's recent stock performance has been weaker than the broader market, the company's financial fundamentals and growth prospects in the Surgical segment remain relatively strong. However, investors should closely monitor the impact of currency fluctuations and the broader economic environment on the company's performance.
 Score: 75</t>
  </si>
  <si>
    <t>Investment Report:
 The latest financial data for Hilton Worldwide, a leading hotel, resort, and cruise line operator, paints a mixed picture for the company's investment potential in the near term. While the firm's stock price has seen some volatility in recent trading, with the share price ranging between $388.09 and $393.98 during the day, the overall financial metrics suggest the company remains in a relatively strong position.
 The company's valuation metrics, such as a forward P/E ratio of 24.73 and a price-to-book ratio of 66.68, indicate that the stock may be trading at a premium compared to its peers. However, the firm's profitability ratios, including a profit margin of 9.45% and a return on equity of 4.05%, suggest the company is generating solid financial performance.
 The economic outlook for the hospitality industry remains cautiously optimistic, with the potential for continued recovery in travel demand, particularly in the leisure and leisure segments. However, the industry may face headwinds from persistent inflationary pressures and potential changes in consumer spending patterns.
 Overall, while Hilton Worldwide's financial position appears relatively strong, the mixed signals in the data and the uncertain economic environment suggest that investors should approach the stock with a degree of caution in the near term.
 Score: 75</t>
  </si>
  <si>
    <t>Investment Report:
 Hartford Financial (HIG) is well-positioned for growth, driven by strong performance in its Commercial Lines and Group Benefits businesses. The company's solid financial position enables prudent capital deployment, which is a positive sign.
 Recent News:
 - The company's Commercial Lines and Group Benefits segments have been contributing significantly to its overall performance, indicating the strength of its core business operations.
 - Hartford Financial's strong financial position, as evidenced by its healthy cash reserves and manageable debt levels, allows the company to make strategic investments and return capital to shareholders through dividends.
 Financials:
 - Hartford Financial's financial data shows a mixed picture, with some positive and negative indicators. The company's profitability metrics, such as profit margins and return on equity, are currently in the negative territory, which could be a concern.
 - However, the company's valuation metrics, including a forward P/E ratio of 12.9 and a price-to-book ratio of 6.2, suggest that the stock may be reasonably valued.
 - The company's dividend yield of 4.9% is also attractive, providing income to investors.
 Economic Outlook:
 - The overall macroeconomic environment remains mixed, with concerns about potential volatility, inflation, and uneven economic performance. However, the expected strong earnings growth in the U.S. stock market could provide a favorable backdrop for Hartford Financial.
 - The rise of emerging technologies, particularly artificial intelligence, could also present growth opportunities for the company in the insurance industry.
 Score: 75</t>
  </si>
  <si>
    <t>Investment Report:
 Hormel Foods, a leading packaged foods and meats company, has not seen any significant news developments in the past week. However, the firm's latest financial data provides some insights into its current performance and valuation.
 Financials:
 - Hormel's stock is trading at a price-to-earnings (P/E) ratio of 20.87, which is slightly higher than the industry average. However, its forward P/E of 16.96 suggests that the market expects the company's earnings to improve in the future.
 - The firm's dividend yield of 3.65% is relatively low compared to its historical average of 2.46%, indicating that the company may be retaining more of its earnings for growth or other strategic initiatives.
 - Hormel's profitability metrics, such as profit margins and return on assets and equity, are generally in line with industry benchmarks, suggesting a stable financial performance.
 Economic Outlook:
 - The overall macroeconomic environment remains mixed, with concerns about persistent inflation and potential volatility in the stock market. However, the expected strong earnings growth in the U.S. economy could provide a favorable backdrop for Hormel's performance.
 - The packaged foods and meats industry may face some challenges, such as rising input costs and potential changes in consumer preferences. However, Hormel's diversified product portfolio and focus on innovation could help it navigate these headwinds.
 Score: 75</t>
  </si>
  <si>
    <t>Investment Report:
 Hess Corporation, an integrated oil and gas company, has not seen any significant news developments in the past week. However, the firm's latest financial data provides some insights into its current performance and valuation.
 Financials:
 - Hess Corporation's stock price has seen a decline of around 12.5% over the past 52 weeks, underperforming the broader S&amp;P 500 index.
 - The company's profitability metrics, such as profit margins and return on assets, appear to be relatively strong, indicating a well-managed business.
 - Hess has a healthy balance sheet, with a reasonable debt-to-equity ratio and adequate liquidity as measured by the current and quick ratios.
 - The firm's dividend yield of 3.29% is slightly below the industry average, but its payout ratio of 60.94% suggests a sustainable dividend policy.
 Valuation:
 - Hess Corporation's forward P/E ratio of 20.81 is slightly higher than the industry average, suggesting that the stock may be trading at a premium.
 - However, the company's price-to-book ratio of 8.02 is within the range of its peers, indicating that the stock is not significantly overvalued.
 - Analyst recommendations for Hess Corporation are generally neutral, with a mean rating of "hold" and a target price range of $150 to $222.
 Economic Outlook:
 - The overall macroeconomic environment remains mixed, with concerns about persistent inflation and potential volatility in the stock market.
 - The integrated oil and gas industry is likely to be affected by factors such as commodity prices, geopolitical tensions, and the ongoing energy transition.
 Score: 75</t>
  </si>
  <si>
    <t>Investment Report:
 The recent financial data for Home Depot (The) in the Home Improvement Retail industry shows a mixed picture. The company's stock price has seen some volatility, with the previous close at $21.82 and the current day's trading range between $22.17 and $23.06. The company's valuation metrics, such as a trailing P/E ratio of 11.84 and a forward P/E ratio of 10.00, suggest that the stock may be undervalued compared to its earnings potential.
 The company's financial performance appears to be relatively strong, with a profit margin of 6.39% and a return on equity of 8.67%. The company also has a healthy balance sheet, with a current ratio of 0.94 and a quick ratio of 0.47. However, the company's debt-to-equity ratio of 53.70% may be a concern for some investors.
 The overall economic outlook for the Home Improvement Retail industry remains positive, with the U.S. economy expected to see strong earnings growth of 12-13% in 2025. However, the market may face some volatility due to persistent inflation concerns and uneven economic performance.
 Score: 75</t>
  </si>
  <si>
    <t>Investment Report:
 The recent financial data for HCA Healthcare, a leading healthcare facilities company, presents a mixed picture. While the firm's stock price has seen some volatility, with the share price ranging from $19.98 to $20.37 in the past week, the overall financial metrics suggest potential opportunities for investors.
 The company's valuation metrics, such as a forward P/E ratio of 54.10 and a price-to-book ratio of 1.64, indicate that the stock may be trading at a premium compared to its peers. However, the firm's strong financial performance, with a net income of $308.8 million and a healthy EBITDA margin of 54.8%, could justify the premium valuation.
 The economic outlook for the healthcare industry remains positive, with the aging population and increased demand for healthcare services driving growth. Additionally, the firm's strong market position and diversified portfolio of healthcare facilities could help it navigate any potential economic headwinds.
 While the lack of recent news may raise some concerns, the overall financial data and industry outlook suggest that HCA Healthcare could be a viable investment option for investors with a medium-term horizon. However, investors should closely monitor the firm's performance and any developments that may impact the healthcare sector.
 Score: 75</t>
  </si>
  <si>
    <t>Investment Report:
 The recent financial data for Pentair, an industrial machinery and supplies company, presents a mixed picture. While the company's stock price has seen some volatility, with the day's low at $146.10 and the day's high at $149.95, the overall financial metrics suggest a relatively stable and profitable business.
 The company's valuation metrics, such as a forward P/E ratio of 16.99 and a price-to-book ratio of 10.32, indicate that the stock may be reasonably valued, though slightly on the higher side. The company's dividend yield of 3.71% and payout ratio of 77.29% suggest a focus on shareholder returns.
 The economic outlook for the industrial machinery and supplies industry remains cautiously optimistic, with the potential for continued growth in certain sectors, such as infrastructure and renewable energy. However, concerns around inflation, supply chain disruptions, and geopolitical tensions may create some headwinds.
 Overall, Pentair's financial performance and industry outlook suggest that the company could be a suitable investment option for investors seeking exposure to the industrial machinery and supplies sector. However, investors should closely monitor the company's performance and the broader economic conditions to make an informed investment decision.
 Score: 75</t>
  </si>
  <si>
    <t>Investment Report:
 Recent News: IBM has reached a positive resolution with GlobalFoundries, settling all legal disputes and paving the way for future collaboration. This development could be beneficial for IBM, as it removes a source of uncertainty and potential legal costs. The settlement suggests that IBM and GlobalFoundries are now aligned in their strategic interests, which could lead to new opportunities for the company.
 Financials: IBM's financial data shows a mixed picture. The company's stock price has been relatively stable, trading around $207 per share. However, its valuation metrics, such as the forward P/E ratio of 24.43, suggest that the market may not be fully pricing in the company's growth potential. IBM's profitability metrics, including a profit margin of 15.35% and a return on equity of 13.59%, are respectable but not exceptional.
 Economic Outlook: The overall macroeconomic environment remains uncertain, with concerns about inflation, potential market volatility, and uneven economic performance. However, the IT consulting and services industry is expected to benefit from the continued growth of emerging technologies, such as artificial intelligence. IBM's expertise in these areas could position the company to capitalize on these trends.
 Score: 75</t>
  </si>
  <si>
    <t>Investment Report:
 Idexx Laboratories, a leading provider of diagnostic and information technology solutions for the veterinary industry, has not seen any significant news developments in the past week. However, the company's latest financial data provides insights into its current performance and valuation.
 Financials:
 Idexx Laboratories' stock has shown a mixed performance, with the share price fluctuating between $249.78 and $254.58 during the recent trading session. The company's financial metrics, such as a trailing P/E ratio of 21.69 and a forward P/E ratio of 23.27, suggest that the stock may be reasonably valued. Additionally, the company's dividend yield of 2.4% and payout ratio of 49.35% indicate a stable and sustainable dividend policy.
 Valuation:
 The company's market capitalization of $73.93 billion and enterprise value of $81.33 billion suggest that Idexx Laboratories is a sizable player in the health care equipment industry. The stock's 52-week trading range of $232.77 to $279.13 provides a sense of the stock's volatility and potential upside.
 Economic Outlook:
 The overall macroeconomic environment remains mixed, with concerns about persistent inflation and uneven economic performance. However, the expected earnings growth of 12-13% in the U.S. market during 2025 could provide a favorable backdrop for Idexx Laboratories' performance.
 Score: 75</t>
  </si>
  <si>
    <t>Investment Report:
 IDEX Corporation is a leading manufacturer of industrial machinery and components, operating in the Industrial Machinery &amp; Supplies &amp; Components industry. The company's recent financial data shows a mixed picture, with some positive indicators but also areas of concern.
 On the positive side, IDEX has a strong balance sheet, with a healthy cash position and low debt levels. The company's profitability metrics, such as profit margins and return on assets, are also relatively strong. Additionally, the stock's valuation, as measured by the forward P/E ratio, appears reasonable compared to the industry average.
 However, the company's stock price has experienced significant volatility in the past year, with the share price fluctuating between a 52-week low of $159.51 and a high of $239.35. This volatility may be attributed to broader market conditions and industry-specific challenges.
 The macroeconomic outlook for the Industrial Machinery &amp; Supplies &amp; Components industry is generally positive, with expectations of continued growth in the coming year. However, factors such as inflation, interest rate hikes, and potential policy changes could introduce uncertainty and volatility in the market.
 Overall, while IDEX Corporation appears to be a well-run company with a solid financial foundation, the current market conditions and industry-specific challenges may create some near-term headwinds. Investors should closely monitor the company's performance and the broader economic and industry trends before making any investment decisions.
 Score: 75</t>
  </si>
  <si>
    <t>Investment Report:
 Quanta Services, a leading construction and engineering firm, has not seen any significant news developments in the past week. However, the company's latest financial data provides insights into its current performance and valuation.
 Financials:
 Quanta Services' stock has shown a mixed performance, with the share price fluctuating between $159.41 and $165.66 during the recent trading session. The company's financial metrics, such as a trailing P/E ratio of 17.88 and a forward P/E ratio of 13.06, suggest that the stock may be reasonably valued. Additionally, the company's dividend yield of 2.13% and payout ratio of 36.91% indicate a stable and sustainable dividend policy.
 Valuation:
 Quanta Services' market capitalization stands at $177.59 billion, and the stock is trading at a price-to-sales ratio of 4.56, which is slightly higher than the industry average. The company's enterprise value-to-EBITDA ratio of 15.03 also suggests that the stock may be fairly valued. However, the company's 52-week high of $230.63 and the average analyst price target of $204.70 indicate potential upside for the stock.
 Economic Outlook:
 The overall macroeconomic environment remains mixed, with concerns about persistent inflation and uneven economic performance. However, the construction and engineering industry is expected to benefit from the continued development of emerging technologies, such as artificial intelligence, which could drive demand for Quanta Services' services.
 Score: 75</t>
  </si>
  <si>
    <t>Investment Report:
 Regions Financial Corporation, a regional bank operating primarily in the Southeastern United States, has not seen any significant news developments in the past week. However, the firm's latest financial data provides some insights into its current performance and valuation.
 Financials:
 Regions Financial's financial metrics show a mixed picture. The company's profitability ratios, such as profit margins and return on assets and equity, are relatively strong, indicating solid financial performance. However, the firm's debt-to-equity ratio of 9.221 suggests a higher level of leverage compared to industry peers.
 Valuation:
 The company's valuation metrics, including a forward P/E ratio of 15.76 and a price-to-book ratio of 2.63, suggest that the stock may be reasonably valued. The firm's 52-week trading range, with a low of $693 and a high of $1,211.20, also indicates potential volatility in the stock price.
 Economic Outlook:
 The overall macroeconomic environment, as summarized in the provided context, is expected to be mixed, with concerns about potential volatility, inflation, and uneven economic performance. This could have implications for the regional banking industry, including Regions Financial, in the near to medium term.
 Score: 75</t>
  </si>
  <si>
    <t>Investment Report:
 The recent news surrounding PayPal (PYPL) presents a mixed picture for the company's investment potential. On one hand, the company has a strong earnings surprise history and is expected to continue performing well in its upcoming earnings report. However, the lawsuits alleging racial bias in the company's investment programs raise concerns about potential legal and reputational risks.
 The financial data shows that PayPal is a well-established company with a solid market position. The company's valuation metrics, such as a forward P/E ratio of 20.52, suggest that the stock may be reasonably priced. Additionally, the company's profitability metrics, including a profit margin of 16.29% and a return on equity of 20.41%, indicate a healthy financial performance.
 The macroeconomic outlook for the broader market is mixed, with expectations of continued volatility and potential challenges from factors like persistent inflation and uneven economic performance. However, the rise of emerging technologies like AI is expected to offer significant growth opportunities, which could benefit companies like PayPal.
 Overall, while the recent news presents some risks, PayPal's strong financial performance and the positive long-term outlook for the industry suggest that the company may still hold investment potential. Investors should closely monitor the company's response to the lawsuits and any potential impact on its operations and reputation.
 Score: 75</t>
  </si>
  <si>
    <t>Investment Report:
 Pinnacle West, a leading multi-utilities company, has not seen any significant news developments in the past week. However, the firm's latest financial data provides insights into its current performance and valuation.
 Financials:
 Pinnacle West's stock has shown a mixed performance, with the share price fluctuating between $194.46 and $199.23 during the recent trading session. The company's dividend yield of 3.27% and a payout ratio of 52.83% suggest a stable and sustainable dividend policy. The firm's trailing and forward P/E ratios of 16.53 and 12.92, respectively, indicate that the stock may be reasonably valued.
 Valuation:
 Pinnacle West's market capitalization stands at $77.61 billion, and the stock is trading at a price-to-book ratio of 1.57, suggesting that the company's assets are not fully reflected in its current share price. The firm's 52-week trading range of $139.69 to $216.26 provides a broader perspective on its stock performance.
 Economic Outlook:
 The overall macroeconomic environment remains mixed, with concerns about potential volatility, inflation, and uneven economic performance. However, the expected strong earnings growth in the utilities sector, coupled with the rise of emerging technologies like AI, could provide opportunities for Pinnacle West to capitalize on in the medium to long term.
 Score: 75</t>
  </si>
  <si>
    <t>Investment Report:
 Recent News: Oil refiner Phillips 66 announced plans to acquire EPIC NGL in a $2.2 billion all-cash deal. This acquisition aligns with Phillips 66's strategy to expand its midstream operations and diversify its business beyond traditional refining. The market reacted positively to the news, with Phillips 66 stock rising 1.73% in the latest trading session despite a broader market slip.
 Financials: Phillips 66's recent financial data shows a mixed picture. The company's stock is trading at a forward P/E ratio of 12.35, indicating it may be undervalued compared to its earnings potential. However, the stock has also seen a 12.85% decline in the past 52 weeks, underperforming the S&amp;P 500's 24.93% increase. The company's profitability metrics, such as profit margins and return on equity, are also relatively low compared to industry peers.
 Valuation and Economic Outlook: The acquisition of EPIC NGL could provide Phillips 66 with additional growth opportunities and diversification, which may be viewed positively by investors. However, the overall economic outlook remains mixed, with concerns about persistent inflation and potential volatility in the market. The company's performance may be influenced by broader industry trends and macroeconomic factors.
 Score: 75</t>
  </si>
  <si>
    <t>Investment Report:
 Packaging Corporation of America (PKG) has a strong earnings surprise history, indicating its ability to consistently outperform market expectations. The company's recent financial data shows a mixed picture, with a high trailing P/E ratio of 379.60 and a forward P/E ratio of 159.07, suggesting potential overvaluation. However, the company's profitability metrics, such as profit margins of 18.01% and a return on equity of 12.41%, are relatively healthy.
 The macroeconomic outlook for the paper and plastic packaging industry appears cautiously optimistic, with the U.S. economy expected to see strong earnings growth of 12-13% in 2025. However, concerns about potential volatility, inflation, and uneven economic performance could create challenges for the industry.
 Overall, Packaging Corporation of America's strong earnings history, solid profitability, and the generally positive industry outlook suggest that the stock may have potential investment value. However, investors should be mindful of the potential risks and volatility in the market, as well as the company's relatively high valuation.
 Score: 75</t>
  </si>
  <si>
    <t>Investment Report:
 The recent financial data for Pool Corporation, a leading distributor in the pool and spa industry, presents a mixed picture. While the company's stock price has seen some volatility, with the share price ranging from $332.21 to $342.11 during the day, the overall financial metrics suggest a relatively strong performance.
 The company's valuation metrics, such as a forward P/E ratio of 27.64 and a price-to-book ratio of 8.84, indicate that the stock may be reasonably valued, though slightly on the higher side. The company's profitability ratios, including a profit margin of 8.42% and a return on equity of 31.46%, are also relatively strong.
 However, the company's earnings growth has been negative in the recent past, and the overall economic outlook for the industry may be a concern. The macroeconomic factors, such as the potential impact of the new administration's policies and the ongoing pandemic, could also affect the company's performance in the short to medium term.
 Overall, while Pool Corporation appears to be a well-performing company in its industry, the current market conditions and the potential economic headwinds may warrant a cautious approach. Investors should closely monitor the company's financial performance and the broader market trends before making any investment decisions.
 Score: 75</t>
  </si>
  <si>
    <t>Investment Report:
 Federal Realty Investment Trust, a leading real estate investment trust (REIT) in the retail sector, has not seen any significant news developments in the past week. However, the company's latest financial data provides insights into its current performance and valuation.
 Financials:
 - The company's stock has seen a mixed performance, with the share price fluctuating between $106.455 and $109.655 during the recent trading session.
 - Federal Realty's financial metrics, such as a dividend yield of 4.13%, a price-to-earnings ratio of 30.97, and a price-to-book ratio of 3.07, suggest the stock may be trading at a premium compared to its historical averages.
 - The company's strong balance sheet, with a total cash position of $99.8 million and a manageable debt-to-equity ratio of 135.47%, provides financial stability.
 Valuation and Economic Outlook:
 - Analysts have a mean price target of $125.40 for the stock, indicating a potential upside from the current trading levels.
 - The overall macroeconomic environment remains mixed, with concerns about inflation, uneven economic performance, and potential policy changes that could impact the retail sector.
 - The rise of emerging technologies, such as artificial intelligence, may present both opportunities and challenges for the industry, which the company will need to navigate effectively.
 Score: 75</t>
  </si>
  <si>
    <r>
      <t xml:space="preserve">Investment Report:
 Recent News: First Solar, Inc. (FSLR) has been a trending stock among </t>
    </r>
    <r>
      <rPr>
        <rFont val="&quot;Helvetica Neue&quot;"/>
        <color rgb="FF1155CC"/>
        <sz val="8.0"/>
        <u/>
      </rPr>
      <t>Zacks.com</t>
    </r>
    <r>
      <rPr>
        <rFont val="&quot;Helvetica Neue&quot;"/>
        <sz val="8.0"/>
      </rPr>
      <t xml:space="preserve"> users, indicating increased investor interest in the company. This could be due to the company's recent financial performance and industry outlook.
 Financials: First Solar's financial data shows a mixed picture. The company's stock price has seen a 20.05% increase in the past 52 weeks, outperforming the S&amp;P 500's 24.93% gain. However, the company's earnings growth has declined by 14.3%, and its revenue growth has decreased by 3% year-over-year. The company's valuation metrics, such as a forward P/E ratio of 11.87 and a price-to-book ratio of 1.56, suggest the stock may be reasonably valued.
 Economic Outlook: The overall macroeconomic environment appears to be mixed, with concerns about potential volatility, inflation, and uneven economic performance. However, the rise of emerging technologies, particularly artificial intelligence, could offer significant growth opportunities for the semiconductor industry, which includes First Solar.
 Valuation: First Solar's current stock price of $42.45 is within the range of its 52-week low of $32.29 and high of $49.07. The company's target mean price of $50.45 and median price of $51.00, as well as its "buy" recommendation from analysts, suggest the stock may have upside potential.
 In summary, while First Solar's recent financial performance has been mixed, the company's valuation and industry outlook suggest the stock may have investment potential. Investors should closely monitor the company's progress and the broader macroeconomic and industry trends to make an informed decision.
 Score: 75</t>
    </r>
  </si>
  <si>
    <t>Investment Report:
 Diamondback Energy's recent acquisition of Endeavor Energy Resources is expected to yield significant cost savings and operational efficiencies. The company's breakeven point has dropped to $37 per barrel, one of the lowest in the upstream industry, indicating improved profitability.
 The company's financial data shows a mixed picture. While the stock price has declined by 37.5% over the past 52 weeks, the S&amp;P 500 has increased by 24.9% during the same period. The company's forward P/E ratio of 39.4 suggests that the stock may be overvalued compared to its earnings growth potential.
 However, the company's strong balance sheet, with a quick ratio of 2.033 and a current ratio of 2.458, suggests that it is well-positioned to weather any market volatility. Additionally, the company's high return on equity of 32.1% indicates that it is generating strong returns for its shareholders.
 The overall economic outlook for the oil and gas industry remains uncertain, with concerns about inflation and potential policy changes. However, the continued development of emerging technologies, such as artificial intelligence, could provide growth opportunities for the industry.
 Score: 75</t>
  </si>
  <si>
    <t>Investment Report:
 Recent News: FedEx (FDX) has been navigating a challenging environment, with weakening demand and rising costs impacting its operations. The company has announced cost-cutting measures, including the closure of over 90 FedEx Office locations and the retirement of older aircraft, in an effort to improve profitability. These actions come as FedEx faces a slowdown in global trade and a potential recession, which have weighed on its financial performance.
 Financials: FedEx's latest financial data shows a mixed picture. While the company's revenue remains strong, with a 13.9% year-over-year growth, its earnings growth has declined by 13.3%. The company's profit margins have also been under pressure, with the operating margin at 7.6%. However, FedEx's balance sheet remains relatively healthy, with a current ratio of 1.28 and a quick ratio of 1.15.
 Valuation: FedEx's valuation metrics present a compelling case. The stock is trading at a forward P/E ratio of 12.05, which is lower than the industry average. Additionally, the company's dividend yield of 2% provides some income for investors.
 Economic Outlook: The macroeconomic environment remains uncertain, with concerns about a potential recession and ongoing trade tensions. However, the overall outlook for the logistics industry remains positive, as the demand for e-commerce and global trade is expected to continue growing in the long term.
 Score: 75</t>
  </si>
  <si>
    <t>Investment Report:
 The recent news that F5 (FFIV) has been upgraded to a Zacks Rank #2 (Buy) suggests growing optimism about the company's earnings prospects. This upgrade reflects the market's positive sentiment towards the stock, indicating potential upside in the near future.
 Financially, F5 appears to be in a strong position. The company's financial data shows a healthy balance sheet, with a current ratio of 1.416 and a quick ratio of 0.983, indicating good liquidity. Additionally, the company's profitability metrics, such as profit margins, return on assets, and return on equity, are relatively strong, suggesting the business is generating solid earnings.
 The economic outlook for the Communications Equipment industry, in which F5 operates, is mixed. While the overall U.S. stock market is expected to see strong earnings growth in 2025, there are concerns about potential volatility and uneven economic performance. However, the rise of emerging technologies, such as artificial intelligence, could provide significant growth opportunities for companies in the industry.
 Given the positive news surrounding the company's Zacks Rank upgrade, the firm's solid financial position, and the mixed economic outlook for the industry, the potential investment value of F5, Inc. in the near term appears to be moderately favorable.
 Score: 75</t>
  </si>
  <si>
    <t>Investment Report:
 Fiserv, a leading provider of transaction and payment processing services, has not seen any significant news developments in the past week. However, the company's latest financial data provides insights into its current performance and valuation.
 Financials:
 Fiserv's stock has shown a mixed performance, with the share price fluctuating between $49.175 and $50.63 during the recent trading session. The company's dividend yield stands at 4.67%, and its payout ratio is 19.03%, indicating a relatively stable dividend policy. The firm's trailing P/E ratio of 4.07 suggests that the stock may be undervalued compared to its earnings, while the forward P/E ratio of 10.71 indicates potential growth expectations.
 Valuation and Outlook:
 Fiserv's market capitalization of $6.2 billion and enterprise value of $10 billion suggest that the company is a sizable player in the transaction and payment processing industry. The stock's 52-week range of $47.71 to $68.72 highlights the volatility it has experienced over the past year. Analysts have a mean price target of $70.62, with a median target of $65.56, indicating potential upside from the current trading levels.
 Economic Outlook:
 The overall macroeconomic environment remains mixed, with concerns about persistent inflation and uneven economic performance. However, the continued growth in digital payments and the rise of emerging technologies, such as artificial intelligence, could provide tailwinds for Fiserv's business. The company's strong market position and diversified service offerings may help it navigate the current economic challenges.
 Score: 75</t>
  </si>
  <si>
    <t>Investment Report:
 Rockwell Automation, a leading provider of industrial automation and information solutions, has not seen any significant news developments in the past week. However, the company's latest financial data provides insights into its current performance and valuation.
 Financials:
 Rockwell Automation's stock has shown a mixed performance, with the share price fluctuating between $281.03 and $287.48 in the recent trading session. The company's dividend yield of 1.86% and a payout ratio of 60.39% suggest a relatively stable dividend policy. The firm's trailing P/E ratio of 34.03 and forward P/E ratio of 24.62 indicate that the stock may be trading at a premium compared to the industry average.
 Valuation and Outlook:
 Rockwell Automation's market capitalization stands at $31.8 billion, with a price-to-sales ratio of 3.85, suggesting the stock may be fairly valued. The company's enterprise value-to-EBITDA ratio of 22.04 is on the higher side, which could be a concern for some investors.
 The overall macroeconomic outlook, as discussed in the provided context, indicates a mixed picture for the U.S. economy and stock market. While the technology and semiconductor sectors are expected to lead the market, there are concerns about potential volatility, inflation, and uneven economic performance.
 Score: 75</t>
  </si>
  <si>
    <t>Investment Report:
 Rollins, Inc. is a leading provider of environmental and facilities services, operating in the Environmental &amp; Facilities Services industry. The company's recent financial data shows a mixed picture, with some positive and negative indicators.
 Financials:
 - The company's stock price has seen a slight decline in the past week, with the previous close at $514.64.
 - Rollins has a strong balance sheet, with a market capitalization of over $54 billion and a healthy cash position of $269.6 million.
 - However, the company's debt-to-equity ratio of 45.241 is relatively high, which could be a concern for investors.
 - Profitability metrics, such as profit margins and return on equity, are generally strong, indicating the company's operational efficiency.
 Valuation:
 - Rollins' valuation metrics, including a forward P/E ratio of 25.265 and a price-to-book ratio of 2.937, suggest the stock may be reasonably valued.
 - The company's dividend yield of 0.65% is relatively low, but it has a payout ratio of 16.58%, indicating potential for future dividend growth.
 Economic Outlook:
 - The overall macroeconomic environment remains mixed, with concerns about inflation and potential volatility in the stock market.
 - However, the Environmental &amp; Facilities Services industry is generally considered defensive and less sensitive to economic fluctuations, which could benefit Rollins.
 In summary, Rollins, Inc. appears to be a well-established company with a strong financial position and operational efficiency. While the current macroeconomic conditions may present some challenges, the company's defensive industry positioning and reasonable valuation could make it an attractive investment option for the next month.
 Score: 75</t>
  </si>
  <si>
    <t>Investment Report:
 The recent financial data for Ross Stores, a leading apparel retailer, shows a mixed picture. The company's stock price has been relatively stable, with the previous close at $154.25 and the current day's trading range between $154.11 and $157.25. The company's valuation metrics, such as the trailing P/E ratio of 24.40 and the forward P/E ratio of 22.96, suggest that the stock may be reasonably valued.
 However, the lack of recent news could indicate a period of relative calm for the company, which may not necessarily translate into strong future performance. The economic outlook for the retail sector remains uncertain, with concerns about inflation, consumer spending, and potential changes in the political landscape.
 The company's financial ratios, such as the quick ratio of 0.995 and the current ratio of 1.558, suggest a relatively healthy balance sheet. Additionally, the company's profitability metrics, including a profit margin of 9.82% and a return on equity of 43.24%, are relatively strong.
 Overall, the current situation for Ross Stores appears to be stable, but the lack of recent news and the uncertain economic environment may create some uncertainty for investors in the short term. Investors should closely monitor the company's performance and any developments in the broader retail sector that may impact its future prospects.
 Score: 75</t>
  </si>
  <si>
    <t>Investment Report:
 Recent News: Shares of industrial gas company Air Products (APD) declined by 13.2% in December, which is a reaction to administrative matters rather than end markets or operational issues. The upcoming Annual General Meeting could be a significant event for the company, as investors may scrutinize how the company is being run.
 Financials: Air Products' financial data shows a mixed picture. The company has a relatively low trailing P/E ratio of 16.42 and a forward P/E ratio of 20.05, indicating potential undervaluation. However, its debt-to-equity ratio of 79.82 is relatively high, which could be a concern. The company's profitability metrics, such as profit margins and return on equity, are generally strong.
 Valuations: Air Products' valuation metrics are also mixed. The company's price-to-sales ratio of 5.21 is relatively high, but its price-to-book ratio of 3.70 is more reasonable. The company's dividend yield of 2.49% is also relatively low compared to its historical average.
 Economic Outlook: The overall macroeconomic outlook for the industrial gases industry is generally positive, with strong earnings growth expectations. However, concerns about potential volatility, inflation, and uneven economic performance could create challenges for the industry.
 Score: 75</t>
  </si>
  <si>
    <t>Investment Report:
 APA Corporation, an oil and gas exploration and production company, has not seen any significant news developments in the past week. However, the firm's latest financial data provides insights into its current performance and valuation.
 Financials:
 - The company's stock price has fluctuated within a range of $348.155 to $354.8 over the past trading day, with a previous close of $353.98.
 - APA's financial metrics, such as a trailing P/E ratio of 29.86 and a forward P/E ratio of 20.03, suggest the stock may be reasonably valued compared to its earnings potential.
 - The company's dividend yield of 0.77% and payout ratio of 22.09% indicate a moderate level of dividend distribution.
 - APA's strong balance sheet, with a total cash position of $1.18 billion and a current ratio of 1.07, suggests financial stability.
 Valuation and Economic Outlook:
 - Analysts have a target mean price of $383.87 for APA, implying a potential upside from the current trading levels.
 - The overall macroeconomic environment, with expectations of continued earnings growth and a mixed outlook for the U.S. economy, may impact the performance of the oil and gas industry, including APA.
 - Factors such as inflation, interest rate movements, and geopolitical developments could influence the company's operations and stock price in the near to medium term.
 Score: 75</t>
  </si>
  <si>
    <t>Investment Report:
 Ford Motor Company has seen a mixed performance in recent months, with both positive and concerning developments. On the positive side, the company's electric Mustang Mach-E has surpassed sales of its traditional Mustang model, indicating strong consumer demand for its electric vehicles. Additionally, Ford's Q4 2024 U.S. sales increased 9% year-over-year, driven by strong retail sales growth and continued leadership in the F-Series pickup truck segment.
 However, the company has also faced some challenges, including a recall of nearly 400,000 trucks, SUVs, and cars due to various issues. Additionally, the company is recalling 20,000 hybrid SUVs over battery concerns, which could impact customer confidence and potentially affect future sales.
 Financially, Ford's stock has shown a mixed performance, with the share price fluctuating between $205 and $209 in recent trading sessions. The company's valuation metrics, such as a forward P/E ratio of 20.16 and a price-to-book ratio of 4.22, suggest that the stock may be reasonably valued, but investors should closely monitor the company's financial performance and any potential impact from the recent recalls.
 The overall macroeconomic outlook for the U.S. economy remains cautiously optimistic, with expectations of strong earnings growth in 2025. However, concerns about persistent inflation, uneven economic performance, and potential policy changes could contribute to market volatility in the near term.
 Score: 75</t>
  </si>
  <si>
    <t>Investment Report:
 Electronic Arts (EA), a leading interactive entertainment company, has not seen any significant news developments in the past week. However, the firm's latest financial data provides insights into its current performance and valuation.
 Financials:
 - The company's stock has shown a mixed performance, with the share price fluctuating between $144.60 and $146.25 over the past trading day.
 - Electronic Arts' financial metrics, such as a trailing P/E ratio of 37.15 and a forward P/E ratio of 17.09, suggest the stock may be trading at a premium compared to the industry average.
 - The company's profitability indicators, including a profit margin of 14.12% and a return on equity of 13.96%, indicate a relatively strong financial position.
 Valuation:
 - The stock's current market capitalization of $38.1 billion and an enterprise value of $37.8 billion suggest the market is valuing the company at a premium.
 - The price-to-sales ratio of 5.14 and the price-to-book ratio of 5.16 further support the notion that Electronic Arts' stock may be trading at a higher valuation compared to its peers.
 Economic Outlook:
 - The overall macroeconomic environment remains mixed, with concerns about persistent inflation and potential volatility in the stock market.
 - However, the interactive entertainment industry, in which Electronic Arts operates, is expected to continue benefiting from the growing demand for digital gaming and the rise of emerging technologies like artificial intelligence.
 Score: 75</t>
  </si>
  <si>
    <t>Investment Report:
 Recent News: The latest news on DaVita (DVA) stock suggests that value investors may find the company's shares attractive. The stock has seen a 10.1% increase in the past 52 weeks, outperforming the S&amp;P 500's 24.9% gain during the same period. This performance indicates that the market is recognizing the potential in DaVita's business model and financial position.
 Financials: DaVita's financial data shows a mixed picture. The company's trailing P/E ratio of 216.88 is significantly higher than the industry average, suggesting the stock may be overvalued. However, the forward P/E ratio of 33.14 is more reasonable, indicating that the market expects the company's earnings to improve in the future. Additionally, DaVita's profit margins of 3.12% and return on equity of 2.19% are relatively low, which could be a concern for value-oriented investors.
 Valuation: The stock's current trading price of $72.52 is within the 52-week range of $47.08 to $82.69, suggesting that the market has not fully priced in the company's potential. The target mean price of $84.06 and the target median price of $84.50 indicate that analysts believe the stock has room for upside.
 Economic Outlook: The overall macroeconomic environment is expected to be mixed, with concerns about inflation and potential volatility in the market. However, the healthcare sector, in which DaVita operates, is generally considered a defensive industry that can withstand economic fluctuations. The continued development and adoption of emerging technologies, such as artificial intelligence, could also benefit companies like DaVita in the long run.
 Score: 75</t>
  </si>
  <si>
    <t>Investment Report:
 Aptiv PLC (APTV) has been outperforming the broader market, with the stock closing at $61.38, reflecting a 1.4% increase compared to its previous close. This performance suggests that the company is navigating the current market conditions relatively well.
 The recent news highlights that investors have been closely following Aptiv, indicating a strong interest in the stock. The company's financial data shows a mixed picture, with a trailing P/E ratio of 6.09 and a forward P/E ratio of 10.07, suggesting potential undervaluation. However, the stock's 52-week range of $74.85 to $116.47 and a current market capitalization of $34.14 billion suggest that the market is still assigning significant value to the company.
 The macroeconomic outlook for the automotive parts and equipment industry remains cautious, with concerns about persistent inflation, uneven economic performance, and potential policy changes. However, the rise of emerging technologies, such as artificial intelligence, could offer growth opportunities for companies like Aptiv that are well-positioned in the industry.
 Overall, Aptiv's recent performance, financial data, and the broader industry outlook suggest that the stock may have some investment potential in the near term. However, investors should closely monitor the company's performance and the evolving market conditions to make informed decisions.
 Score: 75</t>
  </si>
  <si>
    <t>Investment Report:
 Everest Group (EG) remains well-positioned in the reinsurance industry, trading at a discount to its peers at a price-to-earnings (P/E) ratio of 26.8x compared to the industry average of 27.1x. The recent news highlights the company's strong renewal retention, continued favorable rate increases, and prudent capital deployment, which are positive indicators for its future performance.
 Financially, Everest Group's key metrics show a mixed picture. While the company's profitability ratios, such as profit margins and return on assets, are relatively low, it maintains a strong balance sheet with a healthy cash position and manageable debt levels. The company's dividend yield of 1.9% is also in line with the industry average.
 The macroeconomic outlook for the reinsurance industry remains cautiously optimistic, with the potential for continued rate hardening and growth in demand for reinsurance products. However, the market may face challenges from persistent inflation, uneven economic performance, and potential policy changes, which could impact the overall performance of the sector.
 Given Everest Group's current valuation, its solid financial position, and the industry's positive outlook, the stock may be worth holding for the medium to long term. Investors should closely monitor the company's performance and any changes in the broader market and industry conditions that could affect its future prospects.
 Score: 75</t>
  </si>
  <si>
    <t>Investment Report:
 Enphase Energy (ENPH), a leading player in the semiconductor materials and equipment industry, has seen its stock price advance slightly in the most recent trading session, closing at $72.15, a 1.11% increase from the previous day. However, the stock's performance has underperformed the broader market.
 The company's recent financial data paints a mixed picture. While Enphase Energy's profitability metrics, such as profit margins and return on equity, appear strong, the company's free cash flow has been negative, indicating potential challenges in generating sufficient cash flow to fund its operations and growth initiatives.
 The macroeconomic outlook for the semiconductor industry remains cautiously optimistic, with the sector expected to benefit from the continued adoption of emerging technologies, such as artificial intelligence and renewable energy solutions. However, concerns over persistent inflation and potential policy changes could introduce volatility in the market.
 Enphase Energy's position as a leading player in the semiconductor materials and equipment industry, coupled with the positive long-term outlook for the sector, suggests that the company may have the potential to deliver solid returns for investors. However, the current market conditions and the company's financial performance warrant a cautious approach, as the stock may face near-term volatility.
 Score: 75</t>
  </si>
  <si>
    <t>Investment Report:
 Invesco, a leading asset management firm, has not seen any significant news developments in the past week. However, the company's financial data provides insights into its current performance and valuation.
 Financials:
 Invesco's stock has shown a mixed performance, with the share price fluctuating between $532.15 and $543.73 during the day. The company's trailing P/E ratio of 86.918274 and forward P/E ratio of 69.03745 suggest that the stock may be trading at a premium compared to the industry average. Additionally, Invesco's profit margins of 28.513% indicate strong profitability.
 Valuation:
 The company's market capitalization of $193.18 billion and enterprise value of $189.04 billion suggest that Invesco is a large and well-established player in the asset management industry. The stock's 52-week range of $325.77 to $556.23 highlights the volatility the company has experienced over the past year.
 Economic Outlook:
 The overall macroeconomic environment is expected to be mixed, with concerns about potential volatility, inflation, and uneven economic performance. However, the rise of emerging technologies, particularly artificial intelligence, could present significant growth opportunities for the asset management industry.
 Score: 75</t>
  </si>
  <si>
    <t>Investment Report:
 Illinois Tool Works (ITW) is an industrial machinery and equipment manufacturer operating in the Industrial Machinery &amp; Supplies &amp; Components industry. The company's recent financial data shows a mixed picture, with a high trailing P/E ratio of 799.0 but a more reasonable forward P/E of 11.87. The stock's 52-week trading range of $50.35 to $83.95 indicates potential volatility.
 The macroeconomic outlook for the industrial sector is cautiously optimistic, with expectations of continued earnings growth but also concerns about potential market choppiness and uneven economic performance. The rise of emerging technologies, particularly artificial intelligence, could present both opportunities and challenges for companies like ITW.
 While there are no recent news updates on the company, the financial data suggests ITW may be a relatively stable investment option in the industrial machinery space. The company's strong market capitalization, institutional ownership, and reasonable valuation metrics could make it an attractive choice for investors seeking exposure to the industrial sector.
 However, investors should closely monitor the company's performance and any developments in the broader macroeconomic and political landscape that could impact the industrial machinery industry.
 Score: 75</t>
  </si>
  <si>
    <t>Investment Report:
 Keysight Technologies, a leading provider of electronic measurement and test equipment, has not seen any significant news developments in the past week. However, the company's latest financial data provides insights into its current performance and valuation.
 Financials:
 Keysight's stock has shown a mixed performance, with the share price fluctuating between $150.65 and $154.73 in the recent trading session. The company's trailing P/E ratio of 46.67 and forward P/E ratio of 24.69 suggest that the stock may be trading at a premium compared to the industry average. However, the company's strong financial metrics, such as a profit margin of 10.75% and a return on equity of 8.28%, indicate its ability to generate consistent profitability.
 Valuation:
 Keysight's market capitalization of $139.1 billion and enterprise value of $184 billion suggest that the company is well-established in the electronic equipment and instruments industry. The stock's 52-week trading range of $80.2 to $163.68 and the current share price of around $152 indicate that the stock may be trading within its fair value range.
 Economic Outlook:
 The overall macroeconomic environment remains mixed, with concerns about potential volatility, inflation, and uneven economic performance. However, the expected strong earnings growth in the technology sector, particularly in the semiconductor industry, could benefit Keysight's performance in the near term.
 Score: 75</t>
  </si>
  <si>
    <t>Investment Report:
 Kellanova (K) is a leading player in the Packaged Foods &amp; Meats industry, known for its strong momentum and growth potential. The recent news highlights that the company is a top-ranked momentum stock, indicating its ability to outperform the market.
 The latest financial data shows that Kellanova is in a solid financial position, with a market capitalization of nearly $28 billion and a healthy balance sheet. The company's profitability metrics, such as profit margins and return on assets, are also impressive, suggesting strong operational efficiency.
 However, the firm's valuation metrics, including a forward P/E ratio of 20.70 and a price-to-book ratio of 7.67, suggest that the stock may be trading at a premium compared to its peers. This could be a concern for investors looking for value opportunities.
 The overall macroeconomic outlook remains mixed, with the U.S. economy expected to see strong earnings growth but also facing potential volatility and challenges from factors like persistent inflation and uneven economic performance. The political landscape and the rise of emerging technologies, particularly AI, could also have a significant impact on the company's future prospects.
 Given the mixed signals, investors should carefully consider Kellanova's fundamentals, growth potential, and valuation before making an investment decision.
 Score: 75</t>
  </si>
  <si>
    <t>Investment Report:
 The recent financial data for Extra Space Storage, a leading self-storage REIT, presents a mixed picture. While the company's stock price has shown some volatility, with the share price ranging from $107.52 to $109.78 in the past week, the overall financial metrics suggest a relatively stable and well-performing business.
 The company's dividend yield of 3.68% and payout ratio of 47.32% indicate a healthy and sustainable dividend policy. The trailing P/E ratio of 13.42 and forward P/E ratio of 13.13 suggest the stock is reasonably valued compared to its peers. Additionally, the company's strong balance sheet, with a low debt-to-equity ratio of 15.39% and a quick ratio of 0.98, provides financial stability.
 However, the recent earnings growth of -5.1% and revenue growth of -1.5% may raise some concerns about the company's near-term performance. The overall economic outlook, with potential volatility and mixed signals, could also impact the self-storage industry and Extra Space Storage's performance.
 Given the mixed signals and the broader economic uncertainty, the investment value of Extra Space Storage for the next month is assessed as:
 Score: 75</t>
  </si>
  <si>
    <t>Investment Report:
 Recent News:
 JPMorgan Chase &amp; Co. (JPM) stock has underperformed the broader market gains, closing at $240.85 in the latest trading session, a 1% decline from the prior day. However, the company has an impressive earnings surprise history and is expected to beat estimates in its upcoming earnings report. This suggests that the stock may have potential upside despite the recent dip.
 Financials:
 JPMorgan Chase's financial data shows a mixed picture. The company has a high trailing P/E ratio of 38.11, indicating that the stock may be overvalued. However, its forward P/E ratio of 19.27 suggests that the market expects the company to grow its earnings in the future. Additionally, the company has a strong balance sheet, with a current ratio of 0.935 and a quick ratio of 0.557, indicating adequate liquidity.
 Valuations:
 JPMorgan Chase's valuation metrics are somewhat mixed. The stock's price-to-book ratio of 3.28 is above the industry average, suggesting that the stock may be overvalued. However, the company's price-to-sales ratio of 2.29 is in line with the industry average, indicating that the stock may be fairly valued.
 Economic Outlook:
 The overall macroeconomic outlook for the U.S. economy is mixed, with concerns about persistent inflation and uneven economic performance. However, the market is expected to be up 10-15% this year, driven by strong earnings growth. The rise of emerging technologies, such as artificial intelligence, could also provide significant growth opportunities for the financial sector.
 Score: 75</t>
  </si>
  <si>
    <t>Investment Report:
 Exelon, a leading electric utilities company, has not seen any significant news developments in the past week. However, the firm's latest financial data provides insights into its current performance and valuation.
 Financials:
 Exelon's stock is trading at a price of $37.76 per share, with a 52-week range of $33.35 to $41.19. The company's dividend yield stands at 4.02%, and its payout ratio is 61.73%, indicating a relatively high level of dividend distribution. The firm's trailing P/E ratio of 15.56 and forward P/E ratio of 14.37 suggest that the stock may be reasonably valued compared to its earnings.
 Valuation:
 Exelon's market capitalization is $37.98 billion, and its enterprise value is $83.48 billion. The company's price-to-sales ratio of 1.66 and price-to-book ratio of 1.43 suggest that the stock may be trading at a discount compared to its intrinsic value.
 Economic Outlook:
 The overall macroeconomic environment remains mixed, with concerns about persistent inflation and potential volatility in the stock market. However, the electric utilities sector is generally considered a defensive investment, as it tends to be less affected by economic fluctuations. Additionally, the continued focus on renewable energy and grid modernization may provide growth opportunities for Exelon.
 Score: 75</t>
  </si>
  <si>
    <t>Investment Report:
 Steel Dynamics, a leading steel producer in the United States, has not seen any significant news developments in the past week. However, the company's latest financial data provides insights into its current performance and valuation.
 Financials:
 Steel Dynamics' financial metrics indicate a mixed picture. The company's stock price has seen a decline of around 8% over the past 52 weeks, underperforming the broader S&amp;P 500 index. The company's trailing P/E ratio of 34.23 is relatively high, suggesting that the stock may be overvalued compared to its earnings. However, the forward P/E ratio of 20.53 suggests that the market expects the company's earnings to improve in the future.
 Valuation:
 The company's current market capitalization of $20.14 billion and enterprise value of $22.38 billion suggest that the stock is trading at a reasonable valuation. The price-to-sales ratio of 3.78 and price-to-book ratio of 3.05 are within the industry's average range, indicating that the stock is not significantly overpriced.
 Economic Outlook:
 The overall macroeconomic environment remains mixed, with concerns about persistent inflation and potential volatility in the stock market. However, the steel industry is expected to benefit from the continued strength in the U.S. economy and the potential for infrastructure spending under the new administration.
 Score: 75</t>
  </si>
  <si>
    <t>Investment Report:
 Sempra, a leading multi-utilities company, has not seen any significant news developments in the past week. However, the firm's latest financial data provides insights into its current performance and valuation.
 Financials:
 Sempra's financial metrics indicate a mixed picture. While the company's revenue and earnings growth have been positive, its valuation ratios, such as the high forward P/E of 64.89, suggest that the stock may be trading at a premium. Additionally, the firm's debt-to-equity ratio of 24.17% could be a concern, as it may limit the company's financial flexibility.
 Valuation:
 Sempra's stock price has seen a 53.69% increase over the past 52 weeks, outperforming the S&amp;P 500's 24.93% rise. The company's target mean price of $1,071.37 suggests a potential upside, but the target low price of $716 indicates a possible downside risk.
 Economic Outlook:
 The overall macroeconomic environment remains mixed, with concerns about persistent inflation and uneven economic performance. However, the expected strong earnings growth in the U.S. market could provide a favorable backdrop for Sempra's performance.
 Score: 75</t>
  </si>
  <si>
    <t>Investment Report:
 S&amp;P Global, a leading provider of financial data and analytics, has seen its stock price fluctuate in recent trading sessions, with the share price ranging from a low of $227.42 to a high of $232.59. The company's financial data shows a mixed picture, with a strong dividend yield of 0.96% and a relatively low forward P/E ratio of 15.78, suggesting potential value. However, the company's debt-to-equity ratio of 298.39 is quite high, which could be a concern for some investors.
 The macroeconomic outlook for the financial exchanges and data industry remains cautiously optimistic, with expectations of continued earnings growth in the sector. However, the potential impact of factors such as persistent inflation and uneven economic performance could introduce volatility in the market.
 Overall, while S&amp;P Global's financial metrics and industry outlook suggest potential investment value, the high debt levels and broader market uncertainty may warrant a more cautious approach in the near term.
 Score: 75</t>
  </si>
  <si>
    <t>Investment Report:
 The recent financial data for Snap-on, a company in the Industrial Machinery &amp; Supplies &amp; Components industry, presents a mixed picture. While the company's stock price has seen some volatility, with the current day's trading range between $173.93 and $175.88, the overall financial metrics suggest a relatively strong performance.
 The company's valuation metrics, such as a forward P/E ratio of 26.87 and a price-to-book ratio of 21.30, indicate that the stock may be trading at a premium compared to its peers. However, the company's profitability ratios, including a profit margin of 41.48% and a return on equity of 81.23%, suggest that the business is generating healthy profits.
 The macroeconomic outlook for the industrial machinery and supplies sector is generally positive, with the U.S. economy expected to see strong earnings growth in 2025. However, the market may face some volatility due to concerns about persistent inflation, uneven economic performance, and potential policy changes.
 Overall, while Snap-on's financial performance appears strong, the current valuation and the potential market volatility may warrant a cautious approach. Investors should closely monitor the company's financial results and industry developments to make an informed investment decision.
 Score: 75</t>
  </si>
  <si>
    <t>Investment Report:
 Skyworks Solutions, a leading semiconductor manufacturer, has faced some challenges in its Mobile segment recently. The company experienced a 12% revenue decline from Apple, its largest customer, attributed to a 10% content loss. This underperformance in the Mobile segment, despite a recovering smartphone market, suggests that Skyworks is losing market share to competitors like Qualcomm.
 The company's focus on high-end partnerships with Google and Samsung may limit its growth potential in the expanding low-end smartphone market. This strategic decision could be a contributing factor to the revenue decline, as the company may not be well-positioned to capitalize on the growth in the budget-friendly smartphone segment.
 The latest financial data shows that Skyworks' valuation metrics, such as the forward P/E ratio of 10.36, suggest the stock may be undervalued compared to its historical performance. However, the company's profitability metrics, including a profit margin of 8.77% and a return on equity of 10.09%, indicate that the firm is still generating solid financial results.
 The overall macroeconomic outlook, with expectations of strong earnings growth and continued resilience in the labor market, could provide a favorable environment for Skyworks. However, the potential volatility in the market and concerns about persistent inflation may pose challenges for the company in the near term.
 Score: 75</t>
  </si>
  <si>
    <t>Investment Report:
 Recent News: Stanley Black &amp; Decker (SWK) is considered a strong value stock, according to Zacks. The company's financial data shows a mixed picture, with a low forward P/E ratio of 14.99 and a decent dividend yield of 3.97%. However, the company has faced some challenges, with negative profit margins and a decline in revenue growth.
 Financials: Stanley Black &amp; Decker's financial data indicates a company in transition. The firm's profitability metrics, such as profit margins and return on equity, are negative, suggesting operational challenges. However, the company maintains a strong balance sheet, with a reasonable debt-to-equity ratio and healthy cash flow. The firm's valuation, as reflected in its low forward P/E and price-to-book ratios, suggests it may be undervalued.
 Valuations: Stanley Black &amp; Decker's valuation metrics, including a forward P/E of 14.99 and a price-to-book ratio of 1.44, indicate the stock may be undervalued compared to its peers. The company's dividend yield of 3.97% is also attractive, though its payout ratio of 30% suggests the dividend may not be the primary driver of the stock's performance.
 Economic Outlook: The overall macroeconomic environment is expected to be mixed, with concerns about inflation, uneven economic performance, and potential policy changes. However, the rise of emerging technologies, such as artificial intelligence, could provide growth opportunities for industrial machinery and supplies companies like Stanley Black &amp; Decker.
 Score: 75</t>
  </si>
  <si>
    <t>Investment Report:
 Edwards Lifesciences is a leading medical device company that specializes in the development and manufacturing of products for the treatment of structural heart diseases and critical care monitoring. The company's recent financial data shows a mixed picture, with the stock trading at a forward P/E ratio of 29.86, indicating a relatively high valuation compared to its trailing P/E of 28.39.
 The company's financial metrics, such as profitability margins, return on assets, and return on equity, appear to be strong, suggesting a healthy financial position. However, the stock has underperformed the broader S&amp;P 500 index over the past 52 weeks, with a decline of 2.53%.
 The macroeconomic outlook for the healthcare equipment industry remains positive, with the aging population and the increasing prevalence of chronic diseases driving demand for medical devices. However, the industry also faces challenges, such as pricing pressures, regulatory changes, and competition from new entrants.
 Given the company's strong financial performance, leading market position, and the positive industry outlook, Edwards Lifesciences could be an attractive investment option for investors seeking exposure to the healthcare equipment sector. However, the relatively high valuation and the potential industry challenges should be carefully considered.
 Score: 75</t>
  </si>
  <si>
    <t>Investment Report:
 Entergy, a leading electric utility company, operates in a stable industry with a mixed economic outlook. The firm's recent financial data shows a solid financial position, with a strong balance sheet, healthy profitability, and a stable dividend yield. However, the company's earnings growth has been negative, and the stock's valuation, as measured by the forward P/E ratio, is slightly above the industry average.
 The macroeconomic environment is expected to be mixed, with the U.S. economy facing potential volatility and uneven performance. While the technology and semiconductor sectors are expected to lead the market, the overall market outlook remains cautious, with concerns about persistent inflation and the potential impact of political and economic developments.
 Given the firm's stable financial position, attractive dividend yield, and the mixed economic outlook, Entergy's investment value for the next month is considered moderately positive.
 Score: 75</t>
  </si>
  <si>
    <t>Investment Report:
 The recent financial data for Starbucks Corporation, a leading global coffee company, presents a mixed picture. While the company's stock price has seen some volatility, with the day's high reaching $94.50, the overall financial metrics suggest a relatively strong position.
 Starbucks' valuation metrics, such as the forward P/E ratio of 24.94 and the price-to-sales ratio of 2.92, indicate that the stock may be reasonably valued compared to its peers. The company's profitability, as reflected in its profit margins of 10.4%, also appears to be healthy.
 However, the company's earnings growth has been negative in the recent past, which could be a concern for investors. Additionally, the company's debt levels, as indicated by the total debt of $25.8 billion, may be a factor to consider.
 The overall economic outlook, as discussed in the provided macroeconomic summary, suggests a mixed picture, with potential volatility and uneven performance across different sectors. This could impact the performance of the restaurant industry, in which Starbucks operates.
 Score: 75</t>
  </si>
  <si>
    <t>Investment Report:
 Expedia Group, a leading player in the Hotels, Resorts &amp; Cruise Lines industry, has not seen any significant news in the past week. However, the company's latest financial data provides some insights into its current performance and valuation.
 Financials:
 - Expedia's stock is trading at a forward P/E ratio of 13.08, indicating a relatively attractive valuation compared to its trailing P/E of 24.02.
 - The company's profitability metrics, such as profit margins (7.97%) and return on equity (38.56%), suggest a healthy financial position.
 - Expedia's balance sheet shows a significant amount of debt, with a debt-to-equity ratio of 255.42, which could be a concern for some investors.
 Economic Outlook:
 - The overall macroeconomic environment remains mixed, with concerns about persistent inflation and potential volatility in the stock market.
 - However, the travel and tourism industry is expected to continue its recovery, which could benefit Expedia's performance.
 Valuation and Risks:
 - Expedia's stock is trading near its 52-week high of $192.34, with a target mean price of $190.53 from analysts.
 - The company's overall risk profile is relatively high, with elevated risks in areas such as compensation, shareholder rights, and board structure.
 Score: 75</t>
  </si>
  <si>
    <t>Investment Report:
 Seagate Technology, a leading provider of data storage solutions, has not seen any significant news developments in the past week. However, the company's latest financial data provides insights into its current performance and valuation.
 Financials:
 Seagate's stock has shown a mixed performance, with the share price fluctuating between $88.75 and $91.59 during the recent trading session. The company's dividend yield of 3.23% and a payout ratio of 72.35% suggest a relatively stable dividend policy. Additionally, Seagate's forward P/E ratio of 9.61 indicates that the stock may be undervalued compared to its industry peers.
 Valuation and Outlook:
 The company's enterprise value-to-revenue ratio of 3.205 and enterprise value-to-EBITDA ratio of 19.228 suggest that Seagate may be trading at a reasonable valuation. However, the stock's 52-week change of 11.28% and the S&amp;P 500's 24.93% change over the same period indicate that the company's performance has lagged the broader market.
 Economic Outlook:
 The mixed macroeconomic conditions, including concerns about inflation and potential volatility in the stock market, may have a moderate impact on Seagate's performance. The company's exposure to the technology hardware and storage sectors could make it vulnerable to any broader market fluctuations.
 Score: 75</t>
  </si>
  <si>
    <t>Investment Report:
 Recent News:
 Constellation Brands (STZ) is set to report its Q3 2025 earnings on January 9th. Analysts are expecting the company to report earnings of $3.32 per share. However, the company's stock price has recently been impacted by concerns over a Surgeon General's warning about the cancer risks associated with alcohol consumption. This warning led to a drop in the stock price, with Constellation Brands losing around $450 million in market capitalization.
 Financials:
 Constellation Brands' financial data shows a mixed picture. The company has a relatively high trailing P/E ratio of 47.45, but a more reasonable forward P/E of 20.96. The company's profit margins are healthy at 9.45%, and it has a strong balance sheet with a current ratio of 1.987. However, the company's debt-to-equity ratio of 36.711 is on the higher side, which could be a concern.
 Valuation:
 Constellation Brands' stock is currently trading at $93.38, which is near the middle of its 52-week range of $84.76 to $112.38. The company's average target price from analysts is $112.008, suggesting potential upside of around 20% from the current levels.
 Economic Outlook:
 The overall macroeconomic outlook for the U.S. is mixed, with concerns about persistent inflation and potential volatility in the stock market. However, the distillers and vintners industry is expected to continue performing well, as consumer demand for alcoholic beverages remains strong.
 Score: 75</t>
  </si>
  <si>
    <t>Investment Report:
 Recent news indicates that Kimberly-Clark (KMB) has a strong earnings surprise history, suggesting the potential to beat estimates in its upcoming earnings report. However, the stock has declined by 8% over the past three months, reflecting near-term uncertainty.
 Kimberly-Clark's financial data shows a trailing PEG ratio of 1.13, which suggests the stock may be reasonably valued. The company's strategic initiatives are expected to support sustainable growth in the medium to long term, despite the near-term market volatility.
 The overall macroeconomic outlook, with mixed signals on economic performance, inflation, and political factors, could impact the household products industry and Kimberly-Clark's performance. Investors should closely monitor the company's ability to navigate these challenges and capitalize on emerging opportunities.
 Score: 75</t>
  </si>
  <si>
    <t>Investment Report:
 The recent financial data for CSX Corporation, a leading rail transportation company, presents a mixed picture. While the firm's stock price has seen some fluctuations, with a previous close of $26.24 and a current day range of $26.15 to $26.87, the overall financial metrics suggest a relatively stable and well-performing company.
 The firm's valuation metrics, such as a trailing P/E ratio of 15.90 and a forward P/E ratio of 8.99, indicate that the stock may be reasonably priced. Additionally, the company's dividend yield of 3.2% and payout ratio of 50.3% suggest a healthy and sustainable dividend policy.
 The economic outlook for the rail transportation industry remains cautiously optimistic, with the potential for continued growth in freight volumes and infrastructure investments. However, the industry may face challenges from factors such as supply chain disruptions, labor shortages, and potential regulatory changes.
 Overall, while the firm's recent news is limited, the available financial data and industry outlook suggest that CSX Corporation could be a potentially attractive investment option for the next month, though investors should closely monitor any developments that may impact the company's performance.
 Score: 75</t>
  </si>
  <si>
    <t>Investment Report:
 Recent News:
 CVS Health has been named as a Top 25 dividend stock, with the company displaying attractive valuation metrics and strong profitability. However, the stock has been trading near its 52-week low, as the company's Medicaid business is experiencing medical cost pressure from higher-than-expected acuity following the resumption of member redeterminations.
 Financials:
 CVS Health's financial data shows a mixed picture. The company has a decent dividend yield of 5.81% and trades at a price-to-book ratio of 3.35, suggesting potential undervaluation. However, its valuation metrics, such as a forward P/E ratio of 28.57, indicate that the stock may not be significantly underpriced. The company's profitability metrics, including a profit margin of 16.39% and a return on equity of 7.59%, are also respectable.
 Economic Outlook:
 The overall macroeconomic environment remains mixed, with concerns about persistent inflation and uneven economic performance. However, the healthcare sector is generally seen as a defensive play, and the rising demand for healthcare services due to an aging population could benefit companies like CVS Health in the long run.
 Score: 75</t>
  </si>
  <si>
    <t>Investment Report:
 Stryker Corporation, a leading medical technology company, has not seen any significant news developments in the past week. However, the firm's latest financial data provides insights into its current performance and valuation.
 Financials:
 Stryker's stock has shown a mixed performance, with the share price fluctuating between $358.02 and $362.44 during the recent trading session. The company's dividend yield of 0.93% and payout ratio of 34.3% suggest a relatively stable dividend policy. The firm's trailing P/E ratio of 38.77 and forward P/E ratio of 26.84 indicate that the stock may be trading at a premium compared to its industry peers.
 Valuation:
 Stryker's market capitalization stands at $137.76 billion, and the stock is trading within its 52-week range of $298.52 to $398.2. The company's price-to-sales ratio of 6.27 and price-to-book ratio of 6.84 suggest that the stock may be fairly valued or slightly overvalued compared to its historical performance and industry standards.
 Economic Outlook:
 The overall macroeconomic environment remains mixed, with concerns about persistent inflation and potential volatility in the stock market. However, the healthcare sector, in which Stryker operates, is generally considered a defensive industry that can withstand economic fluctuations. The continued development and adoption of medical technologies, such as those offered by Stryker, could provide growth opportunities for the company.
 Score: 75</t>
  </si>
  <si>
    <t>Investment Report:
 TransDigm Group, a leading aerospace and defense company, has not seen any significant news developments in the past week. However, the firm's financial data provides insights into its current performance and valuation.
 The company's stock has seen a mixed performance, with the share price fluctuating between a day low of $1,245.815 and a day high of $1,276.84. The stock's previous close was $1,275.56, indicating a relatively stable trading range.
 Financially, TransDigm Group appears to be in a strong position. The company's profitability metrics, such as profit margins (21.59%) and EBITDA margins (48.97%), suggest a healthy financial performance. Additionally, the firm's free cash flow of $5.86 billion and a quick ratio of 1.254 indicate a robust liquidity position.
 However, the company's valuation metrics, such as a forward P/E ratio of 28.65 and a PEG ratio of 3.82, suggest that the stock may be trading at a premium compared to its peers. This could be a concern for investors looking for value opportunities.
 The overall economic outlook, with expectations of continued earnings growth and potential market volatility, may also impact TransDigm Group's performance in the near term. Investors should closely monitor the company's financial results, industry trends, and macroeconomic developments to make informed investment decisions.
 Score: 75</t>
  </si>
  <si>
    <t>Investment Report:
 Loews Corporation, a diversified holding company, operates in the multi-line insurance industry. The firm's recent financial data shows a mixed picture, with some positive and negative indicators:
 Financials:
 - The company's stock price has seen a decline in the past week, with the current trading price around $465.91.
 - Loews has a strong dividend yield of 2.83% and a payout ratio of 45.6%, indicating a stable dividend policy.
 - The firm's profitability metrics, such as profit margins (9.36%) and return on assets (9.99%), are relatively healthy.
 - However, the company's debt-to-equity ratio is high at 268.35, which could be a concern for investors.
 Valuation:
 - Loews is trading at a forward P/E ratio of 16.81, which is slightly below the industry average, suggesting the stock may be undervalued.
 - The company's price-to-book ratio of 15.27 is relatively high, indicating the stock may be trading at a premium.
 Economic Outlook:
 - The overall macroeconomic environment remains mixed, with concerns about potential volatility, inflation, and uneven economic performance.
 - The political landscape and the rise of emerging technologies, particularly AI, could also impact the multi-line insurance industry and Loews' performance.
 Score: 75</t>
  </si>
  <si>
    <t>Investment Report:
 Kenvue, a leading player in the Personal Care Products industry, has not seen any significant news developments in the past week. However, the company's latest financial data provides some insights into its current performance and valuation.
 Financials:
 Kenvue's financial metrics suggest a mixed picture. The company's profitability indicators, such as profit margins (15.04%) and return on assets (4.19%), are relatively strong. However, its liquidity ratios, including the quick ratio (0.282) and current ratio (0.533), are relatively low, indicating potential challenges in managing short-term obligations.
 Valuation:
 Kenvue's valuation metrics present a nuanced outlook. The company's forward P/E ratio of 15.22 suggests that the stock may be reasonably valued, while its price-to-book ratio of 1.69 indicates that the market is pricing the company's assets at a premium. The company's dividend yield of 2.97% could also be attractive to some investors.
 Economic Outlook:
 The broader macroeconomic environment is expected to be mixed, with concerns about potential volatility, inflation, and uneven economic performance. However, the personal care products industry may benefit from the continued rise of emerging technologies, such as artificial intelligence, which could drive innovation and growth in the sector.
 Score: 75</t>
  </si>
  <si>
    <t>Investment Report:
 Dominion Energy (D) has seen a modest rise in its stock price, closing at $54.73 in the latest trading session, up 0.61% from the previous day. While the company's performance has been positive, it has lagged behind the broader market.
 The recent financial data for Dominion Energy shows a mixed picture. The company's dividend rate of $2.8 and dividend yield of 1.56% are relatively attractive, and its forward P/E ratio of 13.92 suggests the stock may be reasonably valued. However, the company's trailing P/E ratio of 12.24 and price-to-book ratio of 2.61 indicate that the stock may be trading at a discount compared to its peers.
 The economic outlook for Dominion Energy's service region is generally positive, with growing demand for clean energy. This could benefit the company's operations and financial performance in the medium to long term. Additionally, the company's rising earnings estimates and solid financial position make it a potentially attractive investment option.
 Overall, Dominion Energy appears to be a solid investment opportunity, given its attractive valuation, growing demand for clean energy, and positive financial outlook. However, investors should closely monitor the company's performance and the broader market conditions to make an informed investment decision.
 Score: 75</t>
  </si>
  <si>
    <t>Investment Report:
 The recent financial data for D.R. Horton, a leading homebuilding company, presents a mixed picture. While the company's stock has seen some volatility, with the share price fluctuating between $424.00 and $440.525 during the day, the overall financial metrics suggest a relatively strong position.
 The company's valuation metrics, such as a forward P/E ratio of 24.09 and a trailing P/E ratio of 26.11, indicate that the stock may be reasonably priced. Additionally, the company's dividend yield of 1.42% and a payout ratio of 35.28% suggest that it is returning value to shareholders.
 However, the macroeconomic outlook for the homebuilding industry remains uncertain. The recent economic data, including concerns about inflation and potential interest rate hikes, could impact the demand for new homes and affect the company's performance. Additionally, the ongoing supply chain disruptions and labor shortages in the construction industry may also pose challenges for D.R. Horton.
 Overall, while D.R. Horton appears to be in a relatively strong financial position, the broader economic and industry-specific factors may create some headwinds in the near term. Investors should closely monitor the company's performance and the evolving market conditions before making any investment decisions.
 Score: 75</t>
  </si>
  <si>
    <t>Investment Report:
 The recent financial data for Darden Restaurants, a leading operator of full-service restaurants, presents a mixed picture. While the company's stock price has seen some volatility, with the share price ranging between $43.56 and $81.03 over the past 52 weeks, the current valuation appears attractive.
 The firm's financial metrics suggest a relatively healthy financial position. Darden Restaurants has a low trailing P/E ratio of 11.63, indicating that the stock may be undervalued compared to its earnings potential. Additionally, the company's forward P/E ratio of 6.77 suggests that the market expects strong earnings growth in the future.
 The economic outlook for the restaurant industry is cautiously optimistic, with the potential for continued recovery from the COVID-19 pandemic. However, factors such as persistent inflation, labor shortages, and supply chain disruptions may pose challenges for the industry.
 Overall, Darden Restaurants' financial data and the broader economic conditions suggest that the company may have investment potential, but investors should carefully consider the risks and uncertainties facing the industry.
 Score: 75</t>
  </si>
  <si>
    <t>Investment Report:
 Duke Energy, a leading electric utility company, has seen a mixed performance in recent weeks. While the company's financial data shows a relatively stable position, with a strong dividend yield and reasonable valuation metrics, there are some concerns that investors should consider.
 The company's stock price has been trading in a range, with the latest data indicating a previous close of $74.75 and a day high of $76.14. The dividend rate of $1.52 and a dividend yield of 2.02% provide a steady income stream for investors. However, the company's trailing P/E ratio of 58.79 suggests that the stock may be overvalued compared to its earnings.
 The economic outlook for the electric utilities industry is generally positive, with the sector expected to benefit from the ongoing transition to renewable energy sources and the need for infrastructure investments. However, the potential impact of regulatory changes and the company's ability to manage its debt levels could be factors that influence its performance.
 Overall, Duke Energy's financial position appears stable, but investors should carefully consider the company's valuation, industry trends, and potential risks before making an investment decision.
 Score: 75</t>
  </si>
  <si>
    <t>Investment Report:
 Recent news indicates that C.H. Robinson, a leading player in the Air Freight &amp; Logistics industry, has seen a significant increase in its earnings per share (EPS) estimates. This positive development suggests that the company may be well-positioned to capitalize on the current economic environment and could present an attractive investment opportunity.
 The latest financial data shows that C.H. Robinson's trailing price-to-earnings growth (PEG) ratio is not available, which makes it challenging to assess the stock's valuation relative to its growth potential. However, the rising EPS estimates point to the company's ability to generate stronger financial performance, which could translate into potential upside for investors.
 The broader macroeconomic outlook, as summarized in the provided context, indicates a mixed picture for the U.S. economy. While the labor market remains resilient and the technology sector continues to show strength, concerns persist around inflation, uneven economic performance, and potential policy changes. These factors could have implications for the Air Freight &amp; Logistics industry and, consequently, the investment outlook for C.H. Robinson.
 Score: 75</t>
  </si>
  <si>
    <t>Investment Report:
 Recent News: Dollar Tree (DLTR) stock has seen a 5.4% increase since its last earnings report, indicating potential investor optimism. The company has been expanding its store formats and product range, which could drive future growth. However, rising costs and weak demand from low-income consumers pose near-term challenges.
 Financials: Dollar Tree's financial data shows a mixed picture. The company's forward P/E ratio of 12.48x suggests it may be undervalued, but its profitability metrics, such as profit margins and return on equity, have been declining. The company's debt-to-equity ratio of 146.319 is also relatively high, which could be a concern.
 Valuation: Despite the near-term challenges, Dollar Tree's valuation appears attractive, with a forward P/E ratio of 12.626018 and a price-to-book ratio of 2.2827091. The company's target mean price of $84.1336 also suggests potential upside.
 Economic Outlook: The overall macroeconomic environment remains mixed, with concerns about inflation and uneven economic performance. However, the expected earnings growth in the U.S. stock market could provide a supportive backdrop for Dollar Tree's performance.
 Score: 75</t>
  </si>
  <si>
    <t>Investment Report:
 Colgate-Palmolive, a leading household products company, has not seen any significant news developments in the past week. However, the firm's latest financial data provides insights into its current performance and valuation.
 Financials:
 Colgate-Palmolive's stock has seen a slight decline in its share price, with the previous close at $27.65. The firm's financial metrics, such as a forward P/E ratio of 10.42 and a dividend yield of 5.12%, suggest that the stock may be undervalued compared to its historical performance.
 Valuation:
 The company's market capitalization stands at $12.84 billion, and its enterprise value is $21.71 billion. The stock's price-to-book ratio of 1.52 and price-to-sales ratio of 1.07 indicate that the company may be trading at a reasonable valuation.
 Economic Outlook:
 The overall macroeconomic environment remains mixed, with concerns about persistent inflation and potential volatility in the stock market. However, the household products industry is generally considered defensive, which could provide some stability for Colgate-Palmolive's stock performance.
 Score: 75</t>
  </si>
  <si>
    <t>Investment Report:
 Comcast (CMCSA) is making strategic moves to expand its advertising business and capitalize on the growing demand for digital advertising. The recent news highlights the company's launch of "Universal Ads," an advertising platform aimed at attracting small and medium-sized businesses. This initiative aligns with Comcast's efforts to diversify its revenue streams and reduce its reliance on traditional cable TV subscriptions.
 Financially, Comcast has demonstrated a strong earnings surprise history, indicating its ability to consistently outperform market expectations. The company's recent stock performance has been relatively stable, with the stock gaining slightly despite the broader market dip. This suggests that Comcast may be better positioned to weather the current market volatility compared to some of its peers.
 The latest financial data shows Comcast's solid fundamentals, including a healthy profit margin, strong cash flow, and a manageable debt-to-equity ratio. The company's valuation metrics, such as the forward P/E ratio, suggest that the stock may be reasonably priced, making it potentially attractive to investors.
 However, the overall economic outlook remains mixed, with concerns about persistent inflation and uneven economic performance. Additionally, the cable and satellite industry continues to face challenges from the ongoing shift towards streaming and digital media consumption. Comcast's ability to navigate these industry dynamics and successfully execute its strategic initiatives will be crucial in determining its future performance.
 Score: 75</t>
  </si>
  <si>
    <t>Investment Report:
 The recent financial data for Church &amp; Dwight, a leading household products company, presents a mixed picture. While the company's stock price has seen some volatility, with the share price ranging between $278.01 and $284.25 in the past week, the overall financial metrics suggest a relatively stable and profitable business.
 The company's valuation metrics, such as a forward P/E ratio of 8.87 and a price-to-book ratio of 1.86, indicate that the stock may be undervalued compared to its peers. Additionally, the company's dividend yield of 2% and a payout ratio of 51.47% suggest a healthy and sustainable dividend policy.
 However, the company's recent earnings growth has been negative, with a year-over-year decline of 47.5%. This could be a concern for investors, as it may signal challenges in the company's ability to maintain its profitability in the current economic environment.
 The broader macroeconomic outlook, with expectations of continued volatility and potential challenges from factors such as persistent inflation and uneven economic performance, may also impact the company's performance in the short to medium term.
 Overall, while Church &amp; Dwight's financial fundamentals appear relatively strong, the mixed signals and the uncertain economic conditions may warrant a cautious approach in the near term.
 Score: 75</t>
  </si>
  <si>
    <t>Investment Report:
 CME Group, a leading global financial derivatives marketplace, operates in a stable industry with a strong market position. The firm's recent financial data shows a mixed picture, with a decline in the stock price and trading volume compared to the previous period. However, the company's fundamentals remain solid, with a healthy balance sheet, consistent profitability, and a strong dividend yield.
 The macroeconomic outlook for the financial sector is cautiously optimistic, with expectations of continued earnings growth, but also concerns about potential volatility and uneven economic performance. The rise of emerging technologies, particularly artificial intelligence, could present both opportunities and challenges for the industry.
 Given the firm's market leadership, diversified product offerings, and resilient financial performance, CME Group appears well-positioned to navigate the current market environment. However, investors should closely monitor the company's performance and the broader industry trends to assess the potential investment value.
 Score: 75</t>
  </si>
  <si>
    <t>Investment Report:
 The recent financial data for Cincinnati Financial, a leading Property &amp; Casualty Insurance firm, paints a mixed picture. While the company's stock has seen a 33.4% increase in the past 52 weeks, outperforming the S&amp;P 500's 24.9% rise, there are some areas of concern.
 The firm's forward P/E ratio of 19.29 is significantly higher than its trailing P/E of 7.28, suggesting that the market may be pricing in higher future earnings growth. However, the company's dividend yield of 2.29% is lower than its 5-year average of 2.56%, which could be a concern for income-oriented investors.
 On the positive side, Cincinnati Financial's profitability metrics, such as profit margins (25.26%) and return on equity (25.14%), are strong, indicating a well-managed business. The company also has a healthy balance sheet, with a quick ratio of 0.996 and a low debt-to-equity ratio of 6.33.
 The macroeconomic outlook for the Property &amp; Casualty Insurance industry is generally positive, with the sector expected to benefit from rising interest rates and a resilient labor market. However, persistent inflation concerns and potential volatility in the broader market could pose challenges.
 Overall, Cincinnati Financial appears to be a well-positioned company in the industry, but investors should closely monitor the firm's performance and the evolving market conditions to make informed decisions.
 Score: 75</t>
  </si>
  <si>
    <t>Investment Report:
 The recent financial data for LyondellBasell, a leading specialty chemicals company, paints a mixed picture. While the company's stock price has seen some volatility, with the current price trading around $73.25, the firm's fundamentals remain relatively strong.
 The company's dividend yield of 7.26% and payout ratio of 78.6% suggest a focus on shareholder returns. However, the trailing P/E ratio of 11.21 and forward P/E of 9.41 indicate that the stock may be undervalued compared to its peers.
 The macroeconomic outlook for the specialty chemicals industry is cautiously optimistic, with the overall U.S. stock market expected to see moderate growth in the near term. However, concerns around persistent inflation and uneven economic performance could introduce some volatility.
 Regarding the firm's financials, LyondellBasell's profitability metrics, such as profit margins and return on assets and equity, appear healthy. The company's balance sheet also seems stable, with a quick ratio of 1.1 and a current ratio of 2.13, suggesting a strong liquidity position.
 Overall, while the recent news flow for LyondellBasell has been limited, the company's fundamentals and industry outlook suggest that it could be a potentially attractive investment option for the next month, subject to broader market conditions.
 Score: 75</t>
  </si>
  <si>
    <t>Investment Report:
 The recent financial data for Masco, a leading building products company, presents a mixed picture. While the firm's stock price has seen some volatility, with the day's low at $511.01 and the high at $521.36, the overall financial metrics suggest a relatively strong position.
 The company's valuation metrics, such as a forward P/E ratio of 31.26 and a price-to-book ratio of 63.30, indicate that the stock may be trading at a premium compared to its peers. However, the firm's profitability ratios, including a profit margin of 45.26% and a return on equity of 17.76%, suggest that the company is generating solid earnings and returns for its shareholders.
 The economic outlook for the building products industry remains cautiously optimistic, with the potential for continued growth in the residential and commercial construction sectors. However, factors such as rising interest rates, supply chain disruptions, and labor shortages could pose challenges for the industry.
 Given the lack of recent news and the mixed financial performance, the investment value of Masco may be best suited for long-term, risk-tolerant investors who are willing to weather potential market volatility. The company's strong profitability and market position could make it an attractive option for those seeking exposure to the building products sector.
 Score: 75</t>
  </si>
  <si>
    <t>Investment Report:
 Recent News: ConocoPhillips (COP) has seen its stock price rise by 1.01% in the most recent trading day, outperforming the broader market. However, the company's performance has been lagging behind the overall market in the past year, with its 52-week change of 11.54% compared to the S&amp;P 52-week change of 24.93%.
 Financials: ConocoPhillips' financial data shows a mixed picture. The company has a strong balance sheet, with a current ratio of 1.043 and a quick ratio of 0.576, indicating good liquidity. However, its debt-to-equity ratio of 1009.091 is quite high, which could be a concern. The company's profitability metrics, such as profit margins and return on assets and equity, are also relatively strong.
 Valuation: ConocoPhillips' valuation metrics are somewhat mixed. The company's forward P/E ratio of 22.74 is slightly above the industry average, but its price-to-book ratio of 164.55 is quite high, suggesting the stock may be overvalued. The company's dividend yield of 2.28% is also relatively low compared to its historical average.
 Economic Outlook: The overall macroeconomic environment remains mixed, with concerns about persistent inflation and potential volatility in the stock market. However, the energy sector, including the oil and gas exploration and production industry, is expected to benefit from the ongoing recovery in global demand and the potential for continued geopolitical tensions affecting energy supplies.
 Score: 75</t>
  </si>
  <si>
    <t>Investment Report:
 McKesson Corporation, a leading health care distributor, has seen a mixed performance in recent weeks. While the company's financial data shows a stable financial position, with a strong balance sheet and healthy profitability metrics, the lack of recent news and the overall economic uncertainty may be weighing on the stock's performance.
 The firm's financial data indicates a solid financial foundation, with a strong cash position, low debt levels, and healthy profit margins. However, the stock's valuation metrics, such as the forward P/E ratio, suggest that the market may be pricing in some near-term challenges or uncertainties.
 The broader economic outlook remains mixed, with concerns about persistent inflation and potential volatility in the markets. The health care sector, in which McKesson operates, has generally been more resilient during economic downturns, but the company may still face headwinds from supply chain disruptions or changes in government policies.
 Overall, while McKesson's fundamentals appear sound, the lack of recent news and the mixed economic environment may contribute to some near-term volatility in the stock. Investors should closely monitor the company's performance and any developments in the broader health care industry that could impact its operations.
 Score: 75</t>
  </si>
  <si>
    <t>Investment Report:
 Intuitive Surgical (ISRG) is a leading healthcare technology company that specializes in robotic-assisted surgical systems. The recent news highlights the company's potential to capitalize on the growing artificial intelligence (AI) market, which could provide significant growth opportunities.
 Financials:
 Intuitive Surgical's financial data shows a mixed picture. The company has a high trailing P/E ratio of 43.32, indicating that the stock may be overvalued. However, its forward P/E ratio of 42.33 suggests that the market expects the company to maintain its earnings growth. The company's profitability metrics, such as profit margins and return on assets and equity, are also relatively strong.
 Valuation:
 The stock's current price of $31.93 is near the lower end of its 52-week range of $31.01 to $37.80. The average target price of $37.50 set by analysts suggests a potential upside of around 17% from the current level.
 Economic Outlook:
 The overall macroeconomic environment appears to be mixed, with concerns about inflation and potential volatility in the stock market. However, the healthcare sector, particularly the medical equipment and devices industry, is expected to benefit from the continued advancements in technology, including the growing adoption of AI-powered solutions.
 Conclusion:
 Intuitive Surgical's potential to leverage AI technology, combined with its strong financial performance and market position, make it an interesting investment opportunity. However, investors should consider the company's valuation and the broader economic conditions before making an investment decision.
 Score: 75</t>
  </si>
  <si>
    <t>Investment Report:
 Iron Mountain (IRM) is a leading provider of storage and information management services, with a focus on the stable core business of records and data management. The company's recent financial data shows a mixed picture, with some positive and negative indicators.
 On the positive side, Iron Mountain's dividend rate of $1.72 and dividend yield of 0.98% provide a steady income stream for investors. The company's forward P/E ratio of 24.66 suggests that the stock may be reasonably valued. Additionally, Iron Mountain's data center business is an attractive add-on to its core storage and records management operations, offering potential for growth.
 However, the company's trailing P/E ratio of 32.07 and relatively high debt-to-equity ratio of 47.56 may raise some concerns. The recent decline in earnings growth (-18.9%) and revenue growth (-3%) also indicate potential challenges.
 The overall macroeconomic outlook remains mixed, with the U.S. economy expected to see strong earnings growth but also potential volatility and inflation concerns. The political landscape, particularly the policies of the new administration, could also impact Iron Mountain's operations and stock performance.
 In summary, while Iron Mountain's core business appears stable, investors should carefully consider the company's financial metrics, growth prospects, and the broader economic and political environment when evaluating the investment potential of the stock.
 Score: 75</t>
  </si>
  <si>
    <t>Investment Report:
 Marriott International, a leading global hotel and resort operator, has not seen any significant news developments in the past week. However, the company's latest financial data provides insights into its current performance and valuation.
 Financials:
 Marriott's stock has shown a mixed performance, with the share price fluctuating between $272.02 and $275.9075 during the recent trading session. The company's financial metrics, such as a trailing P/E ratio of 28.58 and a forward P/E ratio of 25.70, suggest that the stock may be reasonably valued. Additionally, Marriott's dividend yield of 0.92% and payout ratio of 24.08% indicate a stable dividend policy.
 Valuation:
 The company's market capitalization stands at $75.76 billion, and its enterprise value is $89.83 billion. Marriott's price-to-sales ratio of 11.53 and price-to-book ratio of -8.69 suggest that the stock may be trading at a premium compared to its industry peers.
 Economic Outlook:
 The overall macroeconomic environment remains mixed, with concerns about potential volatility, inflation, and uneven economic performance. However, the hotel and resort industry is expected to benefit from the continued recovery in travel demand, which could positively impact Marriott's financial performance.
 Score: 75</t>
  </si>
  <si>
    <t>Investment Report:
 Moody's Corporation, a leading provider of credit ratings, research, and risk analysis, operates in the Financial Exchanges &amp; Data industry. The firm's recent financial data shows a mixed picture, with a strong market capitalization of $85.7 billion and a healthy dividend yield of 0.72%. However, the stock's valuation metrics, such as a high trailing P/E ratio of 43.29 and a forward P/E of 35.40, suggest that the shares may be trading at a premium.
 The economic outlook for the financial services industry remains cautiously optimistic, with expectations of continued earnings growth, but also concerns about potential volatility and uneven performance. The rise of emerging technologies, particularly artificial intelligence, could present both opportunities and challenges for Moody's in the medium to long term.
 Given the lack of recent news and the mixed financial data, the potential investment value of Moody's Corporation for the next month is assessed as:
 Score: 75</t>
  </si>
  <si>
    <t>Investment Report:
 Mondelez International (MDLZ) is navigating a mixed landscape, with recent news highlighting both challenges and opportunities for the packaged foods giant.
 Recent News:
 - The company has faced cost pressures and global macroeconomic headwinds, which have impacted its profitability in the short term. However, Mondelez's continuous investments in its brands and impressive portfolio reshaping efforts position it for potential growth.
 - The firm's financial data shows a mixed picture, with a trailing P/E ratio of 33.25 and a forward P/E of 27.65, indicating potential valuation concerns. However, the company's strong market capitalization of over $50 billion and healthy financial ratios, such as a quick ratio of 2.333 and a current ratio of 3.13, suggest a relatively stable financial position.
 Economic Outlook:
 - The broader economic environment remains uncertain, with concerns about inflation, potential volatility, and uneven economic performance. However, the expected earnings growth of 12-13% for the U.S. economy in 2025 could provide a favorable backdrop for Mondelez's operations.
 Overall, Mondelez's continuous brand investments and portfolio reshaping efforts, coupled with its relatively strong financial position, suggest that the company may be well-positioned to navigate the near-term challenges and capitalize on potential growth opportunities in the medium to long term, despite the mixed macroeconomic outlook.
 Score: 75</t>
  </si>
  <si>
    <t>Investment Report:
 Las Vegas Sands, a leading player in the Casinos &amp; Gaming industry, has not seen any significant news developments in the past week. However, the firm's latest financial data provides insights into its current performance and valuation.
 Financials:
 - The company's stock is trading at $147.15 per share, with a 52-week range of $107.73 to $202.9.
 - Las Vegas Sands has a market capitalization of $19.78 billion and an enterprise value of $23.78 billion.
 - The firm's financial ratios, such as a trailing P/E of 16.86 and a forward P/E of 14.00, suggest the stock may be reasonably valued.
 - Las Vegas Sands has a strong balance sheet, with $1.19 billion in total cash and a quick ratio of 1.03, indicating good liquidity.
 Valuation and Outlook:
 - Analysts have a mean price target of $189.52 for the stock, suggesting a potential upside of around 29% from the current trading price.
 - The firm's dividend yield of 1.08% and a payout ratio of 17.29% indicate a moderate level of shareholder returns.
 - The overall economic outlook, as discussed in the provided macroeconomic summary, points to a mixed picture, with concerns about potential volatility and uneven performance across sectors.
 Score: 75
 The mixed macroeconomic conditions and the lack of recent news may create some uncertainty around Las Vegas Sands' short-term performance. However, the firm's strong financial position, reasonable valuation, and positive long-term outlook suggest that it could be a suitable investment option for investors with a medium-to-long-term investment horizon.</t>
  </si>
  <si>
    <t>Investment Report:
 Lamb Weston, a leading producer of frozen potato products, appears to be in a stable financial position based on the latest available data. The company's stock price has been trading in the range of $50-$52 over the past week, indicating a relatively steady performance.
 Financials:
 - Lamb Weston's financial metrics, such as profitability ratios, debt levels, and cash flow, suggest a healthy financial standing. The company's profit margins, return on assets, and return on equity are all within reasonable ranges.
 - The company's valuation, as reflected in its price-to-earnings and price-to-book ratios, appears to be in line with industry peers, indicating that the stock may be fairly valued.
 - Lamb Weston's dividend yield of 1.57% provides a modest income stream for investors, though the payout ratio of 39.6% suggests the company is retaining a significant portion of its earnings for reinvestment.
 Economic Outlook:
 - The overall macroeconomic environment, as summarized in the provided context, appears to be mixed, with concerns about potential volatility, inflation, and uneven economic performance. However, the expected strong earnings growth in the U.S. economy could benefit companies like Lamb Weston.
 - The rise of emerging technologies, particularly artificial intelligence, may present both opportunities and challenges for the packaged foods industry, as companies adapt to changing consumer preferences and production processes.
 Score: 75</t>
  </si>
  <si>
    <t>Investment Report:
 Invitation Homes, a leading single-family residential REIT, has not seen any significant news developments in the past week. However, the firm's latest financial data provides insights into its current performance and valuation.
 Financials:
 - Invitation Homes' stock is trading at a forward P/E ratio of 9.2, indicating a relatively attractive valuation compared to the industry average.
 - The company's dividend yield of 4.71% is also noteworthy, providing a steady income stream for investors.
 - While the firm's profitability has been impacted, with a negative profit margin of 3%, its strong balance sheet and liquidity position, as evidenced by a current ratio of 4.4, suggest financial stability.
 Economic Outlook:
 - The overall macroeconomic environment remains mixed, with concerns about potential volatility, inflation, and uneven economic performance. However, the expected earnings growth in the U.S. stock market could provide a favorable backdrop for Invitation Homes.
 - The continued development and adoption of emerging technologies, particularly artificial intelligence, may also present growth opportunities for the single-family residential REIT sector.
 Valuation:
 - Invitation Homes' stock is trading at a discount to its 52-week high, with a price-to-book ratio of 0.73, suggesting potential upside.
 - Analysts have a target mean price of $18.97, implying a moderate upside potential from the current trading levels.
 Score: 75</t>
  </si>
  <si>
    <t>Investment Report:
 Recent News: TJX Companies, the off-price retail giant, is facing a mixed outlook as it navigates expansion plans and higher costs. While the company has been able to capitalize on its successful business model, rising inflation and supply chain challenges could put pressure on its profitability.
 Financials: TJX's recent financial data shows a strong performance, with the stock closing at $121.15, up 0.28% from the previous trading session. The company's financial metrics, such as a forward P/E ratio of 11.5 and a dividend yield of 0.11%, suggest it is reasonably valued. However, the company's earnings growth has been negative, and its profit margins have declined, indicating potential headwinds.
 Valuation: TJX's valuation metrics, including a price-to-sales ratio of 1.0 and a price-to-book ratio of 2.0, suggest the stock is trading at a reasonable valuation compared to its peers. Analysts have a mean price target of $96.72, indicating potential upside from the current trading price.
 Economic Outlook: The overall macroeconomic environment remains mixed, with concerns about persistent inflation and uneven economic performance. However, the continued strength in the labor market and the potential for further growth in the technology and semiconductor sectors could provide a favorable backdrop for TJX's expansion plans.
 Score: 75</t>
  </si>
  <si>
    <t>Investment Report:
 Public Service Enterprise Group (PSEG) is a leading electric and gas utility company in the United States, primarily serving customers in New Jersey and New York. The firm's recent financial data shows a mixed picture, with some positive and negative indicators.
 On the positive side, PSEG has a strong dividend yield of 4.06% and a relatively low beta of 0.69, indicating lower market risk. The company's profit margins are also healthy at 40.37%, and it has a solid balance sheet with a current ratio of 0.967, suggesting good liquidity.
 However, the firm's valuation metrics are somewhat elevated, with a trailing P/E ratio of 30.69 and a forward P/E of 27.79, which may be a concern for some investors. Additionally, the company's earnings growth has been negative at -29.8% in the most recent quarter, and its debt-to-equity ratio is relatively high at 97.57.
 The overall economic outlook for the electric utilities industry is mixed, with concerns about inflation and potential policy changes, but also opportunities in emerging technologies like renewable energy. PSEG's position as a major player in the Northeast region may provide some stability, but the firm will need to navigate these challenges effectively.
 Score: 75</t>
  </si>
  <si>
    <t>Investment Report:
 The recent financial data for Principal Financial Group, a leading life and health insurance provider, presents a mixed picture. While the company's stock price has seen some volatility, with the share price ranging between $31.65 and $32.24 over the past week, the overall financial metrics suggest a relatively stable and well-positioned firm.
 The company's valuation metrics, such as a forward P/E ratio of 17.38 and a price-to-book ratio of 1.66, indicate that the stock may be reasonably valued compared to its peers. Additionally, the company's dividend yield of 3.25% and a payout ratio of 91.22% suggest a strong focus on shareholder returns.
 However, the company's financial performance has been somewhat uneven, with a decline in earnings growth of 6.9% and a mixed revenue growth of 1.1% in the latest quarter. The company's free cash flow has also been negative, which could be a concern for investors.
 The macroeconomic outlook for the life and health insurance industry remains cautiously optimistic, with the overall U.S. economy expected to see moderate growth in the coming year. However, factors such as persistent inflation, potential policy changes, and the impact of emerging technologies like AI could introduce volatility and challenges for the industry.
 Overall, while Principal Financial Group appears to be a well-established and reasonably valued company, investors should closely monitor the company's financial performance and the broader industry trends to make informed investment decisions.
 Score: 75</t>
  </si>
  <si>
    <t>Investment Report:
 Recent News:
 Palo Alto Networks' stock could face a potential 30% downside if a Guggenheim analyst's "sell" call plays out. The analyst has raised concerns about several key metrics that investors should closely monitor. However, the company is also aggressively entering the $30 billion SIEM (Security Information and Event Management) market, aiming to capture significant market share from legacy vendors like Splunk and Microsoft. Palo Alto Networks' platformization strategy and recent SIEM-focused acquisition are expected to fast-track its path to a $15 billion ARR target, supporting a Buy rating.
 Financials:
 Palo Alto Networks' financial data shows a mixed picture. The company's stock has underperformed the broader market, with a 0.64% decline in the recent trading day. However, the company's financial metrics, such as profitability, liquidity, and valuation, appear relatively strong. The company has a healthy balance sheet, with a quick ratio of 4.733 and a current ratio of 5.342, indicating a strong ability to meet short-term obligations. The company's revenue growth, though negative, is still better than the industry average.
 Valuation:
 Palo Alto Networks' valuation metrics, such as a forward P/E ratio of 13.5 and a price-to-sales ratio of 1.61, suggest that the stock may be reasonably valued. However, the Guggenheim analyst's concerns about certain key metrics could weigh on the stock's performance in the near term.
 Economic Outlook:
 The overall macroeconomic environment remains mixed, with concerns about persistent inflation and potential volatility in the stock market. However, the technology sector, particularly the cybersecurity industry, is expected to continue to perform well, driven by the increasing demand for security solutions and the rise of emerging technologies like AI.
 Score: 75</t>
  </si>
  <si>
    <t>Investment Report:
 Otis Worldwide, a leading manufacturer of elevators, escalators, and moving walkways, has not seen any significant news developments in the past week. However, the company's latest financial data provides insights into its current performance and valuation.
 Financials:
 Otis Worldwide's stock has shown a mixed performance, with the share price fluctuating between $101.125 and $103.74 during the recent trading session. The company's dividend yield of 3.96% and payout ratio of 83.16% suggest a strong focus on shareholder returns. Additionally, the company's trailing and forward P/E ratios of 21.53 and 16.75, respectively, indicate that the stock may be reasonably valued.
 Valuation:
 The company's market capitalization of $59.24 billion and enterprise value of $86.92 billion suggest that it is a sizable player in the industrial machinery and components industry. The stock's 52-week trading range of $67.05 to $118.07 highlights the volatility it has experienced over the past year.
 Economic Outlook:
 The overall macroeconomic environment remains mixed, with concerns about inflation, uneven economic performance, and potential policy changes. However, the expected strong earnings growth in the U.S. market and the continued development of emerging technologies, such as artificial intelligence, could provide tailwinds for Otis Worldwide's performance.
 Score: 75</t>
  </si>
  <si>
    <t>Investment Report:
 Lennox International, a leading manufacturer of heating, air conditioning, and refrigeration equipment, has not seen any significant news developments in the past week. However, the company's latest financial data provides insights into its current performance and valuation.
 Financials:
 Lennox International's stock has shown a mixed performance, with the share price fluctuating between $134.86 and $137.76 in the recent trading session. The company's dividend rate stands at $2.00 per share, with a dividend yield of 1.37%. The firm's trailing P/E ratio of 9.43 and forward P/E ratio of 8.39 suggest that the stock may be undervalued compared to its industry peers.
 Valuation:
 The company's market capitalization of $36.5 billion and enterprise value of $36.7 billion indicate a relatively large and established business. Lennox International's price-to-sales ratio of 1.00 and price-to-book ratio of 1.34 suggest that the stock may be trading at a reasonable valuation.
 Economic Outlook:
 The overall macroeconomic environment remains mixed, with concerns about inflation, potential volatility, and uneven economic performance. However, the building products industry, in which Lennox International operates, is expected to benefit from continued strength in the housing market and the rise of emerging technologies like AI.
 Score: 75</t>
  </si>
  <si>
    <t>Investment Report:
 Linde plc, a leading industrial gases company, has not seen any significant news developments in the past week. However, the firm's latest financial data provides insights into its current performance and valuation.
 Financials:
 Linde's stock has shown a mixed performance, with the share price fluctuating between $412.12 and $418.38 during the recent trading session. The company's dividend yield of 1.35% and payout ratio of 41.31% suggest a stable and sustainable dividend policy. The firm's trailing and forward P/E ratios of 31.35 and 24.41, respectively, indicate that the stock may be trading at a premium compared to the industry average.
 Valuation:
 Linde's market capitalization stands at $196.61 billion, and the stock is trading near the middle of its 52-week range of $396.07 to $487.49. The company's price-to-sales ratio of 5.95 and price-to-book ratio of 5.02 suggest that the stock may be fairly valued or slightly overvalued compared to its peers.
 Economic Outlook:
 The overall macroeconomic environment remains mixed, with concerns about persistent inflation and potential volatility in the stock market. However, the industrial gases industry is expected to benefit from the continued growth in various end-markets, such as healthcare, manufacturing, and energy.
 Score: 75</t>
  </si>
  <si>
    <t>Investment Report:
 Norfolk Southern Railway, a leading player in the Rail Transportation industry, has seen a mixed performance in recent weeks. While the company's financial data shows a relatively stable position, with a previous close of $103.28 and a current trading range between $102.91 and $104.72, there are a few factors that may impact its investment potential.
 The company's financial metrics, such as a trailing P/E ratio of 12.85 and a forward P/E ratio of 13.09, suggest that the stock may be reasonably valued. Additionally, the company's dividend yield of 2.91% and payout ratio of 37.36% indicate a stable and sustainable dividend policy. However, the company's beta of 1.073 suggests that it may be slightly more volatile than the overall market.
 The economic outlook for the Rail Transportation industry is generally positive, with the U.S. economy expected to see strong earnings growth of 12-13% in 2025. However, the market may face challenges from persistent inflation, uneven economic performance, and potential policy changes, which could impact the industry's performance.
 Overall, while Norfolk Southern Railway appears to be in a stable financial position, the mixed economic outlook and potential market volatility may affect the company's short-term investment potential. Investors should closely monitor the company's performance and the broader industry trends to make informed investment decisions.
 Score: 75</t>
  </si>
  <si>
    <t>Investment Report:
 Baxter International, a leading global medical device and healthcare company, has not seen any significant news or developments in the past week. However, the firm's latest financial data provides some insights into its current performance and valuation.
 Financials:
 Baxter's stock has shown a mixed performance, with the share price fluctuating between $42.61 and $43.63 during the recent trading session. The company's dividend yield of 1.96% and a payout ratio of 37.22% suggest a relatively stable dividend policy. The firm's trailing and forward P/E ratios of 19.21 and 16.73, respectively, indicate that the stock may be reasonably valued compared to its earnings.
 Valuation:
 Baxter's market capitalization stands at $42.38 billion, and the stock is trading near the middle of its 52-week range of $28.32 to $45.17. The company's price-to-sales ratio of 1.55 and price-to-book ratio of 2.62 suggest that the stock may be fairly valued compared to its industry peers.
 Economic Outlook:
 The overall macroeconomic environment remains mixed, with concerns about persistent inflation and potential volatility in the stock market. However, the healthcare sector, in which Baxter operates, is generally considered a defensive industry that can withstand economic fluctuations. The continued development and adoption of medical technologies, such as those offered by Baxter, could provide growth opportunities for the company.
 Score: 75</t>
  </si>
  <si>
    <t>Investment Report:
 Recent News: Booking Holdings (BKNG) stock has underperformed the broader market gains, closing at $4,903.85 in the latest trading session, a 0.44% decline from the prior day. This underperformance could be attributed to a combination of factors affecting the Hotels, Resorts &amp; Cruise Lines industry.
 Financials: Booking Holdings' financial data shows a mixed picture. While the company has a strong balance sheet with $15.8 billion in total cash and a quick ratio of 1.165, indicating good liquidity, its valuation metrics are somewhat elevated. The stock's trailing P/E ratio of 33.22 and forward P/E of 23.41 suggest that the market may be pricing in high growth expectations.
 Economic Outlook: The macroeconomic environment remains uncertain, with concerns about persistent inflation, uneven economic performance, and potential policy changes. However, the overall outlook for the U.S. stock market is positive, with expectations of 10-15% growth this year, driven by strong earnings. The rise of emerging technologies, particularly AI, could also benefit the Hotels, Resorts &amp; Cruise Lines industry.
 Industry Trends: The Hotels, Resorts &amp; Cruise Lines industry has been impacted by the ongoing pandemic and related travel restrictions, but the sector is expected to benefit from the gradual recovery in travel demand. Booking Holdings, as a leading online travel booking platform, could capitalize on this trend, but it may also face increased competition from other players in the industry.
 Overall, Booking Holdings' recent stock performance and mixed financial data suggest a cautious outlook for the company in the near term. However, the long-term prospects for the industry and the potential impact of emerging technologies could provide opportunities for the company to grow and deliver value to shareholders.
 Score: 75</t>
  </si>
  <si>
    <t>Investment Report:
 Builders FirstSource, a leading supplier of building materials and services in the United States, has seen a mixed performance in recent weeks. The company's stock price has fluctuated, with the latest financial data indicating a previous close of $77.28 and a day high of $79.44.
 The firm's financials show a strong balance sheet, with a market capitalization of over $10.8 billion and a healthy current ratio of 2.07. However, the company's earnings growth and revenue growth have been negative, reflecting the challenges faced by the broader building products industry.
 The macroeconomic outlook for the industry remains cautious, with concerns about persistent inflation and uneven economic performance. The political landscape, particularly the potential impact of the new administration's policies, could also affect the company's performance.
 Despite these headwinds, the firm's valuation metrics, such as a forward P/E ratio of 8.58 and a price-to-book ratio of 1.07, suggest that the stock may be undervalued. Additionally, the company's dividend yield of 3.49% could be attractive to income-oriented investors.
 Overall, Builders FirstSource's performance in the near term may be influenced by the broader market conditions and industry-specific challenges. Investors should closely monitor the company's financial and operational updates, as well as the macroeconomic and political developments, to make informed investment decisions.
 Score: 75</t>
  </si>
  <si>
    <t>Investment Report:
 The Bank of New York Mellon (BNY Mellon) is a leading global investment management and investment services firm. The recent financial data shows that the company has a strong balance sheet, with a market capitalization of over $127 billion and a healthy cash position of $10.4 billion. However, the company's profitability metrics, such as profit margins and EBITDA margins, are relatively low, indicating potential challenges in the current economic environment.
 The latest news suggests that BNY Mellon has an impressive earnings surprise history, which could indicate the potential for the company to beat estimates in its upcoming earnings report. This could be driven by the firm's strong position in the asset management and custody banking industry, as well as its ability to capitalize on the growing demand for investment management services.
 The overall economic outlook, with expectations of continued earnings growth and market volatility, could also benefit BNY Mellon's business. The company's diversified revenue streams and exposure to emerging technologies, such as artificial intelligence, may provide additional growth opportunities.
 However, the firm's relatively high valuation, as indicated by its forward P/E ratio of 244.43, could be a concern for investors. Additionally, the potential impact of political and regulatory changes, as well as the ongoing challenges in the financial services industry, may pose risks to the company's performance.
 Score: 75</t>
  </si>
  <si>
    <t>Investment Report:
 The recent financial data for BorgWarner, an automotive parts and equipment company, shows a mixed picture. The company's stock price has been relatively stable, with the previous close at $90.69. However, the stock's valuation metrics, such as the forward P/E ratio of 32.6, suggest that the market may be pricing in some growth expectations.
 The company's financial performance appears solid, with a market capitalization of over $134 billion and a strong balance sheet, as indicated by the current ratio of 1.482. The company's profitability metrics, such as profit margins and return on assets, are also respectable.
 The economic outlook for the automotive industry is somewhat uncertain, with concerns about supply chain disruptions and the potential impact of political developments, such as trade policies. However, the continued growth in emerging technologies, like electric vehicles, could present opportunities for companies like BorgWarner.
 Overall, BorgWarner's financial position and market performance suggest that the company may be a reasonably attractive investment option, but investors should carefully consider the broader economic and industry-specific factors that could affect the company's future performance.
 Score: 75</t>
  </si>
  <si>
    <t>Investment Report:
 BXP, Inc., a leading office REIT, has not seen any significant news developments in the past week. However, the company's latest financial data provides insights into its current performance and valuation.
 Financials:
 BXP's stock has seen a mixed performance, with the share price fluctuating between $101.735 and $105.355 during the day. The company's dividend yield of 2.4% and payout ratio of 84.8% suggest a stable and sustainable dividend policy. The firm's trailing P/E ratio of 35.8 and forward P/E of 21.1 indicate that the stock may be trading at a premium compared to its industry peers.
 Valuation:
 BXP's market capitalization stands at $12.2 billion, with a price-to-book ratio of 7.45. The company's enterprise value-to-EBITDA ratio of 20.8 suggests that the stock may be fairly valued. Analysts have a target mean price of $116.18, with a median target of $118.5, indicating a potential upside from the current trading levels.
 Economic Outlook:
 The overall macroeconomic environment remains mixed, with concerns about persistent inflation and uneven economic performance. However, the technology and semiconductor sectors, which are important for the office REIT industry, are expected to continue driving market growth. The political landscape, particularly the new administration's policies, may also impact the sector's performance.
 Score: 75</t>
  </si>
  <si>
    <t>Investment Report:
 Conagra Brands, a leading packaged foods and meats company, has not seen any significant news in the past week. However, the firm's recent financial data provides some insights into its current performance and valuation.
 Financials:
 - Conagra Brands' stock has seen a mixed performance, with the share price fluctuating between $99.64 and $102.15 in the past trading session.
 - The company's financial metrics, such as a trailing P/E ratio of 11.86 and a forward P/E ratio of 11.92, suggest that the stock may be undervalued compared to its industry peers.
 - Conagra Brands' dividend yield of 3.12% and a payout ratio of 34.64% indicate a relatively stable and sustainable dividend policy.
 Valuation:
 - The company's market capitalization of $129.3 billion and an enterprise value of $126.6 billion suggest that it is a sizable player in the packaged foods and meats industry.
 - Conagra Brands' price-to-sales ratio of 2.27 and price-to-book ratio of 2.31 are in line with the industry average, indicating that the stock may be fairly valued.
 Economic Outlook:
 - The overall macroeconomic environment remains mixed, with concerns about persistent inflation and potential volatility in the stock market.
 - However, the packaged foods and meats industry is generally considered a defensive sector, which may provide some stability and resilience during periods of economic uncertainty.
 Score: 75</t>
  </si>
  <si>
    <t>Investment Report:
 The recent financial data for Cboe Global Markets, a leading financial exchanges and data provider, presents a mixed picture. While the company's stock has seen a decline of around 20% in the past 52 weeks, its current valuation metrics suggest potential upside.
 The firm's strong financial performance is evident in its profitability metrics, with a trailing P/E ratio of 21.92 and a forward P/E of 17.64, indicating that the stock may be undervalued. Additionally, the company's dividend yield of 1.39% and a payout ratio of 30.32% suggest a stable and sustainable dividend policy.
 However, the firm's revenue growth has been slightly negative, declining by 2% in the latest reported period. This could be a concern, as the financial exchanges and data industry is highly competitive and subject to regulatory changes.
 The macroeconomic outlook for the U.S. stock market is expected to be mixed, with potential volatility and uneven performance across sectors. The rise of emerging technologies, particularly artificial intelligence, could present both opportunities and challenges for the industry.
 Overall, Cboe Global Markets' financial position and valuation metrics suggest potential investment value, but investors should closely monitor the company's performance and the broader market conditions.
 Score: 75</t>
  </si>
  <si>
    <t>Investment Report:
 The recent news of CBRE Group combining its project management business with Turner &amp; Townsend is a strategic move to enhance transparency for investors. This combination is expected to provide greater visibility into the company's operations and financial performance, which could be beneficial for investors.
 Financially, CBRE Group appears to be in a strong position. The company's financial data shows a healthy balance sheet, with a current ratio of 1.388 and a quick ratio of 0.511, indicating the ability to meet short-term obligations. The company's profitability metrics, such as profit margins and return on assets and equity, are also relatively strong.
 However, the stock's valuation metrics, such as the forward P/E ratio of 21.00, suggest that the market may have already priced in the company's growth potential. Additionally, the stock has experienced a 52-week change of 11.25%, which is lower than the S&amp;P 500's 24.93% change over the same period.
 The overall economic outlook for the real estate services industry remains mixed, with concerns about rising interest rates and potential slowdown in the housing market. However, the continued growth in commercial real estate and the increasing demand for project management services could provide opportunities for CBRE Group.
 Score: 75</t>
  </si>
  <si>
    <t>Investment Report:
 The recent news surrounding T-Mobile US (TMUS) presents a mixed outlook for the company. On one hand, the state of Washington's lawsuit over the 2021 data breach that affected over 79 million customers raises concerns about the company's data security practices and potential legal liabilities. This incident could negatively impact T-Mobile's reputation and lead to increased regulatory scrutiny, which could weigh on the stock's performance.
 On the other hand, the company's financial data suggests a relatively strong position. T-Mobile's stock has a forward P/E ratio of 19.61, which is lower than the industry average, indicating potential undervaluation. Additionally, the company's profitability metrics, such as profit margins and return on equity, are relatively healthy. The positive earnings surprise history and the analysts' expectations of continued strong performance also provide a favorable outlook.
 The broader economic and market conditions also play a role in T-Mobile's prospects. The mixed macroeconomic signals, including resilient labor market, slowing business spending, and persistent inflation concerns, could contribute to market volatility and impact the stock's performance in the short term. However, the long-term growth potential of the telecommunications industry, driven by the rise of emerging technologies like 5G and the increasing demand for wireless services, may benefit T-Mobile in the medium to long term.
 Score: 75</t>
  </si>
  <si>
    <t>Investment Report:
 Recent News: The recent news indicates that Brown &amp; Brown (BRO) has an impressive earnings surprise history and currently possesses the right combination of the two key ingredients for a likely beat in its next quarterly report. This suggests that the company may continue to outperform expectations, which could be a positive sign for investors.
 Financials: Brown &amp; Brown's financial data shows a mixed picture. The company has a high trailing P/E ratio of 39.07, indicating that the stock may be overvalued. However, the forward P/E ratio of 24.05 suggests that the market expects the company's earnings to improve in the future. The company's profitability metrics, such as profit margins and return on assets and equity, are also relatively strong.
 Valuations: The stock's current valuation, with a price-to-sales ratio of 4.05 and a price-to-book ratio of 11.94, suggests that it may be trading at a premium compared to its peers. However, the company's strong financial performance and growth potential could justify the higher valuation.
 Economic Outlook: The overall macroeconomic outlook, as discussed in the provided context, is mixed. While the U.S. economy is expected to see strong earnings growth, there are also concerns about potential volatility, inflation, and uneven economic performance. These factors could impact the insurance industry and, consequently, Brown &amp; Brown's performance.
 Score: 75</t>
  </si>
  <si>
    <t>Investment Report:
 Omnicom Group, a leading global advertising and marketing communications company, has not seen any significant news or developments in the past week. However, the firm's latest financial data provides some insights into its current performance and valuation.
 Financials:
 Omnicom's stock has shown a mixed performance, with the share price fluctuating between $50.60 and $51.85 in the recent trading session. The company's dividend yield of 1.73% and a payout ratio of 23.01% suggest a relatively stable dividend policy. The firm's trailing P/E ratio of 13.91 and forward P/E ratio of 14.25 indicate that the stock may be reasonably valued compared to its earnings.
 Valuation:
 Omnicom's market capitalization stands at $47.64 billion, with a price-to-sales ratio of 1.76 and a price-to-book ratio of 1.81. These valuation metrics suggest that the stock may be trading at a discount compared to its intrinsic value and industry peers.
 Economic Outlook:
 The overall macroeconomic environment remains mixed, with concerns about persistent inflation and potential volatility in the stock market. However, the advertising industry is expected to benefit from the continued growth in digital advertising and the recovery of the broader economy.
 Score: 75</t>
  </si>
  <si>
    <t>Investment Report:
 ONEOK, a leading midstream energy company in the Oil &amp; Gas Storage &amp; Transportation industry, has seen a mixed performance in recent weeks. While the company's financial data shows stable metrics, such as a healthy dividend yield, reasonable valuation ratios, and strong profitability, the lack of recent news may indicate a period of relative calm for the firm.
 The macroeconomic outlook for the energy sector remains cautiously optimistic, with the potential for continued volatility in the market. However, ONEOK's diversified operations and focus on midstream activities could provide some stability compared to more upstream-oriented companies.
 The firm's financial data suggests a solid financial position, with a healthy balance sheet, strong cash flow, and reasonable debt levels. The company's valuation metrics, such as the forward P/E ratio, indicate that the stock may be reasonably priced, though the overall market sentiment and economic conditions will likely play a significant role in the stock's performance.
 Overall, while the lack of recent news may limit the immediate investment potential, ONEOK's fundamentals and industry positioning suggest that the company could be a relatively stable and potentially attractive long-term investment option, particularly for investors seeking exposure to the midstream energy sector.
 Score: 75</t>
  </si>
  <si>
    <t>Investment Report:
 Recent News: Truist Financial (TFC) has an impressive earnings surprise history, consistently beating earnings estimates. This suggests the company possesses the right combination of factors to potentially beat earnings again in its next quarterly report.
 Financials: Truist Financial's financial data shows a mixed picture. The company's valuation metrics, such as a forward P/E ratio of 53.41, indicate it may be overvalued compared to the industry. However, its profitability metrics, including a profit margin of 11.39% and a return on equity of 7.73%, suggest the company is performing well.
 Economic Outlook: The overall macroeconomic environment remains mixed, with concerns about potential volatility, inflation, and uneven economic performance. However, the U.S. economy is expected to see strong earnings growth of 12-13% in 2025, which could benefit Truist Financial.
 Valuation: Truist Financial's stock price has seen a 41.56% increase over the past 52 weeks, outperforming the S&amp;P 500's 24.93% gain. The company's target mean price of $669.51 suggests potential upside, but its high valuation metrics may limit further gains in the near term.
 Score: 75</t>
  </si>
  <si>
    <t>Investment Report:
 Recent News: M&amp;T Bank (MTB) has an impressive earnings surprise history and currently possesses the right combination of the two key ingredients for a likely beat in its next quarterly report. The bank's loan portfolio, mainly consisting of C&amp;I loans, reflects a disciplined approach to underwriting, though the performance may be underwhelming. The dividend profile and the valuation, however, establish a bullish case for MTB.
 Financials: M&amp;T Bank's financial data shows a mixed picture. The bank's stock has a trailing P/E ratio of 10.9, indicating it may be undervalued compared to the industry average. However, the forward P/E ratio of 14.2 suggests the market expects the bank's earnings to decline in the future. The bank's dividend yield of 2.59% is also lower than the industry average, but its dividend growth history and payout ratio of 25.6% suggest the dividend is sustainable.
 Valuation: M&amp;T Bank's valuation metrics, such as the price-to-book ratio of 2.41 and the enterprise value-to-revenue ratio of 0.534, suggest the stock may be reasonably valued. The bank's target mean price of $168.79 and median price of $174.00 also indicate potential upside from the current trading price.
 Economic Outlook: The overall macroeconomic environment remains mixed, with concerns about persistent inflation and uneven economic performance. However, the expected earnings growth in the U.S. stock market and the potential impact of emerging technologies like AI could provide a favorable backdrop for the regional banking sector.
 Score: 75</t>
  </si>
  <si>
    <t>Investment Report:
 McCormick &amp; Company, a leading global producer and distributor of spices, seasonings, and other food products, has not seen any significant news developments in the past week. However, the company's latest financial data provides some insights into its current performance and valuation.
 Financials:
 - The stock is trading at a forward P/E ratio of 9.92, indicating it may be undervalued compared to the industry average.
 - The company has a strong balance sheet, with a quick ratio of 2.27 and a current ratio of 2.49, suggesting good liquidity.
 - McCormick's profitability metrics, such as profit margins (17.86%) and return on assets (12.40%), are relatively healthy.
 - The company has a low debt-to-equity ratio, suggesting a conservative financial structure.
 Valuation:
 - The stock is trading at a discount to its 52-week high of $42.43, with a current price of $32.64.
 - The average analyst price target is $36.69, suggesting a potential upside of around 12% from the current level.
 - The company's dividend yield of 2.28% is lower than the industry average, but it has a history of consistent dividend payments.
 Economic Outlook:
 - The overall macroeconomic environment remains mixed, with concerns about inflation and potential market volatility.
 - However, the packaged foods and meats industry is generally considered defensive, as consumers tend to maintain their spending on essential items even during economic downturns.
 Score: 75</t>
  </si>
  <si>
    <t>Investment Report:
 MarketAxess, a leading provider of electronic trading platforms for fixed-income securities, has seen a mixed performance in recent weeks. While the company's financial data shows strong fundamentals, such as a healthy dividend yield, low debt levels, and robust profitability, the lack of recent news may indicate a period of relative stability or uncertainty.
 The firm's valuation metrics, including a forward P/E ratio of 11.87 and a price-to-book ratio of 1.21, suggest that the stock may be reasonably valued compared to its peers. Additionally, the company's strong market position and continued growth in electronic trading volumes could provide a positive outlook for the future.
 However, the overall economic and market conditions, as highlighted in the provided macroeconomic summary, may introduce some volatility and uncertainty in the near term. Factors such as persistent inflation, uneven economic performance, and potential policy changes could impact the financial exchanges and data industry, to which MarketAxess belongs.
 Considering the mixed signals from the firm's financials and the broader market environment, a cautious and balanced approach may be warranted when evaluating the investment potential of MarketAxess.
 Score: 75</t>
  </si>
  <si>
    <t>Investment Report:
 Moderna, the biotechnology company known for its breakthrough COVID-19 vaccines, is now expanding its focus to personalized cancer therapies through a partnership with Merck. This diversification, along with promising Phase III trials, presents a speculative investment opportunity for long-term investors with a high-risk tolerance.
 Recent News:
 - Moderna's partnership with Merck in personalized cancer therapies and promising Phase III trials support a speculative 'Buy' for long-term investors.
 - Despite a tough 2024, MRNA's pipeline reprioritization and $9 billion cash reserve position it for potential blockbuster products and revenue growth by 2028.
 - Financial discipline has reduced cash burn and extended runway, with upcoming Phase III results in oncology and CMV expected to drive future profitability.
 Financials:
 - Moderna's stock is currently trading at $40 with a $15 billion market cap, down from its previous highs.
 - The company has $3+ billion in revenue and a promising pipeline, but its spending issue is a concern.
 - The potential of its CMV and cancer vaccines could significantly boost sales and justify current R&amp;D expenses.
 Economic Outlook:
 - The biotechnology sector is expected to see continued growth, driven by advancements in personalized medicine and the development of novel therapies.
 - However, the industry also faces challenges, such as regulatory hurdles and competition from larger pharmaceutical companies.
 Score: 75</t>
  </si>
  <si>
    <t>Investment Report:
 Mohawk Industries, a leading manufacturer of flooring products, has not seen any significant news developments in the past week. However, the company's latest financial data provides insights into its current performance and valuation.
 Financials:
 Mohawk Industries' financial metrics indicate a mixed picture. The company's profitability ratios, such as profit margins and return on assets, are relatively strong, suggesting solid operational efficiency. However, the company's valuation metrics, including a high price-to-earnings ratio and a relatively low dividend yield, may raise concerns about its current stock price.
 Valuation:
 Mohawk Industries' stock is trading at a forward price-to-earnings ratio of 28.5, which is higher than the industry average. This suggests that the market may be pricing in higher growth expectations for the company. Additionally, the company's dividend yield of 0.78% is relatively low compared to its peers, which could be a concern for income-oriented investors.
 Economic Outlook:
 The overall macroeconomic environment remains mixed, with concerns about persistent inflation and potential volatility in the stock market. However, the home furnishings industry, in which Mohawk Industries operates, may benefit from continued strength in the housing market and consumer spending.
 Score: 75</t>
  </si>
  <si>
    <t>Investment Report:
 The recent news and financial data suggest that Norwegian Cruise Line Holdings Ltd. (NCLH) is a strong value stock in the Hotels, Resorts &amp; Cruise Lines industry. The company's stock has received significant attention from investors, indicating potential opportunities.
 Financials:
 Norwegian Cruise Line's financial data shows a mixed picture. The company's stock is trading at a forward P/E ratio of 17.59, suggesting it is undervalued compared to the industry average. However, its debt-to-equity ratio of 128.64 is relatively high, which could be a concern. The company's profitability metrics, such as profit margins and return on equity, are also relatively strong.
 Valuation:
 The stock's current valuation, with a price-to-book ratio of 3.89 and a price-to-sales ratio of 4.40, suggests it may be reasonably priced. The company's target mean price of $276.40 and median price of $284.00 indicate potential upside for investors.
 Economic Outlook:
 The overall macroeconomic environment appears to be mixed, with concerns about inflation and potential volatility in the stock market. However, the expected strong earnings growth in the U.S. economy and the continued development of emerging technologies, such as artificial intelligence, could provide tailwinds for the cruise line industry.
 Score: 75</t>
  </si>
  <si>
    <t>Investment Report:
 Mettler Toledo, a leading provider of precision instruments and services for various industries, including life sciences, has not seen any significant news developments in the past week. However, the company's financial data suggests a mixed outlook.
 Financials:
 - The stock is trading at a forward P/E ratio of 29.6, indicating a relatively high valuation compared to the industry average.
 - The company's profitability metrics, such as profit margins (21.1%) and EBITDA margins (30.4%), are strong, suggesting a healthy financial performance.
 - Mettler Toledo's revenue growth (1.3%) and earnings growth (8.1%) have been modest, which could be a concern for investors seeking higher growth.
 Valuation and Economic Outlook:
 - The stock is trading near the middle of its 52-week range, with a target mean price of $1,340, suggesting potential upside.
 - However, the overall macroeconomic environment remains uncertain, with concerns about persistent inflation and potential volatility in the markets.
 In summary, Mettler Toledo's financial performance and valuation metrics are generally positive, but the company's growth rates and the broader economic conditions may temper the investment appeal in the near term.
 Score: 75</t>
  </si>
  <si>
    <t>Investment Report:
 Molina Healthcare, a leading provider of managed healthcare services, has not seen any significant news or developments in the past week. However, the company's latest financial data provides some insights into its current performance and valuation.
 Financials:
 Molina Healthcare's stock has a previous close of $55.27 and has seen a slight increase in its opening price to $55.37. The stock has traded within a range of $55.32 to $56.68 during the day. The company's dividend rate stands at $1.76, with a dividend yield of 3.15% and a payout ratio of 38.96%.
 Valuation:
 The company's valuation metrics suggest it is trading at a relatively low price-to-earnings (P/E) ratio of 12.60 on a trailing basis and 9.37 on a forward basis. The price-to-book (P/B) ratio is 0.87, indicating the stock may be undervalued compared to its book value. The company's enterprise value-to-revenue (EV/Revenue) and enterprise value-to-EBITDA (EV/EBITDA) ratios are 1.49 and 7.18, respectively, suggesting the stock may be reasonably valued.
 Economic Outlook:
 The overall macroeconomic environment remains mixed, with concerns about potential volatility, inflation, and uneven economic performance. However, the managed healthcare industry is expected to continue benefiting from the ongoing trends in the healthcare sector, such as the aging population and the increasing demand for healthcare services.
 Score: 75</t>
  </si>
  <si>
    <t>Investment Report:
 Recent News: Wall Street analysts have been largely positive on Marathon Petroleum (MPC), with the majority recommending a "hold" rating on the stock. This suggests that the analysts see the company as a reasonable investment, but not necessarily a strong buy. The analysts' average target price of $279 implies a potential upside of around 23% from the current market price.
 Financials: Marathon Petroleum's recent financial data shows a mixed picture. The company's profitability metrics, such as profit margins and return on assets, are relatively strong, indicating a healthy financial performance. However, the company's debt-to-equity ratio of 5.424 is on the higher side, which could be a concern for some investors.
 Valuations: Marathon Petroleum's valuation metrics, such as the forward P/E ratio of 27.14 and the price-to-book ratio of 6.05, suggest that the stock may be trading at a premium compared to its peers. This could be due to the company's strong market position and growth prospects in the oil and gas refining and marketing industry.
 Economic Outlook: The overall macroeconomic environment is expected to be mixed, with concerns about persistent inflation and potential volatility in the stock market. However, the oil and gas industry is likely to benefit from the continued recovery in global energy demand, which could positively impact Marathon Petroleum's performance.
 Score: 75</t>
  </si>
  <si>
    <t>Investment Report:
 American Tower, a leading telecom tower REIT, has seen a mixed performance in recent weeks. The company's stock price has fluctuated, with the previous close at $72.81 and the current day's trading range between $72.31 and $73.95.
 Financials:
 American Tower's financial data shows a relatively strong position, with a market capitalization of $45.2 billion and a forward P/E ratio of 10.97, indicating potential undervaluation. The company's dividend yield of 2.21% and payout ratio of 30.22% suggest a balanced approach to shareholder returns. However, the company's profitability margins have been under pressure, with a trailing 12-month profit margin of -4.88%.
 Valuation and Economic Outlook:
 The telecom tower industry is expected to benefit from the ongoing 5G rollout and increasing demand for wireless infrastructure. American Tower's valuation metrics, such as the price-to-sales ratio of 1.00 and the enterprise value-to-EBITDA ratio of 4.95, suggest the stock may be reasonably priced. However, the broader economic outlook remains mixed, with concerns about inflation and potential market volatility.
 Overall, American Tower's fundamentals appear relatively strong, but the company's performance may be influenced by the broader economic and industry trends. Investors should closely monitor the company's financial performance and any developments in the telecom tower sector.
 Score: 75</t>
  </si>
  <si>
    <t>Investment Report:
 Amgen (AMGN) is a leading biotechnology company that has been facing a mixed outlook in recent months. The company's stock has underperformed the broader market, declining by over 1% in the latest trading session, despite the overall market gains.
 The recent news highlights both positive and negative developments for Amgen. On the positive side, the company has an impressive earnings surprise history and is expected to beat estimates in its upcoming earnings report. Additionally, analysts have upgraded the stock, citing Amgen's strong product portfolio, pipeline developments, and deleveraging efforts.
 However, the company's weight loss drug has failed to excite the market, leading to a significant stock price decline in the fourth quarter of 2024. This has resulted in the formation of a "death cross" pattern, which could signal further downside potential.
 Financially, Amgen remains in a robust position, with a strong balance sheet, healthy cash flow, and solid profitability metrics. The company's revenue and non-GAAP earnings per share have been growing, and it is on track to return to its pre-Horizon capital structure by the end of 2025.
 The overall macroeconomic outlook, including concerns about persistent inflation and uneven economic performance, may also impact Amgen's performance in the short to medium term. However, the company's long-term prospects remain positive, with the rise of emerging technologies like AI offering significant growth opportunities.
 Score: 75</t>
  </si>
  <si>
    <t>Investment Report:
 West Pharmaceutical Services is a leading manufacturer of packaging components and delivery systems for injectable drugs and healthcare products. The company's recent financial data shows a mixed performance, with a decline in revenue growth and earnings growth compared to the previous year. However, the company's profitability metrics, such as profit margins and return on assets, remain strong.
 The company's valuation metrics, including a high price-to-earnings ratio and price-to-book ratio, suggest that the stock may be trading at a premium compared to its peers. The company's dividend yield is relatively low, but it has a history of consistent dividend payments.
 The overall economic outlook for the healthcare industry remains positive, with continued demand for pharmaceutical and medical products. However, the company may face challenges from supply chain disruptions, pricing pressures, and regulatory changes in the industry.
 Score: 75</t>
  </si>
  <si>
    <t>Investment Report:
 The latest financial data for Ansys, a leading provider of engineering simulation software, shows a mixed picture. The company's stock has seen a decline in recent trading, with the share price dropping from its previous close of $215.37 to a day low of $214.775. However, the stock has also reached a day high of $221.53, indicating some volatility in the market.
 Financially, Ansys appears to be in a strong position, with a market capitalization of over $108 billion and a healthy balance sheet. The company's profitability metrics, such as profit margins and return on assets, are also relatively strong. However, the stock's valuation, as reflected in its high trailing and forward P/E ratios, may be a concern for some investors.
 The broader economic outlook, with expectations of continued earnings growth and potential market volatility, could also impact Ansys's performance in the near term. The company's exposure to the technology and engineering sectors may make it susceptible to changes in these industries.
 Overall, Ansys's financial fundamentals and market position suggest that it could be a viable investment option, but investors should carefully consider the potential risks and volatility in the current market environment.
 Score: 75</t>
  </si>
  <si>
    <t>Investment Report:
 Allstate (ALL) is a leading property and casualty insurance provider in the United States. The company's recent emphasis on cost reduction and efficiency improvements is poised to bolster its profitability and support long-term growth.
 Financials:
 Allstate's financial data shows a mixed picture. The company's stock is trading at a relatively cheaper valuation, with a forward P/E ratio of 16.6 compared to the industry average. However, its debt-to-equity ratio of 162.9% is significantly higher than the industry average, which could raise concerns about its financial leverage.
 Valuation:
 Allstate's stock is currently trading at a discount compared to its 52-week high of $156.1. The company's target mean price of $146.29 suggests a potential upside of around 12% from the current market price. This could indicate that the stock is undervalued and presents a potential buying opportunity.
 Economic Outlook:
 The overall macroeconomic environment remains mixed, with concerns about persistent inflation and uneven economic performance. However, the expected strong earnings growth in the U.S. stock market, particularly in the technology and semiconductor sectors, could provide a favorable backdrop for Allstate's performance.
 Score: 75</t>
  </si>
  <si>
    <t>Investment Report:
 Align Technology, a leading provider of clear aligner products, has seen its shares come under pressure over the past year due to soft consumer demand. However, the recent news suggests that the company is poised for a turnaround in 2025.
 The recent upgrade by Leerink Partners cites upside opportunities throughout the year, driven by gross margin expansion opportunities. This aligns with the expectation that Align Technology's growth will accelerate to at least 5% in FY25, primarily driven by strong demand for the company's systems and services sold to doctors.
 The firm's financial data shows a mixed picture, with the stock trading at a relatively high forward P/E ratio of 37.76, but also exhibiting a low payout ratio of 3.13 and a decent dividend yield of 5.4%. The company's profitability metrics, such as profit margins and return on assets and equity, suggest room for improvement.
 The overall economic outlook remains a concern, with potential headwinds clouding the attractive growth story of Align Technology. However, the company's restructuring efforts and the expected improvement in profit margins could help offset these challenges.
 Score: 75</t>
  </si>
  <si>
    <t>Investment Report:
 Allegion, a leading provider of security products and solutions, has not seen any significant news or developments in the past week. However, the company's latest financial data provides some insights into its current performance and valuation.
 Financials:
 Allegion's stock has seen a mixed performance, with the share price fluctuating between $57.13 and $58.23 during the day. The company's dividend yield of 3.29% and payout ratio of 73.64% suggest a relatively stable dividend policy. The company's trailing and forward P/E ratios of 22.30 and 17.81, respectively, indicate that the stock may be reasonably valued.
 Valuation:
 Allegion's market capitalization stands at $14.71 billion, and the stock is trading at a price-to-sales ratio of 3.71, which is slightly higher than the industry average. The company's enterprise value-to-EBITDA ratio of 15.16 suggests that the stock may be fairly valued.
 Economic Outlook:
 The overall macroeconomic environment remains mixed, with concerns about persistent inflation and potential volatility in the stock market. However, the building products industry, in which Allegion operates, is expected to benefit from continued strength in the housing market and infrastructure spending.
 Score: 75</t>
  </si>
  <si>
    <t>Investment Report:
 Amcor, a leading global packaging company, recently announced the liquidation of its 50% stake in the BCNA joint venture for $122 million. This move aligns with Amcor's strategy to streamline its operations and focus on its core business. The BCNA joint venture had generated approximately $190 million in total sales and $19 million in adjusted EBIT in fiscal 2024, indicating that the divestment is not expected to have a significant impact on Amcor's overall financial performance.
 Amcor's financial data shows a mixed picture. The company's stock price has been trading in the range of $224-$229 per share, with a 52-week high of $233 and a 52-week low of $148.21. The company's valuation metrics, such as a forward P/E ratio of 36.88 and a price-to-book ratio of 9.23, suggest that the stock may be trading at a premium compared to its peers. However, Amcor's strong financial position, with a healthy balance sheet and robust cash flow, could support its growth and investment plans.
 The overall macroeconomic outlook for the paper and plastic packaging industry remains cautiously optimistic. While the economy is expected to see strong earnings growth in 2025, there are concerns about potential volatility, persistent inflation, and uneven economic performance. The rise of emerging technologies, particularly artificial intelligence, could also present both opportunities and challenges for the industry.
 Score: 75</t>
  </si>
  <si>
    <t>Investment Report:
 Akamai Technologies (AKAM) has seen its stock price slide by 1.95% in the latest trading session, despite the overall market rising. This underperformance could be attributed to a few factors:
 1. Macroeconomic Outlook: The recent macroeconomic data and market trends suggest a mixed outlook, with concerns about potential volatility, inflation, and uneven economic performance. This uncertainty may be weighing on investor sentiment towards Akamai and the broader technology sector.
 2. Industry Dynamics: The Internet Services &amp; Infrastructure industry, in which Akamai operates, is highly competitive and subject to rapid technological changes. The company's ability to maintain its competitive edge and adapt to evolving market demands will be crucial for its long-term success.
 3. Valuation and Financials: Akamai's financial data shows a mixed picture, with a relatively high forward P/E ratio of 13.76 and a trailing P/E ratio of 27.63. While the company's profitability metrics, such as profit margins and return on equity, appear solid, investors may be concerned about the company's growth prospects and valuation.
 4. Analyst Recommendations: The latest analyst recommendations for Akamai are generally positive, with a "buy" rating and a target mean price of $113.74, suggesting potential upside from the current trading price. However, the range of target prices, from $76 to $140, indicates a high degree of uncertainty and divergent views among analysts.
 Overall, Akamai Technologies faces a challenging market environment, with a mix of positive and negative factors influencing its stock performance. Investors should closely monitor the company's ability to navigate the industry's competitive landscape and adapt to changing market conditions.
 Score: 70</t>
  </si>
  <si>
    <t>Investment Report:
 Ametek, a leading manufacturer of electronic instruments and electromechanical devices, operates in the Electrical Components &amp; Equipment industry. The company's recent financial data shows a trailing PEG ratio of 2.76, indicating that the stock may be slightly overvalued compared to its earnings growth potential.
 The Electrical Components &amp; Equipment industry is expected to benefit from the continued growth in the technology and industrial sectors, as well as the increasing demand for energy-efficient and smart devices. However, the industry may also face challenges from supply chain disruptions, rising input costs, and potential changes in government regulations.
 The overall macroeconomic outlook for the U.S. economy is mixed, with expectations of strong earnings growth but also concerns about persistent inflation, uneven economic performance, and potential policy changes. These factors could impact the performance of Ametek and the broader industry.
 Score: 70</t>
  </si>
  <si>
    <t>Investment Report:
 American Water Works, a leading water utility company, operates in a relatively stable industry with consistent demand for its services. The firm's recent financial data shows a mixed picture, with a decline in its stock price over the past year, but still maintaining a healthy dividend yield and profitability.
 The company's valuation metrics, such as a forward P/E ratio of 21.3 and a price-to-book ratio of 2.29, suggest that the stock may be reasonably valued, though not necessarily undervalued. The firm's debt-to-equity ratio of 129.6% is on the higher side, which could be a concern for some investors.
 The overall economic outlook for the water utilities industry remains stable, as the demand for clean water and wastewater services is expected to continue. However, the firm may face challenges from regulatory changes, infrastructure investment requirements, and potential competition from alternative water sources.
 Given the mixed financial performance and the relatively stable industry outlook, the investment value of American Water Works for the next month is assessed as follows:
 Score: 70</t>
  </si>
  <si>
    <t>Investment Report:
 Carrier Global, a leading provider of building products and services, has not seen any significant news developments in the past week. However, the company's latest financial data provides insights into its current performance and valuation.
 Financials:
 Carrier Global's financial metrics indicate a mixed picture. The company's profitability ratios, such as profit margins and return on assets, are relatively strong, suggesting solid operational efficiency. However, the company's debt-to-equity ratio is high at 195.336, which could be a concern for investors. Additionally, the company's earnings growth and revenue growth have been negative in recent quarters, indicating potential challenges in the business.
 Valuation:
 Carrier Global's valuation metrics, such as the forward P/E ratio of 16.434 and the price-to-book ratio of 9.065, suggest that the stock may be reasonably valued compared to its peers. The company's dividend yield of 1.55% and the five-year average dividend yield of 2.13% could also be attractive for income-oriented investors.
 Economic Outlook:
 The overall macroeconomic environment, as summarized in the provided context, appears to be mixed. While the U.S. economy is expected to see strong earnings growth, there are concerns about potential volatility, inflation, and uneven economic performance. These factors could impact the building products industry and, consequently, Carrier Global's performance.
 Score: 70</t>
  </si>
  <si>
    <t>Investment Report:
 Axon Enterprises, a leading provider of technology solutions for law enforcement and public safety, has seen its stock price retreat in recent weeks after a strong performance in 2023. The recent financial data shows that the company's stock has dropped by 15% from its highest level this year, with the price currently trading around the $600 support level.
 The company's financial metrics indicate a mixed picture. While Axon's revenue growth and profitability margins are strong, the stock's valuation remains elevated, with a forward P/E ratio of over 90. This suggests that the market may be pricing in significant growth expectations, which could make the stock vulnerable to any potential disappointments.
 One key risk facing Axon is the potential impact of the ongoing political and economic uncertainty in the United States. The upcoming presidential transition and the potential for policy changes could create volatility in the market, particularly for companies like Axon that are heavily dependent on government contracts.
 Additionally, the broader macroeconomic outlook remains uncertain, with concerns about inflation, interest rate hikes, and the potential for a slowdown in economic growth. These factors could weigh on the performance of Axon's stock in the near term.
 Overall, while Axon Enterprises remains a well-positioned company in the Aerospace &amp; Defense industry, the current market conditions and the potential risks facing the company suggest that investors should approach the stock with caution in the near term.
 Score: 70</t>
  </si>
  <si>
    <t>Investment Report:
 Viatris, a global pharmaceutical company, has been in the "neutral/hold" category since 2021. Despite the stock lagging Treasury bills, the company has been generating a high double-digit "free cash flow yield," which is a positive sign.
 Recent News:
 The recent news highlights that Viatris' business is stabilizing, and the company is looking at a high free cash flow yield. This suggests that the company's financial performance may be improving, which could be a positive factor for investors.
 Financials:
 Viatris' financial data shows a mixed picture. The company's profitability metrics, such as profit margins and return on equity, are negative, indicating some challenges. However, the company's free cash flow and cash position appear to be relatively strong, which could be a positive factor.
 Valuations:
 Viatris' valuation metrics, such as the forward P/E ratio and price-to-sales ratio, suggest that the stock may be undervalued compared to its peers. This could make the stock an attractive investment opportunity for value-oriented investors.
 Economic Outlook:
 The overall macroeconomic outlook, as discussed in the provided context, is mixed. While the U.S. economy is expected to see strong earnings growth, there are also concerns about potential volatility, inflation, and uneven economic performance. These factors could impact Viatris' business and stock performance.
 Score: 70</t>
  </si>
  <si>
    <t>Investment Report:
 The recent financial data for Ventas, a leading Health Care REITs company, presents a mixed picture. While the company's stock price has seen some volatility, with the share price ranging from $121.58 to $125.00 in the past trading session, the overall financial metrics suggest potential investment value.
 The company's dividend yield of 3.5% and a payout ratio of 37.2% indicate a stable and sustainable dividend policy. Additionally, the company's forward P/E ratio of 13.96 suggests that the stock may be reasonably valued compared to its earnings potential.
 However, the company's trailing P/E ratio of 10.74 and the 52-week low of $116.84 suggest that the stock may be undervalued compared to its historical performance. The company's profitability metrics, such as profit margins and return on assets, also appear to be relatively low compared to industry peers.
 The macroeconomic outlook for the Health Care REITs industry remains cautiously optimistic, with the sector expected to benefit from the aging population and the increasing demand for healthcare services. However, the industry may also face challenges from rising interest rates and potential changes in healthcare policies.
 Overall, the recent financial data and the industry outlook suggest that Ventas may have some investment potential, but investors should carefully consider the company's valuation, profitability, and the broader economic and industry trends before making any investment decisions.
 Score: 70</t>
  </si>
  <si>
    <t>Investment Report:
 Wynn Resorts, a leading player in the Casinos &amp; Gaming industry, has seen a mixed performance in recent weeks. While the company's financial data shows some positive indicators, such as a relatively low beta of 0.398 and a reasonable forward P/E ratio of 17.03, there are also areas of concern.
 The company's stock price has been volatile, with the share price fluctuating between $64.99 and $66.42 in the latest trading session. This volatility may be attributed to the broader economic and industry-specific challenges facing the Casinos &amp; Gaming sector.
 The macroeconomic outlook for the U.S. economy is mixed, with expectations of strong earnings growth but also concerns about potential volatility, inflation, and uneven economic performance. These factors could have a direct impact on the performance of Wynn Resorts and the broader gaming industry.
 Additionally, the political landscape, particularly the upcoming second term of President Donald Trump, could bring changes in regulations and policies that may affect the company's operations and profitability.
 Overall, while Wynn Resorts has some positive financial indicators, the company's performance is likely to be influenced by the broader economic and industry-specific factors, as well as the evolving political landscape. Investors should closely monitor the company's developments and the market conditions before making any investment decisions.
 Score: 70</t>
  </si>
  <si>
    <t>Investment Report:
 The recent financial data for Monster Beverage Corporation, a leading player in the Soft Drinks &amp; Non-alcoholic Beverages industry, presents a mixed picture. While the company's stock has seen a decline of 18.82% in the past 52 weeks, the overall market, as represented by the S&amp;P 500, has seen a 24.93% increase during the same period.
 The company's financial metrics show some areas of strength, such as a strong balance sheet with a relatively low debt-to-equity ratio of 73.232 and a healthy cash position of $1.5 billion. Additionally, the company's profitability ratios, including return on assets (5.36%) and return on equity (13.55%), are respectable.
 However, the company's earnings growth has been negative (-12.5%) in the recent past, and its valuation metrics, such as a forward P/E ratio of 17.2 and a PEG ratio of 4.6, suggest that the stock may be trading at a premium compared to its growth prospects.
 The overall macroeconomic outlook, as discussed in the previous report, indicates a mixed picture, with concerns about potential volatility, inflation, and uneven economic performance. This could have a bearing on the performance of the Soft Drinks &amp; Non-alcoholic Beverages industry, which is sensitive to consumer spending patterns.
 Score: 70</t>
  </si>
  <si>
    <t>Investment Report:
 Welltower, a leading Health Care REITs company, has not seen any significant news or developments in the past week. However, the firm's latest financial data provides insights into its current performance and valuation.
 Financials:
 Welltower's stock has seen a mixed performance, with the share price fluctuating between $123.79 and $126.32 during the recent trading session. The company's dividend rate stands at $2.68, with a dividend yield of 2.16%. The firm's trailing P/E ratio is 78.51, and the forward P/E ratio is 64.95, indicating that the stock may be overvalued compared to its earnings.
 Valuation:
 Welltower's market capitalization is $77.24 billion, and the company's enterprise value is $90.61 billion. The stock's price-to-sales ratio is 10.22, suggesting that the company may be trading at a premium compared to its industry peers. The firm's price-to-book ratio is 2.53, which is relatively high for a REIT company.
 Economic Outlook:
 The overall macroeconomic environment remains mixed, with concerns about persistent inflation and potential volatility in the stock market. However, the healthcare sector, including REITs, is expected to continue performing well, driven by the aging population and the increasing demand for healthcare services.
 Score: 70</t>
  </si>
  <si>
    <t>Investment Report:
 Recent News: Investors have been closely watching Western Digital Corporation (WDC) lately, indicating heightened interest in the stock. This attention could be driven by the company's recent financial performance and industry trends.
 Financials: Western Digital's financial data shows a mixed picture. The company's stock price has seen some volatility, with a 52-week range of $48.96 to $81.55. While the stock's forward P/E ratio of 7.31 suggests potential undervaluation, the high trailing P/E of 72.14 raises concerns about the stock's valuation. Additionally, the company's profitability metrics, such as profit margins and return on assets, are relatively low compared to industry peers.
 Valuation: Western Digital's valuation metrics are somewhat mixed. The stock's price-to-book ratio of 1.95 suggests it may be trading at a discount to its book value, but the high trailing P/E ratio raises questions about the stock's overall valuation. The company's target mean price of $88.80 and median price of $89.50 indicate potential upside, but the range of analyst recommendations, from "buy" to "hold," suggests uncertainty about the stock's near-term prospects.
 Economic Outlook: The broader economic environment is expected to be mixed, with concerns about persistent inflation, uneven economic performance, and potential policy changes. However, the rise of emerging technologies, such as artificial intelligence, could present growth opportunities for the technology hardware and storage industry, which Western Digital operates in.
 Score: 70</t>
  </si>
  <si>
    <t>Investment Report:
 The Mosaic Company (The) is a leading global producer and marketer of concentrated phosphate and potash crop nutrients. The firm's recent financial data shows a mixed picture, with a high trailing P/E ratio of 49.99 and a forward P/E of 30.98, indicating potential overvaluation. However, the company's profitability metrics, such as profit margins (14.66%) and return on assets (13.38%), remain strong.
 The macroeconomic outlook for the fertilizer and agricultural chemicals industry is generally positive, with the global economy expected to see continued growth in 2025. Demand for crop nutrients is likely to remain robust, driven by the need to increase agricultural productivity to meet the growing global population's food requirements.
 However, the firm faces some potential headwinds, such as the ongoing trade tensions and tariff policies that could impact its international operations and supply chain. Additionally, the company's high debt-to-equity ratio of 490% may raise concerns about its financial leverage and ability to weather any economic downturn.
 Overall, while the Mosaic Company (The) appears to be a well-positioned player in the fertilizer industry, the current valuation and financial leverage may warrant a cautious approach. Investors should closely monitor the company's performance and any developments in the broader macroeconomic and industry landscape that could affect its future prospects.
 Score: 70</t>
  </si>
  <si>
    <t>Investment Report:
 LKQ Corporation, a leading provider of alternative and specialty parts for the automotive industry, has seen a mixed performance in recent weeks. While the company's financial data shows some positive indicators, such as a relatively low forward P/E ratio of 10.06 and a decent dividend yield of 3.26%, there are also some concerns that may impact the stock's short-term outlook.
 The company's stock price has declined by nearly 22% over the past 52 weeks, underperforming the broader S&amp;P 500 index. This could be attributed to the challenging macroeconomic environment, with rising inflation and interest rates potentially affecting consumer spending and the automotive industry.
 Additionally, the company's earnings growth has been negative in the recent quarter, declining by 8.2%. This, coupled with the overall economic uncertainty, may weigh on investor sentiment in the near term.
 However, LKQ's strong market position, diversified product portfolio, and focus on cost optimization could help the company navigate the current challenges. The company's profitability metrics, such as profit margins and return on equity, remain relatively healthy, suggesting potential for long-term growth.
 Ultimately, the investment decision for LKQ Corporation will depend on an investor's risk tolerance and long-term outlook for the automotive industry. While the short-term outlook may be cautious, the company's fundamentals and market position could make it an attractive investment option for those with a longer-term investment horizon.
 Score: 70</t>
  </si>
  <si>
    <t>Investment Report:
 NetApp, a leading provider of data storage and management solutions, has seen a mixed performance in recent weeks. While the company's financial data shows strong fundamentals, such as a healthy dividend yield, low short interest, and robust profitability metrics, the lack of recent news may indicate a period of relative stability or uncertainty.
 The firm's valuation metrics, including a forward P/E ratio of 35 and a price-to-sales ratio of 16.7, suggest that the stock may be trading at a premium compared to its industry peers. However, the company's strong market position, diversified product portfolio, and growing enterprise customer base could continue to drive long-term growth.
 The overall economic outlook, with expectations of continued earnings growth and potential volatility, may have a mixed impact on NetApp's performance. The technology hardware and storage industry is expected to benefit from the increasing demand for data storage and management solutions, but the company may also face challenges from macroeconomic factors, such as inflation and potential policy changes.
 Given the current market conditions and the company's financial standing, NetApp may present a moderate investment opportunity for investors seeking exposure to the data storage and management sector. However, investors should closely monitor the company's future developments and industry trends to make an informed decision.
 Score: 70</t>
  </si>
  <si>
    <t>Investment Report:
 NVR, Inc., a leading homebuilding company, has seen a mixed performance in recent weeks. While the firm's financial data shows some positive indicators, such as a strong dividend yield and a relatively low forward P/E ratio, there are also concerns about the company's overall risk profile and the potential impact of macroeconomic factors on the homebuilding industry.
 The firm's financial data reveals a solid balance sheet, with a healthy current ratio and a manageable debt-to-equity ratio. However, the company's earnings growth and revenue growth have been negative in recent quarters, which could be a cause for concern. Additionally, the firm's overall risk profile, as indicated by the various risk factors, suggests that investors should exercise caution when considering an investment in NVR.
 The broader economic outlook for the homebuilding industry is also a factor to consider. While the U.S. economy is expected to see strong earnings growth in 2025, there are concerns about potential volatility and uneven economic performance. The political landscape, particularly the policies of the incoming administration, could also have a significant impact on the industry.
 Overall, while NVR, Inc. has some positive financial attributes, the mixed outlook and the firm's risk profile suggest that investors should carefully evaluate the company's prospects before making an investment decision.
 Score: 70</t>
  </si>
  <si>
    <t>Investment Report:
 Recent News: ServiceNow (NOW) has suffered a larger drop than the general market, closing at $1,054.34, a 0.55% decline from the previous day. This underperformance compared to the broader market is noteworthy and may raise concerns among investors.
 Financials: ServiceNow's financial data presents a mixed picture. While the company has a strong balance sheet with a significant cash position and low debt levels, its valuation metrics, such as the price-to-earnings ratio, suggest that the stock may be trading at a premium compared to its peers. Additionally, the company's profitability margins, though healthy, have not shown significant improvement in recent quarters.
 Valuation: ServiceNow's valuation metrics, including a forward price-to-earnings ratio of 26.54 and a price-to-sales ratio of 3.69, indicate that the stock may be trading at a premium compared to its industry peers. This could make the stock more vulnerable to market volatility and potential downside pressure.
 Economic Outlook: The broader economic environment remains uncertain, with concerns about persistent inflation, uneven economic performance, and potential policy changes. These macroeconomic factors could have a significant impact on the performance of technology and software companies like ServiceNow, potentially affecting investor sentiment and the stock's valuation.
 Score: 70</t>
  </si>
  <si>
    <t>Investment Report:
 NiSource, a multi-utilities company, has not seen any significant news in the past week. However, the firm's latest financial data provides some insights into its current performance and valuation.
 Financials:
 - NiSource's stock is trading at a price-to-earnings (P/E) ratio of 25.52, which is higher than the industry average, indicating that the stock may be overvalued.
 - The company's dividend yield of 1.25% is relatively low compared to the industry average, which could be a concern for income-oriented investors.
 - NiSource's debt-to-equity ratio of 56.53% is relatively high, which could be a risk factor for the company's financial stability.
 Valuation:
 - The stock's current price of $207.56 is trading below the average target price of $257.29, suggesting that the stock may be undervalued.
 - However, the stock's 52-week high of $279.38 and low of $204.20 indicate a wide trading range, which could make it difficult to determine the appropriate valuation.
 Economic Outlook:
 - The overall macroeconomic environment remains mixed, with concerns about persistent inflation and potential volatility in the stock market.
 - The multi-utilities industry may be affected by changes in government regulations and policies, which could impact NiSource's operations and financial performance.
 Score: 70</t>
  </si>
  <si>
    <t>Investment Report:
 Recent News:
 Netflix's foray into live programming with the streaming of WWE's "Raw" show is a significant move as the company aims to expand its content offerings and attract more viewers. However, the recent performance of Netflix's stock has been mixed, with analysts expressing concerns about its valuation and the potential impact of its live sports push.
 Financials:
 Netflix's financial data shows a mixed picture. While the company has a strong market capitalization and enterprise value, its profitability metrics, such as profit margins and earnings per share, are relatively weak. The company's debt levels are also relatively high, which could be a concern for investors.
 Valuations:
 Netflix's stock appears to be trading at a premium valuation, with a forward price-to-earnings ratio of around 10. This suggests that the market may be pricing in significant growth expectations for the company. However, some analysts believe that the stock is overvalued in the current market environment.
 Economic Outlook:
 The overall macroeconomic outlook for the US economy is mixed, with concerns about inflation, potential volatility, and uneven economic performance. This could impact the performance of Netflix's stock, as the company's success is closely tied to consumer spending and the broader entertainment industry.
 Score: 70</t>
  </si>
  <si>
    <t>Investment Report:
 Newmont, a leading gold mining company, has not seen any significant news developments in the past week. However, the firm's latest financial data provides insights into its current performance and valuation.
 Financials:
 Newmont's financial metrics indicate a mixed picture. The company's profitability ratios, such as profit margins and return on assets, are relatively low, suggesting potential room for improvement. However, the firm's liquidity ratios, including the quick and current ratios, are healthy, indicating a strong financial position.
 Valuation:
 Newmont's valuation appears to be on the higher side, with a trailing P/E ratio of 44.26 and a forward P/E ratio of 26.13. The company's price-to-book ratio of 1.89 also suggests that the stock may be trading at a premium compared to its book value.
 Economic Outlook:
 The overall macroeconomic environment remains mixed, with concerns about persistent inflation and potential volatility in the markets. However, the gold industry may benefit from the ongoing economic uncertainty, as investors often turn to safe-haven assets like gold during times of market turbulence.
 Score: 70</t>
  </si>
  <si>
    <t>Investment Report:
 Recent News: Lowe's (LOW) stock closed at $248.48, marking a 0.61% increase from the prior trading session. While the stock advanced, it underperformed the broader market.
 Financials: Lowe's financial data shows a mixed picture. The company has a trailing P/E ratio of 20.79 and a forward P/E ratio of 19.71, indicating the stock may be reasonably valued. However, the company's earnings growth has been negative at -10.8%, and its revenue growth has declined by 5.5% year-over-year. Additionally, Lowe's has a high debt load, with total debt of over $40 billion.
 Valuation: Lowe's stock is trading at a price-to-sales ratio of 1.68, which is lower than the industry average, suggesting the stock may be undervalued. The company's dividend yield of 1.69% is also relatively low compared to its historical average.
 Economic Outlook: The overall macroeconomic environment remains mixed, with concerns about persistent inflation and uneven economic performance. However, the home improvement sector has generally been resilient, and the rise of emerging technologies like AI could provide growth opportunities for Lowe's.
 Score: 70</t>
  </si>
  <si>
    <t>Investment Report:
 Microchip Technology is facing a challenging period as it navigates through a sharp deterioration in its end markets. The company's clients have overstocked their inventories during the post-COVID period, leading to a slowdown in demand. While the sales bottom may have been reached, the latest quarterly guidance does not indicate a rebound in the near future.
 To mitigate the impact, Microchip is taking measures to cut costs and lower capital expenditures to remain free cash flow positive. This strategy aims to help the company weather the current market conditions and position itself for a potential recovery.
 The recent financial data shows a mixed picture for Microchip. The stock's valuation metrics, such as a forward P/E ratio of 14.28, suggest that the market is pricing in some of the challenges the company is facing. However, the company's strong financial position, with a healthy cash balance and low debt levels, provides a cushion during this period of uncertainty.
 The broader economic outlook remains mixed, with concerns about persistent inflation and uneven economic performance. The semiconductor industry, in particular, is facing headwinds from the inventory overhang and potential slowdown in demand. However, the rise of emerging technologies, such as artificial intelligence, could present growth opportunities for Microchip in the long term.
 Score: 70</t>
  </si>
  <si>
    <r>
      <t xml:space="preserve">Investment Report:
 Procter &amp; Gamble Company (PG) is a leading consumer goods company that has been attracting investor attention recently. The company's financial data shows a mixed picture, with a trailing P/E ratio of 27.69 and a forward P/E ratio of 21.67, indicating potential valuation concerns. However, the company's dividend yield of 2.51% and payout ratio of 67.14% suggest a strong focus on shareholder returns.
 The recent news highlights that </t>
    </r>
    <r>
      <rPr>
        <rFont val="&quot;Helvetica Neue&quot;"/>
        <color rgb="FF1155CC"/>
        <sz val="8.0"/>
        <u/>
      </rPr>
      <t>Zacks.com</t>
    </r>
    <r>
      <rPr>
        <rFont val="&quot;Helvetica Neue&quot;"/>
        <sz val="8.0"/>
      </rPr>
      <t xml:space="preserve"> users have been paying close attention to P&amp;G, indicating increased investor interest. This could be driven by the company's strong brand portfolio, which includes well-known names like Tide, Gillette, and Pampers, and its diversified product offerings in the personal care and household products industries.
 The macroeconomic outlook for the personal care products industry appears mixed, with concerns about persistent inflation and uneven economic performance. However, the rise of emerging technologies, particularly artificial intelligence, could offer growth opportunities for companies like P&amp;G that are able to leverage these advancements.
 Overall, Procter &amp; Gamble's financial data, recent news, and the industry's mixed outlook suggest that the company may have moderate investment potential in the near term. Investors should closely monitor the company's performance, as well as the broader economic and industry trends, to make informed investment decisions.
 Score: 70</t>
    </r>
  </si>
  <si>
    <t>Investment Report:
 The latest financial data for HP Inc. (HP) shows a mixed picture for the technology hardware company. While the stock has seen a 27.5% increase in the past 52 weeks, outperforming the S&amp;P 500's 24.9% gain, the company's recent financial performance has been somewhat uneven.
 The company's valuation metrics, such as a forward P/E ratio of 12.25 and a price-to-book ratio of 1.32, suggest the stock may be reasonably valued. However, the company's earnings growth has been negative (-5.5%) in the most recent quarter, and its revenue growth has also been slightly negative (-1.2%) over the past year.
 On the positive side, HP has a strong balance sheet, with $13.8 billion in total cash and a manageable debt load of $16.9 billion. The company also pays a decent dividend, with a yield of 3.75% and a payout ratio of 60.2%.
 Looking ahead, the overall macroeconomic outlook for the technology sector remains mixed, with concerns about inflation, interest rate hikes, and potential economic slowdown. However, the continued growth of emerging technologies, such as artificial intelligence, could provide opportunities for HP to capitalize on in the medium to long term.
 Score: 70</t>
  </si>
  <si>
    <t>Investment Report:
 Hewlett Packard Enterprise (HPE) is a leading technology company in the Hardware, Storage &amp; Peripherals industry. The latest financial data shows a mixed picture for the firm. While the company's revenue growth and profitability metrics are relatively strong, with a gross margin of 76.04% and an EBITDA margin of 52.33%, the valuation appears somewhat stretched, with a forward P/E ratio of 30.41 and a trailing P/E ratio of 52.04.
 The firm's financial position is also solid, with a quick ratio of 0.707 and a current ratio of 0.796, indicating adequate liquidity. However, the company's total debt of $11.96 billion could be a concern, especially in the current macroeconomic environment.
 The overall economic outlook for the technology sector remains positive, with the rise of emerging technologies like artificial intelligence expected to drive growth. However, the market is likely to be choppy in the near term, with potential volatility driven by macroeconomic and political factors.
 Given the mixed financial performance, stretched valuation, and the uncertain market conditions, the potential investment value of Hewlett Packard Enterprise for the next month is assessed as:
 Score: 70</t>
  </si>
  <si>
    <t>Investment Report:
 Garmin, a leading consumer electronics company, has not seen any significant news or developments in the past week. However, the firm's latest financial data provides some insights into its current performance and valuation.
 Financials:
 Garmin's stock has seen a mixed performance, with the share price fluctuating between $38.51 and $39.76 during the recent trading session. The company's dividend yield of 1.56% and a payout ratio of 43.48% suggest a relatively stable dividend policy. The firm's trailing P/E ratio of 27.95 and forward P/E ratio of 18.41 indicate that the stock may be trading at a premium compared to the industry average.
 Valuation:
 Garmin's market capitalization stands at $55.42 billion, with a price-to-sales ratio of 2.16 and a price-to-book ratio of 3.16. These valuation metrics suggest that the stock may be fairly valued or slightly overvalued compared to its peers.
 Economic Outlook:
 The overall macroeconomic environment remains mixed, with concerns about persistent inflation and potential volatility in the stock market. However, the continued growth in the technology and consumer electronics sectors could provide a favorable backdrop for Garmin's performance.
 Score: 70</t>
  </si>
  <si>
    <t>Investment Report:
 The recent financial data for Kroger, a leading food retail company, presents a mixed picture. While the company's stock price has shown some volatility, with the share price ranging from $228.45 to $233.16 in the past week, the overall financial performance appears relatively strong.
 Kroger's financial metrics indicate a solid financial position, with a healthy current ratio of 1.439 and a quick ratio of 1.097, suggesting the company has the ability to meet its short-term obligations. The company's profitability ratios, such as profit margins and return on assets, are also within acceptable ranges, indicating the firm's ability to generate profits.
 However, the company's valuation metrics, such as the high trailing P/E ratio of 43.628 and the forward P/E ratio of 14.382, suggest that the stock may be overvalued compared to its earnings potential. Additionally, the company's debt-to-equity ratio of 95.001 is relatively high, which could be a concern for investors.
 The overall economic outlook for the food retail industry remains cautiously optimistic, with the potential for continued growth in consumer spending and the ongoing shift towards e-commerce and online grocery shopping. However, the industry also faces challenges, such as rising inflation and supply chain disruptions, which could impact Kroger's financial performance.
 Score: 70</t>
  </si>
  <si>
    <t>Investment Report:
 The recent financial data for Host Hotels &amp; Resorts, a leading Hotel &amp; Resort REIT, provides a mixed outlook for the company's investment potential in the next month. While the firm's financial metrics, such as profitability ratios, debt levels, and cash flow, appear relatively strong, there are some concerns that may impact its short-term performance.
 The company's stock price has seen a 12% decline over the past 52 weeks, underperforming the broader S&amp;P 500 index. This could be attributed to the ongoing macroeconomic challenges, such as inflationary pressures and potential recessionary concerns, which may have affected the hotel and hospitality industry.
 However, the firm's fundamentals remain relatively solid, with a healthy balance sheet, strong cash flow, and a reasonable valuation based on metrics like price-to-earnings and price-to-book ratios. The company's dividend yield of 4.63% also provides an attractive income stream for investors.
 The overall economic outlook for the hotel and resort industry remains cautiously optimistic, with expectations of continued recovery in travel demand and occupancy rates. However, the potential impact of macroeconomic factors, such as interest rate hikes and consumer spending patterns, may pose risks to the industry's performance in the near term.
 Given the mixed signals and the lack of recent news, the investment potential of Host Hotels &amp; Resorts for the next month is moderately positive, with a score of 70 out of 100.
 Score: 70</t>
  </si>
  <si>
    <t>Investment Report:
 Kimco Realty, a leading real estate investment trust (REIT) in the retail sector, has not seen any significant news developments in the past week. However, the firm's latest financial data provides insights into its current performance and valuation.
 Financials:
 Kimco Realty's stock has a previous close of $23.17 and a current day's trading range between $22.245 and $23.16. The firm's dividend rate stands at $1.00, with a dividend yield of 4.48%. Its trailing P/E ratio is 41.37, while the forward P/E ratio is 30.15, indicating potential growth opportunities.
 Valuation:
 The company's market capitalization is $15.06 billion, and its enterprise value is $22.94 billion. The stock is trading at a price-to-book ratio of 1.43, suggesting it may be undervalued compared to its book value.
 Economic Outlook:
 The overall macroeconomic environment remains mixed, with concerns about potential volatility, inflation, and uneven economic performance. However, the technology and semiconductor sectors are expected to lead the market's performance, which could indirectly benefit Kimco Realty as a retail REIT.
 Score: 70</t>
  </si>
  <si>
    <t>Investment Report:
 The recent news highlights the challenges Kraft Heinz (KHC) has faced in recent years, with the company struggling to grow and its share price declining by 18% over the past 12 months. Despite this, the company's high dividend yield of 5.2% remains a key attraction for investors, as the average consumer staples company is yielding just 2.5%.
 Financially, Kraft Heinz's latest data shows a mixed picture. The company's valuation metrics, such as a forward P/E ratio of 9.8 and a price-to-book ratio of 0.75, suggest the stock may be undervalued. However, the company's profitability metrics, including a profit margin of 5.2% and a return on equity of 2.8%, are relatively low compared to industry peers.
 The overall economic outlook for the consumer staples industry is cautiously optimistic, with expectations of continued earnings growth in 2025. However, the market may face volatility and uneven performance, with the technology and semiconductor sectors potentially leading the way.
 Given the company's high dividend yield, undervalued valuation, and the cautiously positive economic outlook for the consumer staples industry, Kraft Heinz may present a potential investment opportunity for investors seeking a defensive, income-generating position in their portfolio. However, the company's recent struggles and the potential for continued market volatility should be carefully considered.
 Score: 70</t>
  </si>
  <si>
    <t>Investment Report:
 Jack Henry &amp; Associates is a leading provider of transaction and payment processing services, serving financial institutions and businesses across the United States. The company's recent financial data shows a mixed picture, with some positive indicators but also potential areas of concern.
 On the positive side, Jack Henry &amp; Associates has a strong balance sheet, with a healthy cash position and low debt levels. The company's profitability metrics, such as profit margins and return on assets and equity, are also relatively strong. Additionally, the firm's dividend yield and payout ratio suggest a commitment to shareholder returns.
 However, the company's valuation metrics, such as the forward P/E ratio, indicate that the stock may be trading at a premium compared to its peers. Furthermore, the recent decline in the stock price and the volatility in the broader market could be a cause for concern.
 The economic outlook for the transaction and payment processing industry remains generally positive, with continued growth in digital payments and the adoption of new technologies. However, the potential impact of macroeconomic factors, such as inflation and interest rate changes, could pose challenges for the industry.
 Overall, while Jack Henry &amp; Associates appears to be a well-positioned company in its industry, the current market conditions and valuation concerns may warrant a cautious approach in the short term. Investors should closely monitor the company's performance and the broader economic and industry trends before making any investment decisions.
 Score: 70</t>
  </si>
  <si>
    <t>Investment Report:
 The recent financial data for Keurig Dr Pepper, a leading player in the Soft Drinks &amp; Non-alcoholic Beverages industry, presents a mixed picture. While the company's stock price has shown some positive movement, with the current price at $17.45, there are a few areas of concern.
 The company's valuation metrics, such as the forward P/E ratio of 11.19, suggest that the stock may be reasonably priced. However, the company's trailing P/E ratio is reported as "Infinity," indicating potential profitability challenges. Additionally, the company's revenue growth has been negative (-60.2%), which could be a cause for concern.
 On the positive side, Keurig Dr Pepper has a relatively high dividend yield of 4.72% and a payout ratio of 107.89%, suggesting that the company is committed to returning value to its shareholders. The company's market capitalization of $19.23 billion also indicates that it is a significant player in the industry.
 The overall economic outlook for the Soft Drinks &amp; Non-alcoholic Beverages industry appears to be mixed, with potential volatility and uneven performance across different sectors. However, the rise of emerging technologies, such as artificial intelligence, could present growth opportunities for companies in this industry.
 Score: 70</t>
  </si>
  <si>
    <t>Investment Report:
 The recent financial data for Johnson Controls, a leading provider of building products and solutions, paints a mixed picture for the company's investment potential. While the firm's stock price has seen some volatility, with the share price ranging from $240.59 to $245.69 in the past trading session, the overall financial metrics suggest a relatively stable and profitable business.
 The company's strong dividend yield of 2.08% and a payout ratio of 25.57% indicate a commitment to shareholder returns. Additionally, the firm's trailing and forward P/E ratios of 13.39 and 14.02, respectively, suggest the stock may be reasonably valued compared to its earnings potential.
 However, the economic outlook for the building products industry remains uncertain, with concerns about rising interest rates, inflation, and potential slowdowns in construction activity. These macroeconomic factors could impact the company's future performance and investor sentiment.
 Furthermore, the firm's recent earnings growth of 0.9% and revenue growth of 3% may not be sufficient to drive significant stock price appreciation in the near term. Investors will likely be closely monitoring the company's ability to navigate the challenging market conditions and maintain its competitive edge.
 Overall, while Johnson Controls presents some attractive financial characteristics, the mixed economic outlook and potential industry headwinds suggest a cautious approach may be warranted. Investors should carefully consider the company's long-term growth prospects and its ability to adapt to the evolving market conditions.
 Score: 70</t>
  </si>
  <si>
    <t>Investment Report:
 J.B. Hunt, a leading player in the Cargo Ground Transportation industry, has not seen any significant news developments in the past week. However, the company's latest financial data provides insights into its current performance and market positioning.
 Financials:
 - The stock's previous close was $105.70, with the current day's trading range between $103.12 and $105.98.
 - The company's dividend rate stands at $2.86, with a dividend yield of 2.77%.
 - J.B. Hunt's valuation metrics, such as a trailing P/E ratio of 287.31 and a forward P/E ratio of 52.70, suggest the stock may be trading at a premium compared to its industry peers.
 - The company's profitability ratios, including a profit margin of 1.75% and a return on equity of 54.40%, indicate a relatively strong financial performance.
 Economic Outlook:
 - The overall macroeconomic environment remains mixed, with concerns about potential volatility, inflation, and uneven economic performance.
 - However, the transportation and logistics sector is expected to benefit from the continued growth in e-commerce and the need for efficient supply chain solutions.
 Considering the company's financial performance, industry trends, and the broader economic outlook, J.B. Hunt appears to have a moderately positive investment potential in the near term.
 Score: 70</t>
  </si>
  <si>
    <t>Investment Report:
 Jacobs Solutions is a leading construction and engineering firm that has maintained a relatively stable financial position. The latest data shows the company's trailing price-to-earnings growth (PEG) ratio stands at 1.6147, indicating the stock may be reasonably valued compared to its earnings growth potential.
 The overall macroeconomic outlook for the construction and engineering industry appears mixed. While the U.S. economy is expected to see strong earnings growth in 2025, there are concerns about potential volatility, persistent inflation, and uneven economic performance. These factors could impact the demand for Jacobs Solutions' services and the company's financial performance.
 Additionally, the political landscape, with the upcoming second term of President Donald Trump, may bring a more deregulatory environment, which could benefit the construction and engineering sector. However, the potential impact of Trump's trade policies remains a concern.
 The rise of emerging technologies, particularly artificial intelligence (AI), could also present both opportunities and challenges for Jacobs Solutions as the company looks to integrate innovative solutions into its operations.
 Score: 70</t>
  </si>
  <si>
    <t>Investment Report:
 The Interpublic Group of Companies (The) is a leading global advertising and marketing services company. The firm's recent financial data shows a mixed picture, with a decline in the stock price over the past 52 weeks, but still maintaining a relatively strong market capitalization of over $85 billion.
 The company's financials indicate a challenging operating environment, with negative profit margins and a decline in revenue growth. However, the firm's balance sheet remains relatively strong, with a healthy current ratio and a manageable debt-to-equity ratio.
 The macroeconomic outlook for the advertising industry is expected to be mixed, with concerns about potential volatility and uneven economic performance. The rise of emerging technologies, particularly artificial intelligence, could also impact the industry and the firm's performance.
 Overall, the Interpublic Group of Companies (The) appears to be navigating a challenging market environment, but its strong market position and diversified service offerings may provide some resilience. Investors should closely monitor the firm's financial performance and industry trends to assess the potential investment value.
 Score: 70</t>
  </si>
  <si>
    <t>Investment Report:
 The latest financial data for Fox Corporation (Class A) in the Broadcasting industry shows a mixed picture. The company's stock price has been relatively stable, with a previous close of $49.32 and a current trading range between $49.48 and $50.285. The company's valuation metrics, such as a trailing P/E ratio of 12.13 and a forward P/E ratio of 13.07, suggest the stock may be reasonably valued.
 However, the company's financial performance has been somewhat uneven, with a trailing 12-month profit margin of 13.4% and a return on equity of 17.7%. The company's debt-to-equity ratio of 70.3% also raises some concerns about its financial leverage.
 On the positive side, Fox Corporation has a strong balance sheet, with $4.05 billion in total cash and a quick ratio of 2.24, indicating good liquidity. The company also pays a modest dividend, with a dividend yield of 1.09%.
 The overall economic outlook for the Broadcasting industry is mixed, with potential headwinds from factors such as inflation, political uncertainty, and changing consumer preferences. However, the rise of emerging technologies like artificial intelligence could present growth opportunities for companies in this sector.
 Score: 70</t>
  </si>
  <si>
    <t>Investment Report:
 The recent financial data for Fox Corporation (Class B) in the Broadcasting industry shows a mixed picture. The company's stock price has been relatively stable, with the previous close at $46.72 and the current day's trading range between $46.90 and $47.59. The company's valuation metrics, such as the forward P/E ratio of 20.03, suggest that the stock may be fairly valued or slightly overvalued compared to its peers.
 The company's financial performance appears to be solid, with a trailing P/E ratio of 11.51, indicating that the stock is trading at a discount to its earnings. The company's profitability metrics, such as profit margins (13.40%) and return on equity (17.71%), are also relatively strong. Additionally, the company's dividend yield of 1.15% and payout ratio of 12.96% suggest that it has a stable and sustainable dividend policy.
 However, the company's revenue growth of 11.10% and earnings growth of 17.10% in the latest quarter may not be enough to justify the current valuation, especially given the broader economic uncertainty and potential volatility in the market.
 Overall, the recent financial data and macroeconomic outlook suggest that Fox Corporation (Class B) may have limited upside potential in the near term. Investors should closely monitor the company's performance and any changes in the broader market and industry conditions that may affect its valuation and growth prospects.
 Score: 70</t>
  </si>
  <si>
    <t>Investment Report:
 FirstEnergy, an electric utilities company, has not seen any significant news in the past week. However, the firm's financial data provides insights into its current performance and valuation.
 Financials:
 - The company's stock price has been trading in the range of $39.17 to $39.82 over the past week, with a previous close of $39.92.
 - FirstEnergy's dividend rate stands at $1.7, with a dividend yield of 4.33%, indicating a relatively high payout ratio of 107.74%.
 - The company's trailing P/E ratio of 25.34 and forward P/E ratio of 13.61 suggest that the stock may be trading at a premium compared to its industry peers.
 - FirstEnergy's profitability metrics, such as profit margins (6.73%) and return on equity (8.31%), are relatively strong, but its free cash flow position is negative, which could be a concern.
 Valuation and Economic Outlook:
 - The stock's 52-week range of $35.41 to $44.97 and a current market capitalization of $22.63 billion suggest that the company's valuation is within a reasonable range.
 - The overall macroeconomic outlook, as discussed in the provided context, indicates a mixed picture, with concerns about potential volatility, inflation, and uneven economic performance.
 - The rise of emerging technologies, particularly artificial intelligence, could present both opportunities and challenges for the electric utilities industry.
 Score: 70</t>
  </si>
  <si>
    <t>Investment Report:
 PTC Inc., a leading provider of Application Software, has seen a mixed performance in recent weeks. While the company's financial data shows some positive indicators, such as a strong dividend yield and a relatively low forward P/E ratio, there are also concerns that may impact its short-term investment potential.
 The company's stock price has fluctuated within a range of $118.56 to $121.24 over the past week, with a previous close of $119.14. The firm's financial metrics, including a trailing P/E ratio of 10.56 and a forward P/E ratio of 8.04, suggest that the stock may be undervalued compared to its peers. Additionally, the company's dividend yield of 4.38% and a payout ratio of 45.86% indicate a relatively stable and shareholder-friendly dividend policy.
 However, the macroeconomic outlook for the Application Software industry remains mixed, with concerns about persistent inflation and uneven economic performance. The potential impact of political and regulatory changes, such as the new administration's policies, could also introduce volatility in the market.
 Furthermore, the company's recent financial performance, as reflected in its revenue growth of 33.4% and EBITDA margins of 7.62%, may not be sufficient to offset the broader market challenges. Investors should closely monitor the company's ability to maintain its competitive edge and adapt to the changing industry dynamics.
 Score: 70</t>
  </si>
  <si>
    <t>Investment Report:
 Republic Services, a leading provider of environmental and facilities services, has seen a mixed performance in recent weeks. While the company's financial data shows strong fundamentals, such as a healthy dividend yield, low debt-to-equity ratio, and robust profitability metrics, the lack of recent news may indicate a period of relative stability.
 The company's stock price has fluctuated within a range, with the latest data indicating a previous close of $231.67 and a day high of $237.25. The valuation metrics, including a forward P/E ratio of 22.8 and a price-to-book ratio of 6.6, suggest the stock may be reasonably valued, though not necessarily undervalued.
 The overall economic outlook, as discussed in the provided context, points to a mixed picture, with concerns about potential volatility, inflation, and uneven economic performance. However, the continued growth in emerging technologies, such as artificial intelligence, could present opportunities for companies like Republic Services to enhance their operations and services.
 Given the lack of recent news and the mixed macroeconomic environment, the investment value of Republic Services for the next month may be considered moderate. Investors should closely monitor the company's performance and any developments that could impact the environmental and facilities services industry.
 Score: 70</t>
  </si>
  <si>
    <t>Investment Report:
 Regency Centers, a leading real estate investment trust (REIT) in the retail sector, has not seen any significant news developments in the past week. However, the company's latest financial data provides insights into its current performance and valuation.
 Financials:
 Regency Centers' stock has a previous close of $115.87 and a current trading range between $113.73 and $116.28. The company's dividend rate stands at $2.52, with a dividend yield of 2.21%. Its price-to-earnings (P/E) ratio is 32.88, indicating a relatively high valuation compared to its forward P/E of 18.80.
 Valuation and Economic Outlook:
 Regency Centers' market capitalization is $151.87 billion, and the company has a price-to-book ratio of 2.48, suggesting that the stock may be trading at a premium to its book value. The firm's enterprise value-to-EBITDA ratio of 15.17 also indicates a relatively high valuation.
 The overall economic outlook for the retail sector remains mixed, with concerns about persistent inflation and uneven consumer spending. However, the continued development and adoption of emerging technologies, such as artificial intelligence, could present growth opportunities for the industry.
 Score: 70</t>
  </si>
  <si>
    <t>Investment Report:
 FactSet, a leading provider of financial data and analytics, has seen a mixed performance in recent trading. The company's stock price has fluctuated, with the current day's trading range between $465.18 and $474.87. While there are no recent news updates, the firm's financial data provides insights into its current standing.
 The company's valuation metrics, such as a forward P/E ratio of 25.06 and a price-to-book ratio of 9.25, suggest that the stock may be trading at a premium compared to its peers. However, the firm's strong profitability, with a profit margin of 24.38% and a return on equity of 30.41%, could justify the premium valuation.
 The macroeconomic outlook for the financial exchanges and data industry remains cautiously optimistic, with the overall U.S. stock market expected to see moderate growth in the near term. However, potential volatility and uneven economic performance may pose challenges for the industry.
 Given the mixed signals from the company's financial data and the broader economic environment, a neutral stance on FactSet's investment potential may be warranted in the short term.
 Score: 70</t>
  </si>
  <si>
    <t>Investment Report:
 Fastenal, a leading distributor of industrial and construction supplies, has not seen any significant news developments in the past week. However, the company's latest financial data provides insights into its current performance and valuation.
 Financials:
 Fastenal's financial metrics indicate a mixed picture. The company's profitability ratios, such as profit margins and return on assets and equity, are relatively strong, suggesting solid operational efficiency. However, the company's valuation multiples, including a high price-to-earnings ratio, suggest that the stock may be trading at a premium compared to its peers.
 Valuation:
 Fastenal's stock is currently trading at a forward price-to-earnings ratio of 32.92, which is higher than the industry average. This could indicate that the market is pricing in strong growth expectations for the company. Additionally, the stock's dividend yield of 2.17% is lower than the industry average, which may be a concern for income-oriented investors.
 Economic Outlook:
 The overall macroeconomic environment remains mixed, with concerns about persistent inflation and potential volatility in the stock market. However, the expected strong earnings growth in the U.S. economy could provide a favorable backdrop for Fastenal's performance in the near term.
 Score: 70</t>
  </si>
  <si>
    <t>Investment Report:
 Fair Isaac Corporation (FICO) is a leading provider of analytics and decision management solutions, primarily serving the financial services industry. The company's recent financial data shows a mixed picture, with strong revenue growth of 16.4% but high valuation metrics like a forward P/E ratio of 53.3 and a trailing P/E ratio of 96.1.
 The macroeconomic outlook for the U.S. economy is expected to be choppy, with potential volatility driven by factors such as persistent inflation, uneven economic performance, and political developments. This could impact the overall demand for FICO's products and services, particularly in the financial services sector.
 However, the company's strong market position, innovative analytics solutions, and exposure to emerging technologies like artificial intelligence (AI) may provide opportunities for growth. FICO's recommendation rating of "buy" from analysts suggests potential upside, though the high valuation could be a concern.
 Overall, the investment value of FICO in the near term may be influenced by the broader market conditions and the company's ability to navigate the evolving economic and technological landscape. Investors should closely monitor the firm's financial performance, market trends, and any significant news or developments that could affect its outlook.
 Score: 70</t>
  </si>
  <si>
    <t>Investment Report:
 Insulet Corporation, a leading manufacturer of insulin delivery devices, has not seen any significant news developments in the past week. However, the company's financial data provides insights into its current performance and valuation.
 Financials:
 Insulet's stock has shown a mixed performance, with the share price fluctuating between $90.98 and $93.59 during the recent trading session. The company's financial metrics, such as a trailing P/E ratio of 44.52 and a forward P/E ratio of 25.84, suggest that the stock may be trading at a premium compared to its industry peers. Additionally, the company's profitability ratios, including a profit margin of 11.72% and a return on equity of 8.48%, indicate a relatively strong financial position.
 Valuation:
 Insulet's market capitalization stands at $36.78 billion, and the stock is currently trading at a price-to-sales ratio of 5.14, which is higher than the industry average. The company's enterprise value-to-EBITDA ratio of 21.23 also suggests that the stock may be overvalued compared to its earnings potential.
 Economic Outlook:
 The overall macroeconomic environment remains mixed, with concerns about persistent inflation and potential volatility in the stock market. However, the healthcare equipment industry, in which Insulet operates, is generally considered a defensive sector that can withstand economic fluctuations. The continued demand for insulin delivery devices and the growing prevalence of diabetes may provide a favorable backdrop for Insulet's long-term growth.
 Score: 70</t>
  </si>
  <si>
    <t>Investment Report:
 The recent financial data for PulteGroup, a leading homebuilding company, presents a mixed picture. While the company's stock price has seen some volatility, with the current trading price around $85, the overall financial performance appears relatively strong.
 The company's valuation metrics, such as a forward P/E ratio of 21.25 and a price-to-book ratio of 2.65, suggest that the stock may be reasonably valued. Additionally, PulteGroup's dividend yield of 2.8% and a payout ratio of 58% indicate a stable and sustainable dividend policy.
 However, the company's debt-to-equity ratio of 137% is relatively high, which could be a concern for some investors. The company's free cash flow has also been negative, which may limit its ability to invest in growth or return capital to shareholders.
 The overall economic outlook for the homebuilding industry remains cautiously optimistic, with the Federal Reserve's gradual interest rate hikes and the potential impact on the housing market being closely watched. The continued strength in the labor market and consumer spending could provide a supportive environment for the industry.
 Given the mixed signals in the recent data, the investment value of PulteGroup may be best suited for investors with a medium-term outlook and a higher risk tolerance. The company's strong brand, diversified product portfolio, and potential growth opportunities in the housing market could make it an attractive investment, but the high debt levels and negative free cash flow warrant careful consideration.
 Score: 70</t>
  </si>
  <si>
    <t>Investment Report:
 Incyte, a leading biotechnology company, has not seen any significant news developments in the past week. However, the firm's financial data provides some insights into its current valuation and potential investment prospects.
 The company's trailing price-to-earnings growth (PEG) ratio stands at 4.5173, which suggests that the stock may be trading at a premium compared to its expected earnings growth. This could indicate that the market is pricing in strong future performance from Incyte, potentially driven by its pipeline of innovative drug candidates and ongoing research and development efforts.
 The economic outlook for the biotechnology industry remains generally positive, with the sector expected to benefit from the continued demand for new and effective treatments, as well as the increasing focus on personalized medicine and advancements in genomics. However, the industry also faces challenges, such as regulatory hurdles, pricing pressures, and competition from generic and biosimilar products.
 Given the limited recent news and the mixed signals from the company's financial data, a more comprehensive analysis of Incyte's fundamentals, competitive positioning, and long-term growth prospects would be necessary to make a more informed investment decision.
 Score: 70</t>
  </si>
  <si>
    <t>Investment Report:
 The recent financial data for Cintas, a company in the Diversified Support Services industry, shows a mixed picture. The company's stock price has been relatively stable, with a previous close of $58.86 and a current day range between $58.585 and $59.58. The company's valuation metrics, such as a forward P/E ratio of 14.93 and a price-to-sales ratio of 4.42, suggest that the stock may be reasonably valued.
 However, the company's financial performance has been somewhat weaker, with a decline in earnings growth (-23.7%) and revenue growth (-5.6%) in the most recent quarter. Additionally, the company's debt-to-equity ratio of 70.65 is relatively high, which could be a concern for investors.
 On the positive side, Cintas has a strong market position, with a market capitalization of over $234 billion and a high institutional ownership of 79.18%. The company also pays a dividend, with a current yield of 2.72%.
 The overall economic outlook for the Diversified Support Services industry is mixed, with concerns about potential volatility and uneven economic performance. However, the rise of emerging technologies, such as artificial intelligence, could present growth opportunities for companies in this sector.
 Score: 70</t>
  </si>
  <si>
    <t>Investment Report:
 The latest financial data for Corteva, a leading player in the Fertilizers &amp; Agricultural Chemicals industry, paints a mixed picture. The company's stock has seen a recent increase in price, with the stock trading around $349 per share. However, the company's valuation metrics, such as a forward P/E ratio of 15.5, suggest that the stock may be fairly valued or even slightly overvalued compared to its peers.
 The macroeconomic outlook for the Fertilizers &amp; Agricultural Chemicals industry is generally positive, with the global agricultural sector expected to see continued growth in the coming year. However, factors such as supply chain disruptions, geopolitical tensions, and fluctuating commodity prices could pose challenges for the industry.
 Corteva's financial performance has been relatively stable, with the company reporting solid revenue growth and profitability in recent quarters. The company's strong market position, diversified product portfolio, and focus on innovation could be key drivers of its future performance.
 Overall, Corteva's investment potential appears to be moderate, with the stock's current valuation and the industry's mixed outlook suggesting a cautious approach. Investors should closely monitor the company's financial and operational performance, as well as the broader macroeconomic and industry trends, to make an informed investment decision.
 Score: 70</t>
  </si>
  <si>
    <t>Investment Report:
 Dell Technologies' stock has seen a remarkable 50% surge in 2024, driven by the company's accelerating push into the artificial intelligence (AI) computing market. This strategic shift is a significant positive for the firm, as the growing demand for AI-powered solutions presents a lucrative opportunity for Dell to diversify its revenue streams beyond the sluggish PC market.
 However, the company is also facing headwinds in the form of cautious IT spending, which could dampen the overall demand for its products and services. Additionally, the PC market remains a concern, as it continues to show signs of sluggishness.
 Dell's financial data paints a mixed picture. While the company's valuation appears relatively cheap, with a forward P/E ratio of 18.38, its profitability metrics, such as profit margins and return on equity, are somewhat lackluster. The firm's debt levels are also a point of concern, with a debt-to-equity ratio of 288.043.
 The macroeconomic outlook for the technology sector is generally positive, with the market expected to be up 10-15% this year. However, the performance may not be evenly distributed, with the technology and semiconductor sectors leading the way. Investors should be prepared for potential volatility and the impact of political and economic developments.
 Overall, Dell's AI push and cheap valuation are noteworthy, but the sluggish PC market and cautious IT spending are headwinds that could limit the company's upside potential in the near term. Investors should carefully weigh these factors when considering an investment in Dell Technologies.
 Score: 70</t>
  </si>
  <si>
    <t>Investment Report:
 The recent financial data for Discover Financial, a leading consumer finance company, presents a mixed picture. While the firm's stock price has seen some volatility, with the day's low at $53.26 and high at $55.00, the overall financial metrics suggest a relatively stable and profitable business.
 The company's valuation metrics, such as a forward P/E ratio of 15.86 and a price-to-book ratio of 1.72, indicate that the stock may be reasonably valued. Additionally, Discover Financial's dividend yield of 4.98% and a payout ratio of 98.52% suggest a strong focus on shareholder returns.
 However, the firm's debt-to-equity ratio of 156.35 is relatively high, which could be a concern for some investors. The company's profitability metrics, such as a profit margin of 16.95% and a return on equity of 8.50%, are also in the middle range compared to industry peers.
 The overall economic outlook, as discussed in the provided macroeconomic summary, points to a mixed picture, with potential volatility and uneven performance across sectors. This could impact the consumer finance industry and Discover Financial's performance in the near term.
 Score: 70</t>
  </si>
  <si>
    <t>Investment Report:
 Simon Property Group (SPG) is a leading real estate investment trust (REIT) that specializes in the ownership, development, and management of shopping malls, premium outlets, and other retail properties. The company's recent financial data shows a mixed picture, with some positive and negative indicators.
 On the positive side, Simon Property Group's stock is trading at a forward P/E ratio of 11.81, which suggests that the market may be undervaluing the company's future earnings potential. Additionally, the company's dividend yield of 3.35% is relatively attractive, and its payout ratio of 74.25% indicates that the dividend is well-covered by earnings.
 However, the company's trailing P/E ratio of 24.64 is relatively high, and its earnings growth rate of -75.3% in the most recent quarter is concerning. The company's debt-to-equity ratio of 15.69 is also relatively high, which could be a source of risk for investors.
 The overall economic outlook for the retail sector is mixed, with concerns about inflation, consumer spending, and the potential impact of e-commerce on traditional brick-and-mortar retailers. However, the continued recovery of the economy and the potential for a resurgence in consumer spending could provide a tailwind for Simon Property Group.
 Score: 70</t>
  </si>
  <si>
    <t>Investment Report:
 Steris, a leading provider of medical equipment and services, has seen a mixed performance in recent weeks. While the company's financial data shows some positive indicators, such as a strong dividend yield and relatively low price-to-earnings ratio, there are also concerns about its overall risk profile and potential headwinds facing the healthcare equipment industry.
 The company's financial data reveals a solid balance sheet, with a healthy current ratio and low debt-to-equity ratio. However, the recent decline in earnings growth and revenue growth may be a cause for concern, as it could indicate challenges in the company's operations or the broader market conditions.
 The economic outlook for the healthcare equipment industry remains cautiously optimistic, with the potential for continued growth driven by factors such as an aging population and advancements in medical technology. However, the industry also faces risks from regulatory changes, supply chain disruptions, and competition from new market entrants.
 Given the mixed signals in the company's financial data and the uncertain economic environment, a more cautious approach may be warranted when considering an investment in Steris. Investors should closely monitor the company's performance and industry developments to make an informed decision.
 Score: 70</t>
  </si>
  <si>
    <t>Investment Report:
 Synchrony Financial, a leading consumer finance company, has not seen any significant news developments in the past week. However, the firm's latest financial data provides insights into its current performance and valuation.
 Financials:
 Synchrony Financial's financial metrics indicate a mixed picture. The company's profitability ratios, such as profit margins (23.11%) and return on equity (21.82%), suggest strong financial performance. However, the firm's debt-to-equity ratio of 8.7 may raise some concerns about its leverage levels.
 Valuation:
 Synchrony Financial's valuation appears to be on the higher side, with a forward P/E ratio of 28.98 and a price-to-book ratio of 9.98. This could indicate that the stock is currently trading at a premium compared to its intrinsic value.
 Economic Outlook:
 The overall macroeconomic environment remains mixed, with concerns about persistent inflation and potential volatility in the stock market. However, the consumer finance industry is expected to benefit from a resilient labor market and continued consumer spending, which could positively impact Synchrony Financial's performance.
 Score: 70</t>
  </si>
  <si>
    <t>Investment Report:
 CoStar Group, a leading provider of commercial real estate information and analytics, appears to be in a stable financial position based on the latest available data. The company's stock has shown a steady performance, with the share price trading within a range of $44.01 to $64.2 over the past 52 weeks.
 The firm's financials indicate a strong balance sheet, with a healthy current ratio of 1.501 and a manageable debt-to-equity ratio of 22.883. The company's profitability metrics, such as profit margins and return on assets, are also within reasonable ranges, suggesting a well-managed business.
 However, the stock's valuation, as reflected in the high trailing P/E ratio of 59.3125, may be a concern for some investors. This could be due to the company's growth potential and the market's expectations for its future performance.
 The overall economic outlook, with a mixed picture of resilient labor market, slowing business spending, and persistent inflation concerns, may have a moderate impact on CoStar Group's operations and stock performance in the near term. The company's exposure to the commercial real estate industry could make it susceptible to any broader economic fluctuations.
 Investors should closely monitor the company's financial reports, industry trends, and macroeconomic developments to assess the potential investment value of CoStar Group in the coming months.
 Score: 70</t>
  </si>
  <si>
    <t>Investment Report:
 The recent news highlights the volatility and strong performance of Super Micro Computer (SMCI) stock. The company's share price has been on a rollercoaster ride, with significant gains and losses over the past few trading sessions. Investors appear to be reacting positively to the firm's prospects in the liquid-cooled technology space, which could drive future growth.
 Financially, Super Micro Computer is showing a mixed picture. The company's financial data indicates strong revenue growth of 43% and a healthy profit margin of 8.1%. However, the firm's free cash flow and operating cash flow are negative, which could be a concern. Additionally, the company's debt-to-equity ratio of 39.7% suggests a relatively high level of leverage.
 In terms of valuation, Super Micro Computer's forward P/E ratio of 9.9 suggests the stock may be undervalued compared to the industry average. However, the company's high overall risk score of 10 out of 10 indicates that it may be a relatively risky investment.
 The macroeconomic outlook for the technology hardware, storage, and peripherals industry is generally positive, with the overall U.S. stock market expected to see strong earnings growth in 2025. However, the market is also expected to be choppy, with potential volatility driven by factors such as inflation, uneven economic performance, and political developments.
 Score: 70</t>
  </si>
  <si>
    <t>Investment Report:
 The recent news indicates that Charles Schwab's stock has underperformed the broader market in 2024, rising only about 11% year-to-date compared to the S&amp;P 500's 25% gain. This underperformance is in contrast to rival Morgan Stanley, which owns E*TRADE and has seen its stock rise by around 35% over the same period.
 The latest financial data shows that Charles Schwab has a trailing P/E ratio of 23.63 and a forward P/E of 18.33, suggesting the stock may be reasonably valued. However, the company's profitability metrics, such as profit margins and return on equity, have declined compared to the previous year, which could be contributing to the stock's underperformance.
 The macroeconomic outlook for the U.S. stock market remains mixed, with expectations of strong earnings growth but also concerns about potential volatility, inflation, and uneven economic performance. The political landscape and the rise of emerging technologies, particularly AI, will also play a significant role in shaping the market's direction.
 Given the mixed signals in the recent news, financial data, and macroeconomic outlook, the potential investment value of Charles Schwab Corporation in the Investment Banking &amp; Brokerage industry for the next month is assessed as:
 Score: 70</t>
  </si>
  <si>
    <t>Investment Report:
 Recent News:
 Southern Company (SO) has seen a mixed performance in the recent trading sessions. While the stock closed the latest session with a slight 0.3% gain, it has also fallen more than the broader market on certain days. This suggests that the company's stock may be facing some challenges in keeping pace with the overall market.
 Financials:
 Southern Company's financial data shows a mixed picture. The company's profitability metrics, such as profit margins and return on assets and equity, are relatively low. However, the company's balance sheet appears to be in decent shape, with a reasonable debt-to-equity ratio and adequate liquidity as indicated by the quick and current ratios.
 Valuations:
 Southern Company's valuation metrics, such as the forward P/E ratio and price-to-book ratio, suggest that the stock may be reasonably valued compared to its peers. However, the company's dividend yield is relatively low, which could be a concern for income-oriented investors.
 Economic Outlook:
 The overall macroeconomic environment remains mixed, with concerns about persistent inflation and potential volatility in the stock market. The electric utilities sector, in which Southern Company operates, may be affected by these broader economic factors, as well as potential changes in energy policies and regulations.
 Score: 70</t>
  </si>
  <si>
    <t>Investment Report:
 The latest financial data for Solventum, a company in the Health Care Technology industry, shows a mixed picture. The company's stock price has been relatively stable in the past week, with the previous close at $67.12. However, the stock has seen some volatility, with the day's trading range between $66.98 and $68.55.
 Solventum's financial metrics indicate a company with strong fundamentals, but also some areas of concern. The company's forward P/E ratio of 12.47 suggests that the stock may be undervalued, while the high trailing P/E ratio of 180.18 could indicate potential overvaluation. The company's profitability metrics, such as profit margins and return on assets, are also relatively strong.
 On the other hand, the company's high debt-to-equity ratio of 254.04 and low quick ratio of 0.72 suggest potential liquidity and solvency issues. Additionally, the company's earnings growth has been negative, with a decline of 73.5% in the most recent quarter.
 The overall economic outlook for the Health Care Technology industry is mixed, with concerns about persistent inflation and uneven economic performance. However, the rise of emerging technologies, such as artificial intelligence, could present significant growth opportunities for companies in this sector.
 Score: 70</t>
  </si>
  <si>
    <t>Investment Report:
 The recent financial data for Evergy, an electric utilities company, presents a mixed picture. While the company's stock price has seen some volatility, with the day's low at $60.19 and the high at $61.45, the overall financial metrics suggest a relatively stable and well-performing firm.
 The company's dividend yield of 4.43% and payout ratio of 69.46% indicate a strong focus on shareholder returns. Additionally, the forward P/E ratio of 14.92 suggests the stock may be reasonably valued compared to its earnings potential.
 However, the company's free cash flow is negative, which could be a concern for long-term investors. The high debt-to-equity ratio of 137.46% also raises some questions about the company's financial leverage and ability to withstand potential economic headwinds.
 The overall economic outlook for the electric utilities sector remains relatively stable, with the potential for growth driven by the ongoing transition to renewable energy sources. Evergy's position as a regional utility provider in the Midwest region of the United States could provide some insulation from broader market volatility.
 Given the mixed financial picture and the potential economic factors at play, a cautious approach may be warranted when considering an investment in Evergy. Investors should closely monitor the company's financial performance and strategic initiatives to assess the long-term viability of the investment.
 Score: 70</t>
  </si>
  <si>
    <t>Investment Report:
 Expeditors International, a leading global logistics and freight forwarding company, has not seen any significant news developments in the past week. However, the firm's latest financial data provides insights into its current performance and valuation.
 Financials:
 Expeditors International's stock has seen a mixed performance, with the share price fluctuating between $148.43 and $151.16 during the recent trading session. The company's dividend rate stands at $6.48, with a dividend yield of 4.36%. The firm's trailing P/E ratio is 39.72, while the forward P/E ratio is 32.33, indicating a potential valuation concern.
 Valuation and Outlook:
 The company's market capitalization is $32.77 billion, and its enterprise value is $44.58 billion. Expeditors International's price-to-sales ratio of 9.90 suggests that the stock may be trading at a premium compared to its industry peers. The firm's 52-week low and high prices are $131.02 and $184.87, respectively, indicating a relatively wide trading range.
 Economic Outlook:
 The overall macroeconomic environment remains mixed, with concerns about persistent inflation and potential volatility in the stock market. However, the logistics and freight forwarding industry is expected to benefit from the continued recovery in global trade and the rise of e-commerce. The performance of Expeditors International may be influenced by these broader economic trends.
 Score: 70</t>
  </si>
  <si>
    <t>Investment Report:
 Essex Property Trust is a real estate investment trust (REIT) that focuses on the multi-family residential sector. The firm's recent financial data shows a mixed picture, with a decline in the stock price from the previous close, but still maintaining a relatively high valuation with a forward P/E ratio of 44.68.
 The firm's financials indicate a strong balance sheet, with a healthy cash position and low debt-to-equity ratio. However, the profitability metrics, such as profit margins and return on equity, are not exceptionally high compared to industry peers.
 The economic outlook for the multi-family residential sector remains positive, with continued demand for rental housing and a tight supply in many markets. However, rising interest rates and potential economic slowdown could pose challenges for the industry.
 Overall, Essex Property Trust's financial position and industry outlook suggest a moderate investment potential in the near term. Investors should closely monitor the firm's performance and any changes in the broader economic and industry conditions that may impact the stock's valuation and future prospects.
 Score: 70</t>
  </si>
  <si>
    <t>Investment Report:
 Eversource Energy, a leading electric utility company, has not seen any significant news developments in the past week. However, the firm's latest financial data provides insights into its current performance and valuation.
 Financials:
 Eversource Energy's financial metrics indicate a mixed picture. The company's profitability, as measured by profit margins, is negative at -4.73%, which could be a concern. However, the firm's forward P/E ratio of 11.74 suggests that the stock may be undervalued compared to its earnings potential. Additionally, the company's dividend yield of 5.09% is relatively high, which could be attractive for income-oriented investors.
 Valuation:
 Eversource Energy's stock price has declined by around 1.19% over the past 52 weeks, underperforming the S&amp;P 500's 24.93% increase during the same period. The company's current market capitalization stands at $20.6 billion, and its enterprise value is $49.2 billion, indicating a relatively high valuation compared to its revenue and EBITDA.
 Economic Outlook:
 The overall macroeconomic environment remains mixed, with concerns about persistent inflation and potential volatility in the stock market. However, the electric utilities sector is generally considered a defensive investment, as it tends to be less sensitive to economic fluctuations. Additionally, the continued focus on renewable energy and grid modernization could provide growth opportunities for Eversource Energy.
 Score: 70</t>
  </si>
  <si>
    <t>Investment Report:
 Recent News: Emerson Electric (EMR) has an impressive earnings surprise history and currently possesses the right combination of the two key ingredients for a likely beat in its next quarterly report. The company's stock has advanced, but it has underperformed the market, reaching $123.44 at the latest trading day, reflecting a 1.03% change compared to its last close.
 Financials: Emerson Electric's financial data shows a mixed picture. The company has a high trailing P/E ratio of 155.17 and a forward P/E ratio of 18.53, indicating potential overvaluation. However, it has a strong balance sheet with a quick ratio of 3.60 and a current ratio of 4.16, suggesting good liquidity. The company's profitability metrics, such as profit margins and return on assets and equity, are relatively low, raising concerns about its operational efficiency.
 Valuations: Emerson Electric's valuation metrics are somewhat concerning. The stock's price-to-sales ratio of 7.71 and price-to-book ratio of 10.35 suggest that the company may be overvalued compared to its peers. The target mean price of $95.62 and median price of $92.50 also indicate that the stock may be trading at a premium.
 Economic Outlook: The overall macroeconomic environment is expected to be mixed, with strong earnings growth expectations but also concerns about potential volatility, inflation, and uneven economic performance. The political landscape and the rise of emerging technologies, particularly AI, will also play a significant role in shaping the market's direction.
 Score: 70</t>
  </si>
  <si>
    <t>Investment Report:
 Erie Indemnity, a leading insurance broker in the United States, has not seen any significant news developments in the past week. However, the company's latest financial data provides insights into its current performance and valuation.
 Financials:
 Erie Indemnity's stock has shown a mixed performance, with the share price fluctuating between $405.10 and $417.32 during the recent trading session. The company's dividend yield of 1.35% and a payout ratio of 47.71% suggest a relatively stable dividend policy. The firm's trailing P/E ratio of 37.87 and forward P/E ratio of 28.34 indicate that the stock may be trading at a premium compared to the industry average.
 Valuation:
 Erie Indemnity's market capitalization stands at $21.19 billion, with a price-to-sales ratio of 5.74 and a price-to-book ratio of 10.88. These valuation metrics suggest that the stock may be trading at a premium compared to its peers, potentially due to the company's strong market position and brand recognition.
 Economic Outlook:
 The overall macroeconomic environment remains mixed, with concerns about persistent inflation and uneven economic performance. However, the insurance industry is generally considered a defensive sector, which may provide some stability for Erie Indemnity's stock during periods of market volatility.
 Score: 70</t>
  </si>
  <si>
    <t>Investment Report:
 Consolidated Edison, a leading multi-utilities company, has not seen any significant news developments in the past week. However, the firm's latest financial data provides insights into its current performance and valuation.
 Financials:
 Consolidated Edison's financial metrics indicate a mixed picture. The company's profitability ratios, such as profit margins and return on assets, are relatively strong, suggesting solid operational efficiency. However, the firm's debt-to-equity ratio is high at 149.155, which could raise concerns about its financial leverage and risk profile.
 Valuation:
 The company's valuation metrics are also mixed. While the forward P/E ratio of 14.707 suggests the stock may be reasonably valued, the high trailing P/E ratio of 71.452 and the low dividend yield of 1.81% could indicate that the stock is currently overvalued or trading at a premium.
 Economic Outlook:
 The broader economic environment remains uncertain, with concerns about persistent inflation and potential volatility in the stock market. However, the multi-utilities sector is generally considered a defensive investment, as it tends to be less sensitive to economic fluctuations.
 Score: 70</t>
  </si>
  <si>
    <t>Investment Report:
 The latest financial data for GE HealthCare, a leading player in the Health Care Equipment industry, paints a mixed picture. The company's stock has seen a significant increase in its share price, with the current trading price of $376.295 being well above its 52-week low of $119.0. This suggests strong investor confidence in the company's prospects.
 However, the company's valuation metrics, such as a high trailing P/E ratio of 87.78 and a forward P/E ratio of 55.66, indicate that the stock may be overvalued compared to its earnings potential. Additionally, the company's profitability margins, including operating margins of -0.247%, raise some concerns about its overall financial performance.
 On a positive note, GE HealthCare's balance sheet appears to be relatively strong, with a healthy cash position of $7.39 billion and a manageable debt level of $983 million. The company's dividend yield of 0.27% also provides some income for investors.
 The broader economic outlook, with expectations of continued earnings growth and potential volatility, may have a mixed impact on GE HealthCare's performance. The company's exposure to the healthcare sector, which is generally considered more resilient during economic downturns, could be a positive factor.
 Overall, while GE HealthCare's recent financial data and market performance suggest some potential upside, the company's valuation and profitability metrics warrant a cautious approach. Investors should closely monitor the company's future developments and the broader industry and economic trends before making any investment decisions.
 Score: 70</t>
  </si>
  <si>
    <t>Investment Report:
 Teledyne Technologies (TDY) has recently completed the acquisition of Micropac, a designer and producer of microelectronic circuits, optoelectronic components, and power products. This strategic move is expected to expand Teledyne's presence in the defense and healthcare industries, which are key focus areas for the company.
 Financially, Teledyne's stock has seen some volatility, with the share price fluctuating between $179.935 and $185.35 during the recent trading session. The company's valuation metrics, such as a forward P/E ratio of 11.82 and a price-to-book ratio of 1.87, suggest that the stock may be reasonably valued compared to its peers.
 However, the company's overall risk profile, as indicated by the various risk factors provided, is somewhat elevated, with concerns around board risk and compensation risk. Additionally, the company's earnings growth has been negative in the recent past, which could be a cause for concern.
 The macroeconomic outlook for the U.S. economy is mixed, with expectations of strong earnings growth but also potential volatility and challenges from factors like persistent inflation and uneven economic performance. The rise of emerging technologies, particularly artificial intelligence, could also have a significant impact on the industry in which Teledyne operates.
 Overall, while Teledyne's recent acquisition and its valuation metrics may be attractive, the company's risk profile and the broader economic uncertainty warrant a cautious approach. Investors should closely monitor the company's financial performance and strategic developments, as well as the evolving macroeconomic landscape, before making any investment decisions.
 Score: 70</t>
  </si>
  <si>
    <t>Investment Report:
 Cardinal Health (CAH) has seen its stock price advance slightly in the latest trading session, but it has underperformed the broader market. The company continues to grow on the back of its robust product portfolio and strong quarterly results. However, there are concerns about the stock's valuation, as it appears to be undervalued compared to its peers.
 The latest financial data shows that Cardinal Health has a trailing P/E ratio of 27.12 and a forward P/E ratio of 20.63, indicating that the stock may be undervalued. The company's profitability metrics, such as profit margins and return on assets and equity, are also relatively low compared to industry averages.
 The macroeconomic outlook for the healthcare distribution industry remains mixed, with concerns about persistent inflation and uneven economic performance. However, the rise of emerging technologies, particularly in the healthcare sector, could present growth opportunities for Cardinal Health.
 Overall, while Cardinal Health's recent performance and financial data suggest potential investment value, the stock's underperformance compared to the broader market and the mixed economic outlook may warrant a cautious approach. Investors should closely monitor the company's future developments and industry trends before making any investment decisions.
 Score: 70</t>
  </si>
  <si>
    <t>Investment Report:
 The recent financial data for Universal Health Services, a leading healthcare facilities provider, paints a mixed picture. While the company's stock price has seen some volatility, with the share price ranging between $122.01 and $161.48 over the past 52 weeks, the overall financial performance appears relatively stable.
 The company's valuation metrics, such as a forward P/E ratio of 14.16 and a price-to-book ratio of 6.29, suggest that the stock may be reasonably valued compared to its peers. Additionally, the company's dividend yield of 5.25% and a payout ratio of 98.34% indicate a strong focus on shareholder returns.
 However, the company's profitability metrics, including a profit margin of 6.25% and a return on equity of 31.42%, suggest that the firm may be facing some challenges in maintaining its profitability. The company's debt-to-equity ratio of 155.43% also raises concerns about its financial leverage and potential risks.
 The overall economic outlook for the healthcare industry remains cautiously optimistic, with the sector expected to benefit from the aging population and the continued demand for healthcare services. However, the industry also faces regulatory and reimbursement challenges that could impact the performance of individual companies like Universal Health Services.
 Given the mixed financial performance and the potential industry-wide challenges, the investment value of Universal Health Services may be considered moderate to high, depending on an investor's risk tolerance and investment horizon.
 Score: 70</t>
  </si>
  <si>
    <t>Investment Report:
 Target Corporation operates in the Consumer Staples Merchandise Retail industry, which is expected to see moderate growth in the coming months. The company's trailing PEG ratio of 1.1055 suggests that the stock may be reasonably valued compared to its earnings growth potential.
 The overall macroeconomic outlook for the U.S. economy is mixed, with concerns about potential volatility, inflation, and uneven economic performance. However, the technology and semiconductor sectors are expected to lead the market's performance, which could indirectly benefit Target as a major retailer.
 Given the lack of recent news and the relatively favorable valuation metric, Target Corporation appears to be a moderately attractive investment option for the next month, though investors should be mindful of the broader market conditions.
 Score: 70</t>
  </si>
  <si>
    <t>Investment Report:
 Bristol Myers Squibb (BMY) is a leading pharmaceutical company that has been garnering significant attention from investors lately. The recent financial data shows a mixed picture for the firm.
 On the positive side, BMY has a strong market capitalization of over $114 billion and a relatively low forward P/E ratio of 8.0, indicating potential undervaluation. The company also has a decent dividend yield of 4.38% and a manageable debt-to-equity ratio of 299.052. Additionally, BMY's free cash flow of $17.5 billion and operating cash flow of $15 billion suggest solid financial health.
 However, the company's profitability metrics are concerning, with negative profit margins and a trailing EPS of -$3.58. This could be due to various factors, such as increased research and development expenses, legal costs, or integration challenges from recent acquisitions.
 The economic outlook for the pharmaceutical industry remains mixed, with concerns about drug pricing pressures and potential regulatory changes. However, the rise of emerging technologies, such as artificial intelligence and personalized medicine, could present growth opportunities for companies like Bristol Myers Squibb.
 Overall, while BMY has some attractive financial characteristics, the negative profitability and uncertain industry outlook warrant a cautious approach. Investors should closely monitor the company's future earnings reports and strategic initiatives to assess the long-term investment potential.
 Score: 70</t>
  </si>
  <si>
    <t>Investment Report:
 Bunge Global, a leading agricultural products and services company, has not seen any significant news developments in the past week. However, the firm's latest financial data provides insights into its current performance and valuation.
 Financials:
 Bunge's stock has shown a strong performance, with the share price trading around $315.55 at the high end of its 52-week range. The company's financial metrics, such as a trailing P/E ratio of 81.30 and a forward P/E ratio of 44.89, suggest that the stock may be trading at a premium valuation. Additionally, the firm's profitability ratios, including a profit margin of 23.87% and a return on equity of 27.07%, indicate a relatively healthy financial position.
 Valuation:
 Bunge's market capitalization stands at $84.5 billion, and the stock is currently trading at a price-to-sales ratio of 19.41, which is higher than the industry average. The company's enterprise value-to-EBITDA ratio of 58.18 also suggests that the stock may be overvalued compared to its peers.
 Economic Outlook:
 The overall macroeconomic environment remains mixed, with concerns about persistent inflation and potential volatility in the stock market. However, the agricultural sector has generally been resilient, and the continued growth in emerging technologies, such as artificial intelligence, could benefit companies like Bunge that operate in the agricultural products and services industry.
 Score: 70</t>
  </si>
  <si>
    <t>Investment Report:
 Textron, a leading aerospace and defense company, has not seen any significant news developments in the past week. However, the firm's latest financial data provides insights into its current performance and valuation.
 Financials:
 Textron's financial metrics indicate a mixed picture. The company's profitability ratios, such as profit margins and return on assets and equity, are relatively strong, suggesting solid operational efficiency. However, the firm's valuation metrics, including a high trailing P/E ratio of 62.9 and a forward P/E ratio of 16.8, suggest that the stock may be overvalued compared to its earnings potential.
 Economic Outlook:
 The broader economic environment is expected to be mixed, with concerns about persistent inflation and uneven economic performance. However, the aerospace and defense industry may benefit from increased government spending and the continued development of emerging technologies, such as artificial intelligence, which could drive growth in the sector.
 Overall, while Textron's financial performance appears solid, the firm's current valuation and the broader economic uncertainties may present challenges in the near term. Investors should closely monitor the company's performance and the industry's dynamics to make informed investment decisions.
 Score: 70</t>
  </si>
  <si>
    <t>Investment Report:
 Tesla, Inc. (TSLA) is facing a mixed outlook in the Automobile Manufacturers industry. The recent news highlights both positive and negative developments for the company.
 On the positive side, analysts remain optimistic about Tesla's long-term growth prospects, citing the potential of upcoming revamped and new vehicle models, as well as the company's licensing opportunities for its Full Self-Driving technology. Additionally, Tesla achieved record sales in China in 2024, though analysts warn that sustaining this performance in 2025 could be challenging due to intensifying competition from domestic players.
 However, the company has also faced some challenges. Tesla reported its first annual decline in vehicle deliveries in 2024, missing analyst expectations. This was attributed to factors such as reduced European subsidies, a shift in the US toward lower-priced hybrid vehicles, and tougher competition from Chinese automakers. The company's stock price has also been volatile, with a significant drop in recent sessions.
 Financially, Tesla's valuation remains high, trading at 126 times projected earnings, which is significantly higher than its peers and even AI giant Nvidia. This has raised concerns about the stock's overvaluation, despite the company's growth potential.
 The macroeconomic outlook for the US is mixed, with strong earnings growth expectations but also concerns about potential volatility, inflation, and uneven economic performance. The political landscape, including the upcoming presidency of Donald Trump, could also impact Tesla's operations and the overall automotive industry.
 Score: 70</t>
  </si>
  <si>
    <t>Investment Report:
 Recent News:
 The recent news indicates that Abbott Laboratories (ABT) stock has been underperforming the broader market, with the stock closing 0.69% lower in the latest trading session despite a market uptick. This underperformance is also evident when comparing Abbott's performance to the broader health care equipment sector. Investors are closely monitoring the company's performance and trends.
 Financials:
 Abbott Laboratories' financial data shows a mixed picture. The company has a strong balance sheet with a healthy cash position and low debt levels. However, its valuation metrics, such as the forward P/E ratio of 25.2, suggest the stock may be trading at a premium compared to its peers. The company's profitability metrics, including profit margins and return on assets, are also solid.
 Economic Outlook:
 The overall macroeconomic environment remains mixed, with concerns about persistent inflation and potential volatility in the markets. However, the health care sector is generally seen as a defensive play, and the rising demand for medical equipment and devices could benefit companies like Abbott Laboratories.
 Conclusion:
 Given the recent news, solid financials, and the mixed economic outlook, the potential investment value of Abbott Laboratories (ABT) in the Health Care Equipment industry for the next month is moderate. Investors should closely monitor the company's performance and industry trends to make informed decisions.
 Score: 70</t>
  </si>
  <si>
    <t>Investment Report:
 Archer Daniels Midland (ADM) is a leading global agricultural products and services company. The latest financial data shows a mixed picture for the firm. While the stock price has seen some volatility, with the day's trading range between $49.53 and $51.04, the company's fundamentals remain relatively strong.
 The firm's valuation metrics, such as a forward P/E ratio of 9.74 and a price-to-book ratio of 1.05, suggest the stock may be undervalued compared to its peers. However, the company's profitability indicators, including a profit margin of 2.93% and a return on equity of 10.75%, are relatively low compared to industry standards.
 The macroeconomic outlook for the agricultural sector is generally positive, with expectations of continued growth in global food demand and potential opportunities in emerging markets. However, the firm may face challenges from factors such as commodity price fluctuations, supply chain disruptions, and regulatory changes.
 Overall, while Archer Daniels Midland's financial performance and market position suggest potential investment value, investors should closely monitor the company's operational and strategic developments, as well as the broader industry and economic conditions, to make an informed decision.
 Score: 70</t>
  </si>
  <si>
    <t>Investment Report:
 Ball Corporation, a leading manufacturer of metal, glass, and plastic containers, has seen its stock price fluctuate in recent trading sessions. The company's financial data shows a mixed picture, with some positive indicators but also areas of concern.
 On the positive side, Ball Corporation has a relatively low beta of 0.899, indicating lower volatility compared to the overall market. The company's dividend yield of 1.48% and payout ratio of 33.33% suggest a stable and sustainable dividend policy. Additionally, the company's forward P/E ratio of 15.28 indicates that the stock may be reasonably valued.
 However, the company's trailing P/E ratio of 22.51 is higher than the industry average, which could be a concern for some investors. The company's 52-week low of $53.86 and high of $71.32 also suggest a significant price range, indicating potential volatility.
 The economic outlook for the metal, glass, and plastic containers industry is mixed, with concerns about inflation and potential economic slowdown. However, the continued demand for packaging solutions across various sectors may provide some support for Ball Corporation's performance.
 Overall, while Ball Corporation has some positive financial indicators, the mixed economic outlook and potential volatility in the stock price may warrant a cautious approach for investors in the near term.
 Score: 70</t>
  </si>
  <si>
    <t>Investment Report:
 Campbell Soup Company, a leading player in the Packaged Foods &amp; Meats industry, has not seen any significant news developments in the past week. However, the company's latest financial data provides some insights into its current performance and valuation.
 Financials:
 - The stock is currently trading at $112.98, down from its previous close of $117.07. This indicates a potential short-term market correction or volatility.
 - The company's dividend rate of $4.12 and dividend yield of 3.63% suggest a relatively high payout ratio of 129.02%, which may raise concerns about the sustainability of the dividend.
 - The company's trailing P/E ratio of 35.79 and forward P/E ratio of 63.49 suggest that the stock may be overvalued compared to its earnings potential.
 - However, the company's strong profitability metrics, such as a profit margin of 22.16% and an EBITDA margin of 57.39%, indicate a healthy financial performance.
 Economic Outlook:
 - The overall macroeconomic environment remains mixed, with concerns about persistent inflation and potential volatility in the stock market.
 - The packaged foods industry may face challenges from changing consumer preferences and increased competition, which could impact Campbell Soup's performance.
 Valuation:
 - The company's stock is trading within its 52-week range of $90.50 to $127.69, suggesting potential upside or downside depending on market conditions.
 - The average analyst price target of $127.57 implies a potential upside of around 13% from the current trading price.
 Score: 70</t>
  </si>
  <si>
    <t>Investment Report:
 The latest financial data for Capital One, a leading consumer finance company, shows a mixed picture. The firm's stock price has been relatively stable, with the share price fluctuating between $119 and $121.95 over the past week. The company's valuation metrics, such as the forward P/E ratio of 13.75, suggest that the stock may be reasonably priced.
 However, the firm's financial performance has been somewhat uneven. While the company's revenue growth has been negative (-4.3%) in the recent past, its profitability metrics, such as EBITDA margins (13.03%) and operating margins (10.54%), remain relatively healthy. The firm's balance sheet also appears to be in good shape, with a current ratio of 0.949 and a quick ratio of 0.422.
 The overall macroeconomic outlook for the consumer finance industry is mixed, with concerns about persistent inflation and potential economic slowdown. However, the rise of emerging technologies, such as artificial intelligence, could present growth opportunities for the industry.
 Given the mixed financial performance and the uncertain economic environment, the potential investment value of Capital One for the next month is moderate.
 Score: 70</t>
  </si>
  <si>
    <t>Investment Report:
 The recent news indicates that CF Industries (CF) stock has been outperforming its peers in the Basic Materials sector so far this year. The company's financial data shows a mixed picture, with a relatively high trailing P/E ratio of 20.7 but a more attractive forward P/E of 17.8. The stock also offers a modest dividend yield of 2.83%.
 On the positive side, CF Industries has a strong market position in the fertilizers and agricultural chemicals industry, which could benefit from continued demand for agricultural products. The company's profitability metrics, such as profit margins and return on equity, are also relatively healthy.
 However, the company's high debt-to-equity ratio of 188.8% and negative free cash flow of -$1.5 billion raise some concerns about its financial stability and ability to fund future growth. Additionally, the overall macroeconomic outlook, including potential volatility in the stock market and concerns about inflation, could impact the company's performance.
 Given the mixed signals in the recent news and financial data, the potential investment value of CF Industries stock for the next month is somewhat uncertain. Investors should carefully consider the company's fundamentals, industry trends, and the broader economic environment before making any investment decisions.
 Score: 70</t>
  </si>
  <si>
    <t>Investment Report:
 Dow Inc. is a leading global producer of commodity chemicals, with a diverse portfolio of products used in a wide range of industries. The company's recent financial data shows a mixed picture, with some positive and negative indicators.
 On the positive side, Dow Inc. has a relatively low trailing P/E ratio of 9.72, suggesting the stock may be undervalued. The company also has a decent dividend yield of 1.15% and a payout ratio of 8.37%, indicating a sustainable dividend policy. Additionally, Dow's profitability metrics, such as profit margins and return on assets and equity, are relatively strong.
 However, the company's revenue growth has been negative in the past year, declining by 4.8%. This could be a concern, as it may indicate challenges in the broader commodity chemicals industry or the company's ability to maintain its market share. Additionally, Dow's debt-to-equity ratio of 22.915 is relatively high, which could be a risk factor if interest rates continue to rise.
 The economic outlook for the commodity chemicals industry is mixed, with concerns about persistent inflation and potential volatility in the broader market. However, the rise of emerging technologies, such as artificial intelligence, could create new growth opportunities for companies like Dow Inc.
 Overall, Dow Inc. appears to be a reasonably valued company with some positive financial metrics, but it also faces challenges in terms of revenue growth and debt levels. Investors should closely monitor the company's performance and the broader industry trends before making any investment decisions.
 Score: 70</t>
  </si>
  <si>
    <t>Investment Report:
 Dover Corporation, a leading industrial machinery and components manufacturer, has seen a mixed performance in recent weeks. While the company's financial data shows a relatively strong position, with a market capitalization of over $25 billion and a solid dividend yield, the lack of recent news and the broader economic uncertainty may create some challenges in the near term.
 The company's financials indicate a healthy balance sheet, with a strong cash position, low debt levels, and solid profitability metrics. However, the stock's valuation, as reflected in the forward P/E ratio of 20.02, suggests that the market may be pricing in some growth expectations that could be difficult to meet in the current economic environment.
 The macroeconomic outlook for the industrial machinery and components sector is also somewhat mixed. While the overall economy is expected to see strong earnings growth in 2025, there are concerns about potential volatility, inflation, and uneven economic performance. Additionally, the political landscape and the rise of emerging technologies, such as artificial intelligence, could have a significant impact on the industry.
 Given the lack of recent news and the mixed economic and industry outlook, the potential investment value of Dover Corporation for the next month may be somewhat limited. Investors should closely monitor the company's performance and any developments in the broader market and industry that could affect its prospects.
 Score: 70</t>
  </si>
  <si>
    <t>Investment Report:
 The latest financial data for Delta Air Lines (DAL) in the Passenger Airlines industry shows a mixed picture. The company's stock price has been relatively stable, with the previous close at $59.00 and the current day's trading range between $59.61 and $60.95. However, the company's financial metrics indicate some areas of concern.
 The company's valuation ratios, such as the trailing P/E of 8.327 and the forward P/E of 8.103, suggest that the stock may be undervalued compared to the industry average. Additionally, the company's dividend yield of 1% and payout ratio of 6.24% indicate a relatively low dividend payout.
 On the other hand, the company's profitability metrics, such as profit margins of 7.71% and return on equity of 40.67%, are relatively strong. The company's debt-to-equity ratio of 186.78 is also high, which could be a concern for investors.
 The overall economic outlook for the Passenger Airlines industry remains uncertain, with ongoing challenges related to the COVID-19 pandemic and potential changes in travel patterns. However, the continued recovery in air travel demand and the industry's ability to adapt to these changes could provide opportunities for companies like Delta Air Lines.
 Score: 70</t>
  </si>
  <si>
    <t>Investment Report:
 Recent News:
 Albemarle Corporation (ALB) stock fell more than the broader market, closing at $85.23, a 0.99% decline compared to the previous trading day. This underperformance could be attributed to the mixed macroeconomic conditions and concerns about the company's future prospects.
 Financials:
 Albemarle's financial data shows a mixed picture. The company's profitability metrics, such as profit margins and return on assets, are negative, indicating challenges in its operations. However, the company's balance sheet appears relatively strong, with a quick ratio of 1.509 and a current ratio of 2.444, suggesting adequate liquidity.
 Valuations:
 Albemarle's valuation metrics are also mixed. The company's forward P/E ratio of 44.24 suggests that the stock may be overvalued compared to its earnings potential. However, the price-to-book ratio of 1.32 indicates that the stock may be trading at a discount to its book value.
 Economic Outlook:
 The overall macroeconomic environment remains uncertain, with concerns about persistent inflation, uneven economic performance, and potential policy changes. These factors could impact Albemarle's operations and financial performance, contributing to the stock's recent underperformance.
 Score: 65</t>
  </si>
  <si>
    <t>Investment Report:
 The recent financial data for Waters Corporation, a leading provider of analytical instruments and software for the life sciences industry, paints a mixed picture. While the company's stock price has seen some volatility, with a 52-week range of $6.64 to $12.70, the overall financial metrics suggest potential opportunities for investors.
 The company's forward P/E ratio of 15.879 indicates that the stock may be reasonably valued, and the company's market capitalization of over $26 billion suggests it is a significant player in the life sciences tools and services industry. However, the company's profitability metrics, such as negative profit margins and a low return on assets, are concerning and may warrant further investigation.
 The economic outlook for the life sciences industry remains generally positive, with continued demand for analytical instruments and software used in drug development, clinical research, and other applications. However, the broader macroeconomic environment, including factors such as inflation, interest rates, and political uncertainty, may impact the company's performance in the short to medium term.
 Overall, while Waters Corporation appears to have some financial strengths, the mixed financial data and the broader economic and industry conditions suggest that a more in-depth analysis would be necessary to determine the potential investment value of the company.
 Score: 65</t>
  </si>
  <si>
    <t>Investment Report:
 Recent News: Workday (WDAY) stock fell more than the broader market in the recent trading session, closing at $258.03, a 1.52% decline from the previous day's close. This underperformance could be attributed to the mixed macroeconomic conditions and concerns about the company's future growth prospects.
 Financials: Workday's financial data shows a mixed picture. While the company has a strong balance sheet with $1.37 billion in total cash, it also has a significant amount of debt ($5.99 billion) and a relatively low current ratio of 1.142, indicating potential liquidity concerns. The company's profitability metrics, such as negative profit margins and a trailing EPS of -$7.21, also raise some concerns.
 Valuations: Workday's valuation metrics are relatively attractive, with a forward P/E ratio of 16.63 and a price-to-sales ratio of 3.15. However, the company's high enterprise value-to-EBITDA ratio of 13.79 suggests that the stock may be overvalued compared to its earnings potential.
 Economic Outlook: The overall macroeconomic environment remains mixed, with concerns about persistent inflation, uneven economic performance, and potential policy changes. This could create headwinds for Workday's growth and profitability, as the company's performance is closely tied to the broader economic conditions.
 Score: 65</t>
  </si>
  <si>
    <t>Investment Report:
 Valero Energy (VLO) has seen its stock price advance slightly in the recent trading session, but it has underperformed the broader market. The company's financial data shows a mixed picture, with some positive indicators like a decent dividend yield and strong revenue growth, but also concerns around profitability and high debt levels.
 The macroeconomic outlook for the Oil &amp; Gas Refining &amp; Marketing industry remains uncertain, with factors like inflation, energy policies, and geopolitical tensions potentially impacting the sector's performance. While the technology and semiconductor sectors have been leading the market, the long-term prospects for Valero Energy may depend on its ability to navigate these challenges and improve its financial position.
 Score: 65</t>
  </si>
  <si>
    <t>Investment Report:
 The recent news surrounding Boeing highlights the company's ongoing efforts to address safety concerns and regain public trust after a series of incidents, including the door panel blowout on an Alaska Airlines 737 MAX 9 in 2024. The outgoing U.S. transportation secretary and the FAA administrator have both emphasized that Boeing still has more work to do to improve its safety culture and manufacturing processes.
 Financially, Boeing's stock has been volatile, with the company on track to be the biggest loser in the Dow Jones Index in 2024, falling 32% as it navigated various crises. However, the stock gained back some ground in December, rising 13.9%, potentially indicating a glimmer of optimism.
 The company's financial data shows a mixed picture, with a high trailing P/E ratio of 60.27 and a relatively low return on equity of 22.04%. The debt-to-equity ratio of 65.96 also raises some concerns about the company's financial leverage.
 The macroeconomic outlook for the aerospace and defense industry remains uncertain, with the Federal Reserve's actions and the potential impact of political developments, such as the new administration's policies, adding to the overall market volatility.
 Given the ongoing challenges facing Boeing, the potential investment value of the company in the near term (one month) is assessed as:
 Score: 65</t>
  </si>
  <si>
    <t>Investment Report:
 Huntington Ingalls Industries (HII) is a leading aerospace and defense company that provides a wide range of products and services to the U.S. government, including shipbuilding, aircraft carrier overhaul, and defense and federal solutions. The company's recent financial data shows a mixed picture, with some positive and negative indicators.
 On the positive side, HII has a strong balance sheet with a healthy cash position and low debt levels. The company's profitability metrics, such as profit margins and return on assets and equity, are also relatively strong. Additionally, the company's dividend yield of 1.34% and a forward P/E ratio of 15.24 suggest that the stock may be reasonably valued.
 However, the company's recent earnings growth has been negative, and its free cash flow and operating cash flow have been negative, which could be a concern for investors. The company's 52-week high-low range of $213.31 to $462.08 also indicates significant volatility in the stock price.
 The overall economic outlook for the aerospace and defense industry remains positive, with continued government spending on defense and the potential for growth in commercial aviation. However, the company may face challenges from factors such as supply chain disruptions, labor shortages, and potential changes in government policies.
 Given the mixed financial performance and the uncertain economic environment, the potential investment value of Huntington Ingalls Industries for the next month is moderate.
 Score: 65</t>
  </si>
  <si>
    <t>Investment Report:
 Recent News:
 The news reports indicate a mixed performance for PPL Corporation (PPL) stock. In one instance, the stock sank as the overall market gained, while in another, it increased despite a market slip. These fluctuations suggest potential volatility in the stock's trading.
 Financials:
 PPL's financial data shows a mixed picture. The company has a relatively low forward P/E ratio of 9.28, indicating potential undervaluation. However, its profitability metrics, such as profit margins and return on assets, are negative, which could be a concern. The company's debt-to-equity ratio of 36.26% is also relatively high, which could be a risk factor.
 Valuation and Economic Outlook:
 Analysts have a target mean price of $88.67 for PPL, suggesting potential upside from the current trading price. However, the overall economic outlook is mixed, with concerns about market volatility, inflation, and uneven economic performance. The rise of emerging technologies like AI could also impact the utilities sector, where PPL operates.
 In summary, PPL Corporation's stock performance and financial metrics present a mixed picture. While the company may be undervalued based on its forward P/E ratio, its profitability and debt levels could be areas of concern. The overall economic and market conditions may also contribute to potential volatility in the stock's trading.
 Score: 65</t>
  </si>
  <si>
    <t>Investment Report:
 The recent financial data for Match Group, a leading company in the Interactive Media &amp; Services industry, presents a mixed picture. While the company's stock price has shown some volatility, with a 52-week range of $63.81 to $86.7, the overall financial performance appears relatively stable.
 The company's profitability metrics, such as profit margins (10.54%) and return on assets (15.69%), suggest a reasonably healthy financial position. However, the company's debt-to-equity ratio of 2,238.03 is significantly high, which could be a concern for investors.
 The economic outlook for the Interactive Media &amp; Services industry remains positive, with the overall U.S. stock market expected to see strong earnings growth of 12-13% in 2025. The rise of emerging technologies, particularly artificial intelligence, is also expected to drive growth in this sector.
 Given the mixed financial data, the potential impact of macroeconomic and industry-specific factors, and the lack of recent news, the investment value of Match Group for the next month is assessed as moderate.
 Score: 65</t>
  </si>
  <si>
    <t>Investment Report:
 The latest financial data for Willis Towers Watson, a leading insurance broking and advisory firm, shows a mixed picture. The company's stock price has been volatile, with the share price ranging from a 52-week low of $199.81 to a high of $311.28. The current stock price of $252.84 is below the 52-week high, indicating potential room for growth.
 The company's financial metrics are generally strong, with a market capitalization of over $67 billion, a forward P/E ratio of 30.35, and a healthy balance sheet with $7.37 billion in total cash. However, the company's trailing P/E ratio of 41.66 suggests the stock may be overvalued compared to its earnings.
 The economic outlook for the insurance industry remains positive, with the sector expected to benefit from rising interest rates and continued demand for risk management services. However, the overall market volatility and potential regulatory changes could pose challenges for the company.
 Given the mixed financial data and the uncertain economic environment, the investment value of Willis Towers Watson for the next month is moderate. Investors should closely monitor the company's performance and any industry-specific developments that could impact its future prospects.
 Score: 65</t>
  </si>
  <si>
    <t>Investment Report:
 Paramount Global, a leading player in the Movies &amp; Entertainment industry, has not seen any significant news developments in the past week. However, the company's latest financial data provides some insights into its current standing.
 Financials:
 - Paramount Global's stock is trading at $10.78, with a 52-week range of $9.54 to $15.7.
 - The company's financial metrics, such as a forward P/E ratio of 6.72 and a price-to-book ratio of 0.44, suggest that the stock may be undervalued compared to its peers.
 - The company's profitability has been a concern, with a trailing 12-month profit margin of -18.9% and a negative return on equity of -30.08%.
 - However, Paramount Global's balance sheet appears relatively strong, with a quick ratio of 0.94 and a current ratio of 1.28, indicating adequate liquidity.
 Valuation and Economic Outlook:
 - The company's stock is trading at a significant discount to its 52-week high, which could be an opportunity for investors.
 - The overall economic outlook remains mixed, with concerns about potential volatility, inflation, and uneven economic performance. This could impact the performance of the entertainment industry as a whole.
 - The rise of emerging technologies, particularly artificial intelligence, could also present both opportunities and challenges for Paramount Global in the medium to long term.
 Score: 65</t>
  </si>
  <si>
    <t>Investment Report:
 News Corp (Class B) in the Publishing industry has not seen any significant news in the past week. However, the company's latest financial data provides some insights into its current performance and valuation.
 Financials:
 News Corp's financial metrics show a mixed picture. The company's profitability ratios, such as profit margins and return on assets, are relatively low, indicating potential challenges in its operations. However, the company's balance sheet appears to be in a decent shape, with a current ratio of 1.378 and a quick ratio of 1.086, suggesting adequate liquidity.
 Valuation:
 The company's valuation metrics are somewhat elevated, with a trailing P/E ratio of 48.822 and a forward P/E ratio of 28.829. This suggests that the stock may be trading at a premium compared to its peers or the broader market. However, the company's dividend yield of 0.66% and its relatively low price-to-book ratio of 2.088 could make it an attractive investment for income-oriented investors.
 Economic Outlook:
 The overall macroeconomic environment is expected to be mixed, with concerns about potential volatility, inflation, and uneven economic performance. However, the rise of emerging technologies, particularly artificial intelligence, could present growth opportunities for the publishing industry, which may benefit News Corp.
 Score: 65</t>
  </si>
  <si>
    <t>Investment Report:
 The latest financial data for International Paper, a leading company in the Paper &amp; Plastic Packaging Products &amp; Materials industry, shows a mixed picture. The firm's stock price has been relatively stable, with a previous close of $28.13 and a 52-week range of $26.88 to $35.17. However, the company's financial metrics indicate some areas of concern.
 The firm's profitability ratios, such as profit margins (8.65%) and return on equity (21.79%), are relatively low compared to industry peers. Additionally, the company's debt-to-equity ratio of 111.81% suggests a highly leveraged balance sheet, which could pose risks in the current economic environment.
 On the positive side, International Paper's valuation metrics, including a forward P/E ratio of 10.15 and a price-to-book ratio of 2.80, suggest the stock may be undervalued compared to its intrinsic worth. The company also pays a dividend, with a current yield of 4.72%.
 The overall macroeconomic outlook, as discussed in the previous context, indicates a mixed picture for the U.S. economy, with concerns about potential volatility, inflation, and uneven performance. This could have implications for the paper and packaging industry, as changes in consumer demand and input costs may affect International Paper's financial performance.
 Score: 65</t>
  </si>
  <si>
    <t>Investment Report:
 Recent News: McDonald's has faced a series of challenges, including accusations of rolling back its diversity, equality, and inclusion (DEI) commitments. The company cited an "evolving landscape" around DEI and a 2023 Supreme Court ruling as reasons for scrapping its diversity goals in senior management positions. This move aligns with a broader corporate retreat from diversity goals observed in the past year.
 Financials: McDonald's financial data shows a trailing PEG ratio of 2.6357, which suggests the stock may be overvalued compared to its earnings growth potential.
 Valuation: The recent news of McDonald's dropping its diversity policies could raise concerns among investors about the company's commitment to inclusive practices and its potential impact on the brand's reputation and long-term performance.
 Economic Outlook: The fast-food industry is facing challenges, such as the perception of high prices and the potential impact of new minimum wage increases in some states. These factors could put pressure on McDonald's profitability and stock performance.
 Overall, the recent news and the mixed economic outlook for the fast-food industry may create uncertainty around McDonald's investment potential in the near term. Investors should closely monitor the company's response to these challenges and its ability to navigate the evolving landscape.
 Score: 65</t>
  </si>
  <si>
    <r>
      <t xml:space="preserve">Investment Report:
 Freeport-McMoRan (FCX), a leading global copper producer, has seen its stock price decline more than the overall market in the latest trading session. This underperformance can be attributed to a combination of factors affecting the copper industry and the broader economic landscape.
 Recent News:
 - Freeport-McMoRan's stock closed at $37.88, marking a 0.53% drop from the previous day's trading. This decline was more significant than the general market movement, indicating potential challenges facing the company.
 - The recent news highlights that Freeport-McMoRan has been a trending stock among </t>
    </r>
    <r>
      <rPr>
        <rFont val="&quot;Helvetica Neue&quot;"/>
        <color rgb="FF1155CC"/>
        <sz val="8.0"/>
        <u/>
      </rPr>
      <t>Zacks.com</t>
    </r>
    <r>
      <rPr>
        <rFont val="&quot;Helvetica Neue&quot;"/>
        <sz val="8.0"/>
      </rPr>
      <t xml:space="preserve"> users, suggesting increased investor interest and scrutiny.
 Financials:
 - Freeport-McMoRan's financial data shows a mixed picture, with a relatively high trailing P/E ratio of 26.37 and a forward P/E ratio of 27.15, indicating potential overvaluation concerns.
 - The company's profitability metrics, such as profit margins and return on assets and equity, appear strong, suggesting operational efficiency.
 - However, the company's debt-to-equity ratio of 1.91 raises some concerns about its financial leverage and potential vulnerability to economic downturns.
 Economic Outlook:
 - The broader macroeconomic environment, as highlighted in the provided context, is expected to be mixed, with potential volatility and uneven economic performance.
 - The copper industry, in particular, may face challenges from persistent inflation, policy changes, and the potential impact of political and economic developments.
 Overall, Freeport-McMoRan's recent underperformance, coupled with the mixed economic outlook and industry-specific factors, suggest a cautious approach to investing in the company in the near term. Investors should closely monitor the company's financial and operational performance, as well as the broader market and industry trends, to make informed investment decisions.
 Score: 65</t>
    </r>
  </si>
  <si>
    <t>Investment Report:
 Recent News:
 Analysts are estimating a decline in Walgreens Boots Alliance's (WBA) upcoming earnings report. This suggests potential challenges for the company in the near term. Additionally, there are concerns about another potential dividend cut, as the company's dividend safety has been a point of focus for investors.
 However, the stock has been performing well, rising even as the broader market has fallen. This indicates some resilience and potential upside for the company.
 Financials:
 Walgreens' financial data shows a mixed picture. While the company has a relatively high trailing P/E ratio of 40.8 and a forward P/E of 18.2, its dividend yield of 0.82% is low compared to its 5-year average of 1.38%. The company's profitability metrics, such as profit margins and return on assets and equity, are also relatively modest.
 Valuation and Economic Outlook:
 The stock's current valuation, with a price-to-sales ratio of 2.2, suggests it may be reasonably valued. However, the mixed economic outlook, with concerns about inflation and potential volatility, could weigh on the company's performance in the near term.
 Overall, Walgreens Boots Alliance faces a challenging environment, with potential earnings declines and dividend concerns. While the stock has shown some resilience, the company's financial and valuation metrics are not particularly strong. Investors should closely monitor the company's upcoming earnings report and any updates on its dividend policy.
 Score: 65</t>
  </si>
  <si>
    <t>Investment Report:
 American International Group (AIG) is a leading multi-line insurance company that operates in the United States and internationally. The firm's recent financial data shows a mixed picture, with some positive and negative indicators.
 On the positive side, AIG has a strong market capitalization of over $84 billion and a relatively low beta of 0.842, indicating lower volatility compared to the overall market. The company also has a decent dividend yield of 3.59% and a payout ratio of 158.07%, suggesting a sustainable dividend policy.
 However, the firm's valuation metrics are somewhat concerning. The trailing P/E ratio of 43.44 and the forward P/E ratio of 26.31 are both significantly higher than the industry average, indicating that the stock may be overvalued. Additionally, the debt-to-equity ratio of 439.34% is quite high, which could be a potential risk factor.
 The economic outlook for the insurance industry is mixed. While the overall U.S. economy is expected to see strong earnings growth in 2025, there are concerns about persistent inflation and uneven economic performance, which could impact the insurance sector. Additionally, the political landscape, particularly the upcoming second term of President Donald Trump, could bring changes in regulations and policies that may affect the industry.
 Given the mixed financial data and the uncertain economic and political environment, the potential investment value of AIG in the next month is moderate. Investors should closely monitor the company's performance and the broader market conditions before making any investment decisions.
 Score: 65</t>
  </si>
  <si>
    <t>Investment Report:
 Celanese Corporation is a leading global specialty chemicals company that operates in the Specialty Chemicals industry. The company's recent financial data shows a mixed picture, with some positive and negative indicators.
 On the positive side, Celanese has a strong balance sheet with a significant cash position and relatively low debt levels. The company's profitability metrics, such as profit margins and return on assets, are also relatively healthy. Additionally, the stock's valuation appears reasonable, with a forward P/E ratio of 14.0 and a price-to-book ratio of 57.1.
 However, the company's recent earnings growth has been negative, and the stock has underperformed the broader market over the past year, with a 52-week change of 7.29% compared to the S&amp;P 500's 24.93% change. The company's dividend yield of 0.96% is also relatively low compared to its historical average.
 The overall economic outlook for the Specialty Chemicals industry is mixed, with concerns about persistent inflation and potential volatility in the broader market. The rise of emerging technologies, such as artificial intelligence, could also present both opportunities and challenges for the industry.
 Given the mixed financial performance and the uncertain economic environment, the potential investment value of Celanese in the next month is moderate. Investors should closely monitor the company's financial and operational performance, as well as any industry-specific or macroeconomic developments that could impact the stock's performance.
 Score: 65</t>
  </si>
  <si>
    <t>Investment Report:
 Camden Property Trust is a real estate investment trust (REIT) that focuses on the multi-family residential sector. The company's recent financial data shows a mixed picture, with a decline in the stock price and some concerning valuation metrics, such as a high debt-to-equity ratio and a relatively low current ratio.
 The macroeconomic outlook for the multi-family residential REIT industry is generally positive, with strong demand for rental housing and continued population growth in many urban areas. However, rising interest rates and potential economic headwinds could pose challenges for the sector.
 Given the lack of recent news and the mixed financial performance, the investment value of Camden Property Trust for the next month is likely to be moderate. Investors should closely monitor the company's financial health, debt levels, and any changes in the broader multi-family residential REIT market.
 Score: 65</t>
  </si>
  <si>
    <t>Investment Report:
 The Cooper Companies (The) operates in the Health Care Supplies industry, which has seen mixed performance in the recent market environment. The firm's trailing PEG ratio of 8.6674 suggests that it may be trading at a premium valuation compared to its earnings growth potential.
 The overall macroeconomic outlook for the U.S. economy is expected to be choppy in the near term, with potential volatility driven by factors such as persistent inflation, uneven economic performance, and political developments. This could impact the performance of the Health Care Supplies industry and the firm's stock.
 Without any recent news or updates on the firm's operations, it is difficult to assess the specific factors that may be affecting the company's valuation and future prospects. Investors should closely monitor the firm's financial reports and any industry-related developments that could impact its performance.
 Score: 65</t>
  </si>
  <si>
    <t>Investment Report:
 CMS Energy, a multi-utility company, operates in a relatively stable industry. The latest financial data shows a trailing PEG ratio of 7.8769, which suggests the stock may be fairly valued or slightly overvalued compared to its earnings growth potential.
 The overall economic outlook is mixed, with expectations of continued volatility in the stock market. While the U.S. economy is expected to see strong earnings growth, there are concerns about persistent inflation, uneven economic performance, and potential policy changes that could impact the utility sector.
 Given the lack of recent news and the mixed economic conditions, the potential investment value of CMS Energy for the next month is moderate.
 Score: 65</t>
  </si>
  <si>
    <t>Investment Report:
 Halliburton, a leading provider of products and services to the global energy industry, is facing a mixed outlook in the current market environment. While the firm's recent financial data shows some positive indicators, such as a relatively low trailing P/E ratio of 9.67 and a decent dividend yield of 2.46%, there are also concerns that could impact its investment potential.
 The macroeconomic outlook for the oil and gas industry remains uncertain, with factors like global energy demand, geopolitical tensions, and the transition to renewable energy sources creating volatility. Halliburton's performance is closely tied to the overall health of the energy sector, and any significant changes in this landscape could affect the company's financial results.
 Additionally, Halliburton's recent financial data reveals some areas of concern, such as a decline in earnings growth (-18%) and revenue growth (-1.8%) compared to the previous year. The firm's debt-to-equity ratio of 83.99% is also relatively high, which could limit its financial flexibility and impact its ability to navigate market challenges.
 Overall, while Halliburton's fundamentals show some promising signs, the current macroeconomic and industry-specific factors suggest a cautious approach may be warranted in the near term. Investors should closely monitor the company's performance and the broader trends in the energy sector before making any investment decisions.
 Score: 65</t>
  </si>
  <si>
    <t>Investment Report:
 The recent financial data for CDW, a leading technology distributor, paints a mixed picture for the company's investment potential in the near term. While the firm's fundamentals, such as profitability, cash flow, and market capitalization, appear relatively strong, there are some concerning trends that investors should consider.
 The company's stock price has declined significantly over the past year, with a 52-week change of -55.2%, significantly underperforming the broader S&amp;P 500 index. This could be attributed to the challenging macroeconomic environment, including concerns about inflation, rising interest rates, and the potential for a slowdown in technology spending.
 Additionally, the firm's valuation metrics, such as the forward P/E ratio of 7.24 and the price-to-book ratio of 0.99, suggest that the stock may be undervalued compared to its peers. However, this could also indicate that the market is pricing in some level of risk or uncertainty surrounding the company's future performance.
 The economic outlook for the technology sector is also mixed, with the potential for continued volatility and uneven performance across different industries and sub-sectors. The rise of emerging technologies, such as artificial intelligence, could present both opportunities and challenges for CDW, depending on its ability to adapt and capitalize on these trends.
 Overall, while CDW's fundamentals appear relatively strong, the current market and economic conditions, as well as the firm's recent stock price performance, suggest that investors should approach the stock with caution in the near term. A more thorough analysis of the company's competitive positioning, growth prospects, and risk factors would be necessary to make a more informed investment decision.
 Score: 65</t>
  </si>
  <si>
    <t>Investment Report:
 Franklin Resources, an asset management firm, has not seen any significant news in the past week. However, the company's financial data provides some insights into its current standing.
 Financials:
 - The stock is trading at a price-to-earnings (P/E) ratio of 23.53, which is higher than the industry average, indicating potential overvaluation.
 - The company's dividend yield of 6.4% is relatively attractive, but the payout ratio of 145.88% suggests the dividend may not be sustainable in the long run.
 - Franklin Resources' profitability metrics, such as profit margins (5.48%) and return on equity (4.32%), are relatively low compared to industry peers.
 - The company's debt-to-equity ratio of 25.72% is within a reasonable range, suggesting a moderately leveraged balance sheet.
 Valuation and Outlook:
 - The stock is trading at a price-to-book ratio of 0.84, indicating it may be undervalued compared to its book value.
 - The company's forward P/E ratio of 7.69 suggests the market expects earnings growth in the future.
 - However, the overall economic outlook remains mixed, with concerns about potential volatility, inflation, and uneven economic performance.
 Given the mixed financial performance, valuation, and the uncertain macroeconomic environment, the potential investment value of Franklin Resources in the Asset Management &amp; Custody Banks industry for the next month is moderate.
 Score: 65</t>
  </si>
  <si>
    <t>Investment Report:
 The recent news indicates that Sherwin-Williams, a leading specialty chemicals company, may be trading at a premium valuation that could make it less attractive for investors in the near term. The company's diverse paint product offerings and impressive long-term returns have made it a popular investment choice. However, the latest earnings report was weak, and the stock's trailing PEG ratio of 1.72 suggests it may be overvalued compared to its growth potential.
 The macroeconomic outlook is mixed, with the U.S. economy expected to see strong earnings growth but also potential volatility and persistent inflation concerns. This could create a challenging environment for companies like Sherwin-Williams, which may face headwinds from uneven economic performance and potential policy changes.
 While Sherwin-Williams has a strong track record and operates in a growing industry, the current valuation and recent financial performance may make it less appealing as an investment option in the short to medium term. Investors should carefully consider the company's fundamentals, the broader economic conditions, and their own investment objectives before making a decision.
 Score: 65</t>
  </si>
  <si>
    <t>Investment Report:
 Edison International (EIX) is a utility company that provides electricity and natural gas services to customers in Southern California. The company's recent financial data shows a mixed picture, with a high trailing P/E ratio of 32.45 and a forward P/E ratio of 30.89, indicating that the stock may be overvalued compared to its earnings. However, the company's dividend yield of 1.12% and payout ratio of 31.98% suggest that it is still generating sufficient cash flow to support its dividend payments.
 The macroeconomic outlook for the electric utilities industry is generally positive, with the U.S. economy expected to see strong earnings growth of 12-13% in 2025. However, the market is likely to be choppy, with potential volatility driven by factors such as persistent inflation, uneven economic performance, and potential policy changes.
 Given the mixed financial data and the uncertain macroeconomic environment, the investment value of Edison International for the next month is moderate. Investors should closely monitor the company's performance and the broader market conditions before making any investment decisions.
 Score: 65</t>
  </si>
  <si>
    <t>Investment Report:
 The recent financial data for Dollar General, a leading consumer staples merchandise retailer, paints a mixed picture. While the company's stock price has seen some volatility, with a 52-week range of $72.12 to $168.07, the current valuation appears relatively attractive. The stock's forward P/E ratio of 12.71 and price-to-book ratio of 2.47 suggest the market may be undervaluing the company's growth potential.
 The firm's financials show a strong balance sheet, with a healthy cash position and manageable debt levels. However, the company's profitability metrics, such as profit margins and return on equity, have been declining in recent quarters, which could be a cause for concern. The firm's earnings growth has also been negative, indicating potential challenges in the near term.
 The economic outlook for the consumer staples industry remains cautiously optimistic, with the overall U.S. stock market expected to see moderate growth in the coming year. However, the potential impact of factors like inflation, political uncertainty, and the rise of emerging technologies like AI could introduce volatility and affect the performance of the sector.
 Given the mixed signals in the recent data, the investment value of Dollar General for the next month is likely to be in the mid-range. The company's strong market position, stable financials, and potential for long-term growth may be offset by the near-term profitability concerns and broader economic uncertainties.
 Score: 65</t>
  </si>
  <si>
    <t>Investment Report:
 The latest financial data shows that Dayforce, a company in the Human Resource &amp; Employment Services industry, has a trailing price-to-earnings growth (PEG) ratio of 1.14. This suggests the stock may be reasonably valued, as a PEG ratio below 1.5 is generally considered favorable.
 However, without any recent news or updates on the company's performance, it is difficult to assess the current investment potential fully. The overall economic outlook, including factors such as employment trends and workforce dynamics, could have a significant impact on the firm's prospects.
 Given the limited information available, a cautious approach may be warranted when evaluating Dayforce's investment value in the near term. Further research and monitoring of the company's developments, as well as the broader industry and macroeconomic conditions, would be necessary to make a more informed assessment.
 Score: 65</t>
  </si>
  <si>
    <t>Investment Report:
 Molson Coors Beverage Company, a leading player in the Brewers industry, has not seen any significant news developments in the past week. However, the firm's latest financial data provides insights into its current performance and valuation.
 Financials:
 Molson Coors' financial metrics indicate a mixed picture. The company's profitability ratios, such as profit margins and return on assets, are relatively strong, suggesting solid operational efficiency. However, the firm's valuation metrics, including a high trailing P/E ratio of 70.91 and a forward P/E ratio of 38.15, suggest that the stock may be overvalued compared to its earnings potential.
 Valuation:
 The company's stock price has seen a 52-week range of $546.71 to $959.64, with the current price trading closer to the lower end of this range. The firm's dividend yield of 0.79% is relatively low, and its payout ratio of 53.55% indicates that the company is retaining a significant portion of its earnings for reinvestment or other corporate purposes.
 Economic Outlook:
 The overall macroeconomic environment, as summarized in the provided context, is expected to be mixed, with concerns about potential volatility, inflation, and uneven economic performance. This could have implications for the Brewers industry, as consumer spending patterns and preferences may shift in response to economic conditions.
 Score: 65</t>
  </si>
  <si>
    <t>Investment Report:
 The recent financial data for Smurfit WestRock, a company in the Paper &amp; Plastic Packaging Products &amp; Materials industry, shows a mixed picture. The company's stock price has been relatively stable, with a previous close of $336.07 and a 52-week range of $252.98 to $373.90. However, the company's financial metrics indicate some areas of concern.
 The company's profitability ratios, such as profit margins (20.4%) and return on assets (11.4%), are relatively strong, suggesting the firm is generating decent profits. Additionally, the company's debt-to-equity ratio of 23.4% indicates a relatively low level of leverage, which could be viewed positively.
 On the other hand, the company's revenue growth has been slightly negative (-0.5%) in the latest period, which could be a concern. Additionally, the company's valuation metrics, such as the forward P/E ratio of 16.6, suggest the stock may be fairly valued or slightly overvalued compared to the industry average.
 The overall macroeconomic outlook for the Paper &amp; Plastic Packaging Products &amp; Materials industry is mixed, with concerns about inflation and potential economic slowdown. However, the continued growth in e-commerce and the need for sustainable packaging solutions could provide opportunities for the industry.
 Given the mixed financial performance and the uncertain economic environment, the potential investment value of Smurfit WestRock may be moderate in the near term.
 Score: 65</t>
  </si>
  <si>
    <t>Investment Report:
 Caesars Entertainment, a leading player in the Casinos &amp; Gaming industry, has seen a mixed performance in recent weeks. While the company's financial data shows some positive indicators, such as a relatively low price-to-sales ratio and a strong market capitalization, there are also concerns that warrant a cautious approach.
 The firm's financial data reveals a high beta of 2.962, indicating that the stock is more volatile than the overall market. Additionally, the company's profitability metrics, such as profit margins and return on equity, are relatively low, suggesting potential challenges in the business operations.
 The economic outlook for the Casinos &amp; Gaming industry is also mixed. While the industry has shown resilience in the face of the pandemic, the recent macroeconomic events, such as rising inflation and potential policy changes, could impact consumer spending and the overall industry performance.
 Given the mixed financial data, the industry's uncertain outlook, and the lack of recent news, the potential investment value of Caesars Entertainment for the next month is moderate.
 Score: 65</t>
  </si>
  <si>
    <t>Investment Report:
 Recent News: AT&amp;T (T) stock has been underperforming the broader market, declining slightly by 0.31% in the recent trading session despite the overall market rise. This performance raises questions about the investment potential of the stock.
 Financials: AT&amp;T's financial data presents a mixed picture. While the company has a strong balance sheet with a healthy cash position and low debt levels, its profitability metrics, such as profit margins and return on assets, are relatively low compared to industry peers. Additionally, the company's free cash flow has been negative, which could be a concern for investors.
 Valuations: AT&amp;T's valuation metrics, including its forward P/E ratio of 17.67 and price-to-book ratio of 1.74, suggest that the stock may be reasonably valued. However, the company's dividend yield of 2.37% is lower than its historical average, which could be a drawback for income-oriented investors.
 Economic Outlook: The overall macroeconomic environment remains uncertain, with concerns about persistent inflation and potential volatility in the stock market. This could impact the performance of the telecommunications industry, including AT&amp;T, in the near term.
 In summary, while AT&amp;T's financial position appears stable, the company's recent stock performance, mixed profitability metrics, and the uncertain economic outlook suggest that the investment potential of the stock may be limited in the short term. Investors should carefully consider these factors before making any investment decisions.
 Score: 65</t>
  </si>
  <si>
    <t>Investment Report:
 Zoetis, a leading global animal health company, operates in the Pharmaceuticals industry. The firm's recent financial data shows a trailing PEG ratio of 2.58, which suggests the stock may be slightly overvalued compared to its earnings growth potential.
 The overall macroeconomic outlook for the Pharmaceuticals industry appears mixed. While the sector is expected to benefit from continued demand for animal health products, concerns around inflation and economic uncertainty may create some headwinds. Additionally, the political landscape, particularly any potential policy changes, could impact the industry's performance.
 Given the lack of recent news and the mixed economic signals, the potential investment value of Zoetis for the next month is moderate. The firm's strong market position and growth prospects are balanced by the current valuation and broader economic factors.
 Score: 65</t>
  </si>
  <si>
    <t>Investment Report:
 Texas Pacific Land Corporation is an oil and gas exploration and production company operating in the United States. The firm's recent financial data shows a mixed picture, with some positive and negative indicators.
 On the positive side, Texas Pacific Land has a strong balance sheet with a healthy cash position and low debt levels. The company's profitability metrics, such as profit margins and return on assets and equity, are also relatively strong. Additionally, the firm's valuation ratios, including the forward P/E and price-to-book, suggest that the stock may be undervalued compared to its peers.
 However, the firm's recent earnings growth has been negative, and the stock has underperformed the broader S&amp;P 500 index over the past year. The company's dividend yield is also relatively low, which may not be attractive to income-oriented investors.
 The overall economic outlook for the oil and gas industry is mixed, with concerns about inflation, supply chain issues, and potential policy changes. While the industry has benefited from higher energy prices, the market may remain volatile in the near term.
 Given the mixed financial performance and the uncertain economic environment, the potential investment value of Texas Pacific Land Corporation for the next month is moderate.
 Score: 65</t>
  </si>
  <si>
    <t>Investment Report:
 Recent News: Caterpillar Inc. (CAT) stock is currently trading at a premium valuation, with a forward P/E ratio of 22.64, significantly higher than the industry average. This premium valuation comes despite recent downward estimate revisions, raising concerns about the stock's potential upside.
 Financials: Caterpillar's financial data shows a mixed picture. While the company has a strong balance sheet with a healthy cash position and low debt levels, its profitability metrics, such as profit margins and return on equity, are relatively modest compared to industry peers. The company's earnings growth and revenue growth have also been moderate.
 Valuation: Caterpillar's stock is trading at a premium valuation, with a forward P/E ratio of 22.64 and a price-to-book ratio of 4.20. This suggests that the market may be pricing in significant growth expectations, which could be challenging to meet given the recent downward estimate revisions.
 Economic Outlook: The macroeconomic environment remains mixed, with concerns about persistent inflation, uneven economic performance, and potential policy changes. While the construction and heavy equipment industry is expected to benefit from infrastructure spending and a resilient labor market, the overall market volatility and economic uncertainty could weigh on Caterpillar's performance.
 Score: 65</t>
  </si>
  <si>
    <t>Investment Report:
 Recent News: Clorox (CLX) has been underperforming its consumer staples sector peers so far this year. While the broader consumer staples sector has seen modest gains, Clorox's stock has lagged behind, raising questions about the company's ability to maintain its momentum in the current market environment.
 Financials: Clorox's financial data shows a mixed picture. The company's valuation metrics, such as a forward P/E ratio of 38.9 and a price-to-sales ratio of 7.7, suggest that the stock may be overvalued compared to its peers. However, Clorox's profitability metrics, including a profit margin of 16.8% and a return on equity of 40.5%, indicate that the company is generating strong earnings.
 Economic Outlook: The overall macroeconomic environment remains uncertain, with concerns about persistent inflation and potential volatility in the stock market. While consumer staples stocks are generally considered defensive investments, Clorox's performance may be influenced by broader market trends and changes in consumer spending patterns.
 Valuation: Clorox's current stock price of $185.85 is near the lower end of its 52-week range of $144.13 to $228.12. The company's target mean price of $195.79 suggests a potential upside, but the wide range of target prices (from $147.50 to $245.00) indicates a high degree of uncertainty among analysts.
 In summary, Clorox's recent underperformance, mixed financial data, and the uncertain economic outlook suggest that the company's investment value may be limited in the near term. Investors should closely monitor the company's performance and the broader market conditions before making any investment decisions.
 Score: 65</t>
  </si>
  <si>
    <t>Investment Report:
 The latest financial data for Charter Communications, a leading cable and satellite provider, paints a mixed picture for the company's investment potential in the near term. While the firm's financials show strong profitability, with a high profit margin of 27.5% and a healthy return on equity of 12.1%, there are also some concerning factors to consider.
 The company's valuation metrics, such as a high trailing P/E ratio of 29.1 and a forward P/E ratio of 18.9, suggest that the stock may be overvalued compared to its earnings potential. Additionally, the firm's debt-to-equity ratio of 144.2% is quite high, indicating a significant level of financial leverage that could pose risks in the event of an economic downturn.
 The lack of recent news and the mixed macroeconomic outlook, with concerns about persistent inflation and potential volatility in the stock market, further add to the uncertainty surrounding Charter Communications' short-term investment prospects. The company's exposure to the cable and satellite industry, which is facing increasing competition from streaming services, also presents a potential challenge.
 Overall, while Charter Communications appears to be a profitable and well-established company, the current financial and market conditions may not be particularly favorable for the stock in the immediate future. Investors should carefully consider the company's valuation, debt levels, and industry dynamics before making any investment decisions.
 Score: 65</t>
  </si>
  <si>
    <t>Investment Report:
 The recent financial data for Citizens Financial Group, a regional bank, shows a mixed picture. The firm's stock price has seen some volatility, with the day's trading range between $156.76 and $161.715. However, the stock is still trading above its 52-week low of $127.6 and close to its 52-week high of $171.37.
 The firm's valuation metrics are also mixed. While the forward P/E ratio of 21.63 suggests the stock is reasonably valued, the high trailing P/E ratio of 54.72 and the high price-to-book ratio of 324.93 indicate the stock may be overvalued. Additionally, the firm's debt-to-equity ratio of 1287.5 is quite high, which could be a concern.
 On the positive side, the firm's profitability metrics, such as profit margins, return on assets, and return on equity, are relatively strong. The firm also has a decent dividend yield of 3.1% and a payout ratio of 167.36%, suggesting the dividend is sustainable.
 The overall macroeconomic outlook for the regional banking industry is mixed. While the labor market remains resilient, there are concerns about slowing business spending and persistent inflation, which could impact the industry's performance. Additionally, the political landscape and potential policy changes could also affect the industry.
 Given the mixed financial performance, valuation, and macroeconomic conditions, the investment value of Citizens Financial Group for the next month is moderate.
 Score: 65</t>
  </si>
  <si>
    <t>Investment Report:
 Recent News: The recent news highlights the challenges Nike is facing, with the company expected to see a 9.6% decline in sales this fiscal year. This indicates that the sportswear giant is struggling to turn around its business, despite being a dominant and well-known brand. The article also questions whether Nike's stock can reach $100 in 2025, suggesting that the company's performance may not be keeping pace with the broader market.
 Financials: Nike's financial data shows a mixed picture. While the company's stock price has seen a 16% increase over the past 52 weeks, it is still trading below its 52-week high of $86.10. The company's valuation metrics, such as a forward P/E ratio of 19.37 and a price-to-sales ratio of 5.58, suggest that the stock may be overvalued compared to its peers. Additionally, the company's free cash flow has been negative, indicating potential challenges in generating cash flow.
 Economic Outlook: The broader economic outlook is also a factor to consider. The S&amp;P 500 is currently at record highs, but the market may face volatility and challenges in the near term due to factors such as persistent inflation, uneven economic performance, and potential policy changes. These macroeconomic conditions could further impact Nike's performance and investor sentiment.
 Overall, the recent news, financial data, and economic outlook suggest that Nike may face challenges in the near term. While the company remains a dominant player in the sportswear industry, its ability to turnaround its business and deliver strong financial results may be limited in the current environment.
 Score: 60</t>
  </si>
  <si>
    <t>Investment Report:
 The recent financial data for Mid-America Apartment Communities, a leading multi-family residential REIT, paints a mixed picture. While the company's stock price has seen some volatility, with a 52-week range of $35.80 to $170.47, the current valuation appears to be on the lower end, with a forward P/E ratio of -4.90.
 The firm's financial performance has been challenging, with negative profit margins (-43.77%) and a trailing EPS of -$5.81. This is likely due to the ongoing economic uncertainties and their impact on the real estate sector. However, the company's balance sheet remains relatively strong, with a quick ratio of 3.95 and a current ratio of 4.39, indicating a solid liquidity position.
 The macroeconomic outlook for the multi-family residential REIT industry is cautiously optimistic. While the Federal Reserve's interest rate hikes and concerns about a potential recession may weigh on the sector, the continued demand for rental housing and the resilience of the labor market could provide some support.
 Overall, the investment value of Mid-America Apartment Communities may be limited in the near term due to the company's financial performance and the broader economic conditions. Investors should closely monitor the firm's ability to navigate the current challenges and any potential changes in the industry landscape.
 Score: 60</t>
  </si>
  <si>
    <t>Investment Report:
 The recent financial data for Equifax, a company in the Research &amp; Consulting Services industry, presents a mixed picture. While the firm's stock price has shown some positive momentum, with the open and day high prices higher than the previous close, the overall market performance has been relatively flat, with the stock trading within a narrow range.
 The firm's financial metrics indicate a relatively high valuation, with a trailing P/E ratio of 63.52 and a forward P/E ratio of 16.99. However, the company's dividend yield of 1.32% and payout ratio of 84% suggest a focus on shareholder returns. The firm's profitability metrics, such as profit margins and return on assets, are also relatively low compared to industry peers.
 The economic outlook for the Research &amp; Consulting Services industry is generally positive, with expectations of continued growth in the coming year. However, the overall market volatility and potential macroeconomic headwinds may pose challenges for the firm.
 Given the mixed financial performance, high valuation, and uncertain economic conditions, the potential investment value of Equifax in the next month is moderate.
 Score: 60</t>
  </si>
  <si>
    <t>Investment Report:
 The latest financial data for Carnival Corporation, a leading player in the Hotels, Resorts &amp; Cruise Lines industry, paints a mixed picture. While the company's stock has seen a recent uptick, with the share price rising from $24.38 to $24.65, the overall market sentiment appears cautious.
 The firm's financial metrics show a mixed performance. On the positive side, Carnival's forward P/E ratio of 11.85 suggests that the stock may be undervalued compared to its earnings potential. Additionally, the company's profitability margins, such as the profit margin of 6.39%, indicate that it is generating decent returns.
 However, the firm's high debt-to-equity ratio of 352.36 and low quick ratio of 0.20 raise concerns about its financial stability and liquidity. The negative free cash flow of $-506.25 million also suggests that the company may be struggling to generate sufficient cash to fund its operations and investments.
 The macroeconomic outlook for the Hotels, Resorts &amp; Cruise Lines industry remains uncertain, with factors such as the ongoing pandemic, inflation, and geopolitical tensions posing potential challenges. The industry's performance is closely tied to consumer spending and travel patterns, which have been volatile in recent years.
 Overall, while Carnival's financial data shows some promising signs, the company's high debt levels, liquidity concerns, and the uncertain industry outlook suggest that investors should approach the stock with caution. A more thorough analysis of the company's long-term growth prospects and risk profile would be necessary to make a more informed investment decision.
 Score: 60</t>
  </si>
  <si>
    <t>Investment Report:
 FMC Corporation is a global agricultural sciences company that provides innovative solutions to growers around the world. The firm's recent financial data shows a mixed picture, with some positive indicators but also areas of concern.
 On the positive side, FMC Corporation has a relatively low forward P/E ratio of 5.514, suggesting the stock may be undervalued. The company also has a decent dividend yield of 6.05% and a payout ratio of 68.18%, indicating a sustainable dividend policy. Additionally, the firm's profitability metrics, such as profit margins and return on assets and equity, are in the positive territory.
 However, the firm's debt-to-equity ratio is quite high at 359.359, which could be a concern for investors. The company's earnings growth has also been negative in the recent past, and the overall risk profile, as indicated by the various risk factors, appears to be on the higher side.
 The macroeconomic outlook for the agricultural chemicals industry is generally positive, with the global population growth and the need for increased food production driving demand. However, factors such as inflation, supply chain disruptions, and geopolitical tensions could pose challenges for the industry.
 Given the mixed financial performance, high debt levels, and the uncertain macroeconomic environment, the potential investment value of FMC Corporation for the next month is moderate. Investors should carefully consider the firm's fundamentals, industry dynamics, and overall risk profile before making an investment decision.
 Score: 60</t>
  </si>
  <si>
    <t>Investment Report:
 The J.M. Smucker Company (The) operates in the Packaged Foods &amp; Meats industry and has not seen any significant news developments in the past week. However, the firm's latest financial data provides some insights into its current performance and valuation.
 Financials:
 - The company's stock is trading at a price-to-earnings (P/E) ratio of 74.10, which is significantly higher than the industry average, indicating that the stock may be overvalued.
 - The firm's dividend yield of 3.53% is lower than the industry average, which could be a concern for income-oriented investors.
 - The company's profit margins of 1.35% are relatively low, suggesting potential challenges in maintaining profitability.
 Valuation:
 - The stock is trading at a price-to-book (P/B) ratio of 1.54, which is slightly above the industry average, suggesting that the stock may be fairly valued.
 - The company's enterprise value-to-EBITDA (EV/EBITDA) ratio of 19.17 is higher than the industry average, indicating that the stock may be overvalued.
 Economic Outlook:
 - The overall macroeconomic environment remains mixed, with concerns about persistent inflation and potential volatility in the stock market.
 - The packaged foods and meats industry may face challenges from changing consumer preferences and increased competition, which could impact the company's performance.
 Score: 60</t>
  </si>
  <si>
    <t>Investment Report:
 The latest financial data for Best Buy shows a trailing PEG ratio of None, indicating a lack of recent information to assess the company's valuation. Without any recent news or updates, it is difficult to determine the current investment potential of Best Buy in the Computer &amp; Electronics Retail industry.
 The overall macroeconomic outlook, as summarized in the provided context, suggests a mixed picture for the U.S. economy and stock market. While the technology sector, including semiconductor stocks, has shown strong performance, the market may face challenges from persistent inflation, uneven economic conditions, and potential policy changes.
 Without any recent developments or financial data to analyze, it is prudent to take a cautious approach when considering an investment in Best Buy at this time. The company's performance and valuation will need to be reevaluated once new information becomes available.
 Score: 50</t>
  </si>
  <si>
    <t>Investment Report:
 Without any recent news or financial data beyond the trailing PEG ratio, it is difficult to provide a comprehensive assessment of Brown-Forman's investment potential in the Distillers &amp; Vintners industry. The lack of available information makes it challenging to evaluate the company's current performance, growth prospects, and valuation relative to its peers.
 The Distillers &amp; Vintners industry is generally considered a defensive sector, as demand for alcoholic beverages tends to be relatively stable even during economic downturns. However, factors such as consumer preferences, regulatory changes, and competition can still impact individual companies within the industry.
 Given the limited information provided, it is not possible to make a well-informed investment recommendation for Brown-Forman at this time. A more thorough analysis of the company's financial statements, management strategy, and industry dynamics would be necessary to assess its investment potential accurately.
 Score: 50</t>
  </si>
  <si>
    <t>Investment Report:
 The recent news and financial data for Ingersoll Rand (IR) suggest that the company is facing several challenges that could make it a less attractive investment option in the near term.
 Firm News:
 Ingersoll Rand is grappling with increasing operating costs, which is putting pressure on its profitability. Additionally, the company's high debt level is a concern, as it could limit its financial flexibility and ability to invest in growth initiatives. Furthermore, unfavorable foreign currency movements are an added headwind, as they can negatively impact the company's revenue and earnings.
 Firm Financials:
 Ingersoll Rand's financial metrics paint a mixed picture. While the company's revenue growth and profitability margins are relatively strong, its valuation ratios, such as a high forward P/E ratio of 68.28, suggest that the stock may be overpriced. Additionally, the company's debt-to-equity ratio of 128.91% is significantly higher than the industry average, which could be a concern for investors.
 Economic Outlook:
 The overall macroeconomic environment is expected to be volatile, with potential challenges such as persistent inflation and uneven economic performance. These factors could further weigh on Ingersoll Rand's performance and make the company's outlook less favorable.
 Score: 40</t>
  </si>
  <si>
    <t>Investment Report:
 The recent news headlines paint a concerning picture for Intel's stock performance. The company appears to be struggling with product launches that are "too little too late," leading to significant underperformance compared to its peers. There is fresh evidence that Intel is losing market share in key areas, raising questions about the once-mighty innovator's ability to compete effectively.
 Intel's financial data also reflects these challenges. The stock has seen a significant decline, with a previous close of $52.85 and a current trading price of $20.05, indicating a 1.16% gain in the most recent session. However, this modest uptick is unlikely to offset the broader downward trend.
 The company's valuation metrics, such as a trailing P/E ratio of 45.73 and a forward P/E of 17.93, suggest that the market is pricing in significant uncertainty and risk. Additionally, the company's profitability metrics, including a profit margin of just 2.25% and a return on equity of 4.8%, are relatively low compared to industry standards.
 The macroeconomic outlook for the semiconductor industry is also mixed, with concerns about persistent inflation, uneven economic performance, and potential policy changes that could impact the sector. While the rise of emerging technologies like AI offers growth opportunities, the market is likely to remain volatile in the near term.
 Given the combination of company-specific challenges and broader economic factors, the potential investment value of Intel's stock in the Semiconductors industry for the next month is relatively low.
 Score: 35</t>
  </si>
  <si>
    <t>Sector Investment Report:
 The IT Services sector is poised for significant growth in 2025, driven by the increasing demand for digital transformation and the integration of emerging technologies such as artificial intelligence (AI). Recent macroeconomic data indicates a strong earnings growth expectation of 12-13% for the overall U.S. economy, which bodes well for IT services as businesses continue to invest in technology to enhance efficiency and competitiveness. The technology sector, particularly semiconductor stocks, has shown robust performance, suggesting that IT services will benefit from this momentum as companies seek to leverage advanced technologies to drive innovation and improve operational capabilities.
 However, the sector may face challenges stemming from potential volatility in the stock market and concerns over inflation. The political landscape, particularly with the upcoming second term of President Donald Trump, may introduce a more deregulatory environment that could impact the IT services sector positively. Nevertheless, the mixed economic outlook, characterized by uneven performance across different industries, suggests that while the IT services sector has strong growth potential, it will need to navigate through potential headwinds related to economic fluctuations and policy changes.
 Score: 85</t>
  </si>
  <si>
    <t>Sector Investment Report:
 The latest economic outlook for the semiconductor sector indicates a strong momentum, driven by robust earnings growth and increasing demand for technology. As highlighted by industry experts, semiconductor stocks are experiencing significant earnings momentum, which is expected to continue throughout 2025. The overall market is projected to see an increase of 10-15% this year, with the technology sector, particularly semiconductors, leading the charge. This growth is underpinned by the ongoing advancements in artificial intelligence and other emerging technologies, which are anticipated to further boost demand for semiconductor products and equipment.
 However, the sector is not without its challenges. The broader economic landscape remains mixed, with concerns about inflation and potential volatility in the stock market. While the semiconductor industry is poised for growth, it is essential to consider the potential impact of geopolitical tensions and trade policies that could affect supply chains and market dynamics. Despite these uncertainties, the long-term prospects for the semiconductor sector remain positive, as the demand for innovative technology continues to rise.
 Score: 85</t>
  </si>
  <si>
    <t>Sector Investment Report:
 The latest economic outlook for the software sector indicates a robust growth trajectory, driven primarily by the increasing adoption of artificial intelligence (AI) technologies. As organizations across various industries continue to integrate AI into their operations, software companies that specialize in AI solutions are poised to benefit significantly. The anticipated strong earnings growth of 12-13% in 2025, coupled with the ongoing digital transformation initiatives, positions the software sector as a key player in the broader market recovery. Additionally, the resilience of the labor market and the potential for a deregulatory environment under the incoming Trump administration may further enhance the operational landscape for software firms.
 However, the sector is not without its challenges. Concerns regarding inflation and potential volatility in the stock market could impact investor sentiment and spending on software solutions. The mixed economic indicators, including a slowdown in business spending on equipment, suggest that while growth is expected, it may not be uniform across all software companies. As the market navigates these complexities, the software sector's ability to innovate and adapt to changing consumer demands will be crucial in maintaining its growth momentum.
 Score: 85</t>
  </si>
  <si>
    <t>Sector Investment Report:  
 The health care technology sector is poised for significant growth as the demand for innovative solutions continues to rise amid ongoing challenges in the healthcare system. Recent macroeconomic data indicates a resilient labor market, which may lead to increased spending on health care technologies as organizations seek to enhance efficiency and patient care. The anticipated strong earnings growth of 12-13% in 2025, coupled with the ongoing development of artificial intelligence (AI) and other emerging technologies, positions this sector favorably for investment. The integration of AI in health care is expected to drive advancements in diagnostics, treatment planning, and patient management, further solidifying the sector's growth trajectory.
 However, the sector may face challenges stemming from potential regulatory changes and the overall economic environment. The political landscape, particularly with the upcoming second term of President Donald Trump, could introduce a more deregulatory environment that may impact health care policies. Additionally, concerns about inflation and uneven economic performance could create volatility in the market. Despite these challenges, the health care technology sector remains a critical area for innovation and investment, with the potential for substantial returns as the industry adapts to evolving needs and technological advancements.
 Score: 78</t>
  </si>
  <si>
    <t>Sector Investment Report:  
 The biotechnology sector is poised for significant growth in 2025, driven by advancements in research and development, particularly in areas such as gene therapy, personalized medicine, and immunotherapy. The latest macroeconomic outlook indicates a strong earnings growth potential of 12-13% across the broader U.S. economy, which is likely to benefit biotech companies that are at the forefront of innovative treatments and therapies. Additionally, the ongoing emphasis on healthcare and the increasing demand for novel solutions to complex medical challenges position the biotechnology sector favorably within the market landscape.
 However, the sector may face challenges related to regulatory scrutiny and the potential for market volatility stemming from political changes and economic uncertainties. The anticipated second term of President Donald Trump could lead to a more deregulatory environment, which may benefit biotech firms, but concerns about tariff policies and their implications for the broader economy could create headwinds. Overall, while the biotechnology sector shows promise for robust growth, it is essential to remain cognizant of the external factors that could influence its performance in the coming year.
 Score: 78</t>
  </si>
  <si>
    <t>Sector Investment Report:
 The life sciences tools and services sector is positioned to benefit from the ongoing advancements in biotechnology and healthcare innovation. Recent macroeconomic data indicates a strong earnings growth expectation of 12-13% for 2025, which is likely to positively impact companies within this sector. The resilience of the labor market and the gradual cooling of inflation concerns suggest a stable environment for investment in life sciences, as demand for research and diagnostic tools continues to rise. Additionally, the increasing focus on personalized medicine and the integration of artificial intelligence in research processes are expected to drive further growth in this sector.
 However, the sector may face challenges due to potential volatility in the broader market, influenced by political changes and regulatory environments. The upcoming second term of President Donald Trump could lead to a more deregulatory landscape, which may benefit life sciences companies. Nevertheless, concerns regarding tariff policies and their implications for the economy could create uncertainty. Overall, while the life sciences tools and services sector shows promising growth potential, investors should remain cautious of the external factors that could impact its performance.
 Score: 78</t>
  </si>
  <si>
    <t>Sector Investment Report:
 The electronic equipment, instruments, and components sector is poised for growth in 2025, driven by strong demand for technology and innovation, particularly in the semiconductor space. Recent macroeconomic data indicates that the U.S. economy is expected to experience robust earnings growth of 12-13%, with the technology sector leading the charge. The ongoing advancements in artificial intelligence and the increasing reliance on electronic devices across various industries are likely to bolster the performance of companies within this sector. However, potential volatility in the stock market, influenced by political and economic factors, may create fluctuations in investment sentiment.
 Despite the positive outlook, challenges remain, including inflation concerns and the potential impact of new tariffs under the incoming Trump administration. The mixed economic performance, with some areas showing strength while others lag, could affect the overall stability of the sector. Nevertheless, the long-term prospects remain favorable, as the continued development of electronic components and instruments is essential for the growth of emerging technologies. As such, the sector is expected to benefit from both domestic and global demand, positioning it well for future investment opportunities.
 Score: 78</t>
  </si>
  <si>
    <t>Sector Investment Report:
 The technology hardware, storage, and peripherals sector is poised for significant growth in 2025, driven by strong demand for innovative products and advancements in artificial intelligence (AI). Recent macroeconomic data indicates that the semiconductor industry, a critical component of this sector, is experiencing robust earnings momentum, which is expected to continue throughout the year. As businesses increasingly adopt AI technologies, the need for high-performance hardware and storage solutions will likely surge, providing a favorable environment for companies within this sector. However, potential volatility in the stock market, influenced by political and economic factors, may create challenges for sustained growth.
 Despite the positive outlook, the sector must navigate potential headwinds, including inflationary pressures and the impact of new tariffs under the incoming Trump administration. The mixed economic signals, such as a resilient labor market juxtaposed with slowing business spending, suggest that while growth opportunities exist, they may not be uniformly distributed across all companies. As the technology hardware sector adapts to these dynamics, its ability to innovate and respond to market demands will be crucial in determining its overall performance in the coming months.
 Score: 78</t>
  </si>
  <si>
    <t>Sector Investment Report:
 The health care equipment and supplies sector is positioned to benefit from the ongoing advancements in medical technology and an aging population that demands increased health care services. Recent macroeconomic data indicates a resilient labor market, which may support consumer spending on health care products. Additionally, the anticipated strong earnings growth of 12-13% in 2025 could provide a favorable backdrop for companies within this sector. However, potential volatility in the stock market, driven by political and economic factors, may create challenges for sustained growth.
 Despite these challenges, the sector's long-term prospects remain positive, particularly as emerging technologies, including artificial intelligence, continue to enhance operational efficiencies and patient care. The recent legal and regulatory developments, such as the net neutrality ruling, may also impact the telecommunications aspect of health care, potentially affecting telehealth services. Overall, while the sector may experience short-term fluctuations, the underlying demand for health care equipment and supplies is expected to remain strong, driven by demographic trends and technological advancements.
 Score: 78</t>
  </si>
  <si>
    <t>Sector Investment Report:
 The independent power and renewable electricity producers sector is positioned to benefit from the ongoing transition towards sustainable energy sources, driven by both regulatory support and increasing consumer demand for cleaner energy. Recent developments indicate a growing emphasis on renewable energy initiatives, particularly in light of the Biden administration's policies aimed at reducing carbon emissions and promoting green technologies. The ban on new oil and gas drilling along U.S. coastlines further underscores the commitment to renewable energy, potentially leading to increased investments in solar, wind, and other renewable sources. Additionally, the anticipated economic growth of 12-13% in 2025 may bolster energy consumption, providing a favorable backdrop for the sector.
 However, the sector also faces challenges, including potential volatility in the broader market and concerns over inflation that could impact financing costs for renewable projects. The mixed economic outlook, characterized by strong earnings growth expectations alongside persistent inflationary pressures, may create uncertainty for investors. Furthermore, the political landscape, particularly with the upcoming second term of President Trump, could introduce regulatory changes that may affect the renewable energy sector. Overall, while the independent power and renewable electricity producers sector holds significant long-term potential, it is essential to remain cognizant of the evolving economic and political dynamics that could influence its performance.
 Score: 75</t>
  </si>
  <si>
    <t>Sector Investment Report:
 The interactive media and services sector is poised for significant growth in 2025, driven by the increasing adoption of digital platforms and the ongoing evolution of content consumption habits. With the rise of streaming services, social media, and gaming, companies within this sector are expected to benefit from strong user engagement and advertising revenue. The anticipated deregulation under the incoming Trump administration may also create a more favorable environment for media companies, potentially leading to increased mergers and acquisitions that could enhance market positions and profitability.
 However, challenges remain, particularly in light of the recent ruling against net neutrality, which could impact the telecommunications landscape and the way content is delivered. Additionally, the ongoing concerns regarding inflation and economic volatility may affect consumer spending on entertainment and media services. Despite these headwinds, the overall outlook for the interactive media and services sector remains positive, with emerging technologies such as artificial intelligence likely to play a crucial role in shaping content creation and distribution strategies.
 Score: 75</t>
  </si>
  <si>
    <t>Sector Investment Report:
 The aerospace and defense sector is poised for a mixed outlook in 2025, influenced by recent geopolitical tensions and shifts in government policies. With the ongoing conflicts and security concerns globally, defense spending is expected to remain robust, particularly in the U.S. and allied nations. The anticipated second term of President Donald Trump may lead to increased military budgets and a focus on modernization of defense capabilities, which could benefit major defense contractors. However, the sector may also face challenges from potential trade tariffs and regulatory changes that could impact supply chains and operational costs.
 In addition, the aerospace segment is likely to experience a gradual recovery as air travel demand rebounds post-pandemic. The latest macroeconomic indicators suggest a resilient labor market, which could support consumer spending on travel. However, inflationary pressures and potential volatility in the broader market may create headwinds for aerospace manufacturers. Overall, while the sector has strong growth potential driven by defense spending and recovering air travel, investors should remain cautious of the external economic factors that could influence performance.
 Score: 75</t>
  </si>
  <si>
    <t>Sector Investment Report:
 The professional services sector is currently navigating a complex landscape shaped by recent macroeconomic developments and political changes. With the U.S. economy projected to experience strong earnings growth of 12-13% in 2025, the sector stands to benefit from increased demand for consulting, legal, and financial advisory services as businesses seek to adapt to evolving market conditions. However, the anticipated choppiness in the stock market, driven by inflation concerns and potential volatility, may pose challenges for firms within this sector. The resilience of the labor market, as noted by Federal Reserve officials, could also lead to increased hiring and investment in professional services, further bolstering growth prospects.
 Moreover, the political environment under the incoming Trump administration is expected to foster a more deregulatory atmosphere, which could enhance opportunities for professional services firms that specialize in compliance and regulatory advisory. The rise of emerging technologies, particularly artificial intelligence, is likely to create new avenues for innovation and efficiency within the sector. As firms increasingly leverage AI to optimize operations and deliver enhanced client services, the professional services sector may see significant growth potential. Overall, while there are headwinds to consider, the combination of strong earnings growth expectations and favorable political dynamics suggests a positive outlook for the professional services sector.
 Score: 75</t>
  </si>
  <si>
    <t>Sector Investment Report:
 The food products sector is currently navigating a complex landscape influenced by macroeconomic factors and recent developments. With inflation concerns persisting, the sector may face pressure on margins as input costs fluctuate. However, the resilience of consumer demand for essential goods provides a buffer against economic volatility. The latest economic outlook indicates that while the overall market may experience choppiness, the food products sector is generally considered a defensive investment, as consumers tend to prioritize food spending even during economic downturns. Additionally, the ongoing trend towards healthier and sustainable food options could drive innovation and growth within the sector.
 Moreover, the recent political landscape, including potential changes in trade policies and tariffs, could impact the food products sector's supply chain and pricing strategies. The anticipated transition to a more deregulatory environment under the incoming administration may also create opportunities for growth and expansion. As the sector adapts to these changes, companies that effectively leverage emerging technologies and consumer trends are likely to outperform. Overall, while challenges remain, the food products sector is positioned to maintain stability and growth in the face of economic fluctuations.
 Score: 75</t>
  </si>
  <si>
    <t>Sector Investment Report:
 The entertainment sector is currently navigating a complex landscape shaped by recent macroeconomic developments and evolving consumer preferences. With the upcoming FIFA Club World Cup scheduled for June 2025 in the United States and Expo 2025 in Osaka, Japan, there are significant opportunities for growth in live events and media coverage. However, the sector faces challenges from ongoing inflation concerns and potential volatility in consumer spending, which could impact discretionary expenditures on entertainment. The recent legal and regulatory changes, including the net neutrality ruling, may also influence the streaming and telecommunications aspects of the entertainment industry, potentially affecting profitability and market dynamics.
 Despite these challenges, the entertainment sector is expected to benefit from the continued rise of digital platforms and the integration of emerging technologies, such as artificial intelligence, which can enhance content creation and distribution. The resilience of the labor market and strong earnings growth projections for 2025 may support consumer confidence, leading to increased spending on entertainment. Overall, while the sector is poised for growth, it must remain vigilant to external economic pressures and adapt to the rapidly changing landscape.
 Score: 75</t>
  </si>
  <si>
    <t>Sector Investment Report:
 The health care providers and services sector is currently navigating a complex landscape influenced by macroeconomic factors and regulatory changes. With the recent political transitions in the U.S., including the inauguration of Donald Trump, there may be shifts in health care policies that could impact funding and regulatory oversight. The sector has historically shown resilience during economic fluctuations, but the potential for increased volatility in the stock market could pose challenges. Additionally, ongoing inflation concerns may affect consumer spending on health care services, which could impact revenue growth for providers.
 Despite these challenges, the health care sector remains a critical component of the economy, with strong demand for services driven by an aging population and increasing health care needs. The sector's ability to adapt to technological advancements, such as telehealth and digital health solutions, presents opportunities for growth. As the market anticipates strong earnings growth in 2025, the health care providers and services sector may benefit from these trends, although investors should remain cautious of potential regulatory changes and economic headwinds.
 Score: 75</t>
  </si>
  <si>
    <t>Sector Investment Report:
 The insurance sector is currently navigating a complex landscape shaped by macroeconomic factors and regulatory changes. With the U.S. economy projected to experience strong earnings growth of 12-13% in 2025, the insurance industry stands to benefit from increased consumer spending and business activity. However, the sector must also contend with potential volatility in the stock market, driven by inflation concerns and uneven economic performance. The recent legal and regulatory developments, including the net neutrality ruling and the blocking of significant acquisitions, may create additional challenges for insurance companies as they adapt to a shifting regulatory environment.
 Moreover, the political landscape, particularly with the anticipated second term of President Donald Trump, could lead to a more deregulatory environment that may favor the insurance sector. However, the potential for tariff policies to negatively impact the broader economy raises concerns about the overall health of the market. As the insurance sector continues to evolve amidst these dynamics, its ability to leverage emerging technologies, such as AI, will be crucial in enhancing operational efficiency and customer engagement. Overall, while the insurance sector has growth potential, it must remain vigilant in addressing the challenges posed by economic and political uncertainties.
 Score: 75</t>
  </si>
  <si>
    <t>Sector Investment Report:
 The latest macroeconomic outlook indicates a mixed environment for the nanotechnology sector, which is poised for growth amid broader economic challenges. With strong earnings growth expectations of 12-13% in 2025, the sector could benefit from advancements in nanomaterials and their applications across various industries, including electronics, healthcare, and energy. However, concerns about inflation and potential volatility in the stock market may create headwinds for investment in this sector. The anticipated deregulatory environment under the incoming Trump administration could also influence the pace of innovation and commercialization within the nanotechnology space.
 Moreover, the ongoing development of artificial intelligence (AI) is expected to drive significant advancements in nanotechnology, as AI can enhance research and development processes, leading to more efficient production methods and innovative applications. Despite the potential for growth, the sector must navigate challenges such as geopolitical tensions and trade policies that could impact supply chains and market access. Overall, while the nanotechnology sector holds promise, it is essential to remain cautious of the external factors that may affect its trajectory in the coming months.
 Score: 75</t>
  </si>
  <si>
    <t>Sector Investment Report: 
 The latest macroeconomic outlook indicates a mixed performance for the industrial real estate investment trust (REIT) sector. With the U.S. economy projected to experience strong earnings growth of 12-13% in 2025, industrial REITs may benefit from increased demand for logistics and warehousing spaces, particularly as e-commerce continues to expand. However, concerns about inflation and potential volatility in the stock market could pose challenges for the sector. The recent implementation of new tariffs by Mexico may also impact cross-border trade, which could indirectly affect the demand for industrial properties.
 Additionally, the political landscape is shifting with the upcoming second term of President Donald Trump, which is expected to bring a more deregulatory environment. This could create opportunities for industrial REITs to capitalize on growth in infrastructure and logistics. However, the potential for tariff policies to negatively impact the U.S. economy remains a concern. Overall, while the industrial REIT sector has favorable growth prospects, it must navigate a complex environment characterized by economic uncertainty and evolving trade policies.
 Score: 75</t>
  </si>
  <si>
    <t>Sector Investment Report:
 The latest macroeconomic outlook indicates a mixed performance for the water utilities sector, which is often viewed as a defensive investment due to its essential nature. With the ongoing concerns about inflation and potential volatility in the broader market, water utilities may offer stability and consistent dividends. The sector is likely to benefit from increased infrastructure spending, particularly as municipalities look to upgrade aging water systems and improve resilience against climate change impacts. However, the potential for regulatory changes under the new political landscape could introduce uncertainties that may affect profitability.
 Despite these challenges, the water utilities sector is expected to maintain steady demand, driven by population growth and urbanization trends. The emphasis on sustainability and environmental stewardship is also likely to support investments in water conservation technologies and infrastructure improvements. As the economy navigates through potential choppiness, water utilities may provide a reliable investment avenue, appealing to those seeking stability amidst broader market fluctuations.
 Score: 75</t>
  </si>
  <si>
    <t>Sector Investment Report:
 The latest macroeconomic outlook indicates a mixed environment for the pharmaceuticals sector, characterized by strong earnings growth expectations alongside persistent inflation concerns. The U.S. economy is projected to experience earnings growth of 12-13% in 2025, which could benefit pharmaceutical companies as they continue to innovate and bring new products to market. However, the anticipated choppiness in the stock market may create volatility that could impact investor sentiment towards the sector. Additionally, the political landscape under the incoming Trump administration may lead to changes in regulatory frameworks that could affect drug pricing and market access.
 Despite these challenges, the pharmaceuticals sector remains resilient, driven by ongoing advancements in biotechnology and a growing demand for healthcare solutions. The emphasis on artificial intelligence and emerging technologies is expected to enhance research and development capabilities, potentially leading to breakthroughs in drug discovery and patient care. As the sector navigates the complexities of the current economic environment, its long-term prospects remain positive, particularly for companies that are well-positioned to leverage technological advancements and address evolving healthcare needs.
 Score: 75</t>
  </si>
  <si>
    <t>Sector Investment Report:
 The financial services sector is currently navigating a complex landscape shaped by recent macroeconomic developments and political changes. With the U.S. economy projected to experience strong earnings growth of 12-13% in 2025, the financial services sector stands to benefit from increased business activity and consumer spending. However, the anticipated choppiness in the stock market, driven by inflation concerns and potential volatility, may pose challenges for financial institutions. The recent implementation of new tariffs by Mexico and the ongoing geopolitical tensions could also impact cross-border financial transactions and trade financing, adding another layer of uncertainty.
 Moreover, the upcoming second term of President Donald Trump is expected to usher in a more deregulatory environment, which could provide opportunities for financial services firms to expand their operations and improve profitability. However, the potential for tariff policies to negatively affect the broader economy remains a concern. As the sector adapts to these changes, the rise of emerging technologies, particularly in artificial intelligence, may also play a crucial role in shaping the future of financial services, enhancing operational efficiencies and customer engagement. Overall, while the sector has promising growth prospects, it must remain vigilant in addressing the challenges posed by economic and political dynamics.
 Score: 75</t>
  </si>
  <si>
    <t>Sector Investment Report:
 The personal care products sector is currently navigating a complex landscape influenced by macroeconomic factors and consumer behavior trends. Recent data indicates that while the overall economy is expected to experience strong earnings growth, the sector may face challenges due to inflationary pressures and shifting consumer spending habits. As consumers become more price-sensitive, brands that can effectively communicate value and sustainability are likely to perform better. Additionally, the ongoing trend towards natural and organic products may provide opportunities for growth within the sector, as consumers increasingly prioritize health and wellness in their purchasing decisions.
 Moreover, the political landscape, particularly with the upcoming changes in leadership and potential regulatory shifts, could impact the personal care products sector. Companies that are agile and can adapt to new regulations while maintaining product quality and consumer trust will likely thrive. The anticipated rise of emerging technologies, including advancements in e-commerce and digital marketing, may also enhance the sector's growth potential. Overall, while the personal care products sector faces some headwinds, there are significant opportunities for companies that can innovate and align with consumer preferences.
 Score: 72</t>
  </si>
  <si>
    <t>Sector Investment Report:
 The transportation infrastructure sector is currently navigating a complex landscape shaped by recent economic developments and regulatory changes. The implementation of New York City's congestion pricing system marks a significant shift in urban transportation policy, potentially influencing infrastructure investments and revenue generation for public transit systems. This initiative may serve as a model for other cities, driving demand for innovative transportation solutions and infrastructure upgrades. However, the sector faces challenges from rising inflation and potential volatility in the broader economy, which could impact funding and investment in large-scale projects.
 Additionally, the recent political landscape, particularly with the incoming Trump administration, suggests a more deregulatory environment that could benefit infrastructure projects. However, concerns regarding tariff policies and their implications for cross-border trade may create uncertainty for companies reliant on international supply chains. Overall, while the transportation infrastructure sector holds promise due to urbanization trends and regulatory shifts, it must contend with economic headwinds and political dynamics that could influence its growth trajectory.
 Score: 72</t>
  </si>
  <si>
    <t>Sector Investment Report:
 The communications equipment sector is currently navigating a complex landscape shaped by recent macroeconomic developments and regulatory changes. The recent ruling by the U.S. Court of Appeals against the enforcement of net neutrality by the FCC could have significant implications for telecommunications companies, potentially altering competitive dynamics and pricing strategies within the sector. Additionally, the ongoing transition to 5G technology continues to drive demand for advanced communications equipment, as businesses and consumers alike seek faster and more reliable connectivity. However, the sector may face challenges from inflationary pressures and supply chain disruptions, which could impact production costs and profit margins.
 Moreover, the anticipated political environment under the incoming Trump administration may lead to a more deregulatory approach, which could benefit the communications equipment sector by reducing compliance costs and fostering innovation. However, the potential for increased tariffs and trade tensions, particularly with Mexico, could pose risks to companies reliant on cross-border supply chains. Overall, while the sector shows promise due to technological advancements and a favorable regulatory outlook, investors should remain cautious of the potential volatility stemming from economic uncertainties and geopolitical factors.
 Score: 72</t>
  </si>
  <si>
    <t>Sector Investment Report:
 The latest economic outlook for specialized Real Estate Investment Trusts (REITs) indicates a mixed environment influenced by macroeconomic factors and sector-specific dynamics. With the U.S. economy projected to experience strong earnings growth of 12-13% in 2025, specialized REITs may benefit from increased demand for niche properties, particularly in sectors such as healthcare, data centers, and logistics. However, the anticipated choppiness in the stock market, driven by inflation concerns and potential volatility, could pose challenges for these investments. The recent implementation of new tariffs and regulatory changes may also impact the broader real estate market, affecting the operational costs and profitability of specialized REITs.
 Moreover, the political landscape under the incoming Trump administration is expected to foster a more deregulatory environment, which could be advantageous for specialized REITs. The focus on emerging technologies, particularly artificial intelligence, may also create opportunities for REITs that invest in tech-driven properties. However, the uneven economic performance and potential policy shifts could lead to uncertainty in the sector. Overall, while specialized REITs may have growth potential, investors should remain cautious of the external factors that could influence their performance in the near term.
 Score: 72</t>
  </si>
  <si>
    <t>Sector Investment Report:
 The wireless telecommunication services sector is currently navigating a complex landscape shaped by recent regulatory developments and evolving market dynamics. The recent ruling by the U.S. Court of Appeals against the enforcement of net neutrality by the FCC has significant implications for the telecommunications industry. This decision may lead to increased pricing flexibility for service providers, potentially enhancing revenue streams. However, it also raises concerns about the competitive landscape and consumer access to services, which could impact long-term growth prospects. The sector's performance will likely be influenced by how companies adapt to these regulatory changes and leverage new technologies to enhance service offerings.
 Additionally, the ongoing advancements in technology, particularly in the realm of artificial intelligence and 5G deployment, present both opportunities and challenges for the wireless telecommunication services sector. As companies invest in infrastructure to support next-generation networks, they may experience short-term capital expenditure pressures. However, the long-term benefits of improved connectivity and service capabilities could drive growth. The sector's resilience will depend on its ability to innovate and respond to regulatory shifts while maintaining competitive pricing and service quality in an increasingly crowded market.
 Score: 70</t>
  </si>
  <si>
    <t>Sector Investment Report:
 The latest macroeconomic outlook for the capital markets sector indicates a mixed environment characterized by strong earnings growth expectations of 12-13% for 2025, alongside potential volatility. The resilience of the labor market, as noted by Federal Reserve officials, suggests a foundation for continued economic activity, which could support capital market performance. However, concerns about inflation remaining stubborn and the potential impact of new tariffs under the incoming Trump administration may create headwinds for the sector. The anticipated choppiness in the stock market, driven by both macroeconomic and political factors, could lead to fluctuations in capital market activities.
 Moreover, the technology sector, particularly in semiconductors, is expected to lead the market, which may positively influence capital markets as companies seek to capitalize on emerging technologies like artificial intelligence. The deregulatory environment anticipated under the new administration could also foster growth opportunities within the capital markets. However, the uneven economic performance and the potential for policy changes may introduce uncertainty, making it essential for stakeholders to remain vigilant in navigating this evolving landscape.
 Score: 70</t>
  </si>
  <si>
    <t>Sector Investment Report:
 The latest macroeconomic outlook indicates a mixed environment for the beverages sector, influenced by broader economic trends and consumer behavior. With the U.S. economy projected to experience strong earnings growth of 12-13% in 2025, the beverages sector may benefit from increased consumer spending as disposable incomes rise. However, inflation concerns persist, which could impact consumer purchasing power and shift preferences towards more affordable options. Additionally, the recent implementation of new tariffs by Mexico may affect cross-border trade dynamics, potentially impacting beverage companies that rely on imports or exports in the region.
 Moreover, the political landscape, particularly with the upcoming second term of President Donald Trump, is expected to create a more deregulatory environment. This could lead to opportunities for beverage companies to innovate and expand their product offerings without the burden of excessive regulation. However, the potential for tariff policies to disrupt supply chains remains a concern. Overall, while the beverages sector may see growth opportunities, it must navigate the challenges posed by inflation and trade policies in the coming year.
 Score: 70</t>
  </si>
  <si>
    <t>Sector Investment Report:
 The chemicals sector is currently navigating a complex landscape influenced by macroeconomic factors and geopolitical developments. Recent economic indicators suggest a mixed outlook, with strong earnings growth anticipated in 2025, yet concerns about inflation and uneven economic performance persist. The sector's performance may be impacted by new tariffs implemented by Mexico, which could affect cross-border trade dynamics and supply chains. Additionally, the ongoing political transitions in the U.S. and Canada, including the recent resignation of Canadian Prime Minister Justin Trudeau, may introduce further uncertainty that could influence market conditions for chemical companies.
 Moreover, the chemicals sector is poised to benefit from the increasing demand for sustainable and innovative solutions, particularly in the context of emerging technologies such as artificial intelligence. As companies within the sector adapt to these trends, they may find new opportunities for growth and expansion. However, the potential for volatility in the market, driven by political and economic developments, necessitates a cautious approach to investment in this sector. Overall, while the chemicals sector holds promise, it is essential to remain vigilant regarding external factors that could impact its trajectory.
 Score: 68</t>
  </si>
  <si>
    <t>Sector Investment Report:
 The latest macroeconomic outlook for the diversified consumer services sector indicates a mixed performance landscape. With the U.S. economy projected to experience strong earnings growth of 12-13% in 2025, the sector may benefit from increased consumer spending as economic conditions stabilize. However, concerns about inflation and potential volatility in the stock market could pose challenges for companies within this sector. The recent implementation of new tariffs by Mexico and the potential geopolitical implications of political transitions may also impact consumer confidence and spending patterns, which are critical for the diversified consumer services industry.
 Additionally, the political landscape is shifting with the upcoming inauguration of Donald Trump, which is expected to create a more deregulatory environment. This could lead to increased opportunities for growth within the sector, particularly for companies that can adapt to changing regulations and consumer preferences. However, the anticipated choppiness in the stock market, driven by macroeconomic factors and uneven economic performance, may create uncertainty for investors in the diversified consumer services sector. Overall, while there are growth opportunities, the sector must navigate potential headwinds to realize its full investment potential.
 Score: 68</t>
  </si>
  <si>
    <t>Sector Investment Report:
 The latest macroeconomic outlook for the banking sector indicates a mixed environment characterized by both opportunities and challenges. With the U.S. economy projected to experience strong earnings growth of 12-13% in 2025, banks may benefit from increased lending activity and improved asset quality. However, concerns about inflation and potential volatility in the markets could pose risks to profitability. The recent implementation of new tariffs by Mexico and the ongoing geopolitical tensions may also impact cross-border banking operations and trade finance, which are critical for banks with international exposure.
 Additionally, the political landscape is shifting with the upcoming inauguration of President Donald Trump, which is expected to create a more deregulatory environment. This could lead to increased competition and innovation within the banking sector, potentially enhancing growth prospects. However, the anticipated choppiness in the stock market and the mixed signals from the labor market and business spending may create uncertainty for banks in the short term. Overall, while there are positive indicators for growth, the sector must navigate a complex landscape of economic and political factors.
 Score: 68</t>
  </si>
  <si>
    <t>Sector Investment Report:
 The health care real estate investment trust (REIT) sector is currently navigating a complex landscape influenced by macroeconomic factors and evolving industry dynamics. Recent economic data indicates a resilient labor market, which may support demand for health care facilities, particularly as the aging population continues to grow. However, the sector faces challenges such as rising interest rates and inflationary pressures that could impact financing costs and operational expenses. Additionally, the ongoing political landscape, including potential regulatory changes under the incoming Trump administration, may introduce further uncertainty regarding health care policies and funding.
 Despite these challenges, the health care REIT sector has the potential for stable income generation through long-term leases with health care providers. The increasing focus on health care infrastructure and the need for specialized facilities, such as senior housing and medical office buildings, may provide growth opportunities. As the market anticipates strong earnings growth in 2025, health care REITs could benefit from favorable demographic trends and a continued emphasis on health care services. However, investors should remain cautious of the potential volatility stemming from broader economic conditions and policy shifts.
 Score: 68</t>
  </si>
  <si>
    <t>Sector Investment Report:  
 The latest macroeconomic outlook indicates a mixed environment for diversified Real Estate Investment Trusts (REITs). With the U.S. economy projected to experience strong earnings growth of 12-13% in 2025, diversified REITs may benefit from increased demand for commercial and residential properties. However, the anticipated choppiness in the stock market, driven by inflation concerns and potential volatility, could pose challenges for the sector. The Federal Reserve's stance on interest rates and the overall health of the labor market will also play crucial roles in shaping the performance of diversified REITs.
 Additionally, the political landscape, particularly with the upcoming second term of President Donald Trump, may lead to a more deregulatory environment that could favor real estate investments. However, the potential for tariff policies to negatively impact the economy raises concerns about the broader market's stability. As the economy navigates these complexities, diversified REITs may find opportunities for growth, particularly in sectors benefiting from emerging technologies and changing consumer behaviors. Overall, while there are positive indicators for the sector, the mixed economic signals warrant cautious optimism.
 Score: 68</t>
  </si>
  <si>
    <t>Sector Investment Report:
 The electrical equipment sector is poised for a mixed outlook in 2025, influenced by macroeconomic factors and recent developments in the U.S. economy. With the Federal Reserve's focus on managing inflation and the labor market showing resilience, the sector may experience fluctuations in demand. The recent ban on new oil and gas drilling along U.S. coastlines could lead to increased interest in alternative energy solutions, potentially benefiting companies within the electrical equipment space that focus on renewable energy technologies. However, the overall economic environment remains uncertain, with concerns about persistent inflation and uneven growth across different sectors.
 Additionally, the anticipated strong earnings growth of 12-13% in 2025, particularly in the technology sector, may indirectly support the electrical equipment industry as advancements in technology drive demand for more efficient and innovative electrical solutions. The ongoing development of artificial intelligence and its integration into various industries could also create new opportunities for electrical equipment manufacturers. Nevertheless, the potential for market volatility and the impact of political changes, such as the upcoming second term of President Trump and his tariff policies, could pose challenges for the sector. 
 Score: 68</t>
  </si>
  <si>
    <t>Sector Investment Report:
 The latest macroeconomic outlook indicates a mixed environment for the building products sector. With the U.S. economy projected to experience strong earnings growth of 12-13% in 2025, there is potential for increased demand in construction and renovation activities. However, the sector may face challenges due to rising inflation concerns and a cooling labor market, which could impact consumer spending and overall construction activity. Additionally, the recent implementation of new tariffs by Mexico could affect cross-border trade dynamics, potentially leading to increased costs for building materials sourced from international markets.
 Despite these challenges, the building products sector may benefit from the anticipated deregulatory environment under the incoming Trump administration, which could stimulate construction projects and infrastructure investments. The ongoing development of emerging technologies, particularly in artificial intelligence, may also enhance operational efficiencies within the sector. Overall, while the building products sector faces some headwinds, the potential for growth driven by economic recovery and infrastructure spending presents a cautiously optimistic outlook.
 Score: 68</t>
  </si>
  <si>
    <t>Sector Investment Report:
 The containers and packaging sector is currently navigating a complex landscape influenced by macroeconomic factors and evolving consumer preferences. Recent developments indicate a mixed outlook for the sector, with strong demand for sustainable packaging solutions driving growth. As companies increasingly prioritize eco-friendly materials and practices, those in the sector that adapt to these trends may find significant opportunities for expansion. However, challenges such as rising raw material costs and potential disruptions in supply chains due to geopolitical tensions could pose risks to profitability.
 Additionally, the sector is likely to be affected by the broader economic environment, including inflationary pressures and changes in consumer spending habits. The anticipated strong earnings growth in the U.S. economy could benefit packaging companies that cater to essential goods and e-commerce, while those reliant on discretionary spending may face headwinds. Overall, the containers and packaging sector presents a cautiously optimistic investment landscape, with potential for growth tempered by external economic factors.
 Score: 68</t>
  </si>
  <si>
    <t>Sector Investment Report:
 The machinery sector is currently navigating a complex economic landscape characterized by mixed signals. Recent macroeconomic data indicates a resilient labor market, yet business spending on equipment has shown signs of slowing, particularly with a decline in U.S. factory orders in November. This suggests that while there may be underlying demand for machinery, the pace of investment could be tempered by broader economic uncertainties and inflationary pressures. Additionally, the recent political landscape, including the potential for a more deregulatory environment under the incoming Trump administration, may create both opportunities and challenges for the sector.
 Despite these headwinds, the machinery sector could benefit from the anticipated strong earnings growth of 12-13% in 2025, as highlighted by analysts. The ongoing development of emerging technologies, particularly in automation and AI, presents significant growth opportunities for machinery manufacturers. However, the potential for volatility in the stock market, driven by macroeconomic and political factors, may impact investor sentiment in the short term. Overall, the machinery sector is positioned for growth, but stakeholders should remain cautious of the economic fluctuations that could influence performance.
 Score: 68</t>
  </si>
  <si>
    <t>Sector Investment Report:
 The latest economic outlook for the household durables sector indicates a mixed performance amid broader market volatility. With the U.S. economy projected to experience strong earnings growth of 12-13% in 2025, the household durables sector may benefit from increased consumer spending as households invest in home improvements and durable goods. However, concerns about inflation and potential tariff impacts from the new administration could pose challenges for manufacturers and retailers in this sector. The recent implementation of new tariffs by Mexico, along with the potential for increased costs due to regulatory changes, may affect profit margins and pricing strategies for companies within the household durables space.
 Additionally, the ongoing strength of the labor market suggests that consumer confidence may remain resilient, which is crucial for the household durables sector. However, the anticipated choppiness in the stock market, driven by macroeconomic factors and political developments, could lead to fluctuations in stock performance for companies in this sector. As the market navigates these complexities, the household durables sector will need to adapt to changing consumer preferences and economic conditions to maintain growth momentum.
 Score: 68</t>
  </si>
  <si>
    <t>Sector Investment Report:
 The household products sector is currently navigating a mixed economic landscape characterized by strong earnings growth expectations and persistent inflation concerns. Recent macroeconomic data indicates that while the U.S. economy is projected to experience earnings growth of 12-13% in 2025, inflation remains a significant challenge, potentially impacting consumer spending patterns. The resilience of the labor market may provide some support for household product sales, but the overall economic environment suggests that consumers could be more cautious in their purchasing decisions, particularly for non-essential items. Additionally, the recent implementation of new tariffs by Mexico could have downstream effects on supply chains and pricing strategies within the sector.
 Moreover, the political landscape, particularly with the upcoming second term of President Donald Trump, is expected to foster a more deregulatory environment, which could benefit companies in the household products sector. However, concerns about potential tariff policies and their implications for manufacturing costs and consumer prices remain. As the sector adapts to these dynamics, the continued focus on sustainability and innovation in product offerings may provide opportunities for growth. Overall, while the household products sector faces challenges, the combination of strong earnings potential and a favorable political environment could enhance its investment value.
 Score: 68</t>
  </si>
  <si>
    <t>Sector Investment Report:
 The latest macroeconomic outlook indicates a mixed environment for the real estate management and development sector. With the U.S. economy projected to experience strong earnings growth of 12-13% in 2025, there are opportunities for real estate companies to capitalize on increased demand for housing and commercial spaces. However, concerns about inflation and potential volatility in the stock market may create headwinds for the sector. The recent implementation of congestion pricing in New York City could also impact urban real estate dynamics, potentially affecting property values and development opportunities in densely populated areas.
 Additionally, the political landscape, particularly with the upcoming second term of President Donald Trump, may lead to a more deregulatory environment that could benefit real estate development. However, the potential for tariff policies to negatively impact the economy raises questions about the sustainability of growth in the sector. Overall, while there are positive indicators for real estate management and development, the sector must navigate challenges related to inflation, market volatility, and evolving regulatory frameworks.
 Score: 68</t>
  </si>
  <si>
    <t>Sector Investment Report:
 The electric utilities sector is currently navigating a complex landscape shaped by recent macroeconomic developments and regulatory changes. With President Biden's recent ban on new oil and gas drilling along U.S. coastlines, the sector may experience increased pressure to transition towards renewable energy sources. This shift aligns with broader trends in sustainability and environmental responsibility, which are becoming increasingly important to consumers and investors alike. However, the potential for regulatory changes under the incoming Trump administration could introduce uncertainty, particularly regarding energy policies and tariffs that may affect operational costs and profitability.
 Additionally, the sector is likely to be influenced by the overall economic outlook, which anticipates strong earnings growth of 12-13% in 2025. While the electric utilities sector may benefit from this growth, it is also facing challenges such as inflationary pressures and potential volatility in the broader market. The mixed economic signals, combined with the ongoing transition to cleaner energy, suggest that while there are opportunities for growth, the sector must remain agile to adapt to changing political and economic conditions.
 Score: 65</t>
  </si>
  <si>
    <t>Sector Investment Report:
 The latest macroeconomic outlook indicates a mixed performance for the hotel and resort REITs sector, influenced by various factors including political transitions and economic developments. The upcoming inauguration of Donald Trump as President may lead to a more deregulatory environment, which could benefit the hospitality industry. However, the recent security incidents, such as the New Orleans attack and the Tesla Cybertruck explosion in Las Vegas, may raise concerns about safety and security in tourist destinations, potentially impacting occupancy rates and overall demand for hotel accommodations. Additionally, the implementation of new tariffs by Mexico could affect cross-border travel and tourism, further complicating the sector's recovery trajectory.
 Despite these challenges, the hotel and resort REITs sector may still experience growth driven by a resilient labor market and strong consumer spending. The anticipated earnings growth of 12-13% in 2025 could provide a favorable backdrop for the sector, particularly as travel demand rebounds post-pandemic. However, the potential for volatility in the stock market, coupled with inflation concerns, may create headwinds for the sector's performance. Overall, while there are positive indicators for growth, the sector must navigate a complex landscape of economic and geopolitical factors that could influence its investment value.
 Score: 65</t>
  </si>
  <si>
    <t>Sector Investment Report:
 The latest economic outlook for the distributors sector indicates a mixed performance driven by various macroeconomic factors. With the U.S. economy projected to experience strong earnings growth of 12-13% in 2025, distributors may benefit from increased demand as businesses ramp up their operations. However, the sector faces challenges due to potential volatility in the stock market and concerns over inflation, which could impact consumer spending and overall demand for goods. Additionally, the recent implementation of new tariffs by Mexico may complicate cross-border trade, affecting distributors that rely on international supply chains.
 Furthermore, the political landscape, particularly with the upcoming second term of President Donald Trump, is expected to create a more deregulatory environment that could favor distributors. However, the potential for tariff policies to negatively impact the U.S. economy remains a concern. As the technology sector, particularly in semiconductors, continues to show strong performance, distributors that align with these growth areas may find opportunities for expansion. Overall, while the distributors sector has potential for growth, it must navigate a landscape marked by economic uncertainty and geopolitical factors.
 Score: 65</t>
  </si>
  <si>
    <t>Sector Investment Report:
 The automobile components sector is currently navigating a complex landscape influenced by recent macroeconomic developments and industry-specific challenges. The implementation of new tariffs by Mexico, which includes a 17% duty on goods from the U.S., could create headwinds for U.S. manufacturers reliant on cross-border trade. Additionally, the recent explosion of a Tesla Cybertruck outside the Trump International Hotel in Las Vegas raises safety concerns that may impact consumer confidence in electric vehicles and, by extension, the components that support them. These incidents highlight the potential volatility within the sector, as regulatory changes and safety issues can significantly affect market dynamics.
 Despite these challenges, the sector is poised for growth driven by the ongoing transition to electric vehicles (EVs) and advancements in automotive technology. The strong performance of the technology sector, particularly in semiconductors, suggests that components related to EVs and smart automotive technologies may see increased demand. Furthermore, the anticipated deregulatory environment under the incoming Trump administration could foster a more favorable business climate for manufacturers. However, the overall economic outlook remains mixed, with inflation concerns and uneven performance across different sectors potentially impacting the automobile components market.
 Score: 65</t>
  </si>
  <si>
    <t>Sector Investment Report:
 The multi-utilities sector is currently navigating a complex landscape shaped by recent macroeconomic developments and regulatory changes. With President Biden's recent ban on new oil and gas drilling along U.S. coastlines, the sector may experience shifts in energy sourcing and pricing dynamics. This regulatory environment could lead to increased investment in renewable energy sources, aligning with the broader trend towards sustainability. However, the potential for rising inflation and mixed economic signals may create uncertainty regarding future demand for utility services, particularly in regions heavily reliant on traditional energy sources.
 Additionally, the implementation of New York City's congestion pricing could have implications for utility companies involved in transportation and infrastructure projects. As urban areas adapt to new regulations, multi-utilities may find opportunities for growth in energy efficiency and smart grid technologies. The overall outlook for the sector remains cautiously optimistic, with the potential for innovation and adaptation to changing market conditions. However, investors should remain vigilant regarding the impact of political and economic factors that could influence utility performance in the near term.
 Score: 65</t>
  </si>
  <si>
    <t>Sector Investment Report:
 The textiles, apparel, and luxury goods sector is currently navigating a complex landscape influenced by macroeconomic factors and shifting consumer behaviors. Recent economic data indicates a resilient labor market, which could support consumer spending in the luxury segment. However, inflation concerns remain prevalent, potentially impacting discretionary spending across the broader apparel market. The sector may experience volatility as consumers adjust their purchasing patterns in response to economic uncertainties, particularly with the implementation of new tariffs affecting cross-border trade. The recent trade policy changes in Mexico, imposing higher tariffs on goods from non-trade agreement countries, could further complicate supply chains and pricing strategies for companies operating within this sector.
 Additionally, the political landscape, particularly with the upcoming second term of President Donald Trump, may introduce a more deregulatory environment that could benefit the textiles and apparel industry. However, concerns about potential tariff policies could pose risks to profitability and market stability. The luxury goods segment may continue to thrive, driven by strong demand in emerging markets and a growing focus on sustainability and ethical production practices. Overall, while there are opportunities for growth, the sector must remain vigilant in addressing the challenges posed by economic fluctuations and regulatory changes.
 Score: 65</t>
  </si>
  <si>
    <t>Sector Investment Report: 
 The latest macroeconomic outlook indicates a mixed environment for Mortgage Real Estate Investment Trusts (REITs). With the Federal Reserve's ongoing efforts to manage inflation, interest rates are expected to remain elevated, which could impact the cost of borrowing and the overall demand for mortgages. The resilience of the labor market may provide some support for housing demand; however, the anticipated slowdown in business spending and the potential for a cooling housing market could pose challenges for mortgage REITs. Additionally, the recent political landscape, including the transition to a new presidential administration, may introduce further uncertainty regarding regulatory changes that could affect the sector.
 Despite these challenges, the mortgage REIT sector may benefit from the potential for strong earnings growth in 2025, as indicated by broader market expectations. The anticipated deregulatory environment under the incoming administration could also create opportunities for mortgage REITs to navigate the market more effectively. However, the potential for volatility and uneven economic performance remains a concern, suggesting that while there are opportunities, caution is warranted in assessing the overall investment value of this sector.
 Score: 65</t>
  </si>
  <si>
    <t>Sector Investment Report:
 The consumer finance sector is currently navigating a complex landscape characterized by mixed macroeconomic signals. Recent data indicates that while the labor market remains resilient, inflation concerns persist, which could impact consumer spending and borrowing behaviors. The implementation of new tariffs by Mexico and the potential for increased regulatory scrutiny under the incoming Trump administration may also create headwinds for consumer finance companies. Additionally, the recent legal developments regarding net neutrality and the blocking of significant acquisitions in related industries could further influence market dynamics and investor sentiment.
 Despite these challenges, the sector may benefit from the anticipated strong earnings growth of 12-13% in 2025, as highlighted by analysts. The ongoing development of artificial intelligence and its integration into consumer finance services could present new opportunities for innovation and efficiency. However, the potential for volatility in the stock market, driven by political and economic factors, suggests that investors should remain cautious. Overall, the consumer finance sector is positioned for growth, but it must contend with external pressures that could affect its performance in the near term.
 Score: 65</t>
  </si>
  <si>
    <t>Sector Investment Report:
 The retail REIT sector is currently navigating a complex landscape shaped by recent macroeconomic developments and evolving consumer behaviors. With the implementation of new tariffs by Mexico and the potential impact of the upcoming presidential transition in the U.S., retail REITs may face challenges related to cross-border trade and consumer spending. The recent enactment of NYC's congestion pricing could also influence foot traffic in urban retail areas, potentially affecting the performance of retail properties. However, the overall resilience of the labor market and strong earnings growth expectations for 2025 may provide a supportive backdrop for retail REITs, as consumers continue to engage in spending despite economic uncertainties.
 Moreover, the anticipated deregulatory environment under the incoming Trump administration could lead to favorable conditions for retail REITs, particularly if policies encourage consumer spending and investment in retail spaces. The ongoing evolution of e-commerce and the integration of technology in retail operations may also present opportunities for growth within the sector. As the market adjusts to these dynamics, retail REITs may experience volatility, but the long-term outlook remains cautiously optimistic, driven by consumer demand and strategic adaptations to changing market conditions.
 Score: 65</t>
  </si>
  <si>
    <t>Sector Investment Report:
 The latest macroeconomic outlook for the diversified telecommunication services sector indicates a mixed performance landscape. The recent ruling by the U.S. Court of Appeals against the enforcement of net neutrality by the FCC could lead to increased pricing power for telecom companies, potentially enhancing their revenue streams. However, the sector faces challenges from ongoing inflation concerns and a competitive market environment that may pressure margins. The implementation of congestion pricing in New York City could also impact consumer behavior and demand for telecommunication services, as higher transportation costs may lead to reduced discretionary spending.
 Despite these challenges, the sector is expected to benefit from the continued growth of digital services and the increasing reliance on telecommunications infrastructure. As businesses and consumers alike demand more robust connectivity solutions, telecom companies may find opportunities for expansion and innovation. The anticipated growth in artificial intelligence and other emerging technologies could further drive demand for advanced telecommunication services, positioning the sector for potential long-term growth. Overall, while the sector faces short-term volatility, its fundamental growth drivers remain intact.
 Score: 65</t>
  </si>
  <si>
    <t>Sector Investment Report:
 The latest macroeconomic outlook indicates a mixed environment for residential Real Estate Investment Trusts (REITs). With the U.S. economy projected to experience strong earnings growth of 12-13% in 2025, residential REITs may benefit from increased demand for housing as consumer confidence potentially rises. However, the ongoing concerns regarding inflation and the Federal Reserve's monetary policy could lead to higher interest rates, which may negatively impact the affordability of housing and, consequently, the performance of residential REITs. Additionally, the recent political landscape, including the transition to a new presidential administration, may introduce regulatory changes that could further influence the sector.
 Despite these challenges, the resilience of the labor market and the gradual cooling of inflation may provide a supportive backdrop for residential REITs. The anticipated growth in business spending and the potential for a deregulatory environment under the new administration could also create opportunities for expansion and investment in the sector. However, the uneven economic performance and potential volatility in the stock market may pose risks that investors should consider when evaluating the long-term prospects of residential REITs.
 Score: 65</t>
  </si>
  <si>
    <t>Sector Investment Report:
 The specialty retail sector is currently navigating a complex landscape characterized by mixed economic signals and evolving consumer behavior. Recent macroeconomic data indicates that while the U.S. economy is expected to experience strong earnings growth of 12-13% in 2025, the market is likely to face volatility. The labor market remains resilient, but inflation concerns persist, which could impact consumer spending patterns. Additionally, the new tariffs implemented by Mexico on U.S. goods may create challenges for cross-border retail operations, potentially affecting profitability within the sector. The overall sentiment in the specialty retail space is cautious, as businesses adapt to changing economic conditions and consumer preferences.
 Moreover, the political landscape, particularly with the upcoming second term of President Donald Trump, may introduce a more deregulatory environment that could benefit certain segments of the specialty retail sector. However, concerns regarding potential tariff policies could pose risks to profitability and supply chain stability. As the sector continues to evolve, the impact of emerging technologies, including e-commerce and AI-driven retail solutions, will play a crucial role in shaping its future. Overall, while there are opportunities for growth, the specialty retail sector must navigate a challenging environment marked by economic uncertainty and shifting consumer dynamics.
 Score: 65</t>
  </si>
  <si>
    <t>Sector Investment Report:
 The consumer staples distribution and retail sector is currently navigating a complex economic landscape characterized by mixed macroeconomic indicators. Recent data suggests that while the labor market remains resilient, inflation concerns are persistent, which could impact consumer spending patterns. The implementation of new tariffs by Mexico on U.S. goods may also create additional cost pressures for retailers, potentially leading to higher prices for consumers. Furthermore, the recent enactment of congestion pricing in New York City could affect urban retail traffic, influencing sales in one of the largest consumer markets in the U.S. These factors contribute to a cautious outlook for the sector, as companies may face challenges in maintaining margins while adapting to changing consumer behaviors.
 Despite these challenges, the sector benefits from its essential nature, as consumer staples are typically less sensitive to economic fluctuations. The expected strong earnings growth of 12-13% in 2025 could provide a buffer for companies within this sector, allowing them to capitalize on stable demand. However, the anticipated volatility in the broader market may lead to uneven performance among retailers, particularly those heavily reliant on discretionary spending. As the political landscape shifts with the upcoming presidential transition, potential regulatory changes could further influence the sector's dynamics. Overall, while the consumer staples distribution and retail sector faces headwinds, its fundamental resilience may offer investment opportunities.
 Score: 65</t>
  </si>
  <si>
    <t>Sector Investment Report:
 The media sector is currently navigating a complex landscape shaped by recent political and economic developments. With the transition to a new presidential administration, there is potential for shifts in regulatory policies that could impact media companies. The recent ruling against net neutrality enforcement may create opportunities for larger telecommunications firms to exert more control over content delivery, potentially affecting smaller media outlets. Additionally, the ongoing discussions around TikTok and its implications for social media platforms could lead to increased volatility in the sector, as companies adapt to changing regulations and consumer preferences.
 Despite these challenges, the media sector is also poised for growth driven by advancements in technology and the increasing consumption of digital content. The rise of artificial intelligence and its integration into content creation and distribution could enhance operational efficiencies and open new revenue streams. As consumers continue to shift towards streaming services and digital platforms, media companies that can innovate and adapt to these trends may find themselves well-positioned for future growth. However, the overall market remains choppy, and companies must navigate both regulatory hurdles and evolving consumer behaviors to capitalize on these opportunities.
 Score: 65</t>
  </si>
  <si>
    <t>Sector Investment Report:
 The construction and engineering sector is currently navigating a complex landscape influenced by various macroeconomic factors. Recent developments indicate a mixed outlook, with strong earnings growth expectations of 12-13% for 2025, as highlighted by Strategas. However, the sector faces challenges such as a slowdown in business spending on equipment and persistent inflation concerns, which could impact project costs and timelines. The recent enactment of New York City's congestion pricing may also affect transportation-related construction projects, while the Biden administration's ban on new oil and gas drilling along U.S. coastlines could lead to shifts in energy infrastructure investments.
 Despite these challenges, the sector may benefit from a more deregulatory environment under the incoming Trump administration, which could stimulate construction activity. Additionally, the ongoing demand for infrastructure improvements and the potential rise of artificial intelligence in project management and design could provide new opportunities for growth. Overall, while the construction and engineering sector is poised for some growth, it must contend with economic volatility and regulatory changes that could influence its trajectory.
 Score: 65</t>
  </si>
  <si>
    <t>Sector Investment Report:
 The paper and forest products sector is currently navigating a complex landscape influenced by macroeconomic factors and evolving consumer preferences. Recent data indicates a mixed outlook for the sector, with challenges stemming from rising operational costs and fluctuating demand for traditional paper products. The ongoing transition towards digital solutions has led to a decline in demand for printing and writing papers, while packaging materials, particularly those used in e-commerce, have seen a surge in demand. This shift presents both challenges and opportunities for companies within the sector, as they adapt to changing market dynamics and consumer behaviors.
 Additionally, the sector is facing pressures related to sustainability and environmental regulations, which are becoming increasingly important to consumers and investors alike. Companies that prioritize sustainable practices and invest in innovative solutions, such as biodegradable packaging, may find themselves better positioned for growth. However, the overall economic environment remains uncertain, with inflationary pressures and potential supply chain disruptions posing risks to profitability. As the sector continues to evolve, its ability to adapt to these challenges will be crucial in determining its investment value.
 Score: 65</t>
  </si>
  <si>
    <t>Sector Investment Report:
 The latest economic outlook for the Metals &amp; Mining sector reflects a complex interplay of factors that could influence investment potential. The recent blocking of the Nippon Steel acquisition of U.S. Steel by the Biden administration indicates a regulatory environment that may prioritize domestic production and competition within the steel industry. This could lead to increased volatility in steel prices and affect the overall profitability of companies within the sector. Additionally, the ongoing geopolitical tensions and trade policy changes, such as Mexico's new tariffs, may further complicate cross-border trade dynamics, impacting supply chains and pricing strategies for metals and mining companies.
 Despite these challenges, the sector may benefit from a projected strong earnings growth of 12-13% in 2025, as highlighted by macroeconomic forecasts. The resilience of the labor market and the anticipated demand for metals in emerging technologies, particularly in the context of the growing focus on artificial intelligence and infrastructure development, could provide a supportive backdrop for the sector. However, investors should remain cautious of potential volatility stemming from political developments and inflationary pressures that could affect commodity prices and overall market sentiment.
 Score: 65</t>
  </si>
  <si>
    <t>Sector Investment Report:
 The construction materials sector is currently navigating a complex landscape influenced by various macroeconomic factors. Recent developments indicate a mixed outlook, with strong earnings growth expectations of 12-13% for 2025, as highlighted by Strategas' Jason Trennert. However, the sector faces challenges, including a slowdown in business spending on equipment and persistent inflation concerns. The Biden administration's recent actions, such as blocking the acquisition of U.S. Steel by Nippon Steel, may create uncertainty within the steel industry, which is a critical component of construction materials. Additionally, the implementation of new tariffs by Mexico could impact cross-border trade dynamics, further complicating the sector's performance.
 Despite these challenges, the construction materials sector may benefit from the anticipated deregulatory environment under the incoming Trump administration, which could stimulate infrastructure spending and demand for construction materials. The ongoing recovery in the housing market and potential investments in public infrastructure projects could provide a boost to the sector. However, the overall market is expected to be choppy, with volatility driven by macroeconomic and political factors. As such, while there are opportunities for growth, the sector must navigate a landscape marked by uncertainty and potential headwinds.
 Score: 65</t>
  </si>
  <si>
    <t>Sector Investment Report:
 The broadline retail sector is currently navigating a complex economic landscape characterized by mixed macroeconomic indicators. Recent developments indicate that while consumer spending remains resilient, inflationary pressures and new tariffs imposed by Mexico could impact cross-border trade and retail margins. The implementation of a 19% duty on goods from non-trade agreement countries, along with a 17% duty on certain goods from the U.S. and Canada, may lead to increased costs for retailers, potentially squeezing profit margins. Additionally, the recent enactment of congestion pricing in New York City could affect foot traffic and sales in urban retail locations, further complicating the sector's recovery trajectory.
 Despite these challenges, the sector is expected to benefit from strong earnings growth projected for 2025, with overall market expectations indicating a potential increase of 10-15%. The resilience of the labor market and continued consumer spending could provide a buffer against the adverse effects of inflation and tariffs. However, the anticipated volatility in the stock market, driven by political changes and economic uncertainties, may create a cautious environment for broadline retail investments. As the sector adapts to these dynamics, its performance will largely depend on how well retailers manage costs and leverage consumer demand in the face of external pressures.
 Score: 65</t>
  </si>
  <si>
    <t>Sector Investment Report:
 The latest macroeconomic outlook indicates a mixed environment for the Hotels, Restaurants &amp; Leisure sector. With the U.S. economy projected to experience strong earnings growth of 12-13% in 2025, the sector could benefit from increased consumer spending as economic conditions improve. However, the anticipated choppiness in the stock market, driven by inflation concerns and potential volatility, may pose challenges for companies within this sector. The recent implementation of New York City's congestion pricing could also impact travel and dining patterns, potentially affecting foot traffic and revenue for establishments in urban areas.
 Moreover, the political landscape, particularly with the upcoming second term of President Donald Trump, may lead to a more deregulatory environment that could favor the hospitality industry. However, concerns regarding tariff policies and their potential negative impact on the economy could create uncertainty for the sector. As the economy continues to recover and consumer confidence builds, the Hotels, Restaurants &amp; Leisure sector may see growth opportunities, but investors should remain cautious of the underlying economic factors that could influence performance.
 Score: 65</t>
  </si>
  <si>
    <t>Sector Investment Report:
 The latest macroeconomic outlook indicates a mixed environment for trading companies and distributors, with strong earnings growth expectations of 12-13% in 2025. However, the anticipated choppiness in the stock market suggests that volatility may impact the sector's performance. The recent implementation of new tariffs by Mexico, which includes a 19% duty on goods from non-trade agreement countries, could create additional challenges for trading companies that rely on cross-border transactions. Furthermore, the ongoing geopolitical tensions and potential changes in trade policies under the incoming Trump administration may further complicate the landscape for distributors.
 Despite these challenges, the resilience of the labor market and the overall expectation of a 10-15% market increase this year could provide a supportive backdrop for trading companies and distributors. The technology sector's strong performance, particularly in semiconductors, may also create opportunities for companies involved in the distribution of tech-related products. However, the uneven economic performance and inflation concerns could weigh on the sector's growth potential. Overall, while there are promising growth prospects, the sector must navigate a complex and potentially volatile environment.
 Score: 65</t>
  </si>
  <si>
    <t>Sector Investment Report:
 The industrial conglomerates sector is currently navigating a complex landscape characterized by mixed macroeconomic signals and evolving regulatory frameworks. Recent developments, such as the implementation of new tariffs by Mexico and the blocking of significant acquisitions like Nippon Steel's bid for U.S. Steel, indicate a tightening of trade relations and potential disruptions in supply chains. Additionally, the introduction of congestion pricing in New York City may impact transportation costs and operational efficiencies for companies within this sector. These factors contribute to an environment of uncertainty, which could affect the profitability and growth prospects of industrial conglomerates.
 Despite these challenges, the sector may benefit from the anticipated strong earnings growth of 12-13% in 2025, as highlighted by recent economic forecasts. The resilience of the labor market and the potential for increased business spending on infrastructure projects could provide a boost to industrial conglomerates. However, the overall market is expected to experience volatility, and the uneven economic performance across different industries may lead to a selective recovery within the sector. As such, while there are opportunities for growth, the industrial conglomerates sector must navigate a landscape marked by both challenges and potential rewards.
 Score: 65</t>
  </si>
  <si>
    <t>Sector Investment Report:
 The passenger airlines sector is currently navigating a complex landscape shaped by recent macroeconomic developments and geopolitical tensions. The implementation of new tariffs by Mexico, which includes a 19% duty on goods from non-trade agreement countries, could have ripple effects on cross-border travel and trade, potentially impacting airline operations and profitability. Additionally, the recent security incidents in the U.S., including the New Orleans attack and the Tesla Cybertruck explosion, may heighten concerns about travel safety, which could influence consumer behavior and demand for air travel. The upcoming FIFA Club World Cup in the United States is expected to boost travel demand, but the overall sentiment remains cautious due to the mixed economic outlook.
 Despite these challenges, the passenger airlines sector is poised for recovery as the labor market remains resilient and consumer spending continues to show signs of strength. The anticipated earnings growth of 12-13% in 2025 could provide a favorable backdrop for airlines, especially if they can effectively manage operational costs and capitalize on increased travel demand. However, the potential for volatility in the market, driven by inflation concerns and political developments, suggests that airlines may face headwinds in the near term. Overall, while there are opportunities for growth, the sector's performance will largely depend on external factors and the ability to adapt to changing market conditions.
 Score: 65</t>
  </si>
  <si>
    <t>Sector Investment Report:
 The ground transportation sector is currently navigating a complex landscape influenced by recent economic developments and regulatory changes. The implementation of New York City's congestion pricing system is a significant move that could reshape urban transportation dynamics, potentially benefiting companies involved in public transit and alternative transportation solutions. However, the sector is also facing challenges, particularly with the recent explosion of a Tesla Cybertruck, which raises safety concerns about electric vehicles. This incident could lead to increased scrutiny and regulatory pressures on the electric vehicle market, impacting manufacturers and suppliers within the sector.
 Additionally, the broader economic outlook suggests a mixed performance for the ground transportation sector. While the U.S. economy is expected to see strong earnings growth, the anticipated volatility in the stock market may hinder investment confidence. The new tariffs imposed by Mexico could also affect cross-border trade and logistics, further complicating the operational environment for ground transportation companies. As the sector adapts to these changes, its potential for growth will depend on how effectively it can navigate regulatory challenges and capitalize on emerging trends in urban mobility.
 Score: 65</t>
  </si>
  <si>
    <t>Sector Investment Report:
 The air freight and logistics sector is currently navigating a complex landscape shaped by recent macroeconomic developments and geopolitical tensions. With the implementation of new tariffs by Mexico, which includes a 19% duty on goods from non-trade agreement countries, the cross-border trade dynamics are likely to be affected. This could lead to increased costs for logistics companies operating in or trading with Mexico, potentially squeezing margins. Additionally, the ongoing political changes in the U.S., including the transition to a new administration under President Donald Trump, may introduce further uncertainties regarding trade policies and regulations that could impact the logistics sector.
 Despite these challenges, the air freight and logistics sector may benefit from the anticipated strong earnings growth of 12-13% in 2025, as highlighted by recent economic forecasts. The resilience of the labor market and the expected continued strength in business spending could support demand for logistics services. Furthermore, the rise of emerging technologies, particularly in artificial intelligence, may enhance operational efficiencies and drive innovation within the sector. However, the potential for market volatility and uneven economic performance remains a concern, necessitating a cautious approach to investment in this sector.
 Score: 65</t>
  </si>
  <si>
    <t>Sector Investment Report:
 The commercial services and supplies sector is currently navigating a complex economic landscape characterized by mixed macroeconomic indicators. Recent developments indicate a resilient labor market, which could support demand for various services. However, the sector faces challenges from rising inflation and potential volatility in business spending, as evidenced by the slowdown in U.S. factory orders. The implementation of new tariffs by Mexico may also impact cross-border trade dynamics, which could have downstream effects on companies within this sector that rely on international supply chains. Additionally, the recent enactment of congestion pricing in New York City may create new operational costs for businesses, further complicating the economic outlook.
 Despite these challenges, the sector may benefit from a deregulatory environment anticipated under the incoming Trump administration, which could foster growth opportunities. The ongoing advancements in technology, particularly in artificial intelligence, are expected to drive efficiency and innovation within commercial services, potentially enhancing profitability. However, the overall market sentiment remains cautious, with expectations of choppy trading conditions ahead. As the sector adjusts to these economic realities, its performance will likely be influenced by broader market trends and the evolving political landscape.
 Score: 65</t>
  </si>
  <si>
    <t>Sector Investment Report:
 The leisure products sector is poised for a mixed performance in 2025, influenced by various macroeconomic factors and recent developments. With the U.S. economy expected to experience strong earnings growth of 12-13%, there is potential for increased consumer spending on leisure products as disposable incomes rise. However, concerns about inflation and a choppy market may temper this growth, leading to cautious consumer behavior. The recent implementation of new tariffs by Mexico could also impact cross-border trade dynamics, affecting the supply chain and pricing strategies for leisure product manufacturers.
 Additionally, the political landscape, particularly with the upcoming second term of President Donald Trump, may introduce a more deregulatory environment that could benefit the leisure products sector. However, potential tariff policies could pose challenges, particularly for companies reliant on imports. As the market navigates these complexities, the leisure products sector may see opportunities for growth, especially if consumer confidence remains strong and spending on leisure activities continues to rise.
 Score: 65</t>
  </si>
  <si>
    <t>Sector Investment Report:
 The latest developments in the automobile sector indicate a mixed outlook, influenced by recent events and macroeconomic factors. The explosion of a Tesla Cybertruck outside the Trump International Hotel in Las Vegas has raised safety concerns regarding electric vehicles, which could impact consumer confidence and sales in the electric vehicle market. Additionally, the implementation of new tariffs by Mexico, including a 17% duty on certain goods from the U.S., may affect the cost structure for automobile manufacturers and their supply chains, potentially leading to increased prices for consumers. These factors contribute to an uncertain environment for the automobile sector, particularly for companies heavily invested in electric vehicle technology.
 Despite these challenges, the overall market for automobiles, especially electric vehicles, continues to show promise due to the ongoing shift towards sustainable transportation. The anticipated deregulatory environment under the incoming Trump administration may also provide opportunities for growth within the sector. However, the potential for volatility stemming from safety concerns and trade policies could hinder short-term performance. As the sector navigates these complexities, the long-term outlook remains cautiously optimistic, driven by technological advancements and changing consumer preferences.
 Score: 65</t>
  </si>
  <si>
    <t>Sector Investment Report:
 The tobacco sector is currently navigating a complex landscape characterized by regulatory pressures, shifting consumer preferences, and emerging market dynamics. Recent developments indicate that the industry is facing increasing scrutiny from governments and health organizations, which may lead to stricter regulations and potential tax increases. Additionally, the growing trend towards smoking cessation and the rise of alternative products, such as e-cigarettes and heated tobacco, are reshaping the market. While traditional cigarette sales may continue to decline, companies that adapt to these changes and invest in innovative products could find new growth opportunities.
 Despite these challenges, the tobacco sector has historically demonstrated resilience, often providing stable dividends and cash flows. The ongoing transition towards reduced-risk products presents a potential avenue for growth, particularly in markets where regulatory environments are more favorable. However, the overall sentiment remains cautious due to the potential for adverse regulatory changes and the impact of public health campaigns. As the sector evolves, companies that successfully navigate these challenges while capitalizing on emerging trends may enhance their investment appeal.
 Score: 60</t>
  </si>
  <si>
    <t>Sector Investment Report:
 The marine transportation sector is currently navigating a complex landscape influenced by recent geopolitical tensions and economic developments. The implementation of new tariffs by Mexico, which includes a 19% duty on goods from non-trade agreement countries, could disrupt cross-border trade and impact shipping volumes. Additionally, the ongoing political changes in the U.S. with the transition to a new administration may lead to shifts in trade policies that could further affect the marine transportation industry. The recent incidents of violence and security concerns in major U.S. cities may also contribute to a cautious approach among businesses relying on marine logistics.
 Despite these challenges, the sector may benefit from the anticipated strong earnings growth in the broader U.S. economy, projected at 12-13% for 2025. The resilience of the labor market and the potential for increased business spending could lead to a recovery in shipping demand. However, the mixed economic outlook, characterized by inflation concerns and uneven performance across industries, suggests that the marine transportation sector will need to adapt to a volatile environment. Overall, while there are headwinds, the long-term prospects remain cautiously optimistic as global trade dynamics evolve.
 Score: 60</t>
  </si>
  <si>
    <t>Sector Investment Report:
 The latest macroeconomic outlook indicates a mixed environment for Office Real Estate Investment Trusts (REITs). With the labor market remaining resilient, there is potential for demand in office spaces, particularly as companies reassess their real estate needs in a post-pandemic world. However, the ongoing trend of remote work and hybrid models may continue to challenge traditional office occupancy rates. The recent political landscape, including the transition to a new presidential administration, could also influence regulatory frameworks affecting commercial real estate, adding another layer of uncertainty for Office REITs.
 Moreover, inflation concerns persist, which may impact the cost of operations and financing for Office REITs. The anticipated earnings growth of 12-13% in 2025 could benefit the sector if companies begin to expand their office footprints again. However, the potential for choppy market conditions and uneven economic performance suggests that investors should remain cautious. Overall, while there are opportunities for growth, the sector faces significant headwinds that could affect its stability and performance in the near term.
 Score: 55</t>
  </si>
  <si>
    <t>Sector Investment Report:
 The latest macroeconomic outlook indicates a mixed environment for the gas utilities sector. With President Biden's recent ban on new oil and gas drilling along the majority of U.S. coastlines, the regulatory landscape is becoming more challenging for traditional energy sectors, including gas utilities. This could lead to increased operational costs and potential supply constraints, impacting profitability. Additionally, the ongoing concerns about inflation and the potential for a choppy market may create uncertainty for utility stocks, which are often seen as stable investments but can be sensitive to regulatory changes and energy prices.
 Despite these challenges, the gas utilities sector may benefit from the ongoing transition towards cleaner energy sources, as natural gas is often viewed as a bridge fuel in the shift away from coal and oil. The resilience of the labor market and the expected earnings growth in the broader economy could provide some support for utility demand. However, the overall sentiment remains cautious due to the potential for volatility and the impact of political decisions on the energy landscape.
 Score: 55</t>
  </si>
  <si>
    <t>Sector Investment Report:
 The energy equipment and services sector is currently navigating a complex landscape shaped by recent regulatory changes and geopolitical tensions. The recent ban on new oil and gas drilling along the majority of U.S. coastlines, enacted by the Biden administration, is expected to have significant implications for the sector. This policy could lead to a contraction in exploration and production activities, potentially impacting the revenue streams of companies operating within this space. Additionally, the ongoing concerns regarding inflation and the potential for a more deregulatory environment under the incoming Trump administration may create uncertainty for energy companies, particularly those reliant on government contracts and regulatory approvals.
 Despite these challenges, the sector may benefit from the broader economic outlook, which anticipates strong earnings growth in 2025. The resilience of the labor market and the expected increase in business spending could provide a boost to energy services as companies seek to optimize their operations. However, the mixed signals from the macroeconomic environment, including the potential for volatility and uneven performance across different sectors, suggest that the energy equipment and services sector will need to adapt quickly to changing market conditions. Overall, while there are headwinds to consider, the sector's long-term prospects may still hold promise as it aligns with the evolving energy landscape.
 Score: 55</t>
  </si>
  <si>
    <t>Sector Investment Report:
 The latest developments in the oil, gas, and consumable fuels sector indicate a challenging environment as the Biden administration has enacted a ban on new oil and gas drilling along the majority of U.S. coastlines. This regulatory change is likely to impact the supply dynamics within the sector, potentially leading to increased prices in the short term as existing reserves are tapped more heavily. Additionally, the ongoing geopolitical tensions and the recent tariff implementations by Mexico could further complicate trade relations and supply chains, adding to the uncertainty faced by companies operating in this sector.
 Despite these challenges, the sector may still benefit from rising global energy demands and the potential for price increases due to supply constraints. However, the overall sentiment remains cautious as the market grapples with inflation concerns and the potential for a more deregulatory environment under the incoming Trump administration. The mixed outlook suggests that while there may be opportunities for growth, the sector is also facing significant headwinds that could affect its performance in the near term.
 Score: 45</t>
  </si>
  <si>
    <t>Zoetis, a leading animal health company, has been showcasing strong financial performance and growth prospects. The company's diversified portfolio, spanning multiple segments with expected CAGR of 4% or more, positions it well for continued success. Recent news highlights the company's innovative product pipeline, including Librela, Solensia, and Simparica Trio, which are expected to drive future growth.
 Zoetis maintains a robust balance sheet and healthy free cash flow margin, indicating financial stability and the ability to invest in strategic initiatives. The company's long-term growth outlook remains positive, supported by the overall economic trends and the increasing demand for animal health products.</t>
  </si>
  <si>
    <t>Recent News:
 Gartner, Inc. (IT), a leading research and advisory firm in the IT consulting and services industry, has been identified as a strong momentum stock. The company's shares have seen a surge in price, outperforming the market over the past few months. This momentum is driven by Gartner's ability to adapt to the rapidly changing technology landscape and provide valuable insights to its clients.
 Financials:
 Gartner's latest financial results have been impressive, with the company reporting strong revenue growth and expanding profit margins. The firm's diversified service offerings, including research, consulting, and events, have contributed to its financial resilience. Additionally, Gartner's focus on digital transformation and data-driven decision-making has positioned it well to capitalize on the growing demand for IT advisory services.
 Valuations:
 Despite the recent stock price appreciation, Gartner's valuation metrics, such as the price-to-earnings (P/E) ratio, remain reasonable compared to industry peers. This suggests that the company's stock may still have room for further upside potential, as the market continues to recognize Gartner's strong competitive position and growth prospects.
 Economic Outlook:
 The overall economic environment remains favorable for Gartner, with the IT consulting and services industry expected to continue its growth trajectory. The increasing reliance on technology across various sectors, coupled with the need for strategic guidance and data-driven insights, is expected to drive demand for Gartner's services. Additionally, the company's global footprint and diversified client base provide it with a level of resilience against potential economic fluctuations.</t>
  </si>
  <si>
    <t>Recent News:
 Church &amp; Dwight (CHD) has been identified as a top growth stock by Zacks Investment Research. The company's strong performance and growth potential make it an attractive investment option, particularly for value, growth, and momentum investors.
 Financials:
 Church &amp; Dwight's recent financial results have been impressive, with the company reporting strong revenue and earnings growth. In the latest quarter, the company's net sales increased by 8.6% year-over-year, driven by robust demand for its household products. The company's profit margins have also remained healthy, indicating its ability to effectively manage costs and maintain profitability.
 Valuations:
 Despite its strong financial performance, Church &amp; Dwight's valuation remains reasonable. The company's price-to-earnings (P/E) ratio is in line with the industry average, suggesting that its shares are not overpriced. Additionally, the company's dividend yield is attractive, providing investors with a steady stream of income.
 Economic Outlook:
 The overall economic outlook remains positive, with the U.S. economy showing signs of resilience. The manufacturing sector, in particular, has been performing well, which bodes well for Church &amp; Dwight's business. However, concerns over inflation and the potential impact of new tariffs could introduce some volatility in the near term.</t>
  </si>
  <si>
    <t>Recent News: Autodesk reported strong Q3 results, with 11% revenue growth and 28% billings growth driven by a shift to annual subscriptions, early renewals, and a new transaction business model. The company's major platforms, including AEC, AutoCAD, MFG, and M&amp;E, experienced robust revenue growth, supported by effective go-to-market efforts and cloud infrastructure leverage. However, the stock price fell 6% due to questions about the effect of a Chief Financial Officer (CFO) change.
 Financials: Autodesk's Q3 earnings and sales surpassed estimates and improved year-over-year. The company reported Q3 EPS of $2.17, beating the Zacks Consensus Estimate of $2.11 per share. Revenue came in at $1.57 billion, against an expected $1.56 billion.
 Valuation: Autodesk's strong financial performance and growth across its product lines suggest the company is well-positioned to capitalize on the increasing demand for design software. The recent stock price decline due to the CFO change may present an opportunity for investors.
 Economic Outlook: The overall economic environment remains supportive, with the manufacturing and construction sectors showing resilience. The continued shift towards cloud-based solutions and the adoption of emerging technologies, such as AI and automation, could further benefit Autodesk's growth prospects.</t>
  </si>
  <si>
    <t>Meta Platforms (META) has continued to demonstrate strong financial performance and innovation in key areas like AI and AR/VR. The company's Q3 revenue grew 19% year-over-year, with a 35% increase in net income, despite significant R&amp;D investments. Meta's integration of AI into its social media platforms and the launch of the new 'Threads' network are promising growth drivers that enhance ad targeting and user engagement.
 Additionally, Meta's reported plans to build a $10 billion global undersea fiber optic cable network highlight the company's commitment to strengthening its infrastructure and supporting its expanding internet-based operations. However, the study suggesting Instagram is actively contributing to the spread of self-harm among teenagers raises concerns about Meta's content moderation and user safety practices.
 Overall, Meta's financial strength, innovative initiatives, and strategic investments position the company well for continued growth. The stock has gained 20% since the last recommendation, and the company's outlook remains positive.</t>
  </si>
  <si>
    <t>Recent News: Warren Buffett, the renowned investor, has added Domino's Pizza (DPZ) to his portfolio, indicating his belief in the company's long-term potential. Domino's has demonstrated stable operating margins, predictable business performance, and a competitive edge through innovation, marketing, and strategic partnerships. The company's revenue sources, including domestic stores, franchise royalties, supply chain, international fees, and advertising, provide a diversified and stable income stream.
 Financials: Domino's Pizza has maintained strong financial performance, with operating margins ranging from 16.4% to 18.3%. The company's strategic global expansion, coupled with its cost advantages from economies of scale and procurement benefits, have contributed to its consistent profitability. Domino's also actively repurchases shares, which helps minimize dilution and enhance shareholder value.
 Valuations: Domino's Pizza stock has seen a significant increase, with the share price climbing to $472, up 7% over the past five days and 13% over the past month. This valuation reflects the market's confidence in the company's long-term growth potential.
 Economic Outlook: The overall economic environment remains favorable, with the U.S. economy showing signs of resilience. The manufacturing sector, in particular, has been performing well, as indicated by the strong ISM manufacturing data. However, concerns over inflation and the potential impact of new tariffs introduced by the incoming administration could introduce some volatility in the near term.</t>
  </si>
  <si>
    <t>Recent News:
 Qualcomm has completed an end-to-end SMS send and receipt trial over GEO satellite in collaboration with Deutsche Telekom and Skylo. This successful trial showcases Qualcomm's technological capabilities and potential to expand its offerings in the satellite communication space.
 Financials:
 Qualcomm's recent financial performance has been strong, with the company reporting a double beat in FQ4'24 and providing promising guidance for FQ1'25. The company's FY2029 guidance also suggests excellent long-term growth prospects. Despite these positive results, the stock has been trading at discounted valuations, potentially due to the ongoing ARM legal dispute and takeover rumors with Intel.
 Valuations:
 Qualcomm's current valuation is considered the cheapest it has ever been, presenting an attractive investment opportunity. The company's diversification into various growth areas, including handsets, automotive, broadband, AR/VR, and ARM-based AI CPUs, positions it for long-term double-digit growth.
 Economic Outlook:
 The overall economic outlook remains positive, with the U.S. economy showing signs of resilience. However, concerns over inflation, potential trade tensions, and geopolitical risks could introduce volatility in the near future. The emergence of new technologies and market innovations, such as Qualcomm's satellite communication capabilities, could drive long-term growth in the semiconductor industry.</t>
  </si>
  <si>
    <t>Recent News: Analysts have raised their price targets for Royal Caribbean and its peers, Carnival and Norwegian Cruise Line, citing "highly encouraging" booking data and outlooks. The cruise industry appears to be recovering strongly, with Royal Caribbean's stock price up 16% since its last earnings report.
 Financials: Royal Caribbean has had a remarkable year, with its stock price soaring 89% so far in 2024. The company is the world's most valuable cruise line operator by market cap and enterprise value, despite being the second-largest by revenue and passenger volume.
 Valuations: The company's strong performance has led some to speculate that Royal Caribbean's stock could potentially double again in 2025, as it continues to capitalize on the industry's recovery.
 Economic Outlook: The overall economic and industry outlook appears favorable for Royal Caribbean. The cruise industry is seeing a resurgence in demand, and Royal Caribbean is well-positioned to benefit from this trend.</t>
  </si>
  <si>
    <t>Recent News:
 Insulet Corporation (PODD) has been gaining traction in the Health Care Equipment industry, driven by the strong performance of its Omnipod insulin delivery system. The company's innovative products and focus on improving the lives of people with diabetes have positioned it as a leader in the market.
 Financials:
 Insulet's latest financial results showcase its robust growth trajectory. The company reported a 25% year-over-year increase in revenue for the most recent quarter, driven by strong demand for its Omnipod products. Additionally, the company's gross margin has been steadily improving, indicating efficient operations and pricing power.
 Valuations:
 Despite the company's strong performance, Insulet's valuation remains reasonable. The stock is trading at a forward P/E ratio of 85, which is in line with the industry average. This suggests that the market has not fully priced in the company's growth potential.
 Economic Outlook:
 The overall economic environment remains favorable for Insulet. The growing prevalence of diabetes, coupled with the increasing adoption of insulin delivery systems, provides a solid tailwind for the company's growth. Furthermore, the continued advancements in medical technology and the emphasis on improving patient outcomes are likely to benefit Insulet in the long run.</t>
  </si>
  <si>
    <t>Recent News: Devon Energy has reported record-breaking production and efficiency gains, particularly in the Delaware Basin. The company plans to return up to 70% of free cash flow to shareholders through dividends and buybacks, promising substantial returns at higher oil prices.
 Financials: Devon Energy is currently trading at just 3.5x operating cash flow, suggesting the stock is undervalued. The company's fair value estimate is $82 per share, offering significant upside potential.
 Valuations: With a low valuation of 3.5x operating cash flow, Devon Energy appears to be an attractive investment opportunity. The company's strong fundamentals and plans to return capital to shareholders make it a compelling option in the Oil &amp; Gas Exploration &amp; Production industry.
 Economic Outlook: The overall economic outlook, including factors such as oil prices and global energy demand, will be crucial in determining Devon Energy's performance in the coming months. The continued strength in the manufacturing sector and resilience of the U.S. economy provide a favorable backdrop for the company.</t>
  </si>
  <si>
    <t>Recent News:
 Cintas Corporation (CTAS) has been a strong performer in the Diversified Support Services industry, with the stock hitting a fresh 52-week high. The company's momentum has been driven by its ability to deliver consistent financial results and capitalize on the growing demand for its services. Analysts remain bullish on the stock, citing Cintas' solid fundamentals and the potential for continued growth in the long-term.
 Financials:
 Cintas' latest financial results have been impressive, with the company reporting strong revenue and earnings growth. The company's diversified business model, which includes uniform rental, facility services, and other support services, has allowed it to navigate the challenging economic environment and maintain its competitive edge. Cintas' balance sheet is also healthy, with a solid cash position and manageable debt levels.
 Valuations:
 Despite the recent run-up in the stock price, Cintas' valuation metrics remain reasonable. The company's forward P/E ratio is in line with the industry average, and its PEG ratio suggests that the stock is fairly valued relative to its growth potential. Analysts believe that Cintas' strong competitive position and growth prospects justify the current valuation.
 Economic Outlook:
 The overall economic outlook remains positive, with the manufacturing and service sectors showing signs of resilience. This bodes well for Cintas, as the company's services are closely tied to the performance of these sectors. Additionally, the potential for continued infrastructure spending and the ongoing shift towards outsourcing of non-core business functions could further support Cintas' growth in the coming years.</t>
  </si>
  <si>
    <t>Recent News:
 - Nvidia (NASDAQ:NVDA) has continued its strong performance, reporting a 94% year-over-year revenue growth in Q3 2025 to over $35 billion. The company's data center segment, which is a key driver of growth, saw a 112% increase in revenue.
 - Nvidia is set to ramp up production of its Blackwell GPUs, which are expected to redefine AI data centers with their advanced liquid cooling technology.
 - The company has also secured a $700 million investment from Nebius Group, an AI infrastructure firm, further strengthening its position in the AI market.
 - Despite some recent volatility, Nvidia's stock has surged 175% so far in 2024, outperforming the broader market.
 Financials:
 - Nvidia's financial performance has been exceptional, with the company reporting record revenues and margins. The company's revenue is expected to surpass the $50 billion mark in the next 12 months, with growth exceeding 40% for the next five quarters.
 - Nvidia's profitability has also been strong, with the company maintaining relatively stable margins despite the $2 billion revenue beat in Q3.
 Valuation:
 - Nvidia's stock is currently trading at a forward P/E ratio of 46.33x, which is higher than many of its peers. However, the company's growth rates and market leadership in the AI space justify the premium valuation.
 Economic Outlook:
 - The overall macroeconomic environment remains supportive, with the U.S. economy showing signs of resilience. However, there are concerns about the potential impact of new tariffs and geopolitical tensions on the market.
 - The emergence of new technologies, such as AI and small modular nuclear reactors, could present further opportunities for Nvidia and the broader technology sector.</t>
  </si>
  <si>
    <t>Recent News: Blackstone Inc. has continued to demonstrate its industry-leading position in the asset management sector. The firm's strategic acquisitions, such as its purchase of a majority stake in Spanx, a women's apparel company, have expanded its diversified portfolio and exposure to high-growth market segments. Additionally, Blackstone's real estate investments, including its recent acquisition of a majority stake in the iconic Bellagio hotel in Las Vegas, have further strengthened its position in the REIT industry.
 Financials: Blackstone's latest financial results have been impressive, with the firm reporting record-high assets under management (AUM) of $974 billion as of the most recent quarter. This represents a significant increase compared to the prior year, driven by strong inflows across its diverse investment strategies. The firm's revenue and profitability have also remained robust, reflecting its ability to generate consistent returns for its investors.
 Valuations: Blackstone's valuation metrics, such as its price-to-earnings ratio and price-to-book ratio, are higher than the industry average, reflecting the market's recognition of the firm's exceptional performance and growth potential. While the valuation may appear elevated, Blackstone's track record of delivering consistent returns and its strong competitive position in the asset management industry justify the premium.
 Economic Outlook: The current macroeconomic environment, characterized by rising interest rates, geopolitical tensions, and concerns about a potential economic slowdown, may present both challenges and opportunities for Blackstone. The firm's diversified investment strategies and its ability to navigate market cycles have historically allowed it to generate strong returns even in volatile market conditions.</t>
  </si>
  <si>
    <t>Recent News:
 - Costco (COST) stock has outperformed the broader market, closing the recent trading session at $975, up 0.32% from the prior day.
 - Costco's sales topped $250 billion in fiscal 2024, with less than 2% of those sales being a key to understanding the entire business.
 - Investors are anticipating another big special dividend from Costco in December, though special dividends are not guaranteed.
 - Costco will stop selling books year-round in most U.S. stores starting in January.
 - Despite Costco's impressive 165,200% total return since its IPO in 1985, investors are still heavily searching for information about the company.
 Financials:
 Costco's strong sales performance, with total revenue exceeding $250 billion in fiscal 2024, suggests the company's core business model continues to resonate with consumers. The company's ability to generate consistent sales growth and maintain a loyal customer base are positive indicators for its financial health.
 Valuation:
 Costco's stock price of $975 reflects the market's confidence in the company's long-term growth potential. While the valuation may appear high, Costco's track record of consistent performance and its position as a leading player in the consumer staples merchandise retail industry support the current stock price.
 Economic Outlook:
 The overall economic environment, with factors such as consumer spending, inflation, and the Federal Reserve's monetary policy, will likely have a significant impact on Costco's performance in the near term. However, the company's resilience and its focus on providing value to its members suggest it may be well-positioned to navigate any potential economic challenges.</t>
  </si>
  <si>
    <t>Recent News: Realty Income, a leading real estate investment trust (REIT) in the retail sector, has been the subject of several positive news reports. The company is well-positioned to generate profitable spreads, with recent investments made at a cash yield of 7.7% and an average interest rate of 3.8%. Additionally, 82.1% of Realty Income's portfolio is linked to CPI-based rental increases or gross sales, and the company has achieved triple-digit rental recapture rates. These developments have contributed to the company's raised FY2024 guidance, which appears to be well-justified.
 Financials: Realty Income's consistent profitability and dividend growth are driven by its diversified portfolio, strong balance sheet, and scale advantages, making it a resilient investment. The company's strategic focus on high-quality tenants and long-term leases ensures stable cash flow, even during economic downturns. Realty Income's recent M&amp;A activities and expansion into Europe and private capital markets further enhance its growth potential and competitive edge.
 Valuations: Realty Income offers stability, strong financials, and reliable income, making it an attractive option for risk-averse investors seeking peace of mind during market downturns. The company's consistent dividend growth since 1994 and resilience during crises like the Global Financial Crisis and COVID-19 pandemic highlight its reliability in generating a steady stream of cash. Despite a narrow investment spread and slower dividend growth, Realty Income's strong financials and diversification make it a safe haven for conservative investors.
 Economic Outlook: Realty Income's stock has underperformed as long-term bond yields surged from their September 2024 lows. However, the company's robust liquidity and capital structure suggest that the market's pessimism could have been overstated. While the appeal of its forward dividend yield of 5.5% has been lowered, it remains markedly above its sector peers.</t>
  </si>
  <si>
    <t>Recent News:
 - Amazon has been making significant investments in its cloud computing business, AWS, including the launch of data transfer terminals to enable faster cloud uploads.
 - The company is also exploring the use of AI-designed materials for its data centers to address carbon emissions concerns.
 - Amazon is seeing increased adoption of its TikTok Shop platform by sellers, despite the looming threat of a U.S. ban on the social media app.
 - The company is expanding its Whole Foods footprint with a new small-format "Daily Shop" concept to cater to frequent grocery shoppers.
 Financials:
 - Amazon has continued to deliver strong financial performance, with its AWS division and e-commerce business driving growth.
 - The company's profitability has been improving, with the latest quarterly results exceeding market expectations.
 - Amazon's balance sheet remains healthy, with a strong cash position and manageable debt levels.
 Valuation:
 - Amazon's stock is currently trading at a premium valuation compared to the broader market, reflecting its growth potential and market dominance.
 - However, the stock has shown resilience and has the potential for further upside, as evidenced by the recent "golden cross" technical signal.
 Economic Outlook:
 - The overall macroeconomic environment remains uncertain, with concerns over inflation and the potential impact of geopolitical tensions.
 - However, the U.S. economy has shown signs of resilience, with the manufacturing sector and consumer spending remaining strong.
 - The emergence of new technologies, such as AI and quantum computing, could present opportunities for Amazon to expand its capabilities and drive future growth.</t>
  </si>
  <si>
    <t>Synchrony Financial (SYF) is a leading consumer financial services company that provides a range of credit products, including credit cards, installment loans, and consumer financing. The company has demonstrated strong financial performance, with impressive Q3 results that included $1.94 diluted EPS, 70.4 million active accounts, and a 15.04% net interest margin.
 Recent News:
 - Synchrony Financial reported strong Q3 2024 earnings, beating analyst estimates and showcasing the company's robust profitability and growth potential.
 - The company's stock price has surged 128% in the past 12 months, indicating that the market is recognizing its value.
 - Valuation metrics, such as low P/E and PEG ratios, suggest that Synchrony Financial is currently undervalued relative to its earnings growth potential.
 Financials:
 - Synchrony Financial's Q3 2024 results demonstrated solid financial health, with strong profitability and a growing customer base.
 - The company's net interest margin of 15.04% and diluted EPS of $1.94 highlight its ability to generate consistent cash flow and earnings.
 Economic Outlook:
 - The U.S. economy is showing signs of resilience, with key indicators like the ISM manufacturing data beating estimates in November and reaching the best level since June.
 - However, concerns over inflation and the potential impact of new tariffs could introduce volatility in the near future.</t>
  </si>
  <si>
    <t>Recent News:
 DexCom, Inc. (DXCM) has been a top momentum stock in the Health Care Equipment industry, with its shares rising over 30% in the past year. The company's continuous glucose monitoring (CGM) systems have been driving strong demand, as they provide real-time glucose data to help diabetic patients better manage their condition.
 Financials:
 DexCom's latest quarterly results have been impressive, with revenue growing 25% year-over-year and the company raising its full-year guidance. The company's gross margins have also been expanding, indicating strong pricing power and operational efficiency.
 Valuations:
 Despite the recent stock price appreciation, DexCom's valuation metrics, such as its price-to-earnings and price-to-sales ratios, remain reasonable compared to its industry peers. This suggests that the stock still has room for further upside.
 Economic Outlook:
 The growing prevalence of diabetes globally, coupled with the increasing adoption of CGM technology, provides a favorable long-term outlook for DexCom. The company's innovative products and strong market position position it well to capitalize on this trend.</t>
  </si>
  <si>
    <t>Recent News: Jaguar stock price has bounced back despite the controversy surrounding the company's "woke" advertising campaign. The British luxury vehicle maker has returned to the limelight with a new marketing strategy focused on its pivot to an electrified future.
 Financials: Goldman Sachs (GS) has been identified as a top stock for long-term investors, according to the Zacks Focus List. The Zacks Focus List is designed to help investors build a winning portfolio by providing access to top-rated stocks.
 Valuations: Goldman Sachs' valuation metrics, such as its price-to-earnings ratio and price-to-book ratio, suggest the stock is attractively priced compared to its peers in the Investment Banking &amp; Brokerage industry.
 Economic Outlook: The overall economic environment remains favorable for the financial services sector, with the U.S. economy showing signs of resilience and the stock market maintaining its positive momentum. However, concerns over inflation, potential trade tensions, and geopolitical risks could introduce volatility in the near future.</t>
  </si>
  <si>
    <t>Recent News: Global Payments Inc. (GPN) has seen its stock price rise 15.1% since the company's last earnings report 30 days ago. This positive momentum can be attributed to the company's strong financial performance and favorable market conditions.
 Financials: In the latest earnings report, Global Payments surpassed analysts' expectations on both the top and bottom lines. The company reported revenue of $2.29 billion, up 6.7% year-over-year, and adjusted earnings per share of $2.62, exceeding the consensus estimate of $2.50. The company's payment processing volume also grew, indicating continued demand for its services.
 Valuations: Despite the recent stock price appreciation, Global Payments' valuation remains attractive. The company's forward price-to-earnings ratio is around 13.5, which is lower than the industry average, suggesting potential upside for the stock.
 Economic Outlook: The overall economic environment remains supportive for the transaction and payment processing industry. Consumer spending, a key driver for Global Payments' business, has remained resilient, and the continued adoption of digital payment methods is expected to benefit the company.</t>
  </si>
  <si>
    <t>Recent News: Hartford Financial Services Group, Inc. (NYSE: HIG) shares have been trading near their 52-week high, reflecting the company's strong performance and positive investor sentiment. The property and casualty insurer has demonstrated resilience in the face of macroeconomic challenges, positioning it well for future growth.
 Financials: Hartford's latest financial results have been encouraging, with the company reporting solid revenue growth and improved profitability. The firm's strong balance sheet and ample liquidity provide the financial flexibility to pursue strategic initiatives and enhance shareholder returns through share buybacks and dividend payments.
 Valuations: Hartford's valuation metrics, such as its price-to-earnings (P/E) ratio and price-to-book (P/B) ratio, are in line with industry averages, suggesting that the stock may be reasonably priced. The company's consistent dividend payments and potential for future dividend growth also contribute to its investment appeal.
 Economic Outlook: The overall economic environment, characterized by a resilient manufacturing sector and consumer spending, is expected to provide a supportive backdrop for Hartford's operations. However, the potential for continued inflationary pressures and the Federal Reserve's monetary policy decisions could introduce some volatility in the near term.</t>
  </si>
  <si>
    <t>Recent News:
 Henry Schein, Inc. (HSIC), a leading provider of health care products and services to office-based dental and medical practitioners, has been identified as a top value stock by Zacks Investment Research. The company's strong financial performance, diversified product portfolio, and strategic acquisitions have positioned it well for long-term growth.
 Financials:
 In the latest quarter, Henry Schein reported strong financial results, with net sales increasing 5.8% year-over-year to $3.1 billion. The company's gross profit margin also improved, reflecting its ability to effectively manage costs and maintain profitability. Additionally, Henry Schein's balance sheet remains healthy, with a low debt-to-equity ratio, providing financial flexibility for future investments.
 Valuations:
 Henry Schein's current valuation, as measured by its price-to-earnings (P/E) ratio, is below the industry average, indicating that the stock may be undervalued. This presents an attractive opportunity for long-term investors seeking a value-oriented investment in the health care distribution sector.
 Economic Outlook:
 The overall economic outlook remains positive, with the U.S. economy showing signs of resilience. The manufacturing sector, in particular, has been performing well, which bodes well for Henry Schein's business, as it serves a significant number of dental and medical practices. However, concerns over inflation and the potential impact of new tariffs could introduce some volatility in the near term.</t>
  </si>
  <si>
    <t>Recent News: Hess Corporation (HES) has seen its stock price rise by 9.1% since its last earnings report, which was released 30 days ago. The company's strong performance can be attributed to several factors, including the continued recovery in global oil demand and the company's successful execution of its strategic initiatives.
 Financials: In its latest earnings report, Hess Corporation reported better-than-expected financial results, with revenue and earnings per share (EPS) both exceeding analyst estimates. The company's production levels also remained strong, with a focus on high-margin assets in the Bakken and Guyana regions.
 Valuations: Hess Corporation's stock is currently trading at a forward price-to-earnings (P/E) ratio of 12.5, which is slightly below the industry average. However, the company's strong growth prospects and strategic positioning in key oil and gas basins suggest that the stock may be undervalued at current levels.
 Economic Outlook: The global economic recovery, coupled with ongoing supply chain disruptions and geopolitical tensions, has led to a sustained increase in oil and gas prices. This favorable market environment is expected to continue to benefit Hess Corporation's financial performance in the near term.</t>
  </si>
  <si>
    <t>Recent News: DuPont (DD) has been gaining momentum in the market, driven by its strategic focus on growth through innovation and targeted acquisitions. The company's productivity improvement actions have also contributed to its positive performance. DuPont's diversified portfolio of specialty chemicals, materials, and solutions has allowed it to navigate the current market environment effectively.
 Financials: DuPont's latest financial results have been encouraging, with the company reporting strong revenue growth and improved profitability. The company's focus on high-margin, high-growth segments has paid off, as evidenced by its expanding profit margins. DuPont's balance sheet remains healthy, providing the flexibility to pursue further growth initiatives.
 Valuations: DuPont's valuation metrics, such as its price-to-earnings (P/E) ratio and price-to-book (P/B) ratio, are in line with industry averages, suggesting that the stock is reasonably priced. The company's forward P/E ratio indicates that the market expects continued earnings growth, which could drive further stock appreciation.
 Economic Outlook: The overall economic environment remains supportive for DuPont, with the manufacturing and industrial sectors showing resilience. The company's exposure to diverse end markets, including electronics, transportation, and construction, provides a degree of diversification and stability.</t>
  </si>
  <si>
    <t>Recent News: Expedia Group has topped the PYMNTS' Provider Ranking of Travel Apps, positioning the company well ahead of the busy holiday travel season. The ranking is based on factors such as the number of downloads and average users, highlighting Expedia's strong performance in the travel app market.
 Financials: Expedia's latest quarterly results showed a 22% year-over-year increase in revenue, driven by a rebound in travel demand. The company's gross bookings also grew by 18% compared to the previous year, indicating that consumers are actively using Expedia's platforms to plan and book their trips.
 Valuations: Expedia's stock has performed well in 2024, with a year-to-date gain of 15%. The company's price-to-earnings ratio of 22 is slightly above the industry average, reflecting investor confidence in Expedia's ability to capitalize on the recovery in the travel sector.
 Economic Outlook: The overall economic environment remains supportive for the travel industry, with consumer spending on leisure and hospitality activities continuing to increase. However, concerns over inflation and the potential impact of geopolitical tensions on global travel patterns could pose risks to Expedia's performance in the near term.</t>
  </si>
  <si>
    <t>Recent News: Ecolab Inc. (ECL), a leading provider of water, hygiene, and infection prevention solutions, has been performing well, driven by its strong segmental performance and improved operating margin. The company's diverse portfolio of products and services has allowed it to cater to the growing demand for sanitation and disinfection solutions, particularly in the wake of the COVID-19 pandemic.
 Financials: Ecolab's latest financial results have been encouraging, with the company reporting solid revenue growth and margin expansion. In the most recent quarter, the company's sales increased by 8% year-over-year, while its operating margin improved by 120 basis points. This performance reflects Ecolab's ability to effectively manage its costs and pass on price increases to customers, which has helped offset the impact of inflationary pressures.
 Valuations: Ecolab's stock is currently trading at a forward P/E ratio of 27.5, which is slightly above the industry average but still within a reasonable range. The company's strong financial performance and growth prospects justify the premium valuation, as investors recognize the value of Ecolab's market-leading position and its ability to capitalize on the growing demand for its products and services.
 Economic Outlook: The macroeconomic environment remains challenging, with concerns over inflation, rising interest rates, and geopolitical tensions. However, the demand for Ecolab's products and services is expected to remain resilient, as businesses and consumers continue to prioritize hygiene and sanitation. Additionally, the company's diversified geographic footprint and exposure to various end markets, such as healthcare, food service, and industrial, provide a degree of stability and resilience.</t>
  </si>
  <si>
    <t>Recent News: Edwards Lifesciences' SAPIEN 3 Ultra RESILIA Valve has demonstrated excellent outcomes for patients in real-world data. This positive development is set to boost the company's stock performance, as the SAPIEN 3 Ultra RESILIA Valve is a key product in Edwards' portfolio.
 Financials: Edwards Lifesciences has a strong financial position, with a healthy balance sheet and consistent revenue growth. The company's focus on innovative medical devices, particularly in the transcatheter aortic valve replacement (TAVR) market, has contributed to its financial success.
 Valuations: Edwards Lifesciences' stock is currently trading at a premium valuation compared to its industry peers, reflecting the market's confidence in the company's growth prospects. The stock's price-to-earnings (P/E) ratio and price-to-sales (P/S) ratio are above the industry averages, indicating that investors are willing to pay a higher price for the company's shares.
 Economic Outlook: The overall economic environment remains favorable for the healthcare equipment industry, with an aging population and increasing demand for advanced medical technologies. However, the industry is also subject to regulatory changes and pricing pressures, which could impact Edwards Lifesciences' performance.</t>
  </si>
  <si>
    <t>Recent News:
 Electronic Arts (EA) stock has risen 9.4% since the company reported its latest earnings results 30 days ago. The stock's performance has outpaced the broader market, as investors have reacted positively to the company's financial results and outlook.
 Financials:
 In its most recent quarter, EA reported revenue of $1.9 billion, up 8% year-over-year, and earnings per share of $0.87, exceeding analyst expectations. The company's live services and mobile gaming segments continue to drive growth, offsetting any weakness in its traditional console game sales.
 Valuations:
 Despite the recent stock price appreciation, EA's valuation remains reasonable, with a forward P/E ratio of 20.5x, slightly below the industry average. The company's strong cash flow generation and healthy balance sheet also support its valuation.
 Economic Outlook:
 The overall economic environment remains supportive for the interactive home entertainment industry. Continued consumer demand for gaming content, coupled with the growing popularity of live services and mobile gaming, could further benefit EA's business in the coming months.</t>
  </si>
  <si>
    <t>Recent News: EQT Corporation, a leading natural gas producer, has seen its stock price rise by 17.4% since its last earnings report. This positive momentum can be attributed to the company's recent announcement of a $3.5 billion midstream joint venture with Blackstone. The partnership aims to strengthen EQT's infrastructure assets, enhance growth, and reduce the company's debt burden, with a target of $9 billion in net debt by the end of the year.
 Financials: EQT's latest financial results have been encouraging, with the company reporting strong production volumes and improved operational efficiency. The company's focus on cost optimization and debt reduction has been well-received by investors, as it positions EQT for long-term sustainability and growth.
 Valuation: EQT's current valuation metrics, such as its price-to-earnings ratio and price-to-cash flow ratio, suggest that the stock may be undervalued compared to its peers in the Oil &amp; Gas Exploration &amp; Production industry. This could indicate potential upside for the stock in the near term.
 Economic Outlook: The overall economic outlook for the Oil &amp; Gas Exploration &amp; Production industry remains positive, with the global energy demand expected to continue growing in the coming years. However, factors such as geopolitical tensions, supply chain disruptions, and fluctuations in commodity prices may introduce volatility in the sector.</t>
  </si>
  <si>
    <t>Recent News: Gilead Sciences (GILD) stock has surged 44.2% in the past six months, driven by positive data readouts and strong quarterly results. Investors have been heavily searching for information on the company, indicating increased interest and attention.
 Financials: Gilead's recent financial performance has been strong, with the company reporting better-than-expected quarterly results. The company's robust product portfolio and pipeline have contributed to its financial success.
 Valuations: Gilead's valuation metrics, such as its price-to-earnings (P/E) ratio, are in line with industry averages, suggesting the stock may be reasonably valued.
 Economic Outlook: The overall economic environment, including factors such as interest rates, inflation, and consumer spending, can impact Gilead's performance. The recent macroeconomic data and trends suggest a generally favorable outlook for the biotechnology industry.</t>
  </si>
  <si>
    <t>Recent News:
 MSCI, a leading provider of critical decision support tools and services for the global investment community, has seen its stock price rise by 6.3% since its last earnings report. This positive momentum can be attributed to the company's strong financial performance and its position as a top stock for long-term investors.
 Financials:
 In its latest earnings report, MSCI demonstrated its financial strength, with revenue growth of 8.4% year-over-year and an impressive adjusted EBITDA margin of 62.8%. The company's subscription-based business model has proven to be resilient, generating stable and recurring revenue streams.
 Valuations:
 Despite the recent stock price appreciation, MSCI's valuation remains attractive, with a forward P/E ratio of 35.2, which is in line with the industry average. The company's strong growth prospects and market leadership position suggest that the current valuation may be justified.
 Economic Outlook:
 The global investment management industry, which MSCI serves, is expected to continue its growth trajectory, driven by factors such as the increasing demand for passive investment strategies and the growing need for sophisticated data and analytics tools. This favorable industry outlook bodes well for MSCI's long-term prospects.</t>
  </si>
  <si>
    <t>Recent News: NetApp has expanded its partnership with AWS, launching a new offering for easy hybrid cloud deployments. The company's focus on AI and cloud infrastructure is evident, with over 100 AI and data-lake modernization wins and expanded partnerships with Google Cloud and AWS.
 Financials: NetApp's recent Q2 FY2025 results beat earnings estimates, with strong growth in its Hybrid and Public Cloud segments. The company has raised its full-year EPS guidance to $7.20-$7.40, indicating solid execution and financial performance.
 Valuations: NetApp's stock trades at a reasonable ~17x P/E, which is considerably cheaper than direct rivals like Pure Storage and Nutanix on both a P/E and revenue basis. This suggests the company may be underappreciated by the market.
 Economic Outlook: While the macro environment remains challenging, NetApp's strategic positioning and focus on emerging technologies like AI and cloud infrastructure suggest a "cautiously optimistic" stance. The company's solid execution and growth in key segments could drive further upside.</t>
  </si>
  <si>
    <t>Newmont Corporation (NEM) has been attracting investor attention recently due to its strategic portfolio optimization and strong financial performance. The company's recent asset divestitures, such as the sale of the Eleonore mine, are part of its strategy to streamline operations and strengthen its capital position.
 Despite facing rising operational costs, Newmont has been able to maintain robust cash flow and revenue growth, driven by the high gold prices. This has made the company's valuation metrics, including a low P/E and P/CF ratio, more attractive, suggesting the stock is currently undervalued and presents a buying opportunity for value-oriented investors.
 The overall economic outlook, with factors like the ongoing geopolitical tensions and the Federal Reserve's monetary policy decisions, could impact the gold industry and Newmont's performance in the near term. However, the company's strategic initiatives and strong financial position make it a compelling investment option in the gold sector.</t>
  </si>
  <si>
    <t>Recent News:
 News Corp (Class A) has been recognized as a strong momentum stock, with the company's Zacks Style Scores indicating its potential for long-term growth. The Zacks Style Scores offer investors a comprehensive way to evaluate stocks based on their investing style preferences, making it easier to identify top-rated stocks.
 Financials:
 News Corp's recent financial performance has been solid, with the company reporting strong revenue and earnings growth in its latest quarterly results. The company's diversified business model, which includes media, publishing, and digital real estate services, has helped it navigate the challenging market conditions.
 Valuations:
 News Corp's valuation metrics, such as its price-to-earnings (P/E) ratio and price-to-sales (P/S) ratio, are in line with industry averages, suggesting that the stock is reasonably priced compared to its peers.
 Economic Outlook:
 The overall economic outlook remains cautiously optimistic, with the U.S. economy showing signs of resilience despite ongoing geopolitical tensions and inflationary pressures. This favorable macroeconomic environment could benefit News Corp's operations and support the company's growth prospects.</t>
  </si>
  <si>
    <t>Recent News:
 NextEra Energy (NEE) is trading at a premium valuation compared to its industry peers, reflecting its strong financial performance and growth prospects. The company is benefiting from declining interest rates and improving economic conditions in Florida, its primary market. Despite the premium valuation, rising earnings estimates suggest the stock remains an attractive investment option.
 Financials:
 NextEra Energy has demonstrated consistent profitability and stability over the past 25 years, increasing its dividend annually at a remarkable compound annual growth rate of over 8%. The company's strong financial performance and growth potential have made it a popular investment choice among investors, as evidenced by the heavy search activity on the stock.
 Valuation:
 While NextEra Energy is trading at a premium valuation compared to its industry, qualitative and quantitative analysis suggests the stock is undervalued by more than 15%. This presents an opportunity for investors to take advantage of the company's long-term growth prospects and reliable investment profile.
 Economic Outlook:
 The improving economic conditions in Florida, NextEra Energy's primary market, and the declining interest rate environment are expected to continue supporting the company's performance. These macroeconomic factors, combined with the company's strong financial position and growth potential, make NextEra Energy an attractive investment option for a buy-and-hold strategy.</t>
  </si>
  <si>
    <t>Recent News: NiSource (NI), a leading multi-utility company, has seen its stock price rise by 8.8% since its last earnings report. This positive price trend can be attributed to the company's strong financial performance and the overall favorable economic outlook for the utilities sector.
 Financials: In its latest quarterly results, NiSource reported a 5.2% increase in revenue compared to the same period last year, driven by higher customer demand and rate adjustments. The company's net income also grew by 7.3%, showcasing its ability to effectively manage costs and maintain profitability.
 Valuations: NiSource's current valuation metrics, such as a price-to-earnings ratio of 18.2 and a price-to-book ratio of 1.8, are in line with the industry average, suggesting that the stock is reasonably priced.
 Economic Outlook: The utilities sector, in which NiSource operates, is generally considered a defensive investment during times of economic uncertainty. The recent macroeconomic data, including the resilient manufacturing sector and the Federal Reserve's ongoing efforts to control inflation, provide a favorable backdrop for the company's performance.</t>
  </si>
  <si>
    <t>Recent News: Keysight Technologies (KEYS) has made progress in the regulatory approval process for its planned acquisition of Spirent Communications. The company is working to obtain all the necessary approvals to complete the transaction by April 2025. This acquisition is expected to strengthen Keysight's position in the electronic equipment and instruments industry by expanding its capabilities and customer base.
 Financials: Keysight's latest financial results have been positive, with the company reporting strong revenue growth and profitability. In the most recent quarter, the company's revenue increased by 8% year-over-year, and its operating margins remained healthy. Keysight's balance sheet is also in good shape, with a solid cash position and manageable debt levels.
 Valuations: Keysight's stock is currently trading at a forward P/E ratio of 22.5, which is in line with the industry average. The company's valuation metrics, such as price-to-earnings and price-to-sales ratios, suggest that the stock is reasonably valued compared to its peers.
 Economic Outlook: The overall economic environment remains challenging, with concerns about inflation, interest rate hikes, and geopolitical tensions. However, the electronic equipment and instruments industry is expected to continue benefiting from the ongoing digital transformation and the increasing demand for advanced testing and measurement solutions.</t>
  </si>
  <si>
    <t>Recent News:
 KLA Corporation's (KLAC) shares have risen 11% year-to-date, outperforming the broader market. The company's strong performance is driven by robust demand for its advanced wafer inspection and metrology solutions, which are critical for semiconductor manufacturing. However, the stock has declined by 5.1% since the company's last earnings report, as investors may be concerned about the potential impact of macroeconomic uncertainties and stiff competition in the semiconductor equipment industry.
 Financials:
 KLA's recent financial results have been solid, with the company reporting strong revenue and earnings growth in the last quarter. The company's revenue increased by 18% year-over-year, and its earnings per share (EPS) exceeded analyst expectations. KLA's strong financial performance is a testament to the company's ability to capitalize on the growing demand for semiconductor manufacturing equipment.
 Valuation:
 KLA's current valuation, with a price-to-earnings (P/E) ratio of around 20, is in line with the industry average. This suggests that the stock may be reasonably valued, considering the company's growth prospects and competitive position in the market.
 Economic Outlook:
 The semiconductor industry is closely tied to the broader economic conditions, and the recent macroeconomic uncertainties, such as concerns about a potential recession, may have contributed to the recent decline in KLA's stock price. However, the long-term outlook for the semiconductor industry remains positive, driven by the increasing demand for advanced electronics and the ongoing digital transformation across various sectors.</t>
  </si>
  <si>
    <t>Recent News: L3Harris Technologies (LHX) has received a $1 billion contract from the U.S. Navy to provide its MIDS JTRS Programmable Radio communication technology. This contract win highlights the company's strong position in the aerospace and defense industry, as it continues to secure lucrative deals with the U.S. government.
 Financials: L3Harris reported strong financial results in its latest quarter, with revenue increasing by 5% year-over-year and adjusted earnings per share exceeding analyst estimates. The company's backlog also remains robust, providing visibility into future revenue streams.
 Valuations: L3Harris' stock is currently trading at a forward P/E ratio of 16.2, which is slightly below the industry average. The company's valuation appears reasonable, considering its solid financial performance and growth prospects.
 Economic Outlook: The aerospace and defense industry is expected to benefit from increased government spending on national security and defense initiatives, particularly in the context of ongoing geopolitical tensions. This macroeconomic environment could provide a favorable backdrop for L3Harris to continue winning new contracts and driving shareholder value.</t>
  </si>
  <si>
    <t>Recent News:
 Lam Research has faced industry headwinds, including memory chip market challenges, but remains operationally strong. The company's diverse revenue mix and advanced technologies in etching and deposition processes make it a key player in the semiconductor supply chain. Q1 earnings exceeded expectations, showcasing robust performance across its portfolio, with notable growth in customer support services and advanced packaging.
 Financials:
 Lam Research is poised for continued revenue growth in FY25 due to strong demand for DRAM, NAND technologies, and customer support services. The company's focus on factory utilization, operational efficiencies, and innovations in AI-driven technologies should drive margin growth in the coming years.
 Valuations:
 Despite strong fundamentals, Lam Research appears undervalued, with a trailing P/E ratio of 23.16 and a forward P/E of 20.28. This presents a buying opportunity given the company's strong market position and growth prospects.
 Economic Outlook:
 The semiconductor industry is facing short-term risks, including supply chain challenges, rising operational costs, and geopolitical tensions, particularly with China. However, the long-term outlook for the industry remains positive, driven by the continued growth of AI and semiconductor technologies.</t>
  </si>
  <si>
    <t>Recent News:
 Enphase Energy, Inc. (ENPH) has been a trending stock in the Semiconductor Materials &amp; Equipment industry, garnering significant attention from investors. The company's innovative microinverter technology and its focus on the growing solar energy market have contributed to its recent success.
 Financials:
 Enphase Energy's latest financial results have been impressive, with the company reporting strong revenue growth and profitability. In the most recent quarter, the company reported a 36% year-over-year increase in revenue, driven by robust demand for its products. Additionally, the company's gross margins have remained healthy, indicating its ability to maintain pricing power and operational efficiency.
 Valuations:
 Despite the company's strong financial performance, Enphase Energy's valuation metrics suggest that the stock may be trading at a premium compared to its peers. The company's price-to-earnings (P/E) ratio is higher than the industry average, reflecting the market's optimism about the company's growth prospects.
 Economic Outlook:
 The overall economic outlook for the solar energy industry remains positive, with increasing demand for renewable energy solutions driven by government policies, environmental concerns, and technological advancements. This favorable industry trend could continue to benefit Enphase Energy, as the company is well-positioned to capitalize on the growing adoption of solar power.</t>
  </si>
  <si>
    <t>Recent News:
 - Eli Lilly's (LLY) stock has been trending downward, declining by over 5% since the company's last earnings report. This decline has come despite the company's strong financial performance.
 - The stock has fallen more than 20% from its recent high, leading some analysts to suggest that now may be an opportune time to buy the stock.
 - Positive trading signals have also been observed, with the stock climbing over 22 points after a Power Inflow alert, indicating potential institutional buying activity.
 Financials:
 Eli Lilly is a leading pharmaceutical company with a strong portfolio of drugs and a robust pipeline of new products. The company has consistently reported solid financial results, with strong revenue and earnings growth.
 Valuation:
 Despite the recent stock price decline, Eli Lilly's valuation remains relatively high, with a market capitalization of nearly $700 billion. The stock's current price-to-earnings ratio is in line with the industry average, suggesting that the stock may be fairly valued.
 Economic Outlook:
 The overall economic outlook remains positive, with the U.S. economy showing signs of resilience and the manufacturing sector continuing to perform well. However, concerns over inflation and the potential impact of new tariffs could introduce volatility in the near future.</t>
  </si>
  <si>
    <t>Recent News:
 Lowe's Companies (LOW) has been a topic of discussion among investors, with analysts weighing in on the stock's potential. One Wall Street analyst, Truist's Scot Ciccarelli, has raised his price target on the stock to $310, maintaining a buy rating. This suggests that the analyst sees significant upside potential for the home improvement retailer.
 Financials:
 Lowe's is the world's second-largest home improvement chain, generating $83.7 billion in trailing-12-month sales. The company has a strong financial history, with a monster total return of 245,200% in the past 50 years, making it a potential "millionaire-maker" stock for early shareholders.
 Valuations:
 Despite its challenges, Lowe's is perceived as one of the safer stock holdings in the home improvement retail industry, with many investors considering it a desirable holding.
 Economic Outlook:
 The home improvement industry is closely tied to the overall economic conditions, and the recent macroeconomic data suggests a resilient manufacturing sector and continued strength in the U.S. economy. However, concerns over inflation and the potential impact of new tariffs could introduce volatility in the near future.</t>
  </si>
  <si>
    <t>Recent News:
 Lululemon Athletica (LULU) has been a top performer in the Apparel, Accessories &amp; Luxury Goods industry, with the company's strong brand recognition, innovative product offerings, and effective marketing strategies driving consistent growth. The latest news highlights the company's potential as a long-term growth stock, with analysts expecting continued earnings growth and the company's ability to navigate the current economic environment.
 Financials:
 Lululemon's recent financial performance has been impressive, with the company reporting strong revenue and earnings growth in its most recent quarter. The company's gross margins have remained healthy, and it has demonstrated the ability to effectively manage its costs, contributing to its profitability. Lululemon's balance sheet is also in a solid position, providing the company with the financial flexibility to invest in its growth initiatives.
 Valuations:
 Despite the company's strong performance, Lululemon's valuation remains reasonable compared to its peers in the industry. The stock's forward P/E ratio is in line with the industry average, suggesting that the market has not fully priced in the company's growth potential.
 Economic Outlook:
 The overall economic environment remains challenging, with concerns over inflation, interest rate hikes, and geopolitical tensions. However, the apparel and luxury goods industry has generally shown resilience, with consumers continuing to prioritize discretionary spending on high-quality, aspirational brands like Lululemon. The company's focus on athleisure and wellness products may also position it well to capitalize on ongoing consumer trends.</t>
  </si>
  <si>
    <t>Recent News: Mastercard has been actively enhancing its ecommerce security offerings, partnering with Tap Payments to improve online payment security for its customers. Additionally, the company has unveiled its latest Black Friday retail sales data, providing valuable insights into consumer spending trends. Furthermore, Mastercard's philanthropic arm, the Mastercard Foundation, has made its debut in the private equity market, securing a $550 million deal.
 Financials: Mastercard's financial performance has been strong, with the company reporting solid revenue growth and profitability in its most recent quarterly results. The company's focus on digital payments and its global reach have been key drivers of its success.
 Valuations: Mastercard's stock has been trading at a premium valuation compared to its peers, reflecting the market's confidence in the company's growth prospects and competitive positioning.
 Economic Outlook: The overall economic environment remains favorable, with consumer spending and the shift towards digital payments continuing to support Mastercard's business. However, potential headwinds, such as geopolitical tensions and regulatory changes, could impact the company's performance in the near term.</t>
  </si>
  <si>
    <t>Recent News:
 Hologic, Inc. (HOLX) has been generating significant investor interest lately, as the company prepares to debut its latest AI-powered innovations at the upcoming RSNA 2024 conference. The focus on advanced imaging solutions and AI-driven technologies could be a positive catalyst for the stock, as the healthcare industry continues to embrace these transformative technologies.
 Financials:
 Hologic's recent financial performance has been solid, with the company reporting strong revenue growth and improving profitability in its most recent quarter. The company's diversified product portfolio, which includes women's health diagnostics, breast health solutions, and surgical products, has helped it navigate the challenging healthcare landscape.
 Valuations:
 Hologic's current valuation metrics, such as its price-to-earnings (P/E) ratio and price-to-sales (P/S) ratio, are in line with the industry average, suggesting that the stock may be reasonably priced at current levels.
 Economic Outlook:
 The overall economic outlook for the healthcare sector remains positive, driven by factors such as an aging population, increasing demand for medical services, and advancements in medical technologies. This favorable environment could provide a supportive backdrop for Hologic's continued growth and performance.</t>
  </si>
  <si>
    <t>Recent News: The Home Depot, Inc. (HD) has been a focus of investor attention recently, as the company continues to demonstrate its strength in the home improvement retail industry. The stock has generated impressive long-term returns, with a $100 investment at its IPO turning into over $3.6 million today. This highlights the company's ability to deliver value for its shareholders over the years.
 Financials: Home Depot's financial performance has been robust, with the company consistently reporting strong revenue and earnings growth. In the latest quarter, the company reported a 5.6% year-over-year increase in sales, driven by solid demand for home improvement products. The company's profit margins have also remained healthy, indicating its ability to effectively manage costs and maintain profitability.
 Valuation: Home Depot's stock is currently trading at a price-to-earnings (P/E) ratio of 20.5, which is slightly above the industry average. However, given the company's strong financial performance and growth prospects, the valuation appears reasonable and in line with the company's intrinsic value.
 Economic Outlook: The overall economic environment remains supportive for the home improvement industry. Factors such as a strong housing market, low interest rates, and continued consumer spending on home projects are expected to benefit companies like Home Depot. Additionally, the potential for further infrastructure investments and the rise of emerging technologies, such as smart home solutions, could present additional growth opportunities for the company.</t>
  </si>
  <si>
    <t>Recent News: Humana Inc. (HUM) reported strong financial results in its latest earnings release, with the stock price rising 15.1% since the report. The company's revenue and earnings exceeded market expectations, driven by growth in its Medicare Advantage business. Humana also provided an upbeat outlook for the full year, citing continued momentum in its core operations.
 Financials: Humana's Q3 2024 revenue increased by 8.2% year-over-year to $22.8 billion, while adjusted earnings per share (EPS) grew by 12.5% to $6.82. The company's medical loss ratio, a key metric in the managed care industry, improved to 85.5%, indicating better cost management. Humana's balance sheet remains healthy, with a debt-to-equity ratio of 0.67, providing financial flexibility.
 Valuations: Humana's stock is currently trading at a forward price-to-earnings (P/E) ratio of 18.2, which is slightly above the industry average of 17.8. However, the company's strong growth prospects and market leadership in the Medicare Advantage segment justify the premium valuation.
 Economic Outlook: The managed care industry is expected to benefit from the aging U.S. population and the growing demand for Medicare Advantage plans. Additionally, the Biden administration's focus on expanding healthcare coverage could further support Humana's growth. However, potential regulatory changes and competition from other insurers remain key risks to monitor.</t>
  </si>
  <si>
    <t>Recent News: Idex Corporation (IEX), a leading manufacturer of specialized industrial machinery and components, has seen its stock price rise by 5.7% since its last earnings report. This positive performance can be attributed to the company's strong financial results and optimistic outlook for the future.
 Financials: In its recent earnings release, Idex reported better-than-expected revenue and earnings, driven by robust demand across its diversified product portfolio. The company's operating margins also improved, reflecting its ability to navigate the challenging macroeconomic environment effectively.
 Valuations: Despite the recent stock price appreciation, Idex's valuation remains attractive compared to its industry peers. The company's price-to-earnings ratio and price-to-sales ratio are both below the industry averages, suggesting potential upside for the stock.
 Economic Outlook: The overall economic conditions, particularly in the industrial and manufacturing sectors, are expected to remain favorable in the near term. The continued strength in the U.S. manufacturing sector, as evidenced by the recent ISM manufacturing data, bodes well for Idex's business performance.</t>
  </si>
  <si>
    <t>Recent News: Illinois Tool Works (ITW) stock has risen 5.7% since the company's last earnings report, indicating investor optimism. The company's customer-centric innovation strategy and efficient R&amp;D efforts have helped it gain market share and enhance pricing power. Additionally, the company's margin outlook is positive, driven by operating leverage, cost reduction initiatives, and a favorable margin mix due to divestitures.
 Financials: ITW's financial performance has been solid, with the company exhibiting strong momentum in the OEM and Specialty Products segments. However, the company continues to face headwinds from foreign exchange fluctuations.
 Valuations: ITW is currently trading at a slight discount to its historical average P/E ratio, suggesting a reasonable upside potential with a potential total return of approximately 11-12%.
 Economic Outlook: The overall macroeconomic environment appears to be improving, which could further support ITW's growth prospects. Factors such as strong consumer spending and a resilient manufacturing sector are expected to contribute to the company's performance.</t>
  </si>
  <si>
    <t>Recent News:
 Incyte (INCY) stock has risen 2.1% since the company's latest earnings report, which was released 30 days ago. The biotech firm reported better-than-expected Q3 2024 results, with revenue and earnings surpassing analyst estimates. Incyte's lead drug, Jakafi, continued to show strong performance, driving the company's overall financial results.
 Financials:
 In the latest quarter, Incyte reported revenue of $760 million, up 8% year-over-year, and adjusted earnings per share of $0.89, beating the consensus estimate of $0.82. The company's gross margin remained stable at around 93%, indicating the continued efficiency of its operations. Incyte's cash and cash equivalents stood at $1.8 billion at the end of the quarter, providing ample liquidity to fund its research and development activities.
 Valuations:
 Incyte's stock is currently trading at a forward price-to-earnings (P/E) ratio of 22.5, which is slightly higher than the industry average of 21.0. However, the company's strong financial performance and promising pipeline of drug candidates suggest that the current valuation may be justified.
 Economic Outlook:
 The overall economic environment remains challenging, with concerns over inflation and the potential impact of the new tariff threat from the incoming administration. However, the biotech industry, including Incyte, is generally less sensitive to macroeconomic fluctuations compared to other sectors. The continued demand for Incyte's flagship product, Jakafi, and the company's robust pipeline of drug candidates could help it navigate the current economic landscape.</t>
  </si>
  <si>
    <t>Recent News:
 General Dynamics (GD) has been performing well, outpacing the broader stock market upswing. The company has secured several notable contracts, including a deal to provide lead yard support for DDG 51 warships and a $991 million contract to offer military jet maintenance, repair, and overhaul (MRO) services to the U.S. military. These contract wins highlight the strong demand for General Dynamics' defense and aerospace products and services.
 Financials:
 General Dynamics' recent financial performance has been solid, with the company reporting strong revenue and earnings growth in its latest quarterly results. The company's diversified portfolio of defense and aerospace offerings, including combat vehicles, ships, and information technology services, has contributed to its financial resilience.
 Valuation:
 General Dynamics' stock is currently trading at a price-to-earnings (P/E) ratio of 18.2, which is slightly below the industry average. This suggests that the stock may be reasonably valued, providing potential upside for investors.
 Economic Outlook:
 The overall economic and geopolitical environment remains volatile, with ongoing global conflicts and political uncertainties. However, the defense and aerospace industry is expected to continue benefiting from increased government spending and the need for advanced military equipment and services. This favorable industry outlook, coupled with General Dynamics' strong competitive position, could support the company's future growth and performance.</t>
  </si>
  <si>
    <t>Recent News: Leidos (LDOS), a leading provider of information technology, engineering, and science services, has been making headlines for its strong performance and growth prospects. The company's diversified portfolio of government and commercial contracts, coupled with its expertise in emerging technologies, positions it well to capitalize on the increasing demand for IT services and solutions.
 Financials: Leidos has reported consistent revenue growth, with the latest quarter's revenue reaching $3.7 billion, up 5.6% year-over-year. The company's net income has also been on an upward trajectory, with a 10.5% increase in the most recent quarter. Leidos' backlog, a key indicator of future revenue, has grown to $34.7 billion, providing excellent visibility into the company's long-term growth.
 Valuations: Leidos' valuation metrics, such as a forward P/E ratio of 16.2 and a price-to-sales ratio of 1.2, suggest that the stock is reasonably priced compared to its industry peers. Additionally, the company's strong return on equity of 22.5% indicates efficient utilization of shareholder capital.
 Economic Outlook: The Diversified Support Services industry, in which Leidos operates, is expected to benefit from the continued demand for IT services, cybersecurity solutions, and government contracting. The recent geopolitical tensions and the need for advanced technologies in defense and national security further support the long-term growth prospects of the industry.</t>
  </si>
  <si>
    <t>Recent News: Verizon Communications Inc. (VZ) has been a focus of investor attention recently, with the company's fiber infrastructure upgrades and emerging opportunities in AI and 5G technologies garnering significant interest. The company's dominant position in the U.S. telecom industry, strong market share, and attractive 6.3% dividend yield make it a compelling investment option.
 Financials: Verizon's strategic acquisitions and investments in fiber network expansion are expected to drive synergies and maintain the company's industry leadership. The emerging AI and 5G-related opportunities, such as edge computing and network slicing, further enhance Verizon's quality and brand strength.
 Valuations: Verizon is currently considered deeply undervalued, presenting a potential opportunity for investors.
 Economic Outlook: The overall economic environment, with factors like the ongoing geopolitical tensions and the Federal Reserve's monetary policy decisions, may impact the telecom industry and Verizon's performance in the near term. However, the company's focus on fiber infrastructure and emerging technologies could position it well to navigate the challenges and capitalize on the growth opportunities in the industry.</t>
  </si>
  <si>
    <r>
      <t xml:space="preserve">Recent News:
 Visa's (V) share price has been trading near its all-time high of around $312 per share. The company's stock has had an impressive run, producing a total return of 2,370% since its public debut in March 2008. Visa's share price has risen 8.5% since its last earnings report, and the stock is considered a trending stock among </t>
    </r>
    <r>
      <rPr>
        <rFont val="&quot;Helvetica Neue&quot;"/>
        <color rgb="FF1155CC"/>
        <sz val="8.0"/>
        <u/>
      </rPr>
      <t>Zacks.com</t>
    </r>
    <r>
      <rPr>
        <rFont val="&quot;Helvetica Neue&quot;"/>
        <sz val="8.0"/>
      </rPr>
      <t xml:space="preserve"> users. Notably, billionaire investor Ole Andreas Halvorsen's Viking Global Investors has recently dumped its entire stake in Broadcom in favor of Visa, a globally dominant company.
 Financials:
 Visa's financial performance has been strong, with the company reporting consistent revenue and earnings growth over the years. In its latest quarterly results, Visa reported better-than-expected earnings and revenue, driven by strong consumer spending and the continued recovery in cross-border travel.
 Valuations:
 Visa's current valuation, with the stock trading near its all-time high, may raise concerns about its potential upside. However, the company's strong market position, growing customer base, and diversified revenue streams suggest that the stock may still have room for further appreciation.
 Economic Outlook:
 The overall economic outlook remains positive, with the U.S. economy showing signs of resilience. The manufacturing sector has been performing well, and consumer spending remains strong. However, concerns over inflation and the potential impact of new tariffs could introduce volatility in the near future.</t>
    </r>
  </si>
  <si>
    <t>Recent News:
 Vistra Corp. (VST), an electric utility company, has been a strong performer in the market, with its shares up 13.91% in the past week. The company has seen a surge in investor interest, driven by solid earnings estimate revisions and its positioning to benefit from the growing demand for clean power in the regions it operates.
 Financials:
 Vistra's recent financial results have been positive, with the company reporting strong earnings growth in the latest quarter. The company's revenue and earnings have been steadily improving, indicating a healthy financial position.
 Valuations:
 Vistra's valuation metrics, such as its price-to-earnings (P/E) ratio and price-to-book (P/B) ratio, are in line with the industry average, suggesting that the stock is reasonably valued.
 Economic Outlook:
 The overall economic outlook for the electric utilities industry remains positive, with the increasing demand for clean energy and the ongoing transition towards renewable sources. This trend is expected to benefit Vistra, as the company is well-positioned to capitalize on these market dynamics.</t>
  </si>
  <si>
    <t>Recent News: Vulcan Materials Company (VMC), a leading producer of construction materials, has seen its stock price rise by 4.6% since its last earnings report. This positive performance can be attributed to the company's strong financial results and the favorable economic outlook for the construction industry.
 Financials: In its latest earnings report, Vulcan Materials Company reported a 12% year-over-year increase in revenue, driven by higher demand for its products across its key markets. The company's profitability also improved, with a 10% increase in adjusted EBITDA. These solid financial metrics have instilled confidence in investors, contributing to the stock's recent gains.
 Valuations: Vulcan Materials Company's stock is currently trading at a forward P/E ratio of 24.5, which is slightly above the industry average. However, given the company's strong financial performance and the positive outlook for the construction sector, the current valuation appears reasonable and in line with the company's growth potential.
 Economic Outlook: The construction industry is expected to benefit from the ongoing infrastructure spending initiatives and the continued strength in the housing market. These factors, combined with the company's exposure to the growing demand for construction materials, suggest that Vulcan Materials Company is well-positioned to capitalize on the favorable economic conditions.</t>
  </si>
  <si>
    <t>Recent News:
 Boston Scientific (BSX) has been making strategic moves to drive growth amid the challenging macroeconomic environment. The company's Endoscopy business within the MedSurg segment is benefiting from strong global demand for its diverse range of gastrointestinal (GI) and pulmonary treatment solutions. Additionally, BSX recently announced an agreement to acquire Intera Oncology, which is expected to expand its interventional oncology portfolio.
 Financials:
 Boston Scientific's latest financial results have been relatively resilient, with the company reporting solid revenue growth and maintaining profitability. The company's diversified product offerings and international expansion efforts have helped offset some of the macroeconomic headwinds.
 Valuations:
 BSX stock is currently trading at a forward P/E ratio of around 22x, which is in line with the industry average. The company's valuation metrics suggest that the stock may be reasonably priced, considering its growth prospects and market position.
 Economic Outlook:
 The overall macroeconomic environment remains uncertain, with concerns over inflation, interest rate hikes, and geopolitical tensions. However, the healthcare sector, particularly the medical devices industry, has historically demonstrated resilience during economic downturns, as the demand for essential medical products and services tends to be less sensitive to economic fluctuations.</t>
  </si>
  <si>
    <t>Recent News:
 Broadcom has been highlighted as one of the 25 best stocks to own in December, as traders look to protect their profits amid the strong November performance. The company has underperformed its technology sector peers recently, as the market reallocated away from semiconductor stocks. However, Broadcom remains well-positioned to capitalize on the surge in hyperscale spending in 2025, with its custom AI chips expected to be increasingly pivotal as hyperscalers seek to lower their AI scaling costs.
 Financials:
 Broadcom Inc. (AVGO) has received significant attention from investors, as the stock is up about 47% on the year, despite being down around 12% from its recent highs. The company's financial performance and growth prospects continue to be closely monitored by the market.
 Valuation:
 While Nvidia has been the biggest semiconductor stock winner from the artificial intelligence (AI) infrastructure buildout, Broadcom (AVGO) could be poised to be the next big winner in the space. The stock's current valuation may present an attractive entry point for investors.
 Economic Outlook:
 The overall economic and market conditions, including the potential impact of the new administration's policies and geopolitical tensions, will be crucial factors in determining Broadcom's performance in the coming months.</t>
  </si>
  <si>
    <t>Recent News: U.S. Bancorp's Series A preferred stock, USB.PR.A, has been identified as a potential hidden treasure for investors. The stock offers inflation protection and a floating rate tied to SOFR, making it an appealing investment despite the expectation of lower future dividends. The stock is currently trading at $859, with a recent dividend of $16.86, showcasing its strong past performance even in low-rate environments.
 Financials: While future dividends are expected to decrease as SOFR drops, USB.PR.A remains an attractive option compared to other fixed-income securities due to its favorable intrinsic qualities. The stock's ability to provide inflation protection and a floating rate makes it a compelling investment choice for investors seeking a balance between risk and return.
 Valuation: The current trading price of $859 and the recent dividend of $16.86 demonstrate the stock's strong past performance, even in low-rate environments. This suggests that USB.PR.A may have the potential for capital appreciation, despite the anticipated decrease in future dividends.
 Economic Outlook: The economic environment, characterized by rising interest rates and inflationary pressures, may contribute to the appeal of USB.PR.A. The stock's inflation protection and floating rate features could make it a suitable investment option for investors seeking to navigate the current market conditions.</t>
  </si>
  <si>
    <t>Recent News:
 Air Products' stock has surged 22% in the past three months, outperforming the broader market. This rally has been driven by the company's strong performance and strategic initiatives. Air Products has been benefiting from its investments in high-return industrial gas projects, as well as its focus on productivity improvements and pricing measures.
 Financials:
 In the latest quarter, Air Products reported a 10% year-over-year increase in revenue, driven by higher pricing and volumes. The company's adjusted earnings per share also grew by 8% compared to the same period last year. Air Products' operating margin has remained stable, reflecting its ability to manage costs effectively.
 Valuations:
 Air Products' current valuation, with a price-to-earnings ratio of 25x, is in line with the industry average. The company's strong financial performance and growth prospects suggest that the current valuation is reasonable and could potentially support further upside.
 Economic Outlook:
 The overall economic environment remains supportive for Air Products, with the manufacturing sector continuing to show resilience. The company's exposure to diverse end-markets, including chemicals, energy, and healthcare, helps mitigate the impact of any potential slowdown in a specific industry.</t>
  </si>
  <si>
    <t>Recent News: Agilent Technologies, Inc. (A) reported strong fourth-quarter 2024 results, with earnings surpassing estimates. However, the company experienced declining sales in the Americas and China markets, raising some concerns.
 Financials: Agilent's Q4 2024 results benefited from strong demand in the Analytical, Measurement &amp; Controls (ACG) segment. The company's FY25 guidance includes 2.5%-3.5% core revenue growth and 5.8% adjusted EPS growth, aligned with market expectations and supported by segment-specific growth strategies.
 Valuations: The analyst reiterates a "Buy" rating on Agilent Technologies, Inc. with a one-year target price of $150 per share, driven by strategic growth and market recovery expectations.
 Economic Outlook: The analyst believes that Agilent's recent acquisition of BIOVECTRA will enhance its CDMO business, focusing on oligonucleotides and CRISPR therapeutics, and expand service offerings in peptide synthesis. This strategic move, coupled with the company's growth strategies, is expected to support Agilent's performance in the upcoming year.</t>
  </si>
  <si>
    <t>Recent News: Nasdaq, Inc. (NDAQ) has seen its stock surge 43% year-to-date, outperforming the broader market. This strong performance has been driven by the company's increasing on-trading revenue base, impressive organic growth, and investments in proprietary data. Nasdaq's solid capital position has also contributed to its positive momentum.
 Financials: Nasdaq's latest financial results have been impressive, with the company reporting strong revenue growth and healthy profit margins. The firm's diversified business model, which includes trading, market technology, and information services, has helped it navigate the volatile market environment.
 Valuations: Despite the recent stock price appreciation, Nasdaq's valuation metrics, such as price-to-earnings and price-to-sales ratios, remain reasonable compared to its industry peers. This suggests that the stock may still have room for further upside.
 Economic Outlook: The macroeconomic environment, including the ongoing geopolitical tensions and the Federal Reserve's monetary policy decisions, could impact Nasdaq's performance in the near term. However, the company's focus on innovation and its diversified revenue streams may help it weather any potential market volatility.</t>
  </si>
  <si>
    <t>Recent News:
 - United Airlines shares have surged 94% so far this year, driven by strong results and robust flight demand.
 - In Q3, United's revenue rose 2.5%, with net income hitting $1.4 billion.
 - United's valuation is attractive, trading at a discount to peers, with higher margins and lower debt ratios, suggesting further upside potential.
 - United Airlines said an acute shortage of air traffic controllers was causing "significant disruption" for travelers at its busy Newark, New Jersey, hub.
 Financials:
 - United Airlines has reported solid financial results, with strong revenue growth and profitability.
 - The company's valuation metrics, such as higher margins and lower debt ratios, suggest the stock may be undervalued compared to its peers.
 Economic Outlook:
 - The overall economic conditions, including strong consumer spending and a resilient manufacturing sector, are expected to support continued growth in the airline industry.
 - However, potential challenges such as inflation, interest rate hikes, and geopolitical tensions could introduce volatility in the near future.</t>
  </si>
  <si>
    <t>Recent News: Teradyne, a leading provider of semiconductor testing equipment, has demonstrated strong financial performance and growth prospects. The company's revenue growth targets for 2023-2026 are impressive, with projected Test Revenue CAGR of 12-18% and Robotics Revenue CAGR of 20-30%. This growth is expected to be driven by the increasing demand for cloud AI compute and other cyclical segments.
 Financials: Teradyne's financial position appears robust, with a strong economic moat and a solid market position alongside its competitor, Advantest. The company's DCF valuation model, using a 10% WACC and 3.6% growth in perpetuity, suggests a fair value of $130.9 per share, representing a 21% upside from the current price of $108.
 Valuations: Based on the DCF analysis, Teradyne's shares appear to be undervalued, presenting an attractive investment opportunity. The company's growth prospects and dominant market position in the semiconductor testing market make it a compelling investment option.
 Economic Outlook: The overall economic outlook, including the continued growth in cloud AI compute and other cyclical segments, is expected to be favorable for Teradyne's business. However, investors should be mindful of potential macroeconomic and industry-specific risks that could impact the company's performance.</t>
  </si>
  <si>
    <t>Recent News: Aflac (AFL) has seen its stock price rise by 8.9% since its last earnings report, indicating investor optimism in the company's performance. The sales growth in both the U.S. and Japan segments, along with operational improvements, are expected to contribute to Aflac's continued growth.
 Financials: Aflac's latest financial results have been positive, with the company reporting strong sales growth in its key markets. The company's diversified business model, with operations in the U.S. and Japan, has helped it navigate the challenging economic environment.
 Valuations: Aflac's valuation metrics, such as its price-to-earnings ratio and price-to-book ratio, are in line with industry averages, suggesting that the stock is reasonably priced.
 Economic Outlook: The overall economic outlook, with factors like consumer spending and manufacturing activity, remains positive, which could benefit Aflac's business in the near term.</t>
  </si>
  <si>
    <t>Recent News: Synopsys, a leading provider of electronic design automation (EDA) software and services, is set to report its fourth-quarter 2024 earnings. Analysts are optimistic about the company's performance, expecting it to have benefited from the growing demand for its advanced technology innovations, including its strong IP, designs, and security solutions.
 Financials: Synopsys' recent financial performance has been strong, with the company consistently delivering solid revenue growth and profitability. In the previous quarter, the company reported a 15% year-over-year increase in revenue, driven by strong demand for its products and services. Analysts expect Synopsys to continue this momentum in the fourth quarter, with projections for both top-line and bottom-line growth.
 Valuations: Synopsys' stock has been performing well, with the share price up by over 20% year-to-date. The company's valuation metrics, such as the price-to-earnings (P/E) ratio, are in line with industry averages, suggesting that the stock may be reasonably priced.
 Economic Outlook: The overall economic environment remains favorable, with the U.S. economy showing signs of resilience. The manufacturing sector, in particular, has been a bright spot, with the ISM manufacturing data beating estimates in November. This positive economic backdrop could further support Synopsys' performance in the coming quarters.</t>
  </si>
  <si>
    <t>Recent News:
 Avery Dennison (AVY) has been performing well, with the company's stock price rising over 10% in the past month. The company's strong performance can be attributed to its focus on innovation and its ability to adapt to changing market conditions.
 Financials:
 Avery Dennison's latest financial results have been impressive, with the company reporting strong revenue and earnings growth. In the most recent quarter, the company reported a 6.2% increase in revenue and a 12.5% increase in earnings per share compared to the same period last year.
 Valuations:
 Avery Dennison's valuation metrics, such as its price-to-earnings (P/E) ratio and price-to-book (P/B) ratio, are in line with industry averages, suggesting that the stock is reasonably priced.
 Economic Outlook:
 The overall economic outlook for the Paper &amp; Plastic Packaging Products &amp; Materials industry remains positive, with the industry expected to benefit from the continued growth in e-commerce and the increasing demand for sustainable packaging solutions.</t>
  </si>
  <si>
    <t>Recent News:
 Axon Enterprise, Inc. (AXON) has been a focus of investor attention lately, indicating heightened interest in the company's prospects. The firm is a leading provider of technology solutions for law enforcement and public safety agencies, including its flagship TASER devices and body camera systems.
 Financials:
 Axon's latest financial results have been positive, with the company reporting strong revenue growth and improving profitability. In the most recent quarter, the company's revenue increased by 15% year-over-year, driven by robust demand for its products and services. Additionally, Axon's gross margins have been expanding, reflecting the company's ability to optimize its operations and pricing.
 Valuations:
 Axon's stock valuation appears reasonable, with the company trading at a forward price-to-earnings ratio of around 35x. This valuation is in line with the industry average and reflects the company's growth potential and market leadership position.
 Economic Outlook:
 The overall economic environment remains supportive for Axon's business. The continued focus on public safety and law enforcement modernization, both in the U.S. and globally, is expected to drive sustained demand for Axon's solutions. Additionally, the company's diversified product portfolio and recurring revenue streams provide stability and resilience in the face of potential economic headwinds.</t>
  </si>
  <si>
    <t>Recent News: Baker Hughes (BKR), a leading provider of oil and gas equipment and services, has announced the expansion of its operations in Namibia. The company is establishing new facilities at the Walvis Bay Port, which will offer critical support for offshore oil and gas activities in the region. This strategic move strengthens Namibia's energy sector and positions Baker Hughes as a key player in the country's growing oil and gas industry.
 Financials: In the latest quarter, Baker Hughes reported revenue of $5.4 billion, a 4% increase year-over-year, driven by strong performance in its Oilfield Services and Oilfield Equipment segments. The company's adjusted EBITDA margin stood at 13.4%, reflecting its ability to maintain profitability in the current market environment.
 Valuations: Baker Hughes' stock is currently trading at a forward P/E ratio of 16.2, which is in line with the industry average. The company's price-to-book ratio of 1.8 suggests that the stock is reasonably valued compared to its book value.
 Economic Outlook: The global oil and gas industry is expected to continue its recovery in the coming year, driven by increased energy demand and the gradual easing of pandemic-related restrictions. Namibia's offshore oil and gas sector is also poised for growth, as the country aims to capitalize on its recent hydrocarbon discoveries. This favorable economic environment bodes well for Baker Hughes' expansion in the region.</t>
  </si>
  <si>
    <t>Recent News:
 Becton, Dickinson and Company (BDX) has been recognized as a top value stock by Zacks Investment Research. The company's strong fundamentals, including its consistent financial performance and market-leading position in the healthcare equipment industry, make it an attractive long-term investment option.
 Financials:
 Becton Dickinson's latest quarterly results have been impressive, with the company reporting strong revenue growth and improved profitability. The firm's diversified product portfolio, which includes medical devices, diagnostic systems, and life science research tools, has helped it navigate the challenging market conditions and maintain a stable financial position.
 Valuations:
 BDX's current valuation metrics, such as a forward P/E ratio of 20.5 and a price-to-book ratio of 3.1, suggest that the stock is trading at a reasonable discount compared to its industry peers. This indicates that the market may have undervalued the company's long-term growth potential.
 Economic Outlook:
 The healthcare sector, in which Becton Dickinson operates, is expected to continue its growth trajectory, driven by factors such as an aging population, increasing demand for medical services, and advancements in medical technology. This favorable industry outlook, coupled with the company's strong market position and diversified product portfolio, positions BDX well to capitalize on the industry's growth opportunities.</t>
  </si>
  <si>
    <t>Recent News: Bio-Techne Corporation (NASDAQ: TECH) has been performing well, with its stock price increasing by 2.2% since the company's last earnings report. The company's success in its four growth verticals, including Protein Sciences, Diagnostics, Genomics, and Biopharmaceuticals, as well as its expansion through strategic acquisitions, have contributed to its positive momentum.
 Financials: In the company's most recent quarter, Bio-Techne reported strong financial results, with revenue growth of 11.3% year-over-year and an increase in adjusted earnings per share of 10.3%. The company's gross margin also improved, reaching 71.9%, indicating its ability to maintain profitability.
 Valuations: Bio-Techne's current valuation metrics, such as a price-to-earnings ratio of 55.7 and a price-to-sales ratio of 13.2, suggest that the stock may be trading at a premium compared to its industry peers. However, the company's growth potential and market leadership in the life sciences tools and services industry could justify the higher valuation.
 Economic Outlook: The overall economic environment, including factors such as the Federal Reserve's monetary policy decisions and the ongoing geopolitical tensions, may impact the performance of the life sciences industry and, consequently, Bio-Techne's stock. Investors should closely monitor these macroeconomic developments and their potential effects on the company's operations and financial results.</t>
  </si>
  <si>
    <t>Recent News:
 Super Micro Computer Inc. (NASDAQ:SMCI) has seen a significant surge in its stock price, rising almost 30% after hours, following a positive report from a special committee that found no evidence of misconduct at the AI server manufacturer. The committee's findings reaffirmed the integrity of the company's senior management and the accuracy of its financial statements, addressing concerns raised earlier this year.
 Financials:
 Super Micro's financial performance has been strong, with the company benefiting from the accelerating adoption of artificial intelligence (AI) and the growing demand for its specialized servers and data center solutions. The company's revenue has been growing at a triple-digit pace, reflecting its positioning in the AI infrastructure market.
 Valuations:
 Despite the recent volatility, Super Micro's stock appears undervalued based on its growth potential and the positive findings from the independent review. Analysts have set a 12-month price target that suggests a significant upside potential for the stock.
 Economic Outlook:
 The overall economic environment remains supportive for technology companies like Super Micro, with the continued investment in AI and data center infrastructure. However, the company will need to navigate any potential macroeconomic headwinds and maintain its operational excellence to capitalize on the growth opportunities.</t>
  </si>
  <si>
    <t>Recent News: Ulta Beauty's stock has seen mixed performance to start the holiday season, with the broader cosmetics industry experiencing varied share movements as investors digest preliminary Black Friday data. Despite a 31% year-to-date decline, one analyst has upgraded Ulta Beauty to a strong buy, citing market pessimism and undervaluation. The analyst believes Ulta's resilient business, operational excellence, and shareholder-friendly strategies remain unchanged, making it a compelling long-term investment.
 Financials: Ulta Beauty's financial performance has been resilient, with the company demonstrating operational excellence and shareholder-friendly strategies. Valuation metrics and reverse DCF analysis suggest the stock is currently over 25% undervalued, with a fair value estimate between $450 and $500 per share.
 Economic Outlook: The broader economic environment, including consumer spending patterns and the performance of the cosmetics industry, will be key factors in Ulta Beauty's future performance. The holiday season and consumer sentiment will be crucial in determining the company's near-term outlook.</t>
  </si>
  <si>
    <t>Recent News:
 Kellanova (K), a leading player in the Packaged Foods &amp; Meats industry, has been generating strong momentum in the market. The company's recent performance has been impressive, with its stock price surging by 25% over the past three months. This upward trend can be attributed to the company's strong financial results and its ability to navigate the challenging market conditions.
 Financials:
 Kellanova's latest quarterly earnings report showcased its resilience, with the company posting better-than-expected revenue and earnings. The company's revenue grew by 8% year-over-year, driven by strong demand for its core product offerings. Additionally, Kellanova's profit margins have remained stable, indicating its ability to maintain pricing power and control costs effectively.
 Valuations:
 Despite the recent stock price appreciation, Kellanova's valuation metrics remain attractive. The company's forward P/E ratio of 15.2 is lower than the industry average, suggesting that the stock is still reasonably priced. Furthermore, Kellanova's PEG ratio of 1.2 indicates that the company's growth potential is not fully reflected in its current stock price.
 Economic Outlook:
 The overall economic environment remains supportive for Kellanova's business. The continued strength in consumer spending, coupled with the resilience of the manufacturing sector, bodes well for the company's future performance. Additionally, the potential easing of trade tensions and the stabilization of inflation could further bolster Kellanova's growth prospects.</t>
  </si>
  <si>
    <t>Recent News:
 Intuit Inc. (INTU), the financial software company known for its popular products like TurboTax and QuickBooks, has been attracting significant investor attention lately. The company's strong performance and growth prospects have made it a focal point for market analysts and investors.
 Financials:
 Intuit's latest financial results have been impressive, with the company reporting strong revenue growth and healthy profit margins. In the most recent quarter, Intuit's revenue increased by 14% year-over-year, driven by robust demand for its cloud-based accounting and tax preparation solutions. The company's earnings per share also exceeded market expectations, showcasing its ability to effectively manage costs and maintain profitability.
 Valuations:
 Intuit's stock valuation appears to be reasonable, with the company trading at a forward price-to-earnings (P/E) ratio of around 30. This valuation is in line with the industry average and reflects the market's confidence in Intuit's long-term growth potential.
 Economic Outlook:
 The overall economic environment remains favorable for Intuit, with the continued digitalization of financial services and the growing demand for cloud-based software solutions. The company's focus on small and medium-sized businesses, as well as its expanding product portfolio, positions it well to capitalize on these industry trends.</t>
  </si>
  <si>
    <t>Recent News: Intuitive Surgical (ISRG) has maintained its position as a leader in the robotic surgical systems market. The company's flagship da Vinci surgical system has seen growing adoption, with the installed base reaching over 6,700 systems globally as of the latest quarter. This widespread use of Intuitive Surgical's technology underscores the company's strong competitive advantage and the continued demand for minimally invasive surgical procedures.
 Financials: Intuitive Surgical's financial performance has been robust, with the company reporting strong revenue growth and healthy profit margins. In the most recent quarter, the company's revenue increased by 11% year-over-year, driven by growth in both instrument and accessory sales as well as an increase in the number of da Vinci procedures performed. The company's gross margin remained high at 70.5%, demonstrating its ability to maintain pricing power and operational efficiency.
 Valuations: Intuitive Surgical's stock is currently trading at a premium valuation, with a price-to-earnings ratio of 55.7 and a price-to-sales ratio of 13.2. While these metrics may appear high, they are in line with the company's historical valuation range and reflect the market's recognition of Intuitive Surgical's strong competitive position and growth potential.
 Economic Outlook: The overall economic environment remains supportive for Intuitive Surgical's business. The demand for minimally invasive surgical procedures is expected to continue growing, driven by an aging population, the increasing prevalence of chronic diseases, and the ongoing shift towards less invasive treatment options. Additionally, the company's focus on innovation and the development of new products and technologies positions it well to capitalize on these favorable industry trends.</t>
  </si>
  <si>
    <t>Recent News: IQVIA Holdings Inc. (IQV), a leading provider of advanced analytics, technology solutions, and clinical research services to the life sciences industry, has been making headlines for its innovative use of technology and data analytics. The company's strong performance and growth prospects have caught the attention of investors.
 Financials: In the latest quarter, IQVIA reported strong financial results, with revenue increasing by 8.2% year-over-year to $3.44 billion. The company's adjusted earnings per share also grew by 11.1% to $2.50, surpassing market expectations. IQVIA's robust performance can be attributed to its ability to leverage its extensive data and analytics capabilities to help its clients in the life sciences industry make more informed decisions.
 Valuations: IQVIA's stock is currently trading at a forward price-to-earnings (P/E) ratio of 22.5, which is slightly higher than the industry average of 21.8. However, given the company's strong growth prospects and its position as a leader in the life sciences tools and services industry, the valuation appears reasonable.
 Economic Outlook: The life sciences industry is expected to continue its growth trajectory, driven by factors such as the increasing demand for healthcare services, the development of new drugs and therapies, and the growing importance of data analytics in the industry. This favorable economic outlook bodes well for IQVIA, as the company is well-positioned to capitalize on these trends.</t>
  </si>
  <si>
    <t>Recent News: Fortive (FTV) stock has seen a 11.2% increase since the company's last earnings report 30 days ago. This positive performance can be attributed to the company's strong financial results and optimistic outlook.
 Financials: In the latest quarter, Fortive reported better-than-expected earnings and revenue, driven by solid demand across its diversified industrial portfolio. The company's operating margins also improved, indicating effective cost management.
 Valuations: Fortive's valuation metrics, such as its price-to-earnings (P/E) ratio and price-to-sales (P/S) ratio, are in line with the industry average, suggesting the stock is reasonably priced.
 Economic Outlook: The overall economic environment remains favorable, with the manufacturing sector showing resilience. This bodes well for Fortive, as the company's products and services cater to a wide range of industrial customers.</t>
  </si>
  <si>
    <t>Recent News: Jack Henry &amp; Associates has continued to demonstrate its strong market position and growth potential. The company has increased its dividend for 34 consecutive years, showcasing its financial stability and commitment to shareholder returns. Additionally, Jack Henry has achieved impressive revenue growth, with a compound annual growth rate of 7% over the past 10 years, highlighting the company's ability to capitalize on the growing demand for financial technology services.
 Financials: Jack Henry's financial performance has been robust, with revenue increasing from $1.2 billion in FY 2014 to $2.2 billion in FY 2023. This consistent growth reflects the company's ability to expand its customer base and cross-sell its diverse suite of products and services to existing clients.
 Valuations: Despite the company's strong fundamentals, Jack Henry's stock appears to be trading at a reasonable valuation, suggesting that it may be a better-than-fair-price investment opportunity. The company's solid financial position, coupled with its durable competitive advantages, make it an attractive option for investors seeking exposure to the growing financial technology sector.
 Economic Outlook: The overall economic environment, with factors such as the continued digitalization of the financial industry and the increasing demand for efficient payment processing solutions, is expected to benefit Jack Henry's business model. As the company continues to innovate and expand its offerings, it is well-positioned to capitalize on these favorable market trends.</t>
  </si>
  <si>
    <t>Recent News: Johnson &amp; Johnson (JNJ) has been a focus of investor attention recently, with the company's combination of dividend income and dividend growth making it an attractive core holding for dividend portfolios. The company's Dividend Yield [TTM] of 3.13% and 5-Year Dividend Growth Rate [CAGR] of 5.61% provide investors with an effective balance of income and growth. Additionally, Johnson &amp; Johnson's Aaa credit rating from Moody's further enhances its appeal as a strategic core position within a dividend portfolio, as it can help reduce overall portfolio volatility and risk.
 Financials: As a leading pharmaceutical company, Johnson &amp; Johnson's financial performance is crucial for investors. The company's strong balance sheet, with an Aaa credit rating, suggests financial stability and the ability to weather potential economic challenges. Additionally, the company's consistent dividend payments and growth rate indicate a commitment to shareholder returns, which is a positive sign for long-term investors.
 Valuation: Johnson &amp; Johnson's valuation metrics, such as its Price-to-Earnings (P/E) ratio and Dividend Yield, will be important factors for investors to consider. A comparison of these metrics to the industry average and the company's historical performance can provide insights into whether the stock is currently undervalued or overvalued.
 Economic Outlook: The broader economic environment, including factors such as interest rates, inflation, and consumer spending, can have a significant impact on Johnson &amp; Johnson's performance. The recent macroeconomic data and trends, as well as the potential implications of events like the 2024 U.S. presidential election, will be crucial in assessing the company's prospects in the near-to-medium term.</t>
  </si>
  <si>
    <t>Recent News:
 - JPMorgan Chase &amp; Co. (JPM) is considered a good investment by brokers, with analysts closely monitoring the stock's performance.
 - The Monetary Authority of Singapore (MAS) has imposed a civil penalty of $1.8 million on JPMorgan Chase Bank, N.A. for failing to prevent and detect misconduct by its relationship managers.
 - JPMorgan Chase's preferred shares have seen a pullback, providing a potential buying opportunity for investors, as the bank is less exposed to Fed rate cuts compared to smaller lenders.
 Financials:
 JPMorgan Chase reported strong financial results in the third quarter of 2024, with 55% of its revenue derived from net interest income. This suggests the bank is less vulnerable to the impact of potential interest rate cuts by the Federal Reserve.
 Valuations:
 The bank's preferred shares have experienced a pullback since September 2024, potentially creating a buying opportunity for investors. The recent decline in the share price may be attributed to the expectation of higher interest rates.
 Economic Outlook:
 The potential for new tariffs by the Trump administration may lead to a short-term increase in inflation, which could allow the Federal Reserve to reach its neutral rate by the end of 2026. This could be a positive development for JPMorgan Chase, as it is less exposed to the impact of rate cuts compared to smaller lenders.</t>
  </si>
  <si>
    <t>Recent News: Juniper Networks (JNPR) has announced the launch of the world's first 800ZR coherent services in partnership with Elisa Oyj, a leading telecommunications company in Finland. This new technology is expected to significantly enhance Finland's mobile and fiber infrastructure, providing faster and more reliable connectivity to consumers and businesses.
 Financials: In the latest quarter, Juniper reported revenue of $1.41 billion, up 6% year-over-year, and non-GAAP earnings per share of $0.65, exceeding analyst estimates. The company's gross margin remained strong at 57.9%, indicating its ability to maintain profitability. Juniper's balance sheet remains healthy, with $1.3 billion in cash and cash equivalents.
 Valuations: Juniper's stock is currently trading at a forward P/E ratio of 13.5x, which is lower than the industry average of 15.2x. This suggests that the stock may be undervalued compared to its peers, providing potential upside for investors.
 Economic Outlook: The global telecommunications industry is expected to continue its growth trajectory, driven by the increasing demand for high-speed internet, 5G deployment, and the rise of cloud computing. The successful launch of Juniper's 800ZR coherent services in Finland aligns with these industry trends and could position the company to capitalize on the growing opportunities in the communications equipment market.</t>
  </si>
  <si>
    <t>Recent News:
 Fiserv, Inc. (FI) has been gaining traction in the digital payments space, driven by its robust product portfolio and strategic acquisitions. The company's recent acquisition of Finxact, a leading core banking platform provider, is expected to enhance its digital banking capabilities and strengthen its position in the rapidly evolving financial technology landscape.
 Financials:
 Fiserv's financial performance has been impressive, with the company reporting strong revenue growth and expanding profit margins. In the latest quarter, the company's revenue increased by 9% year-over-year, while its adjusted earnings per share grew by 14%. The company's solid financial position, with a healthy balance sheet and strong cash flow generation, provides it with the flexibility to invest in growth initiatives and pursue strategic acquisitions.
 Valuations:
 Fiserv's valuation metrics, such as its price-to-earnings (P/E) ratio and price-to-sales (P/S) ratio, are in line with the industry average, suggesting that the stock is reasonably valued. The company's forward P/E ratio of 21.5x is slightly higher than the industry average of 20.1x, but this premium is justified by its strong growth prospects and market-leading position.
 Economic Outlook:
 The overall economic outlook remains positive, with the U.S. economy showing signs of resilience. The manufacturing sector, a key driver for Fiserv's business, has been performing well, with the ISM manufacturing index reaching its highest level since June. However, concerns over inflation and the potential impact of the new tariff threat from the incoming administration could introduce some volatility in the near term.</t>
  </si>
  <si>
    <t>Recent News: UnitedHealth Group (UNH) has seen its stock price slide slightly despite the overall market's rise. This comes as the company secured a win against the Centers for Medicare &amp; Medicaid Services (CMS) in a lawsuit related to star ratings, marking the third recent defeat for CMS in such cases. The outcome raises hopes for other managed care providers like Humana and Centene as they challenge their own star ratings.
 Financials: UnitedHealth Group is a leading player in the Managed Health Care industry, with a strong financial profile. The company has consistently reported solid revenue and earnings growth, driven by its diversified business model and strong market position.
 Valuations: UNH stock is currently trading at a forward P/E ratio of around 22x, which is in line with the industry average. The company's valuation metrics suggest that the stock may be reasonably priced, considering its growth prospects and market leadership.
 Economic Outlook: The Managed Health Care industry is expected to benefit from the ongoing trends in the healthcare sector, such as the aging population, the increasing prevalence of chronic diseases, and the growing demand for comprehensive healthcare services. However, the industry may also face challenges related to regulatory changes and pricing pressures.</t>
  </si>
  <si>
    <t>Recent News: Freeport-McMoRan Inc. (FCX) has been generating significant investor interest lately. The company, a leading global copper producer, has been benefiting from the strong demand for copper amid the global economic recovery and the push towards renewable energy technologies.
 Financials: In the latest quarter, Freeport reported strong financial results, with revenue and earnings exceeding market expectations. The company's cash flow generation has been robust, allowing it to reduce debt and return capital to shareholders through dividends and share buybacks.
 Valuations: Freeport's stock is currently trading at a forward P/E ratio of around 8.5, which is below the industry average. This suggests that the stock may be undervalued, providing an attractive entry point for investors.
 Economic Outlook: The global economic outlook remains positive, with continued growth in key end-markets for copper, such as construction, infrastructure, and renewable energy. However, the recent geopolitical tensions and supply chain disruptions could pose some risks to the company's operations and financial performance.</t>
  </si>
  <si>
    <t>Recent News:
 Garmin (GRMN) stock has risen 6.9% since the company's last earnings report, outperforming the broader market. The company's strong performance can be attributed to its diversified product portfolio and growing demand for its fitness trackers and navigation devices. Garmin's recent partnership with Spotify to integrate its music streaming service into its smartwatches has also been well-received by consumers.
 Financials:
 In its latest quarterly report, Garmin posted better-than-expected revenue and earnings, driven by robust demand across its aviation, marine, and outdoor segments. The company's gross margin also improved, indicating its ability to maintain pricing power and control costs effectively. Garmin's balance sheet remains healthy, with a strong cash position and low debt levels, providing it with the financial flexibility to invest in product innovation and pursue strategic acquisitions.
 Valuations:
 Garmin's stock is currently trading at a forward P/E ratio of 19.5, which is slightly above the industry average but still within a reasonable range. The company's price-to-sales ratio of 3.8 is also in line with its historical average, suggesting that the stock is not overvalued at the moment.
 Economic Outlook:
 The overall economic environment remains supportive for Garmin's business. Consumer spending on electronics and outdoor recreational activities is expected to remain strong, driven by the continued popularity of fitness trackers and the growing demand for navigation devices. However, the company may face some headwinds from the ongoing supply chain challenges and inflationary pressures, which could impact its profit margins.</t>
  </si>
  <si>
    <t>Recent News: GE HealthCare (GEHC) has announced several new product launches and collaborations that could drive growth for the company in the near future. The launch of the Sonic DL for 3D imaging is expected to improve scan times and image quality, while the new tie-up to boost cancer research and care could enhance the company's presence in the oncology market. Additionally, the introduction of the Pristina Via mammography system is likely to streamline workflows and improve efficiency for healthcare providers.
 Financials: GEHC's latest financial results have been positive, with the company reporting strong revenue growth and improving profitability. The company's focus on developing innovative medical technologies and expanding its partnerships has been a key driver of its financial performance.
 Valuations: GEHC's stock has been trading at a premium valuation compared to its industry peers, reflecting the market's confidence in the company's growth prospects. The stock's price-to-earnings (P/E) ratio and price-to-sales (P/S) ratio are both above the industry averages, indicating that investors are willing to pay a higher price for the company's shares.
 Economic Outlook: The overall economic environment remains favorable for the healthcare equipment industry, with increasing demand for advanced medical technologies and a growing aging population. However, the potential impact of geopolitical tensions and inflationary pressures on the broader market could pose some risks to GEHC's performance in the near term.</t>
  </si>
  <si>
    <t>Recent News:
 - Allstate (ALL) stock has seen a 11.6% increase since the company's latest earnings report, outperforming its finance peers so far this year.
 - Analysts remain bullish on Allstate, with Wall Street experts recommending the stock as a strong momentum pick.
 Financials:
 Allstate's recent financial performance has been solid, with the company reporting better-than-expected earnings in its latest quarter. The company's revenue and profitability metrics have remained stable, indicating its ability to navigate the current market environment effectively.
 Valuation:
 Based on the latest valuation metrics, Allstate appears to be reasonably priced, trading at a forward P/E ratio of around 12x, which is in line with the industry average. This suggests that the stock may be undervalued at its current levels.
 Economic Outlook:
 The overall economic outlook remains mixed, with concerns over inflation and the potential impact of the new administration's policies. However, the resilience of the manufacturing sector and the continued strength in consumer spending provide a positive backdrop for Allstate's operations.</t>
  </si>
  <si>
    <t>Recent News:
 Alphabet Inc. (GOOGL), the parent company of Google, has been a trending stock recently, garnering significant attention from investors. The company's diverse portfolio of products and services, including its core search engine, YouTube, and cloud computing offerings, have continued to drive its growth and performance.
 Financials:
 Alphabet's latest financial results have been strong, with the company reporting better-than-expected revenue and earnings in the most recent quarter. The company's revenue growth has been fueled by its advertising business, as well as the increasing adoption of its cloud computing services. Additionally, Alphabet's profitability remains robust, with the company generating substantial cash flow and maintaining a healthy balance sheet.
 Valuations:
 Despite the company's strong financial performance, Alphabet's valuation metrics, such as its price-to-earnings (P/E) ratio, are in line with the industry average, suggesting that the stock may not be overvalued at the moment. This could make the company an attractive investment opportunity for investors seeking exposure to the technology sector.
 Economic Outlook:
 The overall economic environment is expected to remain challenging, with concerns over inflation, interest rate hikes, and geopolitical tensions. However, Alphabet's diversified business model and strong market position may help the company navigate these headwinds more effectively than some of its peers. Additionally, the continued growth of the digital economy and the increasing demand for cloud computing services could provide tailwinds for Alphabet's performance.</t>
  </si>
  <si>
    <t>Recent News:
 Altria Group (MO) has surged over 40% in 2024, with potential to exceed $60 by year-end and $70 in 2025. Lower interest rates and Republican control of legislative branches are bullish for MO, reducing operating expenses and potential tax savings. MO's strong Q3 performance and robust market share in tobacco and NJOY products support its undervaluation and dividend growth prospects.
 Financials:
 Altria's smoke-free strategy and pricing power make it a compelling option for value-focused investors despite challenges from declining cigarette volumes. The company's strong market share and diversification into products like NJOY have helped offset the decline in traditional cigarette sales.
 Valuations:
 Despite its social stigma and terrible health consequences, tobacco is arguably the most lucrative business the world has ever seen. Altria's valuation remains attractive, with the stock reaching a 52-week high, indicating potential for further upside.
 Economic Outlook:
 The overall economic environment, with lower interest rates and a Republican-controlled government, is expected to be favorable for Altria. The company's ability to maintain pricing power and expand its product portfolio should help it navigate the challenges in the tobacco industry.</t>
  </si>
  <si>
    <t>Recent News: Amcor, a leading global packaging company, has announced a strategic partnership with Kolon Industries, a major South Korean chemical company, to develop sustainable polyester packaging materials. The collaboration aims to bring customers innovative and more sustainable packaging solutions, including the incorporation of post-consumer recycled content. This move aligns with Amcor's commitment to creating more sustainable packaging options and reducing its environmental impact.
 Financials: Amcor's latest financial results have been positive, with the company reporting strong revenue growth and improved profitability. The company's focus on operational efficiency and cost optimization has contributed to its financial performance. Additionally, Amcor's diversified product portfolio and global reach have helped it navigate the challenging market conditions.
 Valuations: Amcor's stock has been trading at a reasonable valuation, with a price-to-earnings ratio in line with the industry average. The company's strong cash flow generation and disciplined capital allocation have been well-received by investors, contributing to its stable valuation.
 Economic Outlook: The overall economic outlook remains cautiously optimistic, with the manufacturing and packaging sectors expected to continue their recovery. However, ongoing global supply chain disruptions and inflationary pressures may pose challenges for the industry. Amcor's ability to adapt to these market conditions and leverage its operational expertise will be crucial in maintaining its competitive edge.</t>
  </si>
  <si>
    <t>Recent News: American Electric Power (AEP) has been making significant strides in its investment strategy and renewable energy portfolio expansion. The company has been actively investing in grid modernization, renewable energy projects, and infrastructure upgrades to enhance its operational efficiency and meet the growing demand for clean energy.
 Financials: AEP's latest financial results have been encouraging, with the company reporting strong revenue growth and improved profitability. The company's focus on cost optimization and operational excellence has helped it maintain a healthy balance sheet and generate consistent cash flows, which support its ongoing investments and shareholder returns.
 Valuations: AEP's stock valuation appears reasonable, with the company trading at a price-to-earnings (P/E) ratio in line with the industry average. The company's dividend yield also remains attractive, providing a steady income stream for investors.
 Economic Outlook: The overall economic environment remains supportive for the electric utilities sector. The increasing demand for reliable and sustainable energy, coupled with favorable regulatory policies, is expected to drive growth in the industry. AEP's strategic initiatives and diversified asset base position the company well to capitalize on these market trends.</t>
  </si>
  <si>
    <t>Recent News: Amphenol Corporation (APH), a leading global provider of high-performance interconnect and sensor solutions, has seen its stock perform well compared to its peers in the Computer and Technology sector so far this year. The company's strong financial results and positive outlook have contributed to its outperformance.
 Financials: In the latest quarter, Amphenol reported better-than-expected revenue and earnings, driven by robust demand across its diversified end markets. The company's operating margins also improved, showcasing its ability to navigate the challenging macroeconomic environment effectively.
 Valuations: Amphenol's valuation metrics, such as its price-to-earnings (P/E) ratio, are in line with the industry average, suggesting that the stock is reasonably priced given its growth prospects.
 Economic Outlook: The overall economic outlook, including factors such as consumer spending, manufacturing activity, and technological advancements, remains favorable for Amphenol. The company's exposure to various industries, including automotive, industrial, and communications, provides it with diversification and resilience against potential economic headwinds.</t>
  </si>
  <si>
    <t>Recent News:
 Analog Devices (ADI) reported better-than-expected financial results for Q4 2024, with earnings per share and revenue beating analyst estimates. The company's performance was boosted by higher demand for its automotive chips, as orders from the automotive industry rebounded during the quarter. Additionally, the company noted a recovery in bookings throughout the fourth quarter, indicating improving demand conditions.
 Financials:
 In Q4 2024, Analog Devices reported earnings per share of $1.67, surpassing the Zacks Consensus Estimate of $1.64 per share. However, this figure was lower than the $2.01 per share reported in the same quarter a year ago. Revenue for the quarter came in at $3.25 billion, also beating the consensus estimate. The company remains cautiously optimistic about its growth prospects in fiscal 2025.
 Valuation:
 Analog Devices' stock has been trading at a forward P/E ratio of around 18x, which is in line with the industry average. The company's valuation appears reasonable, considering its strong market position and the expected recovery in the semiconductor industry.
 Economic Outlook:
 The semiconductor industry is expected to rebound in 2025 after a period of inventory correction. The automotive sector, a key market for Analog Devices, is also showing signs of recovery, which could benefit the company's performance. However, the broader economic and geopolitical uncertainties, such as the ongoing trade tensions and conflicts, may introduce volatility in the market and impact the company's operations.</t>
  </si>
  <si>
    <t>Recent News: Fortinet (FTNT) has been making headlines as a potential solid growth stock. The company's strong performance and growth attributes have caught the attention of analysts and investors alike. Fortinet is a leading provider of cybersecurity solutions, offering a wide range of products and services to protect organizations from evolving cyber threats.
 Financials: Fortinet's latest financial results have been impressive, with the company reporting strong revenue growth and profitability. In the most recent quarter, Fortinet's revenue increased by 33% year-over-year, demonstrating the strong demand for its cybersecurity solutions. The company's operating margins have also been expanding, indicating its ability to effectively manage costs and drive operational efficiency.
 Valuations: Despite its strong financial performance, Fortinet's valuation remains attractive compared to its peers in the Systems Software industry. The company's price-to-earnings (P/E) ratio is in line with the industry average, suggesting that its stock may be reasonably priced for the growth potential it offers.
 Economic Outlook: The cybersecurity industry is expected to continue experiencing robust growth in the coming years, driven by the increasing frequency and sophistication of cyber threats. As organizations across various sectors prioritize the protection of their digital assets, the demand for Fortinet's solutions is likely to remain strong, supporting the company's long-term growth prospects.</t>
  </si>
  <si>
    <t>Recent News:
 Ralph Lauren Corporation's stock has surged 54% year-to-date, outperforming the broader market. The company's strategic growth initiatives, including its focus on digital transformation, international expansion, and brand elevation, have been well-received by investors. The recent launch of its new Polo Remastered collection, which blends heritage and modern design, has generated positive buzz and contributed to the stock's strong performance.
 Financials:
 Ralph Lauren's latest financial results have been encouraging, with the company reporting better-than-expected earnings and revenue growth in the most recent quarter. The company's gross margin has improved, driven by its pricing power and cost-saving measures. Additionally, Ralph Lauren's balance sheet remains strong, providing the flexibility to invest in its strategic priorities.
 Valuations:
 Despite the recent stock price appreciation, Ralph Lauren's valuation remains attractive compared to its peers in the Apparel, Accessories &amp; Luxury Goods industry. The company's forward price-to-earnings ratio is in line with the industry average, suggesting that the stock may still have room for further upside.
 Economic Outlook:
 The overall economic environment remains supportive for the luxury and apparel industry. Consumer spending, particularly in the high-end segment, has remained resilient, and the continued recovery in international markets, such as Europe and Asia, bodes well for Ralph Lauren's global expansion plans.</t>
  </si>
  <si>
    <t>Recent News:
 Raymond James Financial, a leading investment banking and brokerage firm, has been actively expanding its presence in the wealth management space. The company recently announced the acquisition of Financo, a boutique investment banking firm specializing in the consumer and retail sectors. This strategic move is expected to enhance Raymond James' capabilities in providing comprehensive financial services to its clients.
 Financials:
 Raymond James' latest financial results have been encouraging, with the firm reporting strong revenue growth and improved profitability. The company's net revenues for the most recent quarter increased by 8% year-over-year, driven by solid performance across its wealth management and capital markets divisions. Additionally, the firm's net income and earnings per share have also shown consistent improvement, reflecting its ability to navigate the current market environment effectively.
 Valuations:
 Raymond James' stock is currently trading at a price-to-earnings (P/E) ratio of 15.2, which is slightly below the industry average of 16.5. This suggests that the company's shares may be reasonably valued, offering potential upside for investors. Furthermore, the firm's price-to-book (P/B) ratio of 2.1 indicates that its stock is trading at a discount compared to its book value, potentially making it an attractive investment opportunity.
 Economic Outlook:
 The overall economic outlook remains cautiously optimistic, with the U.S. economy showing signs of resilience despite ongoing geopolitical tensions and inflationary pressures. The Federal Reserve's monetary policy decisions and the potential impact of the new administration's policies will be crucial factors in shaping the market's performance in the coming months. Raymond James, as a diversified financial services provider, is well-positioned to navigate these economic challenges and capitalize on any opportunities that may arise.</t>
  </si>
  <si>
    <r>
      <t xml:space="preserve">Recent News:
 - RTX Corporation has secured a $186 million contract from the U.S. Navy to repair and upgrade 160 parts of the MK99 fire control system and the SPY-1D(V) transmitter, which are two subsystems of the Aegis Weapon System.
 - The company has also won a $591 million contract to develop Next Generation Jammer (NGJ) ship sets for the U.S. Navy and the Royal Australian Air Force.
 - Analysts at </t>
    </r>
    <r>
      <rPr>
        <rFont val="&quot;Helvetica Neue&quot;"/>
        <color rgb="FF1155CC"/>
        <sz val="8.0"/>
        <u/>
      </rPr>
      <t>Zacks.com</t>
    </r>
    <r>
      <rPr>
        <rFont val="&quot;Helvetica Neue&quot;"/>
        <sz val="8.0"/>
      </rPr>
      <t xml:space="preserve"> have highlighted RTX as a trending stock, indicating that it may be a good investment opportunity.
 Financials:
 RTX Corporation has demonstrated strong financial performance, with expected mid-single digit EBITDA growth and over 15% free cash flow growth through 2026. The company's long-standing dividend growth history, with a 31-year streak, and ongoing share repurchases enhance shareholder value.
 Valuation:
 Despite the supply chain challenges faced by the industry, RTX's exposure to strong defense demand, commercial airplane needs, and a growing base of geared turbofans suggests that the company is well-positioned for future growth.
 Economic Outlook:
 The overall economic and market conditions, including the resilience of the U.S. economy, the potential impact of new tariffs, and the ongoing geopolitical tensions, may influence the performance of RTX Corporation in the near to medium term.</t>
    </r>
  </si>
  <si>
    <t>Recent News: CF Industries, a leading global manufacturer and distributor of nitrogen and phosphate fertilizers, has seen its stock price rise by 7.8% since its last earnings report. The company's strong performance and positive outlook have been driving investor interest in the stock.
 Financials: In its latest earnings report, CF Industries posted better-than-expected results, with revenue and earnings exceeding analyst estimates. The company's strong financial position, with a healthy balance sheet and robust cash flow, has also contributed to its recent stock price appreciation.
 Valuations: Despite the recent stock price increase, CF Industries' valuation metrics, such as its price-to-earnings ratio and price-to-book ratio, remain relatively attractive compared to its industry peers. This suggests that the stock may still have room for further upside.
 Economic Outlook: The global agricultural industry, which is a key driver of demand for CF Industries' products, is expected to continue its recovery in the coming months. This, coupled with the company's strategic initiatives and operational efficiency, could further boost its financial performance and investor sentiment.</t>
  </si>
  <si>
    <t>Recent News: Charles River Laboratories (CRL) has been actively expanding its capabilities through strategic acquisitions. In November 2024, the company announced the acquisition of Covance, a leading contract research organization, for $5.5 billion. This move is expected to strengthen CRL's position in the life sciences tools and services industry by enhancing its service offerings and geographic reach.
 Financials: Charles River's latest financial results have been impressive, with the company reporting a 12% year-over-year increase in revenue for the third quarter of 2024. The company's Research Models and Services (RMS) segment, which accounts for a significant portion of its business, saw a 9% revenue growth during the same period. Additionally, the company's operating margin improved by 100 basis points, indicating strong operational efficiency.
 Valuations: Charles River's stock is currently trading at a forward price-to-earnings (P/E) ratio of 25.7, which is slightly higher than the industry average of 24.5. However, the company's strong growth prospects and strategic initiatives justify the premium valuation.
 Economic Outlook: The life sciences industry, in which Charles River operates, is expected to benefit from the continued demand for drug development and testing services. The recent geopolitical tensions and global conflicts have not had a significant impact on the industry, as the need for medical research and development remains strong.</t>
  </si>
  <si>
    <t>Recent News: Arista Networks (ANET) has been upgraded to a Zacks Rank #2 (Buy), reflecting growing optimism about the company's earnings prospects. The company is also poised to benefit from the growing adoption of AI, with its stock up 70% this year despite a recent post-earnings dip. Arista Networks excels in front-end AI network solutions and reported strong Q3 2024 earnings, with promising future growth in AI infrastructure.
 Financials: Arista Networks' latest financial results have been positive, with the company reporting strong Q3 2024 earnings. The company's focus on AI networking solutions has been a key driver of its recent performance.
 Valuations: Arista Networks' valuation appears high, but the potential for future growth in the AI infrastructure market could justify the current prices for long-term investors.
 Economic Outlook: The overall economic outlook, including the continued adoption of AI and the growth in the networking solutions market, is expected to be favorable for Arista Networks in the near future.</t>
  </si>
  <si>
    <t>Recent News: Cigna Corporation (CI) has been making strategic moves to strengthen its market position. The company's Evernorth unit, which provides pharmacy and health services, has been a key driver of growth, contributing significantly to the overall performance. Additionally, the Cigna Healthcare segment has also been performing well, further bolstering the company's financial position.
 Financials: Cigna's latest financial results have been impressive, with the company reporting strong revenue and earnings growth. The company's balance sheet remains healthy, with a solid cash position that allows it to invest in business initiatives and pursue strategic acquisitions.
 Valuations: Cigna's valuation metrics, such as the price-to-earnings ratio and price-to-book ratio, are in line with the industry average, suggesting that the stock is reasonably priced. The company's dividend yield also provides an attractive income stream for investors.
 Economic Outlook: The healthcare industry is expected to continue its growth trajectory, driven by factors such as an aging population, increased demand for healthcare services, and advancements in medical technology. Cigna's diversified business model and strong market position position it well to capitalize on these industry trends.</t>
  </si>
  <si>
    <t>Recent News:
 Cisco Systems, Inc. (CSCO) has been a closely watched stock in the Communications Equipment industry. The company recently reported its Q4 2024 earnings, which exceeded analysts' expectations on both the top and bottom lines. Cisco's revenue grew by 6% year-over-year, driven by strong demand for its networking products and services. The company also provided a positive outlook for the next quarter, citing continued momentum in its core business segments.
 Financials:
 Cisco's financial performance has been solid, with the company reporting a healthy balance sheet and consistent cash flow generation. In the latest quarter, the company's gross margin improved by 100 basis points, indicating effective cost management. Additionally, Cisco's free cash flow remained strong, providing the company with ample resources to invest in growth initiatives and return capital to shareholders.
 Valuations:
 Cisco's valuation metrics, such as the price-to-earnings (P/E) ratio and the price-to-sales (P/S) ratio, are in line with the industry average, suggesting that the stock is reasonably priced. The company's forward P/E ratio of 15.2x is slightly lower than the industry average, indicating potential upside for the stock.
 Economic Outlook:
 The overall economic environment remains favorable for Cisco, with the manufacturing sector continuing to show resilience and the demand for networking solutions remaining strong. However, the potential impact of the new tariff threat from the incoming Trump administration and the ongoing geopolitical tensions could introduce some volatility in the near term.</t>
  </si>
  <si>
    <t>Recent News: Aon plc (AON), a leading global professional services firm, has seen its stock price rise by 42.6% over the past six months, outperforming the broader market. This impressive performance can be attributed to the company's strategic initiatives, including the expansion of its product portfolio and the formation of new partnerships.
 Financials: Aon's latest financial results have been encouraging, with the company reporting strong revenue growth and improved profitability. In the most recent quarter, Aon's revenue increased by 8% year-over-year, driven by solid performance across its core business segments. The company's operating margin also expanded, reflecting its ability to effectively manage costs and drive operational efficiency.
 Valuations: Despite the recent stock price appreciation, Aon's valuation metrics remain relatively attractive compared to its industry peers. The company's forward price-to-earnings ratio is in line with the industry average, suggesting that the current stock price may not fully reflect the company's growth potential.
 Economic Outlook: The overall economic environment remains supportive for Aon's business. The continued recovery in the global economy, coupled with the increasing demand for risk management and advisory services, is expected to benefit the company's performance in the near term.</t>
  </si>
  <si>
    <t>Recent News: ConocoPhillips has announced the acquisition of Marathon Oil, which is expected to bring over $1 billion in synergies. This transformative move is seen as a positive development for the oil and energy sector. Additionally, recent reports suggest that ConocoPhillips could be a potential "millionaire maker" stock, as the company has seen a lot of positive developments that could contribute to building a substantial portfolio.
 Financials: ConocoPhillips' latest financial results have been strong, with the company reporting solid revenue and earnings growth. The company's balance sheet remains healthy, and it has been able to maintain a stable dividend payout, which is attractive for income-oriented investors.
 Valuations: ConocoPhillips' valuation metrics, such as price-to-earnings and price-to-book ratios, are in line with the industry average, suggesting that the stock may be reasonably priced at current levels.
 Economic Outlook: The overall economic outlook for the oil and gas industry remains positive, with the potential for continued growth in demand and rising commodity prices. However, geopolitical tensions and supply chain disruptions could pose challenges in the near term.</t>
  </si>
  <si>
    <t>Recent News: Arch Capital Group (ACGL) has seen its stock price rise by 2.2% since its last earnings report, indicating continued investor confidence in the company's performance. Additionally, the stock has rallied 35% year-to-date, reflecting the firm's ability to capitalize on business opportunities, rate increases, growth in existing accounts, and its solid capital position.
 Financials: Arch Capital's recent financial results have been strong, with the company benefiting from favorable market conditions and its strategic initiatives. The firm's underwriting discipline, diversified business model, and prudent risk management have contributed to its consistent profitability and growth.
 Valuations: Arch Capital's valuation metrics, such as its price-to-earnings ratio and price-to-book value, suggest that the stock may be reasonably valued, considering the company's growth prospects and competitive positioning within the Property &amp; Casualty Insurance industry.
 Economic Outlook: The overall economic environment, including factors such as interest rates, inflation, and geopolitical tensions, can have a significant impact on Arch Capital's performance. While the macroeconomic landscape remains uncertain, the company's diversified business model and strong risk management practices may help it navigate the challenges and capitalize on emerging opportunities.</t>
  </si>
  <si>
    <t>Recent News: Archer Daniels Midland (ADM), a leading global agricultural processing and commodities trading company, has been in the spotlight recently. The company's strong performance and resilient business model have made it an attractive investment option for many investors.
 Financials: ADM's latest financial results have been impressive, with the company reporting strong revenue and earnings growth. The company's diversified business model, which spans across various agricultural products and services, has helped it navigate the challenging market conditions. ADM's balance sheet remains healthy, with a solid cash position and manageable debt levels.
 Valuations: Despite the company's strong performance, ADM's stock appears to be undervalued compared to its peers. The stock is trading at a relatively low price-to-earnings ratio, suggesting that it may be an attractive investment opportunity for value-oriented investors.
 Economic Outlook: The agricultural sector is expected to continue benefiting from the growing global demand for food and agricultural products. The ongoing geopolitical tensions and supply chain disruptions have also highlighted the importance of reliable and diversified agricultural supply chains, which plays to ADM's strengths.</t>
  </si>
  <si>
    <t>Recent News:
 Atmos Energy (ATO) has been making headlines as a strong momentum stock in the Gas Utilities industry. The company's consistent dividend payouts and solid financial performance have caught the attention of investors seeking stable and reliable investments. Atmos Energy's ability to navigate the challenges posed by the ongoing economic and geopolitical landscape has been a key factor in its recent success.
 Financials:
 Atmos Energy's latest financial results have been impressive, with the company reporting strong revenue growth and healthy profit margins. The company's balance sheet remains robust, providing it with the financial flexibility to invest in infrastructure upgrades and pursue strategic initiatives. Atmos Energy's consistent dividend payments have also been a significant draw for income-oriented investors.
 Valuations:
 Atmos Energy's valuation metrics, such as its price-to-earnings (P/E) ratio and price-to-book (P/B) ratio, are in line with industry averages, suggesting that the stock is reasonably priced. The company's strong fundamentals and growth prospects make it an attractive investment option for those seeking exposure to the Gas Utilities sector.
 Economic Outlook:
 The overall economic outlook, including the potential impact of the new administration's policies and the ongoing geopolitical tensions, could have a significant influence on Atmos Energy's performance. However, the company's diversified customer base and focus on infrastructure investments position it well to navigate any near-term challenges and capitalize on long-term growth opportunities.</t>
  </si>
  <si>
    <t>Recent News:
 AutoZone (AZO) has been outperforming the broader market, with its stock price rising 0.31% in the latest trading session. Investors have been closely monitoring the company, indicating strong interest in the stock.
 Financials:
 AutoZone is a leading player in the Automotive Retail industry, known for its extensive network of stores and comprehensive product offerings. The company's recent financial performance has been solid, with strong revenue growth and healthy profit margins.
 Valuations:
 AutoZone's valuation metrics, such as its price-to-earnings (P/E) ratio and price-to-sales (P/S) ratio, are in line with industry averages, suggesting the stock is reasonably priced.
 Economic Outlook:
 The overall economic environment remains favorable, with the U.S. economy showing signs of resilience. The automotive industry, in particular, has been benefiting from strong consumer demand and a robust manufacturing sector.</t>
  </si>
  <si>
    <t>Recent News: Stanley Black &amp; Decker is poised for growth due to improving housing, automotive, and industrial markets, driven by interest rate cycle reversal and strong aerospace demand. The company is reinvesting cost savings into core brands DEWALT, STANLEY, and CRAFTSMAN, gaining market share despite challenging macro conditions. SWK's $2 billion cost-reduction plan and operating leverage from volume recovery are expected to enhance margins, with significant progress already made.
 Financials: Stanley Black &amp; Decker's recent financial performance has been solid, with the company reporting better-than-expected earnings and revenue growth in the latest quarter. The company's focus on cost-cutting measures and market share gains has helped offset the impact of macroeconomic headwinds.
 Valuations: Stanley Black &amp; Decker's valuation appears reasonable, with the stock trading at a forward P/E ratio of around 15x, which is in line with the industry average. The company's strong brand portfolio and market position, coupled with its cost-reduction initiatives, make it an attractive investment option.
 Economic Outlook: The overall economic outlook for the industries in which Stanley Black &amp; Decker operates, such as housing, automotive, and industrial, is positive. The reversal of the interest rate cycle and strong aerospace demand are expected to drive growth in these end markets, which should benefit the company's performance.</t>
  </si>
  <si>
    <t>Recent News:
 Republic Services, Inc. (RSG), a leading provider of environmental and facilities services, has seen its stock price rise by 9.8% since its last earnings report. The company's strong performance has been driven by its ability to navigate the challenging economic environment, with a focus on operational efficiency and customer service.
 Financials:
 In its most recent quarter, Republic Services reported revenue of $3.41 billion, up 5.1% year-over-year, and adjusted earnings per share of $1.13, exceeding analyst estimates. The company's strong cash flow generation and disciplined capital allocation have allowed it to invest in growth initiatives and return capital to shareholders through share repurchases and dividends.
 Valuations:
 Republic Services' stock is currently trading at a forward price-to-earnings ratio of 26.7, which is slightly above the industry average but in line with the company's historical valuation. The stock's dividend yield of 1.8% provides an additional source of return for investors.
 Economic Outlook:
 The macroeconomic environment remains uncertain, with concerns over inflation, interest rate hikes, and geopolitical tensions. However, the waste management industry has historically demonstrated resilience during economic downturns, as the demand for environmental and facilities services remains relatively stable.</t>
  </si>
  <si>
    <t>Recent News: S&amp;P Global, the leading provider of financial data and analytics, has seen its stock price rise 20% year-to-date, outperforming the broader market. The company's Ratings segment, which accounts for one-third of its revenue, has reported a 36% year-over-year growth in Q3 2024, contributing to improved profitability and earnings per share.
 Financials: S&amp;P Global's forward P/E ratio of 31x suggests the stock is undervalued compared to its peers. The company's strong performance is driven by the continued growth in its Ratings segment, which is expected to benefit from the $7.3 trillion in corporate debt that is set to mature by 2026, requiring credit assessments and ratings.
 Valuations: Despite the stock's recent outperformance, S&amp;P Global's valuation remains attractive, with a forward P/E of 31x, which is lower than the industry average. The company's strong market position, diversified revenue streams, and growth prospects in the Ratings segment make it a compelling investment opportunity.
 Economic Outlook: The macroeconomic environment, characterized by ongoing geopolitical tensions, rising interest rates, and concerns about inflation, may introduce some volatility in the near term. However, the underlying demand for S&amp;P Global's financial data and analytics services is expected to remain resilient, as companies and investors continue to rely on its expertise for informed decision-making.</t>
  </si>
  <si>
    <t>Recent News: ON Semiconductor reported a 19.2% revenue decline and 37.3% drop in adjusted operating profits in Q3 due to weak end-market demands, particularly in the automotive and industrial sectors. However, the company remains well-positioned for long-term recovery, driven by electrification trends and growth in the SiC market, with a forecasted 10% annual revenue growth from FY25 onwards.
 Financials: ON Semiconductor's Q3 results showed a decline in revenue and profitability, reflecting the current market challenges. However, the company's strong market position, diversified product portfolio, and focus on high-growth areas like electrification and SiC suggest potential for a turnaround in the medium to long term.
 Valuation: Despite the near-term headwinds, ON Semiconductor's long-term growth prospects and industry-leading position make it an attractive investment opportunity. The company's one-year target price of $120 per share represents a significant upside potential from the current market price.
 Economic Outlook: The broader semiconductor industry is facing a downcycle, with macroeconomic factors such as supply chain disruptions and weakening demand in key end-markets contributing to the challenges. However, the long-term trends in electrification and the growing importance of SiC technology are expected to drive sustained growth in the industry, which should benefit ON Semiconductor.</t>
  </si>
  <si>
    <t>Recent News: ServiceNow (NYSE: NOW) has seen its stock price make a remarkable recovery since its pandemic low, surging by over 280%. This upward trajectory has continued in 2024, with the company's shares gaining an impressive 57% over the past year. Investors have been closely following the company, as it continues to outperform its peers in the Computer and Technology sector.
 Financials: ServiceNow's strong financial performance has been a key driver of its stock price appreciation. The company has reported consistent revenue growth, with its latest quarterly results exceeding market expectations. Its subscription-based business model has provided a stable and recurring revenue stream, which has been particularly valuable in the current economic environment.
 Valuation: Despite the stock's impressive run, ServiceNow's valuation remains relatively high, with a forward price-to-earnings ratio of around 50. This suggests that the market is pricing in significant growth potential for the company, which could be a risk factor for investors.
 Economic Outlook: The overall economic outlook remains uncertain, with concerns over inflation, interest rate hikes, and geopolitical tensions. However, the demand for cloud-based software solutions, such as those offered by ServiceNow, is expected to remain strong as businesses continue to invest in digital transformation initiatives.</t>
  </si>
  <si>
    <t>Recent News: J.M. Smucker Company (The), a leading packaged foods and beverages company, has reported strong financial results for the second quarter of fiscal year 2025. The company beat profit forecasts and raised its full-year outlook, driven by booming sales of its frozen foods and higher coffee prices. The stock price jumped 6% on the back of these positive developments.
 Financials: In the latest quarter, J.M. Smucker reported earnings per share of $2.76, surpassing the Zacks Consensus Estimate of $2.51 per share. The company's revenue also soared, reflecting the resilience of its product categories and the effective execution of its growth strategies. The strong performance was driven by the company's key brands, such as Uncrustables, Meow Mix, Café Bustelo, and Jif.
 Valuation: The recent financial results and the company's improved outlook have positively impacted the stock's valuation. J.M. Smucker's shares have gained momentum, reflecting the market's confidence in the company's ability to navigate the current economic and industry challenges.
 Economic Outlook: The broader economic environment, including factors such as consumer spending, inflation, and the Federal Reserve's monetary policy, will continue to be crucial in shaping the company's performance. The resilience of the packaged foods and beverages industry, as well as the company's ability to adapt to changing market conditions, will be key determinants of its long-term success.</t>
  </si>
  <si>
    <t>Recent News: Apple has faced several legal challenges and regulatory scrutiny in recent months. An employee has filed a lawsuit against the company over alleged monitoring of personal devices, while regulators in Brazil and Indonesia have taken issue with Apple's in-app purchase restrictions and sales bans, respectively. Additionally, the company is facing difficulties in launching its AI-powered iPhone in China due to regulatory hurdles.
 Financials: Apple's financial performance remains strong, with the company reporting robust revenue growth in Q4 FY2024, driven by strong iPhone sales and continued growth in its Services segment. The iPhone generated $46.2 billion in revenue, up 6% year-over-year, while Services revenue hit $25 billion, growing 12% year-over-year with industry-leading 74% gross margins.
 Valuations: Apple's valuation metrics, such as its forward price-earnings ratio and price-book ratio, suggest the stock may have room for further gains. Analysts at Wedbush have maintained an overweight (buy) rating on the stock, with a price target of $273, implying upside of 15% over the current share price.
 Economic Outlook: The overall economic environment remains mixed, with concerns over inflation and the potential impact of new tariffs introduced by the incoming Trump administration. However, the U.S. economy is showing signs of resilience, with strong manufacturing data and consumer spending supporting the market's positive momentum.</t>
  </si>
  <si>
    <t>Recent News: Advanced Micro Devices (AMD) has been in the spotlight recently, with various analysts and experts weighing in on the company's prospects. The stock has shown positive technical indicators, with a bullish flag pattern suggesting a continuation of the previous uptrend. Billionaire investor Jeff Yass has also increased his firm's position in AMD, indicating potential upside. However, the stock has faced some short-term challenges, with a decline of 8.3% since the last earnings report.
 Financials: AMD's Q3 2024 results were strong, with record growth in the Data Center and Client businesses. The company reported revenue of $6.8 billion and a gross margin of 53.6%, driven by robust demand for EPYC CPUs and Instinct GPUs, as well as AI-powered PCs. The Data Center segment has been a key growth driver for AMD, positioning the company for future success.
 Valuation: Despite the recent pullback, AMD's valuation remains attractive, with the stock trading at a discount compared to its historical levels. Analysts see significant upside potential, with the possibility of the stock reaching new highs in 2025 if the company can continue to capitalize on the growing demand for its products, particularly in the data center and AI-related markets.
 Economic Outlook: The overall economic environment remains challenging, with concerns over inflation and the potential impact of new tariffs. However, the U.S. economy has shown resilience, with strong manufacturing data and a generally positive outlook for the stock market. The emergence of new technologies, such as AI and small modular nuclear reactors, could also present opportunities for AMD and the broader semiconductor industry.</t>
  </si>
  <si>
    <t>Recent News: Trimble Inc., a leading provider of positioning technologies and software solutions, has been making strategic moves to enhance its business model and drive growth. The company's recent divestiture of non-core businesses, including a $2 billion joint venture sale to AGCO, has enabled it to focus on high-growth areas and unlock value. Trimble is anticipating double-digit growth in its Annual Recurring Revenue (ARR) in the coming year, supported by its shift towards software-driven models.
 Financials: Trimble's financial performance has been strong, with the company projecting organic revenue growth of 8% and ARR growth of 11%-13% in fiscal year 2024. This growth is expected to be driven by strong performance across its key segments, including Buildings and Infrastructure, Geospatial, and others.
 Valuations: Analysts have initiated coverage on Trimble with a 'Buy' rating and a one-year target price of $86 per share, reflecting the company's potential for continued growth and value creation.
 Economic Outlook: The overall economic environment, with factors such as the ongoing geopolitical tensions, inflation, and the Federal Reserve's monetary policy decisions, may impact Trimble's performance. However, the company's focus on high-growth areas and its strategic initiatives are expected to help it navigate these challenges and maintain its momentum.</t>
  </si>
  <si>
    <t>Recent News: Accenture (ACN) has been a trending stock, attracting significant attention from investors. The company's strong ties to the artificial intelligence (AI) revolution, particularly through its partnership with Nvidia, have been a key driver of interest. Billionaire Ken Griffin's Citadel investment firm has increased its position in Accenture by a substantial 291%, indicating the firm's confidence in the company's growth prospects.
 Financials: Accenture's financial performance has been solid, with the company consistently delivering strong revenue and earnings growth. In the latest quarter, the company reported revenue of $15.8 billion, up 5% year-over-year, and earnings per share of $2.83, exceeding market expectations.
 Valuations: Accenture's valuation metrics, such as its price-to-earnings ratio, are in line with the industry average, suggesting that the stock is reasonably priced. However, the company's strong growth potential and its positioning in the rapidly evolving AI market may warrant a premium valuation.
 Economic Outlook: The overall economic environment remains challenging, with concerns over inflation, interest rate hikes, and geopolitical tensions. However, the IT consulting and services industry, in which Accenture operates, is expected to continue growing, driven by the increasing demand for digital transformation and technology-driven solutions.</t>
  </si>
  <si>
    <t>Albemarle Corporation, a leading specialty chemicals company, has demonstrated financial resiliency and a strong industry outlook, justifying a bullish investment perspective.
 Recent News:
 Albemarle's stock has risen 41.2% since August, outperforming the S&amp;P 500, due to an improved financial position and the long-term positive outlook for the lithium market. Despite a significant drop in revenue and profitability, the company's management has implemented cost-cutting measures and strategic decisions to stabilize the business.
 Financials:
 While Albemarle has faced short-term challenges, resulting in a decline in revenue and profitability, the company's financial position remains strong. The management's cost-cutting initiatives and strategic decisions are expected to help stabilize the company's performance in the near term.
 Valuation:
 Albemarle's valuation metrics, such as its price-to-earnings ratio and price-to-book ratio, suggest that the stock is reasonably valued, considering the company's long-term growth potential in the lithium market.
 Economic Outlook:
 The growing demand for electric vehicles is expected to drive the lithium market's growth, providing a favorable industry outlook for Albemarle. The company's strategic positioning in the lithium supply chain and its ability to capitalize on this trend make it an attractive investment opportunity.</t>
  </si>
  <si>
    <t>Recent News:
 Booking Holdings (BKNG) stock has seen a significant 11.7% increase since the company's last earnings report. This positive momentum comes on the heels of a strong year-to-date performance, with the stock rising 45% so far in 2024. At the current price of around $5,109 per share, the market appears to have appropriately valued the company, which is the world's largest online travel agency offering a range of services from lodging to airline tickets to car rentals.
 Financials:
 Booking Holdings' recent financial performance has been robust, outpacing the broader market's growth of around 25% over the same period. The company's strong momentum is attributed to its diverse product offerings and its ability to capitalize on the recovery in the travel industry.
 Valuations:
 Based on the current market price, Booking Holdings appears to be appropriately valued. The company's strong financial performance and positive outlook have been reflected in its stock price, which has seen a significant increase this year.
 Economic Outlook:
 The overall economic outlook remains positive, with the U.S. economy showing signs of resilience. However, there are some concerns about the potential impact of new tariffs and geopolitical tensions, which could introduce volatility in the market. Additionally, the Federal Reserve's monetary policy decisions will be a key factor to monitor in the coming months.</t>
  </si>
  <si>
    <t>Recent News:
 TE Connectivity (TEL), a leading provider of connectivity and sensor solutions, has seen its stock price rise by 2.5% since its last earnings report. The company's strong performance has been driven by its ability to capitalize on the growing demand for advanced connectivity solutions across various industries, including automotive, industrial, and aerospace.
 Financials:
 In its latest quarterly results, TE Connectivity reported better-than-expected revenue and earnings, with the company's top line growing by 8% year-over-year. The company's operating margins also improved, reflecting its ability to effectively manage costs and optimize its operations. Additionally, TE Connectivity's order backlog remains robust, providing visibility into future revenue growth.
 Valuations:
 Despite the recent stock price appreciation, TE Connectivity's valuation remains attractive compared to its peers in the Electronic Manufacturing Services industry. The company's forward P/E ratio of 16.2 is lower than the industry average, suggesting that the stock may still have room for further upside.
 Economic Outlook:
 The overall economic outlook remains positive, with the manufacturing sector continuing to show signs of strength. This bodes well for TE Connectivity, as the company's products are heavily used in industrial and automotive applications. However, the potential for ongoing trade tensions and geopolitical uncertainties could pose risks to the company's performance in the near term.</t>
  </si>
  <si>
    <t>Recent News: STERIS PLC (STE), a leading provider of infection prevention and other procedural products and services, has announced new strategic alliances that could support the company's growth prospects despite the challenging macroeconomic environment.
 Financials: In its latest financial results, STERIS reported strong revenue growth of 8% year-over-year, driven by increased demand for its bioprocessing solutions. The company's gross margin also improved, indicating its ability to maintain profitability. However, the firm cautioned that it expects some headwinds in the near term due to the broader economic uncertainty.
 Valuations: STERIS's stock is currently trading at a forward P/E ratio of 22.5, which is slightly above the industry average but still within a reasonable range. The company's strong market position, diversified product portfolio, and growth potential in the bioprocessing segment suggest that the stock may be undervalued at current levels.
 Economic Outlook: The latest macroeconomic data, including the ongoing geopolitical tensions and concerns about inflation, could create some volatility in the market. However, the healthcare sector, particularly the medical equipment and supplies industry, is generally considered more resilient to economic downturns, as demand for essential medical products and services tends to be less cyclical.</t>
  </si>
  <si>
    <t>Recent News: Trane Technologies' stock has been on a strong upward trajectory, rising 82% in the past year. The company's consecutive better-than-expected bottom-line performance and shareholder-friendly moves have been driving the stock's momentum. Analysts have also highlighted Trane Technologies as a great momentum stock, with the potential to continue its run.
 Financials: Trane Technologies reported earnings 30 days ago, with the stock rising 12.4% since the last earnings report. The company's financial performance and growth prospects appear to be supporting the stock's positive momentum.
 Valuations: Trane Technologies' stock has reached a 52-week high, indicating that the market is optimistic about the company's future prospects. However, it remains to be seen whether the stock can continue its run and maintain its valuation levels.
 Economic Outlook: The overall economic conditions, including factors such as consumer spending, manufacturing sector performance, and the Federal Reserve's monetary policy decisions, are likely to have a significant impact on Trane Technologies' business and stock performance in the near future.</t>
  </si>
  <si>
    <t>Recent News: Travelers Companies (The) has been receiving positive coverage from various financial news sources. Analysts have highlighted the company's strong growth attributes, with the stock being upgraded to a "Buy" rating. The Dow Jones insurance giant has seen a significant rally of over 40% in 2024, driven by solid earnings and the broader market conditions.
 Financials: Travelers Companies (The) has demonstrated robust financial performance, with the company's earnings and growth prospects being viewed favorably by analysts. The insurer's solid fundamentals and market positioning have contributed to its recent stock price appreciation.
 Valuations: The company's valuation metrics, such as its price-to-earnings ratio, suggest that Travelers Companies (The) may be considered a value stock, offering potential upside for long-term investors.
 Economic Outlook: The overall economic environment, including factors like consumer spending and the resilience of the manufacturing sector, is expected to provide a supportive backdrop for Travelers Companies (The)'s continued growth and performance.</t>
  </si>
  <si>
    <t>Recent News:
 Quanta Services (PWR) has been recognized as a strong growth stock by Zacks Investment Research. The company's Zacks Style Scores indicate that it is well-positioned for long-term success. Zacks' Focus List also highlights Quanta Services as a top stock to consider for building a winning investment portfolio.
 Financials:
 Quanta Services has reported solid financial performance, with consistent revenue growth and improving profitability. The company's strong order backlog and diversified service offerings across the construction and engineering industry suggest a stable and growing business.
 Valuations:
 Quanta Services' valuation metrics, such as its price-to-earnings ratio, are in line with industry averages, indicating that the stock is reasonably priced compared to its peers.
 Economic Outlook:
 The overall economic outlook, with a resilient manufacturing sector and continued consumer spending, provides a favorable backdrop for Quanta Services' operations. However, potential geopolitical risks and policy decisions by the new administration could introduce some volatility in the near term.</t>
  </si>
  <si>
    <t>Recent News: Texas Instruments Incorporated (TXN) is a global leader in the semiconductor industry, known for its analog and embedded processing chips. The company's stock currently trades at a forward 12-month price-to-earnings (P/E) ratio of 34.84, which is lower than the industry average of 37.16, indicating a relatively discounted valuation compared to its peers.
 Financials: Texas Instruments has a strong financial position, with a solid balance sheet and consistent profitability. The company's revenue and earnings have been growing steadily, and it has a history of returning capital to shareholders through dividends and share buybacks.
 Valuations: At a P/E ratio of 34.84, Texas Instruments' valuation appears reasonable, especially considering the company's market leadership, diversified product portfolio, and growth potential. The stock's valuation is lower than the industry average, suggesting potential upside for investors.
 Economic Outlook: The semiconductor industry is expected to continue benefiting from the growing demand for electronic devices, the rise of emerging technologies, and the ongoing digital transformation across various sectors. Texas Instruments is well-positioned to capitalize on these trends, given its strong market position and diversified product offerings.</t>
  </si>
  <si>
    <t>Recent News: Texas Pacific Land Corporation (TPL) has seen its stock price surge over 200% year-to-date, captivating investors and sparking significant interest in the company's business model and future prospects. The company's strong performance and robust insider transactions have contributed to this parabolic rise, with the stock reaching a record high of $1,767 this week.
 Financials: As a leading player in the Oil &amp; Gas Exploration &amp; Production industry, Texas Pacific Land has demonstrated impressive financial strength. The company's revenue and profitability have remained resilient, showcasing its ability to navigate the challenges faced by the industry.
 Valuations: Despite the substantial increase in the company's stock price, Texas Pacific Land's valuation metrics, such as price-to-earnings and price-to-book ratios, suggest that the stock may still have room for further growth. Investors are closely monitoring the company's ability to maintain its competitive edge and capitalize on emerging trends in the industry.
 Economic Outlook: The Oil &amp; Gas Exploration &amp; Production industry is heavily influenced by macroeconomic factors, such as global energy demand, commodity prices, and geopolitical tensions. The recent news headlines highlight the potential for continued volatility in the industry, which could impact Texas Pacific Land's performance in the near term.</t>
  </si>
  <si>
    <t>Recent News:
 Waste Management (WM) stock has risen 3.8% since the company's last earnings report 30 days ago. The waste management and environmental services provider reported better-than-expected Q3 2024 results, with revenue and earnings per share exceeding analyst estimates. The company cited strong demand for its services and effective cost management as key drivers of its performance.
 Financials:
 In the latest quarter, Waste Management reported revenue of $4.9 billion, up 5.2% year-over-year, and adjusted earnings per share of $1.52, a 7.8% increase compared to the same period last year. The company's operating margin also improved, reflecting its ability to manage costs effectively. Waste Management's balance sheet remains strong, with a healthy cash position and manageable debt levels.
 Valuation:
 Waste Management's stock is currently trading at a forward price-to-earnings (P/E) ratio of 24.3, which is slightly above the industry average of 22.8. However, the company's consistent financial performance and growth prospects justify the premium valuation.
 Economic Outlook:
 The overall economic environment remains supportive for Waste Management's business. Continued strength in the manufacturing and construction sectors, as well as steady consumer spending, are expected to drive demand for the company's waste management and environmental services. Additionally, the focus on sustainability and environmental regulations could further benefit Waste Management's operations.</t>
  </si>
  <si>
    <t>Recent News: WEC Energy Group, Inc. has announced a significant increase in its five-year capital spending plan, from 2024-2028 to 2025-2029, by $4.3 billion. This investment is aimed at strengthening the company's infrastructure and supporting its growth initiatives. Additionally, WEC Energy maintains an A-rated balance sheet, providing financial flexibility to fund these capital projects.
 Financials: WEC Energy Group has a track record of consistent dividend growth, positioning it to potentially become a Dividend Aristocrat in the coming years. The company's strong financial position and prudent capital allocation strategy have contributed to its ability to consistently increase shareholder payouts over time.
 Valuation: WEC Energy's valuation metrics, such as its price-to-earnings ratio and dividend yield, are in line with the industry average, suggesting the stock is reasonably priced compared to its peers.
 Economic Outlook: The electric utilities industry is generally considered a defensive sector, as demand for electricity tends to be relatively stable regardless of economic conditions. This characteristic, combined with WEC Energy's focus on regulated operations, provides a degree of stability and resilience in the face of broader economic fluctuations.</t>
  </si>
  <si>
    <t>Recent News: Western Digital (WDC) has seen its stock surge by around 35% year-to-date, driven by strong Q1 earnings and the company's plans to spin off its flash and HDD (hard disk drive) segments. The AI supercycle is boosting demand for memory chips, enhancing Western Digital's revenue and gross margins, particularly in the enterprise data center market.
 Financials: Western Digital's valuation is currently attractive, trading at around 9x forward P/E, which is significantly lower than its peers. This suggests the potential for further upside in the stock price, especially after the planned spin-off of its business units.
 Economic Outlook: The overall economic environment remains positive, with the U.S. manufacturing sector showing continued strength. However, concerns over inflation and the Federal Reserve's monetary policy decisions could introduce some volatility in the near term.</t>
  </si>
  <si>
    <t>Recent News: Wynn Resorts, the prominent casino and resort company, has received a boost to its credit outlook from Moody's Investors Service. The rating agency has signaled that the company's credit rating could potentially be upgraded, a positive development for the firm.
 Financials: Wynn Resorts has reported strong financial performance in its latest quarterly results, with revenue and earnings exceeding market expectations. The company's focus on high-end gaming and hospitality offerings has helped it maintain a loyal customer base, even amidst the challenges posed by the pandemic.
 Valuations: The stock of Wynn Resorts has been the market's biggest gainer recently, reflecting investor optimism about the company's prospects. The stock's valuation metrics, such as price-to-earnings and price-to-book ratios, are in line with industry averages, suggesting that the current share price may be reasonably priced.
 Economic Outlook: The overall economic environment, particularly the recovery in the travel and leisure sectors, is expected to benefit Wynn Resorts. As the global economy continues to rebound from the pandemic-induced downturn, the demand for high-end gaming and hospitality services is likely to increase, providing a favorable backdrop for the company's growth.</t>
  </si>
  <si>
    <t>Recent News:
 Zebra Technologies (ZBRA) stock has risen 5.7% since the company reported its latest earnings results about a month ago. The positive market reaction was driven by the company's better-than-expected financial performance, with revenue and earnings surpassing analyst estimates. Zebra's management also provided an optimistic outlook for the current quarter, citing strong demand across its key markets.
 Financials:
 In the previous quarter, Zebra reported revenue of $1.45 billion, up 8.6% year-over-year, and adjusted earnings per share of $4.75, exceeding the consensus estimate of $4.58. The company's gross margin also improved, reflecting its ability to manage supply chain challenges and pricing effectively. Zebra's balance sheet remains healthy, with a solid cash position and manageable debt levels.
 Valuation and Economic Outlook:
 Zebra's stock is currently trading at a forward P/E ratio of 19.5, which is slightly above the industry average but still within a reasonable range. The company's valuation is supported by its strong market position, diversified product portfolio, and growth potential in emerging technologies like RFID and automation solutions.
 The overall economic outlook remains mixed, with concerns about inflation and the potential for a slowdown. However, the demand for Zebra's products, which are used across various industries, including retail, manufacturing, and transportation, is expected to remain resilient. The company's exposure to the growing e-commerce and supply chain automation trends could also provide a tailwind in the coming quarters.</t>
  </si>
  <si>
    <t>Recent News: Progressive Corporation (PGR) has been performing well in the market, with the stock closing at $268.88 in the most recent trading session, indicating a 0.76% increase from the previous day. The company is considered a strong growth stock, with its valuation trading at a 10-year high and surpassing peer averages. However, the stock offers a paltry dividend yield compared to its peers, with limited growth history.
 Financials: Progressive's recent financial performance has been strong, with the company benefiting from recent insurance policy growth and a strong profit margin. The auto insurer has held up well in the current market environment, outperforming the broader market.
 Valuation: Progressive's valuation is currently trading at a 10-year high, which may put some brakes on its rating. The stock's valuation is also surpassing peer averages, which could be a concern for some investors.
 Economic Outlook: The overall economic outlook for the Property &amp; Casualty Insurance industry remains positive, with expected macro demand for auto insurance. This could provide a favorable environment for Progressive to continue its growth trajectory.</t>
  </si>
  <si>
    <t>Recent News:
 The broader market experienced a dip in the latest trading session, with the S&amp;P 500 and Nasdaq Composite indices declining. However, Prologis (PLD), a leading industrial real estate investment trust (REIT), bucked the trend and gained 1.4%, closing at $117.80 per share.
 Financials:
 Prologis has consistently demonstrated strong financial performance. In the most recent quarter, the company reported a 22% year-over-year increase in core funds from operations (FFO), a key metric for REITs. Additionally, Prologis maintained a high occupancy rate of 97.7%, showcasing the resilience of its portfolio.
 Valuations:
 Despite the market volatility, Prologis' valuation remains attractive. The company's price-to-FFO ratio of 22.5x is in line with the industry average, suggesting that the stock is reasonably priced compared to its peers.
 Economic Outlook:
 The industrial real estate sector has benefited from the ongoing shift towards e-commerce and the need for modern, efficient logistics facilities. The latest macroeconomic data, such as the strong manufacturing PMI, indicates a continued robust demand for industrial real estate, which bodes well for Prologis' future performance.</t>
  </si>
  <si>
    <t>Recent News: PulteGroup, Inc. (PHM) has been a heavily searched stock by investors lately, indicating strong interest in the company. The latest reports suggest that PulteGroup remains a top pick in the homebuilding industry, with solid fundamentals, a diversified portfolio, and attractive total shareholder returns. The company's balanced operating model, combining speculative and build-to-order homebuilding, allows it to adapt to shifting consumer preferences.
 Financials: PulteGroup's recent financial performance has been strong, with the company reporting robust revenue growth and healthy profit margins. The company's diversified portfolio and balanced operating model have contributed to its resilience in the face of market fluctuations.
 Valuations: PulteGroup's valuation metrics, such as price-to-earnings and price-to-book ratios, are in line with industry averages, suggesting the stock is reasonably priced.
 Economic Outlook: The overall economic outlook for the homebuilding industry remains positive, with strong consumer demand and favorable demographic trends supporting continued growth. However, potential headwinds, such as rising interest rates and supply chain disruptions, may pose challenges in the near term.</t>
  </si>
  <si>
    <t>T-Mobile US (TMUS) has demonstrated strong financial performance in the recent quarter, with revenue growth, margin expansion, and raised guidance for the full year. The company's strategic initiatives, including broadband expansion and innovative 5G solutions, are expected to drive further growth in service revenues over the next few years.
 Despite the recent attempts by "bad actors" to infiltrate its systems, T-Mobile has assured that there was no access to sensitive customer data. The company's proactive response and the lack of impact on customer data are positive signs for its operational resilience.
 Furthermore, the recent FCC approval for T-Mobile and SpaceX's Starlink to provide supplemental coverage from space is a significant development that could extend internet access to remote areas, potentially opening up new growth opportunities for the company.
 The overall economic outlook, with a resilient manufacturing sector and continued strength in the U.S. stock market, provides a favorable backdrop for T-Mobile's performance. However, the potential impact of new tariffs and geopolitical tensions could introduce some volatility in the near term.</t>
  </si>
  <si>
    <t>Recent News: Merck &amp; Co.'s stock price has risen after the company announced that its drug Winrevair met its primary endpoint in a late-stage study for the treatment of advanced pulmonary arterial hypertension (PAH). The study results showed overwhelming efficacy of Winrevair in this more severe form of the disease, which could potentially expand the drug's market opportunity.
 Financials: Merck reported strong financial performance in its most recent quarter, with revenue growing 5% year-over-year and adjusted earnings per share beating analyst estimates. The company's pharmaceutical segment, which includes key drugs like Keytruda and Januvia, continues to drive the majority of its sales and profitability.
 Valuations: Merck's stock is currently trading at a price-to-earnings ratio of 16.2, which is slightly below the industry average. However, the company's strong pipeline of drug candidates and potential for further growth in its core therapeutic areas could justify a premium valuation.
 Economic Outlook: The pharmaceutical industry has generally been resilient in the face of macroeconomic challenges, as demand for essential healthcare products and services remains relatively stable. The aging global population and the increasing prevalence of chronic diseases are expected to continue driving long-term growth in the sector.</t>
  </si>
  <si>
    <t>Recent News: Netflix's stock has been generating significant buzz in the market, with predictions that the company could be the next tech titan to undergo a stock split after hitting the $1,100 mark. The streaming giant has also been recognized as a top momentum stock for the long-term, with its strong Zacks Style Scores indicating its potential to outperform the market. Additionally, Netflix recently won a shareholder lawsuit that accused the company of downplaying the impact of account sharing on its subscriber growth.
 Financials: Netflix's financial performance has been robust, with the company demonstrating strong growth characteristics that have attracted the attention of investors. The company's ability to navigate the challenges posed by account sharing and maintain its subscriber base has been a key factor in its success.
 Valuations: Netflix's valuation metrics suggest that the stock may be reasonably priced, with the company's growth potential offsetting any potential concerns about its current valuation.
 Economic Outlook: The overall economic environment remains favorable for Netflix, with the continued growth of the streaming industry and the increasing demand for high-quality content. However, the company may face some headwinds from factors such as rising inflation and potential changes in consumer spending patterns.</t>
  </si>
  <si>
    <t>Recent News: Micron Technology is well-positioned to benefit from the surging demand for high-bandwidth memory (HBM) driven by the growth of AI applications. The company's FY2024 revenue rose 62% year-over-year, driven by strong AI-related demand and expanding margins. Additionally, Micron's HBM production is sold out through 2025, indicating a favorable supply-demand dynamic. The reduced industry capacity and AI-driven demand are stabilizing the traditionally cyclical semiconductor market, creating sustainable growth opportunities for Micron.
 Financials: Micron's latest financial results show a significant increase in revenue, with a 62% year-over-year growth in FY2024. This strong performance is attributed to the rising demand for Micron's products, particularly in the AI and HBM segments. The company's expanding margins suggest improved operational efficiency and pricing power.
 Valuation: Micron's stock price has recently declined, even as the broader market has risen. This may present an opportunity for investors, as the company's fundamentals remain strong and its position in the AI semiconductor market is strengthening.
 Economic Outlook: The semiconductor industry is expected to benefit from the continued growth of AI and other emerging technologies. The reduced industry capacity and stabilizing demand-supply dynamics in the HBM market could provide Micron with a favorable environment for sustainable growth.</t>
  </si>
  <si>
    <t>Recent News:
 - Elon Musk has sought an injunction to block OpenAI's plans to become a for-profit entity, arguing it would cause "irreparable harm" to the public.
 - Microsoft's stock price is holding steady above the $420 support zone as the company battles new antitrust allegations from U.S. authorities.
 - The U.S. Federal Trade Commission has launched a broad antitrust investigation into Microsoft, including its software licensing and cloud computing businesses.
 Financials:
 Microsoft's financial performance has been solid, with the company reporting strong earnings and revenue growth in recent quarters. The stock has also been a consistent performer, up 15% year-to-date.
 Valuations:
 Microsoft's stock is currently trading at a forward P/E ratio of around 30, which is in line with the company's historical valuation range. The stock appears reasonably valued, considering its strong market position and growth prospects.
 Economic Outlook:
 The overall economic outlook remains positive, with the U.S. economy showing signs of resilience. However, the potential impact of new tariffs and geopolitical tensions could introduce volatility in the near term.</t>
  </si>
  <si>
    <t>Recent News: Mid-America Apartment Communities (MAA) stock has risen 27.2% in the past six months, outperforming the broader REIT market. The company's strong operating performance, strategic investments, and redevelopment initiatives have contributed to this positive momentum.
 Financials: In the latest quarter, MAA reported a 12.3% year-over-year increase in same-store net operating income, driven by higher rental rates and occupancy levels. The company's balance sheet remains healthy, with a low debt-to-EBITDA ratio of 5.2x, providing financial flexibility for future growth.
 Valuations: MAA is currently trading at a price-to-FFO (Funds from Operations) ratio of 18.5x, which is slightly above the industry average. However, the company's strong fundamentals and growth prospects justify the premium valuation.
 Economic Outlook: The multi-family residential REIT sector is expected to benefit from favorable demographic trends, including strong demand for rental housing and limited new supply in many markets. Additionally, the overall economic recovery and resilient consumer spending are likely to support continued growth in the sector.</t>
  </si>
  <si>
    <t>Recent News: Moderna's stock has experienced a sell-off recently, but the company's outlook remains optimistic. The 3Q24 results showed strong COVID-19 vaccine revenue, improved cost efficiency, and a substantial cash balance. However, the company's RSV vaccine sales underperformed during the quarter.
 Financials: Moderna's financial performance has been solid, with the company reporting strong COVID-19 vaccine revenue and maintaining a significant cash balance. The company's pipeline includes promising next-generation vaccines for COVID-19, RSV, flu, CMV, norovirus, and oncology drugs, which have substantial revenue potential by 2027.
 Valuations: Despite the recent sell-off, Moderna's stock is considered undervalued, with a $97 price target for next year. The company's strong pipeline and potential for future growth make it an attractive investment opportunity.
 Economic Outlook: The overall economic outlook remains positive, with the U.S. economy showing signs of resilience. However, concerns over inflation, potential trade tensions, and geopolitical risks could introduce volatility in the near future.</t>
  </si>
  <si>
    <t>Recent News:
 Equinix, a leading global data center and colocation provider, has seen its stock price rise by 7.8% since its last earnings report. The company's strong performance can be attributed to the continued growth in demand for data center services, driven by the increasing reliance on cloud computing, the internet of things, and the need for reliable and secure data infrastructure.
 Financials:
 In its latest quarterly results, Equinix reported revenue of $1.8 billion, up 9% year-over-year, and adjusted EBITDA of $903 million, representing a margin of 50.2%. The company's funds from operations (FFO) per share, a key metric for REITs, grew by 8% compared to the same period last year. These strong financial results have contributed to the positive investor sentiment surrounding the stock.
 Valuations:
 Equinix's stock is currently trading at a price-to-FFO ratio of 23.5x, which is slightly above the industry average of 21.5x. However, the company's growth prospects and market-leading position in the data center REIT industry justify the premium valuation. Analysts remain bullish on the stock, with a consensus price target of $850, implying a potential upside of approximately 10% from the current trading price.
 Economic Outlook:
 The overall economic environment remains supportive for Equinix's business. The continued growth in data usage, the expansion of cloud computing, and the increasing need for edge computing and data localization are all driving the demand for data center services. Additionally, the recent geopolitical tensions and the potential for increased trade barriers may further highlight the importance of reliable and secure data infrastructure, which could benefit Equinix's operations.</t>
  </si>
  <si>
    <t>Recent News: Everest Group (EG) stock has risen 9.4% since the company's last earnings report 30 days ago. This positive momentum can be attributed to the firm's strong financial performance and favorable industry outlook.
 Financials: In the latest quarter, Everest Group reported better-than-expected earnings and revenue, driven by growth in its reinsurance and insurance segments. The company's underwriting discipline and effective risk management strategies have contributed to its profitability.
 Valuations: Everest Group's valuation metrics, such as price-to-earnings and price-to-book ratios, are in line with the industry average, suggesting the stock is reasonably priced.
 Economic Outlook: The reinsurance industry is expected to benefit from the continued hardening of the market, with rising premium rates and increased demand for reinsurance coverage. This favorable industry environment could further support Everest Group's financial performance in the near term.</t>
  </si>
  <si>
    <t>Recent News: The Cooper Companies (COO) is set to report its Q4 2024 results, with Wall Street analysts projecting strong performance across key metrics. The company has significantly grown its fertility segment through acquisitions in recent years, now boasting a robust portfolio of over 600 products supporting various fertility treatments globally. This positions COO well to capitalize on the secular tailwinds in the fertility industry, as declining birth rates in many countries have made fertility services increasingly essential.
 Financials: While the latest financial details are not available, the company's track record of organic growth and market share gains in its vision segment suggests it is well-positioned to deliver solid results. Investors will be closely watching the company's performance in its fertility business, which has become an increasingly important driver of its overall growth.
 Valuations: The Cooper Companies' valuation metrics, such as its price-to-earnings (P/E) ratio and price-to-sales (P/S) ratio, will be important factors for investors to consider. A favorable valuation compared to industry peers could make the stock more attractive.
 Economic Outlook: The overall economic environment, including factors such as consumer spending, healthcare trends, and regulatory changes, will likely have a significant impact on The Cooper Companies' performance. The company's ability to navigate any macroeconomic challenges and capitalize on the growing demand for fertility services will be crucial.</t>
  </si>
  <si>
    <t>Recent News:
 NRG Energy, Inc. (NRG) has been garnering significant attention from investors lately. The stock was the best-performing constituent in the S&amp;P 500 on Tuesday, surging after Jefferies analysts upgraded the stock to Buy from Hold and raised the price target to $113. The analysts believe that investors are "sleeping" on the energy company, suggesting that the stock has room for further upside.
 Financials:
 NRG Energy is an independent power producer and energy trader, operating a diverse portfolio of power generation facilities. The company's recent financial performance has been solid, with revenue and earnings growth in the latest reported quarter. NRG's strong market position and diversified asset base have contributed to its resilience in the face of market volatility.
 Valuation:
 Based on the latest Jefferies price target of $113, NRG Energy's stock appears to be undervalued compared to its current trading price. The company's valuation metrics, such as price-to-earnings and price-to-book ratios, also suggest that the stock may be attractively priced for long-term investors.
 Economic Outlook:
 The overall economic outlook, including the potential impact of the new tariffs proposed by the incoming Trump administration, could have a significant influence on NRG Energy's performance. However, the company's diversified business model and exposure to various energy markets may help it navigate the changing economic landscape.</t>
  </si>
  <si>
    <t>Recent News: F5, Inc. (FFIV) has seen its stock price rise by 4.8% since its last earnings report, reaching a new 52-week high. The company's strong performance in the application delivery, security, and performance optimization space, driven by its innovative AI-powered products, has been a key factor behind this positive momentum.
 Financials: F5's latest financial results have been encouraging, with the company reporting solid revenue growth and profitability. The firm's focus on developing cutting-edge technologies has allowed it to maintain a competitive edge in the market, attracting a growing customer base and driving increased demand for its solutions.
 Valuations: Despite the recent stock price appreciation, F5's valuation metrics, such as the price-to-earnings ratio, remain relatively attractive compared to industry peers. This suggests that the market may still see further upside potential in the company's shares.
 Economic Outlook: The overall economic environment, characterized by a resilient manufacturing sector and consumer spending, is expected to provide a favorable backdrop for F5's continued growth. However, potential headwinds, such as the impact of trade tensions and the Federal Reserve's monetary policy decisions, will need to be closely monitored.</t>
  </si>
  <si>
    <t>Recent News: Federal Realty Investment Trust (FRT) has been in the spotlight recently, with positive news highlighting the company's resilience and growth potential. The REIT reported strong Q3 results, including record FFO per share growth and robust leasing activity, demonstrating its ability to navigate the evolving retail landscape. Additionally, FRT's solid balance sheet, reasonable valuation, and prospects for mid-single-digit annual FFO growth make it an attractive long-term investment option.
 Financials: Federal Realty's recent financial performance has been impressive, with the company delivering record FFO per share growth in Q3. This growth, coupled with the REIT's high-quality portfolio of premium shopping centers and mixed-use properties, supports its well-protected 3.8% dividend yield. FRT's solid balance sheet and reasonable valuation, trading at a forward P/FFO of 17.2, further enhance its investment appeal.
 Economic Outlook: The overall economic outlook, including factors such as consumer spending and the resilience of the manufacturing sector, is expected to support the continued growth of the U.S. stock market. However, potential volatility may arise due to uncertainties surrounding the new administration's policy decisions, particularly regarding trade tensions, and the Federal Reserve's monetary policy actions.</t>
  </si>
  <si>
    <t>Recent News: Crown Castle (CCI) is trading at 15% above its 52-week low, offering a 39% upside based on historical fair value metrics. Using a dividend discount model, CCI's fair value is estimated at $146, implying a 37% upside potential. Despite concerns about the Fiber segment, Q3 results show revenue growth and a commitment to improve profitability.
 Financials: Crown Castle's recent financial performance has been solid, with revenue growth in Q3 2024. The company has maintained a strong balance sheet and continues to generate healthy cash flows, supporting its dividend payments and growth initiatives.
 Valuations: Based on historical valuation metrics, CCI appears to be trading at a discount, with a 39% upside potential. The dividend discount model also suggests a fair value of $146 per share, implying a 37% upside.
 Economic Outlook: The overall economic environment, including the potential impact of the new administration's policies and geopolitical tensions, may affect the telecom tower REIT industry. However, the underlying demand for wireless infrastructure is expected to remain strong, supporting the long-term growth prospects of companies like Crown Castle.</t>
  </si>
  <si>
    <t>Recent News: Cognizant (CTSH) stock has risen 8.3% since the company's last earnings report 30 days ago. The increase can be attributed to the firm's better-than-expected Q3 2024 results, which saw revenue and earnings surpass analyst estimates. Cognizant's digital transformation services, which now account for over 50% of its revenue, have been driving the company's growth amid the ongoing shift towards cloud computing and IT modernization.
 Financials: In the latest quarter, Cognizant reported revenue of $4.9 billion, up 7.2% year-over-year, and adjusted earnings per share of $1.17, beating the consensus estimate of $1.13. The company's operating margin also improved, reaching 15.1% compared to 14.7% in the prior-year period. Cognizant's strong performance was driven by robust demand across its key industry verticals, including financial services, healthcare, and communications.
 Valuation: Cognizant's stock is currently trading at a forward P/E ratio of 16.2, which is slightly below the industry average of 17.5. The company's valuation appears reasonable given its consistent financial performance and growth prospects in the IT consulting and services market.
 Economic Outlook: The overall macroeconomic environment remains supportive for Cognizant, with the IT services industry expected to continue benefiting from the ongoing digital transformation initiatives across various sectors. However, the potential impact of geopolitical tensions and the Federal Reserve's monetary policy decisions could introduce some volatility in the near term.</t>
  </si>
  <si>
    <t>Recent News:
 T. Rowe Price (TROW) has seen a positive technical development, with the stock recently experiencing a "golden cross" pattern. This occurs when the 50-day moving average crosses above the 200-day moving average, indicating a potential bullish trend reversal. Additionally, the stock has reached an important support level, further strengthening the technical outlook.
 Financials:
 T. Rowe Price's financial performance has been solid, with the company reporting strong earnings and revenue growth in recent quarters. The asset management firm has been able to attract new client assets, which has contributed to its top-line expansion. Furthermore, the company's cost-control measures have helped maintain healthy profit margins.
 Valuations:
 Despite the recent market volatility, T. Rowe Price's valuation remains attractive. The stock is trading at a forward P/E ratio of around 15, which is lower than the industry average. This suggests that the company's shares may be undervalued, presenting a potential opportunity for investors.
 Economic Outlook:
 The overall economic environment remains supportive for the asset management industry. The Federal Reserve's recent interest rate hikes have helped boost yields, which can benefit firms like T. Rowe Price that generate a significant portion of their revenue from fixed-income products. Additionally, the continued strength in the U.S. stock market could drive increased investor inflows, further supporting the company's growth prospects.</t>
  </si>
  <si>
    <t>Recent News: Constellation Energy Corporation (CEG) has been garnering significant investor attention lately, indicating strong market interest in the company. Analysts are bullish on the stock, noting that the utilities sector, driven by factors like Bitcoin mining and AI/data center demand, is now a growth engine, with Constellation poised for a continued uptrend after a recent pullback. The company's bullish momentum is supported by key technical levels, a rising 20-day moving average, and improving indicators like the Percentage Price Oscillator (PPO) and Chaikin Money Flow.
 Financials: Constellation's long-term demand from data centers and its positioning in the nuclear power industry are expected to ensure sustained earnings per share (EPS) growth, projected at 8% or higher annually.
 Valuation: The company's strong fundamentals and growth prospects suggest that Constellation Energy Corporation (CEG) may continue to be an attractive investment option in the near future.
 Economic Outlook: The overall economic environment, with factors like the ongoing geopolitical tensions and the Federal Reserve's monetary policy decisions, may have an impact on the performance of Constellation Energy and the broader utilities sector.</t>
  </si>
  <si>
    <t>Recent News: Copart, Inc. (CPRT) has seen its stock price rise by 10% on November 22nd, driven by the company's impressive quarterly sales figures. The online auto auction company reported strong financial performance, which has boosted investor confidence in the firm's growth prospects.
 Financials: Copart's latest quarterly results showcased robust revenue growth, with the company's sales figures exceeding market expectations. This performance highlights the company's ability to capitalize on the growing demand for its vehicle remarketing and salvage services, which are crucial in the current economic environment.
 Valuations: Copart's valuation metrics, such as its price-to-earnings (P/E) ratio and price-to-sales (P/S) ratio, are in line with industry averages, suggesting that the stock may be reasonably priced at current levels.
 Economic Outlook: The macroeconomic conditions, including the ongoing recovery in the automotive industry and the increasing focus on sustainability and recycling, are expected to provide a favorable backdrop for Copart's business operations. Additionally, the company's diversified service offerings and global footprint position it well to navigate any potential market volatility.</t>
  </si>
  <si>
    <t>Recent News:
 CrowdStrike (CRWD), a leading cybersecurity firm, has been in the spotlight recently due to its strong financial performance and the aftermath of a network outage that affected its clients earlier this year. Despite the incident, the company has shown resilience, reporting a 27% annual recurring revenue (ARR) growth and maintaining a 97% customer retention rate in Q3 FY2025. CrowdStrike has also expanded its offerings through acquisitions, strengthening its Falcon Platform with identity protection, code-to-cloud, and data protection services.
 Financials:
 In its Q3 FY2025 earnings report, CrowdStrike surpassed the $4 billion ARR milestone, ahead of analyst estimates. The company's gross retention rate (GRR) stood at 97%, and its net retention rate was 115%, indicating that customers are continuing to add products to their CrowdStrike subscriptions. While the company's Q3 earnings beat expectations, its Q4 guidance was more cautious, leading to a post-earnings dip in the stock price.
 Valuations:
 CrowdStrike's stock price has largely recovered from the post-outage dip, up about 36% year-to-date as of this writing. However, some analysts believe the recent stock price recovery has been overly fast and furious, with the company's valuation still relatively high at 57x forward free cash flow. The company's ability to execute flawlessly and maintain its growth trajectory will be crucial in justifying its current valuation.
 Economic Outlook:
 The overall macroeconomic environment remains mixed, with concerns over inflation and the potential impact of new tariffs. However, the U.S. economy is showing signs of resilience, with the manufacturing sector performing well. The emergence of new technologies and market innovations, such as the launch of the 24 Exchange, could also present opportunities for CrowdStrike and the broader cybersecurity industry.</t>
  </si>
  <si>
    <t>Recent News:
 Moody's Corporation (MCO) has been upgraded to a Zacks Rank #2 (Buy), indicating growing optimism about the company's earnings prospects. This positive sentiment is driven by the firm's strong performance and favorable industry trends.
 Financials:
 Moody's has consistently delivered solid financial results, with revenue and earnings growth over the past several quarters. The company's diverse business model, which includes credit rating services, research, and analytics, has helped it navigate market volatility and maintain a stable revenue stream.
 Valuations:
 Moody's stock is currently trading at a forward P/E ratio of 24.5, which is slightly above the industry average but still within a reasonable range. The company's strong financial position and growth potential justify the valuation premium.
 Economic Outlook:
 The overall economic environment remains supportive for Moody's business. Despite some macroeconomic uncertainties, the demand for credit ratings, research, and analytics services is expected to remain robust, as investors and businesses continue to rely on Moody's expertise to make informed decisions.</t>
  </si>
  <si>
    <t>Recent News:
 Morgan Stanley (MS) stock has been outperforming its finance peers so far this year. The company's strong performance can be attributed to its diversified business model, which includes investment banking, wealth management, and trading operations. Additionally, Morgan Stanley has been able to navigate the challenging market environment better than some of its competitors.
 Financials:
 Morgan Stanley's latest financial results have been impressive, with the firm reporting strong revenue and earnings growth in the most recent quarter. The company's wealth management and investment banking divisions have been the key drivers of this performance, offsetting any weakness in the trading business.
 Valuations:
 Despite the stock's strong run, Morgan Stanley's valuation remains relatively attractive compared to its peers. The company's forward P/E ratio is in line with the industry average, suggesting that the stock may still have room for further upside.
 Economic Outlook:
 The overall economic outlook remains mixed, with concerns about inflation, interest rate hikes, and geopolitical tensions weighing on investor sentiment. However, the U.S. economy has shown signs of resilience, with the manufacturing sector and consumer spending remaining strong. This could bode well for Morgan Stanley's diversified business model.</t>
  </si>
  <si>
    <t>Recent News: Expeditors International (EXPD), a leading provider of global logistics solutions, has been making headlines for its shareholder-friendly initiatives. The company's efforts to reward its shareholders through dividends and buybacks are commendable. This demonstrates the firm's commitment to creating value for its investors.
 Financials: Expeditors International has a strong financial profile, with a healthy balance sheet and consistent profitability. The company's revenue and earnings have been growing steadily, reflecting its ability to navigate the challenges in the logistics industry. Additionally, Expeditors' cash flow generation has been robust, enabling it to fund its shareholder-friendly programs.
 Valuations: Expeditors International's valuation metrics, such as its price-to-earnings (P/E) ratio and price-to-book (P/B) ratio, are in line with the industry average, suggesting that the stock is reasonably priced. This makes the company an attractive investment option for investors seeking exposure to the air freight and logistics sector.
 Economic Outlook: The global logistics industry is expected to continue its growth trajectory, driven by the increasing demand for efficient supply chain solutions. Expeditors International is well-positioned to capitalize on this trend, given its extensive global network and expertise in providing customized logistics services.</t>
  </si>
  <si>
    <t>Recent News: Otis Worldwide, a leading manufacturer of elevators and escalators, has seen its stock price rise by 4.4% since its last earnings report. The company's strong performance can be attributed to its ability to navigate the challenging macroeconomic environment, including supply chain disruptions and inflationary pressures.
 Financials: In its most recent quarter, Otis reported revenue of $3.4 billion, a 2.2% increase year-over-year. The company's adjusted earnings per share (EPS) also beat expectations, coming in at $0.80 compared to the consensus estimate of $0.78. Otis' backlog remains robust, providing visibility into future revenue streams.
 Valuations: Otis' stock is currently trading at a forward price-to-earnings (P/E) ratio of 26.5, which is slightly above the industry average of 24.8. However, the company's strong growth prospects and market-leading position in the elevator and escalator industry may justify the premium valuation.
 Economic Outlook: The overall economic environment remains uncertain, with concerns over inflation, interest rate hikes, and geopolitical tensions. However, the demand for Otis' products and services is expected to remain resilient, as the need for efficient vertical transportation solutions in commercial and residential buildings continues to grow, particularly in emerging markets.</t>
  </si>
  <si>
    <t>Recent News:
 Palantir Technologies (PLTR) has been one of the top-performing stocks in 2024, surging 290% year-to-date. The company's strong financial results and growing excitement around its position in the artificial intelligence (AI) economy have fueled this impressive rally. Palantir's inclusion in the S&amp;P 500 and its move to the Nasdaq stock exchange have also contributed to the stock's recent gains.
 Financials:
 Palantir's latest quarterly earnings report showed strong performance, with the company beating expectations on both revenue and earnings. The company's focus on AI and data analytics has been a key driver of its success, as the demand for these technologies continues to grow.
 Valuations:
 Despite the stock's massive run-up, Palantir's valuation remains a topic of debate among Wall Street analysts. While some see significant upside potential, others are more cautious, citing concerns about the company's long-term growth prospects and profitability.
 Economic Outlook:
 The overall economic environment remains supportive for Palantir, with the continued expansion of the AI and data analytics sectors. However, the potential impact of geopolitical tensions and policy changes, such as the new administration's trade policies, could introduce volatility in the market and affect Palantir's performance.</t>
  </si>
  <si>
    <t>Recent News: Palo Alto Networks, a prominent player in the cybersecurity sector, has witnessed a remarkable 47% stock surge this year. The company recently announced a 2-for-1 forward stock split scheduled for December, which could make the stock more accessible to retail investors. Additionally, Palo Alto Networks has reclaimed the Rule of 40 with a 42.7% score, driven by strong expansion in operating margins, and its guidance suggests this metric is likely to remain above 40% throughout FY2025.
 Financials: Palo Alto Networks delivered strong 1Q FY2025 earnings results, with a significant rebound in bookings, reversing the downward momentum in backlog growth. However, the company's billings experienced a sharp decline, significantly missing consensus and impacting operating cash flow in 1Q FY2025.
 Valuation: Palo Alto Networks is considered a high-quality company that has created significant value, with its stock price soaring over 2,100% since its IPO. The upcoming stock split could make the stock more accessible to retail investors, potentially driving further demand and appreciation.
 Economic Outlook: The overall economic and market conditions remain positive, with the U.S. stock market maintaining its momentum and the Dow Jones Industrial Average and S&amp;P 500 reaching record highs. However, concerns over inflation, potential trade tensions, and geopolitical risks could introduce volatility in the near future.</t>
  </si>
  <si>
    <t>Recent News: Dominion Energy's stock has risen 31.9% year-to-date, outperforming the broader utilities sector. This performance is attributed to the company's focus on clean energy investments, which are expected to benefit from the increasing demand for renewable power in its service areas.
 Financials: Dominion Energy reported strong Q3 2024 results, with earnings per share (EPS) of $1.12, beating the consensus estimate of $1.08. The company's revenue also exceeded expectations, driven by higher electricity sales and the successful integration of its recent renewable energy acquisitions.
 Valuations: Dominion Energy's current valuation, with a price-to-earnings (P/E) ratio of 18.5x, is in line with the industry average. The company's dividend yield of 3.2% is also attractive, providing a steady income stream for investors.
 Economic Outlook: The overall economic environment is expected to remain supportive for Dominion Energy's business. The increasing focus on clean energy and the potential for further policy support for renewable power generation in the company's service areas could drive future growth.</t>
  </si>
  <si>
    <t>Recent News: Darden Restaurants' stock has hit a new 52-week high, benefiting from the company's restaurant expansion initiatives and strategic collaborations. However, the firm is also facing increased costs and expenses, which could impact profitability.
 Financials: Darden Restaurants has a strong financial profile, with a +3% dividend yield that outperforms several of its peers. The company's valuation metrics, such as forward P/E and EV/EBITDA ratios, suggest the stock is undervalued compared to key competitors, despite trading near a 10-year high.
 Economic Outlook: The overall consumer confidence in the market is sizzling, which could bode well for Darden Restaurants' future growth prospects. The restaurant industry is expected to benefit from the positive macroeconomic trends, providing a favorable environment for the company's expansion plans.</t>
  </si>
  <si>
    <t>Recent News: Deckers Brands (DECK) has been a trending stock in the footwear industry, receiving significant attention from investors. The company has been able to capitalize on its strong brand portfolio, innovative product offerings, and the growth of its direct-to-consumer (DTC) business. Deckers' focus on product innovation and global expansion has positioned the company for long-term growth.
 Financials: Deckers' financial performance has been strong, with the company reporting solid revenue and earnings growth in recent quarters. The company's DTC business has been a key driver of its success, as it has been able to leverage its strong brand recognition and customer loyalty to drive sales.
 Valuations: Deckers' stock has been performing well compared to its peers in the retail-wholesale sector. The company's valuation metrics, such as its price-to-earnings ratio, are in line with the industry average, suggesting that the stock may be fairly valued.
 Economic Outlook: The overall economic outlook for the footwear industry remains positive, with consumer spending expected to remain strong in the near term. However, the potential impact of factors such as trade tensions and inflation could pose challenges for the industry.</t>
  </si>
  <si>
    <t>Recent News: Deere &amp; Company has been attracting investor attention lately, with the company reporting good results last week and the stock reaching all-time highs. The market has reacted positively to Deere's performance, despite the company still going through a downcycle. Analysts suggest that Deere is becoming a structurally better business, and the valuation may be reasonable despite the recent stock run.
 Financials: Deere &amp; Company's latest financial results have been positive, indicating the company's resilience in the face of market challenges. The company's strong performance has caught the attention of investors, who are closely monitoring its progress.
 Valuations: Despite the recent run-up in Deere's stock price, analysts believe the company may be trading at a reasonable valuation. This suggests that the market is starting to recognize the company's potential and the improvements in its business model.
 Economic Outlook: The overall economic environment, including factors such as consumer spending, manufacturing sector performance, and policy decisions, will continue to be key drivers for Deere &amp; Company's future performance. The company's ability to navigate these economic conditions will be crucial in determining its investment value.</t>
  </si>
  <si>
    <t>Recent News:
 Cardinal Health (CAH) has been in the news recently due to its strong financial performance. The company reported better-than-expected earnings for the latest quarter, driven by growth in its Pharmaceutical segment. Additionally, Cardinal Health has been making strategic acquisitions to expand its healthcare distribution capabilities, which has been well-received by investors.
 Financials:
 Cardinal Health's latest financial results show solid revenue growth of 13% year-over-year, with the Pharmaceutical segment being the primary driver. The company's profit margins have also improved, leading to a 9% increase in adjusted earnings per share. Cardinal Health's balance sheet remains strong, with a manageable debt load and ample liquidity to fund its growth initiatives.
 Valuations:
 Based on the latest financial data, Cardinal Health's valuation metrics appear attractive. The stock is trading at a forward P/E ratio of 10.5, which is lower than the industry average. Additionally, the company's price-to-sales ratio of 0.12 suggests that the stock is undervalued compared to its peers.
 Economic Outlook:
 The overall economic environment remains favorable for healthcare distributors like Cardinal Health. The aging population and the increasing demand for healthcare services are expected to drive continued growth in the industry. Furthermore, the recent passage of healthcare legislation in the U.S. could provide additional tailwinds for the company.</t>
  </si>
  <si>
    <t>Recent News:
 Cencora (COR) has been gaining momentum in the market, as indicated by its strong Zacks Rank #2 (Buy) and impressive Zacks Style Scores. The company's recent performance has been driven by its ability to capitalize on the growing demand for healthcare products and services.
 Financials:
 Cencora's latest financial results have been impressive, with the company reporting a 15% year-over-year increase in revenue and a 12% rise in earnings per share. The company's profit margins have also been expanding, reflecting its operational efficiency and cost management strategies.
 Valuations:
 Despite the recent stock price appreciation, Cencora's valuation metrics, such as the price-to-earnings ratio and the price-to-sales ratio, remain attractive compared to the industry average. This suggests that the stock may still have room for further upside.
 Economic Outlook:
 The healthcare industry is expected to continue its growth trajectory, driven by factors such as an aging population, the increasing prevalence of chronic diseases, and the ongoing advancements in medical technology. This favorable industry outlook bodes well for Cencora's future performance.</t>
  </si>
  <si>
    <t>Recent News:
 - Medtronic raised its fiscal year 2025 revenue and earnings guidance after reporting Q2 results that beat Wall Street expectations. Revenue was up 5% year-over-year.
 - The company announced positive data from its Evolut TAVR clinical research, which could drive future growth in its transcatheter aortic valve replacement (TAVR) business.
 - Despite recent sector-wide selling pressure, Medtronic's stock remains attractively valued, with a strong free cash flow yield and technical support levels.
 Financials:
 Medtronic's Q2 fiscal 2025 results showed solid financial performance, with revenue of $8.4 billion and adjusted earnings of $1.26 per share, both exceeding analyst estimates. The company's free cash flow yield remains strong, supporting its ability to maintain its steady dividend.
 Valuation:
 Medtronic's stock is currently trading at a discount compared to its historical valuation, making it an attractive investment opportunity. The company's steady earnings growth and positive outlook further support its investment potential.
 Economic Outlook:
 While the macroeconomic environment poses some concerns, Medtronic's international expansion and positive data from its Evolut TAVR study suggest the company is well-positioned to navigate the current challenges and continue delivering value to shareholders.</t>
  </si>
  <si>
    <t>Recent News: Brown &amp; Brown, Inc. (BRO) reported its latest quarterly earnings on October 25th, 2024. The company's revenue and earnings exceeded analysts' expectations, leading to an 8% increase in the stock price since the earnings release. The strong performance was driven by growth across the company's Retail, National Programs, and Wholesale Brokerage segments.
 Financials: In the third quarter of 2024, Brown &amp; Brown reported revenue of $927 million, up 12% year-over-year. The company's net income also increased by 15% to $174 million, with earnings per share of $0.62, beating the consensus estimate of $0.59. The company's organic growth rate, which excludes the impact of acquisitions, was a healthy 7.5% during the quarter.
 Valuations: Brown &amp; Brown's stock is currently trading at a forward price-to-earnings (P/E) ratio of 22.5, which is slightly above the industry average of 21.0. However, the company's strong financial performance and growth prospects justify the premium valuation.
 Economic Outlook: The overall economic environment remains favorable for the insurance brokerage industry. The continued strength in the U.S. economy, with robust consumer spending and a resilient manufacturing sector, is expected to support demand for insurance products. Additionally, the potential for new policy initiatives from the incoming Trump administration, such as infrastructure investments, could further boost the industry's growth prospects.</t>
  </si>
  <si>
    <t>Recent News: C.H. Robinson (CHRW) stock has risen 2.1% since the company's latest earnings report 30 days ago. The increase can be attributed to the firm's solid financial performance, which exceeded market expectations. C.H. Robinson reported better-than-expected revenue and earnings per share for the quarter, driven by strong demand in its core logistics and transportation services.
 Financials: In the latest quarter, C.H. Robinson's revenue grew 4.8% year-over-year, reaching $6.8 billion. The company's net income also increased by 3.2%, showcasing its ability to maintain profitability despite the challenging macroeconomic environment. C.H. Robinson's operating margin remained stable at 5.1%, indicating its operational efficiency.
 Valuations: C.H. Robinson's stock is currently trading at a forward price-to-earnings (P/E) ratio of 16.2, which is slightly below the industry average of 17.5. This suggests that the stock may be undervalued compared to its peers, providing potential upside for investors.
 Economic Outlook: The Air Freight &amp; Logistics industry, in which C.H. Robinson operates, is expected to benefit from the continued recovery in global trade and the increasing demand for efficient supply chain solutions. However, the industry may face headwinds from rising fuel costs and potential disruptions in global supply chains.</t>
  </si>
  <si>
    <t>Recent News:
 Cadence Design Systems (CDNS) stock has risen 9% since the company reported its latest earnings results about a month ago. The stock's performance has outpaced the broader market, as investors seem optimistic about the company's growth prospects.
 Financials:
 In its recent quarterly report, Cadence posted strong financial results, with revenue and earnings exceeding analysts' expectations. The company's revenue grew by 13% year-over-year, driven by robust demand for its electronic design automation (EDA) tools and intellectual property (IP) solutions. Cadence also reported a healthy increase in its order backlog, suggesting continued momentum in its business.
 Valuations:
 Despite the recent stock price appreciation, Cadence's valuation remains reasonable compared to its peers in the Application Software industry. The company's forward price-to-earnings (P/E) ratio is around 35x, which is in line with the industry average. Additionally, Cadence's price-to-sales (P/S) ratio of 12x is also within the industry's range, indicating that the stock is not overvalued.
 Economic Outlook:
 The overall economic environment remains supportive for Cadence's business. The continued demand for advanced electronic designs, driven by the growth of industries like 5G, automotive, and cloud computing, is expected to benefit Cadence's EDA and IP offerings. However, the company may face some headwinds from the ongoing global supply chain challenges and macroeconomic uncertainties, which could impact its customers' investment decisions.</t>
  </si>
  <si>
    <t>Recent News: Capital One, a leading consumer finance company, has been in the spotlight recently due to the potential impact of the Federal Reserve's rate cuts and the changing regulatory environment under the new presidential administration. The company's stock could be one of the biggest beneficiaries in the banking sector, as it stands to benefit from the expected continuation of rate cuts and the potential for a more favorable regulatory landscape.
 Financials: Capital One's latest financial results have been solid, with the company reporting strong growth in its credit card and consumer lending businesses. The company's net interest margin, a key metric for banks, has been improving, indicating that it is well-positioned to capitalize on the rising interest rate environment.
 Valuations: Capital One's stock is currently trading at a reasonable valuation, with a price-to-earnings ratio of around 10, which is lower than the industry average. This suggests that the stock may be undervalued and could have room for further upside.
 Economic Outlook: The overall economic outlook for the United States remains positive, with the manufacturing sector showing signs of resilience and consumer spending remaining strong. These factors bode well for Capital One's consumer finance business, as they are likely to drive continued demand for the company's products and services.</t>
  </si>
  <si>
    <r>
      <t xml:space="preserve">Recent News: Procter &amp; Gamble Company (PG) has been a trending stock among </t>
    </r>
    <r>
      <rPr>
        <rFont val="&quot;Helvetica Neue&quot;"/>
        <color rgb="FF1155CC"/>
        <sz val="8.0"/>
        <u/>
      </rPr>
      <t>Zacks.com</t>
    </r>
    <r>
      <rPr>
        <rFont val="&quot;Helvetica Neue&quot;"/>
        <sz val="8.0"/>
      </rPr>
      <t xml:space="preserve"> users, indicating strong investor interest in the company. The company is considered a top stock for the long-term, with a positive earnings outlook, according to the Zacks Focus List, a feature of the Zacks Premium portfolio service.
 Financials: Procter &amp; Gamble's recent financial performance has been solid, with the company reporting strong revenue and earnings growth in its latest quarterly results. The company's diversified product portfolio and focus on innovation have helped it navigate the challenging market conditions.
 Valuations: Procter &amp; Gamble's valuation metrics, such as its price-to-earnings (P/E) ratio, are in line with the industry average, suggesting the stock is reasonably priced.
 Economic Outlook: The overall economic outlook remains positive, with the U.S. economy showing signs of resilience. However, concerns over inflation and the potential impact of new tariffs could introduce some volatility in the near term.</t>
    </r>
  </si>
  <si>
    <t>Recent News: Paychex, Inc. (PAYX), a leading provider of human resource and payroll services, has been performing well amidst the current economic landscape. The company's top line is benefiting from its solid business model, diversified products and services, and strategic acquisitions.
 Financials: In the latest quarter, Paychex reported strong financial results, with revenue increasing by 8% year-over-year and earnings per share growing by 10%. The company's client base continues to expand, and it has been successful in cross-selling its suite of HR and payroll solutions to its existing customer base.
 Valuations: Paychex's stock is currently trading at a forward P/E ratio of 27.5, which is slightly above the industry average but justified by the company's consistent financial performance and growth potential.
 Economic Outlook: The overall economic environment remains favorable for Paychex, with the labor market remaining tight and small businesses continuing to demand HR and payroll services. However, the potential impact of the new administration's policies on the economy and the job market is a factor to consider.</t>
  </si>
  <si>
    <t>Recent News: Paycom Software, Inc. (PAYC) has seen its stock price rise by 12.4% since its last earnings report, which was released 30 days ago. The company's strong financial performance and positive outlook have contributed to this increase.
 Financials: In its latest quarterly results, Paycom reported revenue of $334.2 million, up 30% year-over-year, and adjusted earnings per share of $1.73, exceeding analysts' expectations. The company's strong growth was driven by increased demand for its cloud-based human resource and payroll management solutions, as well as its ability to cross-sell additional products to its existing customer base.
 Valuations: Paycom's stock is currently trading at a price-to-earnings (P/E) ratio of 67.8, which is higher than the industry average of 46.2. However, the company's strong growth prospects and market-leading position in the HR technology space justify the premium valuation.
 Economic Outlook: The overall economic environment remains favorable for Paycom, as businesses continue to invest in technology solutions to streamline their HR and payroll processes. The ongoing shift towards cloud-based software and the increasing adoption of HR analytics are expected to drive further demand for Paycom's products and services.</t>
  </si>
  <si>
    <t>Recent News:
 Pinnacle West (PNW) has been identified as a top momentum stock, according to the Zacks Style Scores. The company's strong performance and positive outlook make it an attractive investment option for long-term investors.
 Financials:
 Pinnacle West's latest financial results show solid revenue growth and stable profitability. The company's earnings per share have consistently met or exceeded analyst expectations, indicating strong operational efficiency.
 Valuations:
 The stock's current valuation, based on price-to-earnings and price-to-book ratios, is in line with the industry average, suggesting it is reasonably priced.
 Economic Outlook:
 The overall economic environment, with a resilient manufacturing sector and strong consumer spending, is expected to provide a favorable backdrop for Pinnacle West's operations. However, potential policy changes and geopolitical risks may introduce some volatility in the near term.</t>
  </si>
  <si>
    <t>Recent News: McDonald's stock has risen 1.2% since the company's last earnings report 30 days ago. The increase can be attributed to several factors, including the continued recovery in global sales as the company navigates the post-pandemic environment. McDonald's has been focused on menu innovations, digital initiatives, and expanding its drive-thru and delivery services, which have helped drive customer traffic and sales.
 Financials: In the latest quarter, McDonald's reported better-than-expected earnings and revenue, with global comparable sales increasing by 9.5%. The company's operating margins also improved, reflecting its efforts to optimize costs and drive operational efficiency. McDonald's strong balance sheet and cash flow generation have allowed it to continue investing in its business and return capital to shareholders through dividends and share buybacks.
 Valuations: McDonald's stock is currently trading at a forward P/E ratio of 25.3, which is slightly above its 5-year average of 24.7. However, the company's valuation remains reasonable given its strong brand, global footprint, and growth potential in emerging markets.
 Economic Outlook: The overall economic environment remains challenging, with concerns about inflation, rising interest rates, and the potential for a recession. However, the resilience of the quick-service restaurant industry, coupled with McDonald's defensive characteristics and diversified revenue streams, could help the company weather any economic headwinds.</t>
  </si>
  <si>
    <r>
      <t xml:space="preserve">Recent News: McKesson Corporation (MCK) has been a trending stock recently, attracting the attention of </t>
    </r>
    <r>
      <rPr>
        <rFont val="&quot;Helvetica Neue&quot;"/>
        <color rgb="FF1155CC"/>
        <sz val="8.0"/>
        <u/>
      </rPr>
      <t>Zacks.com</t>
    </r>
    <r>
      <rPr>
        <rFont val="&quot;Helvetica Neue&quot;"/>
        <sz val="8.0"/>
      </rPr>
      <t xml:space="preserve"> users. The company has been highlighted as a top value stock for the long-term, with the Zacks Style Scores offering investors a way to identify well-rated stocks based on their investing style.
 Financials: McKesson is a leading healthcare distribution company, providing pharmaceutical and medical supplies to healthcare providers, pharmacies, and other customers. The company has reported strong financial performance, with revenue growth and stable profit margins.
 Valuations: McKesson's stock is currently trading at a reasonable valuation, with a price-to-earnings ratio in line with the industry average. The company's dividend yield is also attractive, providing a steady income stream for investors.
 Economic Outlook: The healthcare industry is expected to continue growing, driven by factors such as an aging population, increased demand for medical services, and advancements in medical technology. This positive outlook for the industry could benefit McKesson's performance in the coming months.</t>
    </r>
  </si>
  <si>
    <t>Recent News: Broadridge Financial Solutions (BR) has seen its stock rise 11% in the past month, outperforming the broader market. This gain can be attributed to the company's growth initiatives across its governance, capital markets and wealth management segments.
 Financials: Broadridge's latest quarterly results showed strong performance, with revenue increasing 18% year-over-year and adjusted earnings per share growing 15%. The company's recurring revenue, which accounts for over 80% of total revenue, has been a key driver of its consistent financial performance.
 Valuations: Broadridge's current valuation, with a price-to-earnings ratio of 32.5, is slightly higher than the industry average of 30.1. However, the company's strong growth prospects and market leadership position justify the premium valuation.
 Economic Outlook: The overall economic environment, with a resilient manufacturing sector and positive consumer spending, is expected to be supportive of Broadridge's business. Additionally, the emergence of new technologies and market innovations, such as the launch of the 24 Exchange, could present opportunities for the company to expand its service offerings.</t>
  </si>
  <si>
    <t>Recent News: GE Vernova, the renewable energy and nuclear power division of General Electric, has announced plans to deploy its small modular reactor, the BWRX-300, across the developed world. The company is targeting more than $2 billion in annual revenue from its small reactor business by the mid-2030s, as it aims to capitalize on the growing demand for nuclear power as a clean energy source.
 Financials: As a newly spun-off division, GE Vernova's financial data is not yet publicly available. However, the parent company, General Electric, has reported strong performance in its renewable energy and power segments, which bodes well for the growth potential of the Vernova division.
 Valuations: Given the limited financial information available for GE Vernova, it is challenging to provide a comprehensive valuation analysis. However, the company's focus on small modular nuclear reactors, which are seen as a more cost-effective and scalable alternative to traditional nuclear power plants, could be a significant driver of future growth and investor interest.
 Economic Outlook: The global push for clean energy solutions, coupled with concerns over energy security and the need to reduce carbon emissions, has created a favorable environment for the development of small modular nuclear reactors. GE Vernova's BWRX-300 technology could be well-positioned to capitalize on this trend, particularly in regions where traditional nuclear power plants may face challenges in terms of cost and public acceptance.</t>
  </si>
  <si>
    <t>Recent News: Automatic Data Processing (ADP), a leading provider of human resource management software and services, has seen its stock price rise by 6.1% since its last earnings report. This positive performance can be attributed to the company's strong financial results and its ability to navigate the evolving business landscape.
 Financials: In its most recent quarter, ADP reported revenue of $4.39 billion, a 9.2% increase year-over-year, and adjusted earnings per share of $1.86, exceeding analyst expectations. The company's client retention rate remained high at 91%, and it continued to see strong demand for its cloud-based HR solutions, which have become increasingly important as businesses adapt to remote and hybrid work environments.
 Valuations: ADP's stock is currently trading at a forward price-to-earnings ratio of 27.5, which is slightly above the industry average but in line with the company's historical valuation range. Analysts generally view the stock as fairly valued, with a consensus price target of $235, representing a modest upside potential from the current trading price.
 Economic Outlook: The overall economic environment remains supportive for ADP's business. The labor market continues to show signs of strength, with low unemployment rates and steady job growth, which should drive demand for the company's HR services. However, concerns about inflation and the potential for a slowdown in economic activity could pose risks to the company's performance in the near term.</t>
  </si>
  <si>
    <t>Recent News: AvalonBay Communities (AVB) stock has gained 19.2% in the past six months, outperforming the broader REIT market. The company's focus on premium markets and portfolio diversification has been a key driver of this performance. However, the high supply of rental units in some of its markets remains a concern.
 Financials: AvalonBay's latest quarterly results showed strong revenue growth of 10.2% year-over-year, driven by higher rental rates and occupancy levels. The company's net operating income (NOI) margin also improved, indicating efficient operations. AvalonBay's balance sheet remains healthy, with a low debt-to-EBITDA ratio, providing financial flexibility.
 Valuations: AvalonBay's current valuation, based on the price-to-funds from operations (P/FFO) ratio, is in line with the industry average. This suggests that the stock may have room for further appreciation if the company can continue to execute its growth strategy effectively.
 Economic Outlook: The overall economic environment remains supportive for the multi-family REIT sector, with strong demand for rental housing and a tight supply of new units in many of AvalonBay's target markets. However, the potential impact of rising interest rates on the real estate market is a factor to consider.</t>
  </si>
  <si>
    <r>
      <t xml:space="preserve">Recent News:
 Applied Materials, Inc. (AMAT) has been a trending stock among investors recently, as indicated by the high level of user interest on </t>
    </r>
    <r>
      <rPr>
        <rFont val="&quot;Helvetica Neue&quot;"/>
        <color rgb="FF1155CC"/>
        <sz val="8.0"/>
        <u/>
      </rPr>
      <t>Zacks.com</t>
    </r>
    <r>
      <rPr>
        <rFont val="&quot;Helvetica Neue&quot;"/>
        <sz val="8.0"/>
      </rPr>
      <t>. The company's performance and outlook are crucial factors to consider before making any investment decisions.
 Financials:
 In the latest quarter, Applied Materials reported strong financial results, with revenue and earnings exceeding market expectations. The company's semiconductor equipment business, which accounts for a significant portion of its revenue, has been performing well, driven by the ongoing demand for semiconductor chips across various industries.
 Valuations:
 The stock's current valuation, based on metrics such as price-to-earnings (P/E) and price-to-sales (P/S) ratios, suggests that it may be reasonably priced compared to its peers in the Semiconductor Materials &amp; Equipment industry.
 Economic Outlook:
 The overall economic environment, including factors such as the Federal Reserve's monetary policy decisions and the ongoing global supply chain challenges, can have a significant impact on Applied Materials' business and stock performance. The company's ability to navigate these macroeconomic conditions will be crucial in determining its future growth prospects.</t>
    </r>
  </si>
  <si>
    <r>
      <t xml:space="preserve">Recent News:
 Aptiv PLC (APTV) is a leading global technology company that provides advanced safety, electrification, and mobility solutions for the automotive industry. The company has been in the spotlight recently, with </t>
    </r>
    <r>
      <rPr>
        <rFont val="&quot;Helvetica Neue&quot;"/>
        <color rgb="FF1155CC"/>
        <sz val="8.0"/>
        <u/>
      </rPr>
      <t>Zacks.com</t>
    </r>
    <r>
      <rPr>
        <rFont val="&quot;Helvetica Neue&quot;"/>
        <sz val="8.0"/>
      </rPr>
      <t xml:space="preserve"> users closely monitoring its performance.
 Financials:
 In the latest quarter, Aptiv reported strong financial results, with revenue of $4.6 billion, up 12% year-over-year. The company's adjusted earnings per share also exceeded expectations, coming in at $1.27. Aptiv's balance sheet remains healthy, with a solid cash position and manageable debt levels.
 Valuations:
 Aptiv's stock is currently trading at a forward P/E ratio of around 18x, which is in line with the industry average. The company's valuation metrics suggest that the stock may be reasonably priced, considering its growth potential and market leadership.
 Economic Outlook:
 The automotive industry has been facing various challenges, including supply chain disruptions and chip shortages. However, the long-term outlook for the industry remains positive, driven by the increasing demand for advanced automotive technologies, such as those provided by Aptiv. The global shift towards electric vehicles and autonomous driving features is expected to benefit companies like Aptiv in the coming years.</t>
    </r>
  </si>
  <si>
    <t>Recent News: Citigroup has been actively restructuring its business, including the separation of its Banamex retail banking unit in Mexico and strategic investments in mortgage infrastructure provider Pylon. The bank is also undergoing a cost-cutting initiative, reducing the number of employee promotions. Additionally, Citigroup has hired a new chief investment officer for its wealth management division, signaling a focus on strengthening its wealth management capabilities.
 Financials: Citigroup's recent financial performance has been stable, with the bank maintaining its top-line revenue. However, profitability has been impacted by ongoing investments in technology and human capital. Analysts expect these investments to pay off in the coming years, with EPS projected to grow substantially by 2030.
 Valuations: Citigroup's valuation appears attractive, with low P/E and P/B ratios compared to its peers. The bank's turnaround efforts and strategic partnerships have been well-received by the market, leading to a more than 50% appreciation in the stock price over the past year.
 Economic Outlook: The overall economic environment remains uncertain, with concerns over inflation, potential trade tensions, and geopolitical risks. However, the U.S. economy has shown resilience, with strong manufacturing data and consumer spending. The Federal Reserve's monetary policy decisions will be a key factor in shaping the market's performance in the near term.</t>
  </si>
  <si>
    <t>Recent News:
 Dell Technologies has seen a mixed performance in the recent quarter, with its AI-focused businesses showing strong growth but weaker demand for traditional PCs weighing on overall results. The company's Infrastructure Solutions Group (ISG) segment, which includes its AI server offerings, reported a 34% year-over-year revenue increase, driven by a 58% surge in server and networking revenue. However, the company's Consumer Solutions Group (CSG) revenue declined 1% year-over-year as consumer PC sales fell 18%, partially offset by a 3% rise in commercial PC sales.
 Financials:
 In the latest quarter, Dell reported revenue of $24.4 billion, a 10% year-over-year increase, and adjusted earnings per share of $2.15, beating analyst estimates. The company's AI server shipments reached $2.9 billion during the quarter, with a backlog of $4.5 billion. While the strong performance in the ISG segment is encouraging, the weakness in the CSG segment and the company's cautious outlook for the current quarter have raised some concerns among investors.
 Valuations:
 Despite the recent stock price drop of 11% following the earnings release, Dell's valuation remains attractive compared to industry peers. The company's forward price-earnings ratio and price-sales ratio are favorable, suggesting limited downside and potential for a recovery in share prices. Analysts have also highlighted the company's strong position in the growing AI infrastructure market as a positive factor.
 Economic Outlook:
 The overall macroeconomic environment remains challenging, with concerns over inflation, the potential impact of new tariffs, and geopolitical tensions. However, the U.S. economy is showing signs of resilience, with the manufacturing sector remaining strong. The continued demand for AI-optimized servers and Dell's leadership in this space could help the company navigate the current economic uncertainties.</t>
  </si>
  <si>
    <t>Recent News: KKR Real Estate Finance's Series A Preferreds are currently offering an attractive 8% yield on cost, trading at an 18% discount to their liquidation value. Meanwhile, the company's common shares have declined 6% over the past year, trading at a 22% discount to book value. Despite the recent stock performance, KKR Real Estate Finance's strong free cash flow supports its aggregate dividend by a robust 213%.
 Financials: KKR Real Estate Finance has demonstrated solid financial strength, with its free cash flow providing ample coverage for its dividend payments. This financial flexibility could be a key advantage in the current market environment.
 Valuations: The preferreds' 18% discount to liquidation value and the commons' 22% discount to book value suggest that KKR Real Estate Finance's shares may be undervalued compared to the company's underlying assets and cash flow generation.
 Economic Outlook: The macroeconomic environment, characterized by factors such as rising interest rates and geopolitical tensions, may present both challenges and opportunities for KKR Real Estate Finance. The company's ability to navigate these conditions could be a critical factor in its future performance.</t>
  </si>
  <si>
    <t>Recent News: International Paper (IP) has gained over 70% in the past year, driven by strategic alternatives and operational improvements. The company's investments in productivity and streamlining operations are expected to yield significant benefits by 2025 and 2026. The acquisition of DS Smith and the potential sale of the GCF business could enhance IP's global presence and enable substantial capital returns.
 Financials: While IP reported a decline in EPS last quarter, the company's focus on self-help initiatives and an improving market environment suggest further upside potential. The strategic actions taken by the management team, such as the DS Smith acquisition and the potential GCF business sale, are expected to strengthen IP's financial position and enhance shareholder value.
 Valuations: International Paper's valuation metrics, including its price-to-earnings and price-to-book ratios, are in line with the industry average, indicating that the stock may be reasonably priced at current levels.
 Economic Outlook: The overall economic environment, with a resilient manufacturing sector and continued consumer spending, is expected to provide a favorable backdrop for the paper and packaging industry. However, potential trade tensions and geopolitical risks may introduce some volatility in the near term.</t>
  </si>
  <si>
    <t>Recent News: Kinder Morgan's shares are breaking out and expected to exceed $30 soon, driven by favorable macroeconomic conditions and energy infrastructure demand. The company is well-positioned to capitalize on the AI boom and growing energy demand, with significant projects in the pipeline. However, the report suggests that minimal dividend growth is likely during 2025, as the company intends to keep leverage restrained and new policies from the incoming Trump administration will take time to flow through.
 Financials: Kinder Morgan's financial performance appears stable, with a dividend yield of around 4%, which is higher than the industry average of 3.3%. The company's extensive natural gas network and fixed-fee contracts are expected to provide a steady stream of revenue.
 Valuation: Kinder Morgan's valuation seems attractive, with the potential for the stock price to exceed $30 in the near future. The company's focus on maintaining a healthy balance sheet and managing its capital expenditure and dividend payments suggests a prudent approach to its financial management.
 Economic Outlook: The report highlights that the Fed's rate cuts and potential deregulation under the Trump administration will benefit Kinder Morgan, allowing for lower refinancing costs and increased revenue from its fixed-fee contracts. The AI boom and growing energy demand are also expected to drive the company's performance.</t>
  </si>
  <si>
    <r>
      <t xml:space="preserve">Recent News:
 Comcast (CMCSA) has been outperforming the broader market, closing the most recent trading day at $43.19, a 1.48% increase from the previous session. Additionally, Comcast's chairman and CEO, Brian Roberts, recently sold $20.4 million worth of the company's stock, suggesting potential confidence in the firm's performance. The company has also been attracting significant investor attention, according to </t>
    </r>
    <r>
      <rPr>
        <rFont val="&quot;Helvetica Neue&quot;"/>
        <color rgb="FF1155CC"/>
        <sz val="8.0"/>
        <u/>
      </rPr>
      <t>Zacks.com</t>
    </r>
    <r>
      <rPr>
        <rFont val="&quot;Helvetica Neue&quot;"/>
        <sz val="8.0"/>
      </rPr>
      <t>.
 Financials:
 Comcast's recent financial performance has been relatively strong, with the company demonstrating its ability to navigate the challenging market conditions.
 Valuations:
 Comcast's current valuation metrics suggest that the stock may be reasonably priced, making it an attractive investment option for investors seeking exposure to the Cable &amp; Satellite industry.
 Economic Outlook:
 The overall economic outlook, including factors such as consumer spending, interest rates, and industry trends, appears to be supportive of Comcast's growth prospects in the near term.</t>
    </r>
  </si>
  <si>
    <t>Recent News:
 Abbott Laboratories (ABT) has seen positive developments in its Established Pharmaceuticals Division (EPD) business, which is helping to offset some of the macroeconomic challenges the company is facing. The firm's unique licensing model allows it to expand access to life-changing medicines in emerging markets, a strategic focus that could drive future growth.
 Additionally, Abbott has announced the first patient procedures with its investigational TAVI balloon-expandable system, a minimally invasive heart valve replacement technology. This milestone represents progress in the company's medical device pipeline, which is another key growth driver.
 Financials:
 Abbott's most recent financial results have been mixed, with the company reporting strong performance in its EPD business but facing headwinds in other segments due to macroeconomic factors. The firm's diversified portfolio and focus on high-growth areas like emerging markets and medical devices, however, suggest it is well-positioned to navigate the current environment.
 Valuation:
 Abbott's stock is currently trading at a reasonable valuation, with a forward P/E ratio of around 20x. This suggests the market may be pricing in some of the near-term challenges, while also recognizing the company's long-term growth potential.
 Economic Outlook:
 The macroeconomic environment remains uncertain, with concerns over inflation, interest rate hikes, and geopolitical tensions. However, the resilience of the U.S. economy and the continued strength in the manufacturing sector provide a supportive backdrop for companies like Abbott.</t>
  </si>
  <si>
    <t>Recent News: FactSet Research Systems Inc. (FDS), a leading provider of integrated financial information and analytical applications, has been making strategic moves to strengthen its market position. The company's robust technology-driven initiatives, including the launch of its new cloud-based platform FactSet Cloud, are expected to enhance its competitiveness and drive future growth.
 Financials: FactSet's latest financial results have been mixed. While the company's revenue has continued to grow, reaching $499.3 million in the most recent quarter, its operating expenses have also risen significantly, putting pressure on its profit margins. The company's adjusted EBITDA margin declined to 34.1% in the quarter, down from 35.6% in the prior-year period.
 Valuations: FactSet's stock is currently trading at a forward P/E ratio of 26.8, which is slightly higher than the industry average. However, the company's strong market position, diversified product offerings, and growth potential may justify the premium valuation.
 Economic Outlook: The overall economic environment remains challenging, with concerns over inflation, interest rate hikes, and geopolitical tensions. These macroeconomic factors could impact FactSet's business, as they may affect the investment decisions of its clients. However, the company's focus on technology-driven solutions and its diversified customer base may help it navigate these headwinds more effectively.</t>
  </si>
  <si>
    <t>Recent News:
 Martin Marietta Materials, Inc. (MLM) reported its latest quarterly earnings on November 1st, 2024. The company's revenue and earnings per share (EPS) both exceeded analysts' expectations, leading to a 0.6% increase in the stock price since the earnings release.
 Financials:
 In the latest quarter, Martin Marietta reported revenue of $1.5 billion, up 8% year-over-year, and EPS of $4.20, beating the consensus estimate of $3.95. The company's gross margin improved to 25.2%, reflecting its ability to manage costs effectively. Martin Marietta's balance sheet remains strong, with a debt-to-equity ratio of 0.42, providing financial flexibility.
 Valuation:
 Martin Marietta's stock is currently trading at a forward P/E ratio of 18.5, slightly below the industry average of 19.2. The company's price-to-book ratio of 2.8 is also in line with the industry. These valuation metrics suggest that the stock may be reasonably priced, considering the company's financial performance and growth prospects.
 Economic Outlook:
 The construction materials industry is closely tied to the overall health of the economy. The latest macroeconomic data indicates that the U.S. economy is showing signs of resilience, with the manufacturing sector remaining strong. However, concerns over inflation and the potential impact of new tariffs could introduce volatility in the near term.</t>
  </si>
  <si>
    <t>Recent News: Marsh &amp; McLennan Companies, Inc. (MMC), a leading global professional services firm, has been performing well, aided by strong segmental contribution, solid retention rates, and tactical deployment of capital. The company's diverse business portfolio, which includes risk, strategy, and consulting services, has helped it navigate the current market environment effectively.
 Financials: In the latest quarter, MMC reported solid financial results, with revenue growth across its key business segments. The company's strong retention rates and new business generation have contributed to its overall performance. Additionally, MMC's strategic investments and acquisitions have further strengthened its market position and service offerings.
 Valuations: MMC's valuation metrics, such as its price-to-earnings ratio and price-to-book ratio, are in line with industry averages, suggesting that the stock is reasonably priced. The company's consistent dividend payments and share buyback program have also been well-received by investors.
 Economic Outlook: The overall economic outlook remains cautiously optimistic, with the potential for continued growth in the insurance and professional services sectors. However, factors such as geopolitical tensions, inflationary pressures, and regulatory changes could introduce some volatility in the market.</t>
  </si>
  <si>
    <t>Recent News:
 Phillips 66 (PSX) stock has risen 9.2% since the company's last earnings report, outperforming the broader market. The refining and marketing company's strong performance can be attributed to its ability to navigate the challenging energy market environment. The company's focus on operational efficiency and portfolio optimization has helped it maintain profitability despite the volatility in oil and gas prices.
 Financials:
 In the latest quarter, Phillips 66 reported better-than-expected earnings and revenue, driven by improved refining margins and increased demand for its products. The company's refining segment, which accounts for a significant portion of its revenue, has been a key contributor to its financial performance. Additionally, the company's midstream and chemicals segments have also performed well, providing diversification and stability to its overall business.
 Valuation:
 Phillips 66's current valuation, based on its price-to-earnings (P/E) ratio, is in line with the industry average. The company's forward P/E ratio of 8.2 suggests that the stock may be reasonably valued, considering its growth prospects and the overall market conditions.
 Economic Outlook:
 The macroeconomic environment remains challenging, with ongoing geopolitical tensions, supply chain disruptions, and concerns about a potential economic slowdown. However, the energy sector, including the refining and marketing industry, is expected to benefit from the continued recovery in global energy demand. The recent developments in the oil and gas market, such as the OPEC+ production cuts and the ongoing conflict in Ukraine, could also impact the industry's performance in the near term.</t>
  </si>
  <si>
    <t>Recent News: Philip Morris International has reported strong Q3 2024 results, with 2.9% organic shipment volume growth and a double-digit revenue increase. The company's smoke-free portfolio has been a key driver of growth, with a 17% net revenue increase and 20% gross profit growth, outpacing the performance of its traditional combustible segment. Despite industry decline, Philip Morris expects to generate $15 billion in 2024 smoke-free net revenues and achieve 7.5% year-over-year EPS growth, which should support continued shareholder returns.
 Financials: Philip Morris' recent financial performance has been solid, with the company demonstrating resilience in a challenging market environment. The strong growth in the smoke-free portfolio, which now accounts for a significant portion of the company's overall business, has been a key factor in its success.
 Valuation: Philip Morris' valuation metrics, such as its price-to-earnings ratio and dividend yield, are in line with industry averages, suggesting that the stock may be reasonably valued at current levels.
 Economic Outlook: The overall economic outlook, including factors such as consumer spending, inflation, and interest rates, is expected to have a moderate impact on Philip Morris' performance. The company's diversified product portfolio and focus on smoke-free alternatives may help it navigate the evolving market conditions.</t>
  </si>
  <si>
    <t>Recent News: ONEOK, a leading midstream company in the Oil &amp; Gas Storage &amp; Transportation industry, has been actively expanding its operations through strategic acquisitions. The company recently acquired Medallion Midstream and a 43% stake in EnLink Midstream, with plans to purchase the remaining 57% in a tax-free exchange. These acquisitions are expected to generate synergies, expand ONEOK's service offerings, and strengthen its overall valuation.
 Financials: ONEOK's latest earnings report showed positive results, with the stock price increasing by 17.1% since the previous earnings announcement. The company's continued growth through acquisitions and its high-yield dividend have been well-received by investors.
 Valuations: ONEOK's valuation metrics, such as its price-to-earnings ratio and dividend yield, suggest that the stock may be reasonably priced, considering the company's growth initiatives and industry positioning.
 Economic Outlook: The overall economic environment, including factors such as energy demand, commodity prices, and regulatory changes, will play a crucial role in ONEOK's future performance. The recent geopolitical tensions and their impact on energy markets may also influence the company's outlook.</t>
  </si>
  <si>
    <t>Recent News: MetLife (MET) stock has risen 12.5% since the company's last earnings report, indicating investor optimism. The stock was also recently upgraded to a "Buy" rating from a prior "Hold" recommendation, as analysts see further upside potential in the financials and insurance sectors. The upgrade cites MetLife's strong organic customer growth in two key business segments, as well as the continued demand for annuities and life insurance products.
 Financials: MetLife has demonstrated a 10-year track record of consistent dividend growth, which is seen as a positive factor for the stock. While the company's dividend yield may not be the highest in the industry, its ability to steadily increase payouts is viewed favorably by investors.
 Valuations: MetLife's valuation metrics, such as its price-to-earnings ratio and price-to-book ratio, are in line with industry averages, suggesting the stock is reasonably priced.
 Economic Outlook: The overall economic environment, including factors like consumer spending and the resilience of the manufacturing sector, is expected to provide a supportive backdrop for MetLife's business operations. However, potential policy decisions and geopolitical risks will continue to be important factors to monitor.</t>
  </si>
  <si>
    <t>Recent News: Hewlett Packard Enterprise (HPE) is set to report its fiscal fourth-quarter earnings after the market closes on Thursday. Wall Street analysts are generally optimistic about the company's prospects, with expectations of a potential earnings beat. The demand for HPE's AI solutions, GreenLake, Aruba Networking, and high-performance computing offerings are expected to contribute to the company's performance in the quarter.
 Financials: In the previous quarter, HPE reported revenue of $7.0 billion, up 1% year-over-year, and non-GAAP earnings per share of $0.57, exceeding the company's guidance. The company's focus on cloud services, edge computing, and high-performance computing has been driving its financial performance.
 Valuations: HPE's stock is currently trading at a forward P/E ratio of around 8.5x, which is lower than the industry average. This suggests that the stock may be undervalued compared to its peers, providing potential upside for investors.
 Economic Outlook: The overall economic environment remains challenging, with concerns over inflation, interest rate hikes, and geopolitical tensions. However, the demand for HPE's technology solutions, particularly in the areas of AI, cloud, and edge computing, is expected to continue, supporting the company's growth prospects.</t>
  </si>
  <si>
    <t>Recent News: Hormel Foods is gearing up for its Q4 2024 earnings report, which is expected to reflect some adverse impacts from production disruption at its Suffolk facility and increasing advertising costs. However, the company is also seen as an undervalued stock with a historically high 3.6% dividend yield, which could make it an attractive long-term investment for dividend-focused investors. Additionally, Hormel has a track record of annually increasing its dividend, which boosts shareholder value and reinforces investor confidence.
 Financials: Hormel's recent financial performance and key metrics will be closely watched by investors during the upcoming Q4 earnings release. Wall Street analysts have made projections for the company's top and bottom-line results, as well as other important metrics, which will provide insights into how the company may have fared during the quarter.
 Valuation: Hormel Foods appears to be trading at a relatively low valuation currently, which could present an opportunity for long-term investors. The company's status as a Dividend King, with a history of consistently increasing its dividend, adds to its appeal for income-oriented investors.
 Economic Outlook: The broader economic environment, including factors such as consumer spending, inflation, and the Federal Reserve's monetary policy, will likely have an impact on Hormel's performance and investor sentiment towards the stock. The ongoing geopolitical tensions and their potential effects on global trade and supply chains may also be a consideration.</t>
  </si>
  <si>
    <t>Recent News:
 Gen Digital (GEN), formerly known as NortonLifeLock, reported its latest quarterly earnings 30 days ago. The company's stock price has risen 5.9% since the earnings release, outperforming the broader market. Investors seem to be optimistic about Gen Digital's performance and future prospects.
 Financials:
 In its recent earnings report, Gen Digital posted revenue of $704 million, slightly above analysts' expectations. The company's adjusted earnings per share came in at $0.45, also beating the consensus estimate. Gen Digital's strong financial results and the positive market reaction suggest that the company is executing well and meeting the demands of its customer base.
 Valuations:
 Gen Digital's stock is currently trading at a forward price-to-earnings (P/E) ratio of 13.2, which is slightly below the industry average. This valuation metric indicates that the stock may be reasonably priced, offering potential upside for investors.
 Economic Outlook:
 The overall macroeconomic environment, including factors such as inflation, interest rates, and consumer spending, can have a significant impact on Gen Digital's performance. The latest economic data and forecasts suggest that the U.S. economy is showing signs of resilience, which could bode well for the company's future growth.</t>
  </si>
  <si>
    <t>Recent News: GoDaddy (GDDY) has seen its stock price increase by 18.6% since its last earnings report, outperforming the broader market. The company's focus on pricing, bundling, and AI-driven innovations has positioned it for sustained revenue growth and profitability. Additionally, GoDaddy's strong free cash flow generation, projected to reach $1.6 billion in 2025, makes its current 18x valuation enticing.
 Financials: GoDaddy's financial performance has been solid, with the company generating consistent cash flow and maintaining operational efficiencies. However, the company's $3.1 billion net debt is a risk factor that needs to be considered.
 Valuations: GoDaddy's stock price has increased by 86% year-to-date, suggesting that the company's valuation may be stretched. While the company's growth prospects are promising, investors may want to wait for a better entry point.
 Economic Outlook: The overall economic environment remains uncertain, with concerns over inflation, the potential impact of new tariffs, and geopolitical tensions. These factors could introduce volatility in the market, which may affect GoDaddy's performance.</t>
  </si>
  <si>
    <t>Recent News:
 - ExxonMobil (XOM) faces scrutiny over allegations of hacked emails of environmental activists, with the FBI investigating the claims.
 - The company's low-carbon strategy has been highlighted as a key driver for its growth potential over the next five years.
 - ExxonMobil has decided to exit its stake in Block 52 offshore Suriname, as part of its efforts to optimize its global portfolio.
 Financials:
 ExxonMobil reported strong financial results in its latest quarter, with revenue and earnings exceeding market expectations. The company's focus on cost discipline and efficiency in its shale production operations has helped maintain profitability amidst the volatile energy market.
 Valuations:
 ExxonMobil's stock is currently trading at a forward P/E ratio of around 12.5, which is slightly below the industry average. The company's dividend yield of over 6% also makes it an attractive option for income-oriented investors.
 Economic Outlook:
 The global energy market is expected to remain volatile in the near term, with geopolitical tensions and supply chain disruptions continuing to impact oil and gas prices. However, the long-term outlook for the industry remains positive, driven by the growing demand for energy and the transition towards renewable sources.</t>
  </si>
  <si>
    <t>Recent News:
 Bank of America (BAC) stock has seen mixed performance recently. While the broader market has gained, BAC stock has declined by 0.99% in the latest trading session. However, the bank remains a leader in the financial services industry with a $364 billion market cap and a massive $3.3 trillion asset base as of September 30.
 Financials:
 Bank of America's strong financial position is highlighted by its designation as a global systemically important bank (G-SIB) by the Financial Stability Board (FSB). The bank has moved to a different "bucket" in 2024, which will result in a lower capital requirement compared to the previous year.
 Valuations:
 BAC stock has reached a new 52-week high, indicating strong investor sentiment. The company's growth efforts and the potential impact of the newly elected government's policies could help maintain the positive momentum in the stock price.
 Economic Outlook:
 The overall economic environment remains supportive, with the U.S. economy showing signs of resilience. However, concerns over inflation, potential trade tensions, and geopolitical risks could introduce volatility in the near future.</t>
  </si>
  <si>
    <t>Recent News:
 - BlackRock Finance (BLK) stock fell slightly by 0.26% in the latest trading session, despite a broader market uptick.
 - BlackRock is reportedly near a deal to acquire private credit manager HPS Investment Partners for over $12 billion, which would strengthen its presence in the alternatives market.
 - The asset manager has been actively expanding its footprint in the private credit space, with the potential HPS acquisition being the latest move.
 - BlackRock has also been in the news for marking down its investment in web hosting provider Automattic by 10% in its latest quarterly disclosure.
 - Additionally, BlackRock, along with other major asset managers, is facing an "anti-woke" lawsuit filed by 11 Republican-led U.S. states, alleging the firms used their influence to restrict coal output.
 Financials:
 BlackRock's recent financial performance has been solid, with the company reporting strong revenue and earnings growth in its latest quarterly results. The firm's assets under management (AUM) have also continued to grow, reaching over $10 trillion as of the end of the third quarter.
 Valuation:
 BlackRock's stock price has performed well this year, rising by around 75% from its lowest level in January. The company's current market capitalization stands at over $158 billion, reflecting its dominant position in the asset management industry.
 Economic Outlook:
 The overall economic outlook remains mixed, with concerns over persistent inflation and the potential for further interest rate hikes by the Federal Reserve. However, the U.S. manufacturing sector has shown resilience, and the stock market has maintained its positive momentum, which could bode well for BlackRock's business.</t>
  </si>
  <si>
    <t>Recent News: Sysco Corporation (SYY), the leading global foodservice distribution company, reported its latest earnings results 30 days ago. The company's stock has since risen 3.2%, outperforming the broader market. This positive performance can be attributed to Sysco's ability to navigate the challenging macroeconomic environment and deliver solid financial results.
 Financials: In its recent earnings report, Sysco reported better-than-expected revenue and earnings, driven by strong demand from its customer base and effective cost management strategies. The company's gross margins have remained resilient, and it has demonstrated the ability to pass on higher input costs to its customers, which has supported its profitability.
 Valuations: Sysco's stock is currently trading at a forward P/E ratio of 19.5x, which is slightly above the industry average but still within a reasonable range. The company's valuation metrics suggest that the market has factored in the current economic conditions and is optimistic about Sysco's ability to maintain its market leadership and continue delivering solid financial performance.
 Economic Outlook: The overall macroeconomic environment remains challenging, with concerns about inflation, interest rate hikes, and potential recessionary pressures. However, the foodservice industry has shown resilience, and Sysco's diversified customer base and strong market position have enabled the company to navigate these headwinds effectively.</t>
  </si>
  <si>
    <t>Recent News: AES Corporation (AES) is expected to benefit from its ongoing expansion in renewable energy generation, which aligns with the global shift towards cleaner energy sources. However, the company's operations have been impacted by declining wholesale electricity prices, which could pose a challenge.
 Financials: AES reported revenue of $3.04 billion in the most recent quarter, a 10.6% year-over-year increase. The company's adjusted earnings per share stood at $0.50, surpassing the Zacks Consensus Estimate of $0.45. AES has a strong balance sheet, with a debt-to-equity ratio of 4.37, which is slightly higher than the industry average.
 Valuations: AES is currently trading at a forward price-to-earnings (P/E) ratio of 12.5, which is lower than the industry average of 14.9, suggesting the stock is undervalued compared to its peers. The company's price-to-book (P/B) ratio of 3.8 is also below the industry average of 4.2.
 Economic Outlook: The ongoing global shift towards renewable energy sources and the need to reduce carbon emissions are expected to benefit AES in the long run. However, the company's operations may continue to be affected by the volatility in wholesale electricity prices, which could impact its financial performance in the near term.</t>
  </si>
  <si>
    <t>Recent News:
 W.W. Grainger, Inc. (GWW) has been on a bit of a cold streak lately, but there might be light at the end of the tunnel for this overlooked stock. And for technical investors there is definitely some cause for optimism, as the firm's raw stochastic reading indicates that a trend reversal could be in the cards for GWW.
 Financials:
 W.W. Grainger's latest quarterly results show that the company is continuing to perform well, with strong revenue and earnings growth. The firm's gross margins have remained stable, and its balance sheet appears to be in good shape, with ample liquidity and manageable debt levels.
 Valuations:
 Based on the latest data, W.W. Grainger's valuation metrics, such as its price-to-earnings and price-to-sales ratios, are in line with the industry average, suggesting that the stock is reasonably valued.
 Economic Outlook:
 The overall economic environment remains supportive for industrial machinery and supplies companies like W.W. Grainger. The manufacturing sector has shown resilience, and the potential for continued infrastructure spending could benefit the firm's business.</t>
  </si>
  <si>
    <t>Recent News:
 Prudential Financial (PRU) stock has been on a positive trajectory, trading near its 52-week high. The company has gained from its strong performance in emerging markets, expanded distribution channels, compelling product offerings, and strategic acquisitions. Notably, the stock has risen 5.8% since the company's last earnings report, indicating investor confidence in the firm's growth prospects.
 Financials:
 Prudential Financial's recent financial performance has been solid, with the company reporting strong earnings growth in its emerging markets segment. The firm's strategic initiatives, such as expanding its distribution network and introducing new products, have contributed to its overall financial strength.
 Valuations:
 Prudential Financial's valuation metrics, such as its price-to-earnings (P/E) ratio and price-to-book (P/B) ratio, are in line with industry averages, suggesting that the stock may be reasonably valued.
 Economic Outlook:
 The macroeconomic environment, including factors such as interest rates, inflation, and consumer spending, can have a significant impact on Prudential Financial's performance. The latest economic data and forecasts suggest a generally favorable outlook, which could bode well for the company's future growth.</t>
  </si>
  <si>
    <t>Recent News: Akamai Technologies (AKAM) has received court approval for its acquisition of select assets from Edgio, a content delivery network (CDN) and edge computing provider. This deal is expected to be accretive to Akamai, as it will provide the company with hundreds of new customers and potentially enhance its revenue-generating capabilities.
 Financials: Akamai's latest financial results have been solid, with the company reporting strong revenue growth and profitability. In the most recent quarter, the company's revenue increased by 7% year-over-year, and its adjusted earnings per share (EPS) exceeded market expectations.
 Valuations: Akamai's stock is currently trading at a price-to-earnings (P/E) ratio of around 25, which is in line with the industry average. The company's valuation metrics suggest that the stock may be reasonably priced, considering its growth potential and market position.
 Economic Outlook: The overall economic environment remains challenging, with concerns about inflation, interest rate hikes, and geopolitical tensions. However, the Internet Services &amp; Infrastructure industry, in which Akamai operates, is expected to continue experiencing robust demand as businesses and consumers increasingly rely on digital services.</t>
  </si>
  <si>
    <t>Recent News: Alexandria Real Estate Equities (ARE), a leading office REIT, has continued to expand its portfolio of high-quality properties in key life science and technology hubs. The company recently announced the acquisition of a premier life science campus in South San Francisco, further strengthening its presence in the thriving biotech hub. Additionally, ARE has been actively engaged in developing new properties, with a robust development pipeline that includes several large-scale projects.
 Financials: Alexandria's financial position remains strong, with a healthy balance sheet and ample liquidity. The company's Q3 2024 results showed solid performance, with a 95.5% leased rate and a weighted average lease term of 7.2 years. However, the firm's development activities have led to an increase in leverage, which could be a concern for some investors.
 Valuations: Alexandria's stock is currently trading at a premium valuation compared to its peers, with a price-to-FFO ratio of 22.4x, above the industry average. This premium valuation reflects the market's confidence in the company's ability to deliver consistent growth and maintain its position as a leading player in the office REIT sector.
 Economic Outlook: The overall economic environment remains challenging, with concerns over rising interest rates, inflation, and geopolitical tensions. However, the life science and technology sectors, which are the primary focus of Alexandria's portfolio, have demonstrated resilience and continued growth, even in the face of broader economic headwinds.</t>
  </si>
  <si>
    <t>Recent News:
 - Kroger (KR) is set to report its Q3 2024 earnings, with analysts closely watching key metrics beyond the headline estimates to gain deeper insights into the company's performance.
 - Kroger recently rewarded its shareholders with a quarterly dividend, continuing its track record of returning value to investors.
 - The company's focus on fresh products, digital innovation, and personalized shopping experiences positions it well to drive growth in the dynamic retail landscape.
 - Wall Street analysts have a positive outlook on Kroger, considering it a good investment opportunity, though investor decisions should not solely rely on analyst recommendations.
 Financials:
 Kroger's recent financial performance has been solid, with the company demonstrating its ability to navigate the evolving retail environment. The company's focus on strategic initiatives, such as enhancing its digital capabilities and expanding its fresh product offerings, has contributed to its financial resilience.
 Valuation:
 Kroger's valuation metrics, such as its price-to-earnings (P/E) ratio and price-to-sales (P/S) ratio, suggest that the stock may be reasonably valued compared to its industry peers. However, a more comprehensive analysis of the company's fundamentals and growth prospects would be necessary to determine its true investment potential.
 Economic Outlook:
 The overall economic environment, including factors such as consumer spending patterns, inflation, and interest rate movements, can have a significant impact on Kroger's performance. The recent macroeconomic data and trends suggest a mixed outlook, with some indicators pointing to continued resilience, while others raise concerns about potential headwinds.</t>
  </si>
  <si>
    <t>Recent News: American Express (AXP) has been making headlines as a potential favorite stock of renowned investor Warren Buffett. While Apple is widely recognized as Buffett's largest investment, American Express has been a long-standing holding in Berkshire Hathaway's portfolio, with the conglomerate owning over 151 million shares as of the latest filing.
 Financials: American Express reported strong financial results in its most recent quarter, with revenues increasing by 24% year-over-year and earnings per share surpassing analyst estimates. The company's credit card business has shown resilience, with cardmember spending rising by double digits compared to the prior year period.
 Valuations: American Express trades at a price-to-earnings ratio of 14.2, which is slightly below the industry average. The company's stock has outperformed the broader market year-to-date, with a gain of over 10%.
 Economic Outlook: The consumer finance industry, in which American Express operates, is expected to benefit from the continued strength in consumer spending and a resilient labor market. However, the potential for a slowdown in economic growth and the impact of rising interest rates on consumer behavior could pose challenges for the company.</t>
  </si>
  <si>
    <t>Recent News:
 - Disney's theme park division reported its lowest profit in two years, despite the overall strong quarterly results.
 - Disney's TV networks and streaming platform are benefiting from the expanded College Football Playoff, boosting advertising and viewership.
 - Disney's streaming business has been picking up steam, with the potential to double the stock price, though it still lags behind Netflix in the streaming space.
 - Disney hired a Sky finance boss to run Disney+ in EMEA, replacing the previous executive.
 - Disney reportedly settled a $43 million gender pay lawsuit, addressing pay disparities between male and female employees.
 Financials:
 Disney's recent earnings report showed strong financial performance, with EPS growth and increased free cash flow. However, the company's linear networks remain a challenge, and its debt level is an opportunity for improvement.
 Valuation:
 Disney's stock price has gained 31% this year, compared to Netflix's 85% surge. While Disney's market cap is roughly half of Netflix's, the company is making strides in the streaming space and has the potential to continue its growth trajectory.
 Economic Outlook:
 The overall economic environment remains positive, with the U.S. economy showing signs of resilience. However, concerns over inflation, potential trade tensions, and geopolitical risks could introduce volatility in the near future, which may impact Disney's performance.</t>
  </si>
  <si>
    <r>
      <t xml:space="preserve">Recent News:
 Alphabet Inc. (Class C), the parent company of Google, has been a focus of investor attention lately. The company's stock has been heavily searched by </t>
    </r>
    <r>
      <rPr>
        <rFont val="&quot;Helvetica Neue&quot;"/>
        <color rgb="FF1155CC"/>
        <sz val="8.0"/>
        <u/>
      </rPr>
      <t>Zacks.com</t>
    </r>
    <r>
      <rPr>
        <rFont val="&quot;Helvetica Neue&quot;"/>
        <sz val="8.0"/>
      </rPr>
      <t xml:space="preserve"> users, indicating heightened interest from the investment community.
 Financials:
 Alphabet's recent financial performance has been solid, with the company reporting strong revenue growth and profitability in its most recent quarter. The company's diversified business model, which includes its core Google search and advertising operations, as well as its other ventures like YouTube and cloud computing, has helped it navigate the challenging macroeconomic environment.
 Valuations:
 Alphabet's valuation metrics, such as its price-to-earnings (P/E) ratio and price-to-sales (P/S) ratio, are in line with the industry average, suggesting that the stock may be reasonably priced at current levels.
 Economic Outlook:
 The overall economic outlook, including factors such as the Federal Reserve's monetary policy decisions, trade tensions, and geopolitical developments, could have a significant impact on Alphabet's performance in the near term. The company's exposure to the global economy and its reliance on advertising revenue make it susceptible to changes in the macroeconomic environment.</t>
    </r>
  </si>
  <si>
    <t>Recent News: Clorox's pricing and cost-saving initiatives have been beneficial, with the company's IGNITE strategy also boding well. The stock has gained 5.4% since the last earnings report, and Clorox is considered a strong momentum stock according to the Zacks Style Scores.
 Financials: Clorox's financial performance has been stable, with the company maintaining its market position in the Household Products industry. The company's focus on pricing and cost optimization has helped offset inflationary pressures, supporting its profitability.
 Valuations: Clorox's valuation metrics, such as its price-to-earnings ratio, are in line with the industry average, suggesting the stock is reasonably priced.
 Economic Outlook: The overall economic environment remains challenging, with concerns over inflation and the potential impact of the new tariff threat. However, the U.S. economy's resilience, as evidenced by strong manufacturing data, provides a favorable backdrop for Clorox's operations.</t>
  </si>
  <si>
    <t>Recent News:
 CenterPoint Energy, Inc. (CNP) reported its latest quarterly earnings on November 3rd, 2024. The company's stock has risen 10.5% since the earnings release, outperforming the broader utilities sector. Investors have reacted positively to CenterPoint's solid financial performance, which included a 6.2% year-over-year increase in revenue and a 4.1% rise in adjusted earnings per share.
 Financials:
 CenterPoint's recent financial results have been encouraging. The company's revenue growth was driven by higher natural gas sales volumes and favorable rate adjustments in its electric and natural gas distribution segments. Additionally, the company's cost management efforts have helped to improve its profitability, with the adjusted EBITDA margin expanding by 80 basis points compared to the prior-year period.
 Valuations:
 CenterPoint's stock is currently trading at a forward price-to-earnings (P/E) ratio of 18.2x, which is slightly below the industry average of 19.1x. The company's dividend yield of 3.2% is also attractive, especially in the current low-interest-rate environment.
 Economic Outlook:
 The overall economic outlook remains mixed, with concerns about persistent inflation and the potential for further interest rate hikes by the Federal Reserve. However, the U.S. manufacturing sector has shown resilience, which could benefit CenterPoint's industrial and commercial customer base. Additionally, the company's regulated utility operations provide a degree of stability and predictability in its cash flows, which could make it a relatively defensive investment option in the current market environment.</t>
  </si>
  <si>
    <t>Recent News:
 Chevron Corporation (CVX) has been a trending stock lately, with the company facing various developments in its business operations. The price of Brent crude, a key global oil benchmark, has fallen by around 20% in the past seven months, which could impact Chevron's revenue. Additionally, the company has expressed concerns about California's recently enacted legislation on oil refineries needing to maintain minimum fuel stocks, stating that it could raise prices for customers. However, Chevron's exploration efforts in an African country have been identified as a potential catalyst for the stock if a new discovery is made.
 Financials:
 Chevron's financial performance has been relatively stable, with the company reporting strong earnings and cash flow in recent quarters. The company's diversified business model, which includes both upstream and downstream operations, has helped it navigate the volatile oil and gas market. Chevron's balance sheet remains healthy, with a manageable debt load and ample liquidity to fund its operations and investments.
 Valuations:
 Chevron's stock is currently trading at a forward price-to-earnings (P/E) ratio of around 8.5, which is lower than the industry average. This suggests that the stock may be undervalued compared to its peers, providing potential upside for investors.
 Economic Outlook:
 The global economic outlook remains uncertain, with ongoing geopolitical tensions and concerns about inflation and interest rate hikes. However, the energy sector is expected to continue benefiting from the recovery in global demand for oil and gas. Chevron's diversified business model and strong financial position should help it navigate the current economic environment.</t>
  </si>
  <si>
    <t>Recent News: Chipotle Mexican Grill (CMG) has seen its stock price rise by 11.3% since its last earnings report, as the company navigates rising costs for key ingredients like avocados, queso, and sour cream. The company's new CFO, Adam Rymer, has indicated that Chipotle is considering raising prices to offset these cost pressures, while still aiming to keep menu items affordable for customers.
 Financials: In its most recent quarter, Chipotle reported strong financial results, with revenue growing 14.1% year-over-year and comparable restaurant sales increasing by 7.6%. The company's operating margin also improved, reflecting its ability to manage costs effectively.
 Valuation: Chipotle's stock is currently trading at a forward P/E ratio of 47.2, which is higher than the industry average of 24.6. However, the company's strong growth prospects and brand loyalty among consumers may justify the premium valuation.
 Economic Outlook: The overall economic environment remains challenging, with high inflation and the potential for further interest rate hikes by the Federal Reserve. These factors could impact consumer spending and put pressure on Chipotle's margins. However, the company's focus on maintaining affordability and its strong brand positioning may help it navigate these headwinds.</t>
  </si>
  <si>
    <r>
      <t xml:space="preserve">Recent News: Chubb Limited (CB) has been a trending stock among </t>
    </r>
    <r>
      <rPr>
        <rFont val="&quot;Helvetica Neue&quot;"/>
        <color rgb="FF1155CC"/>
        <sz val="8.0"/>
        <u/>
      </rPr>
      <t>Zacks.com</t>
    </r>
    <r>
      <rPr>
        <rFont val="&quot;Helvetica Neue&quot;"/>
        <sz val="8.0"/>
      </rPr>
      <t xml:space="preserve"> users, indicating increased investor interest in the company. The stock has seen a 2.4% increase since its last earnings report, and has rallied 29% year-to-date, though it has lagged behind the industry average. Analysts suggest that current investors should retain their CB holdings, as the insurance company is expected to continue performing well, while new investors may want to wait for a more favorable entry point.
 Financials: Chubb's recent financial performance has been solid, with the company reporting strong earnings results in its last quarter. The company's revenue and profitability metrics have been trending in a positive direction, indicating a healthy business model and operational efficiency.
 Valuations: Chubb's current valuation metrics, such as its price-to-earnings ratio and price-to-book ratio, are in line with the industry average, suggesting that the stock is fairly valued in the market.
 Economic Outlook: The overall economic environment, including factors such as interest rates, inflation, and consumer spending, can have a significant impact on the performance of insurance companies like Chubb. The recent macroeconomic data and trends suggest a relatively stable economic outlook, which could be supportive of Chubb's continued growth.</t>
    </r>
  </si>
  <si>
    <t>Recent News:
 Verisk Analytics (VRSK) stock has risen 7.2% since the company's last earnings report, outperforming the S&amp;P 500's 2.5% gain over the same period. The positive momentum comes as investors anticipate the company's upcoming Q4 2024 earnings release, scheduled for February 28th.
 Financials:
 In the previous quarter, Verisk reported strong financial results, with revenue increasing 8.2% year-over-year to $751 million and adjusted EPS growing 10.5% to $1.43. The company's core insurance and energy segments continued to drive growth, offsetting some softness in the financial services division.
 Valuations:
 Verisk's stock is currently trading at a forward P/E ratio of 27.5x, slightly above its 5-year average of 26.8x. However, the company's strong growth prospects and market-leading position in the research and consulting services industry may justify the premium valuation.
 Economic Outlook:
 The overall economic environment remains mixed, with concerns about inflation and the potential for a recession. However, the research and consulting services industry has historically demonstrated resilience during economic downturns, as companies often rely on these services to navigate complex business challenges.</t>
  </si>
  <si>
    <t>Recent News: Campbell Soup Company (CPB) is set to report its fiscal first-quarter 2024 results. Analysts expect the company to post earnings growth, driven by strength in the Meals &amp; Beverages unit. However, concerns remain around the performance of the Snacks unit amid a challenging consumer environment. Wall Street is anticipating a beat on both the top and bottom lines, suggesting the company may have the right combination of factors to deliver positive results.
 Financials: Campbell's recent financial performance has been mixed. In the previous quarter, the company reported better-than-expected earnings, but revenue fell short of estimates. The Meals &amp; Beverages segment, which includes iconic brands like Campbell's soup, has been a bright spot, while the Snacks unit has faced headwinds. The company's profitability has been under pressure due to inflationary pressures and supply chain challenges.
 Valuation: Campbell Soup Company's valuation metrics, such as the price-to-earnings (P/E) ratio, are in line with the industry average, suggesting the stock is fairly valued. However, the company's dividend yield is higher than the sector median, which could make it attractive to income-oriented investors.
 Economic Outlook: The macroeconomic environment remains challenging, with concerns over inflation, interest rate hikes, and geopolitical tensions. These factors could impact consumer spending and the overall packaged foods industry. However, the resilience of the U.S. economy and the potential for continued strength in the manufacturing sector may provide some support for Campbell's performance.</t>
  </si>
  <si>
    <t>Recent News: MGM Resorts International (MGM) stock has risen 1.4% since the company's last earnings report 30 days ago. The casino and hospitality company has seen its shares perform well, benefiting from the continued recovery in the travel and leisure industry.
 Financials: In its most recent quarter, MGM reported revenue of $3.19 billion, up 26% year-over-year, and adjusted earnings per share of $0.29. The company's Las Vegas Strip resorts and regional operations both saw strong performance, with occupancy rates and gaming volumes improving.
 Valuations: MGM Resorts' stock is currently trading at a price-to-earnings ratio of 10.2, which is slightly below the industry average. The company's enterprise value-to-EBITDA ratio stands at 10.8, suggesting the stock may be reasonably valued.
 Economic Outlook: The overall economic environment remains supportive for the casino and gaming industry. Continued strength in consumer spending, the recovery in travel demand, and the potential for further easing of COVID-19 restrictions could benefit MGM's operations in the coming months.</t>
  </si>
  <si>
    <t>Recent News: CarMax, the leading used-car retailer in the United States, has been facing some challenges in the current economic environment. The company's stock price has declined by around 20% over the past year, as rising interest rates and economic uncertainty have weighed on consumer demand for used vehicles.
 Financials: In its most recent quarterly earnings report, CarMax reported a 2.3% year-over-year decline in revenue, as well as a 29.2% drop in net income. The company's gross profit margin also contracted, reflecting the impact of higher costs and a more competitive market.
 Valuations: Despite the recent headwinds, CarMax's valuation metrics suggest the stock may be undervalued. The company's forward price-to-earnings (P/E) ratio is currently around 13.5, which is below the industry average of 15.5. Additionally, CarMax's price-to-book (P/B) ratio of 2.3 is lower than the industry average of 2.8.
 Economic Outlook: The macroeconomic environment remains a concern for CarMax, as rising interest rates and the potential for a recession could continue to weigh on consumer spending and demand for used vehicles. However, the company's strong brand, extensive network of retail locations, and focus on providing a seamless customer experience may help it navigate these challenges more effectively than some of its competitors.</t>
  </si>
  <si>
    <t>Recent News: Pfizer has been facing some challenges, including falling earnings and an activist investor attempting to unseat its leadership. However, the pharmaceutical company is still actively advancing its core priorities and giving investors reasons to consider buying its stock while it's relatively cheap. Despite concerns over its financial health and political risks, Pfizer's high initial dividend yield, solid ratings, and promising pipeline make it a potentially undervalued investment.
 Financials: Pfizer's financial health has been concerning, with unsustainable dividend payout ratios and negative debt-to-equity ratios. However, future projections suggest a potential recovery for the company.
 Valuations: Pfizer's stock is currently trading near 52-week lows, which could indicate that it is undervalued by the market.
 Economic Outlook: The overall economic environment remains uncertain, with factors such as inflation, interest rate hikes, and geopolitical tensions potentially impacting the pharmaceutical industry.</t>
  </si>
  <si>
    <t>Recent News: HP Inc. has faced a mixed performance in recent quarters, with weaker PC sales and higher commodity costs impacting its operating margins. The company's Q4 earnings missed expectations, and its Q1 profit forecast also fell short of analyst estimates, reflecting the sluggish demand in the personal computer market. However, HP remains optimistic about a potential PC demand recovery in FY25, driven by new AI features and the end of support for Windows 10.
 Financials: HP's Q4 bottom-line results reflect the negative impact of rising costs in the Personal Systems segment, partially offset by a recovery in the Printing business. The company's revenue fell 4% year-over-year to $13.2 billion, below analysts' expectations of $14.0 billion. Earnings per share rose 3% to $0.93, in line with Wall Street expectations.
 Valuation: HP Inc. is currently trading at around 11x forward revenue, making it a scarce value stock in the current expensive market environment. The company's valuation appears attractive, especially if it can execute on its plan to drive a PC demand recovery in the coming years.
 Economic Outlook: The overall economic and market conditions remain challenging, with concerns over inflation, the potential impact of new tariffs, and geopolitical tensions. However, the U.S. economy and stock market have shown signs of resilience, with key indicators like manufacturing data pointing to continued strength.</t>
  </si>
  <si>
    <t>Recent news indicates that Marriott Vacations Worldwide has seen a 29% gain over the past year, with a recent recovery following summer volatility, though the stock remains below its Q2 highs. The company's Q3 results showed a $1.80 EPS, beating estimates by $0.20, with revenue up 10% to $1.3 billion, driven by the recovery in Hawaii. Financing revenue rose 7%, but credit quality issues persist, with $281 million past due and $516 million in reserves, posing potential risks.
 Financials: Marriott Vacations Worldwide's Q3 results demonstrated improved performance, with a 10% increase in revenue to $1.3 billion and a $1.80 EPS that beat estimates. The company's financing revenue also rose 7%, indicating some stability in its financing operations. However, the persistent credit quality issues, with $281 million in past-due accounts and $516 million in reserves, could pose a risk to the company's financial health.
 Valuation: Marriott Vacations Worldwide's stock has seen a 29% gain over the past year, suggesting that the market is optimistic about the company's recovery. However, the stock remains below its Q2 highs, indicating that there may be some lingering concerns about the company's performance.
 Economic Outlook: The overall economic outlook for the Hotels, Resorts &amp; Cruise Lines industry appears to be mixed. While the recovery in Hawaii has benefited Marriott Vacations Worldwide, the persistent credit quality issues and the potential impact of geopolitical tensions and economic uncertainty could pose challenges for the company in the near future.</t>
  </si>
  <si>
    <t>Recent News:
 Coca-Cola Company (The) (KO) has been a closely watched stock by investors lately, as the company continues to navigate the evolving market conditions. Wall Street analysts have maintained an overall optimistic outlook on the stock, with many reiterating their "buy" recommendations. The company's ability to adapt its product portfolio and distribution channels has been a key focus for investors.
 Financials:
 Coca-Cola's latest financial results have been relatively strong, with the company reporting better-than-expected earnings and revenue growth in the most recent quarter. The company's diversified product offerings and global reach have helped it weather the challenges posed by the pandemic and macroeconomic uncertainties. However, investors will be closely monitoring the company's ability to maintain its profitability and market share in the face of increasing competition and changing consumer preferences.
 Valuations:
 Coca-Cola's valuation metrics, such as its price-to-earnings (P/E) ratio and price-to-sales (P/S) ratio, are in line with the industry average, suggesting that the stock may be fairly valued at the moment. Analysts' price targets for the stock indicate a potential upside, but investors should consider the company's long-term growth prospects and the potential impact of macroeconomic factors on its performance.
 Economic Outlook:
 The overall economic outlook remains mixed, with concerns about inflation, interest rate hikes, and geopolitical tensions weighing on investor sentiment. However, the resilience of the consumer sector, particularly in the soft drinks and non-alcoholic beverages industry, could provide a buffer for Coca-Cola. The company's global diversification and its ability to adapt to changing consumer preferences will be crucial in navigating the current economic environment.</t>
  </si>
  <si>
    <t>Recent News: The TJX Companies, Inc. (TJX) has been attracting significant investor attention lately, as the company has reported solid Q3 performance with 6% revenue growth, driven by strong same-store sales growth across divisions and improved gross margins. The company's international expansion strategy, including ventures in Mexico, UAE, Saudi Arabia, and Spain, shows promise but requires successful execution for sustained premium valuation.
 Financials: TJX's recent financial performance has been strong, with the company reporting 6% revenue growth in Q3. The company's gross margins have also improved, indicating that it is effectively managing its costs and pricing strategies. However, the company's valuation multiple is currently considered "tricky," suggesting that investors may be cautious about the company's long-term growth prospects.
 Valuation: The TJX Companies' current valuation multiple is a key factor to consider. While the company's recent financial performance has been solid, the valuation multiple is seen as "tricky," indicating that investors may be cautious about the company's long-term growth potential.
 Economic Outlook: The overall economic outlook is a crucial factor that can impact the TJX Companies' performance. The recent macroeconomic data, such as the ISM manufacturing data and the Fed's comments on inflation, suggest that the U.S. economy is showing signs of resilience, which could be positive for the retail sector. However, the potential impact of new tariffs and geopolitical tensions could introduce volatility in the market, which could affect the TJX Companies' performance.</t>
  </si>
  <si>
    <t>Recent News:
 Starbucks Corporation (SBUX) has been attracting significant investor attention lately. The company's stock has gained 3.9% since its last earnings report, and it recently rewarded its shareholders with a quarterly dividend hike. However, the coffee chain has also faced some challenges, including a 40% reduction in holiday bonuses for its corporate workers due to a difficult year. Additionally, the company's earnings estimates have been trending downward, raising concerns about its near-term performance.
 Financials:
 Starbucks' financial performance has been mixed. While the company has been able to maintain its market position and generate steady revenue, its earnings estimates have been declining, indicating potential challenges ahead. The company's ability to navigate these challenges and maintain its profitability will be crucial for its long-term success.
 Valuations:
 Starbucks' current valuation metrics, such as its price-to-earnings ratio, suggest that the stock may be reasonably valued, but the recent downward trend in earnings estimates could put pressure on the stock's valuation.
 Economic Outlook:
 The overall economic outlook for the restaurant industry, in which Starbucks operates, is cautiously optimistic. While the industry has faced some headwinds, such as labor shortages and supply chain disruptions, the gradual recovery of consumer spending and the easing of pandemic-related restrictions could provide a favorable environment for Starbucks to navigate its challenges and capitalize on growth opportunities.</t>
  </si>
  <si>
    <t>Recent News:
 Masco Corporation (MAS), a leading manufacturer of home improvement and building products, reported its latest earnings results 30 days ago. The company's stock price has increased by 0.1% since the earnings announcement.
 Financials:
 In the recent quarter, Masco reported revenue of $2.2 billion, a 1.4% increase year-over-year. The company's net income was $248 million, up from $225 million in the same period last year. Masco's gross margin remained stable at 34.5%, indicating the company's ability to maintain its profitability.
 Valuations:
 Masco's current P/E ratio is 13.2, which is slightly below the industry average of 14.5. The company's forward P/E ratio is 12.8, suggesting that the market expects Masco's earnings to grow in the future. Masco's price-to-book ratio is 29.5, indicating that the stock may be trading at a premium compared to its book value.
 Economic Outlook:
 The overall economic environment remains challenging, with concerns over rising inflation and the potential for a slowdown in the housing market. However, the recent strength in the manufacturing sector, as evidenced by the ISM manufacturing data, suggests that Masco's core business may continue to perform well.</t>
  </si>
  <si>
    <t>Recent News:
 Lockheed Martin's (LMT) aerospace and defense unit has secured a $579 million contract to support the development and integration of equipment for Japan's ASEV (Advanced Satellite Evaluation Vehicle) program. Additionally, the company has made progress in the development of its LM400 space vehicle launch system, which could be of interest to investors in the defense sector.
 Financials:
 Lockheed Martin's latest financial results have been positive, with the company reporting strong revenue growth and profitability. The company's order backlog remains robust, providing visibility into future revenue streams. However, the stock's valuation appears to be trading at a premium compared to its peers, which could be a concern for some investors.
 Economic Outlook:
 The overall economic and geopolitical environment remains volatile, with ongoing global conflicts and tensions. This could potentially benefit defense contractors like Lockheed Martin, as governments may increase defense spending to address these challenges. However, the impact of these factors on the company's financial performance remains to be seen.
 Valuation:
 Lockheed Martin's stock is currently trading at a premium valuation compared to its industry peers. This could be a concern for some investors, as the company's growth prospects may already be priced into the stock.</t>
  </si>
  <si>
    <t>Recent News:
 AbbVie's stock has declined by 10.2% since the company's last earnings report, which was released 30 days ago. The drop in the stock price can be attributed to several factors, including concerns over the company's reliance on its blockbuster drug Humira, which is facing increased competition from biosimilars.
 Financials:
 In the latest quarter, AbbVie reported revenue of $14.58 billion, a 3.3% increase year-over-year, driven by strong performance of its immunology and hematologic oncology portfolios. However, the company's net income declined by 5.8% to $3.31 billion, primarily due to higher operating expenses.
 Valuations:
 Despite the recent stock price decline, AbbVie's valuation remains relatively attractive, with a forward P/E ratio of 10.2, which is lower than the industry average. The company's dividend yield of 4.4% also makes it appealing to income-oriented investors.
 Economic Outlook:
 The overall economic environment remains challenging, with concerns over rising interest rates, high inflation, and the potential for a recession. These macroeconomic factors could put pressure on the healthcare and pharmaceutical sectors, including AbbVie.</t>
  </si>
  <si>
    <t>Recent News: Kimberly-Clark (KMB) faces some near-term challenges in Q4, including a dynamic retail landscape and high promotional costs. However, the company's strategic initiatives, such as innovation and efficiency improvements, are expected to lay the foundation for future growth.
 Financials: Kimberly-Clark has a strong track record, with 58 consecutive years of dividend growth, and a truly global presence, holding top-two market share positions in 70 countries. The company's diversified portfolio of well-known brands, including Huggies, Kleenex, and Cottonelle, has helped it maintain a stable financial position.
 Valuations: The recent options trade analysis suggests that selling the December 142-strike call option on Kimberly-Clark can generate an income of 0.61% in just under one month, which equates to around 9% annualized. This could be an attractive strategy for investors seeking to enhance the yield on this dividend-paying stock.
 Economic Outlook: The broader economic environment, including factors such as consumer spending patterns and the competitive landscape in the household products industry, will be crucial in determining Kimberly-Clark's performance in the near term. The company's ability to navigate these challenges and execute its strategic initiatives effectively will be key to its long-term success.</t>
  </si>
  <si>
    <t>Recent News: Molson Coors Beverage Company (TAP) has been in the spotlight recently due to its low price-to-earnings (P/E) valuation compared to its peers in the Brewers industry. The company's revitalization plan, focus on premiumization, and promising global expansion efforts have demonstrated its resilience in the face of industry challenges.
 Financials: Molson Coors' latest financial results have been mixed, with strong performance in international markets offset by continued challenges in the United States. The company's revenue and earnings have shown signs of improvement, but the U.S. market remains a concern.
 Valuations: Molson Coors' current P/E ratio is significantly lower than the industry average, indicating that the stock may be undervalued. This could present an attractive investment opportunity for investors seeking value in the Brewers sector.
 Economic Outlook: The overall economic environment, including factors such as consumer spending, inflation, and interest rates, will play a crucial role in Molson Coors' future performance. The company's ability to navigate these macroeconomic conditions and execute its strategic initiatives will be key to its success.</t>
  </si>
  <si>
    <t>Recent News: Norwegian Cruise Line Holdings (NCLH) has faced significant challenges during the COVID-19 pandemic, with the company suspending operations for an extended period. However, the latest news suggests that the company is making progress in its recovery, with the resumption of cruises and improved booking trends. The company's CEO recently stated that the demand for cruises remains strong, and the company is well-positioned to capitalize on the pent-up demand for travel.
 Financials: The latest financial data for Norwegian Cruise Line shows that the company is still struggling to return to profitability. The company reported a net loss of $1.1 billion in the most recent quarter, though this was an improvement from the previous quarter. The company's revenue also increased significantly compared to the prior year, indicating that the recovery is underway.
 Valuations: Based on the latest financial data, Norwegian Cruise Line appears to be undervalued compared to its peers in the Hotels, Resorts &amp; Cruise Lines industry. The company's price-to-sales ratio is significantly lower than the industry average, suggesting that the market may be underestimating the company's potential for recovery.
 Economic Outlook: The overall economic outlook for the travel and leisure industry remains uncertain, with ongoing concerns about the impact of the pandemic and geopolitical tensions. However, the latest data suggests that consumer demand for travel is rebounding, which could bode well for Norwegian Cruise Line's recovery.</t>
  </si>
  <si>
    <t>Recent News: Monolithic Power Systems (MPWR) stock has declined by 26.2% since the company's latest earnings report. The drop in share price can be attributed to the broader market volatility and concerns over the macroeconomic environment, including rising interest rates and the potential impact of trade tensions.
 Financials: In the most recent quarter, Monolithic Power Systems reported revenue of $461.0 million, up 18.4% year-over-year, and non-GAAP earnings per share of $1.67, exceeding analyst estimates. The company's gross margin remained strong at 55.9%, indicating its ability to maintain profitability despite the challenging market conditions.
 Valuations: Prior to the recent decline, Monolithic Power Systems was trading at a premium valuation, with a price-to-earnings ratio of 52.7x and a price-to-sales ratio of 10.2x. The current pullback has made the stock's valuation more attractive, with a price-to-earnings ratio of 38.8x and a price-to-sales ratio of 7.5x.
 Economic Outlook: The macroeconomic environment remains uncertain, with concerns over rising interest rates, trade tensions, and the potential for a slowdown in economic growth. These factors could continue to weigh on the performance of semiconductor stocks, including Monolithic Power Systems, in the near term.</t>
  </si>
  <si>
    <t>Recent News: Exelon (EXC) stock has seen a 0.5% increase since the company's last earnings report 30 days ago. The electric utility company's performance has been relatively stable, as it continues to navigate the evolving energy landscape.
 Financials: In its latest quarterly results, Exelon reported revenue of $4.67 billion, slightly above the consensus estimate of $4.64 billion. The company's earnings per share (EPS) came in at $0.60, in line with market expectations. Exelon's strong operational efficiency and cost management have helped maintain its profitability during the period.
 Valuations: Exelon's stock is currently trading at a price-to-earnings (P/E) ratio of 18.2, which is slightly below the industry average of 19.5. This suggests the stock may be reasonably valued, though investors should consider the company's long-term growth prospects and potential risks.
 Economic Outlook: The electric utilities industry is heavily influenced by macroeconomic factors, such as energy demand, regulatory changes, and the transition to renewable energy sources. While the overall economic outlook remains cautiously optimistic, the industry may face challenges in adapting to the evolving energy landscape.</t>
  </si>
  <si>
    <t>Recent News: PayPal (PYPL) has seen a 10.7% increase in its stock price since its last earnings report. The company has also recently announced a strategic partnership with Mollie to deliver payment solutions for marketplace platforms in the European Union and the United Kingdom. Additionally, the stock has been receiving significant attention from investors, indicating increased interest in the company.
 Financials: PayPal's latest financial results have not been disclosed in the provided information. However, the company's previous earnings report and the recent stock price movement suggest that the market is reacting positively to the company's performance.
 Valuations: The report does not provide any specific valuation metrics for PayPal. Without this information, it is difficult to assess the company's current valuation and determine whether the stock is undervalued or overvalued.
 Economic Outlook: The macroeconomic data provided indicates a mixed economic environment, with ongoing global conflicts, political instability, and concerns about inflation and the Federal Reserve's monetary policy. These factors could potentially impact the overall market sentiment and affect the performance of companies like PayPal.</t>
  </si>
  <si>
    <t>Recent News: Yum! Brands is facing temporary headwinds, with system sales up just 1% over the first nine months, well below the company's long-term target of 7% growth. The weakening consumer health and Middle East-related blowback are contributing to the relatively soft year. However, the company's flagship brands, Taco Bell and KFC, remain in good health, and underlying demand from franchisees is still strong, despite the impact of store closures on unit growth this year.
 Financials: Yum! Brands' recent financial performance has been mixed, with system sales growth falling short of the company's long-term targets. The company's profitability and cash flow generation remain solid, providing a cushion to weather the current challenges.
 Valuations: Yum! Brands' valuation metrics, such as price-to-earnings and enterprise value-to-EBITDA, are in line with the industry average, suggesting the stock is fairly valued at the moment.
 Economic Outlook: The weakening consumer health and geopolitical tensions in the Middle East are creating a challenging environment for Yum! Brands. However, the company's strong brand portfolio and resilient franchisee network should help it navigate these temporary headwinds.</t>
  </si>
  <si>
    <t>Recent News: Zimmer Biomet, a leading medical device company, has seen its stock price rise by 4.8% since its last earnings report. This gain can be attributed to the company's recent FDA approval for its Oxford Cementless Partial Knee, a PMA Supplement approval. This approval is expected to strengthen Zimmer Biomet's position in the orthopedic implants market and drive future growth.
 Financials: Zimmer Biomet's latest financial results have been mixed, with the company reporting a decline in revenue and earnings in the previous quarter. However, the company's strong market position, diversified product portfolio, and focus on innovation suggest that it may be able to navigate the current market challenges and deliver improved financial performance in the future.
 Valuations: Zimmer Biomet's stock is currently trading at a price-to-earnings ratio of around 25, which is in line with the industry average. The company's valuation appears reasonable, considering its growth potential and market leadership in the orthopedic implants industry.
 Economic Outlook: The overall economic outlook remains uncertain, with concerns over inflation, interest rate hikes, and geopolitical tensions. However, the healthcare sector, including the medical device industry, is generally considered to be less sensitive to economic fluctuations, as the demand for healthcare products and services is relatively inelastic.</t>
  </si>
  <si>
    <t>Recent News: Walmart, the iconic American retailer, has been navigating the evolving retail landscape, transitioning from its traditional superstore model to a stronger focus on e-commerce. Despite the rapid growth of Amazon, Walmart has managed to maintain its relevance and adapt to changing consumer preferences. The company's recent financial results have been mixed, with revenue growth of 5.5% year-over-year, which may not seem substantial. However, Walmart's international division and its focus on high-growth markets like Mexico and China are seen as key drivers of future growth. Additionally, the company's operating margins have shown signs of stabilization, and its international margins are improving due to restructuring efforts.
 Financials: Walmart's financial performance has been relatively stable, with the company reporting revenue growth of 5.5% year-over-year in its latest quarter. While this may not be considered a significant increase, it demonstrates the company's ability to maintain its market position and adapt to the changing retail landscape. The company's operating margins have declined, but there are signs of stabilization, and its international margins are improving due to restructuring initiatives.
 Valuations: Walmart's stock appears to be overpriced relative to its intrinsic value, according to some analysts. This assessment is based on factors such as insider trading activity, which may indicate potential overvaluation. However, the company's strong brand recognition, diversified product offerings, and strategic initiatives to expand its e-commerce presence could continue to drive investor interest and support its valuation.
 Economic Outlook: The overall economic outlook for Walmart is mixed. While the U.S. economy has shown signs of resilience, with key indicators like manufacturing data pointing to continued strength, concerns over inflation, potential trade tensions, and geopolitical risks could introduce volatility in the near future. The company's ability to navigate these challenges and maintain its competitive edge will be crucial in determining its long-term performance.</t>
  </si>
  <si>
    <t>Recent News: Airbnb, Inc. (ABNB) has been a focus of investor attention lately, as the company continues to navigate the evolving travel and hospitality landscape. The company's shares have faced some volatility, but the underlying business remains focused on growth and expansion into new markets.
 Financials: Airbnb has demonstrated strong financial performance, with the company reporting robust revenue growth and improving profitability in recent quarters. The company's cash flow generation capabilities have also been highlighted as a positive factor for the business.
 Valuations: Airbnb's valuation metrics, such as its price-to-earnings (P/E) ratio and price-to-sales (P/S) ratio, suggest that the stock may be trading at a premium compared to its industry peers. However, the company's growth potential and market positioning could justify the higher valuation.
 Economic Outlook: The overall economic environment, including factors such as consumer spending, travel trends, and the impact of geopolitical events, will be crucial in determining Airbnb's performance in the near future. The company's ability to navigate these macroeconomic conditions will be a key driver of its investment potential.</t>
  </si>
  <si>
    <t>QRVO</t>
  </si>
  <si>
    <t>Recent News: Qorvo (QRVO), a leading provider of radio frequency (RF) solutions, has seen its stock price decline by 6.4% since its last earnings report. This drop can be attributed to the broader market volatility and concerns over the company's near-term outlook.
 Financials: In its latest quarterly results, Qorvo reported revenue of $1.11 billion, a 3% year-over-year increase, and adjusted earnings per share of $3.08. While the company's financial performance was solid, investors may be concerned about the potential impact of macroeconomic headwinds, such as the ongoing trade tensions and the slowdown in the smartphone market, on Qorvo's future growth.
 Valuations: Qorvo's stock is currently trading at a forward price-to-earnings (P/E) ratio of around 12.5, which is lower than the industry average. This suggests that the stock may be undervalued, providing a potential opportunity for investors.
 Economic Outlook: The semiconductor industry, in which Qorvo operates, is closely tied to the broader economic conditions. The recent macroeconomic data, such as the Federal Reserve's interest rate hikes and the ongoing trade disputes, have created uncertainty in the market, which could affect Qorvo's performance in the near term.</t>
  </si>
  <si>
    <t>Recent News:
 American Water Works (AWK) stock has seen a modest 0.1% increase since the company's last earnings report. The water utility provider has been navigating a challenging macroeconomic environment, with concerns over inflation and rising interest rates impacting the broader market.
 Financials:
 In its most recent quarter, American Water Works reported revenue of $928 million, a 3.4% year-over-year increase. The company's net income also grew, reaching $233 million, up from $218 million in the same period last year. These solid financial results have helped support the stock's performance.
 Valuations:
 American Water Works' current valuation metrics are in line with the industry average. The company's price-to-earnings ratio stands at 22.5, compared to the water utilities sector average of 23.1. This suggests the stock may be reasonably valued, though investors will be closely watching for any changes in the company's growth trajectory.
 Economic Outlook:
 The overall economic environment remains a mixed bag for American Water Works. While the company's essential services have historically provided stability, the potential for continued interest rate hikes and inflationary pressures could pose challenges. However, the water utility industry's defensive nature may help the company weather these macroeconomic headwinds better than some other sectors.</t>
  </si>
  <si>
    <t>Recent News:
 Amgen's (AMGN) experimental weight loss drug, MariTide, has generated significant attention and mixed reactions from the market. The company reported positive results from a Phase 2 study, showing the drug helped patients lose up to 20% of their body weight over a year-long period without a plateau. However, the results were at the lower end of Wall Street's expectations, which were around 25% weight loss. This led to a 7.8% drop in Amgen's stock price on the day of the announcement.
 Financials:
 Amgen is a large-cap biotechnology company with a market capitalization of over $130 billion. The company has a strong financial position, with a healthy balance sheet and consistent revenue growth. In the most recent quarter, Amgen reported revenue of $6.8 billion, up 1% year-over-year, and adjusted earnings per share of $4.70, exceeding analyst estimates.
 Valuation:
 Amgen's stock is currently trading at a price-to-earnings (P/E) ratio of around 15, which is slightly below the industry average. The company's valuation appears reasonable, considering its strong financial performance and the potential of its pipeline, including the MariTide weight loss drug.
 Economic Outlook:
 The overall economic environment remains uncertain, with concerns over inflation, interest rate hikes, and geopolitical tensions. However, the U.S. economy has shown resilience, with the manufacturing sector and consumer spending remaining strong. The biotech industry, in particular, has been relatively insulated from broader market volatility, as investors continue to seek exposure to innovative healthcare solutions.</t>
  </si>
  <si>
    <t>Recent News: GE Aerospace, the aerospace and defense division of General Electric, has reached a $362.5 million shareholder settlement to resolve a lawsuit alleging the company hid risks in its power business. This settlement represents a significant financial impact on the firm, potentially affecting its near-term profitability and cash flow.
 Financials: GE Aerospace's latest financial reports indicate the company's revenue and earnings have been relatively stable, with the aerospace and defense industry benefiting from increased government spending and commercial aviation recovery. However, the recent settlement payout could put pressure on the firm's balance sheet and potentially impact its ability to invest in future growth initiatives.
 Valuations: GE Aerospace's valuation metrics, such as price-to-earnings and price-to-book ratios, are in line with industry averages, suggesting the stock may be reasonably valued. However, the potential financial impact of the settlement could lead to a reassessment of the firm's valuation by investors.
 Economic Outlook: The aerospace and defense industry is expected to continue experiencing growth, driven by increased government spending on defense and the recovery in commercial aviation. However, ongoing geopolitical tensions and the potential for further economic uncertainty could pose risks to the industry's performance.</t>
  </si>
  <si>
    <t>Recent News:
 FirstEnergy (FE) has seen its stock price increase by 1.1% since its last earnings report. The company's focus on infrastructure upgrades is expected to further boost its service reliability and improve overall performance. This investment in infrastructure is a positive sign for the company's future growth and operational efficiency.
 Financials:
 FirstEnergy's latest financial results have been relatively stable, with the company maintaining its revenue and earnings levels. The company's strong balance sheet and cash flow generation capabilities suggest that it is well-positioned to continue investing in its infrastructure and service offerings.
 Valuation:
 Based on the latest market data, FirstEnergy's valuation metrics, such as its price-to-earnings ratio and price-to-book ratio, are in line with the industry average. This suggests that the stock may be fairly valued at the moment, with potential for further upside if the company can continue to execute on its strategic initiatives.
 Economic Outlook:
 The overall economic environment remains supportive for the electric utilities industry, with steady demand for electricity and ongoing investments in infrastructure. However, the potential for increased regulatory scrutiny and the impact of geopolitical tensions on energy prices could pose some risks to the industry's performance in the near term.</t>
  </si>
  <si>
    <t>Recent News:
 FMC Corporation (FMC) reported its third-quarter 2024 financial results on November 1st. The company's revenue increased by 5% year-over-year to $1.3 billion, but its earnings per share (EPS) declined by 10.7% to $1.25. The stock price has fallen by 10.7% since the earnings report, as investors reacted negatively to the lower-than-expected EPS.
 Financials:
 FMC's revenue growth was driven by strong demand for its agricultural solutions, particularly in Latin America and Asia Pacific regions. However, the company's profitability was impacted by higher raw material and energy costs, as well as unfavorable currency exchange rates. FMC's management has indicated that they are taking actions to mitigate these headwinds, including price increases and cost-saving initiatives.
 Valuations:
 FMC's stock is currently trading at a forward price-to-earnings (P/E) ratio of 15.2, which is slightly below the industry average of 16.5. The company's price-to-book (P/B) ratio is 3.8, also below the industry average of 4.2. These valuation metrics suggest that the stock may be reasonably priced, but investors will be closely watching the company's ability to navigate the current challenges and maintain its profitability.
 Economic Outlook:
 The overall macroeconomic environment remains challenging, with concerns over high inflation, rising interest rates, and geopolitical tensions. These factors could continue to impact FMC's operations and financial performance in the near term. However, the company's exposure to the agricultural sector, which is generally less sensitive to economic cycles, may provide some resilience.</t>
  </si>
  <si>
    <t>Recent News: Ford Motor Company is facing several challenges, including the proposed 25% tariffs on Mexican imports by President-elect Trump. These tariffs could force Ford to pass on higher costs to consumers, potentially reducing demand for its vehicles. Additionally, the company is dealing with ongoing warranty issues and has seen its stock price decline in recent months.
 Financials: Despite these headwinds, Ford remains a relatively attractive investment option. The company's FY2024 Free Cash Flow guidance is strong, supporting its secure dividend investment thesis. Ford's shareholder return policy, which aims to distribute between 40% to 50% of its Free Cash Flow as supplemental dividends, is also a positive factor for investors.
 Valuations: Ford's stock has been down since its last earnings announcement, part of a long-term trend. However, the stock has seen a 6.6% increase since the last earnings report, suggesting that investors may be regaining confidence in the company.
 Economic Outlook: The automotive sector is one of the largest and oldest industries, and it is closely tied to the overall economy. The proposed tariffs on Mexican imports could have a significant impact on the industry, potentially leading to higher prices and reduced demand for vehicles.</t>
  </si>
  <si>
    <t>Recent News: Jabil (JBL) stock has underperformed the broader market gains, declining by 0.96% in the latest trading session. This underperformance could be attributed to the challenging macroeconomic environment, including concerns over inflation and the potential impact of new tariffs.
 Financials: Jabil, a leading Electronic Manufacturing Services (EMS) provider, has demonstrated strong financial performance in recent quarters. The company reported better-than-expected earnings and revenue in its most recent quarter, driven by robust demand across its diversified customer base. However, the company's margins may face pressure due to rising input costs and supply chain disruptions.
 Valuations: Jabil's stock is currently trading at a forward P/E ratio of 11.5, which is lower than the industry average of 13.5. This suggests that the stock may be undervalued compared to its peers, providing potential upside for investors.
 Economic Outlook: The overall economic outlook remains mixed, with concerns over inflation and the potential impact of new tariffs. However, the manufacturing sector, which is a key focus for Jabil, has shown resilience, with the ISM manufacturing data beating estimates in November. This could bode well for the company's performance in the near term.</t>
  </si>
  <si>
    <t>Recent News: Las Vegas Sands (LVS) has been actively investing in premium assets to strengthen its market position. The company recently announced plans to expand its integrated resort offerings in Singapore, which is expected to drive long-term growth. Additionally, LVS is well-positioned in the Macau market, where it operates several high-end properties.
 Financials: Las Vegas Sands reported strong financial results in the latest quarter, with net revenue increasing by 10% year-over-year. The company's EBITDA margin also improved, reflecting its operational efficiency. However, the ongoing uncertainties in the Chinese market, particularly the COVID-19 situation, have been a concern for the company's performance.
 Valuations: Las Vegas Sands' stock is currently trading at a forward P/E ratio of 18.5x, which is slightly below the industry average. The company's price-to-book ratio of 6.2x suggests that the stock may be reasonably valued, considering its growth potential.
 Economic Outlook: The global economy is expected to continue its recovery, which could benefit the gaming and hospitality industry. However, the potential escalation of geopolitical tensions and the ongoing COVID-19 situation in China may pose risks to the company's operations and investor sentiment.</t>
  </si>
  <si>
    <t>Recent News: Conagra Brands (CAG) has been navigating the challenging market environment through strategic portfolio reshaping and productivity initiatives. The company has been divesting non-core businesses to focus on its key brands, while also implementing cost-saving measures to offset inflationary pressures. However, the company's Foodservice unit has been struggling, which could weigh on its overall performance.
 Financials: Conagra's latest financial results have been mixed. The company's net sales have been growing, driven by strong demand for its consumer brands. However, its profitability has been impacted by rising input costs, which have squeezed its margins. The company has been working to offset these pressures through pricing actions and cost-saving initiatives.
 Valuations: Conagra's stock is currently trading at a forward P/E ratio of around 14x, which is slightly below the industry average. The company's dividend yield of around 3.5% also makes it an attractive option for income-oriented investors.
 Economic Outlook: The overall economic environment remains challenging, with high inflation and the potential for a slowdown in consumer spending. However, the resilience of the packaged foods industry and Conagra's strategic initiatives could help the company navigate these headwinds.</t>
  </si>
  <si>
    <t>Recent News:
 - A Delaware judge has denied a motion to revise her ruling that rescinded Tesla CEO Elon Musk's 2018 compensation package worth nearly $56 billion. The court found that the defendants lacked the procedural grounds to change the prior decision.
 - Despite Tesla shareholders voting to reinstate Musk's pay package, the judge upheld her previous judgment that the shareholders were too under the influence of Musk to approve the package.
 - Tesla has announced over 25 holiday updates, including an Apple Watch app and remote controls.
 - Analysts have provided mixed outlooks on Tesla stock, with some raising price targets while others express skepticism about the company's core EV business.
 Financials:
 - Tesla's stock has surged over 37% since Donald Trump's election victory, benefiting from expectations of a more favorable regulatory environment and support for autonomous driving technology.
 - The company's market capitalization has increased significantly, making it one of the top gainers among global companies in November.
 Valuations:
 - Tesla's current valuation of nearly $1.1 trillion has raised concerns among some analysts, who believe the stock is "significantly overvalued" based on the company's fundamentals.
 - However, other analysts remain bullish on Tesla's long-term potential, particularly in the areas of artificial intelligence and self-driving technology.
 Economic Outlook:
 - The incoming Trump administration's policies, such as potential changes to electric vehicle tax credits, could have a significant impact on Tesla's business.
 - The company's ability to navigate geopolitical and regulatory challenges will be crucial in determining its future performance.</t>
  </si>
  <si>
    <t>Recent News: FedEx, the global logistics giant, has been navigating a challenging industry landscape amidst macroeconomic headwinds. The company recently reported mixed quarterly results, with revenue beating expectations but earnings falling short due to higher costs and a slowdown in global trade. However, FedEx's management remains optimistic, highlighting the company's ongoing efforts to streamline operations and enhance efficiency.
 Financials: In the latest quarter, FedEx reported revenue of $22.2 billion, a 3.5% increase year-over-year, driven by strong performance in its Ground and Freight segments. However, the company's net income declined by 21% to $788 million, as it grappled with inflationary pressures and a softening demand environment. Despite these challenges, FedEx maintains a strong balance sheet, with a healthy cash position and manageable debt levels.
 Valuations: FedEx's stock currently trades at a forward P/E ratio of 12.5, which is lower than the industry average, suggesting potential undervaluation. The company's dividend yield of 2.1% also provides an attractive income stream for investors.
 Economic Outlook: The global logistics industry faces a complex macroeconomic landscape, with concerns over a potential recession, ongoing supply chain disruptions, and geopolitical tensions. However, the long-term growth prospects for the industry remain positive, driven by the continued expansion of e-commerce and the need for efficient global supply chain solutions.</t>
  </si>
  <si>
    <t>Recent News: Invesco (IVZ) has recently announced a collaboration with Singapore-based Tabono Capital to redefine investment solutions for ultra-high-net-worth (UHNW) clients. This partnership is expected to strengthen Invesco's presence in the growing Asian market.
 Financials: Invesco's latest financial results show a mixed performance. While the company's assets under management (AUM) have increased year-over-year, its revenue and earnings have declined during the same period. This could be due to the challenging market conditions and increased competition in the asset management industry.
 Valuations: Invesco's current valuation metrics, such as the price-to-earnings (P/E) ratio and price-to-book (P/B) ratio, suggest that the stock may be undervalued compared to its peers. However, the company's future performance will depend on its ability to adapt to the changing market dynamics and capitalize on the growth opportunities in the Asian region.
 Economic Outlook: The overall economic outlook remains uncertain, with concerns over inflation, interest rate hikes, and geopolitical tensions. These factors could impact the performance of the asset management industry, including Invesco, in the near term.</t>
  </si>
  <si>
    <t>Recent News: D.R. Horton, one of the largest homebuilders in the United States, has seen its stock price increase slightly by 0.1% since its last earnings report. The company's performance has been closely watched by investors, as the housing market continues to be a key focus area amidst the broader economic landscape.
 Financials: In its most recent quarter, D.R. Horton reported strong financial results, with revenue and earnings exceeding analyst expectations. The company's net income and profit margins have remained healthy, indicating its ability to navigate the current market conditions effectively.
 Valuations: D.R. Horton's stock is currently trading at a price-to-earnings (P/E) ratio of 7.2, which is lower than the industry average, suggesting that the stock may be undervalued. However, investors should consider the company's growth prospects and the overall market conditions when evaluating the stock's valuation.
 Economic Outlook: The U.S. housing market has been a mixed bag, with some regions experiencing strong demand and others facing challenges. The latest macroeconomic data, including the ISM manufacturing index and the Fed's monetary policy decisions, will be crucial in determining the future direction of the housing market and its impact on D.R. Horton's performance.</t>
  </si>
  <si>
    <r>
      <t xml:space="preserve">Recent News:
 Duke Energy Corporation (DUK) has been a trending stock lately, attracting the attention of </t>
    </r>
    <r>
      <rPr>
        <rFont val="&quot;Helvetica Neue&quot;"/>
        <color rgb="FF1155CC"/>
        <sz val="8.0"/>
        <u/>
      </rPr>
      <t>Zacks.com</t>
    </r>
    <r>
      <rPr>
        <rFont val="&quot;Helvetica Neue&quot;"/>
        <sz val="8.0"/>
      </rPr>
      <t xml:space="preserve"> users. This suggests the need to closely examine the company's prospects and fundamentals before making any investment decisions.
 Financials:
 Duke Energy's latest financial results have been relatively stable, with the company reporting revenue of $7.97 billion and earnings per share of $1.78 in the most recent quarter. The company's debt-to-equity ratio of 1.26 indicates a moderately leveraged balance sheet, which could be a concern for some investors.
 Valuations:
 Duke Energy's current valuation metrics, such as a price-to-earnings ratio of 18.2 and a dividend yield of 3.8%, appear to be in line with the industry average. This suggests the stock may be fairly valued at the moment.
 Economic Outlook:
 The overall economic environment, including factors such as interest rate movements and the potential impact of geopolitical tensions, could have a significant influence on Duke Energy's performance. The company's regulated utility business model may provide some stability, but it is not immune to broader macroeconomic trends.</t>
    </r>
  </si>
  <si>
    <r>
      <t xml:space="preserve">Recent News:
 Occidental Petroleum Corporation (OXY) has been a trending stock among </t>
    </r>
    <r>
      <rPr>
        <rFont val="&quot;Helvetica Neue&quot;"/>
        <color rgb="FF1155CC"/>
        <sz val="8.0"/>
        <u/>
      </rPr>
      <t>Zacks.com</t>
    </r>
    <r>
      <rPr>
        <rFont val="&quot;Helvetica Neue&quot;"/>
        <sz val="8.0"/>
      </rPr>
      <t xml:space="preserve"> users, indicating increased investor interest in the company. This heightened attention suggests the need to understand the key factors that could influence the stock's performance.
 Financials:
 Occidental's recent financial results have been mixed. In the latest quarter, the company reported better-than-expected earnings but missed on revenue. However, its cash flow generation has been strong, which is crucial for an oil and gas exploration and production company like Occidental.
 Valuations:
 The stock's valuation metrics, such as the price-to-earnings (P/E) ratio, are currently below the industry average, indicating that it may be undervalued compared to its peers. This could make the stock attractive to value-oriented investors.
 Economic Outlook:
 The overall economic outlook, particularly the trends in the oil and gas industry, will be a significant factor in determining Occidental's future performance. The recent volatility in oil prices and the potential impact of geopolitical events on energy markets could affect the company's operations and profitability.</t>
    </r>
  </si>
  <si>
    <t>Recent News: Simon Property Group (SPG), a leading real estate investment trust (REIT) in the retail sector, has been actively navigating the evolving retail landscape. The company has focused on enhancing its portfolio of premium assets, expanding its omnichannel capabilities, and pursuing strategic acquisitions to drive growth.
 Financials: In the latest quarter, SPG reported solid financial results, with a year-over-year increase in funds from operations (FFO) per share. The company's occupancy rates have remained relatively stable, indicating the resilience of its tenant base. However, the rise in e-commerce adoption continues to pose a challenge, as it puts pressure on traditional brick-and-mortar retailers, which are a significant part of SPG's tenant mix.
 Valuations: Simon Property Group's stock is currently trading at a price-to-FFO ratio that is slightly below its historical average, suggesting potential value for investors. The company's dividend yield also remains attractive, providing a steady income stream for shareholders.
 Economic Outlook: The overall economic environment remains mixed, with concerns about inflation and the potential for a slowdown. However, the resilience of the consumer sector and the continued demand for premium retail experiences could benefit SPG's performance in the near term.</t>
  </si>
  <si>
    <t>Recent News: PG&amp;E Corporation (PCG) shares have faced some volatility recently, falling around 7% after the company announced a $2.4 billion equity capital raise. This move is likely aimed at strengthening the company's balance sheet and funding its ongoing operations and investments.
 Financials: PG&amp;E's financial performance has been mixed, with the company reporting a net loss in the most recent quarter due to higher operating expenses and interest costs. However, the company's revenue has remained relatively stable, and it continues to generate positive cash flow from its utility operations.
 Valuations: Based on the latest financial data, PG&amp;E appears to be trading at a discount compared to its industry peers, with a price-to-earnings ratio of around 12x, which is lower than the industry average. This suggests that the stock may be undervalued and could present an opportunity for long-term investors.
 Economic Outlook: The overall economic environment remains challenging, with concerns about inflation, rising interest rates, and potential recessionary pressures. However, the utility sector, in which PG&amp;E operates, is generally considered a defensive industry that can withstand economic downturns better than some other sectors.</t>
  </si>
  <si>
    <t>Recent News:
 - Oracle (ORCL) stock has underperformed the broader market gains, closing 1.86% lower in the latest trading session.
 - Investors have been heavily searching for information on Oracle, indicating increased interest in the stock.
 - Oracle shares have surged 75% this year, putting the stock on track for its best performance since the dot-com boom in 1999.
 - The enterprise-computing company has benefited from strong demand for cloud and AI infrastructure.
 - However, some analysts believe Oracle's valuation, with a P/S multiple of 8.61x, looks rich, and the company's slowing cloud growth and heavy capital expenditure plans could dim its outlook.
 Financials:
 Oracle's recent financial performance has been strong, with the company benefiting from the growing demand for cloud and AI technologies. The stock's 75% surge this year reflects the market's positive sentiment towards the company's growth prospects.
 Valuation:
 While Oracle's valuation, with a P/S multiple of 8.61x, appears rich, the company's strong performance and growth potential may justify the premium. Investors will need to carefully weigh the company's long-term prospects against the current valuation.
 Economic Outlook:
 The overall economic environment remains supportive, with the U.S. economy showing signs of resilience. However, concerns over inflation, potential trade tensions, and geopolitical risks could introduce volatility in the near future, which may impact Oracle's performance.</t>
  </si>
  <si>
    <t>Recent News: eBay (EBAY) has seen its stock price rise by 11.8% since its last earnings report, driven by a rebound in gross merchandise volume (GMV). The company reported higher GMV of $87.4 billion in 2021, but it has since declined to $73.2 billion in 2023 due to a challenging macroeconomic environment. Additionally, the stock has seen a solid 50% rise this year, and the company has been identified as a strong value stock according to the Zacks Style Scores.
 Financials: eBay's financial performance has been mixed, with the company reporting a decline in GMV in recent years due to the challenging macroeconomic conditions. However, the company's stock price has been resilient, with a 50% rise this year.
 Valuations: According to the Zacks Style Scores, eBay is considered a strong value stock, suggesting that the company's shares may be undervalued compared to its peers.
 Economic Outlook: The overall economic outlook remains uncertain, with ongoing geopolitical tensions and concerns about inflation and interest rate hikes. However, the U.S. economy has shown signs of resilience, with key indicators like manufacturing data beating estimates in November.</t>
  </si>
  <si>
    <t>Recent News: Elon Musk, the CEO of Tesla, has teased the possibility of acquiring Hasbro, the toy and entertainment company that owns the popular Dungeons &amp; Dragons franchise. This news has sparked a surge in Hasbro's stock price, as investors speculate on the potential synergies and growth opportunities that a Musk-led acquisition could bring.
 Financials: Hasbro's latest financial results have been mixed, with the company reporting a decline in revenue and earnings in the most recent quarter. However, the company's strong brand portfolio, including Dungeons &amp; Dragons, Magic: The Gathering, and various licensed properties, continues to drive consumer demand. Hasbro's diversified business model, which includes both traditional toys and digital gaming, may help the company navigate the evolving entertainment landscape.
 Valuations: Hasbro's current valuation metrics, such as its price-to-earnings (P/E) ratio and price-to-sales (P/S) ratio, are in line with the industry average, suggesting that the stock may be fairly valued. However, the potential acquisition by Elon Musk could lead to a re-evaluation of the company's worth, as investors anticipate the impact of Musk's involvement and the synergies that could be achieved.
 Economic Outlook: The overall economic environment remains uncertain, with concerns about inflation, interest rate hikes, and geopolitical tensions. However, the leisure products industry, in which Hasbro operates, has historically demonstrated resilience during economic downturns, as consumers often turn to entertainment and gaming as a source of affordable leisure.</t>
  </si>
  <si>
    <t>Recent News:
 - Wall Street analysts are closely watching Dollar General's (DG) key metrics ahead of the company's Q3 2024 earnings report. Projections suggest the retailer may face a decline in earnings compared to the previous year.
 - DG Innovate, a subsidiary of Dollar General, has seen its shares surge 24% after announcing a joint venture with Indian electric vehicle maker EVage. The partnership will establish a manufacturing facility in India, with DG Innovate holding a majority 60% stake.
 Financials:
 Dollar General's recent financial performance has been mixed, with the company facing potential headwinds in its upcoming Q3 earnings report. Analysts are closely monitoring the retailer's key metrics, such as revenue, earnings, and same-store sales, to gauge the company's overall performance.
 Valuation:
 Dollar General's valuation metrics, including its price-to-earnings (P/E) ratio and price-to-sales (P/S) ratio, will be crucial in determining the stock's investment potential. The company's ability to maintain its competitive edge and navigate the evolving retail landscape will be critical factors in its valuation.
 Economic Outlook:
 The broader economic environment, including factors such as consumer spending, inflation, and interest rates, will have a significant impact on Dollar General's performance. The company's ability to adapt to changing market conditions and consumer preferences will be essential in the current economic climate.</t>
  </si>
  <si>
    <t>Recent News:
 IBM has been making strategic moves to position itself as a leader in the growing artificial intelligence (AI) market. The company's recent acquisition of Instana, an application performance monitoring company, is expected to enhance its AI and automation capabilities. Additionally, IBM's partnership with Nvidia to develop powerful AI systems has been well-received by the market.
 Financials:
 IBM's latest financial results have been mixed, with the company reporting better-than-expected earnings but lower-than-anticipated revenue. The company's shift towards cloud computing and AI-related services has been a key focus, as it aims to offset the decline in its traditional hardware and software businesses.
 Valuations:
 IBM's stock is currently trading at a price-to-earnings (P/E) ratio of around 15, which is lower than the industry average. This suggests that the stock may be undervalued, providing potential upside for investors.
 Economic Outlook:
 The ongoing global economic recovery, coupled with the increasing adoption of AI and cloud computing technologies, could benefit IBM in the near future. However, the company's exposure to the broader technology sector may make it susceptible to market volatility, particularly if concerns over inflation and interest rate hikes persist.</t>
  </si>
  <si>
    <t>Recent News: Carnival Corporation (CCL) has seen its stock price perform well in the recent trading session, closing at $25.34, a 0.6% increase from the previous day. This positive momentum suggests that the company may be gaining traction in the market.
 Financials: Carnival's latest financial data shows that the company is generating solid revenue and earnings, indicating a strong underlying business. However, the ongoing challenges in the travel and tourism industry due to the pandemic may continue to weigh on the company's performance.
 Valuations: Based on the latest available data, Carnival's stock appears to be undervalued compared to its peers in the Hotels, Resorts &amp; Cruise Lines industry. This could present an opportunity for investors looking to capitalize on the company's potential upside.
 Economic Outlook: The macroeconomic environment remains uncertain, with factors such as inflation, interest rate hikes, and geopolitical tensions posing risks to the overall market. However, the continued recovery in the travel and tourism sector may provide a favorable tailwind for Carnival's business.</t>
  </si>
  <si>
    <t>Recent News: Caterpillar has seen its stock price rise 7.3% since its last earnings report, and the company is considered a trending stock in the market. The company's strong brand, market leadership, and diversified product portfolio have contributed to its positive performance. However, the stock appears to be trading at a premium valuation, which may limit its upside potential in the near term.
 Financials: Caterpillar is a Dividend Champion and Aristocrat, having increased its dividend for 31 consecutive years. The company's recent 8.5% dividend hike and declining payout ratio suggest a healthy financial position. However, the company's valuation, with an approximate 15% premium to fair value, may need to pull back before it becomes an attractive investment option.
 Economic Outlook: The overall economic outlook remains positive, with the U.S. economy showing signs of resilience, particularly in the manufacturing sector. However, concerns over inflation, potential trade tensions, and geopolitical risks could introduce volatility in the market, which may impact Caterpillar's performance.</t>
  </si>
  <si>
    <t>Recent News: Constellation Brands (STZ), a leading player in the Distillers &amp; Vintners industry, has been in the spotlight due to the potential impact of the proposed tariffs on Mexican imports by the incoming Trump administration. The company's stock has faced some selling pressure as the tariff plan could make its popular beer brands, such as Corona and Modelo, more expensive for U.S. consumers.
 Financials: Constellation Brands has reported strong financial performance in recent quarters, with solid revenue growth and healthy profit margins. The company's diversified portfolio of beer, wine, and spirits brands has contributed to its overall success. However, the potential tariffs on Mexican imports could pose a challenge to the company's profitability if it is unable to pass on the increased costs to consumers.
 Valuations: Constellation Brands' stock is currently trading at a forward P/E ratio of around 20, which is in line with the industry average. The company's strong brand recognition and market share in the beer and wine segments have contributed to its relatively high valuation.
 Economic Outlook: The overall economic outlook for the U.S. remains positive, with the manufacturing sector showing resilience and consumer spending remaining strong. However, the potential trade tensions with Mexico and the impact of the new administration's policies could introduce some volatility in the market, which may affect Constellation Brands' performance in the short to medium term.</t>
  </si>
  <si>
    <t>Recent News: Adobe's Q3/24 results showed solid performance, with 10.6% YoY revenue growth and 23.3% YoY increase in diluted net income per share. However, the stock remains a "Hold" due to its current overvaluation and slowing growth projections. The company's economic moat, driven by brand strength and high switching costs, supports stable revenue growth and pricing power. Recent reports also highlight Adobe's AI platform, Firefly, which shows promise but has not yet accelerated growth as expected, raising concerns about its ability to compete in the AI-driven market.
 Financials: Adobe's latest financial results demonstrate the company's strong performance, with double-digit revenue growth and earnings expansion. However, the market appears to be concerned about the moderating growth rates and the potential impact of macroeconomic pressures and AI competition on the company's market share, particularly among individual and small business customers.
 Valuation: Adobe's valuation metrics present a mixed picture. While the company's PEG ratio suggests undervaluation, other metrics, such as the stock's premium compared to the market, indicate that the shares may be overpriced. The market's reaction to the company's recent earnings guidance and the performance of its AI platform will be crucial in determining the stock's future direction.
 Economic Outlook: The broader economic environment, including factors such as inflation, interest rates, and geopolitical tensions, may impact Adobe's performance. The company's ability to navigate these challenges and maintain its competitive edge will be crucial in determining its long-term success.</t>
  </si>
  <si>
    <t>Recent News: Welltower Inc. has shown strong financial performance, driven by impressive growth in its senior housing operating portfolio (SHOP) and strategic acquisitions. The company has successfully deleveraged its balance sheet, maintaining significant liquidity and funding acquisitions, while enhancing its operating system and paying dividends. Despite strong growth and favorable demographic trends, WELL's stock appears overvalued, with a premium price and lower-than-historical dividend yield.
 Financials: Welltower has demonstrated robust financial performance, with growth in its SHOP segment and successful acquisitions. The company has maintained a healthy balance sheet, with significant liquidity to fund future growth.
 Valuations: While Welltower has shown strong operational and financial performance, its stock appears overvalued, trading at a premium price and offering a lower-than-historical dividend yield.
 Economic Outlook: The healthcare and senior housing sectors are expected to benefit from favorable demographic trends, such as the aging population. However, the broader economic and market conditions may introduce volatility and impact Welltower's performance.</t>
  </si>
  <si>
    <t>Recent News: Uber has been making headlines with its expansion into new services, such as the launch of a water transport hailing service on Kashmir's scenic Dal Lake. The company is also facing regulatory scrutiny, with the Federal Trade Commission investigating Uber's subscription policies and allegations of automatically signing up customers for its Uber One service without their consent.
 Financials: Uber's financial performance has been a mixed bag, with the company reporting both successes and challenges. While the company's ride-hailing and food delivery services have shown growth, it has also faced headwinds, including the FTC investigation and the need to invest in new technologies like autonomous vehicles and data labeling for AI models.
 Valuations: Uber's stock has been volatile, reflecting the company's uncertain path to profitability. The stock has seen some positive momentum recently, likely due to the potential impact of self-driving regulations and the company's diversification efforts.
 Economic Outlook: The overall economic environment remains uncertain, with ongoing geopolitical tensions, inflation concerns, and the potential for policy changes under the new U.S. administration. These factors could impact Uber's operations and investor sentiment in the near term.</t>
  </si>
  <si>
    <t>Recent News: Estée Lauder Companies (EL) has faced significant headwinds in the past six months, with its stock price plummeting by 39%. This decline is largely attributed to weak consumer sentiment in China and a slowdown in the Asia travel retail segment, which have negatively impacted the company's performance.
 Financials: Despite the recent challenges, Estée Lauder's financial position remains strong. The company reported revenue of $4.39 billion and net earnings of $612 million in its most recent quarter, though these figures fell short of market expectations. The company's balance sheet is healthy, with a strong cash position and manageable debt levels.
 Valuations: Estée Lauder's stock is currently trading at a forward P/E ratio of 24.5, which is lower than its historical average, suggesting that the stock may be undervalued. However, the company's valuation will likely depend on its ability to navigate the current macroeconomic and geopolitical challenges.
 Economic Outlook: The global economy is facing a period of uncertainty, with concerns over inflation, rising interest rates, and geopolitical tensions. These factors could continue to weigh on consumer spending and the overall demand for luxury goods, which could further impact Estée Lauder's performance.</t>
  </si>
  <si>
    <r>
      <t xml:space="preserve">Recent News:
 Marathon Petroleum Corporation (MPC) has been a trending stock among </t>
    </r>
    <r>
      <rPr>
        <rFont val="&quot;Helvetica Neue&quot;"/>
        <color rgb="FF1155CC"/>
        <sz val="8.0"/>
        <u/>
      </rPr>
      <t>Zacks.com</t>
    </r>
    <r>
      <rPr>
        <rFont val="&quot;Helvetica Neue&quot;"/>
        <sz val="8.0"/>
      </rPr>
      <t xml:space="preserve"> users, indicating increased investor interest in the company. This heightened attention suggests the need to understand the key factors that could influence the stock's performance in the near future.
 Financials:
 Marathon Petroleum's latest financial results have been mixed. While the company reported better-than-expected earnings in the most recent quarter, its revenue fell short of analyst estimates. The refining and marketing segment, which is a core part of the business, has been impacted by the ongoing volatility in the oil and gas industry.
 Valuations:
 The stock's current valuation metrics, such as the price-to-earnings (P/E) ratio, are in line with the industry average, indicating that the market has priced in the company's current performance and future prospects to some extent.
 Economic Outlook:
 The overall economic environment, particularly the trends in the oil and gas sector, will be a crucial factor in determining Marathon Petroleum's future performance. The recent macroeconomic data, including the ongoing geopolitical tensions and their impact on energy prices, could have a significant influence on the company's operations and profitability.</t>
    </r>
  </si>
  <si>
    <t>Recent News: Hilton Worldwide Holdings has seen its stock price rise over 40% since the previous report. This strong performance has been driven by the company's continued growth in room count, which remains a key strength. However, the latest data shows that revenue per available room (RevPAR) growth is starting to slow, indicating potential challenges ahead.
 Financials: Hilton's financial performance has been mixed. While the company has maintained a robust pipeline of new hotel openings, supporting room count growth, the slowdown in RevPAR growth could put pressure on its top-line revenue and profitability in the near term.
 Valuations: Hilton's current valuation, based on metrics like price-to-earnings and enterprise value-to-EBITDA, suggests that the stock may be fairly valued or even slightly overvalued compared to its historical averages and industry peers.
 Economic Outlook: The macroeconomic environment remains a concern, with factors like rising interest rates, geopolitical tensions, and the potential for a economic slowdown posing risks to the hospitality industry. These factors could impact Hilton's performance in the coming months.</t>
  </si>
  <si>
    <t>Recent News:
 Delta Air Lines (DAL) stock has seen some mixed performance lately. The stock closed at $63.41 in the latest trading session, marking a -0.64% move from the prior day. However, Wall Street analysts remain optimistic about the company, with several major firms, including Deutsche Bank, UBS, Citi, and Morgan Stanley, issuing upgrades and price target increases following Delta's recent investor day presentation. Morgan Stanley, in particular, maintained an overweight rating and set a $100 price target on the stock, implying a potential upside of 57%.
 Financials:
 Delta's recent financial performance has been relatively strong, with the company reporting solid revenue and earnings growth in its most recent quarter. The airline's focus on cost control and capacity management has helped it navigate the challenging industry environment. However, the company's profitability and cash flow generation remain sensitive to factors such as fuel prices, economic conditions, and the ongoing recovery in air travel demand.
 Valuation:
 Delta's current valuation, based on metrics like price-to-earnings (P/E) and price-to-book (P/B) ratios, appears to be in line with the industry average. The recent price target increases by Wall Street analysts suggest that the market sees further upside potential in the stock, though investors should be mindful of the potential risks and volatility in the airline industry.
 Economic Outlook:
 The overall economic outlook for the airline industry remains mixed. While the recovery in air travel demand has been encouraging, concerns persist about the potential impact of factors such as high inflation, rising interest rates, and geopolitical tensions on consumer spending and business travel. The industry's profitability and growth prospects will likely depend on the ability of airlines like Delta to effectively manage costs and adapt to the evolving market conditions.</t>
  </si>
  <si>
    <t>Recent News: General Motors (GM) has made several notable moves in the past year. The company is selling its stake in the Ultium Cells battery plant in Michigan to its joint venture partner LG Energy Solution, amid weakening electric vehicle demand and potential changes to clean energy incentives. Additionally, GM has announced a deal to become an 11th team in Formula 1 starting in 2026, which could provide significant exposure for the automaker. However, GM's stock has also been impacted by concerns over potential tariffs, with the share price dropping sharply in response to the Trump administration's proposed tariffs on imports from Mexico, Canada, and China.
 Financials: GM's financial performance has been mixed in recent quarters. While the company reported strong earnings and revenue growth in 2022, it has also faced challenges such as supply chain disruptions and rising costs. The automaker's profit margins have been under pressure, and there are concerns about the impact of a potential economic slowdown on vehicle sales.
 Valuations: GM's stock is currently trading at a forward P/E ratio of around 6.5, which is relatively low compared to the industry average. This suggests that the market may be pricing in some of the risks and challenges facing the company. However, the stock has also been trading near its 52-week high, indicating that investors are still optimistic about the company's long-term prospects.
 Economic Outlook: The overall economic outlook for the automotive industry is uncertain, with concerns about a potential recession, rising interest rates, and ongoing supply chain issues. However, the Biden administration's focus on promoting clean energy and electric vehicles could provide some tailwinds for GM, particularly if the company can successfully navigate the transition to EVs.</t>
  </si>
  <si>
    <t>Recent News: LabCorp, the leading patient clinical lab brand, has been making strategic moves to expand its footprint and capitalize on the growing demand for diagnostic services. The company has been actively acquiring smaller players in the industry and opening new locations to strengthen its market position. However, the firm has also faced challenges, with weak profit margins and rising expenses putting pressure on its financial performance.
 Financials: LabCorp's latest financial results show mixed signals. While the company has reported steady revenue growth, its profit margins have been under pressure, and its expenses have been growing at a faster pace. This has led to concerns about the company's ability to maintain its profitability in the long run.
 Valuations: LabCorp's valuation metrics, such as its price-to-earnings ratio and price-to-book ratio, are in line with the industry average, suggesting that the stock is fairly valued. However, the company's dividend yield of $0.72 per share quarterly provides an attractive income stream for investors.
 Economic Outlook: The overall economic outlook for the healthcare services industry remains positive, with the aging population and the increasing demand for diagnostic services expected to drive growth in the sector. However, the potential impact of policy changes and regulatory uncertainties could pose challenges for LabCorp and its peers.</t>
  </si>
  <si>
    <t>Recent News:
 Southwest Airlines (LUV) has been a topic of discussion in the transportation sector this year. The company has faced various challenges, including the ongoing impact of the COVID-19 pandemic on air travel demand, as well as operational disruptions and staffing issues. However, the airline has also taken steps to adapt to the changing market conditions, such as adjusting its route network and implementing cost-saving measures.
 Financials:
 In the latest reported quarter, Southwest Airlines' revenue increased by 8.8% year-over-year, reflecting the gradual recovery in air travel demand. However, the company's net income declined compared to the same period last year, as higher fuel and labor costs weighed on profitability. The airline's balance sheet remains relatively strong, with a healthy cash position and manageable debt levels.
 Valuations:
 Southwest Airlines' stock is currently trading at a price-to-earnings (P/E) ratio of around 22, which is slightly higher than the industry average. The company's price-to-book (P/B) ratio is approximately 1.8, indicating that the stock may be reasonably valued compared to its book value.
 Economic Outlook:
 The overall economic outlook for the airline industry remains mixed. While the recovery in air travel demand has been gradual, there are concerns about the potential impact of rising inflation, interest rates, and geopolitical tensions on consumer spending and the broader economy. These factors could affect the financial performance and outlook of Southwest Airlines and other transportation companies.</t>
  </si>
  <si>
    <t>Recent News: Assurant, a leading provider of risk management solutions, has seen its stock price surge in 2024, particularly following its latest earnings release on November 5th. The company's performance has outpaced the broader S&amp;P 500 index, potentially benefiting from the political landscape and the new administration's policies.
 Financials: While Assurant's earnings, including the impact of catastrophe losses, were not entirely stellar, the market has reacted positively to the company's results. The firm's ability to navigate the challenging environment and deliver solid financial performance has been well-received by investors.
 Valuations: Assurant's stock price has experienced a significant run-up, leading to concerns that the market may have priced in too much of the positive sentiment. The company's valuation metrics, such as price-to-earnings and price-to-book ratios, may be reaching levels that warrant a pause in the stock's upward momentum.
 Economic Outlook: The macroeconomic environment remains uncertain, with ongoing geopolitical tensions, trade disputes, and the potential for continued volatility. These factors could impact Assurant's operations and financial performance, particularly in the areas of catastrophe losses and risk management.</t>
  </si>
  <si>
    <t>Recent News: Rupert Murdoch, the founder and former CEO of Fox Corporation, has recently sold $44 million worth of the company's Class A shares, representing a significant insider transaction. This move has raised questions among investors about the potential implications for the company's future.
 Financials: Fox Corporation has reported mixed financial results in recent quarters. While the company's revenue has remained relatively stable, its profit margins have faced pressure due to increased programming costs and a competitive media landscape. The company's balance sheet remains healthy, with a manageable debt load and sufficient liquidity.
 Valuations: Fox Corporation's stock is currently trading at a price-to-earnings (P/E) ratio of 12.5, which is slightly below the industry average. However, the company's valuation metrics, such as the price-to-book (P/B) ratio and the price-to-sales (P/S) ratio, suggest that the stock may be undervalued compared to its peers.
 Economic Outlook: The overall economic environment remains challenging, with concerns over inflation, rising interest rates, and geopolitical tensions. These macroeconomic factors could potentially impact the media industry and, consequently, Fox Corporation's performance.</t>
  </si>
  <si>
    <r>
      <t xml:space="preserve">Recent News:
 AT&amp;T Inc. (T) has been a trending stock among </t>
    </r>
    <r>
      <rPr>
        <rFont val="&quot;Helvetica Neue&quot;"/>
        <color rgb="FF1155CC"/>
        <sz val="8.0"/>
        <u/>
      </rPr>
      <t>Zacks.com</t>
    </r>
    <r>
      <rPr>
        <rFont val="&quot;Helvetica Neue&quot;"/>
        <sz val="8.0"/>
      </rPr>
      <t xml:space="preserve"> users, indicating increased investor interest in the company. This heightened attention suggests the need to understand the key factors that could influence the stock's performance going forward.
 Financials:
 AT&amp;T's latest financial results have been mixed, with the company reporting better-than-expected earnings but missing revenue estimates in the most recent quarter. The company's focus on 5G network expansion and the integration of its WarnerMedia acquisition have been key priorities, though the impact of these initiatives on the bottom line is still unfolding.
 Valuations:
 AT&amp;T's valuation metrics, such as its price-to-earnings (P/E) ratio, are currently below the industry average, indicating potential undervaluation. However, the company's high debt levels and the ongoing challenges in the telecommunications industry may continue to weigh on investor sentiment.
 Economic Outlook:
 The broader economic environment, including factors such as consumer spending, inflation, and interest rate movements, will likely play a significant role in shaping AT&amp;T's performance. The company's ability to navigate the evolving market conditions and capitalize on emerging trends in the telecommunications and media sectors will be crucial.</t>
    </r>
  </si>
  <si>
    <t>Recent News: Wells Fargo (WFC) stock has been in the spotlight, with the company making progress in its regulatory efforts. The bank is nearing the removal of its $1.95 trillion asset cap, which was imposed in 2018 following a series of scandals. Additionally, the stock has been a trending topic among investors, as the market continues to closely monitor the company's performance.
 Financials: Wells Fargo's latest financial results have been mixed, with the bank reporting a decline in its stock price despite the overall market's rise. The company's financial performance will be a key factor in determining its investment potential.
 Valuations: The stock's current valuation metrics, such as its price-to-earnings ratio and price-to-book ratio, will need to be carefully evaluated to assess its potential investment value.
 Economic Outlook: The broader economic conditions, including interest rate movements, inflation, and regulatory changes, will also play a significant role in shaping the investment outlook for Wells Fargo.</t>
  </si>
  <si>
    <t>Recent News: Salesforce Inc. (NYSE:CRM) is preparing to report its third-quarter fiscal 2025 earnings after the market close on Tuesday, December 3. The cloud software company's stock has been in focus, with analysts largely bullish on the stock ahead of the earnings release. However, there are concerns about the company's decelerating revenue growth amid cautious IT spending, which could weigh on its earnings this season.
 Financials: Salesforce's revenue growth has been slowing down, which could be a concern for investors. The company's projected EPS for the third quarter is expected to show an uptick, but the overall financial performance will be closely watched.
 Valuations: Salesforce's stock has been trading at a premium valuation, with a price-to-earnings ratio of around 50. Investors will be looking for the company to justify this valuation with strong financial results and guidance.
 Economic Outlook: The broader economic environment, including cautious IT spending and geopolitical tensions, could impact Salesforce's performance. The company's ability to navigate these challenges and maintain its growth trajectory will be crucial for its long-term success.</t>
  </si>
  <si>
    <t>Recent News: Public Storage's stock has risen 26.8% in the past six months, outperforming the broader market. The company's strong brand, presence in key cities, and healthy balance sheet have been the key drivers behind this performance. However, the report also highlights concerns about softening demand and the still-high interest rate environment, which could pose challenges for the company going forward.
 Financials: Public Storage is a well-run business with a strong history, but it faces challenges in maintaining its past growth rates due to a weak housing market. The self-storage industry has low entry barriers and high competition, making it difficult for Public Storage to sustain its competitive edge. Despite technological investments, low tenant retention and increased move-in promotions pose challenges for the company's long-term profitability and growth.
 Valuation: The recent stock price increase suggests that the market is optimistic about Public Storage's prospects. However, the report highlights the potential headwinds the company may face, which could impact its future performance.
 Economic Outlook: The broader economic environment, including softening demand and high interest rates, could have a significant impact on Public Storage's operations and financial performance. The company's ability to navigate these challenges will be crucial in determining its future growth and investment potential.</t>
  </si>
  <si>
    <t>Recent News: Corning Inc. (GLW) stock has seen a modest 0.4% increase since the company's latest earnings report 30 days ago. The company's performance has been influenced by a mix of factors, including ongoing global economic conditions and developments within the electronic components industry.
 Financials: In the previous quarter, Corning reported revenue of $3.93 billion, a 7% year-over-year increase, and adjusted earnings per share of $0.57, exceeding analyst estimates. The company's strong performance was driven by growth across its key business segments, including Display Technologies, Optical Communications, and Specialty Materials.
 Valuations: Corning's current valuation metrics, such as a price-to-earnings ratio of 15.2 and a price-to-book ratio of 2.3, suggest the stock may be reasonably valued compared to its industry peers. However, the company's long-term growth potential and ability to navigate the evolving market landscape will be crucial factors in determining its future valuation.
 Economic Outlook: The overall economic environment, including factors such as consumer spending, technological advancements, and global trade dynamics, can significantly impact Corning's business performance. The recent macroeconomic data and geopolitical developments, as outlined in the provided context, may introduce both opportunities and challenges for the company in the coming months.</t>
  </si>
  <si>
    <t>Recent News: Tyson Foods has announced the permanent closure of its meat plant in Emporia, Kansas, resulting in the loss of over 800 jobs. This decision reflects the company's ongoing efforts to optimize its operations and streamline its production facilities.
 Financials: Tyson Foods' latest financial results have been mixed. While the company's revenue has remained relatively stable, its profit margins have been under pressure due to rising input costs and supply chain challenges. The closure of the Emporia plant may further impact the company's financial performance in the short term.
 Valuations: According to the latest analysis from Zacks, Tyson Foods' stock may be undervalued at the moment. The company's valuation metrics, such as the price-to-earnings ratio, suggest that the stock could be trading at a discount compared to its intrinsic value.
 Economic Outlook: The broader economic environment remains challenging, with concerns over inflation, interest rate hikes, and potential recessionary pressures. These macroeconomic factors could have a significant impact on Tyson Foods' operations and financial performance in the coming months.</t>
  </si>
  <si>
    <t>Recent News: Walgreens Boots Alliance's clinic partner VillageMD has announced the departure of its CEO, Tim Barry. This comes as the clinic operator has incurred significant financial losses for Walgreens, its majority owner. The leadership change at VillageMD could signal a shift in strategy or a reevaluation of the partnership between the two companies.
 Financials: Walgreens Boots Alliance has invested heavily in VillageMD, committing over $5 billion to the partnership. However, this investment has yet to translate into meaningful profits for Walgreens, with the drugstore chain reporting substantial losses related to the venture. The financial performance of VillageMD will be a key factor in determining the future of the partnership and its impact on Walgreens' overall financial position.
 Valuations: Walgreens Boots Alliance's stock has been trading at a price-to-earnings ratio of around 8.5, which is lower than the industry average. This suggests that the market may be pricing in the risks and uncertainties associated with the company's investments, including the VillageMD partnership.
 Economic Outlook: The broader economic environment, including factors such as consumer spending, inflation, and interest rates, will also play a role in Walgreens' performance. The company's ability to navigate these macroeconomic conditions and adapt its business strategy accordingly will be crucial in the coming months.</t>
  </si>
  <si>
    <t>Recent News:
 Kraft Heinz (KHC) stock has declined 4.6% since the company's last earnings report 30 days ago. The drop in share price can be attributed to concerns over the company's ability to maintain its profitability in the face of rising costs and increased competition in the packaged foods industry.
 Financials:
 In the latest quarter, Kraft Heinz reported revenue of $6.5 billion, which was in line with analyst expectations. However, the company's profit margins declined due to higher input costs, including raw materials and transportation expenses. This has put pressure on the company's bottom line and raised concerns about its ability to maintain its competitive edge.
 Valuations:
 Kraft Heinz's stock is currently trading at a price-to-earnings (P/E) ratio of 21.5, which is slightly above the industry average of 20.0. While the company's valuation is not overly stretched, investors may be hesitant to pay a premium for the stock given the ongoing challenges facing the business.
 Economic Outlook:
 The broader economic environment remains challenging, with high inflation, rising interest rates, and concerns about a potential recession. These macroeconomic factors could continue to weigh on consumer spending and put further pressure on Kraft Heinz's profitability.</t>
  </si>
  <si>
    <t>Recent News: Kenvue, the personal care products company, has seen a mixed performance lately. While its recent earnings showed some improvements, the company continues to face persistent headwinds, particularly in its Skin, Health, &amp; Beauty segment. The higher interest rates and economic challenges in China have weighed on Kenvue's overall performance.
 Financials: Kenvue's financial results have been relatively stable, with the company maintaining a solid dividend growth and implementing cost-cutting initiatives. However, these measures have not been enough to fully offset the impact of the macroeconomic challenges the company is facing.
 Valuations: Kenvue's valuation metrics suggest that the stock may be trading at a fair level, with the company's price-to-earnings ratio in line with the industry average. However, the limited upside potential in the near term could limit the stock's further appreciation.
 Economic Outlook: The overall economic environment remains challenging, with factors such as higher interest rates and the ongoing economic slowdown in China posing risks to Kenvue's performance. The company's management is taking strategic steps, including increasing its online presence and partnering with influencers, to combat these headwinds and drive future growth.</t>
  </si>
  <si>
    <r>
      <t xml:space="preserve">Recent News: CVS Health has faced challenges in managing rising medical costs, which have impacted the company's profitability. The stock is currently down 25% year-to-date and more than 40% lower than its record-high price set in February 2022. Investors have been closely monitoring the stock, according to </t>
    </r>
    <r>
      <rPr>
        <rFont val="&quot;Helvetica Neue&quot;"/>
        <color rgb="FF1155CC"/>
        <sz val="8.0"/>
        <u/>
      </rPr>
      <t>Zacks.com</t>
    </r>
    <r>
      <rPr>
        <rFont val="&quot;Helvetica Neue&quot;"/>
        <sz val="8.0"/>
      </rPr>
      <t>.
 Financials: CVS Health's financial performance has been under pressure due to the rising medical costs. The company's profitability has been affected, leading to a significant decline in the stock price.
 Valuations: With the stock trading at a significant discount to its previous highs, the company's valuation metrics may appear attractive to some investors. However, the ongoing challenges in managing medical costs could continue to weigh on the stock's performance.
 Economic Outlook: The broader economic environment, including factors such as inflation, interest rates, and consumer spending, could also impact CVS Health's business and financial results. The company's ability to navigate these macroeconomic conditions will be crucial for its future performance.</t>
    </r>
  </si>
  <si>
    <t>Recent News: Microchip Technology has faced several challenges in the recent past. The company lowered its third-quarter revenue forecast and announced the closure of its wafer manufacturing factory in Arizona as part of a restructuring effort under interim CEO Steve Sanghi. This news has contributed to the stock's bearish performance, with the share price falling by almost 30% from its highest level this year.
 Financials: Microchip's financial performance has been impacted by the current market conditions. The company's decision to lower its revenue forecast and shut down a manufacturing facility suggests that it is facing headwinds in its operations.
 Valuations: The recent decline in Microchip's stock price has made the company's valuation more attractive compared to its historical levels. However, the ongoing restructuring and market uncertainties may continue to weigh on the stock's performance in the near term.
 Economic Outlook: The broader semiconductor industry is facing challenges due to macroeconomic factors, such as the ongoing trade tensions and supply chain disruptions. These external factors could further impact Microchip's financial and operational performance in the coming months.</t>
  </si>
  <si>
    <t>Recent News: Warner Bros. Discovery is facing a lawsuit from a shareholder alleging that the company violated securities law by misleading investors about the impact of losing its long-standing NBA rights deal. The lawsuit claims that the company failed to disclose the true financial implications of this loss, which could have a significant impact on the company's revenue and profitability.
 Financials: Warner Bros. Discovery's financial performance has been mixed in recent quarters. While the company has reported strong growth in its streaming business, its traditional media operations have faced headwinds, including the loss of the NBA rights. This has put pressure on the company's overall financial results, and the potential impact of the NBA rights loss could further weigh on its financial outlook.
 Valuations: Warner Bros. Discovery's stock has underperformed the broader market in recent months, reflecting investor concerns about the company's long-term growth prospects. The company's valuation metrics, such as its price-to-earnings ratio, are below the industry average, suggesting that the market may be pricing in some of the risks facing the business.
 Economic Outlook: The overall economic environment remains challenging, with concerns about inflation, rising interest rates, and the potential for a recession. These macroeconomic factors could have a significant impact on the media and entertainment industry, potentially affecting Warner Bros. Discovery's ability to generate revenue and maintain profitability.</t>
  </si>
  <si>
    <t>Recent News:
 Intel's CEO Pat Gelsinger has suddenly stepped down from his position, marking the end of his nearly four-year tenure at the helm of the chipmaking giant. The company's board has appointed two interim co-CEOs, David Zinsner and Michelle Johnson Holthaus, to lead the company during this transition period. This leadership change comes amidst Intel's struggles, including a 52% plunge in its stock price and a 6% revenue drop paired with a $16.6 billion loss in the latest quarter.
 Financials:
 Intel's recent financial performance has been challenging, with the company reporting a 6% revenue drop and a whopping $16.6 billion loss in the latest quarter. This has contributed to a significant 52% decline in the company's stock price so far in 2024. The company's new leadership team will need to address these financial challenges and work to restore investor confidence.
 Valuations:
 Intel's current valuation is a concern, with the stock trading at a significant discount compared to its historical levels. The company's price-to-earnings (P/E) ratio is currently below the industry average, indicating that the market may be pricing in the challenges the company is facing.
 Economic Outlook:
 The broader economic environment is also a factor to consider, with ongoing geopolitical tensions, trade disputes, and concerns about inflation and the potential for a recession. These macroeconomic conditions could further impact Intel's performance and investor sentiment towards the company.</t>
  </si>
  <si>
    <t>Recent News: Target Corporation (TGT) has faced several challenges in the recent past. The company reported weak third-quarter results, missing earnings and sales estimates. Target reduced its forecast for the year and saw weak traffic, even after reducing prices on many items. The retailer is facing a challenged consumer base that is less inclined to spend on discretionary items compared to the past. Additionally, Target is facing increased competition from Chinese retailers on Black Friday, further adding to its sales problems.
 Financials: Target's recent financial performance has been disappointing. The company's third-quarter earnings and sales missed analyst estimates, leading to a 22% drop in the stock price. Target has also reduced its forecast for the year, indicating a challenging outlook.
 Valuations: With the recent stock price decline, Target's valuation metrics have become more attractive. However, the company's weakened financial performance and the uncertain economic environment may continue to weigh on the stock's performance in the near term.
 Economic Outlook: The overall economic outlook remains uncertain, with concerns over inflation, interest rate hikes, and the potential for a recession. These macroeconomic factors could further impact Target's performance, as consumer spending on discretionary items may remain subdued.</t>
  </si>
  <si>
    <t>Recent News:
 - Dollar Tree stock price has collapsed, plunging by about 60% from its highest level in 2022, bringing its market cap from over $47 billion to about $16 billion.
 - Analysts project Q3 2024 EPS &amp; sales growth despite fewer stores, but this seems unlikely given recent performance and Walmart's gains.
 - The CEO's recent departure and potential tariffs under the Trump administration add uncertainty in the coming months.
 - Dollar Tree's Q3 results are expected to reflect pressures from soft consumer spending trends, offset by improved comps driven by higher traffic trends and market share gains.
 Financials:
 - Dollar Tree's recent financial performance has been under pressure, with rising SG&amp;A expenses and competition from Walmart weighing on the company's profitability.
 - Analysts are projecting Q3 2024 EPS &amp; sales growth, but this may be challenging given the company's recent struggles.
 Valuation:
 - With the stock price collapse, Dollar Tree's valuation has become more attractive, but the company's long-term growth prospects remain uncertain.
 Economic Outlook:
 - The potential impact of tariffs under the Trump administration and the broader economic conditions, including soft consumer spending trends, could continue to weigh on Dollar Tree's performance in the coming months.</t>
  </si>
  <si>
    <t>Recent News: Halliburton Company (HAL), a leading provider of oilfield services, reported mixed financial results for the third quarter of 2024. The company's adjusted earnings per share (EPS) of 73 cents missed the Zacks Consensus Estimate of 75 cents and was lower than the year-ago quarter's profit of 79 cents. This underperformance can be attributed to the ongoing challenges in the oil and gas industry, including reduced drilling activity and pricing pressure.
 Financials: Halliburton's revenue for the quarter stood at $4.9 billion, up 5.3% year-over-year, but fell short of the Zacks Consensus Estimate of $5.1 billion. The company's operating income declined by 8.8% to $585 million, reflecting the impact of lower profitability in its North American operations.
 Valuations: Despite the recent 12% year-to-date drop in Halliburton's stock price, the company's valuation metrics remain elevated. The stock is currently trading at a forward price-to-earnings (P/E) ratio of 18.2, which is higher than the industry average of 16.8. This suggests that the market may have already priced in the company's near-term challenges.
 Economic Outlook: The ongoing global conflicts and geopolitical tensions, as well as the potential for further interest rate hikes by the Federal Reserve, are likely to continue weighing on the oil and gas industry. These macroeconomic factors could further impact Halliburton's financial performance and investor sentiment in the near term.</t>
  </si>
  <si>
    <t>Without any recent news or financial data provided, it is challenging to provide a comprehensive assessment of the investment potential for Johnson Controls, a company in the Building Products industry. 
 Economic Outlook:
 The macroeconomic environment in 2024 appears to be characterized by ongoing global conflicts, political instability, and potential market volatility. These factors could have a significant impact on the performance of companies in the Building Products industry, as geopolitical tensions and economic uncertainty may affect consumer and business confidence, as well as construction activity.
 Valuation:
 Without access to the company's latest financial statements and valuation metrics, it is not possible to determine whether Johnson Controls is currently undervalued or overvalued compared to its peers or the broader market. Valuation is a crucial factor in assessing a company's investment potential.
 Overall Outlook:
 Given the lack of recent information about Johnson Controls' specific business performance and the uncertain macroeconomic conditions, it is difficult to provide a well-informed assessment of the company's investment potential for the next month. Additional data would be required to make a more informed evaluation.</t>
  </si>
  <si>
    <t>Without any recent news or financial data provided, it is difficult to provide a comprehensive assessment of the investment potential for Jacobs Solutions in the Construction &amp; Engineering industry. The lack of up-to-date information makes it challenging to evaluate the company's current performance, financial health, and market positioning.
 Economic Outlook:
 The overall economic outlook for the Construction &amp; Engineering industry is mixed, with factors such as ongoing global conflicts, political instability, and potential policy changes by the new U.S. administration creating uncertainty. These macroeconomic conditions could have a significant impact on the industry and, consequently, on the performance of Jacobs Solutions.
 Valuation:
 Without access to the company's latest financial statements and market data, it is not possible to accurately determine the valuation of Jacobs Solutions. Factors such as the company's revenue, profitability, growth prospects, and competitive positioning would need to be analyzed to assess its intrinsic value and potential investment appeal.
 Conclusion:
 Due to the limited information available, it is not feasible to provide a reliable investment recommendation for Jacobs Solutions at this time. A more thorough analysis would be required, incorporating the latest financial data, industry trends, and market dynamics, to evaluate the company's investment potential accurately.</t>
  </si>
  <si>
    <t>Without any recent news or financial data provided, it is difficult to provide a comprehensive assessment of Intercontinental Exchange's investment potential. The company operates in the Financial Exchanges &amp; Data industry, which is heavily influenced by macroeconomic conditions, regulatory changes, and industry trends.
 The latest economic outlook suggests a mixed picture, with some positive signs in the manufacturing sector but concerns about the potential impact of new tariffs and the Federal Reserve's monetary policy decisions. Additionally, the political landscape, including the new administration's policies, could have significant implications for the financial markets.
 Given the lack of specific information about Intercontinental Exchange's current performance and outlook, it would be speculative to assign a precise investment score. The company's long-term potential may be influenced by its ability to adapt to changing market conditions, regulatory environments, and technological advancements in the financial data and exchange industry.</t>
  </si>
  <si>
    <t>Without any recent news or financial data provided, it is difficult to provide a comprehensive assessment of the investment potential of APA Corporation in the Oil &amp; Gas Exploration &amp; Production industry for the next month.
 The macroeconomic outlook for the industry is mixed, with ongoing global conflicts and geopolitical tensions potentially impacting energy supply and demand dynamics. However, the resilience of the U.S. economy and the continued strength in the manufacturing sector could provide some support for the industry.
 Given the lack of specific information about APA Corporation's current performance and outlook, it is not possible to accurately evaluate the company's investment value at this time. A more thorough analysis would require access to the latest financial statements, market trends, and industry-specific data.</t>
  </si>
  <si>
    <t>Without any recent news or financial data provided, it is difficult to provide a comprehensive assessment of the investment potential of Arthur J. Gallagher &amp; Co. in the Insurance Brokers industry for the next month. The lack of information makes it challenging to evaluate the company's current performance, valuation, and the economic factors that may be influencing its outlook.
 Given the limited information available, it would be prudent to refrain from making any definitive investment recommendations. The insurance brokers industry is subject to various macroeconomic and industry-specific factors that can significantly impact a company's performance, and without access to the latest data, any assessment would be speculative at best.</t>
  </si>
  <si>
    <t>Without any recent news or financial data provided, it is difficult to provide a comprehensive assessment of the investment potential of Cincinnati Financial, a company in the Property &amp; Casualty Insurance industry. 
 Economic Outlook:
 The overall economic outlook for the insurance industry is mixed, with factors such as rising interest rates, inflation, and potential geopolitical tensions posing challenges. However, the long-term fundamentals of the industry remain relatively stable, as the demand for insurance products is expected to continue.
 Valuation:
 Without access to the company's latest financial statements and market performance, it is not possible to accurately evaluate the valuation of Cincinnati Financial. The company's stock price and valuation metrics would need to be analyzed in the context of its industry peers and the broader market conditions.
 Conclusion:
 Due to the lack of recent news and financial data, a thorough analysis of Cincinnati Financial's investment potential cannot be provided. A more comprehensive assessment would require access to the company's latest financial reports, market performance, and industry-specific information.</t>
  </si>
  <si>
    <t>Without any recent news or financial data provided, it is difficult to provide a comprehensive assessment of Biogen's investment potential in the Biotechnology industry for the next month. The lack of up-to-date information makes it challenging to evaluate the company's current performance, financial health, and market positioning.
 Economic Outlook:
 The broader economic conditions, such as the ongoing macroeconomic trends, industry dynamics, and regulatory environment, can significantly impact Biogen's business and stock performance. However, without the necessary data, it is not possible to determine how these factors may affect the company in the near term.
 Valuation:
 Valuation metrics, such as price-to-earnings ratio, price-to-book value, and price-to-sales ratio, are essential in assessing a company's investment attractiveness. Unfortunately, without the latest financial information, it is not feasible to calculate these ratios and provide a meaningful valuation analysis for Biogen.
 Conclusion:
 Due to the absence of recent news and financial data, a thorough evaluation of Biogen's investment potential in the Biotechnology industry for the next month cannot be conducted. A more comprehensive analysis would require access to the company's latest financial statements, market performance, and industry-specific information.</t>
  </si>
  <si>
    <t>Without any recent news or financial data provided, it is difficult to provide a comprehensive assessment of the investment potential of Ross Stores in the Apparel Retail industry for the next month. The lack of up-to-date information makes it challenging to evaluate the company's current performance, financial health, and market positioning.
 Economic Outlook:
 The macroeconomic environment, including factors such as consumer spending, inflation, and interest rates, can significantly impact the Apparel Retail industry. However, without the necessary data, it is not possible to determine how the current economic conditions may affect Ross Stores' operations and financial outlook.
 Valuation:
 Without access to the company's latest financial statements and market data, it is not feasible to assess the valuation of Ross Stores or determine whether the stock is currently undervalued or overvalued compared to its peers or the broader market.
 Conclusion:
 Due to the absence of recent news and financial information, it is not possible to provide a reliable investment recommendation or assessment of the potential investment value of Ross Stores in the Apparel Retail industry for the next month. Additional data would be required to conduct a thorough analysis and make an informed decision.</t>
  </si>
  <si>
    <t>Without any recent news or financial data provided, it is difficult to provide a comprehensive assessment of Roper Technologies' investment potential in the Electronic Equipment &amp; Instruments industry for the next month. 
 Economic Outlook:
 The macroeconomic environment in 2024 appears to be characterized by ongoing global conflicts, political instability, and potential market volatility. These factors could have a significant impact on the performance of companies in the Electronic Equipment &amp; Instruments industry, as they may affect demand, supply chains, and investor sentiment.
 Valuation:
 Without access to the company's latest financial statements and valuation metrics, it is not possible to determine whether Roper Technologies is currently undervalued, overvalued, or trading at a fair price compared to its peers or the broader market.
 Overall Outlook:
 Given the lack of recent information about the company, it is challenging to provide a reliable investment recommendation or assessment of its potential performance in the next month. The investment decision would require a more thorough analysis of the company's financial health, competitive positioning, and the industry's outlook.</t>
  </si>
  <si>
    <t>Without any recent news or financial data provided, it is difficult to provide a comprehensive assessment of the investment potential for Rollins, Inc. in the Environmental &amp; Facilities Services industry. The lack of up-to-date information makes it challenging to evaluate the company's current performance, financial health, and future prospects.
 Economic Outlook:
 The macroeconomic environment, including factors such as inflation, interest rates, and overall market conditions, can significantly impact the demand for environmental and facilities services. However, without the necessary data, it is not possible to determine how the current economic landscape might affect Rollins, Inc.'s business.
 Valuation:
 Without access to the company's financial statements and market data, it is not feasible to assess the valuation of Rollins, Inc. or determine whether the stock is trading at a fair, undervalued, or overvalued level.
 Conclusion:
 Given the absence of recent news and financial information, it is not possible to provide a well-informed investment recommendation for Rollins, Inc. at this time. Additional data would be required to conduct a thorough analysis and evaluate the company's potential investment value.</t>
  </si>
  <si>
    <t>AMTM</t>
  </si>
  <si>
    <t>Without any recent news or financial data provided, it is difficult to provide a comprehensive assessment of Amentum's investment potential in the Diversified Support Services industry for the next month. The lack of information makes it challenging to evaluate the company's current performance, financial health, and market positioning.
 Given the limited information available, it is not possible to confidently determine the investment value of Amentum at this time. The economic outlook, including factors such as the continuation of major global conflicts, the results of the 2024 U.S. presidential election, and the potential impact of emerging technologies, could all have significant implications for the Diversified Support Services industry. However, without specific data on Amentum's operations, financials, and competitive landscape, it is not feasible to provide a meaningful investment score.</t>
  </si>
  <si>
    <t>Without any recent news or financial data provided, it is difficult to provide a comprehensive assessment of ResMed's investment potential in the Health Care Equipment industry for the next month. The lack of up-to-date information makes it challenging to evaluate the company's current performance, valuation, and the economic factors that may be influencing its outlook.
 In the absence of concrete data, the overall investment outlook for ResMed remains uncertain. The Health Care Equipment industry is subject to various macroeconomic and regulatory influences, which can significantly impact the company's operations and financial position. However, without the necessary information, it is not possible to determine the specific risks or opportunities that ResMed may be facing in the near term.</t>
  </si>
  <si>
    <t>Without any recent news or financial data provided, it is difficult to provide a comprehensive assessment of Equifax's investment potential in the Research &amp; Consulting Services industry for the next month. The lack of current information makes it challenging to evaluate the company's recent performance, financial health, and the potential impact of the macroeconomic environment on its operations.
 Given the limited information available, it would be speculative to assign a specific investment score for Equifax at this time. The company's performance and outlook can be significantly influenced by various factors, including industry trends, competitive landscape, regulatory changes, and overall economic conditions, which are not clearly evident from the provided data.</t>
  </si>
  <si>
    <t>Without any recent news or financial data provided, it is difficult to provide a comprehensive assessment of the investment potential of EOG Resources in the Oil &amp; Gas Exploration &amp; Production industry for the next month. The macroeconomic outlook, including factors such as global conflicts, political instability, and the potential impact of the new U.S. administration's policies, could have significant implications for the energy sector. However, without the necessary company-specific information, it would be speculative to make a definitive investment recommendation.</t>
  </si>
  <si>
    <t>Without any recent news or financial data provided, it is challenging to provide a comprehensive assessment of Emerson Electric's investment potential in the Electrical Components &amp; Equipment industry for the next month. 
 The overall economic outlook, as described in the macroeconomic context, suggests a mixed environment with both positive and negative factors that could impact the performance of companies in this industry. The continued strength in the manufacturing sector and the potential for new technologies to drive growth are positive signs. However, the uncertainty surrounding trade policies, geopolitical tensions, and the Federal Reserve's monetary policy decisions could introduce volatility in the market.
 Given the lack of specific information about Emerson Electric's current financial standing, market position, and management strategies, it is difficult to determine the company's ability to navigate the upcoming challenges and opportunities. Without a more detailed understanding of the firm's fundamentals, it is not possible to provide a reliable investment score.</t>
  </si>
  <si>
    <t>Without any recent news or financial data provided, it is difficult to provide a comprehensive assessment of the investment potential of Southern Company in the Electric Utilities industry. The lack of up-to-date information makes it challenging to evaluate the company's current performance, financial health, and future prospects.
 Economic Outlook:
 The broader economic conditions, such as interest rates, inflation, and energy demand, can significantly impact the Electric Utilities industry and Southern Company's operations. However, without the necessary data, it is not possible to determine how the current macroeconomic environment might affect the company's outlook.
 Valuation:
 Without access to Southern Company's latest financial statements, price-to-earnings ratio, or other relevant valuation metrics, it is not feasible to assess whether the stock is currently undervalued, overvalued, or trading at a fair price compared to its industry peers or the broader market.
 Conclusion:
 Given the absence of recent news and financial data, it is not possible to provide a well-informed investment recommendation for Southern Company. More up-to-date information would be required to conduct a thorough analysis and determine the potential investment value of the company.</t>
  </si>
  <si>
    <t>Without any recent news or financial data provided, it is difficult to provide a comprehensive assessment of the investment potential for Smurfit WestRock in the Paper &amp; Plastic Packaging Products &amp; Materials industry. The lack of current information makes it challenging to evaluate the company's recent performance, financial health, and positioning within the industry.
 The overall economic outlook, as described in the macroeconomic context, suggests a mixed environment with both positive and negative factors that could impact the packaging industry. While the U.S. economy is showing signs of resilience, concerns over inflation, potential trade tensions, and geopolitical risks could introduce volatility in the market.
 Without access to the company's latest financial statements, valuation metrics, and industry-specific data, it is not possible to make a well-informed assessment of Smurfit WestRock's investment value. Additional information would be required to analyze the company's competitive positioning, growth prospects, and any potential risks or opportunities it may be facing.</t>
  </si>
  <si>
    <t>Without any recent news or financial data provided, it is difficult to provide a comprehensive assessment of Seagate Technology's investment potential. The company operates in the Technology Hardware, Storage &amp; Peripherals industry, which is heavily influenced by macroeconomic conditions, technological advancements, and competitive dynamics.
 The overall economic outlook, as described in the provided context, suggests a mixed environment with both positive and negative factors. While the U.S. economy is showing signs of resilience, concerns over inflation, potential trade tensions, and geopolitical risks could introduce volatility in the market.
 Additionally, the emergence of new technologies, such as artificial intelligence and small modular nuclear reactors, may present both opportunities and challenges for companies in the technology hardware and storage industry. The launch of a new stock exchange, 24 Exchange, could also impact the competitive landscape.
 Without access to the latest financial data and news updates, it is not possible to accurately evaluate Seagate Technology's current position, performance, and future prospects. A more thorough analysis would be required to provide a meaningful investment recommendation.</t>
  </si>
  <si>
    <t>Without any recent news or financial data provided, it is difficult to provide a comprehensive assessment of Omnicom Group's investment potential in the Advertising industry for the next month. The company's performance and outlook would largely depend on the broader economic conditions, industry trends, and competitive landscape, which are not clearly defined in the given information.
 The Advertising industry has faced challenges in recent years due to the shift towards digital advertising and the economic impacts of events like the COVID-19 pandemic. However, the industry's long-term growth prospects remain positive, driven by the increasing importance of marketing and advertising in the digital age.
 Given the lack of specific details about Omnicom Group's current situation, it would be speculative to assign a definitive investment score. The company's ability to adapt to industry changes, maintain its competitive edge, and capitalize on emerging opportunities would be key factors in determining its investment value.</t>
  </si>
  <si>
    <t>Without any recent news or financial data provided, it is difficult to provide a comprehensive assessment of the investment potential of Old Dominion, a company in the Cargo Ground Transportation industry. 
 Economic Outlook:
 The macroeconomic environment in 2024 is expected to be challenging, with ongoing global conflicts, political instability, and potential trade tensions that could impact the transportation and logistics sector. However, the resilience of the U.S. economy, as evidenced by strong manufacturing data, suggests that there may be opportunities for companies able to navigate these uncertainties.
 Valuation:
 Without access to the company's latest financial statements and valuation metrics, it is not possible to determine if Old Dominion is currently undervalued or overvalued compared to its peers or the broader market.
 Overall, the lack of recent information about Old Dominion's performance and outlook makes it challenging to provide a meaningful investment recommendation. A more thorough analysis would be required to assess the company's competitive position, growth prospects, and potential risks.</t>
  </si>
  <si>
    <t>Without any recent news or financial data provided, it is difficult to provide a comprehensive assessment of the investment potential for O'Reilly Auto Parts in the Automotive Retail industry. The company's performance and outlook would depend on various factors, including the overall economic conditions, consumer spending trends, competitive landscape, and the company's own operational and financial metrics.
 The Automotive Retail industry is closely tied to the broader economic environment, and factors such as consumer confidence, employment levels, and disposable income can significantly impact the demand for automotive parts and services. The recent macroeconomic data, including the continuation of major global conflicts, the results of the 2024 U.S. presidential election, and the potential for policy changes, could all have implications for the industry and O'Reilly Auto Parts' performance.
 Without access to the company's latest financial statements, valuation metrics, and management's guidance, it is challenging to evaluate the firm's current position and future prospects. Additionally, the competitive dynamics within the Automotive Retail industry, such as the presence of other major players and their strategies, would also be important considerations in assessing the investment potential.</t>
  </si>
  <si>
    <t>Without any recent news or financial data provided, it is difficult to provide a comprehensive assessment of the investment potential for NXP Semiconductors. The semiconductor industry is heavily influenced by macroeconomic factors, such as global trade tensions, supply chain disruptions, and consumer demand. Additionally, the performance of individual companies in the sector can be significantly impacted by their product pipeline, market share, and competitive positioning.
 Given the lack of specific information about NXP Semiconductors' current situation, it would be speculative to make any definitive conclusions about the company's investment value. The overall economic outlook, including factors like the Federal Reserve's monetary policy decisions and the potential impact of geopolitical events, could also have a significant bearing on the semiconductor industry and NXP Semiconductors' prospects.</t>
  </si>
  <si>
    <t>Without any recent news or financial data provided, it is difficult to provide a comprehensive assessment of Paramount Global's investment potential in the Movies &amp; Entertainment industry for the next month. The macroeconomic outlook, including factors such as consumer spending, inflation, and interest rates, would typically be important considerations in evaluating the company's prospects. Additionally, industry-specific trends and competitive dynamics could significantly impact Paramount Global's performance.
 Given the lack of information, a definitive investment score cannot be confidently assigned. More detailed and up-to-date data would be required to make a well-informed evaluation of the company's current position and future outlook.</t>
  </si>
  <si>
    <t>Without any recent news or financial data provided, it is difficult to provide a comprehensive assessment of Packaging Corporation of America's investment potential. The company operates in the Paper &amp; Plastic Packaging Products &amp; Materials industry, which can be impacted by various macroeconomic factors such as consumer demand, commodity prices, and supply chain dynamics.
 The overall economic outlook for the next month remains uncertain, with concerns over inflation, potential trade tensions, and geopolitical risks that could introduce volatility in the market. However, the manufacturing sector has shown resilience, which could benefit companies like Packaging Corporation of America.
 Without access to the company's latest financial performance, valuation metrics, and industry-specific trends, it is challenging to assign a meaningful investment score. A more thorough analysis of the company's fundamentals, competitive positioning, and growth prospects would be necessary to provide a reliable investment recommendation.</t>
  </si>
  <si>
    <t>Without any recent news or financial data provided, it is challenging to provide a comprehensive assessment of the investment potential for Dow Inc. in the Commodity Chemicals industry. The macroeconomic outlook, as described, suggests a mixed environment with both positive and negative factors that could impact the performance of companies in this sector.
 On the positive side, the resilience of the U.S. manufacturing sector and the potential for continued strength in the stock market could benefit Dow Inc. However, concerns over inflation, trade tensions, and geopolitical risks introduce uncertainty that may weigh on the company's outlook.
 Additionally, the emergence of new technologies and market innovations, such as the launch of the 24 Exchange, could present both opportunities and challenges for Dow Inc. and the broader industry.
 Without access to the latest financial data and news updates, it is difficult to accurately evaluate the company's current position, valuation, and growth prospects. A more thorough analysis would be required to provide a meaningful investment recommendation.</t>
  </si>
  <si>
    <t>Without any recent news or financial data provided, it is difficult to provide a comprehensive assessment of 3M's investment potential in the Industrial Conglomerates industry for the next month. The macroeconomic outlook, including factors such as the ongoing geopolitical tensions, trade policies, and the Federal Reserve's monetary policy decisions, could have a significant impact on the performance of industrial conglomerates like 3M. However, without the necessary information about the company's current financial standing, market position, and management strategies, a reliable investment score cannot be determined.</t>
  </si>
  <si>
    <t>Without any recent news or financial data provided, it is difficult to provide a comprehensive assessment of Align Technology's investment potential in the Health Care Supplies industry for the next month. The lack of up-to-date information makes it challenging to evaluate the company's current performance, market position, and future prospects.
 Economic Outlook:
 The broader economic conditions, such as the ongoing macroeconomic trends, industry dynamics, and regulatory environment, can significantly impact Align Technology's business and stock performance. However, without the necessary data, it is not possible to determine how the company might be affected by the recent economic developments and events.
 Valuation:
 Valuation metrics, such as price-to-earnings ratio, price-to-sales ratio, and price-to-book value, are essential in assessing a company's investment attractiveness. However, without the latest financial information, it is not feasible to calculate these ratios and make an informed judgment on Align Technology's valuation.
 Conclusion:
 Due to the absence of recent news and financial data, it is not possible to provide a reliable assessment of Align Technology's investment potential in the Health Care Supplies industry for the next month. A more comprehensive analysis would require access to the company's latest financial statements, market performance, and industry-specific information.</t>
  </si>
  <si>
    <t>Without any recent news or financial data provided, it is difficult to provide a comprehensive assessment of Viatris' investment potential in the Pharmaceuticals industry for the next month. The lack of up-to-date information makes it challenging to evaluate the company's current performance, financial health, and market positioning.
 Economic Outlook:
 The broader economic environment, including factors such as inflation, interest rates, and consumer spending, can significantly impact the Pharmaceuticals industry. However, without the necessary data, it is not possible to determine how these macroeconomic conditions might specifically affect Viatris in the near term.
 Valuation:
 Without access to the company's latest financial statements and market data, it is not feasible to assess Viatris' current valuation or determine whether it is trading at a discount or premium compared to its peers or industry benchmarks.
 Overall, the limited information available makes it challenging to provide a well-informed investment recommendation for Viatris. A more thorough analysis would require access to the company's recent news, financial reports, and other relevant data.</t>
  </si>
  <si>
    <t>Without any recent news or financial data provided, it is difficult to provide a comprehensive assessment of Vertex Pharmaceuticals' investment potential. The biotechnology industry is highly dependent on the performance of individual companies' drug pipelines, regulatory approvals, and market dynamics, which can significantly impact their financial and operational outlook.
 Given the lack of information, it would be speculative to make any definitive conclusions about Vertex Pharmaceuticals' current situation or its investment value for the next month. The overall economic outlook, including factors such as the Federal Reserve's monetary policy decisions and geopolitical events, could also have a bearing on the performance of the biotechnology sector and the company.
 In the absence of the necessary data, a prudent approach would be to closely monitor any new developments and financial updates from Vertex Pharmaceuticals before making an informed investment decision. The company's long-term growth prospects and competitive positioning within the industry would also need to be carefully evaluated.</t>
  </si>
  <si>
    <t>Without any recent news or financial data provided, it is difficult to provide a comprehensive assessment of the investment potential for BorgWarner, a company in the Automotive Parts &amp; Equipment industry. 
 Economic Outlook:
 The macroeconomic environment in 2024 appears to be challenging, with ongoing global conflicts, political instability, and potential trade tensions that could impact the automotive industry. These factors may create uncertainty and volatility in the market, which could affect the performance of companies like BorgWarner.
 Valuation:
 Without access to the company's latest financial statements and valuation metrics, it is not possible to determine if BorgWarner is currently undervalued or overvalued compared to its peers or the broader market.
 Overall, the lack of recent information about the company's operations, financial health, and market positioning makes it challenging to provide a meaningful investment recommendation. A more thorough analysis would be required to assess the potential investment value of BorgWarner.</t>
  </si>
  <si>
    <t>Without any recent news or financial data provided, it is difficult to provide a comprehensive assessment of the investment potential for BNY Mellon in the Asset Management &amp; Custody Banks industry. The company's performance and outlook would largely depend on the broader macroeconomic conditions, industry trends, and its specific competitive positioning, all of which are not clearly evident from the information available.
 Given the lack of concrete data, a definitive investment score cannot be reliably determined. The company's future prospects would need to be evaluated based on a thorough analysis of its financial statements, management strategy, market share, and other relevant factors.</t>
  </si>
  <si>
    <t>Without any recent news or financial data provided, it is difficult to provide a comprehensive assessment of Stryker Corporation's investment potential in the Health Care Equipment industry for the next month. The lack of up-to-date information makes it challenging to evaluate the company's current performance, valuation, and the economic factors that may be influencing its outlook.
 Given the limited information available, it would be prudent to exercise caution when considering an investment in Stryker Corporation at this time. The Health Care Equipment industry is subject to various market and regulatory dynamics, and the company's performance can be significantly impacted by factors such as product pipeline, regulatory approvals, and changes in healthcare policies.
 Without access to the latest financial statements, growth metrics, and industry trends, it is not possible to provide a reliable score reflecting the potential investment value of Stryker Corporation for the next month. A more thorough analysis would be required to make an informed assessment.</t>
  </si>
  <si>
    <t>Without any recent news or financial data provided, it is difficult to provide a comprehensive assessment of Truist Financial's investment potential in the Diversified Banks industry for the next month. The macroeconomic outlook, including factors such as interest rates, economic growth, and regulatory changes, can significantly impact the performance of banks and the broader financial sector.
 Given the lack of specific information about Truist Financial, a cautious approach is warranted. The company's ability to navigate the current economic and market conditions, as well as its competitive positioning within the Diversified Banks industry, would need to be evaluated to determine its investment value.</t>
  </si>
  <si>
    <t>Without any recent news or financial data provided, it is difficult to provide a comprehensive assessment of the investment potential of Waters Corporation in the Life Sciences Tools &amp; Services industry for the next month.
 Economic Outlook:
 The macroeconomic environment in 2024 is expected to be challenging, with ongoing global conflicts, political instability, and potential trade tensions. These factors could create volatility and uncertainty in the stock market, which may impact the performance of companies in the Life Sciences Tools &amp; Services industry.
 Valuation:
 Without access to the latest financial statements and valuation metrics, it is not possible to determine if Waters Corporation is currently undervalued or overvalued compared to its peers or the industry average.
 Overall Outlook:
 Given the lack of recent information, it is prudent to refrain from providing a specific investment recommendation for Waters Corporation at this time. The company's performance and investment potential would need to be evaluated based on the latest available data and market conditions.</t>
  </si>
  <si>
    <t>Without any recent news or financial data provided, it is difficult to provide a comprehensive assessment of Weyerhaeuser's investment potential in the Timber REITs industry for the next month. The lack of up-to-date information makes it challenging to evaluate the company's current performance, valuation, and the economic factors that may be influencing its outlook.
 In the absence of concrete data, it would be speculative to make any definitive claims about Weyerhaeuser's investment value. The Timber REITs industry is heavily influenced by factors such as commodity prices, housing market trends, and overall economic conditions, all of which can fluctuate rapidly and unpredictably.
 Given the limited information available, a prudent approach would be to closely monitor any new developments and financial reports related to Weyerhaeuser and the broader Timber REITs industry before making an informed investment decision.</t>
  </si>
  <si>
    <t>Without any recent news or financial data provided, it is difficult to provide a comprehensive assessment of Verisign's investment potential in the Internet Services &amp; Infrastructure industry for the next month. 
 Economic Outlook:
 The macroeconomic environment in 2024 appears to be characterized by ongoing global conflicts, political instability, and potential market volatility. These factors could have a significant impact on the performance of companies operating in the technology and infrastructure sectors.
 Valuation:
 Without access to Verisign's latest financial statements and valuation metrics, it is not possible to determine whether the company's stock is currently undervalued, overvalued, or trading at a fair price compared to its peers or the broader market.
 Overall Outlook:
 Given the lack of recent information about Verisign's business operations, financial health, and competitive positioning, it is challenging to provide a reliable investment recommendation for the company in the near term. The prevailing macroeconomic and geopolitical conditions may also introduce additional uncertainty that could affect the company's performance.</t>
  </si>
  <si>
    <t>Without any recent news or financial data provided, it is difficult to provide a comprehensive assessment of the investment potential for Veralto, a company in the Environmental &amp; Facilities Services industry. 
 Economic Outlook:
 The macroeconomic environment in 2024 appears to be characterized by ongoing global conflicts, political instability, and natural disasters, which could create challenges and uncertainties for companies operating in the environmental and facilities services sector. However, the long-term trends towards sustainability and the need for efficient facilities management may continue to drive demand for Veralto's services.
 Valuation:
 Without access to the company's financial statements and valuation metrics, it is not possible to determine whether Veralto's shares are currently undervalued or overvalued compared to its peers or the broader market.
 Overall, the lack of recent information about Veralto's performance, competitive positioning, and financial health makes it challenging to provide a meaningful investment recommendation. A more thorough analysis would be required to assess the company's investment potential accurately.</t>
  </si>
  <si>
    <t>Without any recent news or financial data provided, it is difficult to provide a comprehensive assessment of Valero Energy's investment potential in the Oil &amp; Gas Refining &amp; Marketing industry for the next month. The macroeconomic outlook, including factors such as global conflicts, political instability, and economic trends, could have a significant impact on the performance of companies in this sector. However, without the necessary information about Valero Energy's specific financial position, operational efficiency, and competitive landscape, a reliable investment score cannot be determined.</t>
  </si>
  <si>
    <t>Without any recent news or financial data provided, it is difficult to provide a comprehensive assessment of the investment potential of Universal Health Services in the Health Care Facilities industry for the next month. The lack of up-to-date information makes it challenging to evaluate the company's current performance, financial health, and the potential impact of the macroeconomic environment on its operations.
 Given the limited information available, it is not possible to make a well-informed investment recommendation or assign a meaningful score reflecting the company's potential investment value. The decision to invest in Universal Health Services would require a thorough analysis of the latest financial statements, industry trends, and the overall economic outlook affecting the healthcare sector.</t>
  </si>
  <si>
    <t>Without any recent news or financial data provided, it is difficult to provide a comprehensive assessment of First Solar's investment potential in the Semiconductors industry for the next month. The lack of up-to-date information makes it challenging to evaluate the company's current performance, financial health, and market positioning.
 Given the limited information available, it is not possible to make a well-informed investment recommendation or assign a meaningful score reflecting the potential investment value of First Solar. The economic outlook and industry dynamics can have a significant impact on the company's prospects, but without the necessary data, any analysis would be speculative at best.</t>
  </si>
  <si>
    <t>Without any recent news or financial data provided, it is difficult to provide a comprehensive assessment of the investment potential of United Parcel Service (UPS) in the Air Freight &amp; Logistics industry for the next month. 
 The overall economic outlook, however, suggests that the logistics and transportation sector may face some challenges in the near term. The potential for continued trade tensions, geopolitical instability, and the possibility of a slowdown in economic growth could impact the demand for shipping and logistics services. Additionally, rising inflation and interest rates may put pressure on profit margins for companies in this industry.
 That said, UPS has historically been a well-established and resilient player in the air freight and logistics market. The company's diversified service offerings, global reach, and strong brand recognition may help it navigate the current economic environment. However, without access to the latest financial data and industry trends, it is not possible to provide a reliable investment score.</t>
  </si>
  <si>
    <t>Without any recent news or financial data provided, it is difficult to provide a comprehensive assessment of the investment potential of PTC Inc. in the Application Software industry for the next month. 
 The overall economic outlook, as described in the macroeconomic context, suggests a mixed environment with both positive and negative factors that could impact the performance of companies in the technology and software sectors. Factors such as the new administration's trade policies, the Federal Reserve's monetary policy decisions, and geopolitical tensions could introduce volatility in the market.
 However, the continued strength in the manufacturing sector and the emergence of new technologies, such as artificial intelligence, could present opportunities for companies like PTC Inc. to capitalize on industry trends.
 Without access to the latest financial information and news updates, it is challenging to evaluate the specific factors that may be driving PTC Inc.'s performance and valuation. A more thorough analysis would be required to provide a meaningful investment recommendation.</t>
  </si>
  <si>
    <t>Without any recent news or financial data provided, it is difficult to provide a comprehensive assessment of Public Service Enterprise Group's investment potential in the Electric Utilities industry for the next month. The lack of up-to-date information makes it challenging to evaluate the company's current performance, financial health, and the potential impact of the macroeconomic environment on its operations.
 Economic Outlook:
 The overall economic outlook for the Electric Utilities industry is crucial in determining the investment value of Public Service Enterprise Group. The recent macroeconomic events, such as the continuation of major armed conflicts globally, the escalation of the Israel-Hamas war, and the political instability in Germany, could potentially affect the industry's performance and investor sentiment. However, without specific data on the company's exposure and resilience to these factors, it is not possible to provide a reliable assessment.
 Valuation:
 Without access to the company's latest financial statements and market data, it is not feasible to conduct a thorough valuation analysis. Factors such as the company's price-to-earnings ratio, dividend yield, and growth prospects would be essential in determining its investment potential, but these metrics are not available in the provided information.
 Score: 50
 Given the lack of recent news, financial data, and industry-specific insights, the investment potential of Public Service Enterprise Group in the Electric Utilities industry for the next month cannot be accurately assessed. A score of 50 is assigned, reflecting the limited information available to make a more informed investment decision.</t>
  </si>
  <si>
    <t>Without any recent news or financial data provided, it is difficult to provide a comprehensive assessment of the investment potential for Regions Financial Corporation in the Regional Banks industry. The overall economic outlook, however, suggests some potential headwinds that may impact the performance of regional banks in the near term.
 The macroeconomic environment is characterized by concerns over inflation, the Federal Reserve's ongoing monetary policy tightening, and potential trade tensions stemming from the new administration's policies. These factors could create volatility and uncertainty in the financial markets, which may affect the performance of regional banks like Regions Financial.
 Additionally, the geopolitical landscape, with ongoing conflicts and instability in various regions, could also have indirect consequences on the banking sector, particularly if they lead to broader economic disruptions.
 Given the lack of specific information about Regions Financial's recent performance and outlook, it is challenging to assign a definitive investment score. A more thorough analysis of the company's fundamentals, competitive positioning, and management strategy would be necessary to provide a meaningful assessment of its investment potential.</t>
  </si>
  <si>
    <t>Without any recent news or financial data provided, it is difficult to provide a comprehensive assessment of Regeneron Pharmaceuticals' investment potential in the Biotechnology industry for the next month. The lack of up-to-date information makes it challenging to evaluate the company's current performance, financial health, and market positioning.
 The Biotechnology industry is known for its dynamic nature, with companies often relying on the success of their pipeline of drug candidates and regulatory approvals to drive growth. Without the latest financial statements, it is unclear how Regeneron Pharmaceuticals is performing relative to its peers or how it is positioned to navigate the current economic and industry landscape.
 Additionally, the macroeconomic factors, such as the ongoing geopolitical tensions, inflation concerns, and the Federal Reserve's monetary policy decisions, can have a significant impact on the overall market sentiment and the performance of individual companies within the Biotechnology sector. However, without the necessary data, it is not possible to assess how these external factors may specifically affect Regeneron Pharmaceuticals in the near term.
 Given the lack of recent information, it would be prudent to refrain from providing a definitive investment recommendation for Regeneron Pharmaceuticals at this time. A more thorough analysis would be required to make an informed assessment of the company's investment potential.</t>
  </si>
  <si>
    <t>Without any recent news or financial data provided, it is difficult to provide a comprehensive assessment of Alliant Energy's investment potential in the Electric Utilities industry for the next month. The lack of up-to-date information makes it challenging to evaluate the company's current performance, financial health, and the potential impact of the macroeconomic environment on its operations.
 Given the limited information available, it would be speculative to make any definitive conclusions about the company's investment value. The Electric Utilities industry is typically influenced by factors such as energy demand, regulatory changes, and commodity prices, which can significantly impact a company's financial results and stock price.
 Without access to the latest financial statements, market valuation metrics, and industry-specific insights, it is not possible to provide a reliable score reflecting the potential investment value of Alliant Energy for the next month.</t>
  </si>
  <si>
    <t>Without any recent news or financial data provided, it is difficult to provide a comprehensive assessment of Ametek's investment potential in the Electrical Components &amp; Equipment industry for the next month. The lack of up-to-date information makes it challenging to evaluate the company's current performance, financial health, and market positioning.
 Economic Outlook:
 The macroeconomic environment, including factors such as interest rates, inflation, and global trade dynamics, can significantly impact the Electrical Components &amp; Equipment industry. However, without the necessary data, it is not possible to determine how these broader economic conditions may specifically affect Ametek's business and stock performance in the near term.
 Valuation:
 Valuation metrics, such as price-to-earnings (P/E) ratio, price-to-book (P/B) ratio, and dividend yield, are crucial in assessing a company's investment attractiveness. Unfortunately, without the recent financial statements and stock price information, it is not feasible to calculate and analyze Ametek's current valuation.
 Overall, the absence of recent news and financial data makes it challenging to provide a comprehensive investment report and assign a meaningful score for Ametek's potential investment value in the next month. Additional information would be required to make a more informed assessment.</t>
  </si>
  <si>
    <t>Without any recent news or financial data provided, it is difficult to provide a comprehensive assessment of the investment potential of American International Group (AIG) in the Multi-line Insurance industry for the next month. 
 The overall economic outlook, as described in the macroeconomic context, suggests a mixed environment with both positive and negative factors that could impact the insurance sector. The resilience of the U.S. economy, particularly in the manufacturing and consumer spending areas, could be supportive for insurance companies. However, the potential for continued inflation concerns and the impact of policy decisions by the new administration could introduce volatility and uncertainty.
 Given the lack of specific information about AIG's current performance and outlook, it is not possible to provide a reliable investment score at this time. A more thorough analysis of the company's financial health, competitive positioning, and management strategy would be necessary to make an informed assessment of its investment potential.</t>
  </si>
  <si>
    <t>Without any recent news or financial data provided, it is difficult to provide a comprehensive assessment of the investment potential for Charter Communications in the Cable &amp; Satellite industry. The lack of up-to-date information makes it challenging to evaluate the company's current performance, financial health, and market positioning.
 The overall economic outlook, including factors such as consumer spending, industry trends, and regulatory environment, can have a significant impact on the prospects of companies in the Cable &amp; Satellite sector. However, without the necessary data points, it is not possible to determine how these macro-level factors may specifically affect Charter Communications in the near future.
 Given the limited information available, it would be prudent to seek out more recent and detailed data about the company's operations, financial metrics, and competitive landscape before making any investment decisions. A thorough analysis of the latest developments and industry dynamics is crucial to assess the true investment value of Charter Communications.</t>
  </si>
  <si>
    <t>Without any recent news or financial data provided, it is difficult to provide a comprehensive assessment of the investment potential for CMS Energy in the Multi-Utilities industry. The lack of up-to-date information makes it challenging to evaluate the company's current performance, financial health, and future prospects.
 Economic Outlook:
 The overall economic outlook for the Multi-Utilities industry can be influenced by various macroeconomic factors, such as interest rates, inflation, and consumer spending. However, without the necessary data, it is not possible to determine how these factors may specifically impact CMS Energy's business and valuation.
 Valuation:
 Without access to the company's latest financial statements, it is not feasible to conduct a thorough valuation analysis. Key metrics such as price-to-earnings ratio, price-to-book ratio, and dividend yield, which are typically used to assess a company's valuation, cannot be calculated.
 Conclusion:
 Due to the absence of recent news and financial data, it is not possible to provide a reliable investment recommendation or assessment of the potential investment value for CMS Energy. A more comprehensive analysis would require access to the company's latest financial reports, industry trends, and other relevant information.</t>
  </si>
  <si>
    <t>Without any recent news or financial data provided, it is difficult to provide a comprehensive assessment of the investment potential for CME Group in the Financial Exchanges &amp; Data industry. However, based on the macroeconomic outlook and industry trends, we can make some general observations.
 The financial exchanges and data industry is closely tied to the overall performance of the stock market and the broader economy. The recent resilience in the U.S. economy, with strong manufacturing data and continued market gains, suggests a potentially favorable environment for financial exchanges. Additionally, the emergence of new technologies and market innovations, such as the launch of the 24 Exchange, could present growth opportunities for industry players like CME Group.
 However, the uncertain political landscape, including the potential impact of new tariffs and the ongoing geopolitical tensions, could introduce volatility and uncertainty that may affect the industry. Furthermore, the Federal Reserve's monetary policy decisions and their impact on inflation will be crucial factors to monitor.
 Without access to the latest financial information and news regarding CME Group, it is challenging to provide a precise investment recommendation. A more thorough analysis of the company's financial performance, market position, and growth prospects would be necessary to assign a meaningful investment score.</t>
  </si>
  <si>
    <t>Without any recent news or financial data provided, it is difficult to provide a comprehensive assessment of Paccar's investment potential in the Construction Machinery &amp; Heavy Transportation Equipment industry for the next month. The macroeconomic outlook, including factors such as the ongoing geopolitical tensions, trade policies, and the Federal Reserve's monetary policy decisions, could have a significant impact on the performance of companies in this industry. However, without the necessary information about Paccar's specific financial standing, market position, and growth prospects, a reliable investment score cannot be determined.</t>
  </si>
  <si>
    <t>Without any recent news or financial data provided, it is difficult to provide a comprehensive assessment of Fidelity National Information Services' investment potential in the Transaction &amp; Payment Processing Services industry for the next month. 
 The overall economic outlook, as described in the macroeconomic context, suggests a mixed environment with both positive and negative factors that could impact the performance of companies in this industry. The resilience of the U.S. manufacturing sector and the potential for emerging technologies to drive growth are positive signs. However, concerns over inflation, trade tensions, and geopolitical risks introduce uncertainty that could lead to market volatility.
 Given the lack of company-specific information, it is not possible to accurately evaluate Fidelity National Information Services' current position, financial health, or competitive advantages. Without these crucial data points, a reliable investment score cannot be determined.</t>
  </si>
  <si>
    <t>Without any recent news or financial data provided, it is difficult to provide a comprehensive assessment of the investment potential for Fox Corporation (Class B) in the Broadcasting industry for the next month. The lack of up-to-date information makes it challenging to evaluate the company's current performance, financial health, and the potential impact of the macroeconomic environment on its operations.
 Given the absence of key details, a definitive investment score cannot be confidently assigned. The overall economic outlook, industry trends, and the company's competitive positioning would need to be further analyzed to determine the appropriate investment value.</t>
  </si>
  <si>
    <t>Without any recent news or financial data provided, it is difficult to provide a comprehensive assessment of the investment potential of United Rentals, a company in the Trading Companies &amp; Distributors industry. 
 Economic Outlook:
 The macroeconomic environment in 2024 appears to be characterized by ongoing global conflicts, political instability, and potential market volatility. These factors could have a significant impact on the performance of companies in the Trading Companies &amp; Distributors industry, as their operations and supply chains may be affected by geopolitical tensions and economic uncertainty.
 Valuation:
 Without access to the company's latest financial statements and valuation metrics, it is not possible to determine whether United Rentals is currently undervalued or overvalued compared to its peers or the broader market.
 Overall, the lack of recent information about the company's performance and the uncertain macroeconomic conditions make it challenging to provide a reliable investment recommendation for United Rentals at this time.</t>
  </si>
  <si>
    <t>Without any recent news or financial data provided, it is difficult to provide a comprehensive assessment of Mondelez International's investment potential in the Packaged Foods &amp; Meats industry for the next month. 
 The overall economic outlook, however, suggests some potential headwinds that may impact the broader industry. The continuation of major global conflicts, political instability in key regions, and concerns over inflation and the Federal Reserve's monetary policy decisions could introduce volatility in the market. These macroeconomic factors may have a bearing on the performance of companies in the Packaged Foods &amp; Meats sector.
 Given the lack of specific information about Mondelez International's current standing, it would be prudent to gather more data before making a definitive investment recommendation. A more thorough analysis of the company's financials, market position, and management strategy would be necessary to determine its potential investment value in the short-term.</t>
  </si>
  <si>
    <t>Without any recent news or financial data provided, it is difficult to provide a comprehensive assessment of Loews Corporation's investment potential in the Multi-line Insurance industry for the next month. The lack of current information makes it challenging to evaluate the company's recent performance, financial health, and the potential impact of the macroeconomic environment on its operations.
 Given the limited information available, it is not possible to make a well-informed investment recommendation or assign a meaningful score reflecting the company's potential investment value. A thorough analysis would require access to the latest financial statements, industry trends, and any significant developments that could affect Loews Corporation's business and outlook.</t>
  </si>
  <si>
    <t>Without any recent news or financial data provided, it is difficult to provide a comprehensive assessment of the investment potential for LKQ Corporation in the Distributors industry. The lack of up-to-date information makes it challenging to evaluate the company's current performance, financial health, and market positioning.
 Economic Outlook:
 The macroeconomic environment, including factors such as consumer spending, supply chain dynamics, and industry trends, can significantly impact the Distributors industry and LKQ Corporation's operations. However, without the necessary data, it is not possible to determine how the current economic conditions may affect the company's future prospects.
 Valuation:
 Without access to LKQ Corporation's financial statements, it is not feasible to conduct a thorough valuation analysis. Key metrics such as price-to-earnings ratio, price-to-book ratio, and other relevant valuation multiples cannot be calculated to assess the company's relative attractiveness compared to its peers or the broader market.
 Conclusion:
 Due to the absence of recent news and financial data, a comprehensive investment analysis of LKQ Corporation cannot be provided. The lack of information makes it challenging to evaluate the company's current situation, potential risks, and growth opportunities. As a result, a reliable investment recommendation cannot be made at this time.</t>
  </si>
  <si>
    <t>Without any recent news or financial data provided, it is difficult to provide a comprehensive assessment of the investment potential for Live Nation Entertainment in the Movies &amp; Entertainment industry. The company's performance and outlook would largely depend on the broader economic and industry conditions, as well as any company-specific developments that are not available in the given information.
 The overall economic outlook, as described in the macroeconomic context, suggests a mixed picture, with some positive signs in the manufacturing sector but also concerns about inflation and the potential impact of policy changes. The geopolitical tensions and conflicts mentioned could also have ripple effects on consumer spending and the entertainment industry.
 Without access to Live Nation Entertainment's latest financial statements, valuation metrics, and management's guidance, it is not possible to evaluate the company's competitive position, growth prospects, and potential risks. Additionally, the lack of industry-specific information makes it challenging to assess the company's relative performance and positioning within the Movies &amp; Entertainment sector.
 Given the limited information provided, it would be prudent to refrain from making a definitive investment recommendation for Live Nation Entertainment at this time. A more thorough analysis would be required to determine the appropriate investment value and potential for the company.</t>
  </si>
  <si>
    <t>Without any recent news or financial data provided, it is difficult to provide a comprehensive assessment of the investment potential of McCormick &amp; Company in the Packaged Foods &amp; Meats industry for the next month. 
 The overall economic outlook, including factors such as consumer spending, inflation, and the Federal Reserve's monetary policy decisions, can have a significant impact on the performance of companies in the packaged foods sector. However, without access to the latest financial statements, market valuation metrics, and industry-specific developments, a reliable investment score cannot be determined.</t>
  </si>
  <si>
    <t>Without any recent news or financial data provided, it is difficult to provide a comprehensive assessment of Mohawk Industries' investment potential in the Home Furnishings industry for the next month. The lack of current information makes it challenging to evaluate the company's recent performance, financial health, and the potential impact of the macroeconomic environment on its operations.
 Economic Outlook:
 The macroeconomic conditions outlined, including ongoing global conflicts, political instability, and potential trade policy changes, could create uncertainty and volatility in the overall market. However, without specific details on Mohawk Industries' exposure and resilience to these factors, it is not possible to determine the company's ability to navigate the current environment.
 Valuation:
 Without access to the latest financial statements and market data, it is not feasible to assess the company's current valuation or how it compares to industry peers. Valuation metrics such as price-to-earnings ratio, price-to-book value, and dividend yield would be necessary to gauge the stock's attractiveness.
 Conclusion:
 Due to the lack of recent news and financial information, InvestSmart.ai is unable to provide a comprehensive investment recommendation for Mohawk Industries at this time. Additional data would be required to conduct a thorough analysis and determine the company's potential investment value in the next month.</t>
  </si>
  <si>
    <t>Without any recent news or financial data provided, it is difficult to provide a comprehensive assessment of Evergy's investment potential in the Electric Utilities industry for the next month. The lack of up-to-date information makes it challenging to evaluate the company's current performance, financial health, and the potential impact of the macroeconomic environment on its operations.
 Given the limited information available, it would be speculative to assign a specific score reflecting the investment value of Evergy. The Electric Utilities industry is typically considered a relatively stable sector, but the overall market and economic conditions can still have a significant influence on the performance of individual companies.</t>
  </si>
  <si>
    <t>Without any recent news or financial data provided, it is difficult to provide a comprehensive assessment of the investment potential of Erie Indemnity, an insurance brokers firm. The overall economic outlook, including factors such as interest rates, consumer spending, and industry trends, would typically be important considerations in evaluating the company's prospects.
 However, in the absence of specific information about Erie Indemnity's current performance, market position, and competitive landscape, a reliable investment score cannot be determined. More detailed and up-to-date data would be required to make an informed assessment of the company's investment value.</t>
  </si>
  <si>
    <t>Without any recent news or financial data provided, it is difficult to provide a comprehensive assessment of Equity Residential's investment potential in the Multi-Family Residential REITs industry for the next month. The lack of current information makes it challenging to evaluate the company's recent performance, financial health, and the potential impact of the macroeconomic environment on its operations.
 Economic Outlook:
 The latest macroeconomic data suggests a mixed outlook, with some positive signs in the manufacturing sector but concerns about the potential stalling of progress on inflation. Additionally, the political landscape, including the new administration's trade policies and geopolitical tensions in various regions, could introduce volatility in the market.
 Valuation:
 Without access to the company's latest financial statements and valuation metrics, it is not possible to determine if Equity Residential is currently undervalued, overvalued, or trading at a fair price compared to its peers or the broader market.
 Conclusion:
 Due to the limited information available, it is not feasible to provide a reliable investment recommendation or assessment of Equity Residential's potential in the next month. A more comprehensive analysis would require access to the company's recent financial reports, market performance data, and a deeper understanding of the industry dynamics and macroeconomic factors affecting the Multi-Family Residential REITs sector.</t>
  </si>
  <si>
    <t>Without any recent news or financial data provided, it is difficult to provide a comprehensive assessment of Keurig Dr Pepper's investment potential in the Soft Drinks &amp; Non-alcoholic Beverages industry for the next month. 
 The overall economic outlook, as described in the macroeconomic context, suggests a mixed picture with potential volatility in the markets due to factors such as trade tensions, geopolitical risks, and monetary policy decisions. However, the resilience of the U.S. economy and the continued strength in the manufacturing sector could be supportive for the broader industry.
 Without access to the company's latest financial performance, valuation metrics, and any relevant news or developments, it is not possible to make a well-informed evaluation of Keurig Dr Pepper's investment prospects in the near term. A more thorough analysis would be required to assign a meaningful score reflecting the potential investment value of the company.</t>
  </si>
  <si>
    <t>Without any recent news or financial data provided, it is difficult to provide a comprehensive assessment of Lennar's investment potential in the Homebuilding industry for the next month. The macroeconomic outlook, including factors such as interest rates, consumer confidence, and housing market trends, would be crucial in evaluating the company's performance and growth prospects.
 Given the lack of specific information about Lennar's current situation, a definitive investment score cannot be confidently assigned. The company's ability to navigate the evolving market conditions, manage costs, and maintain a competitive edge would be key drivers of its future performance.</t>
  </si>
  <si>
    <t>Without any recent news or financial data provided, it is difficult to provide a comprehensive assessment of Lamb Weston's investment potential in the Packaged Foods &amp; Meats industry for the next month. The lack of current information makes it challenging to evaluate the company's recent performance, financial health, and market positioning.
 The overall economic outlook, as described in the macroeconomic context, suggests a mixed environment with both positive and negative factors that could impact the broader industry. However, without specific details about Lamb Weston's operations, it is not possible to determine how the company might be affected by these broader trends.
 Given the limited information available, it would be prudent to seek out more up-to-date data and news about Lamb Weston before making any investment decisions. A thorough analysis of the company's financials, competitive positioning, and management strategy would be necessary to provide a meaningful assessment of its investment value.</t>
  </si>
  <si>
    <t>Without any recent news or financial data provided, it is difficult to provide a comprehensive assessment of the investment potential of M&amp;T Bank in the Regional Banks industry for the next month. The lack of up-to-date information makes it challenging to evaluate the company's current performance, valuation, and the economic factors that may be influencing its outlook.
 Given the limited information available, it would be prudent to refrain from making a definitive investment recommendation at this time. The Regional Banks industry is subject to various macroeconomic conditions, regulatory changes, and competitive dynamics that can significantly impact the performance of individual companies. Without access to the latest financial statements, market trends, and industry analysis, any assessment would be speculative.</t>
  </si>
  <si>
    <t>Without any recent news or financial data provided, it is difficult to provide a comprehensive assessment of the investment potential of HCA Healthcare in the Health Care Facilities industry for the next month. The lack of up-to-date information makes it challenging to evaluate the company's current performance, valuation, and the economic factors that may be influencing its outlook.
 In the absence of concrete data, it would be speculative to make any definitive claims about the company's investment value. The health care facilities industry is subject to various macroeconomic and regulatory influences, which can significantly impact the financial and operational performance of individual companies within the sector.
 Given the limited information available, a prudent approach would be to gather more recent data and conduct a thorough analysis before making any investment recommendations. The investment decision should be based on a comprehensive understanding of the company's financial health, competitive positioning, and the broader industry and economic conditions.</t>
  </si>
  <si>
    <t>Without any recent news or financial data provided, it is difficult to provide a comprehensive assessment of the investment potential for Extra Space Storage in the Self-Storage REITs industry. The overall economic outlook, including factors such as consumer spending, interest rates, and the performance of the real estate sector, would be important considerations in evaluating the company's prospects.
 However, given the lack of specific information about the company's current operations, financial position, and competitive landscape, a reliable investment score cannot be determined at this time. More detailed and up-to-date data would be necessary to make an informed evaluation of the company's investment value.</t>
  </si>
  <si>
    <t>Without any recent news or financial data provided, it is difficult to provide a comprehensive assessment of the investment potential of Northern Trust in the Asset Management &amp; Custody Banks industry. The lack of up-to-date information makes it challenging to evaluate the company's current performance, valuation, and the economic factors that may be influencing its outlook.
 Given the limited information available, it would be prudent to exercise caution when considering an investment in Northern Trust at this time. The company's future prospects are largely unknown, and making an informed decision would require access to the latest financial statements, market trends, and industry analysis.</t>
  </si>
  <si>
    <t>Without any recent news or financial data provided, it is difficult to provide a comprehensive assessment of Nordson Corporation's investment potential. The company operates in the Industrial Machinery &amp; Supplies &amp; Components industry, which can be impacted by various macroeconomic factors, such as the overall economic outlook, industry trends, and geopolitical events.
 Given the lack of specific information about the company's current performance and market position, it is challenging to determine its investment value accurately. The economic outlook, as mentioned in the provided context, suggests potential volatility and uncertainty in the near term, which could affect the company's operations and stock price.
 Without access to the latest financial statements, valuation metrics, and other relevant data, a reliable score cannot be assigned to reflect the potential investment value of Nordson Corporation. More information would be needed to conduct a thorough analysis and provide a meaningful assessment.</t>
  </si>
  <si>
    <t>Without any recent news or financial data provided, it is difficult to provide a comprehensive assessment of the investment potential for News Corp (Class B) in the Publishing industry. The lack of up-to-date information makes it challenging to evaluate the company's current performance, financial health, and the potential impact of the macroeconomic environment on its operations.
 Given the absence of the necessary data, it would be speculative to make any definitive conclusions about the company's investment value in the near term. The overall economic outlook, industry trends, and the company's competitive positioning within the Publishing sector are all crucial factors that would need to be considered to provide a meaningful investment analysis.</t>
  </si>
  <si>
    <t>Without any recent news or financial data provided, it is difficult to provide a comprehensive assessment of the investment potential of UDR, Inc. in the Multi-Family Residential REITs industry for the next month.
 Economic Outlook:
 The overall economic outlook for the real estate sector, including the multi-family residential segment, is mixed. While the U.S. economy has shown signs of resilience, concerns over inflation and the potential impact of policy decisions by the new administration could introduce volatility in the market.
 Valuation:
 Without access to the company's latest financial statements and valuation metrics, it is not possible to determine if UDR, Inc. is currently undervalued or overvalued compared to its peers or the broader market.
 Conclusion:
 Given the lack of recent information about the company, it is challenging to assign a meaningful investment score for UDR, Inc. in the next month. A more thorough analysis would be required to provide a reliable assessment of the firm's investment potential.</t>
  </si>
  <si>
    <t>Without any recent news or financial data provided, it is difficult to provide a comprehensive assessment of Coterra's investment potential in the Oil &amp; Gas Exploration &amp; Production industry for the next month. The lack of information makes it challenging to evaluate the company's current performance, financial health, and the potential impact of the macroeconomic environment on its operations.
 Given the limited information available, it is not possible to make a well-informed investment recommendation or assign a meaningful score reflecting the potential investment value of Coterra. The decision to invest in the company would require a thorough analysis of its latest financial statements, industry trends, and the overall economic outlook affecting the sector.</t>
  </si>
  <si>
    <t>Without any recent news or financial data provided, it is challenging to provide a comprehensive assessment of the investment potential for CoStar Group in the Real Estate Services industry. The lack of up-to-date information makes it difficult to evaluate the company's current performance, financial health, and market positioning.
 Economic Outlook:
 The macroeconomic environment, including factors such as interest rates, inflation, and consumer spending, can significantly impact the real estate services industry. However, without the latest data, it is not possible to determine how the current economic conditions may affect CoStar Group's business and future prospects.
 Valuation:
 Valuation metrics, such as price-to-earnings ratio, price-to-book value, and enterprise value-to-EBITDA, are essential in assessing a company's investment potential. Unfortunately, without the recent financial statements and stock price information, a reliable valuation analysis cannot be conducted.
 Overall, the absence of recent news and financial data limits the ability to provide a well-informed investment report on CoStar Group. A more comprehensive analysis would require access to the company's latest financial reports, industry trends, and market dynamics to make a more informed assessment of its investment potential.</t>
  </si>
  <si>
    <t>Without any recent news or financial data provided, it is difficult to provide a comprehensive assessment of Corpay's investment potential in the Transaction &amp; Payment Processing Services industry. The lack of up-to-date information makes it challenging to evaluate the company's current performance, competitive positioning, and future growth prospects.
 Economic Outlook:
 The macroeconomic environment, including factors such as consumer spending, inflation, and interest rates, can significantly impact the overall performance of companies in the payment processing sector. However, without specific details about Corpay's operations and financial health, it is not possible to determine how the company might be affected by the current economic conditions.
 Valuation:
 Without access to Corpay's financial statements and market data, it is not feasible to assess the company's valuation metrics, such as price-to-earnings ratio, price-to-sales ratio, or enterprise value-to-EBITDA. These metrics are typically used to gauge a company's relative attractiveness and potential for growth.
 Conclusion:
 Due to the absence of recent news and financial information, InvestSmart.ai is unable to provide a comprehensive investment analysis or recommendation for Corpay at this time. Additional data would be required to make a well-informed assessment of the company's investment potential in the Transaction &amp; Payment Processing Services industry.</t>
  </si>
  <si>
    <t>Without any recent news or financial data provided, it is difficult to provide a comprehensive assessment of the investment potential of Mosaic Company (The) in the Fertilizers &amp; Agricultural Chemicals industry for the next month.
 Economic Outlook:
 The macroeconomic environment in 2024 is expected to be challenging, with ongoing global conflicts, political instability, and potential trade tensions. These factors could create volatility and uncertainty in the markets, which may impact the performance of companies in the fertilizers and agricultural chemicals sector.
 Valuation:
 Without access to the latest financial statements and valuation metrics, it is not possible to determine if Mosaic Company (The) is currently undervalued or overvalued compared to its peers or the broader market.
 Conclusion:
 Given the lack of recent information about the company's performance and the uncertain macroeconomic conditions, it is not possible to provide a reliable investment score for Mosaic Company (The) at this time. More data would be needed to make an informed assessment of the company's investment potential.</t>
  </si>
  <si>
    <t>Without any recent news or financial data provided, it is difficult to provide a comprehensive assessment of the investment potential of State Street Corporation in the Asset Management &amp; Custody Banks industry for the next month.
 Economic Outlook:
 The macroeconomic environment in 2024 is expected to be challenging, with ongoing global conflicts, political instability, and potential market volatility. These factors could have a significant impact on the performance of financial services firms like State Street Corporation.
 Valuation:
 Without access to the company's latest financial statements and valuation metrics, it is not possible to determine whether State Street Corporation is currently undervalued or overvalued compared to its peers or the broader market.
 Overall Outlook:
 Given the lack of recent information, the investment potential of State Street Corporation remains uncertain. The company's performance will likely be heavily influenced by the broader economic and market conditions, as well as its ability to navigate the challenges posed by the evolving geopolitical landscape.</t>
  </si>
  <si>
    <t>Without any recent news or financial data provided, it is difficult to provide a comprehensive assessment of Teledyne Technologies' investment potential. The company operates in the Electronic Equipment &amp; Instruments industry, which can be impacted by various macroeconomic factors, such as the overall economic outlook, technological advancements, and industry-specific trends.
 Given the lack of specific information about the company's current performance and market position, it would be speculative to assign a definitive investment score. The company's future prospects would depend on its ability to adapt to the changing market dynamics, maintain its competitive edge, and capitalize on any emerging opportunities within the industry.</t>
  </si>
  <si>
    <t>Without any recent news or financial data provided, it is difficult to provide a comprehensive assessment of the investment potential of Steel Dynamics in the Steel industry for the next month. The overall economic outlook, including factors such as global trade tensions, commodity prices, and manufacturing activity, would be crucial in determining the company's performance. However, without the necessary information, a reliable score cannot be confidently assigned.</t>
  </si>
  <si>
    <t>Without any recent news or financial data provided, it is difficult to provide a comprehensive assessment of Targa Resources' investment potential in the Oil &amp; Gas Storage &amp; Transportation industry for the next month. 
 The overall economic outlook for the industry is mixed, with ongoing geopolitical tensions and market volatility potentially impacting the sector's performance. However, without access to the company's latest financial statements, valuation metrics, and other relevant information, it would be speculative to make any definitive conclusions about Targa Resources' current position and future prospects.</t>
  </si>
  <si>
    <t>Without any recent news or financial data provided, it is challenging to provide a comprehensive assessment of Take-Two Interactive's investment potential in the next month. The company's performance and outlook would largely depend on the broader trends and developments in the interactive home entertainment industry, as well as the overall macroeconomic conditions.
 The interactive home entertainment industry has been impacted by various factors, including the ongoing global conflicts, political instability, and economic uncertainties. These external factors can influence consumer spending, gaming trends, and the competitive landscape, all of which can affect Take-Two Interactive's financial performance and stock price.
 Given the lack of specific information about the company's recent developments, it is difficult to determine a precise investment score. However, based on the general industry and macroeconomic outlook, a cautious and conservative approach may be warranted in the short term.</t>
  </si>
  <si>
    <t>Without any recent news or financial data provided, it is difficult to provide a comprehensive assessment of the investment potential of Fair Isaac, a company in the Application Software industry. 
 The overall economic outlook, however, suggests some potential headwinds that could impact the performance of companies in this sector. The continued uncertainty surrounding trade policies, geopolitical tensions, and the Federal Reserve's monetary policy decisions could introduce volatility in the stock market in the near term. 
 Additionally, the emergence of new technologies and market innovations, such as the launch of the 24 Exchange, may present both opportunities and challenges for established players like Fair Isaac. Their ability to adapt and capitalize on these industry shifts could be a key factor in determining their future performance.
 Given the lack of specific information about Fair Isaac's current standing, it would be prudent to gather more data before making a definitive investment recommendation. A more thorough analysis of the company's financials, competitive positioning, and management strategy would be necessary to assess its true investment value.</t>
  </si>
  <si>
    <t>Without any recent news or financial data provided, it is difficult to provide a comprehensive assessment of the investment potential for Dayforce, a company in the Human Resource &amp; Employment Services industry. 
 Economic Outlook:
 The overall economic outlook for the HR and employment services sector is mixed. While the U.S. economy has shown signs of resilience, with strong manufacturing data, there are also concerns about persistent inflation and the potential impact of policy changes from the new administration. These macroeconomic factors could influence the performance of companies in this industry.
 Valuation:
 Without access to Dayforce's latest financial statements and market data, it is not possible to accurately evaluate the company's valuation and determine its investment potential. Key metrics such as price-to-earnings ratio, revenue growth, and profitability would be necessary to make an informed assessment.
 Conclusion:
 Given the lack of recent information about Dayforce, it is challenging to provide a meaningful investment recommendation or score for the company at this time. A more thorough analysis would be required, once relevant data becomes available, to determine the potential investment value of Dayforce within the HR and employment services industry.</t>
  </si>
  <si>
    <t>Without any recent news or financial data provided, it is difficult to provide a comprehensive assessment of Healthpeak Properties' investment potential in the Health Care REITs industry for the next month. The lack of information makes it challenging to evaluate the company's current performance, valuation, and the economic factors that may impact its future outlook.
 Given the limited information available, it would be speculative to assign a specific score reflecting the investment value of Healthpeak Properties. The company's performance and prospects can be significantly influenced by various macroeconomic conditions, industry trends, and company-specific developments, which are not clearly evident from the provided data.</t>
  </si>
  <si>
    <t>Without any recent news or financial data provided, it is difficult to provide a comprehensive assessment of Tractor Supply's investment potential in the next month. The company's performance and outlook would depend on various factors, including the broader economic conditions, industry trends, and the company's own strategic initiatives.
 The Other Specialty Retail industry, in which Tractor Supply operates, can be influenced by macroeconomic factors such as consumer spending, inflation, and interest rates. The overall economic outlook, as well as any developments in the industry, would need to be considered when evaluating the company's potential.
 Given the lack of specific information, it would be prudent to gather more data and conduct a thorough analysis before making an informed investment decision regarding Tractor Supply. A more comprehensive assessment would require access to the company's latest financial statements, market share, competitive positioning, and management's strategic plans.</t>
  </si>
  <si>
    <t>Without any recent news or financial data provided, it is difficult to provide a comprehensive assessment of Eaton Corporation's investment potential in the Electrical Components &amp; Equipment industry for the next month.
 However, based on the macroeconomic outlook and industry trends, we can make some general observations:
 The overall economic conditions, with the continuation of major armed conflicts globally and the potential impact of the new U.S. administration's policies, could introduce volatility in the stock market. This could affect the performance of companies in the Electrical Components &amp; Equipment industry, including Eaton Corporation.
 Additionally, the rise in emerging technologies, such as artificial intelligence and small modular nuclear reactors, may present both opportunities and challenges for industry players like Eaton Corporation, depending on their ability to adapt and capitalize on these trends.
 Without access to the company's latest financial data and news, it is not possible to provide a more detailed analysis of Eaton Corporation's current position and future prospects. A thorough evaluation would require a deeper understanding of the company's financial health, competitive positioning, and management's strategic initiatives.</t>
  </si>
  <si>
    <t>Without any recent news or financial data provided, it is difficult to provide a comprehensive assessment of Eastman Chemical Company's investment potential. The specialty chemicals industry is generally sensitive to macroeconomic conditions, geopolitical events, and industry-specific trends. 
 The latest macroeconomic outlook suggests a mixed picture, with the U.S. economy showing signs of resilience in some areas, such as the manufacturing sector, but also facing concerns over inflation and the potential impact of policy changes. Geopolitical tensions and conflicts in various regions could also introduce volatility in the market.
 Given the lack of company-specific information, it is not possible to make a well-informed evaluation of Eastman Chemical Company's current position and future prospects. A more thorough analysis would require access to the firm's recent financial statements, market performance, competitive positioning, and management's strategic initiatives.</t>
  </si>
  <si>
    <t>Without any recent news or financial data provided, it is difficult to provide a comprehensive assessment of the investment potential for DaVita, a company in the Health Care Services industry. 
 Economic Outlook:
 The overall economic environment in 2024 appears to be facing various challenges, including ongoing global conflicts, political instability in some regions, and concerns over inflation. These macroeconomic factors could potentially impact the performance of companies in the healthcare sector.
 Valuation:
 Without access to the latest financial statements and valuation metrics for DaVita, it is not possible to determine if the company's stock is currently undervalued, overvalued, or trading at a fair price compared to its peers or the broader market.
 Conclusion:
 Given the lack of recent information about DaVita's business operations, financial health, and competitive positioning, it is not feasible to provide a reliable investment recommendation or assessment of the company's potential value. Additional data would be required to make a more informed evaluation.</t>
  </si>
  <si>
    <t>Without any recent news or financial data provided, it is difficult to provide a comprehensive assessment of Danaher Corporation's investment potential in the Life Sciences Tools &amp; Services industry for the next month. 
 The overall economic outlook, as described in the macroeconomic context, suggests a mixed environment with both positive and negative factors that could impact the performance of companies in this industry. The continued strength in the manufacturing sector and the resilience of the U.S. economy are positive signs. However, concerns over inflation, potential trade tensions, and geopolitical risks introduce uncertainty that could affect investor sentiment and market volatility.
 Given the lack of specific information about Danaher Corporation's current financial position, product pipeline, competitive landscape, and other relevant factors, it is not possible to make a well-informed evaluation of the company's investment value in the short term. Additional data would be required to provide a more accurate assessment.</t>
  </si>
  <si>
    <t>Without any recent news or financial data provided, it is difficult to provide a comprehensive assessment of Digital Realty's investment potential in the Data Center REITs industry for the next month. The lack of information makes it challenging to evaluate the company's current performance, valuation, and the economic factors that may impact its future outlook.
 Given the limited information available, it would be speculative to assign a specific score reflecting the potential investment value of Digital Realty. The company's performance and prospects can be significantly influenced by various macroeconomic conditions, industry trends, and company-specific developments, which are not clearly evident from the provided data.</t>
  </si>
  <si>
    <t>Without any recent news or financial data provided, it is difficult to provide a comprehensive assessment of Diamondback Energy's investment potential in the Oil &amp; Gas Exploration &amp; Production industry for the next month. 
 The overall economic outlook for the industry is mixed, with factors such as ongoing geopolitical tensions, volatility in commodity prices, and the transition towards renewable energy sources creating uncertainty. However, the continued global demand for oil and gas could potentially benefit companies like Diamondback Energy, depending on their operational efficiency, cost management, and ability to navigate the evolving market dynamics.
 Without access to the company's latest financial statements, valuation metrics, and other relevant information, it is not possible to make a well-informed evaluation of Diamondback Energy's investment prospects in the near term. A more thorough analysis would be required to assign a meaningful score reflecting the potential investment value of the company.</t>
  </si>
  <si>
    <t>Without any recent news or financial data provided, it is difficult to provide a comprehensive assessment of Honeywell's investment potential in the Industrial Conglomerates industry for the next month. The macroeconomic outlook, including factors such as the global political landscape, trade tensions, and monetary policy decisions, could have a significant impact on the performance of industrial conglomerates like Honeywell. However, without access to the company's latest financial statements, valuation metrics, and industry-specific information, a reliable investment score cannot be determined.</t>
  </si>
  <si>
    <t>Without any recent news or financial data provided, it is difficult to provide a comprehensive assessment of Huntington Ingalls Industries' investment potential. The company operates in the Aerospace &amp; Defense industry, which is heavily influenced by macroeconomic factors, geopolitical events, and government spending.
 The latest economic outlook suggests a mixed picture, with the U.S. economy showing signs of resilience in some areas, such as the manufacturing sector, but also facing concerns over inflation and the potential impact of new trade policies. Additionally, the global geopolitical landscape remains volatile, with ongoing conflicts and tensions in various regions.
 Given the lack of specific information about Huntington Ingalls Industries' current performance and outlook, it is challenging to assign a meaningful investment score. The company's future prospects would depend on its ability to navigate the evolving industry dynamics, secure new contracts, and maintain its competitive edge.</t>
  </si>
  <si>
    <t>Without any recent news or financial data provided, it is difficult to provide a comprehensive assessment of Huntington Bancshares' investment potential in the Regional Banks industry for the next month. The lack of up-to-date information makes it challenging to evaluate the company's current performance, valuation, and the economic factors that may be influencing its outlook.
 In the absence of concrete data, the overall economic and industry conditions become more crucial in determining the potential investment value. The Regional Banks industry is typically sensitive to macroeconomic trends, such as interest rates, economic growth, and consumer spending. However, without the specific details about Huntington Bancshares' position within the industry, it is not possible to make a well-informed assessment.
 Given the limited information available, a cautious approach would be warranted when considering an investment in Huntington Bancshares in the near term. More comprehensive and recent data would be needed to provide a more accurate and reliable investment recommendation.</t>
  </si>
  <si>
    <t>Without any recent news or financial data provided, it is difficult to provide a comprehensive assessment of the investment potential for J.B. Hunt, a company in the Cargo Ground Transportation industry. 
 Economic Outlook:
 The macroeconomic environment in 2024 appears to be characterized by ongoing global conflicts, political instability, and potential market volatility. These factors could have a significant impact on the transportation and logistics sector, which is closely tied to global trade and economic activity.
 Valuation:
 Without access to the company's latest financial statements and valuation metrics, it is not possible to determine whether J.B. Hunt's shares are currently undervalued or overvalued compared to its peers or the broader market.
 Overall Outlook:
 Given the lack of recent information about the company's performance and the uncertain macroeconomic conditions, it is challenging to provide a reliable assessment of J.B. Hunt's investment potential for the next month. A more thorough analysis would be required to make an informed investment recommendation.</t>
  </si>
  <si>
    <t>Without any recent news or financial data provided, it is difficult to provide a comprehensive assessment of the investment potential for BXP, Inc. in the Office REITs industry. The lack of up-to-date information makes it challenging to evaluate the company's current performance, financial health, and positioning within the industry.
 The economic outlook for the Office REITs industry is mixed, with factors such as the ongoing pandemic, changes in work environments, and broader macroeconomic conditions all playing a role in the sector's performance. However, without specific details about BXP, Inc.'s operations, assets, and competitive positioning, it is not possible to determine how the company may be impacted by these industry-wide trends.
 Given the limited information available, it would be prudent to seek out more recent and detailed data about BXP, Inc. before making any investment decisions. A thorough analysis of the company's financials, management, and growth strategies would be necessary to assess its long-term investment potential accurately.</t>
  </si>
  <si>
    <t>Without any recent news or financial data provided, it is difficult to provide a comprehensive assessment of Mettler Toledo's investment potential in the Life Sciences Tools &amp; Services industry for the next month. The lack of up-to-date information makes it challenging to evaluate the company's current performance, market position, and potential risks or opportunities.
 Economic Outlook:
 The broader economic conditions, such as the continuation of major armed conflicts globally, the escalation of the Israel-Hamas war, and the political instability in Germany, could create an uncertain and volatile market environment. These macroeconomic factors may indirectly impact the demand for Mettler Toledo's products and services, but the extent of the effect is unclear without further information.
 Valuation:
 Without access to the company's latest financial statements and market data, it is not possible to determine an accurate valuation or assess whether Mettler Toledo's stock is currently undervalued or overvalued compared to its peers or the industry average.</t>
  </si>
  <si>
    <t>Without any recent news or financial data provided, it is difficult to provide a comprehensive assessment of the investment potential for CDW, a company in the Technology Distributors industry. 
 Economic Outlook:
 The overall economic environment in 2024 appears to be characterized by geopolitical tensions, political instability, and potential market volatility. Factors such as the ongoing conflicts globally, the results of the U.S. presidential election, and the impact of policy decisions by the new administration could all influence the performance of companies in the technology sector.
 Valuation:
 Without access to the latest financial statements and valuation metrics for CDW, it is not possible to determine whether the company's stock is currently undervalued, overvalued, or trading at a fair price compared to its peers or the broader market.
 Conclusion:
 Given the lack of recent information about CDW's financial performance, market position, and competitive landscape, it is challenging to provide a meaningful assessment of the company's investment potential for the next month. A more thorough analysis would be required to make an informed recommendation.</t>
  </si>
  <si>
    <t>Without any recent news or financial data provided, it is challenging to provide a comprehensive assessment of the investment potential of CBRE Group in the Real Estate Services industry for the next month. The lack of up-to-date information makes it difficult to evaluate the company's current performance, market position, and the economic factors that could impact its future outlook.
 Given the limited information available, it would be prudent to exercise caution when considering an investment in CBRE Group at this time. The real estate services industry is heavily influenced by macroeconomic conditions, such as interest rates, consumer confidence, and overall economic growth, which can fluctuate rapidly. Without a clear understanding of the company's recent financial results and management's strategic initiatives, it is challenging to determine the potential risks and opportunities that may arise in the next month.</t>
  </si>
  <si>
    <t>Without any recent news or financial data provided, it is difficult to provide a comprehensive assessment of Cboe Global Markets' investment potential. As a leading financial exchange and data provider, the company's performance is closely tied to the overall health of the financial markets and the broader economic conditions.
 The macroeconomic outlook for the next month appears to be mixed, with signs of resilience in the U.S. economy, such as strong manufacturing data, balanced against concerns over inflation and the potential impact of new trade policies. Additionally, the geopolitical tensions and conflicts in various regions could introduce volatility in the global markets, which may affect Cboe Global Markets' operations and financial performance.
 Given the lack of specific information about the company's recent developments, it is challenging to assign a meaningful investment score. A more thorough analysis would require access to the latest financial statements, market trends, and industry-specific data to evaluate Cboe Global Markets' competitive position, growth prospects, and valuation metrics.</t>
  </si>
  <si>
    <t>Without any recent news or financial data provided, it is difficult to provide a comprehensive assessment of PepsiCo's investment potential in the Soft Drinks &amp; Non-alcoholic Beverages industry for the next month. 
 The overall economic outlook, as described in the macroeconomic context, suggests a mixed environment with both positive and negative factors that could impact the performance of companies in this industry. The resilience of the U.S. manufacturing sector and consumer spending are positive signs, but the potential for continued inflation concerns and geopolitical tensions introduce uncertainty.
 Without access to the latest financial statements, valuation metrics, and industry-specific information for PepsiCo, it is not possible to make a well-informed judgment on the company's investment value in the short term. Additional data would be required to evaluate the firm's competitive position, growth prospects, and ability to navigate the current economic and market conditions.</t>
  </si>
  <si>
    <t>Without any recent news or financial data provided, it is difficult to provide a comprehensive assessment of Pentair's investment potential in the Industrial Machinery &amp; Supplies &amp; Components industry for the next month. The lack of up-to-date information makes it challenging to evaluate the company's current performance, financial health, and market positioning.
 The overall economic outlook, as described in the macroeconomic context, suggests a mixed environment with both positive and negative factors that could impact the industrial machinery and components sector. While the U.S. economy is showing signs of resilience, concerns over inflation, potential trade tensions, and geopolitical risks could introduce volatility in the market.
 Without access to Pentair's specific financial data, valuation metrics, and industry-specific information, it is not possible to make a well-informed assessment of the company's investment value. Additional research and analysis would be required to provide a more meaningful evaluation.</t>
  </si>
  <si>
    <t>Without any recent news or financial data provided, it is difficult to provide a comprehensive assessment of Parker Hannifin's investment potential in the Industrial Machinery &amp; Supplies &amp; Components industry for the next month. 
 The overall economic outlook, as described in the macroeconomic context, suggests a mixed picture, with signs of resilience in the U.S. economy balanced by concerns over inflation, trade tensions, and geopolitical risks. These factors could have varying impacts on industrial machinery and components companies like Parker Hannifin, depending on their specific business operations and market positioning.
 Without access to the company's latest financial performance, valuation metrics, and any relevant news or developments, it is not possible to make a well-informed evaluation of Parker Hannifin's investment prospects in the near term. A more thorough analysis would require access to the company's recent financial statements, market trends, and industry-specific information.</t>
  </si>
  <si>
    <t>Without any recent news or financial data provided, it is difficult to provide a comprehensive assessment of the investment potential of Principal Financial Group in the Life &amp; Health Insurance industry. The company's performance and outlook would depend on various factors, including its financial health, competitive positioning, regulatory environment, and the broader economic conditions affecting the insurance sector.
 Given the lack of up-to-date information, it would be prudent to exercise caution and conduct further research before making any investment decisions. The economic outlook, as mentioned in the provided context, suggests potential volatility and uncertainty in the market, which could impact the insurance industry and Principal Financial Group's operations.</t>
  </si>
  <si>
    <t>Without any recent news or financial data provided, it is difficult to provide a comprehensive assessment of the investment potential of PPL Corporation in the Electric Utilities industry for the next month. The lack of up-to-date information makes it challenging to evaluate the company's current performance, financial health, and the potential impact of the macroeconomic environment on its operations.
 Given the limited information available, it is not possible to make a well-informed investment recommendation or assign a meaningful score reflecting the company's potential investment value. The decision to invest in PPL Corporation would require a thorough analysis of the latest financial statements, industry trends, and the overall economic outlook affecting the Electric Utilities sector.</t>
  </si>
  <si>
    <t>Without any recent news or financial data provided, it is difficult to provide a comprehensive assessment of the investment potential of MarketAxess in the Financial Exchanges &amp; Data industry for the next month. 
 The overall economic outlook, as described in the macroeconomic context, suggests a mixed environment with both positive and negative factors that could impact the performance of financial services companies. The resilience of the U.S. economy, continued strength in the manufacturing sector, and the emergence of new technologies and market innovations could be favorable for firms in this industry. However, concerns over inflation, potential trade tensions, and geopolitical risks introduce uncertainty that may weigh on investor sentiment and market volatility.
 Without access to the latest financial statements, valuation metrics, and other company-specific information, it is not possible to evaluate the relative positioning and prospects of MarketAxess within the industry. The lack of recent news and data makes it challenging to provide a well-informed investment recommendation.</t>
  </si>
  <si>
    <t>Without any recent news or financial data provided, it is difficult to provide a comprehensive assessment of Hubbell Incorporated's investment potential. The company operates in the Industrial Machinery &amp; Supplies &amp; Components industry, which can be impacted by various macroeconomic factors, such as the overall economic outlook, industry trends, and geopolitical events.
 The latest macroeconomic data suggests a mixed economic environment, with some positive indicators like strong manufacturing activity, but also concerns about persistent inflation and the potential impact of policy changes. These broader economic conditions could influence the performance of companies in the industrial machinery and components sector.
 However, without access to Hubbell Incorporated's specific financial information, valuation metrics, and any recent developments, it is not possible to make a well-informed evaluation of the company's investment value for the next month. A more thorough analysis of the company's fundamentals, competitive positioning, and growth prospects would be necessary to provide a meaningful investment recommendation.</t>
  </si>
  <si>
    <t>Without any recent news or financial data provided, it is difficult to provide a comprehensive assessment of Howmet Aerospace's investment potential. The aerospace and defense industry is heavily influenced by macroeconomic factors, geopolitical events, and industry-specific dynamics, all of which can significantly impact a company's performance.
 Given the lack of information, it is prudent to take a cautious approach when evaluating the investment value of Howmet Aerospace. The ongoing global conflicts, as mentioned in the macroeconomic context, could potentially affect the aerospace and defense sector, creating both risks and opportunities. Additionally, the political landscape, particularly the new U.S. administration's policies, could have implications for the industry.
 Without access to the company's latest financial statements, valuation metrics, and industry analysis, it is challenging to determine the intrinsic value of Howmet Aerospace and its relative positioning within the sector. Further research and analysis would be necessary to make a more informed assessment.</t>
  </si>
  <si>
    <t>Without any recent news or financial data provided, it is difficult to provide a comprehensive assessment of the investment potential of Host Hotels &amp; Resorts in the Hotel &amp; Resort REITs industry. The overall economic outlook, including factors such as consumer spending, travel trends, and the performance of the broader real estate investment trust (REIT) sector, would be important considerations in evaluating the company's prospects.
 Given the lack of specific information, a definitive investment score cannot be assigned. The potential investment value of Host Hotels &amp; Resorts would depend on a thorough analysis of the company's financial health, competitive positioning, management strategy, and its ability to navigate the current economic and industry landscape.</t>
  </si>
  <si>
    <t>Without any recent news or financial data provided, it is difficult to provide a comprehensive assessment of the investment potential of PPG Industries in the Specialty Chemicals industry for the next month. The lack of up-to-date information makes it challenging to evaluate the company's current performance, market position, and the economic factors that may be influencing its outlook.
 Given the limited information available, it would be prudent to exercise caution when considering an investment in PPG Industries at this time. The Specialty Chemicals industry is subject to various macroeconomic and industry-specific factors that can significantly impact a company's financial and operational performance. Without access to the latest financial statements, market trends, and industry analysis, it is not possible to make a well-informed investment decision.</t>
  </si>
  <si>
    <t>Without any recent news or financial data provided, it is difficult to provide a comprehensive assessment of the investment potential for PNC Financial Services in the Diversified Banks industry for the next month. The lack of up-to-date information makes it challenging to evaluate the company's current performance, valuation, and the economic factors that may be influencing its outlook.
 In the absence of concrete data, the overall economic and industry conditions would be the primary considerations. The Diversified Banks industry is typically sensitive to macroeconomic trends, such as interest rates, consumer spending, and regulatory changes. The latest macroeconomic outlook, as described in the provided context, suggests a mixed picture, with signs of economic resilience but also concerns about inflation and potential policy changes.
 Given the limited information available, a cautious approach would be warranted when evaluating the investment potential of PNC Financial Services. Without access to the company's recent financial reports, growth trends, and competitive positioning, it is not possible to provide a well-informed assessment of its short-term investment value.</t>
  </si>
  <si>
    <t>Without any recent news or financial data provided, it is difficult to provide a comprehensive assessment of Celanese's investment potential in the Specialty Chemicals industry for the next month. The lack of up-to-date information makes it challenging to evaluate the company's current performance, market position, and future prospects.
 Economic Outlook:
 The macroeconomic environment, including factors such as inflation, interest rates, and global trade dynamics, can significantly impact the Specialty Chemicals industry and Celanese's operations. However, without the necessary data, it is not possible to determine how these broader economic trends may specifically affect the company in the near term.
 Valuation:
 Valuation metrics, such as price-to-earnings ratio, price-to-book value, and dividend yield, are essential in assessing a company's investment attractiveness. Unfortunately, without the latest financial information, it is not feasible to calculate and analyze Celanese's current valuation.
 Conclusion:
 Given the absence of recent news and financial data, it is not possible to provide a well-informed assessment of Celanese's investment potential in the Specialty Chemicals industry for the next month. A more comprehensive analysis would require access to the company's latest financial statements, market performance, and industry-specific information.</t>
  </si>
  <si>
    <t>Recent News: A. O. Smith, a leading manufacturer of water heating and water treatment products, has been experiencing some operational challenges that may impact its investment potential in the near term. The company has reported weakness in its Rest of the World segment, which includes markets outside of North America, indicating softness in global demand for its products. Additionally, the company is facing rising expenses, which could put pressure on its profitability.
 Financials: A. O. Smith's latest financial results have shown a decline in its overall performance. The company's revenue and earnings have missed analyst expectations, raising concerns about its ability to maintain its growth trajectory. The company's profit margins have also been under pressure due to the rising costs of materials and logistics.
 Valuation: Based on the latest financial data, A. O. Smith's valuation metrics, such as its price-to-earnings ratio and price-to-book ratio, are not particularly attractive compared to its industry peers. This suggests that the market may be pricing in the company's current challenges and the potential for a slowdown in its growth.
 Economic Outlook: The macroeconomic environment, including factors such as global trade tensions, rising interest rates, and geopolitical uncertainties, may continue to weigh on A. O. Smith's performance. These external factors could further exacerbate the company's operational challenges and impact its financial results.</t>
  </si>
  <si>
    <t>Recent News: Xylem Inc. (XYL), a leading provider of water technology solutions, has been facing some challenges that may impact its investment potential in the near term. The company's Applied Water segment, which accounts for a significant portion of its revenue, has experienced weakness, leading to overall operational softness. Additionally, rising costs have emerged as a concern, potentially putting pressure on the company's profitability.
 Financials: Xylem's latest financial results have shown signs of strain. The company's revenue growth has slowed, and its profit margins have come under pressure due to the increased costs of materials, labor, and logistics. This trend may continue in the near future, potentially impacting the company's ability to maintain its competitive edge and deliver consistent financial performance.
 Valuation: Xylem's current valuation metrics, such as its price-to-earnings (P/E) ratio and price-to-book (P/B) ratio, are in line with the industry average. However, given the recent operational challenges and the potential for continued headwinds, the company's valuation may not fully reflect the risks it faces in the current market environment.
 Economic Outlook: The broader economic conditions, including factors such as inflation, interest rate hikes, and geopolitical tensions, may also weigh on Xylem's performance. These macroeconomic factors can affect the demand for the company's products and services, as well as its ability to manage costs effectively.</t>
  </si>
  <si>
    <t>Recent News: Best Buy's Q3 results have disappointed the market, with the company missing revenue and earnings per share targets. The company reported a 2.9% decline in comparable sales, and provided weaker-than-expected guidance for Q4. The challenging macroeconomic environment, election distractions, and competitive pressures from Walmart and Amazon are significant headwinds for Best Buy. Analysts remain bearish on the stock, expecting continued sales decline, potential dividend cuts, and store closures due to weak consumer demand and macroeconomic pressures.
 Financials: Best Buy's Q3 financial results showed a 3.2% year-over-year decline in revenue, indicating near-term weakness in the business. The company's e-commerce pressure, declining same-store sales, and unsustainable dividend raise concerns about its long-term viability and profitability. Best Buy's heavy promotional spending to drive sales may also cut into its margins, especially with a more deal-oriented consumer base.
 Valuation: Best Buy's stock has declined following the Q3 earnings miss, and the company's valuation metrics are likely to come under pressure in the near term. Investors may be cautious about the company's ability to navigate the challenging macroeconomic environment and competitive landscape.
 Economic Outlook: The broader economic conditions, including cautious consumer spending, the impact of the presidential election, and the potential for further trade tensions, are expected to weigh on Best Buy's performance in the coming months. The company's ability to adapt to these challenges will be crucial for its long-term success.</t>
  </si>
  <si>
    <t>Recent News: Boeing's stock has been underperforming, with the company facing various challenges. Analysts at J.P. Morgan have expressed concerns about the potential for further downside, and investors have been closely watching the stock. Boeing's turnaround plan focuses on stabilizing production, reducing inventories, and improving free cash flows to regain its competitive positioning. The company has a significant inventory of $83 billion, with $72.1 billion tied to commercial airplane programs, highlighting the potential for inventory reduction. Additionally, Boeing has recently clinched a $113 million contract to remanufacture CH-47 helicopters, which could provide some support to the stock.
 Financials: Boeing's financial performance has been a concern, with the company's ROIC (Return on Invested Capital) being dismal. The company's share price has fallen by 12% in the last three months, and investors are advised to refrain from any new investment at the moment.
 Valuation: The current valuation of Boeing's stock is not attractive, and investors should be cautious about any new investment in the company.
 Economic Outlook: The broader economic environment, including the potential impact of new tariffs and the Federal Reserve's monetary policy decisions, could also affect Boeing's performance in the near term. Geopolitical tensions and conflicts in various regions, such as the Middle East, could also impact the company's operations and investor sentiment.</t>
  </si>
  <si>
    <t>Without any recent news or financial data provided, it is difficult to provide a comprehensive assessment of Allegion's investment potential in the Building Products industry for the next month. The company's performance and outlook would depend on various factors, including its financial health, competitive positioning, and the broader economic and industry conditions.
 The Building Products industry is closely tied to the overall construction and real estate market trends. The macroeconomic outlook, including factors such as interest rates, consumer confidence, and government policies, can have a significant impact on the demand for building products and materials. Additionally, the competitive landscape, technological advancements, and regulatory changes within the industry can also influence a company's performance.
 Given the lack of specific information about Allegion, it is not possible to provide a reliable score reflecting the potential investment value of the company for the next month. A more thorough analysis would require access to the latest financial statements, industry trends, and other relevant data to make an informed assessment.
 Score: N/A</t>
  </si>
  <si>
    <t>Without any recent news or financial data provided, it is difficult to provide a comprehensive assessment of Ameren's investment potential in the Multi-Utilities industry for the next month. The lack of up-to-date information makes it challenging to evaluate the company's current performance, financial health, and the potential impact of the macroeconomic environment on its operations.
 Given the limited information available, it is not possible to make a well-informed investment recommendation or assign a meaningful score reflecting the company's potential investment value. A thorough analysis would require access to the latest financial statements, industry trends, and any relevant news or developments affecting the firm and the broader Multi-Utilities sector.
 Score: N/A</t>
  </si>
  <si>
    <t>Without any recent news or financial data provided, it is difficult to provide a comprehensive assessment of American Tower's investment potential in the Telecom Tower REITs industry for the next month. The lack of current information makes it challenging to evaluate the company's recent performance, financial health, and the economic factors that may be impacting its outlook.
 Given the absence of the necessary data, it would be speculative to assign a specific score reflecting the potential investment value of American Tower. The investment decision should be based on a thorough analysis of the company's latest financial statements, industry trends, and the overall macroeconomic environment, which are not available in this case.
 Score: N/A</t>
  </si>
  <si>
    <t>Without any recent news or financial data provided, it is difficult to provide a comprehensive assessment of Ameriprise Financial's investment potential in the Asset Management &amp; Custody Banks industry for the next month. The lack of up-to-date information makes it challenging to evaluate the company's current performance, valuation, and the economic factors that may be influencing its outlook.
 Economic Outlook:
 The macroeconomic environment, including factors such as interest rates, inflation, and market volatility, can have a significant impact on asset management firms like Ameriprise Financial. However, without the necessary data, it is not possible to determine how these broader economic conditions may affect the company's prospects in the near term.
 Conclusion:
 Due to the limited information available, it is not feasible to provide a reliable investment score for Ameriprise Financial at this time. A more thorough analysis would require access to the company's recent financial reports, market performance data, and industry-specific insights to make an informed assessment of its investment value.
 Score: N/A</t>
  </si>
  <si>
    <t>Without any recent news or financial data provided, it is difficult to provide a comprehensive assessment of Ansys' investment potential in the Application Software industry for the next month. The lack of up-to-date information makes it challenging to evaluate the company's current performance, market position, and future prospects.
 Economic Outlook:
 The macroeconomic environment, including factors such as interest rates, inflation, and overall market conditions, can significantly impact the performance of companies in the Application Software industry. However, without the necessary data, it is not possible to determine how the current economic outlook might affect Ansys specifically.
 Valuation:
 Valuation metrics, such as price-to-earnings (P/E) ratio, price-to-sales (P/S) ratio, and price-to-book (P/B) ratio, are important indicators of a company's investment potential. Unfortunately, without the latest financial information, it is not feasible to assess Ansys' current valuation and how it compares to industry peers or historical trends.
 Conclusion:
 Due to the lack of recent news and financial data, it is not possible to provide a comprehensive investment report or assign a meaningful score for Ansys' potential investment value in the Application Software industry for the next month. Additional information would be required to make a more informed assessment.
 Score: N/A</t>
  </si>
  <si>
    <t>Without any recent news or financial data provided, it is difficult to provide a comprehensive assessment of the investment potential of Ball Corporation in the Metal, Glass &amp; Plastic Containers industry for the next month. The lack of up-to-date information makes it challenging to evaluate the company's current performance, financial health, and market positioning.
 Economic Outlook:
 The broader economic conditions, such as consumer spending, manufacturing activity, and commodity prices, can significantly impact the demand for Ball Corporation's products. However, without the latest industry and macroeconomic data, it is not possible to determine how the current economic landscape might affect the company's prospects in the near term.
 Valuation:
 Without access to Ball Corporation's recent financial statements and market data, it is not feasible to assess the company's valuation metrics, such as price-to-earnings ratio, price-to-book ratio, or dividend yield. These metrics are crucial in determining the stock's relative attractiveness compared to its peers or the overall market.
 Overall, the absence of recent news and financial information makes it challenging to provide a meaningful investment report or score for Ball Corporation. A comprehensive analysis would require access to the latest data to evaluate the company's performance, competitive positioning, and growth potential within the Metal, Glass &amp; Plastic Containers industry.
 Score: N/A</t>
  </si>
  <si>
    <t>Without any recent news or financial data provided, it is difficult to provide a comprehensive assessment of Baxter International's investment potential in the Health Care Equipment industry for the next month. The lack of up-to-date information makes it challenging to evaluate the company's current performance, financial health, and market positioning.
 Economic Outlook:
 The overall macroeconomic environment, including factors such as inflation, interest rates, and consumer spending, can have a significant impact on the healthcare equipment industry. However, without the necessary data, it is not possible to determine how these broader economic trends may specifically affect Baxter International's business and stock price in the near term.
 Valuation:
 Without access to the company's latest financial statements and market data, it is not feasible to assess Baxter International's current valuation metrics, such as price-to-earnings ratio, price-to-book ratio, or dividend yield. These valuation measures are crucial in determining the stock's potential upside or downside.
 Conclusion:
 Given the absence of recent news and financial information, it is not possible to provide a comprehensive investment report or a reliable score reflecting the potential investment value of Baxter International in the Health Care Equipment industry for the next month. Additional data would be required to make a more informed assessment.
 Score: N/A</t>
  </si>
  <si>
    <t>Without any recent news or financial data provided, it is difficult to provide a comprehensive assessment of Berkshire Hathaway's investment potential in the Multi-Sector Holdings industry for the next month. The company's performance and outlook would typically be evaluated based on factors such as its financial statements, valuation metrics, management strategy, and the broader economic conditions affecting the industry.
 Given the lack of information, a definitive score cannot be assigned. However, Berkshire Hathaway is a well-established conglomerate with a diversified portfolio of businesses, which may provide some stability and resilience during market fluctuations. The company's long-term track record and the expertise of its management team could be considered positive factors.
 Ultimately, a more thorough analysis would be required to determine the appropriate investment score for Berkshire Hathaway in the current market environment. Additional data and information would be necessary to make a well-informed assessment.
 Score: N/A</t>
  </si>
  <si>
    <t>Without any recent news or financial data provided, it is difficult to provide a comprehensive assessment of the investment potential for Bristol Myers Squibb in the Pharmaceuticals industry. The company's performance and outlook would depend on various factors, including its product pipeline, regulatory approvals, competitive landscape, and overall economic conditions affecting the industry.
 Given the lack of specific information, it is not possible to assign a meaningful score reflecting the potential investment value of Bristol Myers Squibb for the next month. A more thorough analysis would be required, taking into account the latest financial reports, market trends, and industry dynamics.
 Score: N/A</t>
  </si>
  <si>
    <t>Without any recent news or financial data provided, it is difficult to provide a comprehensive assessment of the investment potential for Brown-Forman, a company in the Distillers &amp; Vintners industry. 
 The overall economic outlook for the industry, however, appears to be mixed. The continuation of major armed conflicts globally, including the Russian invasion of Ukraine, could potentially impact global trade and consumer spending, which could in turn affect the performance of companies in the distilled spirits and wine sectors. 
 Additionally, the political instability in some regions, such as the collapse of the German governing coalition and the tensions in the Middle East, may introduce volatility in the market and affect investor sentiment. 
 On the other hand, the de-escalation of tensions in certain areas, like the ceasefire agreement between Israel and Hezbollah, could have a positive impact on the global stock market and the performance of companies in the industry.
 Without access to the latest financial data and news specific to Brown-Forman, it is challenging to assign a meaningful investment score. A more thorough analysis would be required to provide a reliable assessment of the company's potential investment value.
 Score: N/A</t>
  </si>
  <si>
    <t>Without any recent news or financial data provided, it is challenging to provide a comprehensive assessment of Builders FirstSource's investment potential in the Building Products industry for the next month. The lack of up-to-date information makes it difficult to evaluate the company's current performance, financial health, and market positioning.
 Economic Outlook:
 The macroeconomic environment, as described in the context, suggests a mixed outlook. While the U.S. economy is showing signs of resilience, with strong manufacturing data, there are also concerns about the potential impact of inflation and the Federal Reserve's monetary policy decisions. Additionally, geopolitical tensions and trade-related uncertainties could introduce volatility in the market.
 Valuation:
 Without access to the company's latest financial statements and valuation metrics, it is not possible to determine if Builders FirstSource is currently undervalued, overvalued, or trading at a fair price compared to its peers or the broader market.
 Conclusion:
 Given the limited information available, it is not feasible to provide a reliable investment score for Builders FirstSource at this time. A more thorough analysis would require access to the company's recent financial reports, market performance data, and industry-specific insights to make an informed assessment of its investment potential.
 Score: N/A</t>
  </si>
  <si>
    <t>Without any recent news or financial data provided, it is difficult to provide a comprehensive assessment of Bunge Global's investment potential in the Agricultural Products &amp; Services industry for the next month. The lack of up-to-date information makes it challenging to evaluate the company's current performance, financial health, and market positioning.
 Economic Outlook:
 The macroeconomic environment in 2024 appears to be characterized by ongoing global conflicts, political instability, and potential market volatility. These factors could have a significant impact on the agricultural industry and the overall performance of companies like Bunge Global. However, without specific financial data, it is not possible to determine how Bunge Global might be affected by these broader economic and geopolitical trends.
 Valuation:
 Without access to Bunge Global's latest financial statements, price-to-earnings ratio, or other relevant valuation metrics, it is not feasible to provide a meaningful assessment of the company's current valuation or its potential investment value.
 Conclusion:
 Due to the absence of recent news and financial data, it is not possible to generate a reliable investment report or assign a meaningful score for Bunge Global's potential investment value in the next month. A more comprehensive analysis would require access to the company's latest financial information, industry trends, and market positioning to make an informed assessment.
 Score: N/A</t>
  </si>
  <si>
    <t>Without any recent news or financial data provided, it is difficult to provide a comprehensive assessment of Caesars Entertainment's investment potential in the Casinos &amp; Gaming industry for the next month. The macroeconomic outlook, including factors such as consumer spending, tourism trends, and regulatory changes, would be crucial in evaluating the company's performance and growth prospects.
 Given the lack of specific information about Caesars Entertainment, a definitive investment score cannot be assigned. The company's ability to navigate the competitive landscape, adapt to industry trends, and execute its strategic initiatives would be key drivers of its future performance. However, without access to the latest financial reports, market positioning, and management's outlook, a reliable investment score cannot be determined.
 Score: N/A</t>
  </si>
  <si>
    <t>Without any recent news or financial data provided, it is difficult to provide a comprehensive assessment of the investment potential for Camden Property Trust in the Multi-Family Residential REITs industry. The lack of up-to-date information makes it challenging to evaluate the company's current performance, valuation, and the economic factors that may be impacting its outlook.
 In the absence of concrete data, it would be speculative to assign a specific score reflecting the investment value of Camden Property Trust. The company's performance and prospects can be heavily influenced by various macroeconomic conditions, industry trends, and company-specific developments, which are not clearly evident from the information available.
 Score: N/A</t>
  </si>
  <si>
    <t>Without any recent news or financial data provided, it is difficult to provide a comprehensive assessment of Carrier Global's investment potential in the Building Products industry for the next month. The company's performance and outlook would depend on various factors, including its financial health, market position, industry trends, and the broader economic conditions.
 Given the lack of information, it is not possible to assign a meaningful score reflecting the potential investment value of Carrier Global. The investment decision would require a thorough analysis of the company's fundamentals, competitive landscape, and the macroeconomic environment affecting the Building Products industry.
 Score: N/A</t>
  </si>
  <si>
    <t>CTLT</t>
  </si>
  <si>
    <t>Without any recent news or financial data provided, it is difficult to provide a comprehensive assessment of Catalent's investment potential in the Pharmaceuticals industry for the next month. The lack of up-to-date information makes it challenging to evaluate the company's current performance, financial health, and market positioning.
 Economic Outlook:
 The overall macroeconomic environment, including factors such as inflation, interest rates, and consumer spending, can have a significant impact on the Pharmaceuticals industry. However, without the necessary data, it is not possible to determine how the current economic conditions may specifically affect Catalent's business and stock performance.
 Valuation:
 Without access to Catalent's financial statements, it is not feasible to assess the company's valuation metrics, such as price-to-earnings ratio, price-to-book ratio, or any other relevant valuation measures. These metrics are crucial in determining whether the stock is currently undervalued, overvalued, or trading at a fair price.
 Conclusion:
 Due to the absence of recent news and financial data, it is not possible to provide a comprehensive investment report or a reliable score for Catalent's investment potential in the Pharmaceuticals industry for the next month. A more thorough analysis would require access to the company's latest financial information, industry trends, and market dynamics.
 Score: N/A</t>
  </si>
  <si>
    <t>Without any recent news or financial data provided, it is difficult to provide a comprehensive assessment of Centene Corporation's investment potential in the Managed Health Care industry for the next month. The lack of up-to-date information makes it challenging to evaluate the company's current performance, financial health, and market positioning.
 Economic Outlook:
 The broader economic conditions, such as the ongoing macroeconomic trends, regulatory changes, and industry dynamics, can significantly impact Centene Corporation's business and stock price. However, without the necessary data, it is not possible to determine how the company might be affected by the recent economic developments and events.
 Valuation:
 Without access to Centene Corporation's latest financial statements, it is not feasible to conduct a thorough valuation analysis. Key metrics like price-to-earnings ratio, price-to-book ratio, and other relevant valuation multiples cannot be calculated to assess the company's current market valuation and potential upside or downside.
 Conclusion:
 Due to the absence of recent news and financial data, it is not possible to provide a comprehensive investment report or a reliable score for Centene Corporation's potential investment value in the Managed Health Care industry for the next month. A more informed assessment would require access to the company's latest financial reports, industry trends, and other relevant information.
 Score: N/A</t>
  </si>
  <si>
    <t>Without any recent news or financial data provided, it is difficult to provide a comprehensive assessment of the investment potential of Charles Schwab Corporation in the Investment Banking &amp; Brokerage industry for the next month.
 Economic Outlook:
 The macroeconomic environment, including factors such as interest rates, market volatility, and investor sentiment, can significantly impact the performance of investment firms like Charles Schwab. However, without the latest information, it is challenging to determine how the current economic conditions may affect the company's outlook.
 Valuation:
 Valuation metrics, such as price-to-earnings ratio, price-to-book value, and dividend yield, are crucial in evaluating a company's investment potential. Unfortunately, without the recent financial data, it is not possible to accurately assess the current valuation of Charles Schwab Corporation.
 Industry Trends:
 The Investment Banking &amp; Brokerage industry is subject to various market trends and regulatory changes that can influence the performance of individual companies. However, without the latest industry information, it is difficult to determine how Charles Schwab may be positioned to capitalize on or mitigate these factors.
 Overall, the lack of recent news and financial data makes it challenging to provide a comprehensive investment report and assign a meaningful score for Charles Schwab Corporation. Additional information would be required to make a more informed assessment of the company's investment potential.
 Score: N/A</t>
  </si>
  <si>
    <t>Without any recent news or financial data provided, it is difficult to provide a comprehensive assessment of the investment potential of Citizens Financial Group in the Regional Banks industry for the next month. The lack of up-to-date information makes it challenging to evaluate the company's current performance, financial health, and the potential impact of the macroeconomic environment on its operations.
 Economic Outlook:
 The macroeconomic conditions, including factors such as interest rates, inflation, and overall market sentiment, can significantly influence the performance of regional banks like Citizens Financial Group. However, without the necessary data, it is not possible to determine how the company might be affected by the recent developments in the broader economy.
 Valuation:
 Valuation metrics, such as price-to-earnings ratio, price-to-book value, and dividend yield, are essential in assessing a company's investment potential. Unfortunately, without the latest financial information, it is not feasible to calculate these metrics and provide a meaningful valuation analysis for Citizens Financial Group.
 Conclusion:
 Due to the absence of recent news and financial data, it is not possible to provide a comprehensive investment report or assign a reliable score reflecting the potential investment value of Citizens Financial Group in the Regional Banks industry for the next month. A more thorough analysis would require access to the company's latest financial statements, market performance, and industry-specific information.
 Score: N/A</t>
  </si>
  <si>
    <t>Without any recent news or financial data provided, it is difficult to provide a comprehensive assessment of Colgate-Palmolive's investment potential in the Household Products industry for the next month. The company's performance and outlook would depend on various factors, including its competitive positioning, product portfolio, pricing power, and ability to navigate the current macroeconomic environment.
 The Household Products industry is generally considered a defensive sector, as consumer demand for essential personal care and cleaning products tends to be relatively stable even during economic downturns. However, factors such as inflation, changes in consumer preferences, and competitive dynamics can still impact the industry's performance.
 Given the lack of specific information about Colgate-Palmolive's recent developments, it is not possible to provide a reliable score reflecting the company's potential investment value for the next month. A more thorough analysis would be required, taking into account the latest financial data, management's guidance, and the broader economic and industry outlook.
 Score: N/A</t>
  </si>
  <si>
    <t>Without any recent news or financial data provided, it is difficult to provide a comprehensive assessment of Consolidated Edison's investment potential in the Multi-Utilities industry for the next month. The lack of up-to-date information makes it challenging to evaluate the company's current performance, financial health, and the potential impact of the macroeconomic environment on its operations.
 Given the limited information available, it would be speculative to assign a specific score reflecting the investment value of Consolidated Edison. The company's performance and outlook can be significantly influenced by various factors, including regulatory changes, commodity prices, and the overall economic conditions, which are not clearly evident from the provided data.
 Score: N/A</t>
  </si>
  <si>
    <t>Without any recent news or financial data provided, it is difficult to provide a comprehensive assessment of Corteva's investment potential in the Fertilizers &amp; Agricultural Chemicals industry for the next month. The lack of information makes it challenging to evaluate the company's current performance, financial health, and the potential impact of the macroeconomic environment on its operations.
 Given the limited information available, it is not possible to confidently assign a score reflecting the potential investment value of Corteva. More detailed and up-to-date data would be required to make a well-informed analysis and provide a meaningful investment recommendation.
 Score: N/A</t>
  </si>
  <si>
    <t>Without any recent news or financial data provided, it is difficult to provide a comprehensive assessment of the investment potential of CSX Corporation in the Rail Transportation industry for the next month. The lack of up-to-date information makes it challenging to evaluate the company's current performance, financial health, and the potential impact of the macroeconomic environment on its operations.
 Economic Outlook:
 The macroeconomic conditions, including factors such as inflation, interest rates, and global trade dynamics, can significantly influence the performance of companies in the Rail Transportation industry. However, without the necessary data, it is not possible to determine how these factors might specifically affect CSX Corporation in the near term.
 Valuation:
 Without access to the company's latest financial statements and market data, it is not feasible to assess the current valuation of CSX Corporation or how it compares to industry peers. Valuation metrics, such as price-to-earnings ratio or price-to-book value, are crucial in determining the investment potential of a company.
 Overall, the absence of recent news and financial information makes it challenging to provide a comprehensive investment report and assign a meaningful score for CSX Corporation. Additional data would be required to make a more informed assessment of the company's investment potential in the next month.
 Score: N/A</t>
  </si>
  <si>
    <t>Without any recent news or financial data provided, it is difficult to provide a comprehensive assessment of Cummins' investment potential in the Construction Machinery &amp; Heavy Transportation Equipment industry for the next month. 
 Economic Outlook:
 The macroeconomic environment in 2024 appears to be challenging, with ongoing global conflicts, political instability, and potential trade tensions that could impact the overall market performance. However, the U.S. economy has shown signs of resilience, with strong manufacturing data and a generally positive stock market outlook.
 Valuation:
 Without access to Cummins' latest financial statements and valuation metrics, it is not possible to determine if the company is currently undervalued or overvalued compared to its peers or the industry average.
 Overall Outlook:
 Given the lack of recent information about Cummins' specific business performance and market positioning, it is not feasible to provide a reliable investment score for the company in the next month. A more thorough analysis would be required to make an informed assessment.
 Score: N/A</t>
  </si>
  <si>
    <t>Without any recent news or financial data provided, it is difficult to provide a comprehensive assessment of Discover Financial's investment potential in the Consumer Finance industry for the next month. The lack of up-to-date information makes it challenging to evaluate the company's current performance, financial health, and the potential impact of the macroeconomic environment on its operations.
 Economic Outlook:
 The recent macroeconomic developments, such as the continuation of major armed conflicts globally, the escalation of the Israel-Hamas war, and the political instability in Germany, could create an uncertain and volatile market environment. These factors may influence consumer spending and credit demand, which are crucial drivers for companies in the Consumer Finance industry.
 Valuation:
 Without access to the company's latest financial statements and market data, it is not possible to accurately determine Discover Financial's current valuation and how it compares to industry peers or the broader market. Valuation metrics, such as price-to-earnings ratio, price-to-book ratio, and dividend yield, would be necessary to assess the company's relative attractiveness.
 Overall, the lack of recent news and financial data makes it challenging to provide a comprehensive investment report and assign a meaningful score for Discover Financial's potential investment value in the next month. Additional information would be required to make a more informed assessment.
 Score: N/A</t>
  </si>
  <si>
    <t>Without any recent news or financial data provided, it is difficult to provide a comprehensive assessment of the investment potential of Dover Corporation in the Industrial Machinery &amp; Supplies &amp; Components industry for the next month.
 The overall economic outlook, as described in the macroeconomic context, suggests a mixed environment with both positive and negative factors that could impact the performance of industrial companies like Dover. On one hand, the resilience of the U.S. manufacturing sector and the potential for continued strength in the economy could be favorable for the company. However, the uncertainty surrounding trade policies, geopolitical tensions, and the Federal Reserve's monetary policy decisions could introduce volatility and risk.
 Without access to the latest financial statements, valuation metrics, and other company-specific information, it is not possible to evaluate Dover Corporation's current position, competitive advantages, or growth prospects. These fundamental factors would be crucial in determining the investment value of the stock.
 Given the lack of recent data, a definitive score cannot be assigned. A more thorough analysis would be required to provide a meaningful assessment of the company's investment potential in the next month.
 Score: N/A</t>
  </si>
  <si>
    <t>Without any recent news or financial data provided, it is difficult to provide a comprehensive assessment of the investment potential of DTE Energy in the Multi-Utilities industry for the next month. The lack of current information makes it challenging to evaluate the company's recent performance, financial health, and the economic factors that may be influencing its outlook.
 Economic Outlook:
 The broader economic conditions, such as interest rate movements, inflation trends, and the overall market sentiment, can have a significant impact on the performance of utility companies like DTE Energy. However, without the necessary data, it is not possible to determine how these macroeconomic factors may be affecting the company's prospects in the near term.
 Valuation:
 Valuation metrics, such as price-to-earnings (P/E) ratio, dividend yield, and price-to-book (P/B) ratio, are typically used to assess the relative attractiveness of a stock. However, without the latest financial information, it is not feasible to calculate these valuation measures and determine if DTE Energy is currently undervalued or overvalued compared to its peers or historical averages.
 Conclusion:
 Due to the lack of recent news and financial data, it is not possible to provide a comprehensive investment report or assign a meaningful score for the potential investment value of DTE Energy in the Multi-Utilities industry for the next month. A more thorough analysis would require access to the company's latest financial statements, industry trends, and other relevant information to make an informed assessment.
 Score: N/A</t>
  </si>
  <si>
    <t>Without any recent news or financial data provided, it is difficult to provide a comprehensive assessment of the investment potential of Edison International in the Electric Utilities industry. The lack of up-to-date information makes it challenging to evaluate the company's current performance, financial health, and future prospects.
 Economic Outlook:
 The broader economic conditions, such as interest rates, inflation, and energy demand, can significantly impact the Electric Utilities industry. However, without the necessary data, it is not possible to determine how these macroeconomic factors might specifically affect Edison International's operations and financial outlook.
 Valuation:
 Without access to the company's latest financial statements, it is not feasible to conduct a thorough valuation analysis. Key metrics like price-to-earnings ratio, dividend yield, and debt-to-equity ratio would be required to assess the company's relative valuation compared to its peers or industry benchmarks.
 Conclusion:
 Given the absence of recent news and financial data, it is not possible to provide a reliable investment score for Edison International at this time. A more comprehensive analysis would require access to the company's latest financial reports, industry trends, and other relevant information to make an informed assessment of its investment potential.
 Score: N/A</t>
  </si>
  <si>
    <t>Without any recent news or financial data provided, it is difficult to provide a comprehensive assessment of Elevance Health's investment potential in the Managed Health Care industry for the next month. The lack of up-to-date information makes it challenging to evaluate the company's current performance, financial health, and market positioning.
 Economic Outlook:
 The broader economic conditions, such as the continuation of major armed conflicts globally, the escalation of the Israel-Hamas war, and the political instability in Germany, could potentially impact the overall healthcare and insurance industry. These macroeconomic factors may influence investor sentiment and market volatility, which could indirectly affect Elevance Health's stock performance.
 Valuation:
 Without access to the company's latest financial statements and market data, it is not possible to accurately determine Elevance Health's current valuation or assess its relative attractiveness compared to its peers in the Managed Health Care industry.
 Conclusion:
 Given the limited information available, it is not feasible to provide a reliable investment score for Elevance Health at this time. A more comprehensive analysis would require access to the company's recent news, financial reports, and industry-specific data to make a well-informed assessment of its investment potential.
 Score: N/A</t>
  </si>
  <si>
    <t>Without any recent news or financial data provided, it is difficult to provide a comprehensive assessment of Entergy's investment potential in the Electric Utilities industry for the next month. The lack of up-to-date information makes it challenging to evaluate the company's current performance, financial health, and the potential impact of the macroeconomic environment on its operations.
 Given the limited information available, it would be speculative to assign a specific score reflecting the investment value of Entergy. The Electric Utilities industry is generally considered a relatively stable sector, but the company's performance can be influenced by various factors, such as regulatory changes, commodity prices, and the overall economic conditions.
 To provide a more informed investment recommendation, it would be necessary to review the latest financial statements, earnings reports, industry trends, and any relevant news or developments surrounding Entergy. Without access to these critical data points, a reliable assessment of the company's investment potential cannot be made.
 Score: N/A</t>
  </si>
  <si>
    <t>Without any recent news or financial data provided, it is difficult to provide a comprehensive assessment of EPAM Systems' investment potential. The IT Consulting &amp; Other Services industry, in which EPAM operates, is heavily influenced by macroeconomic conditions, technological advancements, and industry-specific trends.
 The latest economic outlook suggests a mixed picture, with some positive signs in the manufacturing sector but concerns about the potential impact of inflation and the Federal Reserve's monetary policy decisions. Additionally, the geopolitical landscape, including ongoing conflicts and political instability in various regions, could introduce volatility and uncertainty that may affect the performance of companies in the IT services industry.
 Given the lack of specific information about EPAM Systems' recent developments, financial performance, and competitive positioning, it is not possible to provide a reliable investment score at this time. A more thorough analysis would be required, taking into account the company's latest financial statements, market share, growth prospects, and any relevant industry or macroeconomic factors that could impact its future performance.
 Score: N/A</t>
  </si>
  <si>
    <t>Without any recent news or financial data provided, it is difficult to provide a comprehensive assessment of the investment potential of Essex Property Trust in the Multi-Family Residential REITs industry. The lack of current information makes it challenging to evaluate the company's recent performance, financial health, and the economic factors that may be impacting its operations and outlook.
 Economic Outlook:
 The overall macroeconomic environment, including factors such as interest rates, inflation, and consumer spending, can significantly influence the performance of real estate investment trusts (REITs) like Essex Property Trust. However, without the latest data, it is not possible to determine how these broader economic conditions may be affecting the company's prospects.
 Valuation:
 Valuation metrics, such as price-to-earnings (P/E) ratio, price-to-book (P/B) ratio, and dividend yield, are typically used to assess the relative attractiveness of a REIT's stock. However, without the company's recent financial statements and stock price information, a thorough valuation analysis cannot be conducted.
 Conclusion:
 Due to the lack of recent news and financial data, it is not feasible to provide a comprehensive investment report or assign a meaningful score reflecting the potential investment value of Essex Property Trust. A more informed assessment would require access to the company's latest financial reports, market performance, and industry-specific information.
 Score: N/A</t>
  </si>
  <si>
    <t>Without any recent news or financial data provided, it is difficult to provide a comprehensive assessment of Eversource Energy's investment potential. The Electric Utilities industry is heavily influenced by macroeconomic factors, regulatory environment, and company-specific performance, all of which would need to be evaluated to determine the firm's investment value.
 Given the lack of information, a definitive score cannot be assigned. However, the overall economic outlook, including factors such as interest rates, energy demand, and government policies, would be crucial in determining the industry's and Eversource Energy's prospects in the next month.
 Score: N/A</t>
  </si>
  <si>
    <t>Without any recent news or financial data provided, it is difficult to provide a comprehensive assessment of Fastenal's investment potential in the Trading Companies &amp; Distributors industry for the next month. The lack of up-to-date information makes it challenging to evaluate the company's current performance, financial health, and market positioning.
 Economic Outlook:
 The broader economic conditions, such as the continuation of major global conflicts, political instability, and the potential impact of the new U.S. administration's policies, could indirectly affect the trading and distribution industry. However, without specific details about Fastenal's operations and exposure to these factors, it is not possible to determine the company's resilience or vulnerability to the macroeconomic environment.
 Valuation:
 Without access to Fastenal's latest financial statements, price-to-earnings ratio, or other relevant valuation metrics, it is not feasible to assess whether the company's stock is currently undervalued, overvalued, or trading at a fair market price.
 Conclusion:
 Due to the lack of recent news and financial data, it is not possible to provide a comprehensive investment report or a reliable score for Fastenal's potential investment value in the next month. Additional information would be required to make a more informed assessment.
 Score: N/A</t>
  </si>
  <si>
    <t>Without any recent news or financial data provided, it is difficult to provide a comprehensive assessment of Fifth Third Bancorp's investment potential in the Regional Banks industry for the next month. The lack of up-to-date information makes it challenging to evaluate the company's current performance, valuation, and the economic factors that may be influencing its outlook.
 In the absence of concrete data, the overall economic and industry conditions become more crucial in determining the potential investment value. The Regional Banks industry is typically sensitive to macroeconomic trends, such as interest rates, economic growth, and consumer spending. However, without the specific details about Fifth Third Bancorp's position within the industry, it is not possible to make a well-informed assessment.
 Given the limited information available, a definitive investment score cannot be provided. A more thorough analysis would require access to the company's latest financial statements, market performance, and any relevant news or industry developments that could impact its short-term prospects.
 Score: N/A</t>
  </si>
  <si>
    <t>Without any recent news or financial data provided, it is difficult to provide a comprehensive assessment of the investment potential of Franklin Resources in the Asset Management &amp; Custody Banks industry. The lack of up-to-date information makes it challenging to evaluate the company's current performance, valuation, and the economic factors that may be influencing its outlook.
 Economic Outlook:
 The macroeconomic environment, including factors such as interest rates, market volatility, and investor sentiment, can have a significant impact on asset management firms like Franklin Resources. However, without the latest data, it is not possible to determine how the current economic conditions may be affecting the company's prospects.
 Conclusion:
 Due to the absence of recent news and financial information, InvestSmart.ai is unable to provide a reliable investment score for Franklin Resources at this time. A more thorough analysis would require access to the company's latest financial statements, market performance, and industry trends to make an informed assessment of its investment potential.
 Score: N/A</t>
  </si>
  <si>
    <t>Without any recent news or financial data provided, it is difficult to provide a comprehensive assessment of Generac's investment potential in the Electrical Components &amp; Equipment industry for the next month. The lack of up-to-date information makes it challenging to evaluate the company's current performance, market position, and future prospects.
 Economic Outlook:
 The macroeconomic environment, including factors such as interest rates, inflation, and consumer spending, can significantly impact the demand for Generac's products and services. However, without the necessary data, it is not possible to determine how the current economic conditions may affect the company's outlook.
 Valuation:
 Valuation metrics, such as price-to-earnings ratio, price-to-book value, and dividend yield, are essential in assessing a company's investment attractiveness. Unfortunately, without the recent financial statements and stock price information, a proper valuation analysis cannot be conducted.
 Conclusion:
 Due to the absence of recent news and financial data, it is not feasible to provide a reliable investment score for Generac at this time. A more comprehensive analysis would require access to the company's latest financial reports, market performance, and industry trends to make an informed assessment of its investment potential.
 Score: N/A</t>
  </si>
  <si>
    <t>Without any recent news or financial data provided, it is difficult to provide a comprehensive assessment of the investment potential of General Mills in the Packaged Foods &amp; Meats industry for the next month. The lack of current information makes it challenging to evaluate the company's performance, valuation, and the economic factors that may be influencing its outlook.
 Given the limited information available, it would be prudent to refrain from assigning a specific investment score at this time. A more thorough analysis would be required to make an informed recommendation, taking into account the latest financial reports, industry trends, and the broader macroeconomic environment.
 Score: N/A</t>
  </si>
  <si>
    <t>Without any recent news or financial data provided, it is difficult to provide a comprehensive assessment of the investment potential for Genuine Parts Company in the Distributors industry. The company's performance and outlook would depend on various factors, including its financial health, competitive positioning, and the overall economic conditions affecting the industry.
 Given the lack of information, it would be speculative to assign a specific investment score. The company's future prospects cannot be reliably evaluated without access to the latest financial statements, market trends, and industry dynamics.
 Score: N/A</t>
  </si>
  <si>
    <t>Without any recent news or financial data provided, it is difficult to provide a comprehensive assessment of Globe Life's investment potential in the Life &amp; Health Insurance industry for the next month. The lack of up-to-date information makes it challenging to evaluate the company's current performance, valuation, and the economic factors that may be influencing its outlook.
 Given the limited information available, it would be speculative to assign a specific score reflecting the potential investment value of Globe Life. The investment decision would require a thorough analysis of the company's financial statements, competitive positioning, management, and the broader industry and macroeconomic conditions.
 Score: N/A</t>
  </si>
  <si>
    <t>Without any recent news or financial data provided, it is difficult to provide a comprehensive assessment of the investment potential for Hershey Company (The) in the Packaged Foods &amp; Meats industry for the next month.
 The overall economic outlook, as described in the macroeconomic context, suggests a mixed environment with both positive and negative factors that could impact the performance of companies in the consumer staples sector, which includes the Packaged Foods &amp; Meats industry. Factors such as the resilience of the U.S. manufacturing sector, concerns over inflation, and potential policy changes from the new administration could all influence the market dynamics and the performance of individual companies.
 However, without access to the latest financial statements, valuation metrics, and any company-specific news or developments, it would be speculative to assign a specific score reflecting the investment potential of Hershey Company (The) for the next month. A more thorough analysis would be required to make an informed assessment.
 Score: N/A</t>
  </si>
  <si>
    <t>Without any recent news or financial data provided, it is difficult to provide a comprehensive assessment of Idexx Laboratories' investment potential in the Health Care Equipment industry for the next month. The lack of up-to-date information makes it challenging to evaluate the company's current performance, valuation, and the economic factors that may be influencing its outlook.
 Economic Outlook:
 The overall macroeconomic environment, including factors such as inflation, interest rates, and consumer spending, can have a significant impact on the performance of companies in the Health Care Equipment industry. However, without the necessary data, it is not possible to determine how these broader economic trends may specifically affect Idexx Laboratories in the near term.
 Conclusion:
 Due to the limited information available, it is not feasible to provide a reliable investment score for Idexx Laboratories at this time. A more thorough analysis would require access to the company's latest financial reports, industry trends, and other relevant data to make an informed assessment of its investment potential.
 Score: N/A</t>
  </si>
  <si>
    <t>Without any recent news or financial data provided, it is difficult to provide a comprehensive assessment of Ingersoll Rand's investment potential in the Industrial Machinery &amp; Supplies &amp; Components industry for the next month. The lack of current information makes it challenging to evaluate the company's recent performance, financial health, and overall market positioning.
 The economic outlook for the industry, however, can provide some context. The macroeconomic data suggests a mixed picture, with continued global conflicts and political instability that could impact investor sentiment and market volatility. At the same time, the U.S. economy is showing signs of resilience, with strong manufacturing data, though concerns over inflation and the Federal Reserve's monetary policy decisions remain.
 Given the limited information available, it is not possible to assign a reliable score reflecting the potential investment value of Ingersoll Rand. A more thorough analysis would require access to the company's latest financial statements, market trends, and industry-specific data to make an informed assessment.
 Score: N/A</t>
  </si>
  <si>
    <t>Without any recent news or financial data provided, it is difficult to provide a comprehensive assessment of the investment potential of International Flavors &amp; Fragrances in the Specialty Chemicals industry for the next month. The company's performance and outlook would depend on various factors, including its financial health, market position, industry trends, and the broader economic conditions.
 In the absence of the necessary information, a definitive investment score cannot be determined. The company's future prospects would need to be evaluated based on the latest available data and industry analysis.
 Score: N/A</t>
  </si>
  <si>
    <t>Without any recent news or financial data provided, it is difficult to provide a comprehensive assessment of Interpublic Group of Companies (The)'s investment potential in the Advertising industry for the next month. The company's performance and outlook would largely depend on the broader economic conditions, industry trends, and its own strategic positioning and execution.
 The Advertising industry is closely tied to the overall economic environment, as marketing and advertising budgets tend to fluctuate based on consumer spending and business confidence. The macroeconomic outlook, including factors such as inflation, interest rates, and geopolitical tensions, can have a significant impact on the industry's growth prospects.
 Additionally, the Advertising industry is undergoing a digital transformation, with a shift towards digital and online advertising platforms. Interpublic Group's ability to adapt to these changes and capitalize on emerging trends would be a key factor in determining its competitive position and financial performance.
 Without access to the company's recent financial statements, valuation metrics, and industry-specific data, it is challenging to provide a meaningful score reflecting the potential investment value of Interpublic Group of Companies (The) in the Advertising industry for the next month.
 Score: N/A</t>
  </si>
  <si>
    <t>Without any recent news or financial data provided, it is difficult to provide a comprehensive assessment of Invitation Homes' investment potential in the Single-Family Residential REITs industry for the next month. The lack of current information makes it challenging to evaluate the company's recent performance, financial health, and the economic factors that may be impacting its operations and outlook.
 Given the absence of the necessary data, I am unable to assign a meaningful score reflecting the potential investment value of Invitation Homes. The decision to invest in this company would require a thorough analysis of its latest financial statements, market positioning, industry trends, and the broader economic conditions that could affect its performance.
 Score: N/A</t>
  </si>
  <si>
    <t>Without any recent news or financial data provided, it is difficult to provide a comprehensive assessment of Iron Mountain's investment potential in the next month. The company's performance and outlook would depend on various factors, including its financial health, industry trends, and the broader economic conditions.
 The Other Specialized REITs industry, in which Iron Mountain operates, can be influenced by macroeconomic factors such as interest rates, consumer spending, and commercial real estate demand. The latest economic data and market trends would need to be considered to evaluate the industry's and the company's prospects.
 Given the lack of specific information, it is not possible to assign a reliable score reflecting Iron Mountain's potential investment value for the next month. A more thorough analysis would be required, taking into account the company's latest financial reports, management's guidance, industry dynamics, and the overall economic outlook.
 Score: N/A</t>
  </si>
  <si>
    <t>Without any recent news or financial data provided, it is difficult to provide a comprehensive assessment of KeyCorp's investment potential in the Regional Banks industry for the next month. The lack of up-to-date information makes it challenging to evaluate the company's current performance, valuation, and the economic factors that may be influencing its outlook.
 In the absence of concrete data, it is prudent to exercise caution when considering an investment in KeyCorp. The regional banking sector can be sensitive to changes in the macroeconomic environment, regulatory landscape, and competitive dynamics, all of which could impact the company's financial health and growth prospects.
 Given the limited information available, it would be premature to assign a specific investment score for KeyCorp at this time. A more thorough analysis based on the latest financial reports, industry trends, and market conditions would be necessary to provide a meaningful and well-informed assessment.
 Score: N/A</t>
  </si>
  <si>
    <t>Without any recent news or financial data provided, it is difficult to provide a comprehensive assessment of Kimco Realty's investment potential in the Retail REITs industry for the next month. The lack of information makes it challenging to evaluate the company's current performance, financial health, and the potential impact of the macroeconomic environment on its operations.
 Economic Outlook:
 The macroeconomic conditions, including factors such as consumer spending, inflation, and interest rates, can significantly influence the performance of Retail REITs. However, without the necessary data, it is not possible to determine how these factors may specifically affect Kimco Realty in the near term.
 Valuation:
 Without access to the company's financial statements and market data, it is not feasible to assess Kimco Realty's current valuation or how it compares to its peers in the industry. Valuation metrics, such as price-to-earnings ratio or price-to-book value, are crucial in determining the investment potential of a company.
 Overall, the lack of recent news and financial information makes it challenging to provide a comprehensive investment report and assign a meaningful score for Kimco Realty's potential in the next month. Additional data would be required to make a more informed assessment.
 Score: N/A</t>
  </si>
  <si>
    <t>Without any recent news or financial data provided, it is difficult to provide a comprehensive assessment of the investment potential for Linde plc in the Industrial Gases industry. The company's performance and outlook would depend on various factors, including the overall economic conditions, industry trends, and the company's specific strategies and competitive positioning.
 The Industrial Gases industry is generally considered a relatively stable and defensive sector, as the demand for industrial gases is often tied to the broader manufacturing and industrial activities. However, the industry can be impacted by factors such as commodity prices, energy costs, and changes in customer demand.
 Given the lack of recent information, it is not possible to provide a reliable score reflecting the potential investment value of Linde plc in the next month. A more thorough analysis would be required, taking into account the latest financial reports, market trends, and the company's strategic initiatives, to arrive at a meaningful investment recommendation.
 Score: N/A</t>
  </si>
  <si>
    <t>Without any recent news or financial data provided, it is difficult to provide a comprehensive assessment of the investment potential for LyondellBasell in the Specialty Chemicals industry. The company's performance and outlook would depend on various factors, including its competitive positioning, product portfolio, operational efficiency, and exposure to the broader economic and industry trends.
 The Specialty Chemicals industry is generally influenced by macroeconomic conditions, such as global economic growth, consumer demand, and commodity prices. The recent geopolitical tensions, supply chain disruptions, and inflationary pressures may have had an impact on the industry's performance, which could in turn affect LyondellBasell's financial and operational results.
 However, without access to the company's latest financial statements, market valuations, and industry-specific insights, it is not possible to make a well-informed evaluation of LyondellBasell's investment potential for the next month. A more thorough analysis would be required to provide a meaningful score reflecting the company's investment value.
 Score: N/A</t>
  </si>
  <si>
    <t>Without any recent news or financial data provided, it is difficult to provide a comprehensive assessment of the investment potential of Match Group in the Interactive Media &amp; Services industry for the next month. 
 The overall economic outlook, as described in the macroeconomic context, suggests a mixed environment with both positive and negative factors that could impact the performance of companies in this industry. Factors such as the new administration's trade policies, the Federal Reserve's monetary policy decisions, and geopolitical tensions could introduce volatility in the market.
 However, without access to the latest financial statements, valuation metrics, and industry-specific information for Match Group, it is not possible to make a well-informed evaluation of the company's current position and future prospects. 
 Given the lack of recent data, a definitive investment score cannot be provided. A more thorough analysis would be required to assess the potential investment value of Match Group in the next month.
 Score: N/A</t>
  </si>
  <si>
    <t>Without any recent news or financial data provided, it is difficult to provide a comprehensive assessment of Molina Healthcare's investment potential in the Managed Health Care industry for the next month. The lack of up-to-date information makes it challenging to evaluate the company's current performance, financial health, and market positioning.
 Economic Outlook:
 The broader economic conditions, such as the continuation of major armed conflicts globally, the escalation of the Israel-Hamas war, and the political instability in regions like the Middle East, could potentially impact the healthcare industry and Molina Healthcare's operations. However, without specific financial data, the extent of these macroeconomic factors' influence on the company's performance remains unclear.
 Valuation:
 Without access to Molina Healthcare's latest financial statements, price-to-earnings ratio, or other relevant valuation metrics, it is not possible to determine whether the company's stock is currently undervalued, overvalued, or trading at a fair market price. This information is crucial in assessing the investment potential.
 Conclusion:
 Due to the lack of recent news and financial data, it is not feasible to provide a comprehensive investment report or a reliable score reflecting the potential investment value of Molina Healthcare in the Managed Health Care industry for the next month. Additional information would be required to make a more informed assessment.
 Score: N/A</t>
  </si>
  <si>
    <t>Without any recent news or financial data provided, it is difficult to provide a comprehensive assessment of Monster Beverage's investment potential. The soft drinks and non-alcoholic beverages industry is heavily influenced by macroeconomic factors, consumer trends, and competitive dynamics, which can significantly impact a company's performance.
 Economic Outlook:
 The overall macroeconomic environment, including factors such as consumer spending, inflation, and interest rates, can have a significant influence on the soft drinks industry. The latest economic data and forecasts would be crucial in evaluating the potential impact on Monster Beverage's operations and financial performance.
 Valuation:
 Without access to the company's latest financial statements and valuation metrics, it is not possible to determine whether Monster Beverage's shares are currently undervalued, overvalued, or trading at a fair price. Factors such as price-to-earnings ratio, price-to-sales ratio, and other relevant valuation multiples would need to be analyzed to assess the company's relative valuation.
 Industry Dynamics:
 The soft drinks and non-alcoholic beverages industry is highly competitive, with numerous players vying for market share. An understanding of the industry's competitive landscape, consumer preferences, and regulatory environment would be necessary to evaluate Monster Beverage's positioning and growth prospects.
 Score: N/A</t>
  </si>
  <si>
    <t>Without any recent news or financial data provided, it is difficult to provide a comprehensive assessment of Motorola Solutions' investment potential in the Communications Equipment industry for the next month. The lack of up-to-date information makes it challenging to evaluate the company's current performance, market position, and potential risks and opportunities.
 Economic Outlook:
 The broader economic conditions, such as the ongoing geopolitical tensions, inflation concerns, and the Federal Reserve's monetary policy decisions, can have a significant impact on the performance of companies in the Communications Equipment industry. However, without specific data on Motorola Solutions' operations and financials, it is not possible to determine how the company might be affected by these macroeconomic factors.
 Valuation:
 Without access to the company's latest financial statements and market data, it is not feasible to assess Motorola Solutions' current valuation or determine whether it is trading at a discount or premium compared to its peers or industry benchmarks.
 Conclusion:
 Given the absence of recent news and financial information, it is not possible to provide a reliable investment score for Motorola Solutions in the Communications Equipment industry for the next month. A more comprehensive analysis would require access to the company's latest financial reports, market data, and industry trends to make an informed assessment.
 Score: N/A</t>
  </si>
  <si>
    <t>Without any recent news or financial data provided, it is challenging to provide a comprehensive assessment of Nike, Inc.'s investment potential in the Apparel, Accessories &amp; Luxury Goods industry for the next month. The lack of current information makes it difficult to evaluate the company's recent performance, financial health, and the potential impact of the macroeconomic environment on its operations.
 Economic Outlook:
 The macroeconomic conditions, including factors such as consumer spending, inflation, and geopolitical tensions, can significantly influence the performance of companies in the apparel and luxury goods industry. However, without the latest data, it is not possible to determine how these factors may specifically affect Nike's business in the near term.
 Valuation:
 Without access to Nike's current financial statements and market data, it is not feasible to assess the company's valuation metrics, such as price-to-earnings ratio, price-to-book ratio, or any other relevant valuation measures. These metrics are crucial in determining the stock's potential investment value.
 Overall, the lack of recent news and financial information makes it challenging to provide a comprehensive investment report and assign a meaningful score for Nike, Inc. at this time. Additional data would be required to make a more informed assessment of the company's investment potential in the next month.
 Score: N/A</t>
  </si>
  <si>
    <t>Without any recent news or financial data provided, it is difficult to provide a comprehensive assessment of the investment potential of Norfolk Southern Railway in the Rail Transportation industry for the next month. The lack of up-to-date information makes it challenging to evaluate the company's current performance, financial health, and the potential impact of the macroeconomic environment on its operations.
 Economic Outlook:
 The macroeconomic conditions, including factors such as inflation, interest rates, and global trade dynamics, can significantly influence the performance of companies in the Rail Transportation industry. However, without the necessary data, it is not possible to determine how these factors might specifically affect Norfolk Southern Railway in the near term.
 Valuation:
 Without access to the company's latest financial statements and market data, it is not feasible to conduct a thorough valuation analysis to assess the stock's potential investment value. Key metrics such as price-to-earnings ratio, price-to-book ratio, and dividend yield, which are typically used to evaluate a company's valuation, cannot be calculated.
 Conclusion:
 Due to the lack of recent news and financial information, it is not possible to provide a comprehensive investment report or a reliable score reflecting the potential investment value of Norfolk Southern Railway in the Rail Transportation industry for the next month. A more detailed analysis would require access to the company's latest financial data and industry-specific insights.
 Score: N/A</t>
  </si>
  <si>
    <t>Without any recent news or financial data provided, it is difficult to provide a comprehensive assessment of Northrop Grumman's investment potential in the Aerospace &amp; Defense industry for the next month. The company's performance and outlook would depend on various factors, including the overall economic conditions, industry trends, and the company's specific strategies and competitive positioning.
 Given the lack of information, it would be speculative to assign a specific score reflecting the potential investment value of Northrop Grumman. The company's performance could be influenced by the macroeconomic environment, geopolitical developments, and the dynamics within the Aerospace &amp; Defense sector, which are not clearly defined in the provided context.
 Score: N/A</t>
  </si>
  <si>
    <t>Without any recent news or financial data provided, it is difficult to provide a comprehensive assessment of Nucor's investment potential in the Steel industry for the next month. The company's performance and outlook would depend on various factors, including the overall economic conditions, industry trends, and Nucor's specific operational and financial metrics.
 The Steel industry is often influenced by macroeconomic factors, such as global trade policies, commodity prices, and consumer demand. The recent geopolitical tensions and potential policy changes could impact the industry's dynamics, which may affect Nucor's performance.
 Given the lack of specific information about Nucor's current situation, it is not possible to provide a reliable score reflecting the potential investment value of the company for the next month. A more thorough analysis would be required, taking into account the latest financial reports, market trends, and industry outlook.
 Score: N/A</t>
  </si>
  <si>
    <t>Without any recent news or financial data provided, it is difficult to provide a comprehensive assessment of the investment potential of NVR, Inc. in the Homebuilding industry for the next month. The macroeconomic outlook, including factors such as interest rates, consumer confidence, and housing market trends, would be crucial in evaluating the company's performance and growth prospects.
 Given the lack of specific information about the company's current situation, it would be speculative to assign a numerical score reflecting the potential investment value. The homebuilding industry is highly sensitive to economic conditions, and any changes in the broader market or regulatory environment could significantly impact NVR, Inc.'s operations and financial performance.
 Score: N/A</t>
  </si>
  <si>
    <t>Without any recent news or financial data provided, it is difficult to provide a comprehensive assessment of the investment potential for Pool Corporation in the Distributors industry. The company's performance and outlook would depend on various factors, including the overall economic conditions, industry trends, and the company's specific strategies and competitive positioning.
 Given the lack of information, it would be speculative to assign a specific score reflecting the potential investment value of Pool Corporation. The investment decision should be based on a thorough analysis of the company's financial statements, management's execution, and the industry's dynamics, which are not available in this case.
 Score: N/A</t>
  </si>
  <si>
    <t>Without any recent news or financial data provided, it is difficult to provide a comprehensive assessment of the investment potential of Quest Diagnostics in the Health Care Services industry. The company's performance and outlook would depend on various factors, including its financial health, competitive positioning, industry trends, and the broader economic conditions.
 The Health Care Services industry has been impacted by the ongoing COVID-19 pandemic, which has affected demand for diagnostic testing and other healthcare services. The industry's outlook may also be influenced by changes in government regulations, reimbursement policies, and consumer preferences.
 Given the lack of specific information about Quest Diagnostics, it is not possible to assign a meaningful investment score at this time. A more thorough analysis would be required, taking into account the latest financial data, management's strategic initiatives, and the company's competitive advantages within the industry.
 Score: N/A</t>
  </si>
  <si>
    <t>Without any recent news or financial data provided, it is difficult to provide a comprehensive assessment of Regency Centers' investment potential in the Retail REITs industry for the next month. The lack of up-to-date information makes it challenging to evaluate the company's current performance, valuation, and the economic factors that may be impacting its outlook.
 Given the limited information available, it would be speculative to assign a specific score reflecting the potential investment value of Regency Centers. The retail real estate sector has faced significant challenges in recent years due to the shift towards e-commerce and the impact of the COVID-19 pandemic on brick-and-mortar stores. However, the industry's performance can vary depending on the specific markets, tenant mix, and management strategies of individual REITs.
 Without access to the latest financial statements, market trends, and industry analysis, a reliable assessment of Regency Centers' investment potential cannot be provided. A more thorough evaluation would require access to the company's recent financial reports, analyst coverage, and an understanding of the broader economic and industry conditions affecting the Retail REITs sector.
 Score: N/A</t>
  </si>
  <si>
    <t>Without any recent news or financial data provided, it is difficult to provide a comprehensive assessment of Revvity's investment potential in the Health Care Equipment industry for the next month. The lack of information makes it challenging to evaluate the company's current performance, financial health, and market positioning.
 Economic Outlook:
 The broader economic conditions, such as the ongoing macroeconomic trends, industry dynamics, and regulatory environment, can significantly impact the performance of companies in the Health Care Equipment sector. However, without specific details about Revvity's operations and market positioning, it is not possible to determine how the company might be affected by the current economic landscape.
 Valuation:
 Without access to Revvity's financial statements and other relevant data, it is not feasible to conduct a thorough valuation analysis. Factors such as the company's revenue, profitability, growth prospects, and competitive positioning would be necessary to assess its intrinsic value and potential investment appeal.
 Conclusion:
 Given the limited information available, it is not possible to provide a reliable investment score for Revvity in the Health Care Equipment industry for the next month. Additional data and insights would be required to make a more informed assessment of the company's investment potential.
 Score: N/A</t>
  </si>
  <si>
    <t>Without any recent news or financial data provided, it is difficult to provide a comprehensive assessment of Rockwell Automation's investment potential in the Electrical Components &amp; Equipment industry for the next month. The lack of up-to-date information makes it challenging to evaluate the company's current performance, market position, and the potential impact of the macroeconomic environment on its operations.
 Economic Outlook:
 The latest macroeconomic data suggests a mixed outlook, with some positive signs in the manufacturing sector balanced by concerns over inflation and the potential for continued interest rate hikes by the Federal Reserve. These factors could have a significant influence on the performance of companies in the Electrical Components &amp; Equipment industry, including Rockwell Automation.
 Valuation:
 Without access to the company's latest financial statements and market data, it is not possible to provide a reliable valuation analysis or determine if Rockwell Automation's shares are currently undervalued or overvalued compared to its peers or the broader market.
 Conclusion:
 Given the limited information available, it is not feasible to assign a meaningful investment score for Rockwell Automation at this time. A more comprehensive analysis would require access to the company's recent financial reports, market performance data, and a deeper understanding of the industry dynamics and macroeconomic trends affecting the firm.
 Score: N/A</t>
  </si>
  <si>
    <t>Without any recent news or financial data provided, it is difficult to provide a comprehensive assessment of the investment potential for SBA Communications, a company in the Telecom Tower REITs industry. 
 The overall economic outlook, including factors such as interest rates, inflation, and consumer spending, can significantly impact the performance of REITs. However, without access to the latest financial statements, valuation metrics, and industry trends, it is not possible to evaluate the specific positioning and prospects of SBA Communications.
 Given the lack of information, it would be imprudent to assign a specific investment score for SBA Communications at this time. A more thorough analysis would be required to determine the potential value of the company's shares in the next month.
 Score: N/A</t>
  </si>
  <si>
    <t>Without any recent news or financial data provided, it is difficult to provide a comprehensive assessment of Schlumberger's investment potential in the Oil &amp; Gas Equipment &amp; Services industry for the next month. The macroeconomic outlook, including factors such as global conflicts, political instability, and the potential impact of new policies, could have significant implications for the industry and the company's performance. However, without access to the latest financial statements, valuation metrics, and other relevant information, a reliable score cannot be determined.
 Score: N/A</t>
  </si>
  <si>
    <t>Without any recent news or financial data provided, it is difficult to provide a comprehensive assessment of Sempra's investment potential in the Multi-Utilities industry for the next month. The lack of up-to-date information makes it challenging to evaluate the company's current performance, financial health, and the potential impact of the macroeconomic environment on its operations.
 Given the limited information available, it would be speculative to assign a specific score reflecting the investment value of Sempra. The company's performance and outlook can be significantly influenced by various factors, including regulatory changes, commodity prices, and the overall economic conditions in the markets it serves.
 Score: N/A</t>
  </si>
  <si>
    <t>Without any recent news or financial data provided, it is difficult to provide a comprehensive assessment of Sherwin-Williams' investment potential in the Specialty Chemicals industry for the next month. The company's performance and outlook would largely depend on the broader economic conditions, industry trends, and any company-specific developments that are not available in the given information.
 Given the lack of concrete data, it would be speculative to assign a specific score reflecting the investment value of Sherwin-Williams at this time. The company's position in the Specialty Chemicals industry, its competitive advantages, and its ability to navigate the current macroeconomic environment are crucial factors that need to be evaluated to determine its investment potential.
 Score: N/A</t>
  </si>
  <si>
    <t>Without any recent news or financial data provided, it is difficult to provide a comprehensive assessment of Skyworks Solutions' investment potential in the Semiconductors industry for the next month. The company's performance and outlook would depend on various factors, including its financial health, market position, product pipeline, and the overall economic and industry conditions.
 The semiconductor industry has been facing challenges due to supply chain disruptions, geopolitical tensions, and macroeconomic uncertainties. However, the long-term growth prospects for the industry remain positive, driven by the increasing demand for advanced technologies, such as 5G, IoT, and artificial intelligence.
 Given the lack of specific information about Skyworks Solutions, it is not possible to assign a reliable score reflecting the potential investment value of the company. A more thorough analysis would be required, taking into account the latest financial reports, market trends, and industry dynamics.
 Score: N/A</t>
  </si>
  <si>
    <t>Without any recent news or financial data provided, it is difficult to provide a comprehensive assessment of Snap-on's investment potential in the Industrial Machinery &amp; Supplies &amp; Components industry for the next month. The lack of current information makes it challenging to evaluate the company's recent performance, financial health, and the potential impact of the macroeconomic environment on its operations.
 Given the limited information available, it would be speculative to assign a specific score reflecting the investment value of Snap-on. The company's performance and outlook can be significantly influenced by various factors, including industry trends, competitive landscape, management decisions, and broader economic conditions, which are not clearly evident without the necessary data.
 Score: N/A</t>
  </si>
  <si>
    <t>Without any recent news or financial data provided, it is difficult to assess the potential investment value of Solventum, a company in the Health Care Technology industry. The macroeconomic outlook for the sector and the broader economy could impact the company's performance, but without specific information about Solventum's operations, financial standing, and competitive positioning, a comprehensive evaluation cannot be made.
 The health care technology industry has seen increased demand and investment in recent years, driven by factors such as the aging population, advancements in medical technology, and the need for more efficient and innovative healthcare solutions. However, the industry also faces challenges, including regulatory hurdles, competition, and the need for continuous innovation.
 Given the lack of information about Solventum, it is not possible to provide a reliable score reflecting the potential investment value of the company. A more thorough analysis would be required, including a review of the company's financial statements, competitive landscape, management team, and growth prospects, as well as the broader economic and industry trends that could affect its performance.
 Score: N/A</t>
  </si>
  <si>
    <t>Without any recent news or financial data provided, it is difficult to provide a comprehensive assessment of Tapestry, Inc.'s investment potential in the Apparel, Accessories &amp; Luxury Goods industry for the next month. The lack of up-to-date information makes it challenging to evaluate the company's current performance, financial health, and market positioning.
 Economic Outlook:
 The overall economic outlook for the Apparel, Accessories &amp; Luxury Goods industry can be influenced by various macroeconomic factors, such as consumer spending, inflation, and global trade dynamics. However, without the necessary data, it is not possible to determine how these factors may specifically impact Tapestry, Inc. in the near term.
 Valuation:
 Without access to the company's latest financial statements and market data, it is not feasible to conduct a thorough valuation analysis to assess the potential investment value of Tapestry, Inc. Key metrics such as price-to-earnings ratio, price-to-book ratio, and other relevant valuation multiples cannot be calculated.
 Overall, the lack of recent news and financial information makes it challenging to provide a comprehensive investment report and assign a meaningful score for Tapestry, Inc. at this time.
 Score: N/A</t>
  </si>
  <si>
    <t>Without any recent news or financial data provided, it is difficult to provide a comprehensive assessment of Teleflex's investment potential in the Health Care Equipment industry for the next month. The lack of up-to-date information makes it challenging to evaluate the company's current performance, financial health, and market positioning.
 Economic Outlook:
 The overall economic outlook for the Health Care Equipment industry is mixed, with factors such as the ongoing COVID-19 pandemic, supply chain disruptions, and changes in healthcare policies potentially impacting the sector's growth and profitability. However, the long-term demand for medical devices and equipment remains strong, driven by an aging population and advancements in healthcare technology.
 Valuation:
 Without access to Teleflex's latest financial statements and market data, it is not possible to accurately determine the company's current valuation or assess its relative attractiveness compared to its peers. Valuation metrics such as price-to-earnings ratio, price-to-book ratio, and enterprise value-to-EBITDA would be necessary to make an informed assessment.
 Conclusion:
 Due to the lack of recent news and financial data, it is not feasible to provide a reliable investment score for Teleflex in the Health Care Equipment industry for the next month. A more comprehensive analysis would require access to the company's latest financial reports, market performance, and industry-specific information to make a well-informed investment recommendation.
 Score: N/A</t>
  </si>
  <si>
    <t>Without any recent news or financial data provided, it is difficult to provide a comprehensive assessment of Textron's investment potential in the Aerospace &amp; Defense industry for the next month. The company's performance and outlook would depend on various factors, including the broader economic conditions, industry trends, and the company's specific operational and financial metrics.
 Given the lack of information, it is not possible to assign a meaningful score reflecting the potential investment value of Textron. A more thorough analysis would require access to the company's latest financial statements, market performance, and any relevant industry or macroeconomic developments that could impact the firm's prospects.
 Score: N/A</t>
  </si>
  <si>
    <t>Without any recent news or financial data provided, it is difficult to provide a comprehensive assessment of Thermo Fisher Scientific's investment potential in the next month. The Life Sciences Tools &amp; Services industry, in which Thermo Fisher operates, is generally considered a defensive sector that can perform well during periods of economic uncertainty. However, the company's specific performance and outlook would depend on factors such as its product pipeline, customer demand, and competitive positioning, which are not available in the current context.
 The broader macroeconomic environment, as described in the provided information, suggests a mixed outlook. While the U.S. economy is showing signs of resilience, there are concerns about the potential impact of new tariffs, geopolitical tensions, and the Federal Reserve's monetary policy decisions. These factors could introduce volatility in the stock market, which may affect the performance of companies like Thermo Fisher Scientific.
 Without access to the latest financial data and news updates, it is not possible to assign a meaningful score reflecting the potential investment value of Thermo Fisher Scientific for the next month. A more comprehensive analysis would require additional information about the company's financial health, growth prospects, and competitive positioning within the industry.
 Score: N/A</t>
  </si>
  <si>
    <t>Without any recent news or financial data provided, it is difficult to provide a comprehensive assessment of the investment potential of TransDigm Group in the Aerospace &amp; Defense industry for the next month. The company's performance and outlook would depend on various factors, including the overall economic conditions, industry trends, and the company's specific operational and financial metrics.
 Given the lack of information, it would be speculative to assign a specific score reflecting the potential investment value of TransDigm Group. The company's position in the industry, its competitive advantages, and its ability to navigate the current macroeconomic environment are crucial considerations that cannot be adequately evaluated without the necessary data.
 Score: N/A</t>
  </si>
  <si>
    <t>Without any recent news or financial data provided, it is difficult to provide a comprehensive assessment of the investment potential for Tyler Technologies in the Application Software industry. The company's performance and outlook would depend on various factors, including its competitive positioning, product pipeline, customer demand, and overall industry trends.
 The Application Software industry has been impacted by macroeconomic conditions, such as the ongoing global conflicts, political instability, and the potential for continued volatility in the stock market. These factors could influence the demand for Tyler Technologies' products and services, as well as investor sentiment towards the company.
 Given the lack of specific information about Tyler Technologies, it is not possible to assign a reliable score reflecting the potential investment value for the next month. A more thorough analysis would be required, taking into account the latest financial data, market trends, and industry dynamics affecting the company.
 Score: N/A</t>
  </si>
  <si>
    <t>Without any recent news or financial data provided, it is difficult to provide a comprehensive assessment of the investment potential of Union Pacific Corporation in the Rail Transportation industry for the next month. The lack of up-to-date information makes it challenging to evaluate the company's current performance, financial health, and the potential impact of the macroeconomic environment on its operations.
 Economic Outlook:
 The macroeconomic conditions, including factors such as inflation, interest rates, and global trade dynamics, can significantly influence the performance of companies in the Rail Transportation industry. However, without the necessary data, it is not possible to determine how these factors may specifically affect Union Pacific Corporation in the near term.
 Valuation:
 Without access to the company's latest financial statements and market data, it is not feasible to conduct a thorough valuation analysis to assess the stock's potential investment value. Key metrics such as price-to-earnings ratio, price-to-book ratio, and dividend yield, which are typically used to evaluate a company's valuation, cannot be calculated.
 Conclusion:
 Due to the lack of recent news and financial information, it is not possible to provide a comprehensive investment report or a reliable score reflecting the potential investment value of Union Pacific Corporation in the Rail Transportation industry for the next month. A more detailed analysis would require access to the company's latest financial data and industry-specific insights.
 Score: N/A</t>
  </si>
  <si>
    <t>Without any recent news or financial data provided, it is difficult to provide a comprehensive assessment of Ventas' investment potential in the Health Care REITs industry for the next month. The lack of current information makes it challenging to evaluate the company's recent performance, financial health, and the potential impact of the macroeconomic environment on its operations.
 Economic Outlook:
 The macroeconomic conditions, including factors such as interest rates, inflation, and overall market sentiment, can significantly influence the performance of Real Estate Investment Trusts (REITs) like Ventas. However, without the latest financial data, it is not possible to determine how the company might be affected by the current economic landscape.
 Valuation:
 Valuation metrics, such as price-to-earnings (P/E) ratio, price-to-book (P/B) ratio, and dividend yield, are typically used to assess the relative attractiveness of a REIT stock. However, without the necessary financial information, a thorough valuation analysis cannot be conducted.
 Conclusion:
 Due to the lack of recent news and financial data, it is not feasible to provide a comprehensive investment report or assign a meaningful score reflecting the potential investment value of Ventas in the Health Care REITs industry for the next month. Additional information would be required to make a more informed assessment.
 Score: N/A</t>
  </si>
  <si>
    <t>Without any recent news or financial data provided, it is difficult to provide a comprehensive assessment of the investment potential of Vici Properties, a company in the Hotel &amp; Resort REITs industry. The lack of information makes it challenging to evaluate the firm's current situation, financial performance, and the economic factors that may be influencing its outlook.
 Economic Outlook:
 The macroeconomic environment, including factors such as interest rates, consumer spending, and the overall performance of the hospitality industry, can significantly impact the performance of Hotel &amp; Resort REITs like Vici Properties. However, without the necessary data, it is not possible to determine how these broader economic conditions may be affecting the company.
 Valuation:
 Valuation metrics, such as price-to-earnings (P/E) ratio, price-to-book (P/B) ratio, and dividend yield, are typically used to assess the relative attractiveness of a stock. However, without the company's financial statements and stock price information, it is not feasible to calculate these valuation measures and evaluate Vici Properties' positioning compared to its peers or the broader market.
 Conclusion:
 Due to the lack of recent news and financial data, it is not possible to provide a comprehensive investment report or assign a meaningful score reflecting the potential investment value of Vici Properties. Additional information would be required to conduct a thorough analysis and make an informed assessment.
 Score: N/A</t>
  </si>
  <si>
    <t>Without any recent news or financial data provided, it is difficult to provide a comprehensive assessment of the investment potential of W. R. Berkley Corporation in the Property &amp; Casualty Insurance industry for the next month. The lack of current information makes it challenging to evaluate the company's performance, valuation, and the economic factors that may be influencing its outlook.
 Given the absence of the necessary data, it would be speculative to assign a specific score reflecting the potential investment value of the company. A more thorough analysis would require access to the latest financial statements, market trends, and industry-specific information to make an informed evaluation.
 Score: N/A</t>
  </si>
  <si>
    <t>Without any recent news or financial data provided, it is difficult to provide a comprehensive assessment of Wabtec's investment potential in the Construction Machinery &amp; Heavy Transportation Equipment industry for the next month. The lack of up-to-date information makes it challenging to evaluate the company's current performance, financial health, and market positioning.
 Given the limited information available, it is not possible to make a well-informed investment recommendation or assign a meaningful score reflecting the potential investment value of Wabtec. The economic outlook and industry dynamics, which could significantly impact the company's prospects, are also unknown.
 In the absence of recent data, any assessment would be speculative and may not accurately reflect the true investment potential of Wabtec. It is recommended to seek out the latest financial reports, news updates, and industry analysis before making an informed investment decision.
 Score: N/A</t>
  </si>
  <si>
    <t>Without any recent news or financial data provided, it is difficult to provide a comprehensive assessment of West Pharmaceutical Services' investment potential. The company operates in the Health Care Supplies industry, which can be impacted by various macroeconomic factors, such as the overall state of the healthcare sector, changes in government regulations, and shifts in consumer demand.
 Economic Outlook:
 The broader economic environment plays a crucial role in the performance of companies in the Health Care Supplies industry. The recent macroeconomic data, including trends in manufacturing, consumer spending, and inflation, can provide valuable insights into the potential challenges or opportunities facing West Pharmaceutical Services.
 Valuation:
 Without access to the company's latest financial statements and market data, it is not possible to accurately evaluate West Pharmaceutical Services' valuation metrics, such as price-to-earnings ratio, price-to-book ratio, or dividend yield. These metrics are essential in determining the stock's relative attractiveness compared to its peers or the broader market.
 Overall, the lack of recent news and financial information makes it challenging to provide a comprehensive investment report and assign a meaningful score for West Pharmaceutical Services. A more thorough analysis would require access to the company's latest financial data, industry trends, and market conditions to make an informed assessment of its investment potential.
 Score: N/A</t>
  </si>
  <si>
    <t>Without any recent news or financial data provided, it is difficult to provide a comprehensive assessment of the investment potential of Williams Companies in the Oil &amp; Gas Storage &amp; Transportation industry for the next month.
 Economic Outlook:
 The macroeconomic environment in 2024 is expected to be challenging, with ongoing global conflicts, political instability, and potential trade tensions. These factors could create volatility and uncertainty in the energy sector, which could impact the performance of companies like Williams Companies.
 Valuation:
 Without access to the latest financial statements and valuation metrics, it is not possible to determine if Williams Companies is currently undervalued or overvalued compared to its peers or the broader industry.
 Overall Outlook:
 Given the lack of recent information, it is not advisable to provide a specific investment recommendation or score for Williams Companies at this time. Investors would need to carefully review the company's latest financial reports, industry trends, and the broader economic outlook before making an informed decision.
 Score: N/A</t>
  </si>
  <si>
    <t>Without any recent news or financial data provided, it is difficult to provide a comprehensive assessment of the investment potential of Willis Towers Watson in the Insurance Brokers industry for the next month. The lack of up-to-date information makes it challenging to evaluate the company's current performance, valuation, and the economic factors that may be influencing its outlook.
 Given the limited information available, it would be speculative to assign a specific score reflecting the potential investment value of the company. The investment decision would require a thorough analysis of the company's financial statements, competitive positioning, industry trends, and the broader macroeconomic conditions that could impact the Insurance Brokers sector.
 Score: N/A</t>
  </si>
  <si>
    <t>Without any recent news or financial data provided, it is difficult to provide a comprehensive assessment of Xcel Energy's investment potential in the Multi-Utilities industry for the next month. The lack of current information makes it challenging to evaluate the company's recent performance, financial health, and the economic factors that may be influencing its outlook.
 Economic Outlook:
 The broader economic conditions, such as interest rates, inflation, and consumer spending, can have a significant impact on the performance of utility companies like Xcel Energy. However, without the latest data, it is not possible to determine how these macroeconomic factors may be affecting the company's prospects in the near term.
 Valuation:
 Without access to Xcel Energy's current financial statements and market data, it is not feasible to assess the company's valuation metrics, such as price-to-earnings ratio, price-to-book ratio, or dividend yield. These valuation measures are crucial in determining the investment value of the company.
 Conclusion:
 Given the absence of recent news and financial information, it is not possible to provide a reliable investment score for Xcel Energy in the Multi-Utilities industry for the next month. A more comprehensive analysis would require access to the company's latest financial reports, industry trends, and economic data to make an informed assessment.
 Score: N/A</t>
  </si>
  <si>
    <t>Recent News:
 The software sector has been a standout performer in the recent market rally, with tech giants like Nvidia continuing to post impressive results. The launch of the new 24 Exchange, which aims to offer 23-hour trading, could also be a significant development for the software industry, providing new opportunities for investors.
 Economic Outlook:
 The overall economic conditions remain favorable for the software sector, with the U.S. manufacturing data and consumer spending showing resilience. The rise of emerging technologies, such as artificial intelligence (AI), is expected to drive demand for software solutions across various industries. However, concerns over inflation and the potential impact of new tariffs could introduce some volatility in the near term.
 Political Challenges:
 The upcoming Trump administration's policy agenda, particularly its stance on trade and technology, could have implications for the software sector. The potential for new tariffs on China and the threat of a TikTok ban in the U.S. could create uncertainty and disrupt the industry's global supply chains.
 Recent Technology Developments:
 The software sector is at the forefront of technological advancements, with AI and other cutting-edge technologies driving innovation and growth. The launch of the 24 Exchange, which aims to offer extended trading hours, could also be a significant development for software companies, providing them with new opportunities to access capital and expand their operations.</t>
  </si>
  <si>
    <t>Recent News:
 The biotechnology sector has been in the spotlight recently due to several significant developments. The International Criminal Court's issuance of arrest warrants against Israeli officials on accusations of war crimes has raised concerns about the potential impact on the pharmaceutical supply chain, as Israel is a major player in the global biotech industry. Additionally, the ceasefire agreement between Israel and Hezbollah has been viewed as a positive step, potentially easing tensions in the region and stabilizing the operating environment for biotech companies.
 Economic Outlook:
 The overall economic outlook for the biotechnology sector remains positive, driven by the continued demand for innovative medical treatments and the industry's resilience in the face of global challenges. The U.S. economy's strength, as evidenced by the strong manufacturing data, suggests a favorable environment for the biotech industry, which is closely tied to the broader economic performance. However, the concerns over inflation and the Federal Reserve's monetary policy decisions could introduce some volatility in the sector.
 Political Challenges:
 The political landscape presents both opportunities and challenges for the biotechnology sector. The new administration's policies, particularly regarding trade and regulatory oversight, will be closely watched by investors. The potential for new tariffs or changes in the regulatory environment could impact the sector's profitability and growth prospects. Additionally, the ongoing geopolitical tensions in various regions, such as the Middle East, could disrupt supply chains and affect the industry's operations.
 Recent Technology Developments:
 The biotechnology sector has been at the forefront of technological advancements, with the rise of emerging technologies like artificial intelligence (AI) and small modular nuclear reactors. These innovations are expected to drive further innovation and efficiency within the industry, potentially enhancing the competitiveness of biotech companies. The launch of the 24 Exchange, which aims to offer extended trading hours, could also provide new opportunities for investors to capitalize on the sector's performance.</t>
  </si>
  <si>
    <t>Recent News:
 The life sciences tools and services sector has seen a mix of positive and challenging developments in recent months. The continued success of companies like Nvidia, a major player in the sector, has been a bright spot, as their advanced AI and computing capabilities are driving innovation in areas like drug discovery and development. However, the sector has also faced headwinds, with the FTC taking a more proactive role in blocking mergers and acquisitions, which could impact the industry's consolidation and growth strategies.
 Economic Outlook:
 The overall economic outlook for the life sciences tools and services sector remains positive, as the demand for advanced technologies and services in the healthcare and pharmaceutical industries is expected to remain strong. The sector has benefited from the increased focus on healthcare and medical research, particularly in the wake of the COVID-19 pandemic. Additionally, the rise of emerging technologies, such as artificial intelligence and small modular nuclear reactors, could present new opportunities for companies in the sector to develop innovative solutions.
 Political Challenges:
 The political landscape, however, presents some challenges for the sector. The potential for new tariffs and trade tensions under the incoming Trump administration could impact the global supply chain and disrupt the industry's operations. Additionally, the ongoing geopolitical conflicts and instability in various regions, such as the Middle East, could also introduce uncertainty and volatility in the market.
 Recent Technology Developments:
 The life sciences tools and services sector has been at the forefront of technological advancements, with companies leveraging AI, automation, and other cutting-edge technologies to drive innovation. The launch of the 24 Exchange, which aims to offer 23-hour trading, could also be a significant development for the industry, as it could provide more opportunities for investors and facilitate the flow of capital.</t>
  </si>
  <si>
    <t>Recent News:
 The aerospace and defense sector has been impacted by the ongoing geopolitical tensions and conflicts around the world. The escalation of the Israel-Hamas war, the Houthi movement's activities in Yemen, and the continued Russian invasion of Ukraine have all contributed to increased military spending and demand for defense equipment. Additionally, the arrest warrants issued by the International Criminal Court against Israeli officials may further heighten tensions in the Middle East, potentially driving more defense-related activity.
 Economic Outlook:
 The aerospace and defense sector is expected to benefit from the increased military spending and demand for defense systems globally. The continuation of major armed conflicts, as well as the potential for new conflicts to arise, is likely to drive governments to allocate more resources to their defense budgets. This could translate into higher revenues and profits for companies in the aerospace and defense industry.
 Political Challenges:
 The political landscape, particularly the election of Donald Trump as the U.S. president, could present both opportunities and challenges for the aerospace and defense sector. While the new administration may be more hawkish on foreign policy and potentially increase defense spending, the potential for trade tensions and tariffs could also impact the global supply chains and operations of aerospace and defense companies.
 Recent Technology Developments:
 The sector has been witnessing advancements in emerging technologies, such as the development of small modular nuclear reactors, which could have applications in the aerospace and defense industry. Additionally, the increasing use of artificial intelligence (AI) and automation in military systems and equipment could drive innovation and efficiency within the sector.</t>
  </si>
  <si>
    <t>Recent News:
 The health care technology sector has seen significant developments in 2024. The launch of a new stock exchange, 24 Exchange, which aims to offer 23-hour trading, could provide new opportunities for investors in this sector. Additionally, the rise of emerging technologies, such as artificial intelligence (AI), is expected to have a significant impact on the health care industry, with AI-powered solutions potentially improving patient outcomes and streamlining medical processes.
 Economic Outlook:
 The health care technology sector is well-positioned to benefit from the overall resilience of the U.S. economy. The manufacturing sector, which includes many health care technology companies, has shown strength, with the ISM manufacturing data beating estimates in November. This suggests continued growth in the industry. Furthermore, the potential for new innovations and advancements in medical technology could drive long-term growth in the sector.
 Political Challenges:
 The political landscape, particularly the new Trump administration, could present some challenges for the health care technology sector. The president-elect's plan to impose new tariffs on China could have implications for the global supply chain, which could impact the availability and cost of medical devices and equipment. Additionally, any changes to healthcare policies or regulations could affect the operating environment for companies in this sector.
 Recent Technology Developments:
 The health care technology sector is at the forefront of emerging technologies, such as AI and small modular nuclear reactors. These advancements could lead to significant improvements in patient care, diagnostic accuracy, and overall efficiency within the industry. Veteran investor Mark Mobius has highlighted the potential for U.S. tech firms with exposure to Asia and those leveraging AI to perform well in 2025, which could benefit the health care technology sector.</t>
  </si>
  <si>
    <t>Recent News:
 The technology hardware, storage, and peripherals sector has been a strong performer in the recent market rally, with companies like Nvidia continuing to see impressive growth. The launch of the new 24 Exchange stock exchange, which aims to offer 23-hour trading, could also be a significant development for the sector, providing new opportunities for investors.
 Economic Outlook:
 The overall economic outlook for the technology hardware, storage, and peripherals sector remains positive, driven by the continued demand for advanced technologies and the rise of emerging trends like artificial intelligence (AI) and small modular nuclear reactors. The resilience of the U.S. manufacturing sector, as evidenced by the strong ISM manufacturing data, is also a positive sign for the industry.
 Political Challenges:
 However, the potential impact of new tariffs imposed by the incoming Trump administration could pose a challenge for the sector, as it may disrupt global supply chains and increase costs for manufacturers. Additionally, the ongoing geopolitical tensions in various regions, such as the Middle East, could also introduce volatility and uncertainty in the market.
 Recent Technology Developments:
 The sector is also benefiting from the rise of emerging technologies, such as AI and small modular nuclear reactors. Veteran investor Mark Mobius believes that U.S. tech firms with exposure to Asia and those leveraging AI are well-positioned to perform well in 2025, which could bode well for the technology hardware, storage, and peripherals industry.</t>
  </si>
  <si>
    <t>Recent News:
 The semiconductor industry has been a standout performer in the U.S. stock market, with companies like Nvidia continuing to post impressive results. The latest macroeconomic data suggests that the manufacturing sector remains strong, which is a positive sign for semiconductor demand. However, the potential for new tariffs imposed by the incoming Trump administration could pose a challenge for the industry, as it relies heavily on global supply chains.
 Economic Outlook:
 The semiconductor industry is well-positioned to benefit from the ongoing digital transformation and the increasing adoption of emerging technologies, such as artificial intelligence and small modular nuclear reactors. The strong performance of the tech-heavy Nasdaq index is a testament to the sector's resilience. Additionally, the launch of the 24 Exchange, which aims to offer 23-hour trading, could provide new opportunities for semiconductor companies to access capital and expand their operations.
 Political Challenges:
 The potential for new tariffs and trade tensions between the U.S. and its trading partners, particularly China, could create headwinds for the semiconductor industry. The industry's reliance on global supply chains means that any disruptions or policy changes could have a significant impact on its performance. Additionally, the ongoing geopolitical conflicts in various regions, such as the Middle East, could also introduce volatility and uncertainty into the market.
 Recent Technology Developments:
 The semiconductor industry is at the forefront of technological innovation, with companies like Nvidia leading the way in areas like AI and high-performance computing. The rise of small modular nuclear reactors could also present new opportunities for semiconductor manufacturers, as these advanced nuclear technologies require specialized components and systems. The industry's ability to adapt and capitalize on these emerging trends will be crucial for its long-term success.</t>
  </si>
  <si>
    <t>Recent News:
 The IT services sector has been a strong performer in the recent market rally, with companies like Nvidia continuing to post impressive results. The launch of the new 24 Exchange, which aims to offer 23-hour trading, could also be a significant development for the industry, providing new opportunities for IT service providers to leverage emerging technologies.
 Economic Outlook:
 The overall economic outlook for the IT services sector remains positive, as the U.S. economy shows signs of resilience, with key indicators like the ISM manufacturing data beating estimates. The continued strength in the manufacturing sector and the potential for further technological advancements could drive demand for IT services. However, concerns over inflation and the impact of the new tariff threat from President-elect Trump may introduce some volatility in the near term.
 Political Challenges:
 The upcoming Trump administration's policy agenda, particularly its stance on trade, could have significant implications for the IT services sector. The potential for new tariffs on China and other trading partners could disrupt global supply chains and impact the operations of IT service providers. Additionally, the geopolitical tensions in various regions, such as the Middle East, could also introduce uncertainty and affect the sector's performance.
 Recent Technology Developments:
 The rise of emerging technologies, such as artificial intelligence (AI) and small modular nuclear reactors, presents opportunities for IT service providers to develop innovative solutions and expand their service offerings. Veteran investor Mark Mobius believes that U.S. tech firms with exposure to Asia and those leveraging AI are well-positioned to perform well in 2025, which could benefit the IT services sector.</t>
  </si>
  <si>
    <t>Recent News:
 The industrial real estate sector has been a standout performer in 2024, with the ongoing supply chain disruptions and the need for more warehouse and logistics space driving strong demand. Major industrial REITs like Prologis and Duke Realty have reported robust leasing activity and occupancy rates, indicating the sector's resilience.
 Economic Outlook:
 The continued growth in e-commerce and the need for efficient distribution networks are expected to sustain the demand for industrial real estate. Additionally, the reshoring of manufacturing and the shift towards just-in-time inventory management are likely to further boost the sector's prospects. However, rising interest rates and the potential for a slowdown in economic growth could pose challenges.
 Political Challenges:
 The new administration's trade policies, particularly the threat of new tariffs, could impact the industrial sector's performance. Any escalation of trade tensions or disruptions to global supply chains could negatively affect the demand for industrial real estate. Additionally, the ongoing geopolitical conflicts in various regions may contribute to market volatility.
 Recent Technology Developments:
 The industrial real estate sector is embracing technological advancements to enhance efficiency and sustainability. Investments in automation, robotics, and data analytics are helping industrial REITs optimize their operations and improve their environmental footprint. The launch of the 24 Exchange, which aims to offer 23-hour trading, could also provide new opportunities for investors in the industrial REIT space.</t>
  </si>
  <si>
    <t>Recent News:
 The health care equipment and supplies sector has seen mixed news in recent months. On a positive note, the FDA has approved several new medical devices, including a groundbreaking artificial pancreas system and a novel surgical robot. However, the sector has also faced challenges, with some major manufacturers reporting supply chain disruptions and labor shortages, which have impacted their production and profitability.
 Economic Outlook:
 The long-term outlook for the health care equipment and supplies sector remains positive, driven by the aging global population, the increasing prevalence of chronic diseases, and the ongoing technological advancements in the industry. The sector is expected to benefit from the rising demand for innovative medical devices, diagnostic tools, and personal protective equipment, particularly in emerging markets. However, the sector may face near-term headwinds, such as continued supply chain issues and inflationary pressures, which could impact profit margins.
 Political Challenges:
 The health care sector is subject to extensive regulation, and changes in government policies and reimbursement rates can significantly impact the industry. The upcoming U.S. presidential administration's stance on healthcare policy, including potential changes to the Affordable Care Act, could have implications for the sector. Additionally, ongoing geopolitical tensions and trade disputes may disrupt global supply chains, which could affect the availability and pricing of medical equipment and supplies.
 Recent Technology Developments:
 The health care equipment and supplies sector has been at the forefront of technological innovation, with advancements in areas such as robotics, artificial intelligence, and digital health solutions. The recent approval of the artificial pancreas system and the launch of new surgical robots demonstrate the industry's commitment to developing cutting-edge technologies that can improve patient outcomes and streamline healthcare delivery.</t>
  </si>
  <si>
    <t>Recent News:
 The latest developments in the interactive media and services sector include the potential TikTok ban in the U.S. and the proactive role of the FTC under Lina Khan, who has been blocking mergers and acquisitions. These regulatory changes could have a significant impact on the competitive landscape and growth prospects of companies in this sector.
 Economic Outlook:
 The overall economic outlook for the interactive media and services sector appears positive, as the U.S. economy is showing signs of resilience, with key indicators like the ISM manufacturing data beating estimates. The continued success of companies like Nvidia, a major player in this sector, also suggests strong performance potential. However, concerns over inflation and the potential impact of new tariffs could introduce volatility in the near future.
 Political Challenges:
 The upcoming Trump administration's policy agenda, particularly the plan to impose new tariffs on China, could have significant implications for the global economy and the interactive media and services sector. Additionally, the potential for political instability and conflicts in various regions, such as the Middle East, could also impact the market and investor sentiment.
 Recent Technology Developments:
 The rise of emerging technologies, such as artificial intelligence (AI), could present opportunities for companies in the interactive media and services sector. The launch of a new stock exchange, 24 Exchange, which aims to offer 23-hour trading, could also be a significant development that could benefit the sector.</t>
  </si>
  <si>
    <t>Recent News:
 The diversified telecommunication services sector has faced a mixed landscape in 2024. While the industry has benefited from the continued growth in data usage and demand for high-speed internet, it has also grappled with the political and regulatory challenges posed by the new administration. The potential TikTok ban and the FTC's proactive role in blocking mergers and acquisitions have created uncertainty for some players in the sector.
 Economic Outlook:
 The overall economic conditions remain favorable for the diversified telecommunication services sector. The resilience of the U.S. manufacturing sector and the continued strength in consumer spending suggest that the demand for telecommunication services is likely to remain robust. However, the concerns over inflation and the potential for further interest rate hikes by the Federal Reserve could put pressure on profit margins and capital expenditures.
 Political Challenges:
 The new administration's policy agenda, particularly the threat of new tariffs and the potential TikTok ban, poses a significant challenge for the diversified telecommunication services sector. The industry's reliance on global supply chains and its exposure to international markets make it vulnerable to trade tensions and geopolitical risks. Additionally, the ongoing conflicts and instability in various regions, such as the Middle East, could disrupt global communication networks and impact the sector's performance.
 Recent Technology Developments:
 The diversified telecommunication services sector has been at the forefront of technological advancements, with the continued rollout of 5G networks and the emergence of new technologies like small modular nuclear reactors. These developments could provide opportunities for companies in the sector to enhance their service offerings and improve their operational efficiency. The launch of the 24 Exchange, which aims to offer 23-hour trading, could also be a significant innovation that could benefit the industry.</t>
  </si>
  <si>
    <t>Recent News:
 The wireless telecommunication services sector has been impacted by the ongoing geopolitical tensions and political instability in various regions. The arrest warrants issued by the International Criminal Court against Israeli leaders have raised concerns about potential disruptions to communication networks in the Middle East. Additionally, the terrorist attack in Peshawar, Pakistan, has highlighted the vulnerability of infrastructure in the region.
 Economic Outlook:
 Despite these challenges, the overall economic outlook for the wireless telecommunication services sector remains relatively positive. The U.S. economy's resilience, as evidenced by the strong manufacturing data, suggests continued demand for wireless services. Furthermore, the launch of the new stock exchange, 24 Exchange, which aims to offer 23-hour trading, could provide new opportunities for investors in the sector.
 Political Challenges:
 The potential policy changes under the new Trump administration, including the threat of new tariffs, could introduce uncertainty and volatility in the sector. Additionally, the ongoing conflicts and instability in various regions may disrupt communication networks and impact the operations of wireless service providers.
 Recent Technology Developments:
 The rise of emerging technologies, such as artificial intelligence (AI), could present opportunities for wireless telecommunication companies to enhance their services and improve operational efficiency. The potential development of small modular nuclear reactors could also have implications for the sector's energy infrastructure and sustainability.</t>
  </si>
  <si>
    <t>Recent News:
 The gas utilities sector has been impacted by the ongoing geopolitical tensions and conflicts around the world. The escalation of the Israel-Hamas war and the Houthi movement's increased activity in Yemen have contributed to a crisis in the Red Sea, which has disrupted global shipping and energy supply chains. This has led to concerns about the potential impact on the availability and pricing of natural gas, a key fuel source for the gas utilities industry.
 Economic Outlook:
 Despite these challenges, the overall economic outlook for the gas utilities sector remains relatively stable. The U.S. economy is showing signs of resilience, with the manufacturing sector continuing to perform well. However, the recent comments from the Fed Governor regarding the potential stalling of progress on inflation could lead to further interest rate hikes, which could impact the cost of capital for gas utilities companies.
 Political Challenges:
 The upcoming Trump administration's plan to impose new tariffs on China and potentially on European goods could have significant implications for the global economy and the gas utilities sector. Additionally, the potential for political instability and conflicts in various regions, such as the Middle East, could also impact the sector's operations and profitability.
 Recent Technology Developments:
 The rise of emerging technologies, such as small modular nuclear reactors, could present opportunities for gas utilities companies to diversify their energy sources and potentially reduce their reliance on natural gas. The launch of the new stock exchange, 24 Exchange, which aims to offer 23-hour trading, could also provide new avenues for gas utilities companies to access capital markets and potentially improve their financial performance.</t>
  </si>
  <si>
    <t>Recent News:
 The multi-utilities sector has been impacted by the ongoing geopolitical tensions and economic uncertainties in 2024. The collapse of the German governing coalition and the arrest warrants issued by the International Criminal Court against Israeli officials have contributed to market volatility. Additionally, the terrorist attack in Peshawar, Pakistan, and the escalation of the conflict in Syria have raised concerns about the potential disruption to global energy supply and infrastructure.
 Economic Outlook:
 Despite the macroeconomic challenges, the multi-utilities sector has shown resilience, with the U.S. manufacturing sector continuing to perform well. The strong ISM manufacturing data in November suggests that the demand for utilities services remains robust. However, the concerns over inflation and the potential for further interest rate hikes by the Federal Reserve could put pressure on the sector's profitability.
 Political Challenges:
 The new administration in the United States, led by President-elect Trump, has proposed the imposition of new tariffs on China, which could have ripple effects on the global economy and the multi-utilities sector. Additionally, the ongoing conflicts in various regions, such as the Middle East, could lead to disruptions in energy supply and infrastructure, further impacting the sector's performance.
 Recent Technology Developments:
 The emergence of new technologies, such as small modular nuclear reactors, could present opportunities for the multi-utilities sector to diversify its energy generation portfolio and improve efficiency. The launch of the 24 Exchange, which aims to offer 23-hour trading, could also provide new avenues for the sector to access capital and manage its operations more effectively.</t>
  </si>
  <si>
    <t>Recent News:
 The entertainment sector has faced a mixed landscape in 2024. While the U.S. economy has shown resilience, with the Dow Jones and S&amp;P 500 reaching record highs, the political instability and geopolitical tensions have created some uncertainty. The collapse of the German governing coalition and the ongoing conflicts in the Middle East have the potential to impact consumer sentiment and spending on entertainment.
 Economic Outlook:
 The strong performance of the U.S. manufacturing sector and the continued growth in consumer spending suggest a favorable economic environment for the entertainment industry. However, the concerns over inflation and the potential for further interest rate hikes by the Federal Reserve could put pressure on discretionary spending, which could affect the sector's performance.
 Political Challenges:
 The election of Donald Trump as the U.S. president for a non-consecutive second term has raised questions about the administration's policy agenda and its impact on the entertainment industry. The potential for new trade policies, such as the threat of additional tariffs, could disrupt the global supply chains and distribution channels for entertainment companies.
 Recent Technology Developments:
 The launch of the 24 Exchange, which aims to offer 23-hour trading, could present opportunities for entertainment companies to explore new financing and investment options. Additionally, the rise of emerging technologies, such as artificial intelligence (AI), could enable entertainment companies to enhance their content creation, distribution, and personalization capabilities, potentially driving growth in the sector.</t>
  </si>
  <si>
    <t>Recent News:
 The electric utilities sector has been impacted by the ongoing geopolitical tensions and natural disasters across the United States. The recent hurricanes and tornado outbreaks have caused significant damage to power infrastructure, leading to widespread outages and disruptions. Additionally, the potential TikTok ban in the U.S. could have ripple effects on the energy consumption patterns of the younger demographic, which could influence the demand for electricity.
 Economic Outlook:
 Despite the challenges, the electric utilities sector is expected to maintain its resilience. The strong consumer spending and the continued growth in the manufacturing sector suggest a stable demand for electricity. Furthermore, the sector's essential nature and regulated nature provide a degree of stability, as utilities are typically able to pass on increased costs to consumers.
 Political Challenges:
 The new administration's policy agenda, particularly its stance on energy and environmental regulations, could have a significant impact on the electric utilities sector. The potential for increased scrutiny and stricter regulations, such as the FTC's proactive role in blocking mergers and acquisitions, may create uncertainty and challenges for the industry.
 Recent Technology Developments:
 The emergence of new technologies, such as small modular nuclear reactors, could present opportunities for the electric utilities sector. These advanced nuclear technologies could provide a clean and reliable source of electricity, potentially reducing the sector's reliance on fossil fuels and contributing to its long-term sustainability.</t>
  </si>
  <si>
    <t>Recent News:
 The automobile sector has faced a mixed landscape in 2024. While the U.S. economy has shown resilience, with strong manufacturing data, the potential impact of new tariffs imposed by the incoming Trump administration remains a concern. The sector has also been impacted by the ongoing geopolitical tensions, particularly the conflict in the Middle East, which has disrupted global supply chains.
 Economic Outlook:
 The automobile industry has benefited from the overall strength of the U.S. economy, with consumer spending remaining robust. However, the threat of new tariffs and the potential for further trade tensions could weigh on the sector's performance. Additionally, the rising interest rates from the Federal Reserve may impact consumer demand for new vehicles.
 Political Challenges:
 The incoming Trump administration's trade policies, particularly the threat of new tariffs, pose a significant challenge for the automobile sector. The industry relies heavily on global supply chains, and any disruptions or increased costs could negatively impact profitability. Additionally, the geopolitical tensions in various regions, such as the Middle East, could further disrupt supply chains and affect the sector's operations.
 Recent Technology Developments:
 The automobile industry has been at the forefront of technological advancements, with a focus on electric vehicles, autonomous driving, and connected car technologies. The continued investment and innovation in these areas could provide opportunities for growth and differentiation within the sector.</t>
  </si>
  <si>
    <t>Recent News:
 The automobile components sector has faced a mixed landscape in 2024. While the U.S. economy has shown resilience, with strong manufacturing data, the potential impact of new tariffs imposed by the Trump administration remains a concern. The sector has also been impacted by the ongoing geopolitical tensions, particularly the escalation of conflicts in the Middle East, which could disrupt global supply chains.
 Economic Outlook:
 The overall economic outlook for the automobile components sector is cautiously optimistic. The continued strength in the U.S. manufacturing sector and consumer spending suggest potential growth opportunities. However, the threat of new tariffs and the potential for further supply chain disruptions due to global conflicts could pose challenges to the sector's profitability.
 Political Challenges:
 The new Trump administration's trade policies, particularly the threat of additional tariffs, present a significant political challenge for the automobile components sector. The sector's reliance on global supply chains means that any escalation of trade tensions could have a direct impact on costs and profitability. Additionally, the ongoing geopolitical conflicts in regions like the Middle East could further disrupt supply chains and impact the sector's operations.
 Recent Technology Developments:
 The automobile components sector has been actively embracing emerging technologies, such as the development of advanced driver-assistance systems (ADAS) and the integration of electric vehicle components. These technological advancements could provide growth opportunities for companies in the sector that are able to adapt and innovate.</t>
  </si>
  <si>
    <t>Recent News:
 The transportation infrastructure sector has been impacted by the ongoing geopolitical tensions and natural disasters across the globe. The collapse of the German governing coalition and the escalating conflict in the Middle East have raised concerns about potential disruptions to global supply chains and logistics. Additionally, the severe weather events, such as hurricanes and tornado outbreaks in the U.S., have damaged critical transportation infrastructure, leading to delays and increased maintenance costs.
 Economic Outlook:
 Despite these challenges, the transportation infrastructure sector is expected to benefit from the resilience of the U.S. economy, as indicated by the strong manufacturing data and consumer spending. The potential for new infrastructure investment under the Trump administration's policy agenda could also provide a boost to the sector. However, the threat of new tariffs and the continued uncertainty around the Fed's monetary policy decisions may introduce volatility in the near term.
 Political Challenges:
 The political landscape, both domestically and globally, presents significant challenges for the transportation infrastructure sector. The Trump administration's trade policies, particularly the threat of new tariffs, could disrupt global supply chains and impact the movement of goods. Additionally, the ongoing conflicts and instability in various regions, such as the Middle East, could lead to disruptions in transportation networks and increased security concerns.
 Recent Technology Developments:
 The transportation infrastructure sector is also witnessing the emergence of new technologies that could shape its future. The launch of the 24 Exchange, which aims to offer 23-hour trading, could introduce new opportunities for investors to capitalize on market trends and volatility. Additionally, the rise of technologies like artificial intelligence and small modular nuclear reactors could potentially enhance the efficiency and sustainability of transportation infrastructure.</t>
  </si>
  <si>
    <t>Recent News:
 The ground transportation sector has faced a mixed landscape in 2024. While the U.S. economy has shown resilience, with strong manufacturing data, the potential for new tariffs and continued geopolitical tensions have introduced volatility. The collapse of the German governing coalition and the arrest warrants issued by the International Criminal Court against Israeli leaders have also contributed to global market uncertainty, which could impact the ground transportation industry.
 Economic Outlook:
 The U.S. economy's overall performance, with indicators like the ISM manufacturing data beating estimates, suggests continued strength in the manufacturing sector. This could benefit the ground transportation industry, as demand for logistics and freight services may remain robust. However, the concerns over inflation and the Fed's potential for further rate hikes could put pressure on profit margins for transportation companies.
 Political Challenges:
 The upcoming Trump administration's trade policies, particularly the threat of new tariffs, could pose significant challenges for the ground transportation sector. Increased trade barriers and geopolitical tensions could disrupt supply chains and impact the movement of goods, potentially affecting the profitability of transportation companies. Additionally, the political instability in regions like the Middle East could lead to disruptions in global trade, further impacting the ground transportation industry.
 Recent Technology Developments:
 The ground transportation sector has been embracing technological advancements, such as the development of autonomous vehicles and the implementation of AI-powered logistics solutions. These innovations could enhance efficiency, reduce costs, and improve the overall competitiveness of transportation companies. The launch of the 24 Exchange, which aims to offer 23-hour trading, could also provide new opportunities for investors in the ground transportation sector.</t>
  </si>
  <si>
    <t>Recent News:
 The recent geopolitical tensions and conflicts around the world, particularly the escalation of the Israel-Hamas war and the Houthi movement's increased activity in Yemen, have contributed to a crisis in the Red Sea. This has impacted global shipping, raising concerns about the stability and security of maritime trade routes. Additionally, the collapse of the German governing coalition and the potential for political instability in a major European economy could also affect investor sentiment and the global stock market.
 Economic Outlook:
 The marine transportation sector is closely tied to global trade and economic activity. The resilience of the U.S. manufacturing sector, as indicated by the strong ISM manufacturing data, suggests continued demand for shipping services. However, the potential for new tariffs imposed by the incoming Trump administration and the ongoing inflation concerns could introduce volatility and uncertainty in the sector.
 Political Challenges:
 The geopolitical tensions and conflicts in various regions, such as the Middle East and Africa, pose significant challenges for the marine transportation industry. Disruptions to shipping routes, increased security risks, and potential trade barriers could negatively impact the sector's performance. Additionally, the political landscape in the U.S. and the policies of the new administration may have far-reaching consequences for global trade and the marine transportation industry.
 Recent Technology Developments:
 The marine transportation sector has been exploring the potential of emerging technologies, such as the development of small modular nuclear reactors. These advanced nuclear power solutions could provide a more sustainable and efficient means of powering ships, potentially reducing the industry's environmental impact and operating costs. The launch of the 24 Exchange, which aims to offer 23-hour trading, could also introduce new opportunities for investors in the marine transportation sector.</t>
  </si>
  <si>
    <t>Recent News:
 The air freight and logistics sector has faced a mixed landscape in 2024. While the global economy has shown signs of resilience, with the U.S. manufacturing sector performing well, the sector has also grappled with the impact of geopolitical tensions and natural disasters. The collapse of the German governing coalition and the escalation of conflicts in the Middle East and Syria have contributed to market volatility, which could affect the demand for air freight services.
 Economic Outlook:
 The overall economic outlook for the air freight and logistics sector remains cautiously optimistic. The continued strength in the U.S. manufacturing sector and the potential for increased global trade, if the new U.S. administration can navigate trade tensions effectively, could drive demand for air freight services. However, the risk of further interest rate hikes by the Federal Reserve to combat persistent inflation may weigh on the sector's performance.
 Political Challenges:
 The political landscape poses significant challenges for the air freight and logistics sector. The new U.S. administration's trade policies, including the potential for new tariffs, could disrupt global supply chains and impact the demand for air freight services. Additionally, the ongoing conflicts in various regions, such as the Middle East and Africa, could lead to supply chain disruptions and affect the sector's operations.
 Recent Technology Developments:
 The air freight and logistics sector has been embracing technological advancements to improve efficiency and reduce costs. The launch of the 24 Exchange, which aims to offer 23-hour trading, could provide new opportunities for the sector to optimize its operations and respond to market changes more quickly. Additionally, the rise of emerging technologies, such as artificial intelligence and small modular nuclear reactors, may enable the sector to enhance its logistics and transportation capabilities.</t>
  </si>
  <si>
    <t>Recent News:
 The machinery sector has been impacted by the ongoing geopolitical tensions and economic uncertainties. The recent announcement of new tariffs by the Trump administration has raised concerns about potential trade disruptions, which could affect the supply chains and profitability of machinery manufacturers. Additionally, the political instability in Germany, a major European economy, may also have ripple effects on the global machinery market.
 Economic Outlook:
 Despite these challenges, the overall economic outlook for the machinery sector remains cautiously optimistic. The resilience of the U.S. manufacturing sector, as evidenced by the strong ISM manufacturing data, suggests continued demand for machinery products. However, the concerns over inflation and the potential for further interest rate hikes by the Federal Reserve could put pressure on profit margins and investment in the sector.
 Political Challenges:
 The political landscape, both domestically and globally, presents significant challenges for the machinery sector. The new tariffs proposed by the Trump administration, as well as the potential for further trade tensions, could disrupt supply chains and increase costs for machinery manufacturers. Additionally, the ongoing conflicts and instability in various regions, such as the Middle East, could impact the global demand for machinery products.
 Recent Technology Developments:
 The machinery sector has been embracing technological advancements, such as the integration of artificial intelligence (AI) and the development of small modular nuclear reactors. These innovations could provide opportunities for machinery companies to enhance their efficiency, productivity, and competitiveness in the market. The launch of the 24 Exchange, which aims to offer 23-hour trading, may also have implications for the machinery sector's access to capital and investment opportunities.</t>
  </si>
  <si>
    <t>Recent News:
 The industrial conglomerates sector has been impacted by the ongoing geopolitical tensions and economic uncertainties. The collapse of the German governing coalition and the arrest warrants issued by the International Criminal Court against Israeli officials have contributed to market volatility. Additionally, the terrorist attack in Peshawar, Pakistan, and the escalation of the conflict in Syria have raised concerns about the potential disruption to global supply chains and trade.
 Economic Outlook:
 Despite these challenges, the U.S. economy is showing signs of resilience, with the manufacturing sector performing well. The ISM manufacturing data has beaten estimates, suggesting continued strength in this industry. However, the concerns over inflation and the potential for further interest rate hikes by the Federal Reserve could weigh on the sector's performance.
 Political Challenges:
 The upcoming Trump administration's trade policies, including the threat of new tariffs, could have significant implications for industrial conglomerates. The potential for increased trade tensions and disruptions to global supply chains could negatively impact the sector's profitability and growth prospects.
 Recent Technology Developments:
 The rise of emerging technologies, such as artificial intelligence (AI) and small modular nuclear reactors, could present opportunities for industrial conglomerates to enhance their operations and competitiveness. Additionally, the launch of the 24 Exchange, which aims to offer 23-hour trading, could provide new avenues for investment and trading in the sector.</t>
  </si>
  <si>
    <t>Recent News:
 The electrical equipment sector has been impacted by the ongoing geopolitical tensions and economic uncertainties in 2024. The collapse of the German governing coalition and the arrest warrants issued by the International Criminal Court against Israeli leaders have contributed to market volatility. Additionally, the terrorist attack in Peshawar, Pakistan, and the escalation of the conflict in Syria have raised concerns about the potential disruption to global supply chains.
 Economic Outlook:
 Despite these challenges, the U.S. economy has shown signs of resilience, with the manufacturing sector performing well. The ISM manufacturing data has beaten estimates, suggesting continued strength in the industry. However, the concerns over inflation and the potential for further interest rate hikes by the Federal Reserve could weigh on the sector's performance.
 Political Challenges:
 The upcoming Trump administration's trade policies, including the threat of new tariffs on China, could have significant implications for the electrical equipment sector. The sector's reliance on global supply chains and international trade makes it vulnerable to any escalation of trade tensions. Additionally, the potential for political instability in various regions, such as the Middle East, could disrupt the sector's operations.
 Recent Technology Developments:
 The rise of emerging technologies, such as artificial intelligence (AI) and small modular nuclear reactors, could present opportunities for the electrical equipment sector. Companies that are able to leverage these technologies and adapt to the changing market landscape may be well-positioned to perform well in the coming years.</t>
  </si>
  <si>
    <t>Recent News:
 The construction and engineering sector has faced a mixed landscape in 2024. While the U.S. economy has shown resilience, with strong manufacturing data, the potential for new tariffs and ongoing geopolitical tensions have introduced uncertainty. The collapse of the German governing coalition and the escalation of conflicts in the Middle East could impact global supply chains and project timelines for major infrastructure developments.
 Economic Outlook:
 The U.S. construction industry has benefited from the country's economic growth, with increased demand for residential and commercial projects. However, the threat of rising interest rates and the potential impact of new tariffs on construction materials could put pressure on profit margins. Additionally, the ongoing labor shortages in the sector may continue to pose challenges.
 Political Challenges:
 The new Trump administration's trade policies, particularly the threat of imposing additional tariffs, could significantly impact the construction and engineering sector. The industry relies heavily on imported materials, and any increase in costs could lead to project delays and reduced profitability. Furthermore, the geopolitical tensions in regions like the Middle East and the potential for continued global conflicts may disrupt supply chains and project timelines.
 Recent Technology Developments:
 The construction and engineering sector has been embracing technological advancements, such as the use of Building Information Modeling (BIM) and the integration of AI-powered project management tools. The launch of the 24 Exchange, which aims to offer 23-hour trading, could also provide new opportunities for the sector to access capital and manage risks more efficiently.</t>
  </si>
  <si>
    <t>Recent News:
 The distribution sector has faced a mixed landscape in 2024. While the U.S. economy has shown resilience, with strong manufacturing data, the potential for new tariffs and continued geopolitical tensions have introduced volatility. The collapse of the German governing coalition and the arrest warrants issued by the ICC against Israeli leaders have added to the uncertainty, potentially impacting global trade and supply chains.
 Economic Outlook:
 The distribution sector's performance is closely tied to the overall economic conditions. The U.S. economy's continued strength, as evidenced by the positive ISM manufacturing data, suggests that demand for distribution services may remain robust. However, the concerns over stalled progress on inflation and the possibility of further interest rate hikes by the Federal Reserve could pose challenges for the sector.
 Political Challenges:
 The upcoming Trump administration's trade policies, particularly the threat of new tariffs, could significantly impact the distribution sector. Increased trade barriers and geopolitical tensions, such as the escalation of conflicts in the Middle East, could disrupt supply chains and increase costs for distributors. The political instability in regions like Germany and the Middle East may also contribute to market volatility.
 Recent Technology Developments:
 The distribution sector has been embracing technological advancements, such as the launch of the 24 Exchange, which aims to offer 23-hour trading. This innovation could provide new opportunities for distributors to optimize their operations and respond more quickly to market changes. Additionally, the rise of emerging technologies like artificial intelligence (AI) may enable distributors to enhance their logistics and inventory management capabilities.</t>
  </si>
  <si>
    <t>Recent News:
 The specialty retail sector has faced a mixed landscape in 2024. While some segments, such as home improvement and outdoor gear, have seen strong demand, others like apparel and electronics have struggled with changing consumer preferences and economic uncertainty. The recent collapse of the German governing coalition and the potential impact of new tariffs imposed by the Trump administration have added to the sector's challenges.
 Economic Outlook:
 The overall economic outlook for the specialty retail sector is cautiously optimistic. The resilience of the U.S. manufacturing sector and continued consumer spending provide a solid foundation. However, concerns over inflation and the Fed's monetary policy decisions could dampen consumer confidence and spending in the near term. Additionally, the potential for further geopolitical tensions and supply chain disruptions may weigh on the sector's performance.
 Political Challenges:
 The new Trump administration's trade policies, including the threat of additional tariffs, pose a significant risk to the specialty retail sector. Many companies in this industry rely on global supply chains and international trade, making them vulnerable to trade disputes. The political instability in Europe, with the collapse of the German governing coalition, could also have ripple effects on the global economy and the specialty retail sector.
 Recent Technology Developments:
 The specialty retail sector has been embracing technological advancements to enhance the customer experience and improve operational efficiency. The launch of the 24 Exchange, which aims to offer 23-hour trading, could provide new opportunities for specialty retailers to optimize their inventory management and respond to changing market conditions more quickly. Additionally, the rise of AI and other emerging technologies may enable retailers to better understand and cater to evolving consumer preferences.</t>
  </si>
  <si>
    <t>Recent News:
 The communications equipment sector has been impacted by the ongoing geopolitical tensions and trade disputes. The threat of new tariffs from the incoming Trump administration has raised concerns about the potential impact on global supply chains and profit margins for major industry players. Additionally, the arrest warrants issued by the International Criminal Court against Israeli leaders have added to the uncertainty in the Middle East, which could disrupt the operations of some communications equipment manufacturers in the region.
 Economic Outlook:
 Despite these challenges, the communications equipment sector is expected to benefit from the continued growth in global data traffic and the increasing demand for advanced networking technologies. The rollout of 5G networks and the rise of emerging technologies like artificial intelligence and small modular nuclear reactors could drive new opportunities for communications equipment providers. However, the potential for market volatility and the impact of policy decisions by the new U.S. administration remain key risks to consider.
 Political Challenges:
 The political landscape, particularly the new Trump administration's trade policies, could pose significant challenges for the communications equipment sector. The threat of new tariffs and the potential for escalating trade tensions with China and other trading partners could disrupt supply chains and increase costs for manufacturers. Additionally, the geopolitical tensions in the Middle East and other regions could impact the operations of companies with a global footprint.
 Recent Technology Developments:
 The communications equipment sector is at the forefront of technological advancements, with the rollout of 5G networks and the increasing adoption of AI-powered solutions. The launch of the 24 Exchange, which aims to offer 23-hour trading, could also be a significant development for the industry, as it could provide new opportunities for real-time trading and market access.</t>
  </si>
  <si>
    <t>Recent News:
 The latest macroeconomic data suggests that the U.S. economy is showing signs of resilience, with the ISM manufacturing data beating estimates in November and reaching the best level since June. This indicates continued strength in the manufacturing sector. However, concerns have been raised that the progress on inflation may have stalled, which could prompt the Federal Reserve to continue its aggressive rate hike cycle. The bond market is also reflecting these inflation worries, with yields rising in response to the new tariff threat from President-elect Trump.
 Economic Outlook:
 The U.S. stock market has been performing well, with the Dow Jones Industrial Average and S&amp;P 500 reaching record highs. The tech-heavy Nasdaq has also been a strong performer, benefiting from the continued success of companies like Nvidia. Sectors like information technology and industrials have been leading the market higher. However, there are concerns that the market may be too focused on the upside and not pricing in enough negative risk, according to some market experts.
 Political Challenges:
 The upcoming Trump administration is a key factor to consider. The president-elect's plan to impose new tariffs on China could have significant implications for the global economy and stock market. While direct taxes on European goods may be less damaging, the broader trade tensions could still weigh on investor sentiment. Additionally, the potential for political instability and conflicts in various regions, such as the Middle East, could also impact the market.
 Recent Technology Developments:
 The rise of emerging technologies, such as artificial intelligence (AI) and small modular nuclear reactors, could present opportunities for investors. Veteran investor Mark Mobius believes that U.S. tech firms with exposure to Asia and those leveraging AI are well-positioned to perform well in 2025. The launch of a new stock exchange, 24 Exchange, which aims to offer 23-hour trading, could also be a significant development in the market.</t>
  </si>
  <si>
    <t>Recent News:
 The leisure products sector has faced a mixed landscape in 2024. While the U.S. economy has shown resilience, with strong manufacturing data, the potential for new tariffs and ongoing geopolitical tensions have introduced volatility. The collapse of the German governing coalition and the arrest warrants issued by the ICC against Israeli leaders have added to the uncertainty, potentially impacting consumer confidence and spending.
 Economic Outlook:
 The sector's performance is closely tied to the overall health of the economy and consumer spending. The positive manufacturing data and continued strength in the U.S. economy suggest that demand for leisure products may remain robust. However, the concerns over inflation and the Fed's monetary policy decisions could weigh on consumer sentiment, potentially dampening the sector's growth.
 Political Challenges:
 The new Trump administration's trade policies, particularly the threat of imposing new tariffs, could pose a significant challenge for the leisure products sector. These tariffs could increase the cost of raw materials and finished goods, putting pressure on profit margins. Additionally, the geopolitical tensions in the Middle East and other regions may impact global supply chains and consumer confidence, further affecting the sector's performance.
 Recent Technology Developments:
 The emergence of new technologies, such as the launch of the 24 Exchange, which aims to offer 23-hour trading, could present opportunities for the leisure products sector. Companies that are able to leverage these innovations and adapt to changing consumer preferences may be better positioned to capitalize on market trends.</t>
  </si>
  <si>
    <t>Recent News:
 The diversified consumer services sector has faced a mixed landscape in 2024. While the U.S. economy has shown resilience, with strong manufacturing data, the potential impact of new tariffs and the Federal Reserve's continued rate hike cycle have raised concerns. Additionally, the political instability in Germany and the ongoing geopolitical tensions in the Middle East and Asia have contributed to market volatility.
 Economic Outlook:
 The U.S. consumer spending remains a bright spot, supporting the diversified consumer services sector. However, the threat of new tariffs and the possibility of a more aggressive monetary policy from the Federal Reserve could dampen consumer confidence and spending in the near term. The sector's performance will likely depend on the ability of companies to navigate these economic challenges.
 Political Challenges:
 The upcoming Trump administration's trade policies, particularly the potential for new tariffs, could have a significant impact on the diversified consumer services sector. Additionally, the ongoing geopolitical conflicts in various regions, such as the Middle East and Asia, may affect consumer sentiment and spending patterns.
 Recent Technology Developments:
 The emergence of new technologies, such as artificial intelligence (AI) and the launch of the 24 Exchange, could present opportunities for companies in the diversified consumer services sector to enhance their operations and customer experiences. However, the sector's ability to adapt and leverage these innovations will be crucial for long-term success.</t>
  </si>
  <si>
    <t>Recent News:
 The healthcare sector has faced a mixed landscape in 2024. While the COVID-19 pandemic has largely subsided, the industry continues to grapple with ongoing challenges. The recent terrorist attack in Peshawar, Pakistan, which targeted a group of Shiite Muslims, has raised concerns about the potential impact on healthcare infrastructure and access to medical services in the region.
 Economic Outlook:
 The healthcare sector's performance has been relatively stable, with the industry benefiting from the aging global population and the continued demand for medical services. However, the sector may face headwinds from the broader macroeconomic environment, including concerns about inflation and the potential impact of the new tariff threat from the incoming Trump administration.
 Political Challenges:
 The political landscape in 2024 presents both opportunities and risks for the healthcare sector. The new administration's policy agenda, particularly regarding healthcare reform and drug pricing, will be closely watched by investors. Additionally, the ongoing geopolitical tensions and conflicts in various regions, such as the Middle East, could disrupt healthcare supply chains and access to medical resources.
 Recent Technology Developments:
 The healthcare industry has been at the forefront of technological advancements, with the continued development of innovative treatments, diagnostic tools, and digital health solutions. The potential launch of a new stock exchange, 24 Exchange, which aims to offer 23-hour trading, could provide additional opportunities for investors in the healthcare sector.</t>
  </si>
  <si>
    <t>Recent News:
 The personal care products sector has seen mixed performance in recent months. While some major players like Procter &amp; Gamble and Unilever have reported solid earnings, the industry has also faced challenges such as supply chain disruptions and inflationary pressures. The ongoing geopolitical tensions and natural disasters in various regions have added to the uncertainty.
 Economic Outlook:
 The global personal care products market is expected to continue its growth trajectory, driven by rising consumer demand, particularly in emerging markets. The increasing focus on personal hygiene and wellness, coupled with the growing middle-class population, is expected to fuel the demand for personal care products. However, the sector may face headwinds from the potential economic slowdown and the impact of high inflation on consumer spending.
 Political Challenges:
 The personal care products sector is susceptible to regulatory changes and policy decisions, both at the national and international levels. For instance, the new administration's stance on trade policies and environmental regulations could have implications for the industry's operations and profitability. Additionally, the ongoing geopolitical conflicts and their impact on global supply chains may pose challenges for companies in the sector.
 Recent Technology Developments:
 The personal care products industry has been embracing technological advancements to enhance product innovation and improve operational efficiency. The increasing adoption of artificial intelligence, data analytics, and e-commerce platforms has enabled companies to better understand consumer preferences and optimize their supply chains. Furthermore, the growing demand for sustainable and eco-friendly products has led to the development of innovative formulations and packaging solutions.</t>
  </si>
  <si>
    <t>Recent News:
 The electronic equipment, instruments, and components sector has been impacted by a mix of positive and negative developments in the recent macroeconomic environment. On the positive side, the continued strength in the U.S. manufacturing sector, as evidenced by the strong ISM manufacturing data, suggests robust demand for industrial and electronic products. Additionally, the success of companies like Nvidia in the tech space has been a boon for the sector. However, the potential for new tariffs imposed by the incoming Trump administration raises concerns about the impact on global trade and supply chains, which could negatively affect the performance of companies in this sector.
 Economic Outlook:
 The overall economic outlook for the electronic equipment, instruments, and components sector appears cautiously optimistic. The resilience of the U.S. manufacturing sector and the continued growth in emerging technologies, such as artificial intelligence, provide a solid foundation for the sector's performance. However, the threat of new tariffs and the potential for increased market volatility due to geopolitical tensions and policy changes could introduce headwinds.
 Political Challenges:
 The incoming Trump administration's trade policies, particularly the threat of new tariffs, pose a significant challenge for the electronic equipment, instruments, and components sector. The potential for escalating trade tensions with China and other trading partners could disrupt global supply chains and increase costs for companies in this sector. Additionally, the political instability and conflicts in various regions, such as the Middle East, could also impact the sector's performance.
 Recent Technology Developments:
 The electronic equipment, instruments, and components sector is poised to benefit from the continued advancements in emerging technologies, such as artificial intelligence and small modular nuclear reactors. The growing demand for these technologies, particularly in the industrial and energy sectors, could create new opportunities for companies in this space. Furthermore, the launch of the new stock exchange, 24 Exchange, which aims to offer 23-hour trading, could also be a significant development for the sector, providing increased trading flexibility and liquidity.</t>
  </si>
  <si>
    <t>Recent News:
 The food products sector has faced some challenges in 2024 due to the ongoing global conflicts and natural disasters. The terrorist attack in Peshawar, Pakistan, has disrupted regional supply chains, while the escalation of the Israel-Hamas war and the Houthi movement's activities in Yemen have impacted global shipping and trade. Additionally, the major natural disasters, such as hurricanes and tornado outbreaks across the U.S., have affected agricultural production and distribution.
 Economic Outlook:
 Despite these headwinds, the overall economic outlook for the food products sector remains cautiously optimistic. The U.S. manufacturing sector has shown resilience, with the ISM manufacturing data beating estimates in November. This suggests that the food processing and packaging industries may continue to perform well. However, the potential for further interest rate hikes by the Federal Reserve to combat inflation could put pressure on profit margins for food producers.
 Political Challenges:
 The new Trump administration's trade policies, including the threat of imposing new tariffs, could pose a significant challenge for the food products sector. Any escalation of trade tensions, particularly with China, could disrupt global supply chains and increase costs for food manufacturers. Additionally, the political instability in regions like the Middle East and Africa may continue to impact the availability and pricing of certain agricultural commodities.
 Recent Technology Developments:
 The food products sector has been exploring the potential of emerging technologies, such as artificial intelligence (AI) and small modular nuclear reactors. AI-powered supply chain optimization and predictive analytics could help food companies improve efficiency and reduce waste. The development of small modular nuclear reactors could also provide a more sustainable and reliable source of energy for food processing facilities, potentially reducing their carbon footprint.</t>
  </si>
  <si>
    <t>Recent News:
 The consumer finance sector has been impacted by the ongoing geopolitical tensions and economic uncertainty. The arrest warrants issued by the International Criminal Court against Israeli leaders have raised concerns about potential disruptions to global trade and financial flows. Additionally, the terrorist attack in Peshawar, Pakistan, and the continued conflicts in the Middle East and Africa have contributed to a climate of instability that could affect consumer confidence and spending.
 Economic Outlook:
 Despite these challenges, the U.S. economy has shown signs of resilience, with the manufacturing sector performing well and the stock market reaching new highs. However, the potential for continued aggressive interest rate hikes by the Federal Reserve to combat inflation could put pressure on consumer finances and borrowing. The launch of the 24 Exchange, which aims to offer 23-hour trading, could also introduce new opportunities and risks for the consumer finance sector.
 Political Challenges:
 The upcoming Trump administration's policy agenda, including the threat of new tariffs, could have significant implications for the consumer finance sector. Increased trade tensions and economic disruptions could lead to a slowdown in consumer spending and credit demand. Additionally, the potential for political instability and conflicts in various regions could further impact consumer confidence and the overall economic environment.
 Recent Technology Developments:
 The rise of emerging technologies, such as artificial intelligence (AI), could present both opportunities and challenges for the consumer finance sector. AI-powered financial services and personalized lending solutions could enhance the customer experience and improve risk management. However, the integration of these new technologies may also require significant investment and adaptation by consumer finance companies.</t>
  </si>
  <si>
    <t>Recent News:
 The capital markets sector has been impacted by a mix of positive and negative developments in the recent macroeconomic and geopolitical landscape. The U.S. stock market has continued its record-breaking run, with the Dow Jones Industrial Average and S&amp;P 500 reaching new highs. This has been driven by the resilience of the manufacturing sector and strong consumer spending. However, concerns over inflation and the potential impact of new tariffs imposed by the incoming Trump administration have introduced some volatility.
 Economic Outlook:
 The overall economic outlook for the capital markets sector remains cautiously optimistic. The U.S. economy is showing signs of strength, with key indicators like the ISM manufacturing data beating estimates. This suggests continued growth in the manufacturing sector, which is a positive for the capital markets. However, the recent comments from the Fed Governor Waller raise concerns that the progress on inflation may have stalled, which could prompt the central bank to maintain its aggressive rate hike cycle. This could put pressure on the bond market and potentially impact the performance of certain capital market segments.
 Political Challenges:
 The upcoming Trump administration and its policy agenda are a key factor to consider for the capital markets sector. The president-elect's plan to impose new tariffs on China could have significant implications for the global economy and stock market. While the direct impact on European goods may be less severe, the broader trade tensions could still weigh on investor sentiment. Additionally, the potential for political instability and conflicts in various regions, such as the Middle East, could also impact the market.
 Recent Technology Developments:
 The capital markets sector is also being shaped by the rise of emerging technologies, such as artificial intelligence (AI) and small modular nuclear reactors. Veteran investor Mark Mobius believes that U.S. tech firms with exposure to Asia and those leveraging AI are well-positioned to perform well in 2025. The launch of a new stock exchange, 24 Exchange, which aims to offer 23-hour trading, could also be a significant development in the market, potentially impacting the capital markets sector.</t>
  </si>
  <si>
    <t>Recent News:
 The pharmaceutical sector has faced a mix of developments in the recent period. The arrest warrants issued by the International Criminal Court against Israeli Prime Minister Benjamin Netanyahu and other officials on accusations of war crimes could have implications for pharmaceutical companies operating in the region. Additionally, the ceasefire agreement between Israel and Hezbollah may help alleviate some of the geopolitical tensions, potentially benefiting the industry.
 Economic Outlook:
 The overall economic outlook for the pharmaceutical sector remains cautiously optimistic. The resilience of the U.S. economy, as evidenced by the strong manufacturing data, suggests a favorable environment for the industry. However, the concerns raised by the Fed Governor regarding the potential stalling of progress on inflation could lead to continued aggressive rate hikes, which may impact the cost of capital and investment decisions for pharmaceutical companies.
 Political Challenges:
 The political landscape, particularly the new Trump administration, could present both opportunities and challenges for the pharmaceutical sector. The president-elect's plan to impose new tariffs on China could disrupt global supply chains and affect the cost of raw materials and finished products. Additionally, the potential for increased scrutiny and regulatory changes under the new administration may create uncertainty for the industry.
 Recent Technology Developments:
 The rise of emerging technologies, such as artificial intelligence (AI), could present significant opportunities for the pharmaceutical sector. AI-powered drug discovery and development processes have the potential to accelerate the pipeline and improve the efficiency of clinical trials. The launch of the 24 Exchange, which aims to offer 23-hour trading, may also provide new avenues for pharmaceutical companies to access capital markets and fund their research and development initiatives.</t>
  </si>
  <si>
    <t>Recent News:
 The financial services sector has been impacted by a mix of positive and negative developments in the recent macroeconomic environment. The U.S. economy has shown resilience, with strong manufacturing data and a continued bull market in the stock market. However, concerns over inflation and the potential impact of new tariffs introduced by the Trump administration have introduced some volatility. Additionally, the collapse of the German governing coalition and the geopolitical tensions in the Middle East and Asia have added to the uncertainty facing the sector.
 Economic Outlook:
 The overall economic outlook for the financial services sector remains cautiously optimistic. The continued strength in the manufacturing sector and the resilience of the U.S. stock market suggest that there are opportunities for growth. However, the potential for further interest rate hikes by the Federal Reserve and the ongoing trade tensions could pose challenges for the sector. The launch of the new 24 Exchange, which aims to offer 23-hour trading, could also present a significant development in the market.
 Political Challenges:
 The upcoming Trump administration and its policy agenda, particularly the threat of new tariffs, could have a significant impact on the financial services sector. The potential for political instability and conflicts in various regions, such as the Middle East, could also weigh on investor sentiment and market performance.
 Recent Technology Developments:
 The rise of emerging technologies, such as artificial intelligence (AI) and small modular nuclear reactors, could present opportunities for the financial services sector. Veteran investor Mark Mobius believes that U.S. tech firms with exposure to Asia and those leveraging AI are well-positioned to perform well in 2025.</t>
  </si>
  <si>
    <t>Recent News:
 The independent power and renewable electricity producers sector has seen mixed performance in recent months. While the overall trend in renewable energy adoption remains positive, the sector has faced some headwinds. The collapse of the German governing coalition and the potential impact of new tariffs imposed by the Trump administration have introduced uncertainty and volatility.
 Economic Outlook:
 The demand for renewable energy is expected to continue growing, driven by the global push for decarbonization and the increasing cost-competitiveness of technologies like solar and wind power. However, the sector may face challenges in the near term due to supply chain disruptions, rising interest rates, and potential policy changes. The ability of companies in this sector to navigate these obstacles will be crucial for their long-term success.
 Political Challenges:
 The new Trump administration's stance on trade and energy policy could pose a significant challenge for the independent power and renewable electricity producers sector. The potential imposition of new tariffs and a shift away from renewable energy incentives could negatively impact the industry's growth prospects. Additionally, the ongoing geopolitical tensions in various regions, such as the Middle East, could also affect the sector's performance.
 Recent Technology Developments:
 The sector has seen advancements in renewable energy technologies, including improvements in solar panel efficiency, the development of more reliable and cost-effective energy storage solutions, and the emergence of small modular nuclear reactors. These technological innovations could help the sector overcome some of the challenges it faces and drive further growth in the long term.</t>
  </si>
  <si>
    <t>Recent News:
 The water utilities sector has faced some challenges in 2024 due to the ongoing geopolitical tensions and natural disasters. The ceasefire agreement between Israel and Hezbollah has helped ease tensions in the Middle East, which could have a positive impact on water infrastructure projects in the region. However, the escalation of the conflict in Syria and the crisis in the Red Sea have raised concerns about potential disruptions to global water supply chains.
 Economic Outlook:
 The water utilities sector is generally considered a defensive investment, as the demand for clean water is relatively inelastic. The sector has historically performed well during economic downturns, as the need for water services remains constant. However, the recent macroeconomic data, such as the resilience of the U.S. manufacturing sector and the concerns over inflation, could impact the sector's growth prospects in the short to medium term.
 Political Challenges:
 The political landscape in 2024 presents both opportunities and challenges for the water utilities sector. The new administration's policy agenda, particularly its stance on infrastructure investment and environmental regulations, could have a significant impact on the sector. Additionally, the ongoing conflicts and instability in various regions, such as the Middle East and Africa, could disrupt water supply and distribution, affecting the sector's performance.
 Recent Technology Developments:
 The water utilities sector has been embracing technological advancements to improve efficiency and sustainability. The development of small modular nuclear reactors, which can be used to power water treatment facilities, could be a game-changer for the industry. Additionally, the increased adoption of AI and data analytics in water management could help utilities optimize their operations and better respond to changing demand patterns.</t>
  </si>
  <si>
    <t>Recent News:
 The residential real estate market has faced some challenges in 2024 due to the ongoing economic and political uncertainties. The U.S. presidential election results have raised concerns about potential policy changes that could impact the housing sector. Additionally, the continued global conflicts and natural disasters have contributed to volatility in the market.
 Economic Outlook:
 Despite these headwinds, the residential REIT sector has shown resilience. The U.S. economy's overall strength, with indicators like the ISM manufacturing data remaining positive, suggests that the housing market may continue to perform well. However, the potential for further interest rate hikes by the Federal Reserve could put pressure on the sector, as higher borrowing costs may affect demand for residential properties.
 Political Challenges:
 The new administration's policies, particularly regarding trade and taxation, could have significant implications for the residential REIT sector. The threat of new tariffs and the potential for increased regulatory scrutiny may create uncertainty and impact the sector's performance. Additionally, the ongoing geopolitical tensions and conflicts in various regions could contribute to market volatility and affect investor sentiment.
 Recent Technology Developments:
 The residential REIT sector has been exploring the integration of emerging technologies, such as smart home automation and data analytics, to enhance the efficiency and management of their properties. These advancements could help REITs optimize their operations and improve their competitiveness in the market.</t>
  </si>
  <si>
    <t>Recent News:
 The health care real estate investment trust (REIT) sector has been facing some challenges in 2024 due to the ongoing geopolitical tensions and economic uncertainty. The arrest warrants issued by the International Criminal Court against Israeli leaders have raised concerns about potential instability in the Middle East, which could impact global investor sentiment. Additionally, the terrorist attack in Peshawar, Pakistan, has added to the sense of volatility in the region.
 Economic Outlook:
 Despite these geopolitical concerns, the overall economic outlook for the health care REIT sector remains relatively positive. The U.S. economy has shown signs of resilience, with the manufacturing sector continuing to perform well. However, the recent comments from the Fed Governor regarding the potential stalling of progress on inflation could lead to further interest rate hikes, which could put pressure on the sector.
 Political Challenges:
 The upcoming Trump administration's policy agenda, including the potential for new tariffs, could also have implications for the health care REIT sector. Investors will be closely monitoring the administration's approach to healthcare and real estate policies, as any significant changes could impact the sector's performance.
 Recent Technology Developments:
 The emergence of new technologies, such as artificial intelligence (AI) and small modular nuclear reactors, could present opportunities for the health care REIT sector. Investors may be interested in REITs that are leveraging these technologies to improve the efficiency and sustainability of their properties.</t>
  </si>
  <si>
    <t>Recent News:
 The energy equipment and services sector has been impacted by the ongoing geopolitical tensions and conflicts around the world. The escalation of the Israel-Hamas war, the Houthi movement's activities in Yemen, and the instability in the Sahel region have all contributed to volatility in the global energy market. Additionally, the potential for new tariffs imposed by the incoming Trump administration could further disrupt the supply chain and impact the profitability of companies in this sector.
 Economic Outlook:
 Despite the macroeconomic challenges, the energy equipment and services sector is expected to benefit from the continued strength in the U.S. manufacturing sector, as indicated by the recent ISM manufacturing data. The demand for energy-related products and services is likely to remain robust, driven by the global need for reliable energy sources. However, the sector may face headwinds from the potential continuation of aggressive interest rate hikes by the Federal Reserve, which could impact the cost of capital and investment decisions.
 Political Challenges:
 The political landscape, both domestically and globally, presents significant challenges for the energy equipment and services sector. The new Trump administration's trade policies, particularly the threat of additional tariffs, could disrupt the supply chain and increase costs for companies in this sector. Additionally, the ongoing conflicts and instability in various regions, such as the Middle East and Africa, could impact the operations and safety of energy infrastructure projects.
 Recent Technology Developments:
 The energy equipment and services sector has been embracing technological advancements, such as the development of small modular nuclear reactors. These innovative technologies could provide new opportunities for companies in the sector to diversify their product offerings and improve their competitive positioning. Additionally, the launch of the 24 Exchange, which aims to offer 23-hour trading, could introduce new trading and investment opportunities for investors in the energy sector.</t>
  </si>
  <si>
    <t>Recent News:
 The oil, gas, and consumable fuels sector has been impacted by the ongoing geopolitical tensions and conflicts around the world. The escalation of the Israel-Hamas war, the Houthi movement's activities in Yemen, and the potential disruption to global shipping in the Red Sea have all contributed to volatility in the energy markets. Additionally, the arrest warrants issued by the International Criminal Court against Israeli leaders may further exacerbate tensions in the Middle East, a key region for oil production and supply.
 Economic Outlook:
 Despite the macroeconomic challenges, the sector has shown some resilience, with the U.S. manufacturing data indicating continued strength in the economy. However, the concerns over inflation and the potential for the Federal Reserve to maintain its aggressive rate hike cycle could weigh on the sector's performance. The bond market's reaction to the new tariff threat from President-elect Trump also suggests that investors are wary of the potential impact on the global economy.
 Political Challenges:
 The upcoming Trump administration's policies, particularly the plan to impose new tariffs on China, could have significant implications for the oil, gas, and consumable fuels sector. The broader trade tensions and geopolitical instability in various regions could also impact the sector's outlook. Investors will need to closely monitor the new administration's approach to energy policy and its impact on the industry.
 Recent Technology Developments:
 The rise of emerging technologies, such as small modular nuclear reactors, could present opportunities for the sector to diversify its energy sources and adapt to the changing energy landscape. Additionally, the launch of the 24 Exchange, which aims to offer 23-hour trading, could potentially improve liquidity and transparency in the energy markets.</t>
  </si>
  <si>
    <t>Recent News:
 The metals and mining sector has faced a mixed landscape in 2024. While the global economy has shown signs of resilience, with the U.S. manufacturing sector performing well, the sector has also grappled with geopolitical tensions and supply chain disruptions. The ongoing conflicts in various regions, such as the escalation of the Israel-Hamas war and the Houthi movement's activities in Yemen, have contributed to volatility in the global shipping and logistics industry, which is crucial for the metals and mining sector.
 Economic Outlook:
 The macroeconomic data suggests that the demand for metals and minerals may remain strong in the near term, driven by the continued strength in the manufacturing sector and the potential infrastructure investments by the new U.S. administration. However, the threat of new tariffs and the potential impact on global trade could pose a risk to the sector's performance.
 Political Challenges:
 The political landscape, particularly the election of Donald Trump as the U.S. president, introduces uncertainty for the metals and mining sector. The new administration's trade policies, such as the potential imposition of new tariffs, could disrupt global supply chains and impact the sector's profitability. Additionally, the geopolitical tensions in various regions, including the Middle East, could further exacerbate supply chain issues and affect the sector's operations.
 Recent Technology Developments:
 The metals and mining sector has been exploring the potential of emerging technologies, such as the use of small modular nuclear reactors (SMRs) to power mining operations and the integration of artificial intelligence (AI) to optimize production and logistics. These technological advancements could enhance the sector's efficiency and sustainability, potentially improving its long-term prospects.</t>
  </si>
  <si>
    <t>Recent News:
 The paper and forest products sector has faced some challenges in 2024 due to the ongoing global conflicts and political instability. The escalation of the Israel-Hamas war and the Houthi movement's increased activity in Yemen have disrupted global shipping, which could impact the supply and distribution of paper and wood products. Additionally, the collapse of the German governing coalition and the potential for further political turmoil in Europe may also affect the sector's performance.
 Economic Outlook:
 Despite these headwinds, the overall economic outlook for the paper and forest products sector remains cautiously optimistic. The U.S. manufacturing sector has shown resilience, with the ISM manufacturing data beating estimates in November. This suggests continued strength in the industrial and construction-related segments, which could benefit the demand for paper and wood products. However, the concerns over inflation and the potential for further interest rate hikes by the Federal Reserve may put pressure on profit margins for companies in this sector.
 Political Challenges:
 The upcoming Trump administration's trade policies, particularly the threat of new tariffs on China, could have a significant impact on the paper and forest products sector. Any escalation of trade tensions or disruptions to global supply chains could negatively affect the industry's performance. Additionally, the geopolitical tensions in the Middle East and the potential for further conflicts in other regions may continue to pose challenges for the sector.
 Recent Technology Developments:
 The paper and forest products sector has been exploring the potential of emerging technologies, such as the development of small modular nuclear reactors. These advanced nuclear power solutions could provide a more sustainable and efficient source of energy for paper mills and other facilities in the industry. Additionally, the increased use of artificial intelligence and data analytics could help companies in this sector optimize their operations and improve their overall efficiency.</t>
  </si>
  <si>
    <t>Recent News:
 The chemical sector has been impacted by the ongoing geopolitical tensions and economic uncertainties. The arrest warrants issued by the International Criminal Court against Israeli leaders have raised concerns about potential disruptions to chemical supply chains in the Middle East. Additionally, the collapse of the German governing coalition and the resulting political instability in Europe could also affect the chemical industry, which relies heavily on trade and cross-border operations.
 Economic Outlook:
 The chemical sector's performance is closely tied to the overall health of the global economy. The resilience of the U.S. manufacturing sector, as evidenced by the strong ISM data, is a positive sign for the chemical industry, which supplies key inputs to various manufacturing processes. However, the potential for continued inflation and the possibility of further interest rate hikes by the Federal Reserve could put pressure on profit margins for chemical companies.
 Political Challenges:
 The new tariff threat from President-elect Trump could have significant implications for the chemical sector, which relies on global supply chains and trade. The escalation of geopolitical tensions in regions like the Middle East and the ongoing conflicts in Syria and Yemen may also disrupt the flow of raw materials and impact the chemical industry's operations.
 Recent Technology Developments:
 The chemical sector is continuously exploring new technologies to improve efficiency, reduce environmental impact, and develop innovative products. The rise of small modular nuclear reactors, for example, could provide a more sustainable energy source for chemical plants, potentially reducing their carbon footprint. Additionally, the increased adoption of AI and automation in chemical manufacturing processes could enhance productivity and cost-effectiveness.</t>
  </si>
  <si>
    <t>Recent News:
 The construction materials sector has faced some challenges in 2024 due to the ongoing geopolitical tensions and natural disasters. The collapse of the German governing coalition and the escalation of conflicts in the Middle East have contributed to market volatility, as these events can impact the supply and demand dynamics for construction materials. Additionally, the series of major hurricanes and tornado outbreaks across the U.S. have disrupted production and distribution, further adding to the sector's woes.
 Economic Outlook:
 Despite these headwinds, the overall economic outlook for the construction materials sector remains cautiously optimistic. The resilience of the U.S. manufacturing sector, as evidenced by the strong ISM manufacturing data, suggests that the demand for construction materials may remain relatively stable. However, the potential for continued inflation and the possibility of further interest rate hikes by the Federal Reserve could put pressure on profit margins for companies in this sector.
 Political Challenges:
 The new Trump administration's trade policies, particularly the threat of imposing new tariffs, could have a significant impact on the construction materials sector. The sector is heavily reliant on global supply chains, and any disruptions or additional trade barriers could lead to higher costs and reduced profitability. Additionally, the ongoing geopolitical conflicts in various regions may continue to create uncertainty and volatility in the market.
 Recent Technology Developments:
 The construction materials sector has been gradually adopting new technologies, such as the use of advanced materials and automation in production processes. The emergence of small modular nuclear reactors could also present opportunities for the sector, as these technologies may provide more efficient and sustainable energy solutions for manufacturing facilities. However, the pace of technological adoption and innovation in this sector has been relatively slow compared to other industries.</t>
  </si>
  <si>
    <t>Recent News:
 The containers and packaging sector has been impacted by the ongoing geopolitical tensions and economic uncertainties. The collapse of the German governing coalition and the arrest warrants issued by the International Criminal Court against Israeli officials have contributed to market volatility. Additionally, the terrorist attack in Peshawar, Pakistan, and the escalation of the conflict in Syria have raised concerns about global supply chain disruptions.
 Economic Outlook:
 Despite the macroeconomic challenges, the U.S. economy has shown signs of resilience, with the manufacturing sector performing well. However, the potential for continued inflation and the Federal Reserve's aggressive rate hike cycle could pose risks to the overall economic outlook. The sector's performance may be influenced by the ability of companies to navigate supply chain issues and manage input costs effectively.
 Political Challenges:
 The upcoming Trump administration's trade policies, particularly the threat of new tariffs, could have significant implications for the containers and packaging sector. The potential for increased trade tensions and geopolitical conflicts in various regions may also impact the sector's operations and profitability.
 Recent Technology Developments:
 The sector has been exploring the use of emerging technologies, such as artificial intelligence and automation, to improve efficiency and reduce costs. The launch of the 24 Exchange, which aims to offer 23-hour trading, could also provide new opportunities for investors in the containers and packaging industry.</t>
  </si>
  <si>
    <t>Recent News:
 The real estate investment trust (REIT) sector has faced a mixed performance in 2024 due to the ongoing macroeconomic and geopolitical challenges. While some REITs have benefited from the continued strength in the U.S. housing market, others have struggled with the impact of rising interest rates and the potential for a slowdown in commercial real estate demand.
 Economic Outlook:
 The U.S. economy has shown signs of resilience, with the manufacturing sector remaining strong. However, the concerns over inflation and the Federal Reserve's aggressive rate hike cycle have created uncertainty in the REIT market. The potential for a recession in the coming year could lead to a decline in commercial real estate occupancy and rental rates, which could negatively impact the performance of diversified REITs.
 Political Challenges:
 The new Trump administration's policies, particularly regarding trade and tariffs, could have a significant impact on the REIT sector. Any escalation of trade tensions or a slowdown in economic growth could lead to a decline in demand for commercial real estate, affecting the performance of diversified REITs.
 Recent Technology Developments:
 The rise of emerging technologies, such as artificial intelligence and small modular nuclear reactors, could present opportunities for REITs to improve the efficiency and sustainability of their properties. However, the sector's ability to adapt to these technological changes will be a key factor in determining its long-term performance.</t>
  </si>
  <si>
    <t>Recent News:
 The beverage sector has faced some challenges in 2024 due to the ongoing global conflicts and political instability. The terrorist attack in Peshawar, Pakistan, has disrupted supply chains and distribution networks in the region, impacting the availability of certain beverage products. Additionally, the collapse of the German governing coalition has introduced economic uncertainty in a major European market, which could affect consumer spending on beverages.
 Economic Outlook:
 Despite these headwinds, the overall economic outlook for the beverage sector remains cautiously optimistic. The resilience of the U.S. economy, as evidenced by the strong manufacturing data, suggests that consumer demand for beverages may remain stable. However, the potential for continued inflation and the possibility of further interest rate hikes by the Federal Reserve could put pressure on profit margins for beverage companies.
 Political Challenges:
 The new tariff threat from President-elect Trump and the ongoing geopolitical tensions in regions like the Middle East and Africa pose significant challenges for the beverage sector. These political factors could disrupt supply chains, increase costs, and potentially impact consumer confidence, which could ultimately affect the sector's performance.
 Recent Technology Developments:
 The beverage sector has been exploring innovative technologies to enhance its operations and meet evolving consumer preferences. The launch of the 24 Exchange, which aims to offer 23-hour trading, could provide new opportunities for beverage companies to optimize their supply chain and distribution strategies. Additionally, the rise of emerging technologies like artificial intelligence and small modular nuclear reactors may present opportunities for the sector to improve efficiency and sustainability.</t>
  </si>
  <si>
    <t>Recent News:
 The banking sector has been impacted by the ongoing geopolitical tensions and economic uncertainty. The collapse of the German governing coalition and the potential for new tariffs from the incoming Trump administration have raised concerns about the stability of the global financial system. Additionally, the arrest warrants issued by the International Criminal Court against Israeli leaders have added to the overall market volatility.
 Economic Outlook:
 The U.S. economy is showing signs of resilience, with the manufacturing sector performing well. However, the recent comments from the Fed Governor regarding the potential stalling of progress on inflation have raised concerns about the central bank's continued aggressive rate hike cycle. This could put pressure on the banking sector, as higher interest rates may impact loan demand and profitability.
 Political Challenges:
 The new Trump administration's policy agenda, including the threat of imposing new tariffs, could have significant implications for the banking sector. Trade tensions and geopolitical conflicts in regions like the Middle East and Asia could also contribute to market volatility and affect the banking industry's performance.
 Recent Technology Developments:
 The launch of the 24 Exchange, which aims to offer 23-hour trading, could be a significant development for the banking sector. This innovation in market infrastructure may present both opportunities and challenges for banks as they adapt to the changing landscape.</t>
  </si>
  <si>
    <t>Recent News:
 The broadline retail sector has faced a mixed landscape in 2024. While the U.S. economy has shown signs of resilience, with strong manufacturing data, the potential for new tariffs and the ongoing inflation concerns have introduced volatility. The collapse of the German governing coalition and the geopolitical tensions in the Middle East have also contributed to uncertainty in the global market.
 Economic Outlook:
 The U.S. consumer spending, a key driver for broadline retailers, has remained relatively strong, supported by a resilient labor market. However, the Federal Reserve's aggressive rate hike cycle to combat inflation could potentially weigh on consumer confidence and spending in the medium term. Additionally, the threat of new tariffs from the incoming Trump administration could disrupt supply chains and put pressure on profit margins for retailers.
 Political Challenges:
 The political landscape, both domestically and globally, presents significant challenges for the broadline retail sector. The new Trump administration's trade policies, particularly towards China, could have far-reaching implications for the industry's supply chains and pricing. The ongoing conflicts and instability in various regions, such as the Middle East, could also impact consumer sentiment and spending patterns.
 Recent Technology Developments:
 The broadline retail sector has been undergoing a digital transformation, with increased investment in e-commerce and omnichannel capabilities. The launch of the 24 Exchange, which aims to offer 23-hour trading, could also introduce new opportunities for retailers to optimize their inventory management and supply chain operations.</t>
  </si>
  <si>
    <t>Recent News:
 The hotel, restaurant, and leisure sector has faced a mixed performance in 2024 amidst the ongoing global conflicts and political instability. While the easing of COVID-19 restrictions has led to a rebound in travel and dining demand, the sector has also been impacted by rising inflation, supply chain disruptions, and labor shortages. The collapse of the German governing coalition and the potential for new tariffs from the incoming U.S. administration have also introduced uncertainty.
 Economic Outlook:
 The sector's recovery is expected to continue, driven by pent-up consumer demand for travel and leisure activities. However, the macroeconomic headwinds, such as high inflation and rising interest rates, may constrain consumer spending and put pressure on profit margins. The sector's performance will likely be uneven, with stronger demand in certain regions and segments offsetting weaker performance in others.
 Political Challenges:
 The geopolitical tensions and conflicts around the world, including the escalation of the Israel-Hamas war and the instability in the Middle East, could impact global travel and tourism. Additionally, the potential policy changes under the new U.S. administration, such as the threat of new tariffs, may create additional challenges for the sector.
 Recent Technology Developments:
 The sector has been exploring ways to leverage emerging technologies, such as AI-powered customer service and contactless payment solutions, to enhance the customer experience and improve operational efficiency. The launch of the 24 Exchange, which aims to offer 23-hour trading, could also provide new opportunities for investors in the sector.</t>
  </si>
  <si>
    <t>Recent News:
 The textile, apparel, and luxury goods sector has faced a mixed landscape in 2024. While the global economy has shown signs of resilience, the sector has been impacted by ongoing geopolitical tensions and supply chain disruptions. The collapse of the German governing coalition and the escalation of conflicts in the Middle East have contributed to market volatility, affecting consumer confidence and spending patterns.
 Economic Outlook:
 The sector's performance is closely tied to consumer spending, which has remained relatively strong in the U.S. despite concerns over inflation. However, the potential impact of new tariffs imposed by the incoming Trump administration could pose a challenge, as it may lead to higher prices and reduced demand. Additionally, the disruptions in global supply chains, particularly in regions affected by conflicts, could continue to weigh on the sector's profitability.
 Political Challenges:
 The political landscape, both domestically and globally, presents significant challenges for the textile, apparel, and luxury goods sector. The new administration's trade policies, as well as the ongoing geopolitical tensions in regions like the Middle East, could create uncertainty and impact the sector's ability to operate efficiently. Navigating these political headwinds will be crucial for companies in the industry.
 Recent Technology Developments:
 The sector has seen some advancements in technology, particularly in the areas of supply chain optimization and sustainability. The launch of the 24 Exchange, which aims to offer 23-hour trading, could also provide new opportunities for investors in the industry. However, the sector's ability to adapt to these technological changes and capitalize on emerging trends will be a key factor in its long-term success.</t>
  </si>
  <si>
    <t>Recent News:
 The household products sector has seen mixed performance in recent months. While some major players like Procter &amp; Gamble and Clorox have reported solid earnings, the industry has also faced challenges from rising input costs and supply chain disruptions. The ongoing geopolitical tensions and natural disasters in various regions have added to the sector's uncertainties.
 Economic Outlook:
 The household products sector is closely tied to consumer spending patterns, which have remained relatively resilient despite macroeconomic headwinds. However, the potential for a slowdown in consumer demand due to inflationary pressures and economic uncertainty could pose a risk to the sector's growth. Additionally, the ability of companies to effectively manage cost pressures and maintain profit margins will be a key factor in the sector's performance.
 Political Challenges:
 The new administration's trade policies, particularly any escalation of trade tensions with China, could impact the supply chain and pricing dynamics for household products companies. Additionally, the ongoing geopolitical conflicts and natural disasters in various regions may disrupt the production and distribution of these products, affecting the sector's overall performance.
 Recent Technology Developments:
 The household products sector has been embracing technological advancements to improve efficiency, enhance customer experience, and develop innovative products. Companies are investing in areas like e-commerce, smart home technologies, and sustainable product formulations to stay competitive and meet evolving consumer preferences.</t>
  </si>
  <si>
    <t>Recent News:
 The real estate investment trust (REIT) sector has been facing a mixed outlook in 2024. While the overall U.S. economy has shown resilience, with the manufacturing sector performing well, the potential impact of the new tariff threat from President-elect Trump and the Federal Reserve's continued aggressive rate hike cycle have raised concerns about the sector's performance.
 Economic Outlook:
 The REIT sector, particularly specialized REITs, has been impacted by the rising interest rate environment. As the Fed continues to hike rates to combat persistent inflation, the cost of borrowing for REITs has increased, which could put pressure on their profitability and dividend payouts. However, the strong consumer spending and resilient manufacturing sector suggest that certain specialized REIT segments, such as industrial and logistics properties, may continue to perform well.
 Political Challenges:
 The new administration's trade policies, including the potential imposition of new tariffs, could have a significant impact on the REIT sector, particularly those with exposure to international markets or industries affected by trade tensions. Additionally, the geopolitical instability in various regions, such as the Middle East, could also introduce volatility and uncertainty in the market, which could impact investor sentiment towards the REIT sector.
 Recent Technology Developments:
 The emergence of new technologies, such as artificial intelligence and small modular nuclear reactors, could present opportunities for specialized REITs to enhance their operations and improve their competitiveness. However, the sector's ability to adapt and capitalize on these technological advancements will be crucial in determining its long-term performance.</t>
  </si>
  <si>
    <t>Recent News:
 The media sector has been impacted by the ongoing geopolitical tensions and political instability around the world. The arrest warrants issued by the International Criminal Court against Israeli leaders have heightened tensions in the Middle East, which could affect media coverage and operations in the region. Additionally, the collapse of the German governing coalition and the potential policy changes under the new Trump administration in the U.S. have introduced uncertainty that could impact media companies.
 Economic Outlook:
 The media sector's performance is closely tied to the overall economic conditions. The resilience of the U.S. economy, as evidenced by the strong manufacturing data, suggests that consumer spending and advertising revenues may remain relatively stable. However, the concerns over inflation and the potential for continued aggressive rate hikes by the Federal Reserve could put pressure on media companies' profitability.
 Political Challenges:
 The political landscape, both domestically and globally, poses significant challenges for the media sector. The new Trump administration's policies, such as the threat of new tariffs, could disrupt global trade and supply chains, affecting media companies' operations. Additionally, the ongoing conflicts and instability in regions like the Middle East and Africa may limit media access and increase security risks for journalists.
 Recent Technology Developments:
 The media sector has been undergoing a digital transformation, with the rise of streaming platforms, social media, and new content distribution channels. The launch of the 24 Exchange, which aims to offer 23-hour trading, could introduce new opportunities for media companies to explore innovative financial instruments and investment strategies.</t>
  </si>
  <si>
    <t>Recent News:
 The professional services sector has been impacted by the ongoing geopolitical tensions and economic uncertainty in 2024. The collapse of the German governing coalition and the arrest warrants issued by the International Criminal Court against Israeli officials have contributed to market volatility. Additionally, the terrorist attack in Peshawar, Pakistan, and the escalation of the conflict in Syria have raised concerns about the potential impact on global business operations.
 Economic Outlook:
 Despite the macroeconomic challenges, the U.S. economy has shown signs of resilience, with the manufacturing sector performing well. However, the concerns over inflation and the potential for continued aggressive rate hikes by the Federal Reserve could weigh on the overall economic outlook. The professional services sector, which includes industries such as consulting, accounting, and legal services, is closely tied to the broader economic trends and may face headwinds in the near term.
 Political Challenges:
 The election of Donald Trump as the U.S. president for a non-consecutive second term could introduce policy changes that may impact the professional services sector. The potential for new tariffs and trade tensions with China, as well as the ongoing geopolitical conflicts in various regions, could create uncertainty and disrupt the operations of professional services firms.
 Recent Technology Developments:
 The rise of emerging technologies, such as artificial intelligence (AI) and small modular nuclear reactors, could present opportunities for professional services firms to adapt their offerings and capitalize on new market trends. Additionally, the launch of the 24 Exchange, which aims to offer 23-hour trading, could create new demand for specialized legal and financial advisory services.</t>
  </si>
  <si>
    <t>Recent News:
 The building products sector has been impacted by the ongoing geopolitical tensions and economic uncertainty in 2024. The collapse of the German governing coalition and the arrest warrants issued by the International Criminal Court against Israeli officials have contributed to global market volatility, which could affect demand for building materials and construction activity.
 Economic Outlook:
 Despite the macroeconomic challenges, the U.S. economy has shown signs of resilience, with the manufacturing sector performing well. This could provide some support for the building products industry, as demand for construction materials and home improvement products may remain relatively strong. However, the potential for continued inflation and the Federal Reserve's aggressive rate hike cycle could put pressure on the sector's profitability.
 Political Challenges:
 The new Trump administration's trade policies, such as the threat of imposing new tariffs, could have a significant impact on the building products sector, which relies heavily on global supply chains and the availability of raw materials. Additionally, the ongoing geopolitical conflicts in various regions may disrupt global trade and logistics, further complicating the operating environment for companies in this sector.
 Recent Technology Developments:
 The emergence of new technologies, such as small modular nuclear reactors, could present opportunities for building products companies to develop innovative solutions for the construction and energy sectors. Additionally, the launch of the 24 Exchange, which aims to offer 23-hour trading, may provide new avenues for investors to access the building products market.</t>
  </si>
  <si>
    <t>Recent News:
 The household durables sector has faced some challenges in 2024 due to the ongoing global conflicts and political instability. The escalation of the Israel-Hamas war and the Houthi movement's increased activity in Yemen have contributed to supply chain disruptions and uncertainty in the global shipping industry, which is crucial for the distribution of household goods. Additionally, the collapse of the German governing coalition and the potential impact of the new U.S. administration's trade policies have added to the sector's concerns.
 Economic Outlook:
 Despite these headwinds, the U.S. economy has shown signs of resilience, with the manufacturing sector performing well. This could provide some support for the household durables industry, as consumer spending on durable goods remains a key driver of economic growth. However, the potential for continued inflation and the Federal Reserve's aggressive rate hike cycle may put pressure on consumer demand and discretionary spending, which could impact the sector's performance.
 Political Challenges:
 The political landscape, both domestically and globally, presents significant challenges for the household durables sector. The new U.S. administration's trade policies, particularly the threat of new tariffs, could disrupt supply chains and increase costs for manufacturers and consumers. Additionally, the ongoing conflicts and instability in various regions, such as the Middle East, could further exacerbate supply chain issues and impact the sector's ability to meet consumer demand.
 Recent Technology Developments:
 The household durables sector has been embracing technological advancements, such as the integration of smart home features and the use of artificial intelligence (AI) to enhance product design and manufacturing processes. The launch of the 24 Exchange, which aims to offer 23-hour trading, could also provide new opportunities for investors in the sector to access the market more efficiently.</t>
  </si>
  <si>
    <t>Recent News:
 The consumer staples distribution and retail sector has faced a mixed landscape in 2024. While the U.S. economy has shown resilience, with strong manufacturing data, the potential for new tariffs and the ongoing inflation concerns have introduced volatility. The collapse of the German governing coalition and the geopolitical tensions in the Middle East have also contributed to uncertainty in the global market.
 Economic Outlook:
 The consumer staples sector is typically viewed as a defensive investment, as demand for essential goods and services tends to be more stable during economic fluctuations. However, the sector may face headwinds from the continued high inflation and the possibility of a more aggressive Federal Reserve policy. Additionally, the potential impact of new tariffs on consumer goods could put pressure on profit margins for retailers and distributors.
 Political Challenges:
 The upcoming Trump administration's trade policies, particularly the threat of new tariffs, could have a significant impact on the consumer staples sector. The sector's reliance on global supply chains and the potential for retaliatory measures from trading partners could disrupt operations and profitability. Additionally, the geopolitical tensions in the Middle East and the ongoing conflicts in various regions may contribute to market volatility and impact consumer confidence.
 Recent Technology Developments:
 The consumer staples sector has been relatively slow to adopt new technologies compared to other industries. However, the rise of e-commerce and the increasing importance of data analytics and supply chain optimization could present opportunities for companies in the sector to improve efficiency and better serve their customers. The launch of the 24 Exchange, which aims to offer extended trading hours, may also impact the way consumer staples companies access capital and manage their operations.</t>
  </si>
  <si>
    <t>Recent News:
 The commercial services and supplies sector has been impacted by the ongoing geopolitical tensions and economic uncertainties in 2024. The collapse of the German governing coalition and the arrest warrants issued by the International Criminal Court against Israeli leaders have contributed to market volatility. Additionally, the terrorist attack in Peshawar, Pakistan, and the escalation of the conflict in Syria have raised concerns about the potential disruption to global supply chains.
 Economic Outlook:
 Despite these challenges, the U.S. economy has shown signs of resilience, with the manufacturing sector performing well. However, the recent comments from the Fed Governor regarding the potential stalling of progress on inflation could lead to further interest rate hikes, which may impact the profitability of companies in the commercial services and supplies sector.
 Political Challenges:
 The upcoming Trump administration's plan to impose new tariffs on China and potentially on European goods could have significant implications for the sector. The broader trade tensions and geopolitical instability in various regions could also weigh on investor sentiment and the overall performance of the sector.
 Recent Technology Developments:
 The rise of emerging technologies, such as artificial intelligence (AI) and small modular nuclear reactors, could present opportunities for companies in the commercial services and supplies sector to enhance their operations and services. Additionally, the launch of the new stock exchange, 24 Exchange, which aims to offer 23-hour trading, could provide new avenues for investment in the sector.</t>
  </si>
  <si>
    <t>Recent News:
 The insurance sector has faced a challenging year, with the ongoing conflicts and natural disasters impacting the industry. The arrest warrants issued by the International Criminal Court against Israeli leaders have raised concerns about potential legal liabilities for insurers. Additionally, the ceasefire agreement between Israel and Hezbollah, while a positive development, may not fully resolve the regional tensions that could lead to further claims.
 Economic Outlook:
 The macroeconomic environment remains mixed for the insurance sector. While the U.S. economy has shown resilience, the potential for continued inflation and the Federal Reserve's aggressive rate hike cycle could put pressure on insurers' investment portfolios. The collapse of the German governing coalition and the resulting political instability in Europe may also affect the sector's performance in the region.
 Political Challenges:
 The upcoming Trump administration's policy agenda, particularly the threat of new tariffs, could have indirect implications for the insurance industry. Increased trade tensions and economic uncertainty may lead to higher claims and lower investment returns. Additionally, the ongoing geopolitical conflicts in various regions, such as the Middle East and Africa, could continue to impact the sector's exposure to risk.
 Recent Technology Developments:
 The insurance sector has been exploring the potential of emerging technologies, such as artificial intelligence and small modular nuclear reactors. These advancements could help insurers improve their risk assessment, claims processing, and overall operational efficiency. The launch of the 24 Exchange, which aims to offer extended trading hours, may also present opportunities for insurers to optimize their investment strategies.</t>
  </si>
  <si>
    <t>Recent News:
 The passenger airline industry has faced significant challenges in 2024 due to the ongoing geopolitical tensions and conflicts around the world. The escalation of the Israel-Hamas war, the Houthi movement's activities in Yemen, and the general rise in global protests have all contributed to a decline in international travel demand. Additionally, the U.S. presidential election and the potential policy changes under the new administration have added to the uncertainty surrounding the industry.
 Economic Outlook:
 The passenger airline sector is heavily dependent on the overall health of the global economy and consumer confidence. While the U.S. economy has shown signs of resilience, with strong manufacturing data, the concerns over inflation and the Fed's continued rate hikes could dampen consumer spending and travel demand. The potential for new tariffs and trade tensions under the Trump administration also pose a risk to the industry's profitability.
 Political Challenges:
 The political landscape, both domestically and globally, presents significant challenges for the passenger airline industry. The ongoing conflicts and instability in various regions, such as the Middle East, could disrupt flight routes and lead to increased security concerns. Additionally, the new administration's policies, particularly regarding trade and regulation, could have a direct impact on the industry's operations and costs.
 Recent Technology Developments:
 The passenger airline industry has been exploring various technological advancements to improve efficiency and enhance the passenger experience. The launch of the 24 Exchange, which aims to offer 23-hour trading, could potentially provide new opportunities for airlines to manage their fuel and hedging strategies more effectively. However, the industry's ability to adapt to these technological changes will be crucial in maintaining a competitive edge.</t>
  </si>
  <si>
    <t>Recent News:
 The trading companies and distributors sector has been impacted by the ongoing geopolitical tensions and economic uncertainties in 2024. The collapse of the German governing coalition and the arrest warrants issued by the International Criminal Court against Israeli officials have contributed to market volatility. Additionally, the terrorist attack in Peshawar, Pakistan, and the escalation of the conflict in Syria have raised concerns about the stability of global supply chains.
 Economic Outlook:
 Despite the macroeconomic challenges, the U.S. economy has shown signs of resilience, with the manufacturing sector performing well. However, the potential for continued aggressive interest rate hikes by the Federal Reserve and the threat of new tariffs from the incoming Trump administration could weigh on the sector's performance. The ceasefire agreement between Israel and Hezbollah may provide some relief, but the overall economic outlook remains cautious.
 Political Challenges:
 The political landscape, both domestically and globally, presents significant challenges for the trading companies and distributors sector. The new Trump administration's trade policies, including the threat of additional tariffs, could disrupt global supply chains and impact the profitability of companies in this sector. Additionally, the ongoing conflicts in various regions, such as the Middle East and Africa, could further complicate the operating environment for these businesses.
 Recent Technology Developments:
 The sector has not seen any significant technological advancements that could directly impact its performance. However, the launch of the 24 Exchange, which aims to offer 23-hour trading, could potentially provide new opportunities for trading companies and distributors to optimize their operations and access global markets more efficiently.</t>
  </si>
  <si>
    <t>Recent News:
 The retail real estate investment trust (REIT) sector has faced significant challenges in recent years, with the COVID-19 pandemic accelerating the shift towards e-commerce and leading to a wave of store closures and bankruptcies. However, the latest macroeconomic data suggests that the sector may be poised for a potential recovery.
 Economic Outlook:
 The U.S. economy has shown signs of resilience, with the manufacturing sector performing well and consumer spending remaining strong. This could bode well for the retail REIT sector, as increased consumer activity and a potential stabilization of the retail landscape may lead to improved occupancy rates and rental income for these REITs. However, the ongoing concerns about inflation and the Federal Reserve's monetary policy decisions could introduce volatility and uncertainty in the near term.
 Political Challenges:
 The new Trump administration's trade policies, particularly the threat of new tariffs, could have a significant impact on the retail REIT sector. If these policies lead to higher costs for retailers or a slowdown in consumer spending, it could negatively affect the performance of retail REITs. Additionally, the potential for political instability and conflicts in various regions, such as the Middle East, could also impact the broader economic environment and investor sentiment.
 Recent Technology Developments:
 The rise of emerging technologies, such as artificial intelligence (AI) and small modular nuclear reactors, may not have a direct impact on the retail REIT sector. However, the continued growth of e-commerce and the need for innovative solutions to adapt to changing consumer preferences could present opportunities for REITs that are able to effectively integrate technology and data-driven strategies into their operations.</t>
  </si>
  <si>
    <t>Recent News:
 The real estate sector has been impacted by the ongoing geopolitical tensions and economic uncertainty in 2024. The collapse of the German governing coalition and the potential trade policy changes under the new U.S. administration have contributed to increased volatility in the market. Additionally, the escalation of conflicts in the Middle East and the instability in regions like Syria have raised concerns about the impact on global real estate investments.
 Economic Outlook:
 Despite the macroeconomic challenges, the U.S. economy has shown signs of resilience, with the manufacturing sector performing well. However, the concerns over inflation and the potential for continued aggressive rate hikes by the Federal Reserve could put pressure on the real estate market, particularly in the residential and commercial segments. The overall economic outlook remains cautious, with the sector's performance likely to be influenced by the broader market trends and policy decisions.
 Political Challenges:
 The new U.S. administration's trade policies and the ongoing geopolitical conflicts in various regions pose significant challenges for the real estate sector. The potential for new tariffs and trade tensions could impact global investment flows and disrupt supply chains, affecting the development and management of real estate projects. Additionally, the political instability in regions like the Middle East and the potential for further escalation of conflicts could deter investors from certain markets.
 Recent Technology Developments:
 The real estate sector has been gradually embracing technological advancements, such as the use of artificial intelligence (AI) and small modular nuclear reactors. These innovations could enhance the efficiency and sustainability of real estate management and development. The launch of the 24 Exchange, which aims to offer 23-hour trading, could also introduce new opportunities for real estate investors to access the market more flexibly.</t>
  </si>
  <si>
    <t>Recent News:
 The mortgage REIT sector has faced some challenges in 2024 due to the ongoing economic and political uncertainties. The Federal Reserve's continued interest rate hikes have put pressure on mortgage REITs, as their profitability is closely tied to the spread between short-term and long-term interest rates. Additionally, the potential impact of new tariffs imposed by the Trump administration on the housing market has added to the sector's concerns.
 Economic Outlook:
 The U.S. economy has shown signs of resilience, with the manufacturing sector performing well. However, the progress on inflation appears to have stalled, which could prompt the Federal Reserve to maintain its aggressive rate hike cycle. This could further squeeze the margins of mortgage REITs, as their ability to generate income from the spread between borrowing and lending rates may be constrained.
 Political Challenges:
 The new Trump administration's trade policies, particularly the threat of additional tariffs, could have a significant impact on the housing market and, by extension, the mortgage REIT sector. Any slowdown in the housing market or a decline in home prices could negatively affect the performance of mortgage REITs, as their investments are closely tied to the residential real estate market.
 Recent Technology Developments:
 The mortgage REIT sector has not seen any major technological advancements that could significantly impact its performance in the near future. The industry continues to rely on traditional mortgage underwriting and portfolio management practices, with limited adoption of emerging technologies like artificial intelligence or blockchain.</t>
  </si>
  <si>
    <t>Recent News:
 The tobacco industry has faced significant challenges in 2024, with ongoing global conflicts and political instability impacting consumer demand and supply chains. The arrest warrants issued by the International Criminal Court against Israeli and Hamas leaders have raised concerns about potential disruptions to the Middle Eastern tobacco market. Additionally, the collapse of the German governing coalition and the resulting political uncertainty in Europe could affect tobacco sales in the region.
 Economic Outlook:
 The global economic outlook remains uncertain, with the potential for continued volatility due to factors such as the new tariff threat from the incoming U.S. administration and the ongoing concerns about inflation. These macroeconomic conditions could negatively impact consumer spending on tobacco products, particularly in markets where discretionary income is under pressure.
 Political Challenges:
 The tobacco industry has long been subject to strict regulations and public health initiatives aimed at reducing smoking rates. The recent political changes, such as the election of Donald Trump in the U.S. and the potential for policy shifts in other countries, could introduce new challenges for the industry. Increased scrutiny and potential regulatory changes could further constrain the tobacco sector's growth prospects.
 Recent Technology Developments:
 The tobacco industry has been exploring alternative products, such as e-cigarettes and heated tobacco devices, to adapt to changing consumer preferences and regulatory environments. However, the long-term viability and acceptance of these new technologies remain uncertain, and they may face their own set of regulatory hurdles.</t>
  </si>
  <si>
    <t>Recent News:
 The hotel and resort REIT sector has faced significant challenges in 2024 due to the ongoing geopolitical tensions and economic uncertainty. The continuation of major armed conflicts globally, including the Russian invasion of Ukraine and the escalation of the Israel-Hamas war, has led to a decline in international travel and tourism. Additionally, the rise in activity by the Houthi movement in Yemen has contributed to a crisis in the Red Sea, further impacting global shipping and travel.
 Economic Outlook:
 The macroeconomic data suggests that the hotel and resort REIT sector may continue to face headwinds in the near future. The widespread protests against the ongoing wars and conflicts, as well as the historic losses for incumbent parties in many countries, have created an environment of political and economic instability. This, coupled with the potential policy changes and economic agenda of the new U.S. administration, could negatively impact consumer confidence and travel demand.
 Political Challenges:
 The geopolitical tensions in the Middle East, with the International Criminal Court issuing arrest warrants against Israeli and Hamas leaders, and the escalation of the conflict in Syria, could further disrupt the global travel industry. Additionally, the potential for trade tensions between the U.S. and its trading partners, such as the threat of new tariffs, could also weigh on the performance of hotel and resort REITs.
 Recent Technology Developments:
 While the hotel and resort REIT sector has not seen any significant technological advancements in recent times, the launch of the 24 Exchange, which aims to offer 23-hour trading, could provide some opportunities for investors to capitalize on market movements in the sector.</t>
  </si>
  <si>
    <t>Recent News:
 The office real estate investment trust (REIT) sector has faced significant challenges in recent years, with the COVID-19 pandemic accelerating the shift towards remote and hybrid work arrangements. Many companies have downsized their office footprints or opted for more flexible leasing arrangements, leading to higher vacancy rates and lower rental income for office REITs.
 Economic Outlook:
 The economic outlook for the office REIT sector remains uncertain. While some industries, such as technology and finance, have started to bring employees back to the office, the overall demand for office space is expected to remain subdued in the near term. The rise of remote work and the increasing popularity of co-working spaces have led to a structural shift in the way businesses utilize office space, which could continue to weigh on the performance of office REITs.
 Political Challenges:
 The political landscape also poses challenges for the office REIT sector. The new administration's policies, such as potential changes to tax laws or regulations, could impact the profitability and operations of office REITs. Additionally, the ongoing geopolitical tensions and their potential impact on the broader economy could further dampen the demand for office space.
 Recent Technology Developments:
 The office REIT sector has been exploring ways to adapt to the changing work environment, with some companies investing in technologies that enhance the flexibility and efficiency of office spaces. For example, the use of smart building technologies, such as sensors and automation systems, can help optimize the utilization of office space and improve the overall tenant experience.</t>
  </si>
  <si>
    <t>Recent News</t>
  </si>
  <si>
    <t>Date</t>
  </si>
  <si>
    <r>
      <t xml:space="preserve">Recent News:
 Booking Holdings (BKNG) has reported a strong third-quarter 2024 performance, benefiting from higher merchant revenues and robust gross bookings. The company's efforts to advance its "connected trip" vision, develop artificial intelligence (AI) capabilities, and grow alternative accommodations have all seen progress during the quarter. </t>
    </r>
    <r>
      <rPr>
        <rFont val="&quot;Helvetica Neue&quot;"/>
        <color rgb="FF1155CC"/>
        <sz val="8.0"/>
        <u/>
      </rPr>
      <t>Booking.com</t>
    </r>
    <r>
      <rPr>
        <rFont val="&quot;Helvetica Neue&quot;"/>
        <sz val="8.0"/>
      </rPr>
      <t>, a subsidiary of Booking Holdings, is also expanding its AI-powered travel features, further enhancing the company's technological capabilities.
 Financials:
 Booking Holdings' financial data shows a solid financial position. The company has a market capitalization of $157 billion, with a strong balance sheet, including $15.8 billion in total cash and a quick ratio of 1.165. The company's profitability metrics, such as profit margins (21.8%) and EBITDA margins (31.2%), are also impressive. Additionally, the company's free cash flow of $7.5 billion and operating cash flow of $8.9 billion indicate a robust cash generation ability.
 Economic Outlook:
 The overall macroeconomic environment remains mixed, with some signs of slowing growth in the U.S. economy, such as the weaker-than-expected October jobs report. However, the Federal Reserve is expected to respond with a rate cut, which could provide some support for the stock market. Additionally, the upcoming U.S. presidential election and ongoing global conflicts and natural disasters could introduce further uncertainty and volatility in the market.</t>
    </r>
  </si>
  <si>
    <t>Recent News:
 Nvidia's CEO Jensen Huang has asked memory chip maker SK Hynix to bring forward the supply of its next-generation high-bandwidth memory chips (HBM4) by six months. This move suggests Nvidia's strong demand for these advanced chips to power its AI and data center products. Additionally, Nvidia is reportedly in discussions to invest in Elon Musk's AI startup, xAI, as the company seeks to expand its presence in the rapidly growing AI market.
 Financials:
 Nvidia's financial data shows a strong and growing business. The company has a market capitalization of over $3.3 trillion, with a forward P/E ratio of 33.34, indicating that the stock is still reasonably valued despite its significant price appreciation. Nvidia's profitability is also impressive, with a profit margin of 55.04% and a return on equity of 123.77%. The company's balance sheet is healthy, with a quick ratio of 3.50 and a low debt-to-equity ratio of 17.22.
 Economic Outlook:
 The overall economic outlook remains mixed, with signs of slowing growth in the U.S. economy, such as the weaker-than-expected October jobs report. However, the Federal Reserve is expected to respond with a rate cut, which could provide some support for the stock market. Additionally, the continued advancements in emerging technologies, such as AI and space exploration, are likely to have a growing influence on the stock market, potentially benefiting Nvidia's performance.</t>
  </si>
  <si>
    <t>Recent News:
 - BlackRock, the world's largest asset manager, has filed an application with the U.S. Securities &amp; Exchange Commission to create exchange-traded fund (ETF) classes for its mutual funds. This move positions BlackRock to capitalize on the growing demand for ETFs, which have become increasingly popular investment vehicles.
 - Additionally, BlackRock is in advanced talks to acquire private credit firm HPS Investment Partners, a move that would further strengthen the company's presence in the alternative investment space.
 Financials:
 BlackRock's financial data shows a strong and stable performance. The company's stock price has remained relatively high, with a 52-week range of $646.91 to $1,032.00. BlackRock's profitability metrics, such as profit margins and earnings growth, are also impressive, indicating the firm's ability to generate consistent returns for its shareholders.
 Economic Outlook:
 The overall economic outlook remains mixed, with signs of slowing growth and increased global uncertainty. However, the Federal Reserve's expected interest rate cut could provide some support for the stock market, including BlackRock's share price. Additionally, the continued advancements in emerging technologies, such as the space industry, may present new investment opportunities that could benefit BlackRock's diversified portfolio.</t>
  </si>
  <si>
    <t>Recent News:
 Amazon has reported strong third-quarter results, beating expectations on both the top and bottom lines. The company's cloud computing and advertising businesses continue to drive growth, with AWS and the ads segment each growing 19% year-over-year. Amazon's e-commerce operations also showed resilience, with the company noting solid demand during the holiday season.
 Financials:
 Amazon's financial performance in the third quarter was impressive. The company reported revenue of $158.9 billion, up 11% year-over-year, and earnings per share of $1.43, well above the consensus estimate of $1.14. The strong results were driven by the continued strength of AWS and the company's advertising business, which together contributed significantly to Amazon's operating income.
 Economic Outlook:
 The broader economic environment remains mixed, with some signs of slowing growth, such as the weaker-than-expected October jobs report. However, the Federal Reserve is expected to respond with a rate cut, which could provide some support for the stock market. Additionally, the upcoming U.S. presidential election and global political events could have significant implications for the market's performance.</t>
  </si>
  <si>
    <t>Recent News:
 T-Mobile has been making significant strides in the wireless telecommunications industry, outpacing its competitors in subscriber growth. The company's leaner cost structure has enabled it to offer better value to customers, leading to market share gains. T-Mobile's strong earnings and guidance have also lifted its stock price, indicating the market's confidence in the company's performance.
 Financials:
 T-Mobile's financial data shows a robust and growing business. The company's profitability metrics, such as profit margins and EBITDA margins, are strong, and its revenue growth is healthy. Additionally, T-Mobile's balance sheet appears solid, with a manageable debt-to-equity ratio and ample cash reserves.
 Economic Outlook:
 The overall economic environment remains mixed, with some signs of slowing growth and ongoing global uncertainties. However, the Federal Reserve's expected interest rate cut could provide some support for the stock market, including T-Mobile's shares. The company's ability to navigate the current challenges and continue its market share gains suggests it may be well-positioned to weather the economic conditions.</t>
  </si>
  <si>
    <t>Recent News:
 Broadcom, a leading semiconductor company, has been making headlines for its recent partnerships and business developments. The company has forged a new partnership with OpenAI, one of the most influential players in the artificial intelligence (AI) industry. This partnership will see Broadcom develop an AI inferencing processor for OpenAI, which could have significant implications for the company's growth in the AI chip market.
 Financials:
 Broadcom's financial data shows a strong and stable performance. The company's stock has been trading at a high price, with a 52-week range of $87.12 to $186.42. Broadcom's financial metrics, such as profitability, debt levels, and cash flow, are all within healthy ranges, indicating a robust financial position.
 Economic Outlook:
 The overall economic outlook for the semiconductor industry, in which Broadcom operates, is mixed. While the industry has faced some challenges due to global conflicts and natural disasters, the continued advancements in emerging technologies, such as AI and space exploration, could provide growth opportunities for companies like Broadcom.</t>
  </si>
  <si>
    <t>Recent News:
 - Adobe is a leader in creative software, with impressive growth in sales and net income driven by innovative AI products like Adobe Firefly.
 - The company's AI advancements, such as AI Assistant in Acrobat and Reader, are transforming user experiences and driving significant engagement and growth.
 - Despite increasing competition, Adobe's high margins, cash flow, and undervaluation at 23.6x forward P/E make it an attractive long-term investment.
 Financials:
 - Adobe's financial data shows strong performance, with a market cap of over $212 billion, high profitability margins, and healthy cash flow.
 - The company has a low debt-to-equity ratio of 41.8%, indicating a solid financial position.
 - Adobe's valuation metrics, such as a forward P/E of 23.5 and a PEG ratio of 1.9, suggest the stock may be undervalued.
 Economic Outlook:
 - The U.S. economy is facing a mixed outlook, with signs of slowing growth and increasing global uncertainty.
 - The Federal Reserve is expected to cut interest rates, which could provide some support for the stock market.
 - However, the upcoming U.S. presidential election and global political events could have significant implications for the market.</t>
  </si>
  <si>
    <t>Recent News:
 Walmart (NYSE: WMT) has been in a powerful position heading into the holiday season. The company's shares have surged 56% year-to-date, outperforming the broader S&amp;P 500 index. Walmart has signaled that it expects strong performance at the end of the year, and it is leveraging its AI capabilities to enhance the holiday shopping experience for consumers.
 Financials:
 Walmart's recent financial data shows a strong and stable company. The stock is trading at a forward P/E ratio of 30.22, indicating that the market expects continued growth. The company's dividend yield of 1.01% and payout ratio of 41.41% suggest a healthy balance between rewarding shareholders and reinvesting in the business. Walmart's profitability metrics, such as profit margins and return on assets and equity, are also solid.
 Economic Outlook:
 The overall economic landscape remains mixed, with signs of slowing growth and ongoing global uncertainties. However, the Federal Reserve's expected interest rate cut could provide some support for the stock market. Walmart's position as a leading consumer staples retailer and its focus on innovation and personalization may help the company navigate the current environment and potentially outperform its peers.</t>
  </si>
  <si>
    <t>Recent News:
 ResMed Inc. (RMD) has been identified as a top momentum stock, with the company's shares hitting a fresh 52-week high. The stock's strong performance is attributed to the company's solid fundamentals and growth prospects in the healthcare equipment industry.
 Financials:
 ResMed's recent financial data shows a strong financial position, with a market capitalization of $35.86 billion and a healthy balance sheet. The company's profitability metrics, such as profit margins, return on assets, and return on equity, are also impressive. Additionally, ResMed's valuation ratios, including a forward P/E of 23.74 and a PEG ratio of 1.92, suggest that the stock may still have room for further growth.
 Economic Outlook:
 The overall economic outlook remains mixed, with concerns about slowing job growth and the potential impact of global conflicts and natural disasters. However, the Federal Reserve's expected interest rate cut could provide some support for the stock market, including the healthcare equipment sector. Additionally, the continued advancements in emerging technologies, such as the successful recovery of a SpaceX Starship booster, could have positive implications for related industries, potentially benefiting ResMed.</t>
  </si>
  <si>
    <t>Recent News:
 Visa continues to demonstrate strong financial performance, with the company reporting record results and raising its dividend to an all-time high. The company's use of over 500 generative AI applications highlights its commitment to leveraging emerging technologies to enhance its operations and stay ahead of industry threats. Despite being near its 52-week high, Visa's stock still appears attractively priced, and the company's robust consumer spending and payment volume growth have driven a recent profit beat.
 Financials:
 Visa's financial data shows a strong and stable company. The company has a market capitalization of over $564 billion, a healthy balance sheet with $15.2 billion in total cash, and a low debt-to-equity ratio of 53.2%. Visa's profitability metrics, such as a profit margin of 54.9% and a return on equity of 50.7%, are impressive. The company's dividend yield of 0.81% and a payout ratio of 21.4% suggest a balanced approach to capital allocation.
 Economic Outlook:
 The broader economic environment remains mixed, with some signs of slowing growth, such as the weaker-than-expected October jobs report. However, the Federal Reserve is expected to respond with a rate cut, which could provide support for the stock market. Additionally, the continued advancements in emerging technologies, such as Visa's use of generative AI, could drive further growth and investment in the company.</t>
  </si>
  <si>
    <t>Recent News:
 Costco (COST) has been a standout performer in the retail industry, with its stock up 35% year-to-date. The company's strong membership model, consistent revenue growth, and strategic expansion plans have made it a compelling investment. Analysts are bullish on Costco's long-term growth potential, with some speculating that it could become a $1 trillion company by 2030.
 Financials:
 Costco's financial data shows a robust and healthy company. The company has a strong balance sheet, with a healthy cash position and manageable debt levels. Its profitability metrics, such as profit margins and return on assets and equity, are also impressive. Costco's valuation, as reflected in its forward P/E ratio of 44.58, suggests that the market expects the company to continue its growth trajectory.
 Economic Outlook:
 The overall economic outlook remains mixed, with signs of slowing growth and increased global uncertainty. However, Costco's business model and its focus on providing value to its members make it relatively resilient to economic fluctuations. The company's ability to adapt to changing consumer preferences and its strong brand loyalty among its customer base are likely to continue supporting its performance.</t>
  </si>
  <si>
    <t>Recent News:
 Cadence Design Systems (CDNS) has been attracting significant investor attention lately, with several positive developments reported in the recent news. The company has demonstrated years of profitable expansion and has been initiating coverage with a "buy" rating by analysts, citing its solid business model, strong growth prospects, and robust free cash flow supporting share buybacks. Cadence's recent Q3 2024 results and Q4 2024 guidance indicate a resurgence in demand, with expected revenue growth accelerating to 26% in Q4 2024. The company's valuation remains reasonable, and analysts are forecasting a potential year-end 2026 target of $374, maintaining the current market PEG.
 Financials:
 Cadence Design Systems' financial data shows a strong and stable company. The company has a market capitalization of $77.37 billion, with a forward P/E ratio of 41.12 and a trailing P/E ratio of 74.04. Cadence has a healthy balance sheet, with $2.94 billion in total cash and a quick ratio of 2.122. The company's profitability metrics, such as profit margins (23.87%), return on assets (10.87%), and return on equity (27.07%), are impressive. Cadence's free cash flow of $939.97 million and operating cash flow of $1.09 billion further demonstrate the company's financial strength.
 Economic Outlook:
 The overall economic outlook remains mixed, with some concerning signs emerging in the latest economic data, such as the significant slowdown in job creation. However, the Federal Reserve is expected to respond by cutting interest rates, which could provide some support for the stock market. Additionally, the continued advancements in emerging technologies, such as artificial intelligence and space exploration, are likely to have a growing influence on the stock market, potentially benefiting companies like Cadence Design Systems that are at the forefront of these developments.</t>
  </si>
  <si>
    <t>Recent News:
 Arista Networks has exceeded growth expectations in the AI networking market, overcoming competition from Nvidia and Broadcom. The company aims for $750 million in AI networking revenue by 2025 within an estimated $60 billion market. Arista's revenue is projected to grow 16-18% this year, with high operating margins expected to reach 47.8% in FY24.
 Financials:
 Arista Networks' financial data shows a strong performance, with a market capitalization of over $123 billion and a trailing P/E ratio of 50.99. The company has a healthy balance sheet, with a quick ratio of 3.47 and a current ratio of 4.553, indicating a strong liquidity position. Arista's profitability metrics, such as profit margins (39%), return on assets (16.42%), and return on equity (34.46%), are also impressive.
 Economic Outlook:
 The overall economic outlook remains mixed, with signs of slowing growth and increasing global uncertainty. However, the expected interest rate cut by the Federal Reserve could provide some support for the stock market, including the technology sector in which Arista Networks operates. The company's focus on AI networking and its strong financial performance suggest it may be well-positioned to navigate the current economic environment.</t>
  </si>
  <si>
    <t>Recent News:
 The latest trading day saw Vertex Pharmaceuticals (VRTX) settling at $475.08, representing a 1% increase from its previous close. This gain came amidst a broader market dip, suggesting that Vertex may be weathering the current market conditions better than some of its peers.
 Vertex is set to report its Q3 2024 earnings in the coming week. Analysts are projecting strong performance, with expectations of robust sales for the company's lead cystic fibrosis product, Trikafta/Kaftrio. The company is also expected to beat Wall Street's top-and-bottom-line estimates for the quarter.
 Financials:
 Vertex Pharmaceuticals' financial data indicates a strong and stable company. The company has a market capitalization of over $121 billion, with a forward P/E ratio of 25.27, suggesting that the stock is reasonably valued. Vertex's balance sheet is also healthy, with a quick ratio of 2.101 and a current ratio of 2.521, indicating the company's ability to meet its short-term obligations.
 Economic Outlook:
 The broader economic environment remains mixed, with signs of slowing growth and ongoing global uncertainties. However, the expected interest rate cut by the Federal Reserve could provide some support for the stock market, including Vertex Pharmaceuticals. Additionally, the company's focus on the growing cystic fibrosis market and its strong pipeline of drug candidates may help it navigate the current economic landscape.</t>
  </si>
  <si>
    <r>
      <t xml:space="preserve">Recent News:
 Booking Holdings (BKNG) has reported a strong third-quarter 2024 performance, benefiting from higher merchant revenues and robust gross bookings. The company's efforts to advance its "connected trip" vision, develop artificial intelligence (AI) capabilities, and grow alternative accommodations have all seen progress during the quarter. </t>
    </r>
    <r>
      <rPr>
        <rFont val="&quot;Helvetica Neue&quot;"/>
        <color rgb="FF1155CC"/>
        <sz val="8.0"/>
        <u/>
      </rPr>
      <t>Booking.com</t>
    </r>
    <r>
      <rPr>
        <rFont val="&quot;Helvetica Neue&quot;"/>
        <sz val="8.0"/>
      </rPr>
      <t>, a subsidiary of Booking Holdings, is also expanding its AI-powered travel features, further enhancing the company's technological capabilities.
 Financials:
 Booking Holdings' financial data shows a solid financial position. The company has a market capitalization of $157 billion, with a strong balance sheet, including $15.8 billion in total cash and a quick ratio of 1.165. The company's profitability metrics, such as profit margins (21.8%) and EBITDA margins (31.2%), are also impressive. Additionally, the company's free cash flow of $7.5 billion and operating cash flow of $8.9 billion indicate a robust cash generation ability.
 Economic Outlook:
 The overall macroeconomic environment remains mixed, with some signs of slowing growth in the U.S. economy, such as the weaker-than-expected October jobs report. However, the Federal Reserve is expected to respond with a rate cut, which could provide some support for the stock market. Additionally, the upcoming U.S. presidential election and ongoing global conflicts and natural disasters could introduce further uncertainty and volatility in the market.</t>
    </r>
  </si>
  <si>
    <t>Recent News:
 Waste Management (WM) has been a strong performer in the Environmental &amp; Facilities Services industry, with its earnings and revenues surpassing estimates in the third quarter of 2024. The company witnessed increased revenues across all segments, indicating robust business performance. Additionally, the market seems to be growing increasingly optimistic about Waste Management's future, as reflected in the recent jump in the stock price.
 Financials:
 Waste Management's financial data shows a solid financial position. The company has a market capitalization of $85.9 billion and a strong balance sheet, with a total cash position of $614 million and a manageable debt-to-equity ratio of 208.9%. The company's profitability metrics, such as profit margins, return on assets, and return on equity, are also healthy, suggesting a well-run business.
 Economic Outlook:
 The overall economic outlook remains mixed, with some signs of slowing growth in the U.S. economy. However, the Federal Reserve's expected interest rate cut and the continued advancements in emerging technologies, such as the successful recovery and capture of a SpaceX Starship booster, could provide support for the stock market in the coming months.</t>
  </si>
  <si>
    <t>Recent News:
 Equinix (EQIX) has reported strong Q3 results, with its Adjusted Funds from Operations (AFFO) beating estimates. The company's revenues have also risen year-over-year, driven by solid demand for its colocation and interconnection services. The company has forecasted Q4 revenue above Wall Street estimates, citing the continuing surge in artificial intelligence demand as a key factor.
 Financials:
 Equinix's financial data shows a robust performance, with a market capitalization of over $85 billion and strong profitability metrics. The company's dividend yield is 1.92%, and its forward P/E ratio is 68.07, indicating that the stock may be reasonably valued. Equinix's balance sheet is also healthy, with a quick ratio of 0.91 and a current ratio of 1.05.
 Economic Outlook:
 The overall economic outlook remains mixed, with concerns about slowing job growth and the potential impact of global conflicts and natural disasters. However, the Federal Reserve's expected interest rate cut could provide some support for the market. Additionally, the continued advancements in emerging technologies, such as artificial intelligence, may benefit companies like Equinix that are well-positioned to capitalize on these trends.</t>
  </si>
  <si>
    <t>Recent News:
 VICI Properties (VICI) has consistently delivered strong financial performance, beating top and bottom-line expectations in Q3/24. The company's unique business model, which focuses on triple-net lease REITs in the gaming sector, has set it apart from its peers. VICI's highly sticky tenant base, irreplaceable assets in Las Vegas, and an extremely long Weighted Average Lease Term of 42 years have contributed to its long-term success.
 Financials:
 VICI's Q3/24 earnings showcased its financial strength, with the company reporting a double beat and raising its FY2024 guidance. The REIT's fundamentals remain robust, with a 100% occupancy rate, a diversified revenue base, and an attractive valuation, trading at 12.17 times its FFO and 9.57 times its EBITDA.
 Economic Outlook:
 The gaming industry is expected to expand its gross revenue by over $40 billion over the next 5 years, which is a positive sign for VICI's future growth. Additionally, the Federal Reserve's recent interest rate cut could provide some support for the stock market, potentially benefiting VICI.</t>
  </si>
  <si>
    <t>Recent News:
 Paycom Software (PAYC) has seen a significant surge in its stock price, jumping 21% on Thursday and leading the S&amp;P 500 gainers. This jump was driven by the company's better-than-expected sales and profits reported for the third quarter. Paycom's automated solutions and strong demand for its employee management services in a robust job market have contributed to its recent performance.
 Financials:
 Paycom's financial data shows a strong financial position, with a market capitalization of over $12 billion and a healthy balance sheet. The company's profitability metrics, such as profit margins and return on assets and equity, are also impressive. Additionally, Paycom's valuation ratios, including a forward P/E of 23.91, suggest that the stock may be reasonably priced.
 Economic Outlook:
 The overall economic outlook remains mixed, with signs of slowing growth and increasing global uncertainty. However, the Federal Reserve's expected interest rate cut and the continued advancements in emerging technologies, such as artificial intelligence, could provide some support for the stock market in the coming months.</t>
  </si>
  <si>
    <t>Recent News:
 Quest Diagnostics, a leading provider of diagnostic testing services, has been navigating the evolving healthcare landscape amidst the ongoing global challenges. The company's performance has been influenced by a mix of factors, including the continued impact of the COVID-19 pandemic, changes in healthcare policies, and advancements in medical technology.
 Financials:
 Quest Diagnostics' financial data suggests a relatively strong position in the market. The company's stock has shown a 15.98% increase in the past 52 weeks, outperforming the S&amp;P 500's 31.21% rise. Key financial metrics, such as a profit margin of 8.82%, a forward P/E ratio of 15.91, and a dividend yield of 1.93%, indicate the company's ability to generate consistent returns for investors.
 Economic Outlook:
 The broader economic environment remains mixed, with concerns over slowing job growth and the potential for interest rate cuts by the Federal Reserve. However, the healthcare sector, in which Quest Diagnostics operates, has historically demonstrated resilience during economic fluctuations. The company's diversified service offerings and focus on emerging technologies, such as AI-powered diagnostics, may position it to navigate the current market conditions.</t>
  </si>
  <si>
    <t>Recent News:
 Abbott Laboratories, a leading healthcare company, has recently secured a significant legal victory in a baby formula trial. A jury decided that baby formula from Abbott and Mead Johnson are not responsible for a boy's disease, causing Abbott's stock to surge early Friday. This outcome is seen as a positive development for the company, as it avoids another potentially "eye-popping" verdict related to its baby formula products.
 Financials:
 Abbott's financial data shows a strong performance, with the stock price rising nearly 5% before the market open on Friday. The company's key financial metrics, such as a dividend rate of 2.2%, a forward P/E ratio of 22.98, and a market capitalization of over $205 billion, suggest a relatively healthy financial position. However, the company's trailing P/E ratio of 36.05 and the potential impact of unfavorable foreign exchange rates remain areas of concern.
 Economic Outlook:
 The overall economic outlook for the healthcare equipment industry, in which Abbott operates, appears mixed. While the company's diagnostics and nutrition businesses have shown robust strength, the broader economic uncertainty and volatility in the stock market may pose challenges. The Federal Reserve's expected interest rate cut and the potential impact of global conflicts and natural disasters on the market could also affect Abbott's performance in the short to medium term.</t>
  </si>
  <si>
    <t>Recent News:
 Automatic Data Processing (ADP) reported strong first-quarter fiscal 2025 results, with earnings and revenues beating market expectations. The company's performance was driven by improved segmental performances, indicating its ability to navigate the current economic landscape effectively.
 Financials:
 ADP's financial data shows a healthy financial position, with a market capitalization of over $117 billion and a strong balance sheet. The company's profitability metrics, such as profit margins, return on assets, and return on equity, are also impressive. Additionally, ADP's dividend yield of 1.94% and a payout ratio of 59.8% suggest a stable and shareholder-friendly dividend policy.
 Economic Outlook:
 The broader economic environment remains mixed, with some signs of slowing growth, such as the weaker-than-expected October jobs report. However, the Federal Reserve's expected interest rate cut and the continued strength in the technology sector, led by companies like Nvidia, could provide support for the stock market in the near term.</t>
  </si>
  <si>
    <t>Recent News:
 - Analysts are closely watching Atmos Energy's (ATO) Q4 performance, with a focus on key metrics like revenue, earnings, and customer growth.
 - Compared to its sector peers, Atmos Energy has been outperforming the utilities industry so far this year, indicating potential strength in the company's operations.
 Financials:
 - Atmos Energy's financial data shows a stable and healthy company, with a market capitalization of over $21 billion, a strong balance sheet, and consistent profitability.
 - The company's valuation metrics, such as a forward P/E ratio of 19.4 and a price-to-book ratio of 1.76, suggest the stock may be reasonably priced.
 - Atmos Energy has a solid dividend history, with a current dividend yield of 2.33% and a payout ratio of 46.6%.
 Economic Outlook:
 - The overall economic environment remains mixed, with concerns about slowing growth and global uncertainties. However, the utilities sector, including Atmos Energy, is generally seen as a defensive investment during times of market volatility.
 - The Federal Reserve's expected interest rate cut could provide some support for the stock market, which may benefit Atmos Energy and other utility companies.</t>
  </si>
  <si>
    <t>Recent News:
 Bio-Techne, a leading provider of life sciences tools and services, has reported strong financial results for the first quarter of its fiscal year. The company's Diagnostics &amp; Spatial Biology segment has continued to demonstrate momentum, driving the overall performance. Bio-Techne's quarterly earnings and revenue have surpassed market expectations, with the stock price rising in premarket trading.
 Financials:
 Bio-Techne's financial data indicates a healthy financial position. The company's stock has a previous close of $73.75 and has seen an increase in its opening price, day low, and day high in the current trading session. The company's dividend rate, yield, and payout ratio are also within reasonable ranges. Additionally, the company's valuation metrics, such as the price-to-earnings ratio and price-to-sales ratio, suggest that the stock may be reasonably valued.
 Economic Outlook:
 The broader economic environment remains mixed, with some concerning signs emerging in the latest economic data, such as the weaker-than-expected job growth reported in the October jobs report. However, the Federal Reserve is expected to respond by cutting interest rates, which could provide some support for the stock market. Additionally, the ongoing global conflicts and political uncertainties may continue to impact the overall market sentiment, leading to potential volatility in the near term.</t>
  </si>
  <si>
    <t>Recent News:
 Boston Scientific (BSX) has been gaining momentum in the market, driven by the strong performance of its Endoscopy business within the MedSurg segment. The company's broad range of gastrointestinal and pulmonary treatment options has been in high demand worldwide, contributing to its growth.
 Financials:
 Boston Scientific's financial data shows a solid financial position. The company has a market capitalization of over $123 billion, with a forward P/E ratio of 29.97, indicating potential for future growth. Additionally, the company has a strong balance sheet, with a total cash position of $2.5 billion and a current ratio of 1.48, suggesting a healthy liquidity position.
 Economic Outlook:
 The overall economic outlook remains mixed, with concerns about slowing growth and global uncertainty. However, the healthcare equipment industry, in which Boston Scientific operates, is generally considered a defensive sector that can withstand economic fluctuations. The company's focus on innovative medical devices and its strong market position in the Endoscopy segment suggest that it may be well-positioned to navigate the current economic environment.</t>
  </si>
  <si>
    <t>Recent News:
 Synchrony Financial (SYF) has been identified as a top momentum stock in the Consumer Finance industry, according to Zacks Investment Research. The company's strong financial performance and growth potential make it an attractive investment option for the long-term.
 Financials:
 Synchrony Financial's recent financial data shows a strong financial position. The company's stock is trading at a forward P/E ratio of 8.54, indicating that it is undervalued compared to its peers. Additionally, Synchrony has a healthy dividend yield of 1.81% and a low payout ratio of 12.99%, suggesting that the company has room to increase its dividend payments in the future.
 Economic Outlook:
 The overall economic outlook remains mixed, with signs of slowing growth and increasing global uncertainty. However, the Federal Reserve's expected interest rate cut could provide some support for the stock market, including Synchrony Financial. Additionally, the company's focus on emerging technologies and its strong position in the consumer finance industry may help it weather the current economic challenges.</t>
  </si>
  <si>
    <t>Recent News:
 Stryker Corporation (SYK) reported strong third-quarter results, beating earnings and revenue estimates. The company's revenue and earnings per share (EPS) grew year-over-year, driven by solid segmental performance and an increase in operating margin. The positive financial performance and raised guidance suggest that Stryker is navigating the current economic environment effectively.
 Financials:
 Stryker's recent financial data indicates a healthy financial position. The company's stock price has been trading in the range of $357.78 to $367.76 during the day, with a previous close of $356.28. Stryker's dividend rate stands at $3.2, with a dividend yield of 0.87%. The company's valuation metrics, such as a forward P/E ratio of 27.14 and a price-to-book ratio of 6.95, suggest that the stock may be reasonably valued.
 Economic Outlook:
 The overall economic outlook remains mixed, with signs of slowing growth and ongoing global uncertainties. However, the Federal Reserve's expected interest rate cut and the potential resolution of global conflicts could provide some support for the stock market in the coming months. Stryker's strong performance and its position in the healthcare equipment industry may make it a relatively resilient investment option during this period of market volatility.</t>
  </si>
  <si>
    <t>Recent News:
 West Pharmaceutical Services, a leading manufacturer of packaging components and delivery systems for injectable drugs, has continued to demonstrate strong financial performance despite the challenging macroeconomic environment. The company's recent advancements in emerging technologies, such as its work in the space industry, have been well-received by investors and could potentially drive further growth in the coming months.
 Financials:
 West Pharmaceutical Services' financial data shows a robust and stable company. The firm's key metrics, including profitability, liquidity, and solvency, are all within healthy ranges. The company's strong balance sheet, with a low debt-to-equity ratio and ample cash reserves, provides it with the financial flexibility to navigate the current market conditions.
 Economic Outlook:
 The overall economic outlook remains mixed, with concerns about slowing growth and global uncertainty. However, the expected interest rate cut by the Federal Reserve could provide some support for the stock market, including West Pharmaceutical Services. Additionally, the company's focus on the healthcare and pharmaceutical industries, which are typically less sensitive to economic cycles, may help mitigate the impact of the broader economic challenges.</t>
  </si>
  <si>
    <t>Recent News:
 Zebra Technologies, a leading provider of asset-tracking solutions, has reported strong financial results for the third quarter of 2024. The company's revenues surged 31.3% year-over-year, driven by robust performance in its Asset Intelligence &amp; Tracking and Enterprise Visibility &amp; Mobility segments. Zebra also beat earnings estimates, reporting $3.49 per share compared to the consensus estimate of $3.24 per share. The company has raised its Q4 profit forecast, citing stable demand for its products and the benefits of its cost-cutting initiatives.
 Financials:
 Zebra's financial data shows a healthy and growing business. The company's market capitalization stands at $19.8 billion, with a forward P/E ratio of 24.3, indicating that the stock is reasonably valued. Zebra's profitability metrics, such as profit margins, return on assets, and return on equity, are also impressive, suggesting the company is effectively managing its operations. The company's balance sheet is strong, with a quick ratio of 0.887 and a current ratio of 1.366, indicating a solid liquidity position.
 Economic Outlook:
 The broader economic environment appears to be mixed, with some concerning signs emerging, such as the recent slowdown in job growth. However, the Federal Reserve is expected to respond with a rate cut, which could provide some support for the stock market. Additionally, the continued advancements in emerging technologies, such as Zebra's asset-tracking solutions, may drive investment in related sectors.</t>
  </si>
  <si>
    <t>Recent News:
 - The ongoing global conflicts, including the escalating tensions between Israel and Lebanon, as well as the political changes in Japan, could have potential implications for the broader economic and market environment, which may indirectly impact Synopsys.
 - The successful recovery and capture of a SpaceX Starship booster could signal further progress in the space industry, potentially driving investment in related sectors, including Synopsys, which operates in the Application Software industry.
 Financials:
 Synopsys' recent financial data shows a strong performance, with a market capitalization of $79.6 billion and a trailing P/E ratio of 53.5. The company's revenue growth rate of 12.7% and earnings growth rate of 20.4% indicate a healthy financial position. Additionally, Synopsys has a strong balance sheet, with a quick ratio of 1.378 and a current ratio of 2.023, suggesting a robust liquidity position.
 Economic Outlook:
 The U.S. economy is facing a mixed outlook, with signs of slowing growth and increasing global uncertainty. The Federal Reserve is expected to respond with a rate cut, which could provide some support for the stock market, including Synopsys. However, the upcoming U.S. presidential election and ongoing global conflicts could introduce further volatility and uncertainty in the market.</t>
  </si>
  <si>
    <t>Recent News:
 Thermo Fisher Scientific, a leading provider of scientific instruments, reagents, and software, has continued to demonstrate its strength in the Life Sciences Tools &amp; Services industry. The company's recent advancements, such as the successful recovery and capture of a SpaceX Starship booster, signal progress in the space industry, which could have positive implications for related sectors.
 Financials:
 Thermo Fisher Scientific's financial data shows a strong and stable performance. The company's profitability metrics, including profit margins, EBITDA margins, and return on assets and equity, are all within healthy ranges. Additionally, the company's balance sheet is well-capitalized, with a low debt-to-equity ratio and ample cash reserves.
 Economic Outlook:
 The broader economic landscape remains mixed, with signs of slowing growth and increasing global uncertainty. However, the expected interest rate cut by the Federal Reserve could provide some support for the stock market, including Thermo Fisher Scientific. The company's diversified product portfolio and exposure to emerging technologies, such as space exploration, may also help it navigate the current economic challenges.</t>
  </si>
  <si>
    <t>Recent News:
 Teleflex (TFX) has been performing well, with the company reporting better-than-expected earnings for the third quarter of 2024. The surgical equipment maker has seen strong demand for its medical devices, which has helped drive its financial results. The company has also recently launched new vascular access devices in Canada, which could further boost its performance in the region.
 Financials:
 Teleflex's financial data shows a mixed picture. The company's stock price has seen some volatility, with the share price fluctuating between $195.51 and $257.85 over the past 52 weeks. However, the company's fundamentals appear to be relatively strong, with a forward P/E ratio of 13.80 and a price-to-sales ratio of 3.24. Additionally, Teleflex has a healthy balance sheet, with a current ratio of 2.42 and a quick ratio of 1.18.
 Economic Outlook:
 The overall economic outlook for the healthcare equipment industry remains cautiously optimistic. While the U.S. economy is facing some challenges, such as a slowdown in job growth and ongoing global conflicts, the healthcare sector is generally seen as a relatively stable and defensive investment. The expected interest rate cut by the Federal Reserve could also provide some support for the market.</t>
  </si>
  <si>
    <t>Recent News:
 - The Israel-Lebanon conflict has escalated, with the Israel Defense Forces invading southern Lebanon and Iran attacking Israel with ballistic missiles. This regional instability could have broader implications for the global economy and the stock market.
 - The Japanese parliament has elected a new prime minister, Shigeru Ishiba, who has called for a snap election. This political change in Japan may lead to policy shifts and market uncertainty.
 - The Internet Archive suffered a major breach, raising concerns about data privacy and security, which could affect investor sentiment in the technology sector and the broader stock market.
 Financials:
 Teledyne Technologies, a leading provider of electronic equipment and instruments, has reported strong financial performance. The company's key metrics, such as revenue, earnings, and profit margins, have been consistently positive, indicating a stable and growing business. The company's balance sheet is also healthy, with a low debt-to-equity ratio and ample cash reserves.
 Economic Outlook:
 The overall economic outlook is mixed, with signs of slowing growth in the U.S. and ongoing global uncertainties. The Federal Reserve is expected to cut interest rates in response to the weaker-than-expected jobs report, which could provide some support for the stock market. However, the upcoming U.S. presidential election and the resolution (or escalation) of global conflicts and natural disasters could significantly impact the market's performance.</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</si>
  <si>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insurance industry.
 - The Japanese parliament has elected a new prime minister, Shigeru Ishiba, who has called for a snap election. This political change in Japan could lead to policy shifts and market uncertainty, which may affect the insurance sector.
 - The Internet Archive suffered a major breach, raising concerns about data privacy and security. This cybersecurity incident could impact investor sentiment in the technology sector and the broader market.
 Financials:
 Travelers Companies (The) is a leading property and casualty insurance provider in the United States. The company's recent financial data shows a strong financial position, with a market capitalization of $55.99 billion, a dividend yield of 1.71%, and a trailing P/E ratio of 12.61. The company's profitability metrics, such as profit margins (10.02%) and return on equity (19.06%), are also favorable.
 Economic Outlook:
 The U.S. economy is facing a mixed outlook, with signs of slowing growth and increasing global uncertainty. The Federal Reserve is expected to cut interest rates, which could provide some support for the insurance industry. However, the upcoming U.S. presidential election and ongoing global conflicts and natural disasters could introduce volatility and uncertainty in the market.</t>
  </si>
  <si>
    <t>Recent News: Tyler Technologies (TYL) has been identified as a strong momentum stock, with solid revenue growth outlook and margin expansion. The company's 3Q24 results showed a 10% revenue increase, driven by an 18% rise in subscription revenue, and EBIT margins exceeding 25%, reinforcing management's long-term financial targets.
 Financials: Tyler Technologies' financial data indicates a healthy financial position. The company has a market capitalization of $25.8 billion, with a forward P/E ratio of 55.7x and a trailing P/E ratio of 109.8x. The company's profitability metrics, such as profit margins (11.4%), return on assets (3.6%), and return on equity (7.7%), suggest strong operational performance.
 Economic Outlook: The overall economic environment remains mixed, with signs of slowing growth and increased global uncertainty. However, the Federal Reserve's expected interest rate cut could provide some support for the stock market, including the technology sector in which Tyler Technologies operates.</t>
  </si>
  <si>
    <t>Recent News:
 - The Israel Defense Forces have invaded southern Lebanon, escalating the conflict between Israel and Hezbollah. This could have significant implications for the overall stability in the Middle East region, potentially impacting the aerospace and defense industry.
 - SpaceX achieved the first successful return and capture of a Super Heavy booster from Starship, a significant technological advancement that could have positive implications for the space industry.
 - The 2024 U.S. presidential election is shaping up to be a closely watched event, with a rematch between former president Donald Trump and Vice President Kamala Harris. The outcome could have significant implications for the aerospace and defense sector.
 Financials:
 TransDigm Group, a leading manufacturer of aerospace components, has reported strong financial performance. The company's key metrics, such as revenue, EBITDA, and profitability, have been consistently positive. The firm's balance sheet appears healthy, with a manageable debt load and ample cash reserves.
 Economic Outlook:
 The U.S. economy is facing a mixed outlook, with signs of slowing growth and increasing global uncertainty. The Federal Reserve is expected to respond with a rate cut, which could provide some support for the stock market. However, the ongoing geopolitical tensions and political events, both domestically and globally, could introduce volatility and uncertainty in the coming months.</t>
  </si>
  <si>
    <t>Recent News:
 Accenture (ACN) has been a trending stock lately, with Wall Street analysts providing positive recommendations. The company has been able to outperform the overall stock market, closing at $363.04 in the latest trading session, marking a 0.48% increase from the previous day.
 Financials:
 Accenture's financial data shows a strong performance, with a market capitalization of over $215 billion and a healthy balance sheet. The company has a trailing P/E ratio of 30.22 and a forward P/E ratio of 24.57, indicating that the stock may be reasonably valued. Additionally, Accenture has a dividend yield of 1.71% and a payout ratio of 45.1%, suggesting that the company is committed to returning value to its shareholders.
 Economic Outlook:
 The overall economic outlook remains mixed, with signs of slowing growth and increasing global uncertainty. However, the IT consulting and services industry, in which Accenture operates, has generally been resilient and is expected to continue growing in the medium to long term, driven by the increasing demand for digital transformation and technology-driven solutions.</t>
  </si>
  <si>
    <t>Recent News: S&amp;P Global (SPGI) has seen a 5.69% decline in its stock price over the past 4 weeks. However, the stock has become technically oversold, indicating a potential trend reversal in the near term. Additionally, Wall Street analysts have revised their earnings estimates for the company higher, suggesting a positive outlook.
 Financials: S&amp;P Global's financial data shows a strong financial position, with a market capitalization of $149.97 billion, a dividend yield of 0.75%, and a forward P/E ratio of 28.85. The company's profitability metrics, such as profit margins and return on equity, are also healthy.
 Economic Outlook: The U.S. economy is facing a mixed outlook, with signs of slowing growth and increasing global uncertainty. However, the Federal Reserve is expected to cut interest rates, which could provide some support for the stock market. Additionally, the continued advancements in emerging technologies, such as the successful recovery and capture of a SpaceX Starship booster, may have a positive impact on the financial sector.</t>
  </si>
  <si>
    <t>Recent News:
 Royal Caribbean's stock has been on a strong upward trajectory, surging over 150% in the last year. The cruise operator has returned to smoother waters, with its recent financial results and guidance indicating a robust recovery in the industry. The company's Q3 earnings surpassed estimates, driven by stronger pricing on close-in demand, continued growth in onboard revenues, and reduced costs. Royal Caribbean has also hiked its annual profit forecast multiple times this year, citing strong cruise demand and the ability to raise ticket prices.
 Financials:
 Royal Caribbean's financial data shows a company that is well-positioned for the future. The stock is trading near its 52-week high, with a forward P/E ratio of 14.14, suggesting that it is still considered undervalued by the market. The company's profitability metrics, such as profit margins, return on assets, and return on equity, are all healthy and indicate a strong underlying business. Additionally, Royal Caribbean's balance sheet appears to be in good shape, with a manageable debt-to-equity ratio.
 Economic Outlook:
 The overall macroeconomic environment remains mixed, with some concerning signs in the latest economic data, such as the weaker-than-expected job growth. However, the Federal Reserve is expected to respond with a rate cut, which could provide some support for the stock market. Additionally, the continued advancements in emerging technologies, such as the successful recovery and capture of a SpaceX Starship booster, could have positive implications for related sectors, including the cruise industry.</t>
  </si>
  <si>
    <t>Recent News:
 Republic Services (RSG) has continued to demonstrate strong performance, with its Q3 2024 earnings surpassing estimates. The company's technological innovations in recycling and waste collection routes have contributed to its top-line growth. Additionally, Republic Services' key financial metrics, such as earnings per share and revenue, have shown positive year-over-year improvements.
 Financials:
 Republic Services' financial data indicates a stable and growing business. The company's stock price has been trading in the range of $197.87 to $200.165 during the recent trading session, with a previous close of $198.00. The company's dividend rate of $2.32 and dividend yield of 1.17% suggest a shareholder-friendly approach. Republic Services' valuation metrics, including a trailing P/E ratio of 31.72 and a forward P/E ratio of 29.16, are within reasonable ranges.
 Economic Outlook:
 The broader economic environment remains mixed, with some signs of slowing growth, such as the weaker-than-expected October jobs report. However, the Federal Reserve is expected to respond with a rate cut, which could provide some support for the stock market. Additionally, the upcoming U.S. presidential election and global political events may introduce volatility, but the long-term outlook for the U.S. economy and the stock market remains relatively positive.</t>
  </si>
  <si>
    <t>Recent News:
 SBA Communications reported mixed Q3 2024 results, with earnings per share and FFO exceeding estimates but revenue falling short. However, the company raised its full-year 2024 guidance, showing confidence in future performance and maintaining a bullish outlook. Shares have outperformed the S&amp;P 500 by 22% since April, and the stock remains a decent 'buy' candidate due to its valuation and stability.
 Financials:
 SBA Communications' key financial metrics provide a positive outlook. The company's funds from operations (FFO) were in line with the Zacks Consensus Estimate, and it raised its annual forecast for adjusted FFO, anticipating steady wireless carrier activity and growing demand for 5G networks. The company's valuation metrics, such as forward P/E and PEG ratio, also appear attractive.
 Economic Outlook:
 The U.S. economy is facing a mixed outlook, with signs of slowing growth and increasing global uncertainty. However, the Federal Reserve is expected to respond with a rate cut, which could provide some support for the stock market. Additionally, the continued advancements in emerging technologies, such as 5G networks, may positively impact the telecom tower REIT industry, including SBA Communications.</t>
  </si>
  <si>
    <t>Recent News: Rollins, Inc., a leading provider of environmental and facilities services, has seen its stock price dip by 8% recently, presenting a potential buying opportunity for investors. Despite trading at a premium valuation of 43 times free cash flow, the company's strong organic growth, pricing power, and operational efficiency initiatives make it a compelling long-term investment.
 Financials: Rollins' recent 3Q24 earnings report showed solid 7.7% organic revenue growth, beating management's guidance but missing EPS consensus due to growth investments. While the company experienced a temporary EBITDA margin contraction, its pricing power and operational efficiency initiatives are expected to drive future margin expansion.
 Economic Outlook: The U.S. economy is facing a mixed outlook, with signs of slowing growth and increasing global uncertainty. However, the Federal Reserve's expected interest rate cut and the underlying strength of the U.S. economy suggest that the stock market, including the environmental and facilities services sector, may continue its long-term upward trend over the next 1-2 years, despite potential volatility in the near and medium term.</t>
  </si>
  <si>
    <t>Recent News:
 Salesforce's Q2 FY2025 report showcased an era of transformation and strategic urgency, particularly in the areas of AI and efficiency. The company's non-GAAP operating income increased 15.5% to $3.14 billion, and its non-GAAP operating margin increased 210 basis points to 33.7%. Salesforce's strategic moves, including acquisitions and organic development of internal products, indicate that the company is well-positioned to compete with any rival.
 Financials:
 Salesforce's financial data suggests a strong and stable performance. The company's stock is trading at a forward P/E ratio of 26.48, which is relatively low compared to its historical valuation. Additionally, Salesforce's profitability metrics, such as profit margins, EBITDA margins, and operating margins, are all healthy and in line with industry standards.
 Economic Outlook:
 The overall economic outlook remains mixed, with signs of slowing growth and increasing global uncertainty. However, the Federal Reserve's expected interest rate cut could provide some support for the stock market, including Salesforce. Additionally, the continued advancements in emerging technologies, such as AI, could benefit Salesforce and the broader software industry.</t>
  </si>
  <si>
    <t>Recent News:
 - The Israel-Lebanon conflict has escalated, with the Israel Defense Forces invading southern Lebanon and Iran attacking Israel with ballistic missiles. This regional instability could have broader implications for the global economy and the stock market.
 - In Japan, the new Prime Minister Shigeru Ishiba has called for a snap election, which could lead to policy changes and market uncertainty in the country, potentially affecting the US stock market.
 - The Internet Archive suffered a major breach, raising concerns about data privacy and security, which could impact investor sentiment in the technology sector and the broader US stock market.
 Financials:
 Snap-on's financial data shows a strong and stable company. The firm has a healthy balance sheet, with a low debt-to-equity ratio of 23.352 and a quick ratio of 2.987, indicating good liquidity. The company's profitability metrics, such as profit margins, return on assets, and return on equity, are also impressive.
 Economic Outlook:
 The US economy is facing a mixed outlook, with signs of slowing growth and increasing global uncertainty. The Federal Reserve is expected to cut interest rates in the near term, which could provide some support for the stock market. However, the upcoming US presidential election and ongoing global conflicts could introduce volatility and uncertainty in the market.</t>
  </si>
  <si>
    <t>Recent News:
 Arch Capital Group (ACGL) reported strong Q3 2024 earnings, with revenues and earnings per share beating market expectations. The company's results reflect positive contributions from new business opportunities, growth across all lines of business, and higher invested assets. This suggests that Arch Capital is well-positioned to navigate the current economic and market environment.
 Financials:
 Arch Capital's financial data indicates a healthy financial position. The company has a strong balance sheet, with a low debt-to-equity ratio and ample cash reserves. Its profitability metrics, such as profit margins and return on assets and equity, are also favorable. Additionally, the company's valuation ratios, including price-to-earnings and price-to-book, suggest that the stock may be reasonably priced.
 Economic Outlook:
 The broader economic outlook remains mixed, with signs of slowing growth and ongoing global uncertainties. However, the expected interest rate cut by the Federal Reserve could provide some support for the stock market, including the property and casualty insurance sector. Arch Capital's diversified business model and strong financial position may help it navigate the current economic landscape.</t>
  </si>
  <si>
    <t>Recent News:
 Chevron Corporation (NYSE: CVX) has been making headlines with its strong performance and strategic moves. The company reported a solid third-quarter earnings beat, driven by record production in the Permian Basin and closed acquisitions. Chevron also returned over $7 billion to shareholders through dividends and share buybacks during the quarter.
 Financials:
 Chevron's financial data shows a robust balance sheet, with a strong cash position, low debt levels, and a healthy dividend yield of 4.26%. The company's profitability metrics, such as profit margins and EBITDA margins, are also impressive. However, the stock has faced some market pessimism due to concerns over the commodity price outlook.
 Economic Outlook:
 The overall economic landscape remains mixed, with signs of slowing growth and ongoing global uncertainties. The Federal Reserve is expected to cut interest rates in response to these challenges, which could provide some support for the stock market. Chevron's diversified operations and strong cash flow generation make it well-positioned to navigate the current economic environment.</t>
  </si>
  <si>
    <t>Recent News:
 - Ross Stores (ROST) saw a slight increase of 0.09% in its stock price on the latest trading day, outperforming the broader market decline.
 - The company continues to expand its retail footprint, opening 43 new Ross Dress for Less and four dd's DISCOUNTS stores across 22 states in September and October of 2024.
 - Ross Stores has appointed Boot Barn President and CEO James Conroy as its new CEO, effective February 2, 2025, as part of its long-term succession plan.
 - The company is well-positioned to capitalize on the upcoming holiday shopping season, with its off-price retail model and growing store network.
 Financials:
 - Ross Stores' financial data shows a strong balance sheet, with a market capitalization of $46.47 billion and a healthy current ratio of 1.558.
 - The company's profitability metrics, such as profit margins (9.82%) and return on equity (43.24%), indicate a robust financial performance.
 - Ross Stores has a trailing P/E ratio of 22.59 and a forward P/E ratio of 20.90, suggesting the stock is reasonably valued.
 Economic Outlook:
 - The U.S. economy is facing a mixed outlook, with signs of slowing growth and increasing global uncertainty. However, the Federal Reserve is expected to cut interest rates, which could provide some support for the stock market.
 - The upcoming U.S. presidential election and ongoing global conflicts could have significant implications for the market, potentially affecting consumer spending and investor sentiment.
 - Emerging technologies, such as advancements in the retail industry, may also play a role in shaping the market's performance.</t>
  </si>
  <si>
    <t>Recent News:
 Constellation Brands (STZ) has been identified as a top value stock for the long-term, according to the Zacks Style Scores, a feature of the Zacks Premium research service. The company's strong financial performance and growth potential make it an attractive investment option.
 Financials:
 Constellation Brands' recent financial data shows a mixed picture. The company's stock price has declined by 3.64% over the past 52 weeks, underperforming the S&amp;P 500's 31.21% increase. However, the company's fundamentals remain strong, with a forward P/E ratio of 15.34, indicating that the stock may be undervalued. Additionally, Constellation Brands has a healthy dividend yield of 1.74% and a payout ratio of 121.41%, suggesting that the company is committed to returning value to its shareholders.
 Economic Outlook:
 The overall economic outlook for the U.S. is mixed, with signs of slowing growth and increasing global uncertainty. The Federal Reserve is expected to cut interest rates in the coming weeks, which could provide some support for the stock market. However, the upcoming U.S. presidential election and ongoing global conflicts could also impact the market's performance.</t>
  </si>
  <si>
    <t>Recent News:
 The Cooper Companies (The) (COO) is a leading global medical device company that specializes in the production of contact lenses and surgical products. The company has been making headlines recently due to its strong financial performance and continued expansion in the healthcare supplies industry.
 Financials:
 Cooper Companies' latest financial data shows a robust financial position. The company's revenue has grown by 7.8% year-over-year, and its EBITDA margins stand at a healthy 26.9%. Additionally, the company's profitability metrics, such as return on assets and return on equity, are impressive at 3.39% and 4.65%, respectively.
 Economic Outlook:
 The overall economic outlook for the healthcare supplies industry remains positive, driven by factors such as an aging population, increasing demand for medical devices, and advancements in healthcare technology. However, the company may face some headwinds from the ongoing global conflicts and natural disasters, which could potentially impact the supply chain and consumer demand.</t>
  </si>
  <si>
    <t>Recent News:
 ConocoPhillips has been making headlines with its strong performance and strategic moves. The company recently announced a 34% increase in its dividend and plans to buy back $20 billion of its stock, signaling its confidence in the business. Analysts have also expressed positive views on the synergies from ConocoPhillips' acquisition of Marathon, which is expected to boost the company's free cash flow and stock buyback program.
 Financials:
 ConocoPhillips' third-quarter earnings report showed that the company surpassed analysts' estimates, with an earnings per share of $1.78 compared to the consensus estimate of $1.68. This performance came despite lower commodity prices, demonstrating the company's ability to navigate the challenging market environment.
 Economic Outlook:
 The overall economic landscape remains mixed, with signs of slowing growth and ongoing global uncertainties. However, the Federal Reserve's expected interest rate cut could provide some support for the stock market. Additionally, the continued advancements in emerging technologies, such as the successful recovery of a SpaceX Starship booster, may have positive implications for related sectors, including the oil and gas industry.</t>
  </si>
  <si>
    <t>Recent News:
 Chubb Limited (CB), a leading property and casualty insurer, has been in the spotlight recently, with several positive developments. The company's third-quarter earnings surpassed expectations, reflecting strong performance across most segments and solid underwriting income. This has led to several price target upgrades by analysts, who view Chubb as an attractive investment option.
 Financials:
 Chubb's latest financial data shows a strong financial position. The company's previous close was $282.44, with a 52-week range of $216.26 to $302.05. Chubb's dividend rate stands at $3.64, with a dividend yield of 1.31%. The company's trailing P/E ratio is 11.38, and the forward P/E ratio is 11.77, indicating a relatively attractive valuation.
 Economic Outlook:
 The overall economic landscape remains mixed, with signs of slowing growth and ongoing global uncertainties. However, the Federal Reserve's expected interest rate cut could provide some support for the stock market, including the insurance sector. Chubb's diversified business model and strong underwriting performance may help the company navigate the current economic environment.</t>
  </si>
  <si>
    <t>Recent News:
 Colgate-Palmolive (CL) is well-positioned to outperform the market, as it exhibits above-average growth in financials. The company's stock has performed better than its consumer staples sector peers so far this year, indicating its resilience in the current market environment.
 Financials:
 Colgate-Palmolive's financial data shows a strong financial position. The company has a healthy balance sheet with a current ratio of 1.043 and a quick ratio of 0.576, indicating its ability to meet short-term obligations. Additionally, the company's profitability metrics, such as profit margins (14.26%) and return on assets (16.33%), are impressive.
 Economic Outlook:
 The U.S. economy is facing a mixed outlook, with signs of slowing growth and increasing global uncertainty. However, the Federal Reserve's expected interest rate cut could provide some support for the stock market, including Colgate-Palmolive. The company's defensive nature as a consumer staples stock may also help it weather the current market volatility.</t>
  </si>
  <si>
    <t>Recent News:
 - The Israel-Lebanon conflict has escalated, with the Israel Defense Forces invading southern Lebanon and Iran attacking Israel with ballistic missiles. This regional instability could have broader implications for the global economy and the automotive industry.
 - The 2024 Japanese general election resulted in the governing LDP losing its parliamentary majority, potentially leading to policy changes and market uncertainty in Japan, which could impact the US stock market and automotive sector.
 - The successful recovery and capture of a SpaceX Starship booster could signal further progress in the space industry, potentially driving investment in related sectors, including automotive technology.
 Financials:
 O'Reilly Auto Parts has demonstrated strong financial performance, with a market capitalization of over $66 billion and a trailing P/E ratio of 28.4. The company's profitability is also impressive, with a profit margin of 14.5% and a return on assets of 14.4%. However, the company's current ratio of 0.696 and quick ratio of 0.082 suggest potential liquidity concerns.
 Economic Outlook:
 The US economy is facing a mixed outlook, with signs of slowing growth and increasing global uncertainty. The Federal Reserve is expected to cut interest rates, which could provide some support for the stock market. However, the upcoming US presidential election and ongoing geopolitical tensions could introduce further volatility.</t>
  </si>
  <si>
    <t>Recent News:
 RTX Corporation (RTX) has been attracting investor attention recently due to its strong Q3 results and raised FY 2024 guidance. The company reported better-than-expected top and bottom-line performance, driven by robust demand for its aerospace and defense products. RTX raised its revenue and adjusted EPS guidance for FY 2024, reflecting a 3% increase. The company also saw significant operating income margin expansion in its Pratt &amp; Whitney and Raytheon segments.
 However, Raytheon, a subsidiary of RTX, recently agreed to pay a $950 million fine to the U.S. government for a cluster of offenses ranging from inflated prices for missiles to bribes for sales to Qatar. Despite this, RTX's current massive sales for Ukraine and its long-term growth prospects remain promising.
 Financials:
 RTX's financial data shows a mixed picture. The stock has a relatively high forward P/E ratio of 19.47, but its PEG ratio of 2.11x suggests it may still be undervalued compared to its historical trends and industry peers. The company's profitability metrics, such as profit margins and return on assets and equity, are also relatively strong.
 Economic Outlook:
 The overall economic outlook remains uncertain, with signs of slowing growth and increasing global uncertainty. The Federal Reserve is expected to cut interest rates in the near term, which could provide some support for the stock market. However, the outcome of the 2024 U.S. presidential election and the resolution (or escalation) of global conflicts and natural disasters could significantly impact RTX's performance.</t>
  </si>
  <si>
    <t>Recent News:
 Regeneron Pharmaceuticals (REGN) reported better-than-expected third-quarter results, beating earnings and revenue estimates. The strong performance was driven by robust sales of its key products, including the eczema treatment Dupixent and the blockbuster eye disease drug Eylea.
 Financials:
 Regeneron's Q3 earnings of $12.46 per share surpassed the Zacks Consensus Estimate of $11.75 per share, and were higher than the $11.59 per share reported in the year-ago quarter. The company's revenues also beat expectations, reflecting the strong demand for its core products.
 Economic Outlook:
 The U.S. economy is facing a mixed outlook, with signs of slowing growth and increasing global uncertainty. However, the Federal Reserve is expected to respond with a rate cut, which could provide some support for the stock market. Additionally, the continued advancements in emerging technologies, such as the space industry, may also play a role in shaping the market's performance.</t>
  </si>
  <si>
    <t>Recent News:
 Quanta Services (PWR) has reported strong Q3 earnings, beating the Zacks Consensus Estimate. The company's results benefited from strength in the Electric Power and Renewable Energy segments, as it continues to see increased demand for infrastructure solutions that support customers' energy transition and modernization efforts.
 Financials:
 Quanta Services' financial data shows a healthy financial position, with a market capitalization of $44.8 billion and a strong balance sheet. The company's profitability metrics, such as profit margins, return on assets, and return on equity, are also relatively strong. Additionally, the company's valuation ratios, including a forward P/E of 29.73 and a PEG ratio of 2.04, suggest that the stock may be reasonably valued.
 Economic Outlook:
 The overall economic outlook remains mixed, with signs of slowing growth and increasing global uncertainty. The Federal Reserve is expected to cut interest rates in the near term, which could provide some support for the stock market. However, the upcoming U.S. presidential election and ongoing global conflicts and natural disasters could introduce volatility and uncertainty in the market.</t>
  </si>
  <si>
    <r>
      <t xml:space="preserve">Recent News:
 PulteGroup, Inc. (PHM) has been a trending stock lately, attracting significant attention from </t>
    </r>
    <r>
      <rPr>
        <rFont val="&quot;Helvetica Neue&quot;"/>
        <color rgb="FF1155CC"/>
        <sz val="8.0"/>
        <u/>
      </rPr>
      <t>Zacks.com</t>
    </r>
    <r>
      <rPr>
        <rFont val="&quot;Helvetica Neue&quot;"/>
        <sz val="8.0"/>
      </rPr>
      <t xml:space="preserve"> users. The company is considered a top growth stock for the long-term, as it has demonstrated strong financial performance and growth potential.
 Financials:
 PulteGroup's recent financial data shows a strong financial position. The company has a market capitalization of $26.3 billion, with a price-to-earnings ratio of 9.48 and a forward P/E ratio of 9.45. PulteGroup's profitability metrics, such as profit margins (16.64%) and return on assets (14.17%) and equity (26.71%), are also impressive.
 Economic Outlook:
 The U.S. housing market has faced some challenges in recent months, with the Federal Reserve's interest rate hikes impacting affordability. However, the underlying demand for housing remains strong, and PulteGroup's focus on delivering quality homes and providing a positive customer experience positions the company well to navigate the current market conditions.</t>
    </r>
  </si>
  <si>
    <t>Recent News:
 - Raymond James Financial, Inc. (RJF) has seen its stock price increase by 4.62% in the past week, indicating strong momentum for the company.
 - Analysts have highlighted RJF as a strong value stock, with the company's Zacks Style Scores suggesting it is well-positioned to outperform the market.
 Financials:
 - RJF's financial data shows a healthy balance sheet, with a market capitalization of $29.3 billion and a strong cash position of $14.8 billion.
 - The company's profitability metrics, such as a profit margin of 16.2% and a return on equity of 19.3%, are also impressive.
 - RJF's valuation ratios, including a forward P/E of 12.9 and a PEG ratio of 1.0, suggest the stock is reasonably priced.
 Economic Outlook:
 - The broader economic environment remains mixed, with concerns about slowing growth and global uncertainty. However, the Federal Reserve's expected interest rate cut could provide some support for the stock market.
 - The upcoming U.S. presidential election and ongoing geopolitical tensions may also impact the market's performance in the coming months.</t>
  </si>
  <si>
    <t>Recent News:
 Parker-Hannifin (PH) reported strong fiscal first-quarter results, with sales increasing 1.2% year-over-year, driven by the impressive performance of the Aerospace Systems segment. The company's earnings per share of $6.20 also beat the Zacks Consensus Estimate of $6.13 per share, indicating solid growth compared to the year-ago period.
 Financials:
 Parker-Hannifin's financial data shows a healthy financial position, with a market capitalization of $81.7 billion, a price-to-earnings ratio of 28.66, and a forward P/E ratio of 21.51. The company's profitability metrics, such as profit margins (14.47%) and return on equity (24.64%), are also impressive. Additionally, the company's dividend yield of 1.03% and payout ratio of 28.03% suggest a stable and sustainable dividend policy.
 Economic Outlook:
 The overall macroeconomic environment remains mixed, with concerns about slowing job growth and the potential impact of global conflicts and natural disasters. However, the Federal Reserve's expected interest rate cut and the continued advancements in emerging technologies, such as the successful recovery of a SpaceX Starship booster, could provide some support for the stock market in the coming months.</t>
  </si>
  <si>
    <t>Recent News:
 - Brown &amp; Brown (BRO) has been upgraded to a Zacks Rank #2 (Buy), reflecting growing optimism about the company's earnings prospects. This might drive the stock higher in the near term.
 - BRO's Q3 results reflect improved organic revenues, driven by higher commission and fees and investment income, expanded EBITDAC margin and increased net investment income, offset by higher expenses.
 - BRO's Q3 earnings and revenues surpassed estimates, with earnings of $0.91 per share beating the Zacks Consensus Estimate of $0.87 per share.
 Financials:
 - BRO's financial data shows a strong performance, with a previous close of $104.64, a 52-week high of $107.67, and a market capitalization of $29.79 billion.
 - The company has a trailing P/E ratio of 28.38, a forward P/E ratio of 25.72, and a dividend yield of 0.58%.
 - BRO's profitability metrics, such as profit margins (23.07%), return on assets (5.20%), and return on equity (18.14%), indicate a healthy financial position.
 Economic Outlook:
 - The U.S. economy is facing a mixed outlook, with signs of slowing growth and increasing global uncertainty. The Federal Reserve is expected to respond with a rate cut, which could provide some support for the stock market.
 - However, the upcoming U.S. presidential election and global political events could have significant implications for the market's performance in the medium to long term.</t>
  </si>
  <si>
    <t>Recent News:
 Cardinal Health (CAH) has been making headlines recently, with its stock hitting a new all-time high as the company posted better-than-expected results and raised its outlook for fiscal year 2025. The healthcare products provider's first-quarter earnings and sales beat analyst estimates, driven by solid growth in its Pharmaceutical and Specialty Solutions segments. However, the company faced a financial hit from the ending of a big contract with OptumRx.
 Financials:
 Cardinal Health's financial data shows a strong performance, with the stock trading at a 52-week high of $119.13 and a market capitalization of over $28 billion. The company's key metrics, such as a forward P/E ratio of 13.56, a dividend yield of 1.74%, and a healthy balance sheet with $2.87 billion in total cash, suggest a relatively attractive investment opportunity.
 Economic Outlook:
 The broader economic environment remains mixed, with concerns about slowing job growth and the potential impact of global conflicts and natural disasters. However, the Federal Reserve's expected interest rate cut and the continued advancements in emerging technologies, such as the successful recovery of a SpaceX Starship booster, could provide some support for the stock market in the coming months.</t>
  </si>
  <si>
    <r>
      <t xml:space="preserve">Recent News:
 Axon Enterprise, Inc. (AXON) is a trending stock in the Aerospace &amp; Defense industry, as the company has been garnering significant attention from </t>
    </r>
    <r>
      <rPr>
        <rFont val="&quot;Helvetica Neue&quot;"/>
        <color rgb="FF1155CC"/>
        <sz val="8.0"/>
        <u/>
      </rPr>
      <t>Zacks.com</t>
    </r>
    <r>
      <rPr>
        <rFont val="&quot;Helvetica Neue&quot;"/>
        <sz val="8.0"/>
      </rPr>
      <t xml:space="preserve"> users. Axon is a leading provider of technology solutions for law enforcement and public safety agencies, including its flagship product, the TASER device.
 Financials:
 Axon's recent financial data shows a strong performance, with a market capitalization of over $32 billion and a forward P/E ratio of 71.57. The company's revenue growth rate stands at 34.6%, and it has a healthy balance sheet with $1.08 billion in total cash. Axon's profitability metrics, such as profit margins and return on equity, also indicate a robust financial position.
 Economic Outlook:
 The overall economic landscape remains mixed, with signs of slowing growth and ongoing global uncertainties. However, the Aerospace &amp; Defense industry, in which Axon operates, has historically demonstrated resilience and the ability to navigate challenging economic conditions. The company's focus on innovative technology solutions for law enforcement and public safety agencies could position it well to capitalize on the industry's growth opportunities.</t>
    </r>
  </si>
  <si>
    <t>Recent News:
 - The Israel Defense Forces have invaded southern Lebanon, escalating the conflict between Israel and Hezbollah. This development in the Middle East could have implications for the overall stability in the region and potentially impact the U.S. stock market.
 - The Japanese parliament has elected a new prime minister, Shigeru Ishiba, who has called for a snap election. This political change in Japan could lead to policy shifts and market uncertainty, which may affect the U.S. stock market.
 - Iran has attacked Israel with ballistic missiles in response to Israel's offensive against Hezbollah in Lebanon. The further escalation of tensions in the Middle East could have broader geopolitical and economic implications, potentially impacting the U.S. stock market.
 Financials:
 Arthur J. Gallagher &amp; Co. is a leading insurance brokerage and risk management services firm. The company's recent financial data shows a strong performance, with a market capitalization of over $61 billion and a trailing P/E ratio of 53.51. The firm's profitability metrics, such as profit margins and return on equity, are also relatively healthy.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ongoing global conflicts could also have significant implications for the market.</t>
  </si>
  <si>
    <t>Recent News:
 Campbell Soup Company (CPB) has been identified as a strong growth stock for the long-term, according to recent analysis. The company's solid financial performance and strategic initiatives have positioned it well to capitalize on the evolving consumer trends in the packaged foods industry.
 Financials:
 Campbell Soup's latest financial data shows a stable and healthy financial position. The company's profit margins, revenue growth, and other key metrics indicate its ability to generate consistent returns for investors. The stock's valuation, including a forward P/E ratio of 13.59, suggests it is reasonably priced compared to its peers.
 Economic Outlook:
 The broader economic environment remains mixed, with concerns about slowing growth and global uncertainties. However, the packaged foods industry, where Campbell Soup operates, has generally demonstrated resilience and the ability to navigate challenging conditions. The expected interest rate cut by the Federal Reserve could provide some support for the stock market, which may benefit Campbell Soup.</t>
  </si>
  <si>
    <t>Recent News:
 CF Industries (CF) reported strong Q3 2024 earnings and sales, beating analyst estimates. The company benefited from higher year-over-year average selling prices for ammonia due to lower global supply availability. This allowed CF to increase its profitability during the quarter.
 Financials:
 CF Industries' financial data shows a healthy company with a market capitalization of over $14.6 billion. The company has a trailing P/E ratio of 13.32 and a forward P/E ratio of 14.47, indicating the stock may be reasonably valued. CF's dividend yield of 2.38% and payout ratio of 30.11% suggest the company is returning value to shareholders. Additionally, the company has a strong balance sheet with $1.88 billion in total cash and a quick ratio of 2.33.
 Economic Outlook:
 The overall economic outlook remains mixed, with signs of slowing growth in the U.S. economy. The Federal Reserve is expected to cut interest rates in the near term to support the economy. However, global conflicts, natural disasters, and political uncertainty continue to create volatility and uncertainty in the markets.</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</si>
  <si>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oil and gas industry.
 - The Japanese parliament has elected a new prime minister, Shigeru Ishiba, who has called for a snap election. This political change in Japan could lead to policy shifts and market uncertainty, which may affect the global energy market.
 - The Internet Archive suffered a major breach, raising concerns about data privacy and security, which could impact investor sentiment in the technology sector and the broader stock market.
 Financials:
 Targa Resources, a leading player in the Oil &amp; Gas Storage &amp; Transportation industry, has reported strong financial performance. The company's key metrics, such as revenue, EBITDA, and free cash flow, have shown consistent growth over the past year. Additionally, Targa Resources has a healthy balance sheet, with a manageable debt-to-equity ratio.
 Economic Outlook:
 The overall macroeconomic environment remains mixed, with signs of slowing growth in the U.S. economy. The Federal Reserve is expected to cut interest rates in the near term, which could provide some support for the stock market. However, the upcoming U.S. presidential election and ongoing global conflicts and natural disasters could introduce further uncertainty and volatility in the market.</t>
  </si>
  <si>
    <t>Recent News:
 T. Rowe Price (TROW) reported strong Q3 2024 earnings, with earnings per share of $2.57 beating the Zacks Consensus Estimate of $2.36. This represents a year-over-year increase in earnings, highlighting the firm's ability to navigate the current market environment. Additionally, the company's assets under management (AUM) balance continues to grow, providing upside potential.
 Financials:
 T. Rowe Price's financial data shows a stable and well-capitalized firm. The company has a strong balance sheet, with a large net cash position and high profit margins, providing downside protection. Key metrics, such as a trailing P/E ratio of 12.27 and a forward P/E ratio of 12.01, suggest the stock is reasonably valued.
 Economic Outlook:
 The U.S. economy is facing a mixed outlook, with signs of slowing growth and increasing global uncertainty. However, the Federal Reserve's expected interest rate cut could provide some support for the stock market. Additionally, the continued advancements in emerging technologies, such as the successful recovery and capture of a SpaceX Starship booster, could have a positive impact on the asset management industry.</t>
  </si>
  <si>
    <t>Recent News:
 TE Connectivity (TEL), a leading provider of electronic components and solutions, has reported strong financial results for the fourth quarter of fiscal 2024. The company's earnings per share (EPS) matched the Zacks Consensus Estimate, and its revenue beat Wall Street estimates, driven by robust demand from the electric vehicle and communications sectors.
 The company's Transportation and Communications segments performed particularly well, contributing to the overall strong performance. TE Connectivity's margin expansion and solid execution across various end markets have been key factors in its recent success.
 Financials:
 TE Connectivity's financial data shows a stable and healthy company. The stock has a reasonable valuation, with a forward P/E ratio of 16.6 and a PEG ratio of 2.59, indicating potential growth opportunities. The company's profitability metrics, such as profit margins, return on assets, and return on equity, are also impressive.
 Economic Outlook:
 The broader economic environment remains mixed, with some signs of slowing growth, such as the weaker-than-expected October jobs report. However, the Federal Reserve's expected interest rate cut and the continued advancements in emerging technologies, like the successful recovery of a SpaceX Starship booster, could provide support for the stock market in the coming months.</t>
  </si>
  <si>
    <t>Recent News:
 Tractor Supply Company, a leading retailer in the Other Specialty Retail industry, has continued to demonstrate strong financial performance despite the challenging macroeconomic environment. The company's recent financial data shows a healthy balance sheet, with a market capitalization of over $28 billion and a strong dividend yield of 1.65%.
 Financials:
 Tractor Supply's financial metrics indicate a robust and well-managed business. The company's profitability ratios, such as profit margins and return on equity, are impressive, suggesting efficient operations and effective management. Additionally, the company's debt-to-equity ratio of 233.038 suggests a relatively high level of leverage, which could be a concern for some investors.
 Economic Outlook:
 The overall economic outlook remains mixed, with signs of slowing growth and increased global uncertainty. However, the Federal Reserve's expected interest rate cut could provide some support for the stock market, including Tractor Supply. The company's exposure to the agricultural and rural lifestyle sectors may also help it weather the current economic challenges better than some of its peers.</t>
  </si>
  <si>
    <t>Recent News:
 - The Israel-Lebanon conflict has escalated, with the Israel Defense Forces invading southern Lebanon and Iran attacking Israel with ballistic missiles. This regional instability could have broader implications for the global economy and the stock market.
 - The 2024 Japanese general election resulted in the governing LDP losing its parliamentary majority, potentially leading to policy changes and market uncertainty in Japan, which may indirectly impact the US stock market.
 - The successful recovery and capture of a SpaceX Starship booster could signal further progress in the space industry and potentially drive investment in related sectors.
 Financials:
 Agilent Technologies, a leading provider of life sciences tools and services, has reported strong financial performance in recent quarters. The company's revenue growth, profitability, and cash flow generation have been impressive, with a healthy balance sheet and low debt levels.
 Economic Outlook:
 The US economy is facing a mixed outlook, with signs of slowing growth and increasing global uncertainty. The Federal Reserve is expected to cut interest rates in the near term, which could provide some support for the stock market. However, the upcoming US presidential election and ongoing geopolitical tensions could introduce further volatility and uncertainty.</t>
  </si>
  <si>
    <t>Recent News:
 Aflac, the leading provider of supplemental insurance products, has been making positive strides in its business operations. The company's Q3 earnings report showed that it beat earnings estimates, driven by higher net investment income and reduced operating expenses. Additionally, the company's policy growth and retention in the Japan segment, despite a net earnings loss, have been encouraging.
 Financials:
 Aflac's financial data indicates a strong and stable position. The company's stock is trading near a 10-year high, and it is still undervalued compared to its peers in terms of forward P/E and trailing P/B ratios. The company's dividend growth trend also suggests sustainability, with a dividend rate of $2.00 and a dividend yield of 1.91%.
 Economic Outlook:
 The overall economic landscape remains mixed, with signs of slowing growth and increased global uncertainty. However, the Federal Reserve's expected interest rate cut could provide some support for the stock market, including Aflac's performance. Additionally, the company's diversified business model and focus on supplemental insurance products may help it navigate the current economic challenges.</t>
  </si>
  <si>
    <t>Recent News:
 Amgen, a leading biotechnology company, has reported strong Q3 2024 earnings, beating estimates for both earnings and sales. The company's sales rose 24%, driven by strong performance of key products like cholesterol drug Repatha and osteoporosis treatment Prolia. Amgen also highlighted its focus on developing a potentially lucrative obesity medication, with results from a mid-stage trial expected to be unveiled later this year.
 Financials:
 Amgen's financial data shows a mixed picture. The company's stock price has seen some volatility, with the share price fluctuating between $316.91 and $321.695 during the day. However, Amgen's financial metrics remain relatively strong, with a healthy profit margin of 13%, a forward P/E ratio of 15.46, and a dividend yield of 2.82%. The company's balance sheet is also solid, with $9 billion in total cash and a manageable debt-to-equity ratio of 802.42.
 Economic Outlook:
 The broader economic environment remains uncertain, with concerns about slowing job growth and the potential impact of global conflicts and natural disasters. However, the Federal Reserve is expected to cut interest rates, which could provide some support for the stock market. Additionally, the continued advancements in emerging technologies, such as Amgen's focus on obesity treatments, could drive growth in the biotechnology sector.</t>
  </si>
  <si>
    <t>Recent News:
 Ametek (AME) reported strong Q3 2024 earnings, beating both revenue and earnings per share estimates. The company's revenue and earnings growth were driven by solid performance across its segments, despite ongoing macroeconomic headwinds. Ametek's Q3 results and positive guidance suggest the company is navigating the current economic environment effectively.
 Financials:
 Ametek's financial data indicates a healthy and well-performing company. The stock is trading at a forward P/E ratio of 24.4, suggesting it is reasonably valued. The company has a strong balance sheet, with a low debt-to-equity ratio of 26.8% and a quick ratio of 0.771, indicating good liquidity. Ametek's profitability metrics, such as gross margins, EBITDA margins, and operating margins, are also impressive, reflecting the company's operational efficiency.
 Economic Outlook:
 The broader economic environment remains mixed, with signs of slowing growth and ongoing global uncertainties. However, the Federal Reserve's expected interest rate cut and the potential resolution of global conflicts could provide some support for the stock market in the near term. Ametek's diversified business model and strong performance suggest the company may be well-positioned to navigate the current economic landscape.</t>
  </si>
  <si>
    <t>Recent News:
 American Express (AXP) reported solid results for its third quarter of 2024, beating expectations and raising guidance. However, the stock faced a "sell-the-news" reaction, as some soft spots in the report shook investor confidence. The company is poised to benefit from product refreshes, an enhanced focus on dining, and a younger customer cohort.
 Financials:
 American Express' financial data shows a strong performance, with a market capitalization of $192 billion, a dividend yield of 1.03%, and a forward P/E ratio of 18.04. The company's profitability metrics, such as profit margins (16.7%) and return on equity (34.7%), are also impressive. However, the company's debt-to-equity ratio of 186.8% is relatively high, which could be a concern for some investors.
 Economic Outlook:
 The U.S. economy is facing a mixed outlook, with signs of slowing growth and increasing global uncertainty. The Federal Reserve is expected to respond with a rate cut, which could provide some support for the stock market. However, the upcoming U.S. presidential election and global political events could have significant implications for the market's performance.</t>
  </si>
  <si>
    <t>General Dynamics, a leading aerospace and defense company, has demonstrated resilience amidst the recent global economic and geopolitical challenges. The company's recent Q3 2024 results show strong revenue and earnings per share (EPS) growth, along with a high backlog of projects worth $92.6 billion, providing a solid foundation for future performance.
 Firm Financials:
 General Dynamics' financial position remains robust, with an 'A' credit rating, a low net debt to EBITDA ratio, and consistent shareholder returns through dividends and buybacks. The company's diversified business model, with exposure to various defense and aerospace segments, has helped it navigate the volatile market environment.
 Economic Outlook:
 While the broader economic landscape faces some headwinds, such as slowing job growth and ongoing global conflicts, the Federal Reserve's expected interest rate cut could provide some support for the stock market. Additionally, the continued advancements in emerging technologies, like the successful recovery and capture of a SpaceX Starship booster, could have positive implications for the aerospace industry, potentially benefiting General Dynamics.
 Overall, General Dynamics' strong financial performance, diversified business model, and resilience in the face of macroeconomic challenges make it a compelling investment opportunity in the aerospace and defense sector. The company's robust backlog, healthy balance sheet, and potential to capitalize on emerging industry trends suggest a positive outlook for the next month.</t>
  </si>
  <si>
    <t>Recent News:
 Wabtec, a leading provider of transportation equipment and services, has been garnering attention in the industry. The company's strong segmental performance has been aiding its top-line growth, while its efforts to enhance connectivity are also seen as encouraging developments. Analysts have highlighted Wabtec's potential for solid growth, citing its strong attributes.
 Financials:
 Wabtec's financial data suggests a robust performance. The company's stock has shown a 52-week high of $192.48 and a 52-week low of $108.69, indicating a significant upward trend. Wabtec's market capitalization stands at $32.12 billion, and it has a trailing P/E ratio of 31.14 and a forward P/E ratio of 22.11. The company's profitability metrics, such as profit margins and return on assets and equity, are also favorable.
 Economic Outlook:
 The overall economic landscape remains mixed, with some signs of slowing growth and ongoing global uncertainties. However, the Federal Reserve's expected interest rate cut could provide some support for the market. Additionally, the advancements in emerging technologies, such as the successful recovery of a SpaceX Starship booster, may have positive implications for related sectors, including transportation equipment.</t>
  </si>
  <si>
    <t>Recent News:
 - Walt Disney is forming a new unit to coordinate the company's use of emerging technologies like artificial intelligence and mixed reality across its film, television, and theme park divisions.
 - Analysts are bullish on Disney stock, citing the company's strong streaming performance and potential for continued growth.
 - Disney's stock has outperformed the broader market in recent trading sessions, indicating investor confidence in the company's prospects.
 Financials:
 - Disney's financial data shows a mixed picture, with a relatively high trailing P/E ratio of 36.7 but a more reasonable forward P/E of 18.6.
 - The company has a strong balance sheet, with $5.95 billion in total cash and a debt-to-equity ratio of 45.2%.
 - Disney's profitability metrics, such as profit margins and return on assets and equity, are solid but not exceptional.
 Economic Outlook:
 - The broader economic environment remains uncertain, with concerns about slowing job growth and the potential for further interest rate cuts by the Federal Reserve.
 - However, Disney's diversified business model and focus on emerging technologies may help the company navigate these challenges more effectively than some of its peers.</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</si>
  <si>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a new prime minister, Shigeru Ishiba, who has called for a snap election. This leadership change in Japan could lead to policy changes and market uncertainty,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United Rentals, a leading provider of equipment rental services, has reported strong financial performance. The company's key metrics, such as revenue, EBITDA, and free cash flow, have shown consistent growth over the past year. Additionally, the company's balance sheet remains healthy, with a manageable debt-to-equity ratio.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market.</t>
  </si>
  <si>
    <t>Recent News:
 - The ongoing global conflicts, including the escalating tensions between Israel and Lebanon, as well as the political changes in Japan, could have potential implications for the healthcare industry and UnitedHealth Group's operations.
 - The successful recovery and capture of a SpaceX Starship booster could signal progress in the space industry, which may indirectly impact the healthcare sector through advancements in technology and innovation.
 Financials:
 UnitedHealth Group's financial data shows a strong and stable company. The firm has a market capitalization of over $524 billion, with a healthy balance sheet, including $37 billion in total cash and a relatively low debt-to-equity ratio of 74.7%. The company's profitability metrics, such as profit margins, return on assets, and return on equity, are also solid.
 Economic Outlook:
 The U.S. economy is facing a mixed outlook, with signs of slowing growth and increasing global uncertainty. The Federal Reserve is expected to respond with a rate cut, which could provide some support for the stock market. However, the upcoming U.S. presidential election and ongoing global conflicts may continue to contribute to market volatility.</t>
  </si>
  <si>
    <t>Recent News:
 Waters Corporation (WAT) has seen its stock surge nearly 20% on Friday, making it the top performer in the S&amp;P 500 index. This strong performance came after the company reported third-quarter sales and earnings that exceeded analysts' expectations. The company also raised its annual profit forecast, citing improved demand for its products and services used in drug development and research.
 Financials:
 Waters Corporation's financial data shows a strong performance, with a market capitalization of over $22 billion and a trailing P/E ratio of 36.9. The company's revenue growth stands at 4%, and its operating margins are a healthy 28.7%. Additionally, Waters has a strong balance sheet, with a quick ratio of 1.227 and a current ratio of 2.019, indicating a solid liquidity position.
 Economic Outlook:
 The overall economic outlook remains mixed, with signs of slowing growth and increasing global uncertainty. However, the Federal Reserve is expected to cut interest rates, which could provide some support for the stock market. Additionally, the continued advancements in emerging technologies, such as the successful recovery and capture of a SpaceX Starship booster, may have a positive impact on related sectors, including the life sciences tools and services industry.</t>
  </si>
  <si>
    <t>Recent News:
 The recent escalation of the Israel-Lebanon conflict and the ongoing political uncertainty in Japan have raised concerns about the potential impact on the global economy and the insurance industry. Additionally, the successful recovery and capture of a SpaceX Starship booster has sparked interest in the space industry, which could have implications for related sectors.
 Financials:
 W. R. Berkley Corporation, a leading property and casualty insurance provider, has reported strong financial performance. The company's key metrics, such as profitability, revenue growth, and dividend yield, suggest a stable and well-performing business. The firm's market capitalization of over $21 billion and a relatively low debt-to-equity ratio of 39.4% indicate a solid financial position.
 Economic Outlook:
 The U.S. economy is facing a mixed outlook, with signs of slowing growth and increasing global uncertainty. The Federal Reserve is expected to respond with a rate cut, which could provide some support for the stock market. However, the upcoming U.S. presidential election and ongoing geopolitical tensions may continue to impact the market's performance.</t>
  </si>
  <si>
    <t>Recent News: Fiserv, Inc. (FI), a leading provider of financial technology solutions, has seen its shares rise in recent trading sessions. The company's strong earnings performance and its ability to capitalize on the growing digital payments market have contributed to this positive momentum.
 Financials: Fiserv's latest financial data shows a robust financial position. The company's stock has a previous close of $197.90 and has opened at $198.28 on the current trading day. The stock has a 52-week range of $118.42 to $204.50, indicating its strong performance over the past year. Fiserv's financial metrics, such as a forward P/E ratio of 19.83 and a market capitalization of $114.95 billion, further demonstrate its financial strength.
 Economic Outlook: The overall economic environment remains mixed, with some signs of slowing growth and ongoing global uncertainties. However, the financial technology sector, in which Fiserv operates, is expected to continue its growth trajectory, driven by the increasing adoption of digital payments and other fintech solutions. The Federal Reserve's anticipated interest rate cut could also provide some support for the stock market in the near term.</t>
  </si>
  <si>
    <t>Recent News:
 F5, Inc. (FFIV) has seen its stock price rise by 10% after the company reported strong Q4 results, exceeding analyst expectations for both revenue and earnings. The company's performance was driven by robust growth in its Software division, as well as improved market conditions and increased demand for its app and API security and delivery platform, particularly in the context of the deployment of AI technologies.
 Financials:
 F5's latest financial data shows a healthy financial position, with a market capitalization of $13.5 billion, a forward P/E ratio of 15.08, and a trailing P/E ratio of 24.34. The company's profitability metrics, such as profit margins (20.13%) and return on equity (19.12%), are also impressive. Additionally, F5 has a strong balance sheet, with $1.07 billion in total cash and a quick ratio of 0.98.
 Economic Outlook:
 The broader economic environment remains mixed, with concerns about slowing job growth and the potential impact of global conflicts and natural disasters. However, the Federal Reserve's expected interest rate cut could provide some support for the stock market in the near term. Additionally, the continued advancements in emerging technologies, such as AI, may create new opportunities for companies like F5 to capitalize on.</t>
  </si>
  <si>
    <t>Recent News:
 Kellanova, the parent company of popular brands like Pringles and Cheez-It, has reported strong third-quarter 2024 earnings, beating profit expectations for the 15th consecutive quarter. The company's organic sales growth, driven by improved price/mix and volumes, has been a key factor in its success. Kellanova's performance comes as it prepares for a $36 billion merger with Mars, further strengthening its position in the packaged foods and meats industry.
 Financials:
 Kellanova's latest financial data shows a healthy financial position, with a market capitalization of $27.8 billion and an enterprise value of $33.8 billion. The company's profitability metrics, such as profit margins, return on assets, and return on equity, are also impressive. However, the company's debt-to-equity ratio of 173.6% is relatively high, which could be a concern for some investors.
 Economic Outlook:
 The overall economic outlook for the U.S. is mixed, with signs of slowing growth and increasing global uncertainty. The Federal Reserve is expected to cut interest rates in the near term to support the economy. While the packaged foods and meats industry may be relatively resilient to economic fluctuations, the broader market volatility and potential policy changes could still impact Kellanova's performance.</t>
  </si>
  <si>
    <t>Recent News:
 Leidos (LDOS) has been generating strong earnings estimates, indicating potential upside for the stock in the near term. The company has reported solid quarterly results, with revenue and earnings beating expectations. Leidos has also raised its annual profit and revenue forecasts, citing robust defense demand amid growing geopolitical tensions. Additionally, the company has rewarded its shareholders with a 5.3% hike in its dividend.
 Financials:
 Leidos' financial data shows a strong financial position, with a market capitalization of $24.4 billion and a healthy balance sheet. The company's profitability metrics, such as profit margins, return on assets, and return on equity, are also impressive. Leidos has a low debt-to-equity ratio, indicating a conservative approach to financing its operations.
 Economic Outlook:
 The overall economic outlook remains mixed, with concerns about slowing growth and global uncertainty. However, the defense industry, in which Leidos operates, is expected to continue benefiting from increased geopolitical tensions and the ongoing conflicts around the world. The Federal Reserve's interest rate decisions and the outcome of the 2024 U.S. presidential election could also have implications for Leidos and the broader market.</t>
  </si>
  <si>
    <t>Hewlett Packard Enterprise (HPE) is a leading technology company that provides a comprehensive portfolio of IT solutions, including servers, storage, networking, and services. The company's recent performance has been mixed, with its stock price gaining on the back of better-than-expected Q3 results from its potential acquisition target, Juniper Networks.
 Recent News:
 - Shares of HPE climbed after Juniper Networks, a potential acquisition target for HPE, reported better-than-expected Q3 results. This suggests that the acquisition could be a strategic move for HPE to strengthen its position in the technology hardware and networking space.
 Financials:
 - HPE's financial data shows a mixed picture, with a relatively low gross profit margin of 33.9% reported in Q3'24. However, the company's profitability is expected to improve as its revenue mix shifts towards higher-margin services.
 - The company's balance sheet remains strong, with a healthy cash position and a manageable debt-to-equity ratio of 53.7%.
 Economic Outlook:
 - The overall economic environment remains uncertain, with signs of slowing growth and ongoing global conflicts. However, the expected interest rate cut by the Federal Reserve and the continued advancements in emerging technologies, such as the successful recovery of a SpaceX Starship booster, could provide some support for the stock market and the technology sector.
 Score: 85
 The combination of HPE's comprehensive IT portfolio, the potential benefits of the Juniper acquisition, and the favorable macroeconomic and industry tailwinds suggest that the company has a strong investment value in the next month. The recent financial data and news indicate that HPE is well-positioned to navigate the current market challenges and capitalize on the emerging opportunities in the technology hardware and services industry.</t>
  </si>
  <si>
    <t>Recent News:
 General Motors (GM) has been making headlines recently, with CEO Mary Barra highlighting the company's strong position in the electric vehicle (EV) market, particularly in China. Barra has emphasized the intense competition in the Chinese EV market, which is driving down prices, but she remains confident in GM's ability to navigate this landscape. Additionally, Barra has continued to push for GM's transformation into a technological powerhouse, with a focus on electrification, software, and autonomous driving through their Cruise subsidiary.
 Financials:
 GM's financial data shows a strong performance, with a previous close of $50.76 and a current trading price around $51. The company has a healthy dividend rate of $0.48 and a dividend yield of 0.94%. Its valuation metrics, such as a trailing P/E ratio of 5.44 and a forward P/E ratio of 4.82, suggest the stock may be undervalued. GM's market capitalization stands at $56 billion, and the company has a strong balance sheet with $27.3 billion in total cash.
 Economic Outlook:
 The broader economic environment remains mixed, with some signs of slowing growth, such as the weaker-than-expected October jobs report. However, the Federal Reserve is expected to respond with a rate cut, which could provide support for the stock market. Additionally, the upcoming U.S. presidential election and ongoing global conflicts and natural disasters could introduce volatility and uncertainty in the market.
 Despite these challenges, GM's recent news and strong financial position suggest the company may be well-positioned to navigate the current economic landscape. The company's focus on electric vehicles and emerging technologies, such as autonomous driving, could be key drivers of future growth.</t>
  </si>
  <si>
    <t>Recent News:
 GoDaddy's Q3 results showcase strong growth in its Applications and Commerce segments, with an expanding outlook highlighting continuing momentum. The company reported earnings of $1.32 per share, beating the Zacks Consensus Estimate of $1.25 per share. Additionally, GoDaddy raised its forecast for 2024 sales, as it sees upbeat demand for its internet services from businesses expanding their online presence towards the end of the year.
 Financials:
 GoDaddy's financial data indicates a healthy financial position. The company has a market capitalization of $22.9 billion and a forward P/E ratio of 23.74, suggesting that the stock is reasonably valued. The company's profitability metrics, such as profit margins (41.3%) and return on assets (7.5%), are also strong.
 Economic Outlook:
 The overall economic outlook remains mixed, with signs of slowing growth and increasing global uncertainty. However, the Federal Reserve's expected interest rate cut could provide some support for the stock market, including GoDaddy's stock. Additionally, the continued advancements in emerging technologies, such as the successful recovery and capture of a SpaceX Starship booster, could have positive implications for the internet services and infrastructure industry.</t>
  </si>
  <si>
    <t>Recent News:
 Gartner, the leading IT research and advisory firm, is set to report its Q3 2024 earnings. The company is expected to deliver strong financial results, with its top line likely fueled by improved performances across all segments. Analysts are anticipating an earnings beat, as Gartner possesses the right combination of factors to deliver positive surprises.
 Financials:
 Gartner's recent financial data shows a robust performance. The company's stock has been trading in the range of $500-$509 per share, with a previous close of $502.50. Gartner's market capitalization stands at $38.8 billion, and it has a strong balance sheet with $1.2 billion in total cash. The company's profitability metrics, such as profit margins and return on assets, are also impressive.
 Economic Outlook:
 The overall economic landscape remains mixed, with signs of slowing growth and increased global uncertainty. However, the IT consulting and services industry, in which Gartner operates, has generally been resilient and is expected to continue its growth trajectory. The Federal Reserve's anticipated interest rate cut could provide some support for the stock market, which may benefit Gartner's performance.</t>
  </si>
  <si>
    <t>Recent News:
 Honeywell's Q3 2024 earnings report showed better-than-expected profits, but the company reduced its full-year sales and profit forecast due to cost pressures and weaker performance in the Industrial Automation segment. However, the Aerospace Technologies and Building Automation segments demonstrated strong double-digit sales growth, helping to offset the decline in Industrial Automation. Despite the recent sell-off, Honeywell remains appealing for passive income investors with a reliable 2% dividend yield and a lower valuation, especially with potential for long-term dividend growth.
 Financials:
 Honeywell's financial data indicates a stable and well-performing company. The stock is currently trading at a forward P/E ratio of 19.0, suggesting it may be undervalued compared to its historical valuation. The company's dividend yield of 2.16% is also attractive, and the payout ratio of 49.88% suggests the dividend is sustainable. Honeywell's profitability metrics, such as profit margins, return on assets, and return on equity, are also solid, indicating a healthy financial position.
 Economic Outlook:
 The overall economic outlook for Honeywell is mixed. While the company's Aerospace Technologies and Building Automation segments have shown strong performance, the weaker performance in the Industrial Automation segment and the broader economic challenges, such as cost pressures and global conflicts, could pose headwinds. However, the expected interest rate cut by the Federal Reserve and the potential for long-term growth in the company's key business segments suggest that Honeywell may be well-positioned to navigate the current economic environment.</t>
  </si>
  <si>
    <t>Recent News:
 Howmet Aerospace (HWM) has been in the spotlight recently, with several positive news reports highlighting the company's strong performance and growth potential. The stock has been trading higher, reflecting investor confidence in the company's prospects.
 Key highlights from the recent news include:
 - Howmet is expected to report strong Q3 earnings, with Wall Street analysts forecasting solid results for the company's key metrics.
 - Despite the overall market slip, Howmet's stock has increased, indicating its resilience and ability to outperform the broader market.
 - Analysts believe Howmet is a solid growth stock, citing the company's above-average growth in financials as a key reason to consider investing.
 - Howmet is well-positioned to potentially beat earnings expectations in its upcoming report, as it possesses the right combination of factors for a likely earnings beat.
 Financials:
 Howmet's recent financial data shows a strong and stable performance. The company's stock has been trading in the range of $99.72 to $101.14, with a previous close of $99.72. The company's dividend rate stands at $0.32, with a dividend yield of 0.32%.
 Howmet's financial metrics, such as profit margins, return on assets, and return on equity, indicate a healthy and well-managed business. The company's debt-to-equity ratio of 89.245 suggests a moderate level of leverage, which could be a concern for some investors.
 Economic Outlook:
 The broader economic environment remains mixed, with signs of slowing growth and ongoing global uncertainties. The Federal Reserve is expected to cut interest rates in the near term, which could provide some support for the stock market.
 However, the upcoming U.S. presidential election and the potential for further escalation of global conflicts and natural disasters could introduce volatility and uncertainty in the market. Investors should be prepared for continued fluctuations in the stock market over the next 1-12 months.</t>
  </si>
  <si>
    <t>Recent News:
 Corning Incorporated (GLW) has seen a strong rally in its stock price over the past year, driven by robust Q3 results and growing momentum around AI and data center-fueled demand from leading telecom companies. The company reported 8% revenue growth and 20% income expansion in Q3, with a projected sales growth of 15% and income increase of 40% in Q4, signaling a period of substantial growth for Corning.
 Financials:
 Corning's recent financial data shows a strong balance sheet, with a respectable dividend yield of 2.32% and a forward P/E ratio of 20.94, indicating the stock is trading at a reasonable valuation. The company's profitability metrics, such as gross margins of 33.66% and EBITDA margins of 20.67%, suggest a healthy and efficient business model.
 Economic Outlook:
 The broader economic landscape remains mixed, with concerns around slowing job growth and the potential impact of global conflicts and natural disasters. However, the Federal Reserve's expected interest rate cut and the continued advancements in emerging technologies, such as AI and space exploration, could provide support for the stock market, including Corning's performance.</t>
  </si>
  <si>
    <t>Recent News:
 Corpay (CPAY) is expected to report strong earnings growth in its upcoming earnings release. The company is seen as a top momentum stock in the long-term, with its combination of positive Zacks Style Scores indicating its potential outperformance. Additionally, Corpay has been outperforming its sector peers so far this year.
 Financials:
 Corpay's financial data shows a healthy financial profile, with a market capitalization of $22.9 billion, a forward P/E ratio of 14.92, and a strong profitability margin of 26.4%. The company has a low debt-to-equity ratio of 265.6% and a solid cash position, with $1.4 billion in total cash. Corpay's revenue and earnings growth rates are also impressive, at 2.9% and 10%, respectively.
 Economic Outlook:
 The overall economic environment remains mixed, with signs of slowing growth and increased global uncertainty. However, the Federal Reserve is expected to cut interest rates, which could provide some support for the stock market. Corpay's position in the Transaction &amp; Payment Processing Services industry may allow it to navigate the current challenges better than some other sectors.</t>
  </si>
  <si>
    <t>Recent News:
 - The ongoing conflicts and political instability in various regions around the world, such as the escalating tensions between Israel and Lebanon, and the political changes in Japan, could have potential implications for the global economic and market environment, which may impact Omnicom Group's performance.
 - The successful recovery and capture of a SpaceX Starship booster could signal further progress in the space industry and potentially drive investment in related sectors, which could benefit Omnicom Group's advertising and marketing services.
 Financials:
 Omnicom Group's financial data shows a relatively strong position, with a market capitalization of $19.72 billion, a trailing P/E ratio of 13.81, and a forward P/E ratio of 11.70. The company's dividend rate of $2.80 and dividend yield of 2.77% also appear attractive. Additionally, Omnicom's profitability metrics, such as profit margins of 9.45% and return on equity of 33.92%, suggest a healthy financial performance.
 Economic Outlook:
 The U.S. economy is facing a mixed outlook, with signs of slowing growth and increasing global uncertainty. The Federal Reserve is expected to respond with a rate cut, which could provide some support for the stock market, including Omnicom Group. However, the upcoming U.S. presidential election and global political events could have significant implications for the market's performance.</t>
  </si>
  <si>
    <t>Recent News:
 - PepsiCo has successfully defended itself against a lawsuit brought by the New York Attorney General, which accused the company of contributing to plastic pollution in the Buffalo River. The judge criticized the lawsuit as "predatory," providing a favorable outcome for PepsiCo.
 - The company is also collaborating with major retailers to share data and improve sales forecasting, as it works to overhaul some of its top brands like Lay's potato chips to cater to consumers seeking more affordable options.
 - Analysts have highlighted PepsiCo as a top growth stock for the long-term, citing the company's strong fundamentals and potential for continued success.
 Financials:
 PepsiCo's financial data shows a relatively stable and healthy company. The stock is currently trading at a forward P/E ratio of 19.19, indicating that it may be fairly valued. The company has a strong dividend yield of 3.27% and a payout ratio of 77.29%, suggesting a commitment to shareholder returns. PepsiCo's profitability metrics, such as profit margins and return on assets and equity, are also solid.
 Economic Outlook:
 The broader economic environment remains mixed, with concerns about slowing job growth and the potential impact of global conflicts and natural disasters. However, the Federal Reserve's expected interest rate cut could provide some support for the stock market. PepsiCo's diversified business model and strong brand recognition may help it navigate the current economic challenges.</t>
  </si>
  <si>
    <t>Recent News:
 Philip Morris International (PM) has seen an impressive 8.03% rally in its stock price over the past week. This surge can be attributed to the company's strong performance in the recent quarter, with better-than-expected results and a positive outlook for the future.
 The company's strategic pivot towards less toxic tobacco products, such as IQOS and ZYN nicotine pouches, is paying off. ZYN's growing popularity, despite regulatory scrutiny and supply constraints, highlights the advantages of these products, including no known cancer risk, usability in banned areas, and no flavor ban by the FDA, unlike e-cigarettes.
 Financials:
 Philip Morris' financial data shows a robust performance, with a dividend yield of 4.13% and a payout ratio of 83.33%. The company's trailing P/E ratio of 20.74 and forward P/E ratio of 18.15 suggest that the stock is reasonably valued. Additionally, the company's strong market capitalization of $203.14 billion and enterprise value of $250.13 billion indicate its dominant position in the industry.
 Economic Outlook:
 The overall economic outlook remains mixed, with concerns about slowing job growth and the potential impact of global conflicts and natural disasters. However, the Federal Reserve's expected interest rate cut could provide some support for the stock market, including Philip Morris.</t>
  </si>
  <si>
    <t>Recent News:
 Palantir's shares have surged 93% since August, driven by strong demand for its AIP platform and expanding customer base. The AIP Bootcamp sales strategy is accelerating new customer acquisition, with conversions as fast as 16 days, boosting Palantir's growth prospects. Earnings outlook remains positive, with projected year-over-year growth in EPS and revenue, supported by Palantir's performance on key metrics like the Rule of 40.
 Financials:
 Palantir's financial data shows a strong performance, with a market capitalization of $93.9 billion and an enterprise value of $90.2 billion. The company's profitability metrics, such as profit margins and return on assets and equity, are also impressive. Palantir's cash position, with $3.9 billion in total cash, and low debt levels suggest a healthy financial position.
 Economic Outlook:
 The overall economic outlook remains mixed, with signs of slowing growth and increasing global uncertainty. However, the expected interest rate cut by the Federal Reserve could provide some support for the stock market, including Palantir. Additionally, the continued advancements in emerging technologies, such as artificial intelligence, are likely to have a growing influence on the stock market, which could benefit Palantir's business.</t>
  </si>
  <si>
    <t>Recent News: Palo Alto Networks, a leading cybersecurity firm, has delivered stronger-than-expected margin expansion in its fiscal year 2024 and provided robust guidance for further margin expansion in fiscal year 2025. This sets the company up for strong growth ahead, despite facing some disruptions in the cybersecurity sector, including CrowdStrike's outage and Palo Alto Networks' own caution on "spending fatigue." The company is focusing on expanding its platform within its client base to drive efficiency, even as it forecasts slower revenue growth of 13-14%.
 Financials: Palo Alto Networks' recent financial data shows a strong performance, with a market capitalization of $118.67 billion and an enterprise value of $116.91 billion. The company's profitability metrics, such as profit margins (32.11%) and return on equity (74.52%), are impressive. Additionally, the company's balance sheet is healthy, with $2.58 billion in total cash and a quick ratio of 0.771.
 Economic Outlook: The broader economic environment remains mixed, with signs of slowing growth and increasing global uncertainty. The Federal Reserve is expected to cut interest rates, which could provide some support for the stock market. However, the upcoming U.S. presidential election and ongoing global conflicts and natural disasters could continue to create volatility and uncertainty in the market.</t>
  </si>
  <si>
    <t>Recent News:
 Cummins (CMI) is expected to report its upcoming earnings next week, and the company is well-positioned to potentially beat market expectations. The construction machinery and heavy transportation equipment industry has faced some challenges, but Cummins has demonstrated its ability to navigate the market conditions effectively.
 Financials:
 Cummins' recent financial data shows a strong financial position, with a market capitalization of over $45 billion and a healthy balance sheet. The company's profitability metrics, such as profit margins and return on assets and equity, are also impressive. Additionally, Cummins has a solid dividend yield of 2.22%, which could be attractive to income-oriented investors.
 Economic Outlook:
 The overall economic outlook remains mixed, with signs of slowing growth and ongoing global uncertainties. However, the construction and transportation sectors are expected to continue playing a crucial role in the economy, which could benefit Cummins' business. The company's diversified product portfolio and global presence may also help it navigate the current market conditions.</t>
  </si>
  <si>
    <t>Recent News:
 The recent macroeconomic data and global events have painted a mixed picture for the overall market outlook. While the technology sector, led by companies like Nvidia, has continued to show strength, the broader market has faced volatility due to concerns over slowing economic growth, the Federal Reserve's monetary policy decisions, and ongoing geopolitical tensions around the world.
 Financials:
 Pool Corporation, a leading distributor of swimming pool supplies and equipment, has reported solid financial performance. The company's key metrics, such as revenue, EBITDA, and profitability, remain strong, indicating its ability to navigate the current market environment. The company's dividend yield and payout ratio also suggest a stable and shareholder-friendly approach.
 Economic Outlook:
 The mixed macroeconomic outlook, with signs of slowing growth and the Federal Reserve's expected rate cut, could have implications for the broader market and potentially impact Pool Corporation's performance. However, the company's diversified product portfolio and strong market position may help it weather the current challenges.</t>
  </si>
  <si>
    <t>Recent News: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 SpaceX achieved the first successful return and capture of a Super Heavy booster from Starship, the biggest and most powerful rocket ever to fly. This technological advancement could have positive implications for the space industry and potentially impact related sectors in the U.S. stock market.
 Financials:
 PTC Inc. is a leading provider of Application Software, with a market capitalization of $22.2 billion. The company's financial performance has been strong, with a trailing P/E ratio of 75.83 and a forward P/E ratio of 31.74. PTC's revenue growth has been slightly negative at -4.4%, but its earnings growth has been positive at 11.8%.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</si>
  <si>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 Microsoft's Azure revenue growth is expected to reaccelerate in the second half of fiscal year 2025, driven by strong investments in AI.
 - The company's commercial bookings and remaining performance obligations continued to accelerate in the first quarter of fiscal year 2025, supporting strong growth in cloud revenue going forward.
 - Microsoft's acquisition of Activision Blizzard King has contributed to a noteworthy 43% increase in its gaming revenue for the first quarter of 2024.
 - OpenAI has launched a new search engine feature within its ChatGPT platform, which could challenge traditional search engines like Google and Microsoft's Bing.
 - Microsoft's AI initiatives are delivering unprecedented growth, with the company's AI business on track to surpass $10 billion in annual revenue run rate next quarter.
 Financials:
 - Microsoft's first-quarter fiscal year 2025 results beat expectations, with strong performance in the Intelligent Cloud segment.
 - The company's gross margin experienced some contraction, but its operating margin remained resilient and is expected to expand further year-over-year in the second quarter, driven by ongoing cost optimization efforts.
 - Microsoft's capital expenditure was $14.92 billion in the first quarter, and the company guided for even higher capex going forward to support its AI and cloud initiatives.
 Economic Outlook:
 - The U.S. economy is facing a mixed outlook, with signs of slowing growth and increasing global uncertainty.
 - The Federal Reserve is expected to respond to these developments by cutting interest rates by a quarter-point at its next meeting, as the central bank seeks to support the economy.
 - The upcoming U.S. presidential election and global political events could have significant implications for the stock market.</t>
  </si>
  <si>
    <t>Recent News:
 Micron Technology, a leading semiconductor manufacturer, has announced strong results for fiscal Q4 2024, marking a dramatic turnaround for the company. The company's performance has been bolstered by a recovery in memory prices and growing demand, particularly in the AI sector. As memory prices continue to rise and demand for AI solutions increases, Micron is well-positioned to see robust sales and profit growth in 2025.
 Financials:
 Micron's latest financial data shows a strong financial position, with a market cap of around $110 billion and a healthy balance sheet. The company's stock has been volatile in 2024, but it has shown signs of recovery, with the stock price currently trading around $100 per share. Micron's financial metrics, such as profitability, liquidity, and debt levels, suggest the company is well-positioned to navigate the current market conditions.
 Economic Outlook:
 The overall economic outlook remains mixed, with signs of slowing growth and increased global uncertainty. However, the semiconductor industry, in which Micron operates, is expected to continue its long-term growth trajectory, driven by the increasing demand for AI, data storage, and other emerging technologies. The Federal Reserve's expected interest rate cut could also provide some support for the stock market, including Micron's share price.</t>
  </si>
  <si>
    <t>Recent News:
 Mastercard Incorporated (NYSE: MA) has reported strong earnings for the third quarter, surpassing Wall Street's expectations. The company's robust revenue and earnings per share (EPS) growth were driven by resilient consumer spending and strategic growth in value-added services. Mastercard's Q3 results benefited from strong cross-border volumes and demand for its value-added offerings, despite rising operating expenses.
 Financials:
 Mastercard's financial data indicates a healthy financial position. The company's stock price has been trading in the range of $498.53 to $510.55, with a previous close of $499.59. Mastercard's dividend rate stands at $2.64, with a dividend yield of 0.52%. The company's trailing P/E ratio is 38.46, and the forward P/E ratio is 30.94, suggesting that the stock may be reasonably valued.
 Economic Outlook:
 The U.S. economy is facing a mixed outlook, with some concerning signs emerging in the latest economic data, such as the weaker-than-expected job growth in October. However, the Federal Reserve is expected to respond by cutting interest rates, which could provide some support for the stock market. Additionally, the continued advancements in emerging technologies, such as Mastercard's new AI-powered digital assistant, may contribute to the company's growth potential.</t>
  </si>
  <si>
    <t>Recent News:
 - The Israel Defense Forces have invaded southern Lebanon, escalating the conflict between Israel and Hezbollah. This development in the Middle East could have implications for the global economy and the stock market.
 - The Japanese parliament has elected a new prime minister, Shigeru Ishiba, who has called for a snap election. This political change in Japan may lead to policy shifts and market uncertainty.
 - Iran has attacked Israel with ballistic missiles in response to Israel's offensive against Hezbollah in Lebanon, further escalating tensions in the Middle East.
 Financials:
 Danaher Corporation, a leading provider of life sciences tools and services, has demonstrated a strong financial performance. The company's key financial metrics, such as revenue growth, profitability, and cash flow, suggest a healthy and stable business. However, the company's valuation, as indicated by its high price-to-earnings ratio, may be a concern for some investors.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market.</t>
  </si>
  <si>
    <t>Recent News:
 Deckers (DECK) has been attracting significant investor attention lately, with the company continuing to deliver impressive growth. The company's recent earnings report showcased another quarter of blowout growth, surpassing market expectations. This fast-growing stock has also recently undergone a stock split, further enhancing its appeal to growth investors.
 Financials:
 Deckers' financial data indicates a strong and healthy company. The stock is currently trading at a forward P/E ratio of 24.94, suggesting that it is reasonably valued. The company's profit margins are also healthy at 18.8%, and it has a strong balance sheet with a quick ratio of 2.052 and a current ratio of 3.085. Additionally, Deckers has a low debt-to-equity ratio of 11.633, indicating a conservative approach to financing.
 Economic Outlook:
 The overall economic outlook remains mixed, with signs of slowing growth and increased global uncertainty. However, the Federal Reserve's expected interest rate cut could provide some support for the stock market. Additionally, the continued advancements in emerging technologies, such as the successful recovery and capture of a SpaceX Starship booster, could have positive implications for related sectors, including the footwear industry.</t>
  </si>
  <si>
    <t>Recent News:
 - The homebuilding industry has faced challenges due to rising interest rates, supply chain disruptions, and economic uncertainty. However, NVR, Inc. has continued to perform well, with strong financial results and a positive outlook.
 - The company's latest quarterly earnings report showed a 6% increase in revenue and a 4.2% increase in earnings per share compared to the same period last year.
 - NVR has also been actively expanding its operations, with the recent acquisition of a land development company to strengthen its position in the market.
 Financials:
 - NVR's financial metrics are generally strong, with a healthy profit margin of 15.9%, a low debt-to-equity ratio of 23.8%, and a robust cash position of $2.47 billion.
 - The company's valuation ratios, such as a forward P/E of 17.3 and a price-to-book ratio of 6.6, suggest that the stock may be reasonably priced.
 - NVR's return on assets and return on equity are also impressive at 20% and 38.7%, respectively, indicating efficient use of its resources.
 Economic Outlook:
 - The overall economic environment remains mixed, with concerns about slowing growth and the potential impact of global conflicts and natural disasters.
 - However, the Federal Reserve's expected interest rate cut could provide some support for the housing market and the broader economy.
 - The upcoming U.S. presidential election could also have implications for the homebuilding industry, depending on the candidates' policy proposals.</t>
  </si>
  <si>
    <t>Recent News:
 The recent news suggests that NextEra Energy (NEE) is performing well compared to its peers in the utilities sector. The company continues to benefit from improving economic conditions, declining interest rates, and rising demand from its customers across the United States. NextEra's diverse business model and focus on renewable energy sources are seen as key drivers of its strong performance.
 Financials:
 NextEra Energy's financial data indicates a healthy company with a market capitalization of over $159 billion. The company has a strong balance sheet, with a low debt-to-equity ratio and a solid cash position. Its profitability metrics, such as profit margins and return on assets and equity, are also favorable. The company's dividend yield of 2.66% is also attractive for income-oriented investors.
 Economic Outlook:
 The overall economic outlook for the utilities sector appears mixed, with some concerns about slowing job growth and the potential impact of global conflicts and natural disasters. However, the Federal Reserve's expected interest rate cut could provide some support for the sector. Additionally, the growing demand for renewable energy and NextEra's focus on this area may position the company well for the future.</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</si>
  <si>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Shigeru Ishiba as the new prime minister, with the Liberal Democratic Party forming the majority. The new prime minister has called for a snap election, which could lead to policy changes and market uncertainty in Japan, potentially affecting the US stock market.
 - Iran has attacked Israel with ballistic missiles in response to Israel's offensive against Hezbollah in Lebanon. This further escalation of tensions in the Middle East could have broader geopolitical and economic implications, potentially impacting the US stock market.
 Financials:
 Nordson Corporation, a leading manufacturer of industrial machinery and equipment, has reported strong financial performance in recent quarters. The company's revenue has grown by 2% year-over-year, and its profitability remains healthy, with a profit margin of 17.7%. Nordson's balance sheet is also in good shape, with a current ratio of 2.362 and a manageable debt-to-equity ratio of 56.5%.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</si>
  <si>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Eaton Corporation (ETN) reported better-than-expected earnings for the third quarter, with earnings per share of $2.84 beating the Zacks Consensus Estimate of $2.80. The company also raised its full-year segment margin and earnings per share guidance, indicating strong demand and operational performance.
 Financials:
 Eaton's financial data shows a healthy financial position, with a market capitalization of over $132 billion, a price-to-earnings ratio of 35.6, and a forward P/E ratio of 28.08. The company has a strong balance sheet, with $1.99 billion in total cash and a current ratio of 1.53. Eaton's profitability metrics, such as profit margins, return on assets, and return on equity, are also solid.
 Economic Outlook:
 The overall economic outlook remains mixed, with signs of slowing growth and increased global uncertainty. The Federal Reserve is expected to cut interest rates in the near term, which could provide some support for the stock market. However, the upcoming U.S. presidential election and ongoing geopolitical tensions could introduce volatility and uncertainty in the coming months.</t>
  </si>
  <si>
    <t>Recent News: Moody's (MCO) is well-positioned to outperform the market, as it exhibits above-average growth in financials. The company's strong financial performance, with a focus on emerging technologies and global expansion, suggests it could continue to deliver solid growth in the coming months.
 Financials: Moody's financial data shows a robust performance, with a market capitalization of over $82 billion, a strong balance sheet, and healthy profitability metrics. The company's revenue growth, earnings growth, and profit margins are all above industry averages, indicating its ability to generate consistent returns for investors.
 Economic Outlook: The mixed macroeconomic environment, with concerns about slowing economic growth and global uncertainties, may present both challenges and opportunities for Moody's. The company's diversified business model and focus on emerging technologies could help it navigate the current market conditions and capitalize on new growth opportunities.</t>
  </si>
  <si>
    <t>Recent News:
 MSCI, a leading provider of investment decision support tools, has reported strong financial results for the third quarter of 2024. The company's revenue grew 15.9% year-over-year, beating market expectations, driven by robust growth in its index and analytics segments. MSCI also saw expanding profit margins, indicating its ability to manage costs effectively.
 While the company has faced some near-term challenges, such as elevated cancellations and longer sales cycles, the recovery in fund inflows and record-high AUM balances are positive indicators for the company's future performance. Analysts have reiterated their buy rating on MSCI, citing the firm's strong underlying growth and solid demand outlook.
 Firm Financials:
 MSCI's financial data shows a healthy and stable company. The firm's stock price has been trading in the range of $570-$579 over the past week, with a previous close of $571.2. The company's dividend rate stands at $6.4, with a dividend yield of 1.11%. MSCI's valuation metrics, such as a trailing P/E ratio of 38.02 and a forward P/E ratio of 33.92, suggest that the stock is reasonably priced.
 Economic Outlook:
 The broader economic environment remains mixed, with some concerning signs emerging, such as a significant slowdown in job creation. However, the Federal Reserve is expected to respond by cutting interest rates, which could provide support for the stock market. Additionally, the upcoming U.S. presidential election and ongoing global conflicts and natural disasters may introduce volatility and uncertainty in the market.</t>
  </si>
  <si>
    <t>Recent News:
 - The ongoing global conflicts, including the escalation of tensions between Israel and Lebanon, as well as the political changes in Japan, could have potential implications for Nasdaq, Inc. and the broader financial markets.
 - The successful recovery and capture of a SpaceX Starship booster, a significant technological advancement, may signal further progress in the space industry and potentially drive investment in related sectors, which could benefit Nasdaq as a financial exchange.
 - The recent breach of the Internet Archive and the resulting cybersecurity concerns could raise investor awareness about data privacy and security, potentially affecting investor sentiment in the technology sector and the broader stock market, including Nasdaq.
 Financials:
 - Nasdaq, Inc. has a strong financial profile, with a market capitalization of $42.7 billion and a healthy balance sheet, including $276 million in total cash.
 - The company's profitability metrics, such as profit margins (13.67%) and return on equity (10.89%), suggest a well-performing business.
 - Nasdaq's valuation metrics, including a forward P/E ratio of 23.67 and a price-to-sales ratio of 6.09, indicate that the stock may be reasonably priced.
 Economic Outlook:
 - The U.S. economy is facing a mixed outlook, with signs of slowing growth and increasing global uncertainty. The Federal Reserve is expected to respond with a rate cut, which could provide some support for the stock market, including Nasdaq.
 - The upcoming U.S. presidential election and the potential policy changes it may bring could have significant implications for the financial markets and Nasdaq's performance.
 - Emerging technologies, such as advancements in the space industry, may also play a role in shaping the market's performance and potentially benefit Nasdaq as a financial exchange.</t>
  </si>
  <si>
    <t>Recent News:
 The recent news surrounding Netflix, Inc. (NFLX) has been a mix of positive and negative developments. On the positive side, Netflix has been highlighted as a "monster stock" that has turned $10,000 into almost $5.6 million in 20 years, showcasing its impressive long-term performance. Additionally, the company's stock has been heavily searched by investors, indicating strong interest in the company.
 However, there are also some concerns about the company's valuation, with analysts suggesting that Netflix stock could potentially fall to $400. This comes despite the stock's strong year-to-date performance, which has outpaced rival Disney. There have also been some changes in Netflix's senior executive ranks, with the company's Chief Communications Officer and Global Public Policy VP both announcing their departure.
 Financials:
 Netflix's latest financial data shows a strong performance, with the company exhibiting above-average growth in key metrics such as revenue, earnings, and free cash flow. The company's market capitalization stands at over $323 billion, and its stock has a forward P/E ratio of 31.8, suggesting that it is still considered a growth stock by investors.
 Economic Outlook:
 The broader economic environment remains mixed, with concerns about slowing job growth and the potential for further interest rate cuts by the Federal Reserve. However, the underlying fundamentals of the U.S. economy remain relatively strong, and the stock market is expected to continue its long-term upward trend, despite potential volatility in the near term.</t>
  </si>
  <si>
    <t>Recent News:
 Domino's Pizza, the leading pizza delivery chain, has been making headlines in the recent weeks. The company has been actively expanding its global footprint, with the opening of new stores in various international markets. Additionally, Domino's has been investing heavily in technology and digital platforms to enhance its customer experience and drive sales.
 Financials:
 Domino's financial performance has been solid, with the company reporting strong revenue and earnings growth in the latest quarter. The company's profitability metrics, such as profit margins and EBITDA margins, have remained healthy, indicating a well-managed business. Domino's has also maintained a strong balance sheet, with a healthy cash position and manageable debt levels.
 Economic Outlook:
 The overall economic environment remains mixed, with some signs of slowing growth and increased global uncertainty. However, the restaurant industry, particularly the pizza delivery segment, has generally been resilient in the face of economic challenges. Domino's has demonstrated its ability to adapt to changing market conditions and capitalize on consumer trends, such as the growing demand for convenient and affordable meal options.</t>
  </si>
  <si>
    <t>Recent News:
 Dominion Energy (D) has reported strong Q3 earnings, beating Wall Street estimates on lower operating expenses. The company plans to invest $43 billion in the next five years, focusing on regulated investments and higher sales volume. Dominion is also discussing small modular nuclear reactors with other large data center customers, as it serves the largest data center market in the world in northern Virginia.
 Financials:
 Dominion Energy's financial data shows a stable and well-performing utility company. The stock has a reasonable valuation, with a forward P/E ratio of 17.40 and a dividend yield of 4.53%. The company's profitability metrics, such as profit margins and return on equity, are also healthy. Dominion's balance sheet appears strong, with a manageable debt-to-equity ratio of 156.78%.
 Economic Outlook:
 The U.S. economy is facing a mixed outlook, with signs of slowing growth and increasing global uncertainty. However, the Federal Reserve is expected to cut interest rates, which could provide some support for the stock market. Dominion Energy's regulated utility business model and focus on investments in renewable energy and infrastructure projects may help the company navigate the current economic environment.</t>
  </si>
  <si>
    <t>Recent News:
 Electronic Arts (EA) has continued to focus on its live service offerings, which has driven top-line growth and enhanced margins. The company's Q2 2025 revenues increased by 5.80% year-over-year to $2.03 billion, driven by the strength in its full games segment. Analysts remain bullish on EA, citing the company's potential for growth alongside its popular sports game franchises.
 Financials:
 Electronic Arts' financial performance has been solid, with the company surpassing earnings and revenue estimates in the latest quarter. The company's net bookings for Q2 2025 reached a record $2.079 billion, up 14% year-over-year, driven by the strong performance of its American football and Sims titles. Additionally, the company's focus on live services has helped to improve its margins, with the operating margin reaching 21.5% in the quarter.
 Economic Outlook:
 The broader economic environment remains mixed, with some concerning signs emerging, such as the recent slowdown in job growth. However, the Federal Reserve is expected to respond by cutting interest rates, which could provide some support for the stock market. Additionally, the continued advancements in emerging technologies, such as the successful recovery and capture of a SpaceX Starship booster, could have positive implications for the video game industry and related sectors.</t>
  </si>
  <si>
    <t>Recent News:
 Meta Platforms, the parent company of Facebook and Instagram, has been making significant strides in the artificial intelligence (AI) space. The company's Llama AI models are proving to be highly competitive with leading industry models, enhancing its advertising and social media platforms. Additionally, Meta's partnerships with major hyperscalers and the introduction of lightweight Llama models for smartphones could revolutionize AI adoption and monetization.
 Furthermore, Meta's development of its own AI-based search engine is a strategic move to reduce its reliance on Google and Microsoft's Bing. This shift aligns with the company's goal of decreasing its dependence on its tech peers.
 Financials:
 Meta Platforms' recent financial performance has been strong, with the company reporting a double-beat in its Q3 2024 earnings. The company's revenue grew by 19% year-over-year, and its earnings per share reached $6.03, both exceeding Wall Street expectations.
 Despite the strong financial results, Meta has faced some investor concerns regarding its spending on AI and the Reality Labs division. The company has warned of a "significant acceleration" in costs tied to AI, as it continues to invest heavily in this area.
 Economic Outlook:
 The broader economic landscape remains mixed, with some concerning signs emerging in the latest data. The October jobs report showed a significant slowdown in job creation, and the Federal Reserve is expected to respond by cutting interest rates at its next meeting.
 However, the underlying fundamentals of the U.S. economy remain relatively strong, and the stock market is expected to continue its long-term upward trend over the next 1-2 years, despite potential volatility and uncertainty along the way.</t>
  </si>
  <si>
    <t>Recent News:
 Monolithic Power Systems, Inc. (MPWR) reported strong Q3 FY24 earnings, with revenues rising year-over-year. The company's position in the AI GPU market remains unique, and it is expected to see more content and unit gains as AI power needs expand. However, the stock has pulled back by 18% following the earnings release, as the market is treating MPWR like an AI name, with the RSI hitting oversold territory on guidance.
 Financials:
 Monolithic Power's financial data shows a strong company with a market capitalization of over $37 billion. The company has a high forward P/E ratio of 44.15, indicating that the market expects strong future growth. The company's profitability metrics, such as profit margins, return on assets, and return on equity, are also impressive.
 Economic Outlook:
 The overall economic outlook remains mixed, with signs of slowing growth and increasing global uncertainty. The Federal Reserve is expected to cut interest rates in response, which could provide some support for the stock market. However, the upcoming U.S. presidential election and ongoing global conflicts and natural disasters could continue to create volatility in the market.</t>
  </si>
  <si>
    <t>Recent News:
 The recent news surrounding Dell Technologies has been largely positive, with the company poised to gain market share amid troubles at rival Super Micro Computer. Analysts suggest that Dell is likely to be a major beneficiary of Super Micro's challenges, which could create bullish catalysts for Dell stock. Additionally, Dell Technologies has been a trending stock, attracting attention from investors and analysts alike.
 Financials:
 Dell's financial data shows a strong performance, with the stock price surging in recent trading sessions. The company's key financial metrics, such as revenue, earnings, and profitability, appear to be healthy. Dell's valuation metrics, including a forward P/E ratio of 13.95, suggest that the stock may be reasonably priced compared to its growth potential.
 Economic Outlook:
 The broader economic environment remains mixed, with some signs of slowing growth and ongoing global uncertainties. However, the Federal Reserve's expected interest rate cut could provide some support for the stock market, including Dell Technologies. Additionally, the continued advancements in emerging technologies, such as the successful recovery of a SpaceX Starship booster, may have positive implications for the technology sector, including Dell.</t>
  </si>
  <si>
    <t>Recent News: Deere (DE) has an impressive earnings surprise history and currently possesses the right combination of the two key ingredients for a likely beat in its next quarterly report. The company's strong financial performance and positive outlook suggest it may continue to outperform market expectations.
 Financials: Deere's recent financial data shows a healthy company with a market capitalization of over $109 billion. The company's profitability metrics, such as profit margins, return on assets, and return on equity, are relatively strong. Additionally, Deere's balance sheet appears solid, with a quick ratio of 1.798 and a current ratio of 2.078, indicating a strong liquidity position.
 Economic Outlook: The U.S. economy is facing a mixed outlook, with signs of slowing growth and increasing global uncertainty. However, the Federal Reserve's expected interest rate cut could provide some support for the market, which may benefit companies like Deere operating in the agricultural and farm machinery industry.</t>
  </si>
  <si>
    <t>Recent News:
 Wall Street analysts have been largely positive on Lowe's (LOW) stock, with many recommending it as a "Buy." The company's strong financial performance and growth potential in the home improvement retail industry have contributed to this favorable outlook.
 Financials:
 Lowe's recent financial data shows a mixed picture. The company's stock price has fluctuated, with the current price at $261.57 on the low end of its 52-week range of $189.05 to $287.01. However, Lowe's has a strong balance sheet, with a market capitalization of $148.6 billion and a healthy dividend yield of 1.76%. The company's profitability metrics, such as profit margins and return on assets, are also relatively strong.
 Economic Outlook:
 The overall economic environment remains uncertain, with concerns about slowing job growth and the potential impact of global conflicts and natural disasters. However, the home improvement sector has generally been resilient, as homeowners continue to invest in their properties. The Federal Reserve's expected interest rate cut could also provide some support for the market.</t>
  </si>
  <si>
    <t>Recent News:
 KLA Corporation (KLAC) has reported strong first-quarter fiscal 2025 results, with earnings and revenue beating analyst estimates. The company's Semiconductor Process Control segment performed robustly, driving the overall performance. Additionally, KLA has provided a positive outlook for the second quarter, forecasting revenue above Wall Street estimates. This is attributed to the growing demand for chips to support artificial intelligence workloads.
 Financials:
 KLA's financial data shows a healthy financial position. The company has a market capitalization of $89.5 billion and a strong balance sheet, with $4.6 billion in total cash. KLA's profitability metrics, such as profit margins, return on assets, and return on equity, are also impressive. The company's valuation ratios, including a forward P/E of 20.2 and a PEG ratio of 1.45, suggest that the stock may be reasonably valued.
 Economic Outlook:
 The overall economic outlook remains mixed, with signs of slowing growth and ongoing global uncertainties. However, the semiconductor industry, which KLA serves, is expected to benefit from the increasing demand for chips driven by the growth of artificial intelligence and other emerging technologies. The Federal Reserve's interest rate decisions and the outcome of the U.S. presidential election could also have implications for the stock market and KLA's performance.</t>
  </si>
  <si>
    <t>Recent News:
 Erie Indemnity (ERIE) reported strong Q3 earnings, with earnings per share of $3.06 beating the consensus estimate of $2.99. The company's performance was driven by improved results in both personal and commercial lines. This positive earnings surprise suggests that Erie Indemnity is navigating the current economic environment effectively.
 Financials:
 Erie Indemnity's financial data indicates a healthy and stable company. The firm has a strong balance sheet, with a low debt-to-equity ratio of 0.406 and a quick ratio of 1.231, suggesting good liquidity. Additionally, the company's profitability metrics, such as profit margins, return on assets, and return on equity, are all within reasonable ranges.
 Economic Outlook:
 The broader economic outlook remains mixed, with signs of slowing growth and ongoing global uncertainties. However, the Federal Reserve's expected interest rate cut could provide some support for the stock market in the near term. Erie Indemnity's diversified business model and strong financial position may help the company weather the current economic challenges.</t>
  </si>
  <si>
    <t>Recent News:
 - The Internet Archive suffered a breach of 31 million user passwords, which could raise concerns about data privacy and security, potentially affecting investor sentiment in the technology sector and the broader U.S. stock market.
 - SpaceX achieved the first successful return and capture of a Super Heavy booster from Starship, the biggest and most powerful rocket ever to fly. This technological advancement could have positive implications for the space industry and potentially impact related sectors.
 Financials:
 FactSet, a leading provider of financial data and analytics, has reported strong financial performance in recent quarters. The company's revenue has grown by 4.9% year-over-year, and its profitability remains robust, with a profit margin of 24.4%. FactSet's balance sheet is also healthy, with a quick ratio of 1.08 and a current ratio of 1.253, indicating a strong liquidity position.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</si>
  <si>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 The Internet Archive suffered a breach of 31 million user passwords, which could raise concerns about data privacy and security, potentially affecting investor sentiment in the technology sector and the broader U.S. stock market.
 - SpaceX achieved the first successful return and capture of a Super Heavy booster from Starship, the biggest and most powerful rocket ever to fly. This technological advancement could have positive implications for the space industry and potentially impact related sectors.
 Financials:
 MarketAxess, a leading electronic trading platform for fixed-income securities, has reported strong financial performance. The company's key metrics, such as revenue growth, profitability, and cash flow, suggest a healthy financial position.
 Economic Outlook:
 The U.S. economy is facing a mixed outlook, with signs of slowing growth and increasing global uncertainty. The Federal Reserve is expected to respond with a rate cut, which could provide some support for the stock market. However, the upcoming U.S. presidential election and global political events could have significant implications for the market's performance.</t>
  </si>
  <si>
    <t>Recent News:
 Cintas (CTAS) stock has been outperforming its industrial products peers so far this year. The company's shares have gained over 58% year-to-date, compared to a 31% increase for the S&amp;P 500 index. This strong performance can be attributed to Cintas' resilient business model and its ability to navigate the challenging economic environment.
 Financials:
 Cintas' latest financial data shows a healthy financial position. The company's previous close was $205.81, with a 52-week range of $128.92 to $215.37. Cintas has a market capitalization of $82.9 billion and a trailing P/E ratio of 52.06. The company's profitability metrics, such as profit margins (16.8%) and return on equity (40.5%), indicate a strong operational performance.
 Economic Outlook:
 The overall economic outlook remains mixed, with signs of slowing growth and increasing global uncertainty. The Federal Reserve is expected to cut interest rates in the coming weeks, which could provide some support for the stock market. However, the upcoming U.S. presidential election and ongoing geopolitical tensions could introduce volatility in the market.</t>
  </si>
  <si>
    <t>Recent News:
 Church &amp; Dwight (CHD) reported strong Q3 earnings, beating consensus estimates. The company's robust brand equity, commitment to innovation, and successful new product launches have driven sales growth despite the challenging consumer spending landscape. The company's resilient performance reflects the strength of its household products portfolio.
 Financials:
 Church &amp; Dwight's financial data shows a healthy financial position. The company has a market capitalization of $25.7 billion, with a price-to-earnings ratio of 46.97 and a forward P/E of 28.01. The company's dividend yield is 1.08%, and it has a payout ratio of 50.39%. The company's profitability metrics, such as profit margins, return on assets, and return on equity, are also solid.
 Economic Outlook:
 The U.S. economy is facing a mixed outlook, with signs of slowing growth and increasing global uncertainty. The Federal Reserve is expected to cut interest rates in the near term, which could provide some support for the stock market. However, the upcoming U.S. presidential election and global political events could have significant implications for the market.</t>
  </si>
  <si>
    <t>Recent News:
 - The Israel Defense Forces have invaded southern Lebanon, escalating the conflict between Israel and Hezbollah. This development in the Middle East could have implications for the overall stability in the region and potentially impact the U.S. stock market.
 - The Japanese parliament has elected a new prime minister, Shigeru Ishiba, who has called for a snap election. This political change in Japan could lead to policy shifts and market uncertainty, which may affect the U.S. stock market.
 - Iran has attacked Israel with ballistic missiles in response to Israel's offensive against Hezbollah in Lebanon. The further escalation of tensions in the Middle East could have broader geopolitical and economic implications, potentially impacting the U.S. stock market.
 Financials:
 Northrop Grumman, a leading aerospace and defense company, has reported strong financial performance in recent quarters. The company's revenue and earnings growth have been solid, and it has maintained a healthy balance sheet with a low debt-to-equity ratio. Northrop Grumman's profitability metrics, such as profit margins and return on assets, are also favorable.
 Economic Outlook:
 The U.S. economy is facing a mixed outlook, with signs of slowing growth and increasing global uncertainty. The Federal Reserve is expected to respond with a rate cut, which could provide some support for the stock market. However, the upcoming U.S. presidential election and ongoing global conflicts and natural disasters could introduce volatility and uncertainty in the market.</t>
  </si>
  <si>
    <t>Recent News:
 Oracle has announced a new AI-powered electronic health record (EHR) system, which is the company's most significant healthcare product update since acquiring Cerner in 2022. This move positions Oracle to better compete in the growing healthcare technology market. Additionally, Oracle has applied to join a federally-backed medical information exchange network, which could further expand the company's presence in the healthcare sector.
 Financials:
 Oracle's financial data shows a strong performance, with a market capitalization of over $471 billion and a forward P/E ratio of 23.75, indicating the stock is reasonably valued. The company's profitability metrics, such as profit margins and return on equity, are also healthy. However, the company's debt-to-equity ratio is relatively high at 749.98, which could be a concern for some investors.
 Economic Outlook:
 The overall economic outlook remains mixed, with signs of slowing growth and increased global uncertainty. The Federal Reserve is expected to cut interest rates, which could provide some support for the stock market. However, the upcoming U.S. presidential election and ongoing geopolitical tensions could introduce volatility in the market.</t>
  </si>
  <si>
    <t>Recent News:
 The recent news surrounding Northern Trust (NTRS) has been largely positive, with several analysts upgrading the stock and highlighting its growth potential. Key highlights include:
 - Surging earnings estimates and a Zacks Rank #1 (Strong Buy) rating, indicating growing optimism about the company's earnings prospects.
 - Indicators pointing to top-line growth, strong profit margins, and improving factors impacting the bottom line.
 - Consistently well-above regulatory minimum capital levels and stellar credit ratings from top agencies.
 Financials:
 Northern Trust's financial data shows a strong and stable company. Key metrics include:
 - Healthy profit margins of 21.5%
 - Robust return on assets (1.12%) and return on equity (13.73%)
 - Solid cash flow from operations of $4.95 billion
 - Reasonable valuation with a forward P/E of 13.5x
 Economic Outlook:
 The overall economic outlook remains mixed, with signs of slowing growth and global uncertainty. However, the Federal Reserve's expected interest rate cut could provide some support for the market. Northern Trust, as an asset manager, may benefit from a more accommodative monetary policy environment.</t>
  </si>
  <si>
    <t>Recent News:
 - The Israel-Lebanon conflict has escalated, with the Israel Defense Forces invading southern Lebanon and Iran attacking Israel with ballistic missiles. This ongoing geopolitical tension in the Middle East could have broader implications for the global economy and energy markets, potentially impacting ONEOK's operations and financial performance.
 - The 2024 U.S. presidential election is shaping up to be a closely watched event, with a rematch between former president Donald Trump and Vice President Kamala Harris. The outcome of this election could have significant implications for the energy industry and ONEOK's business.
 Financials:
 ONEOK, a leading midstream energy company in the Oil &amp; Gas Storage &amp; Transportation industry, has reported strong financial performance in recent quarters. The company's revenue growth of 19.9% and earnings growth of 19.2% demonstrate its ability to navigate the current market environment. Additionally, ONEOK's profitability metrics, such as gross margins of 39.2% and EBITDA margins of 28.2%, suggest a well-managed and efficient operation.
 Economic Outlook:
 The U.S. economy is facing a mixed outlook, with signs of slowing growth and increasing global uncertainty. The Federal Reserve is expected to respond with a rate cut, which could provide some support for the stock market. However, the ongoing geopolitical tensions and the upcoming U.S. presidential election could introduce volatility and uncertainty in the market, potentially affecting ONEOK's performance.</t>
  </si>
  <si>
    <t>Recent News:
 The recent news surrounding PayPal highlights the company's strategic focus on launching innovative products and initiatives to drive profitability growth. Key developments include the expansion of its Fastlane service, which is gaining traction with over 1,000 merchants and large enterprise customers. Additionally, PayPal's partnerships with industry players like Amazon, Shopify, and Apple are enhancing its market position and mitigating competitive risks.
 Financials:
 PayPal's financial data shows a mixed performance, with strong EPS growth but flat revenue and lackluster holiday quarter guidance. However, the company has demonstrated improved fundamentals, including increased transactions per active account and strong cash flow, despite the weak revenue growth. PayPal's aggressive strategic partnerships and focus on quality revenue suggest a strong turnaround and long-term growth potential.
 Economic Outlook:
 The broader economic landscape remains uncertain, with signs of slowing growth and increasing global uncertainty. The Federal Reserve is expected to respond with a rate cut, but there are debates within the central bank about the appropriate path forward. Despite these challenges, the underlying fundamentals of the U.S. economy remain relatively strong, and the stock market is expected to continue its long-term upward trend over the next 1-2 years.</t>
  </si>
  <si>
    <t>Recent News:
 Air Products is well-positioned to benefit from the growing demand for clean hydrogen. The company has a stable, long-term contracted core business and is increasingly taking on development risk with its hydrogen projects. This strategic shift aligns with the global decarbonization drive, as hydrogen is being increasingly adopted in various industries.
 Financials:
 Air Products' financial data shows a strong and stable company. The firm has a market capitalization of over $68 billion, a healthy dividend yield of 2.29%, and a trailing P/E ratio of 26.89. Additionally, the company has a solid balance sheet with a quick ratio of 1.028 and a current ratio of 1.269, indicating strong liquidity.
 Economic Outlook:
 The overall economic outlook remains mixed, with signs of slowing growth and global uncertainty. However, the expected interest rate cut by the Federal Reserve could provide some support for the stock market. Additionally, the continued advancements in emerging technologies, such as hydrogen, may positively impact Air Products' performance.</t>
  </si>
  <si>
    <t>Recent News:
 Alphabet's (GOOGL) stock has been in the spotlight recently, as the company impressively exceeded Q3 expectations and posted stellar quarterly growth. Investors are now wondering if it's time to buy the stock for another bounce higher. Additionally, Alphabet has been recognized as a top momentum stock for the long-term, with its strong Zacks Style Scores indicating its potential to outperform the market.
 Financials:
 Alphabet's latest financial data shows a strong performance, with the company beating both earnings and revenue estimates for the third quarter. The company's key metrics, such as revenue, EPS, and profit margins, have all improved compared to the year-ago period and Wall Street estimates. Alphabet's financial position remains robust, with a healthy balance sheet and strong cash flow generation.
 Economic Outlook:
 The broader economic environment remains mixed, with signs of slowing growth and increasing global uncertainty. However, the Federal Reserve is expected to respond with a rate cut, which could provide some support for the stock market. Additionally, the continued advancements in emerging technologies, such as Alphabet's core business in the interactive media and services industry, may play a role in shaping the market's performance.</t>
  </si>
  <si>
    <t>Recent News:
 Alphabet Inc. (GOOG) recently reported strong Q3 earnings, beating both earnings and revenue estimates. The company's earnings per share came in at $2.12, surpassing the Zacks Consensus Estimate of $1.83 per share. This represents a significant improvement compared to the $1.55 per share reported in the same quarter a year ago.
 Financials:
 Alphabet's latest financial data shows a mixed picture. The company's stock has seen some volatility, with the share price fluctuating between $170.31 and $173.82 during the recent trading session. However, the company's fundamentals remain relatively strong, with a market capitalization of over $2 trillion and a healthy balance sheet.
 Economic Outlook:
 The broader economic environment remains uncertain, with concerns about slowing growth and the potential impact of global conflicts and natural disasters. The Federal Reserve is expected to cut interest rates in the near term, which could provide some support for the stock market. However, the upcoming U.S. presidential election and ongoing geopolitical tensions could also introduce additional volatility.</t>
  </si>
  <si>
    <t>Recent News:
 - The ongoing global conflicts, including the escalation of the Israel-Lebanon conflict, have raised concerns about the potential impact on the overall stability in the Middle East region, which could indirectly affect the stock market.
 - The successful recovery and capture of a SpaceX Starship booster has signaled further progress in the space industry, potentially driving investment in related sectors.
 - The cybersecurity incident at the Internet Archive has raised concerns about data privacy and security, which could affect investor sentiment in the technology sector and the broader stock market.
 Financials:
 Ansys, a leading provider of engineering simulation software, has reported strong financial performance in recent quarters. The company's revenue growth of 19.6% and earnings growth of 85% demonstrate its ability to capitalize on the growing demand for its products and services. Additionally, Ansys maintains a healthy balance sheet with a quick ratio of 2.859 and a low debt-to-equity ratio of 15.576, indicating financial stability.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stock market.</t>
  </si>
  <si>
    <t>Recent News:
 Allegion (ALLE) has been identified as a top value stock in the Building Products industry, according to the Zacks Style Scores. The company's strong financial performance and growth potential make it an attractive investment option for long-term investors.
 Financials:
 Allegion's recent financial data shows a strong financial position, with a market capitalization of $12.15 billion and a healthy balance sheet. The company's profitability metrics, such as profit margins, return on assets, and return on equity, are also impressive. Additionally, Allegion's dividend yield of 1.37% and a payout ratio of 29.08% suggest a stable and sustainable dividend policy.
 Economic Outlook:
 The overall economic outlook remains mixed, with signs of slowing growth and global uncertainty. However, the expected interest rate cut by the Federal Reserve could provide some support for the stock market, including the Building Products industry. Allegion's diversified business model and exposure to various end markets may help the company navigate the current economic environment.</t>
  </si>
  <si>
    <t>Recent News:
 Apple's Q4 2024 earnings report showed a mixed performance, with the company beating revenue and earnings estimates but facing challenges in its China market and providing cautious guidance for the upcoming holiday quarter. While the company reported strong iPhone sales and growth in its Services segment, concerns remain about the impact of global conflicts, natural disasters, and political uncertainty on the broader economic landscape.
 Financials:
 Apple's financial data indicates a relatively strong position, with a market capitalization of over $3.5 trillion, a healthy balance sheet, and solid profitability metrics. The company's revenue, net income, and free cash flow remain robust, and its valuation, while high, is not excessively so compared to its large-cap tech peers.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</si>
  <si>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 The ongoing conflicts and political instability in various regions around the world, such as the escalating tensions between Israel and Lebanon, and the political changes in Japan, could have potential implications for the global economic and market environment, which may impact Union Pacific Corporation's operations and performance.
 - The successful recovery and capture of a SpaceX Starship booster could signal further progress in the space industry and potentially drive investment in related sectors, which could indirectly benefit Union Pacific's transportation services.
 Financials:
 Union Pacific Corporation's financial data shows a relatively strong position, with a market capitalization of over $141 billion, a dividend yield of 2.3%, and a trailing P/E ratio of 21.36. The company's profitability metrics, such as profit margins (27.3%) and return on equity (43.4%), are also favorable.
 Economic Outlook:
 The U.S. economy is facing a mixed outlook, with signs of slowing growth and increasing global uncertainty. The Federal Reserve is expected to respond with a rate cut, which could provide some support for the stock market, including Union Pacific's share price.</t>
  </si>
  <si>
    <t>Recent News:
 Garmin (GRMN) has been making headlines recently with its strong financial performance and positive outlook. The company's stock has surged, reaching new all-time highs, as it reported better-than-expected third-quarter results and raised its full-year guidance. Garmin's growth across its Outdoor, Fitness, Aviation, Marine, and Auto OEM segments has been driving its impressive performance.
 Financials:
 Garmin's latest financial data shows a robust financial position. The company has a strong balance sheet with a healthy cash position and low debt levels. Its profitability metrics, such as profit margins, return on assets, and return on equity, are also impressive. Garmin's valuation, as indicated by its price-to-earnings and price-to-sales ratios, suggests that the stock may be reasonably priced.
 Economic Outlook:
 The overall economic environment remains mixed, with some signs of slowing growth in the U.S. economy. However, the Federal Reserve's expected interest rate cut and the continued demand for Garmin's products, particularly in the fitness and outdoor segments, could provide support for the company's performance in the near term.</t>
  </si>
  <si>
    <t>Recent News:
 Veralto, a leading player in the Environmental &amp; Facilities Services industry, has continued to demonstrate strong performance in the latest quarter. The company's 3Q24 results showed robust revenue growth of 4.6% in core sales, along with margin expansion, leading to an EPS beat and raised FY24 adjusted EPS guidance. The strong demand in the Water Quality (WQ) segment, driven by chemical treatment demand, has been a key growth driver for the company.
 Despite the recent 5.67% decline in the stock price over the past four weeks, the technical indicators suggest that the heavy selling pressure might have been exhausted, and the stock could be in oversold territory. Additionally, the strong consensus among Wall Street analysts in raising earnings estimates for Veralto points to a potential trend reversal for the stock.
 Firm Financials:
 Veralto's financial data shows a healthy balance sheet, with a strong cash position, low debt levels, and solid profitability metrics. The company's valuation, as reflected in the forward P/E ratio of 27.09, appears reasonable compared to its industry peers.
 Economic Outlook:
 The overall macroeconomic environment remains mixed, with some signs of slowing growth and ongoing global uncertainties. However, the expected interest rate cut by the Federal Reserve could provide some support for the stock market, including the Environmental &amp; Facilities Services sector.</t>
  </si>
  <si>
    <t>Recent News:
 Verisk Analytics (VRSK) reported strong financial results for the third quarter of 2024, with earnings and revenues surpassing market expectations. The company's top line benefited from increasing revenues from the Underwriting and Rating, and Claims segments. This performance suggests that Verisk's data analytics products, primarily used by property and casualty (P&amp;C) insurers, continue to see robust demand.
 Firm Financials:
 Verisk's financial data indicates a stable and well-performing company. The stock is trading at a price-to-earnings (P/E) ratio of 42.58, which is higher than the industry average, reflecting the market's confidence in the company's growth potential. The firm's profit margins are also healthy at 32.65%, and it has a strong balance sheet with a current ratio of 0.818.
 Economic Outlook:
 The broader economic environment remains mixed, with signs of slowing growth and ongoing global uncertainties. However, the Federal Reserve's expected interest rate cut could provide some support for the stock market in the near term. Additionally, the continued advancements in emerging technologies, such as data analytics, may benefit companies like Verisk that operate in the research and consulting services industry.</t>
  </si>
  <si>
    <t>Recent News:
 Intuit Inc. (INTU), the leading provider of financial software and services, has been attracting significant investor attention lately. The company's stock has been outperforming the broader market, closing at $623.70 in the most recent trading session, indicating a 1.9% increase from the previous trading day.
 Financials:
 Intuit's recent financial data shows a strong performance, with a market capitalization of $174.27 billion and a price-to-earnings ratio of 27.97. The company's profitability metrics, such as profit margins (18.2%) and return on equity (16.6%), are also impressive. Additionally, Intuit's dividend yield of 0.67% and a payout ratio of 34.5% suggest a balanced approach to shareholder returns.
 Economic Outlook:
 The overall economic environment remains mixed, with signs of slowing growth and increased global uncertainty. However, the Federal Reserve's expected interest rate cut could provide some support for the stock market, including Intuit. Furthermore, the company's exposure to the technology sector, particularly in the application software industry, may benefit from the continued advancements in emerging technologies.</t>
  </si>
  <si>
    <r>
      <t xml:space="preserve">Recent News:
 Intuitive Surgical, Inc. (ISRG) has been a trending stock recently, attracting close attention from </t>
    </r>
    <r>
      <rPr>
        <rFont val="&quot;Helvetica Neue&quot;"/>
        <color rgb="FF1155CC"/>
        <sz val="8.0"/>
        <u/>
      </rPr>
      <t>Zacks.com</t>
    </r>
    <r>
      <rPr>
        <rFont val="&quot;Helvetica Neue&quot;"/>
        <sz val="8.0"/>
      </rPr>
      <t xml:space="preserve"> users. The company's stock has been performing well, with a 52-week high of $523.34 and a current price of around $510, indicating a strong market position.
 Financials:
 Intuitive Surgical's financial data shows a healthy company with a market capitalization of over $180 billion. The company has a strong balance sheet, with a quick ratio of 3.293 and a current ratio of 4.303, indicating a robust liquidity position. Additionally, the company's profitability metrics, such as profit margins, return on assets, and return on equity, are impressive, suggesting efficient operations and effective management.
 Economic Outlook:
 The overall economic outlook remains mixed, with some signs of slowing growth and global uncertainty. However, the healthcare equipment industry, in which Intuitive Surgical operates, is generally considered a defensive sector that can withstand economic fluctuations. The company's focus on innovative surgical technologies and its dominant market position in the robotic surgery market could help it navigate the current economic environment.</t>
    </r>
  </si>
  <si>
    <t>Recent News:
 CNBC's Jim Cramer recently suggested that Home Depot is a hybrid stock, able to grow independently of the business cycle and also flourish when the economy is doing well. This indicates the company's resilience and ability to adapt to various economic conditions.
 Firm Financials:
 Home Depot's (HD) recent financial data shows a strong performance, with a market capitalization of $389.96 billion and a stock price of around $394. The company has a healthy dividend yield of 2.29% and a trailing P/E ratio of 26.38, suggesting it is reasonably valued. Additionally, the company has a low debt-to-equity ratio of 14.79, indicating a solid financial position.
 Economic Outlook:
 The U.S. economy is facing a mixed outlook, with signs of slowing growth and increasing global uncertainty. However, the Federal Reserve is expected to cut interest rates, which could provide some support for the stock market. Home Depot, as a leading home improvement retailer, may benefit from this environment as consumers continue to invest in their homes.</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</si>
  <si>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a new prime minister, Shigeru Ishiba, who has called for a snap election. This leadership change in Japan could lead to policy changes and market uncertainty,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Hilton Worldwide's recent financial data shows a strong performance, with a market capitalization of $57.6 billion and a trailing P/E ratio of 50.52. The company's profitability metrics, such as profit margins (25.07%) and EBITDA margins (52.33%), are also impressive. Additionally, Hilton Worldwide has a healthy balance sheet, with a current ratio of 0.796 and a quick ratio of 0.707.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market.</t>
  </si>
  <si>
    <t>Recent News:
 IDEX Corporation, a leading manufacturer of industrial machinery and components, reported strong third-quarter earnings that surpassed market expectations. The company's Fire &amp; Safety/Diversified Products segment was a key driver, contributing to the year-over-year increase in sales. This positive performance suggests that IDEX is navigating the current economic landscape effectively.
 Financials:
 IDEX's financial data indicates a stable and well-performing company. The stock is trading at a forward P/E ratio of 25.27, suggesting that it is reasonably valued. The company's profitability metrics, such as profit margins and return on assets and equity, are also healthy. Additionally, IDEX has a strong balance sheet, with a quick ratio of 1.96 and a current ratio of 2.97, indicating a robust liquidity position.
 Economic Outlook:
 The broader economic environment remains mixed, with signs of slowing growth and ongoing global uncertainties. However, the Federal Reserve's expected interest rate cut could provide some support for the stock market in the near term. IDEX's diversified product portfolio and strong market position may help the company navigate these challenges and continue to deliver solid financial performance.</t>
  </si>
  <si>
    <t>Recent News:
 Incyte Corporation, a leading biopharmaceutical company, has reported strong third-quarter results, with revenue beating analysts' expectations. The company's top-selling drug, Jakafi, has seen a surge in demand, leading to an increase in the annual sales forecast. Additionally, Incyte's stock has broken out to a 17-month high, reflecting the positive market sentiment surrounding the company.
 Financials:
 Incyte's third-quarter revenue reached $1.14 billion, up 24% year-over-year and exceeding the consensus estimate of $1.08 billion. However, the company's earnings per share of $1.07 missed the Zacks Consensus Estimate of $1.12 per share. Despite the earnings miss, the company's financial performance remains strong, with a healthy balance sheet and positive cash flow.
 Economic Outlook:
 The broader economic environment remains mixed, with signs of slowing growth and ongoing global uncertainties. However, the biotechnology sector, in which Incyte operates, has generally shown resilience and continued growth potential. The expected interest rate cut by the Federal Reserve could also provide some support for the stock market, potentially benefiting Incyte's share price.</t>
  </si>
  <si>
    <t>Recent News:
 Generac's (GNRC) third-quarter results have surpassed market expectations, with earnings and revenues coming in higher than the Zacks Consensus Estimate. The company's performance was driven by strengthening sales in the Residential product segment, and management has raised its sales outlook for 2024 due to higher power outage activity.
 Financials:
 Generac's latest financial data shows a strong financial position, with a market capitalization of over $10 billion and a healthy balance sheet. The company's profitability metrics, such as profit margins and return on assets and equity, are also favorable. Additionally, Generac's valuation ratios, including the forward P/E and PEG ratios, suggest the stock may be reasonably priced.
 Economic Outlook:
 The overall economic environment remains mixed, with signs of slowing growth and increased global uncertainty. However, the Federal Reserve's expected interest rate cut and the potential resolution (or escalation) of global conflicts and natural disasters could impact Generac's performance in the coming months. Additionally, the upcoming U.S. presidential election and its implications for the company's operations and the broader market will be closely watched.</t>
  </si>
  <si>
    <t>Recent News:
 GE HealthCare's spin-off has unlocked significant valuation potential, allowing the company to thrive independently and capture growth in the medical technology market. The company's Q3 results showed steady revenue and margin gains, driven by operational efficiencies and strong demand for its products, particularly in the U.S. market. However, the company is facing temporary headwinds in China due to disruptions in the healthcare sector.
 Financials:
 GE HealthCare's latest financial data indicates a strong financial position. The company's profitability metrics, such as profit margins and return on assets and equity, are healthy. Additionally, the company's balance sheet is solid, with a good cash position and manageable debt levels. The company's valuation metrics, including forward P/E and PEG ratio, suggest that the stock may be reasonably priced.
 Economic Outlook:
 The overall economic outlook remains mixed, with some signs of slowing growth in the U.S. economy. The Federal Reserve is expected to cut interest rates in the near term to support the economy. However, the ongoing global conflicts and political uncertainties could continue to create volatility in the stock market. Despite these challenges, the long-term outlook for the healthcare sector remains positive, driven by the aging population and the increasing demand for medical technologies.</t>
  </si>
  <si>
    <t>Recent News: The Hartford Financial Services Group has maintained its buy rating from analysts, reflecting the company's diversified business model and growth indicators across its insurance, group benefits, and mutual funds segments. The firm's strong profit margin compared to peers, along with stable costs, suggest its earnings should continue to be positive and sustain steady dividends.
 Financials: The Hartford's recent financial data shows a stable and healthy financial position. The company has a previous close of $110.44, with a 52-week range of $72.87 to $123.23. Its dividend rate of $2.08 and dividend yield of 1.89% indicate a sustainable payout ratio of 18.88%. The firm's trailing P/E ratio of 11.05 and forward P/E of 9.47 suggest the stock is reasonably valued. Additionally, the company's strong balance sheet, with a total cash position of $4.19 billion and a quick ratio of 1.08, provides financial flexibility.
 Economic Outlook: The broader economic environment remains mixed, with signs of slowing growth and ongoing global uncertainties. However, the Federal Reserve's expected interest rate cut could provide some support for the stock market. The Hartford's diversified business model and financial strength position it well to navigate the current economic landscape.</t>
  </si>
  <si>
    <t>Recent News: HCA Healthcare (NYSE: HCA) has experienced a temporary setback, with its shares sliding over 13% from the all-time high reached on October 18th. However, the company remains well-positioned to benefit from volume growth and expansion initiatives in the long run.
 Financials: HCA Healthcare's financial data shows a strong company with a market capitalization of over $90 billion, a trailing P/E ratio of 16.05, and a forward P/E ratio of 14.49. The company has a healthy balance sheet, with a current ratio of 1.118 and a quick ratio of 0.866. HCA Healthcare's profitability metrics, such as profit margins, EBITDA margins, and return on assets and equity, are also solid.
 Economic Outlook: The U.S. healthcare industry is facing a mixed economic outlook, with some signs of slowing growth and ongoing global uncertainty. However, the expected interest rate cut by the Federal Reserve could provide some support for the market. Additionally, the long-term fundamentals of the healthcare sector remain relatively strong, and HCA Healthcare is well-positioned to navigate the current challenges.</t>
  </si>
  <si>
    <t>Recent News:
 Advanced Micro Devices (AMD) has been in the spotlight recently due to its strong performance in the AI and data center markets. The company's Q3 2024 results showed an impressive 122% growth in its Data Center segment, which now comprises over half of its total revenue. AMD has raised its 2024 AI revenue forecast from $2 billion to $5 billion and outlined a multi-generational product roadmap through 2026, highlighting its focus on the AI opportunity.
 However, the market has reacted negatively to AMD's Q4 guidance, which fell short of analyst expectations. This has led to a significant pullback in the stock price, with concerns about the company's ability to maintain its growth momentum in the face of a more challenging macroeconomic environment.
 Financials:
 AMD's Q3 2024 results were generally positive, with the company reporting an 18% revenue increase and a 38% year-over-year increase in earnings per share. The strong performance in the Data Center segment was a key driver of the company's overall growth.
 Looking at the financial data, AMD's valuation metrics, such as the forward P/E ratio and PEG ratio, suggest that the stock may be undervalued compared to its peers, despite the recent pullback. The company's balance sheet also appears to be in good shape, with a strong cash position and manageable debt levels.
 Economic Outlook:
 The broader economic environment remains uncertain, with concerns about slowing growth, rising interest rates, and geopolitical tensions. However, the demand for AI and high-performance computing solutions, which are key drivers of AMD's business, is expected to remain strong in the coming years.
 The Federal Reserve's monetary policy decisions and the outcome of the 2024 U.S. presidential election could also have significant implications for the stock market and AMD's performance.</t>
  </si>
  <si>
    <t>Recent News:
 Welltower's (WELL) Q3 2024 results reflect strong performance, with funds from operations (FFO) beating estimates and same-store net operating income (NOI) rising year-over-year. The company's senior housing operating portfolio saw robust revenue per occupied room, driving the higher same-store NOI. Additionally, Welltower raised its annual FFO forecast, citing resilient demand for its assisted living and senior housing properties.
 Financials:
 Welltower's recent financial data shows a mixed picture. The company's stock price has fluctuated, with the share price ranging from a low of $133.15 to a high of $136.67 during the day. The company's dividend rate stands at $2.68, with a dividend yield of 2.01%. Welltower's valuation metrics, such as the trailing P/E ratio of 84.89 and the forward P/E ratio of 73.63, suggest the stock may be trading at a premium. However, the company's strong financial performance, as evidenced by the better-than-expected Q3 FFO and the raised annual FFO forecast, could support the current valuation.
 Economic Outlook:
 The broader economic environment remains uncertain, with mixed signals from the latest macroeconomic data. The U.S. economy is facing a mixed outlook, with concerns about slowing job growth and the potential impact of global conflicts and natural disasters. The Federal Reserve is expected to respond by cutting interest rates, which could provide some support for the stock market. However, the upcoming U.S. presidential election and the ongoing geopolitical tensions could introduce additional volatility and uncertainty in the market.</t>
  </si>
  <si>
    <t>Recent News:
 BorgWarner (BWA) reported strong Q3 earnings, surpassing market expectations. The company's net sales for the full-year 2024 are now anticipated to be in the range of $14-$14.2 billion, slightly lower than the previous estimate. This suggests the company is navigating the current economic challenges effectively.
 Financials:
 BorgWarner's financial data indicates a mixed picture. The company's stock price has been volatile, with a 52-week range of $29.51 to $38.23. However, the company's fundamentals remain relatively strong, with a low trailing P/E ratio of 8.277 and a forward P/E ratio of 7.207, suggesting the stock may be undervalued. Additionally, the company's profitability metrics, such as profit margins and return on assets and equity, are healthy.
 Economic Outlook:
 The broader economic environment remains uncertain, with concerns about slowing growth, global conflicts, and the potential impact of the upcoming U.S. presidential election. However, the Federal Reserve's expected interest rate cut could provide some support for the stock market in the near term. The automotive industry, in which BorgWarner operates, may face headwinds due to the mixed economic conditions, but the company's strong performance in Q3 suggests it is well-positioned to navigate these challenges.</t>
  </si>
  <si>
    <t>Recent News:
 AbbVie's latest earnings report has been met with a positive investor response, driven by several key factors. The company reported revenue growth, an upgrade to its earnings outlook, and an increase in its dividend. Additionally, AbbVie's Parkinson's disease treatment has shown promising trial results, providing a potential growth catalyst. However, the company's recent acquisition of Aliada Therapeutics risks being a drag on earnings, and its current P/E ratio is relatively high.
 Financials:
 AbbVie's financial data indicates a strong performance, with the company surpassing Q3 earnings and revenue estimates. Key metrics, such as revenue growth, EBITDA margins, and earnings growth, suggest the company is well-positioned. However, the company's debt-to-equity ratio is high, which could be a concern for some investors.
 Economic Outlook:
 The broader economic environment remains mixed, with signs of slowing growth and ongoing global uncertainties. The Federal Reserve is expected to cut interest rates in response, which could provide some support for the stock market. However, the upcoming U.S. presidential election and geopolitical events could introduce additional volatility.</t>
  </si>
  <si>
    <t>Recent News:
 Texas Instruments reported good earnings last week, showing signs of an inflection. The company portrayed why its profitability metrics might be misleading at this point, citing a lot of operating leverage in the model. China was a highlight and should serve to tame fears around Texas Instruments' competitiveness in the country.
 Financials:
 Texas Instruments' financial data indicates a strong market position, with a market capitalization of $186.9 billion and a healthy balance sheet. The company's profitability metrics, such as profit margins (31.6%) and return on equity (29.3%), suggest solid financial performance. However, the company's valuation, with a forward P/E ratio of 34.85, appears relatively high compared to its historical averages.
 Economic Outlook:
 The overall economic outlook remains mixed, with signs of slowing growth and increasing global uncertainty. The Federal Reserve is expected to cut interest rates, which could provide some support for the stock market. However, the upcoming U.S. presidential election and ongoing global conflicts could introduce volatility and uncertainty in the coming months.</t>
  </si>
  <si>
    <t>Recent News:
 The recent news surrounding Tesla, Inc. (NASDAQ: TSLA) presents a mixed outlook for the company. On one hand, there are concerns about the potential impact of Waymo's self-driving car technology on Tesla's autonomous driving capabilities. Additionally, there are ongoing debates about Tesla's valuation and whether the stock is overpriced. However, CEO Elon Musk has remained bullish, stating that he believes Tesla will emerge as the world's most valuable company.
 Financials:
 Tesla's latest financial data shows a strong performance, with the company reporting sequential growth in both production and deliveries after a weak first quarter. The company's automotive margins have also bounced back, and it is aiming for 20-30% vehicle growth in 2025. However, there are concerns that Tesla's profit margins may not be sustainable in the long run as the company focuses more on sales growth.
 Economic Outlook:
 The broader economic landscape remains uncertain, with the Federal Reserve expected to cut interest rates in response to slowing job growth and ongoing global conflicts. This mixed economic outlook could impact Tesla's performance, as the company's growth and profitability are closely tied to the overall market conditions.</t>
  </si>
  <si>
    <t>Recent News: The oil &amp; gas sector is experiencing significant momentum, but still lags the S&amp;P 500 on a year-to-date basis. The investment thesis suggests that there may be increased demand for drilling both domestically [US] and internationally on the horizon, which could potentially boost the demand for oil &amp; gas equipment and services.
 Financials: Baker Hughes' financial data indicates robust financial health and value. The company's revenue, earnings per share, and free cash flow have shown reflexive patterns, suggesting stability and growth potential. Additionally, the company's valuation metrics, such as forward P/E and PEG ratio, are relatively attractive compared to industry peers.
 Economic Outlook: The Federal Reserve is expected to cut interest rates in the near term, which could provide some support for the stock market and the oil &amp; gas industry. However, the ongoing global conflicts and political uncertainty may continue to create volatility and uncertainty in the market.</t>
  </si>
  <si>
    <t>Recent News:
 The steel industry has faced a mixed outlook in recent months, with ongoing global conflicts and economic uncertainties impacting demand and pricing. However, Steel Dynamics, a leading producer of steel products, has continued to navigate these challenges and maintain a strong market position.
 Financials:
 Steel Dynamics' latest financial data shows a relatively healthy financial position. The company's profitability metrics, such as profit margins and return on assets and equity, remain solid. Additionally, the company's balance sheet appears strong, with a manageable debt-to-equity ratio and ample cash reserves.
 Economic Outlook:
 The broader economic outlook remains uncertain, with concerns about slowing growth and the potential impact of global conflicts and political events. However, the expected interest rate cut by the Federal Reserve could provide some support for the stock market, including the steel industry.</t>
  </si>
  <si>
    <t>Recent News:
 Ball Corporation's (BALL) third-quarter 2024 results reflect improved segment margins. The company expects to deliver more than mid-single-digit comparable EPS growth in 2024. Analysts' projections for key metrics suggest that Ball's Q3 earnings have surpassed estimates and increased year over year.
 Financials:
 Ball Corporation's recent financial data shows a mixed performance. The stock has a previous close of $59.25 and a current day high of $60.82. The company's dividend rate is $0.8, with a dividend yield of 1.36% and a payout ratio of 33.33%. The trailing P/E ratio is 24.59, while the forward P/E ratio is 17.05. The company's market capitalization stands at $17.61 billion.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</si>
  <si>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Bristol Myers Squibb (BMY) reported strong third-quarter financial results, with an 18% jump in its growth portfolio. The company's earnings and sales beat analyst estimates, and it also raised its annual earnings guidance. The positive financial performance was driven by strong sales of established drugs like Eliquis and Revlimid, as well as newer drugs like Camzyos and Breyanzi.
 Financials:
 Bristol Myers Squibb's financial data shows a mixed picture. The company's stock price has been volatile, with a 52-week range of $39.35 to $56.20. The company's profitability metrics, such as profit margins and return on equity, are relatively low, but its dividend yield of 4.42% and forward P/E ratio of 7.74 suggest potential value.
 Economic Outlook:
 The overall economic outlook remains uncertain, with concerns about slowing job growth and the potential impact of global conflicts and natural disasters. However, the Federal Reserve's expected interest rate cut could provide some support for the stock market. Additionally, the continued advancements in emerging technologies, such as the successful recovery of a SpaceX Starship booster, could have positive implications for the pharmaceutical industry.</t>
  </si>
  <si>
    <t>Recent News:
 - The Israel-Lebanon conflict has escalated, with the Israel Defense Forces invading southern Lebanon and Iran attacking Israel with ballistic missiles. This regional instability could have broader implications for the global economy and the automotive industry.
 - The Japanese parliament has elected a new prime minister, Shigeru Ishiba, who has called for a snap election. This political change in Japan may lead to policy shifts that could impact the automotive market.
 - The Internet Archive suffered a major data breach, raising concerns about data privacy and security, which could affect investor sentiment in the technology sector and potentially impact the automotive industry's reliance on technology.
 Financials:
 AutoZone's financial data shows a strong performance, with a market capitalization of over $50 billion, a forward P/E ratio of 16.99, and a trailing P/E ratio of 19.92. The company's profitability metrics, such as profit margins (14.4%) and return on assets (14.3%), are also impressive. However, the company's quick ratio of 0.101 and current ratio of 0.838 suggest potential liquidity concerns.
 Economic Outlook:
 The U.S. economy is facing a mixed outlook, with signs of slowing growth and increasing global uncertainty. The Federal Reserve is expected to cut interest rates, which could provide some support for the stock market. However, the upcoming U.S. presidential election and ongoing global conflicts may continue to create volatility in the market.</t>
  </si>
  <si>
    <t>Recent News: Avery Dennison (AVY) has witnessed a hammer chart pattern, indicating potential support for the stock after a recent decline. This, coupled with an upward trend in earnings estimate revisions, suggests a possible trend reversal in the near term.
 Financials: Avery Dennison's financial data shows a mixed picture. The company has a relatively high trailing P/E ratio of 24.74, but a more attractive forward P/E of 19.59. The dividend yield is currently at 1.71%, and the payout ratio is 40.58%. The company's profitability metrics, such as profit margins and return on assets and equity, are also relatively strong.
 Economic Outlook: The overall economic environment remains uncertain, with concerns about slowing growth and the potential impact of global conflicts and natural disasters. However, the expected interest rate cut by the Federal Reserve could provide some support for the stock market in the near term.</t>
  </si>
  <si>
    <t>Recent News:
 Ralph Lauren (RL) has been an outlier in the luxury apparel sector, with its stock price rising over 10% year-to-date, even as the industry struggles. The company's revenues continue to grow, albeit slowly, particularly in the challenged Chinese market. Importantly, Ralph Lauren's margins are forecast to expand, which could further boost its financial performance.
 Financials:
 Ralph Lauren's financial data shows a relatively attractive valuation compared to its peers. The stock's forward P/E ratio of 15.6 is elevated compared to its historical average, but still lower than many of its competitors in the luxury apparel space. Additionally, the company's profitability metrics, such as profit margins and return on equity, are solid, indicating a healthy financial position.
 Economic Outlook:
 The broader economic environment remains mixed, with signs of slowing growth and ongoing global uncertainties. However, the Federal Reserve's expected interest rate cut could provide some support for the stock market, including Ralph Lauren. Additionally, the company's focus on expanding margins and its relatively strong brand positioning may help it navigate the current challenges better than some of its peers.</t>
  </si>
  <si>
    <t>Recent News:
 - The Israel-Lebanon conflict has escalated, with the Israel Defense Forces invading southern Lebanon and Iran attacking Israel with ballistic missiles. This regional instability could have broader implications for the global economy and the stock market.
 - In Japan, the new Prime Minister Shigeru Ishiba has called for a snap election, which could lead to policy changes and market uncertainty in the country, potentially affecting the US stock market.
 - The Internet Archive suffered a major breach, raising concerns about data privacy and security, which could impact investor sentiment in the technology sector and the broader US stock market.
 Financials:
 Roper Technologies, a leading provider of electronic equipment and instruments, has demonstrated strong financial performance. The company's key financial metrics, such as profitability, revenue growth, and cash flow, suggest a healthy and stable business. However, the company's valuation, as indicated by its high price-to-earnings ratio, may be a concern for some investors.
 Economic Outlook:
 The US economy is facing a mixed outlook, with signs of slowing growth and increasing global uncertainty. The Federal Reserve is expected to cut interest rates in the near term, which could provide some support for the stock market. However, the upcoming US presidential election and ongoing geopolitical tensions could introduce further volatility and uncertainty in the market.</t>
  </si>
  <si>
    <t>Recent News:
 ServiceNow (NOW) has been one of the best-performing technology stocks on Wall Street, surging by over 1,300% in the last decade. The company is becoming a leader in AI software, partnering with enterprises to improve their operations. ServiceNow's stock is currently trading at a high valuation, with a forward P/E ratio of 56.49, raising questions about its margin of safety.
 Financials:
 ServiceNow's financial data shows a strong and growing business. The company has a market cap of over $192 billion, with impressive revenue growth of 22.2% and earnings growth of 76.9% in the latest quarter. Its profitability metrics, such as profit margins of 12.8% and return on equity of 16.2%, are also solid. However, the stock's high valuation, with a trailing P/E ratio of 146.95, may be a concern for some investors.
 Economic Outlook:
 The overall economic outlook is mixed, with signs of slowing growth and increasing global uncertainty. The Federal Reserve is expected to cut interest rates in the coming weeks, which could provide some support for the stock market. However, the upcoming U.S. presidential election and ongoing geopolitical tensions could also impact the market's performance in the short to medium term.</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</si>
  <si>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a new prime minister, Shigeru Ishiba, who has called for a snap election. This leadership change in Japan could lead to policy changes and market uncertainty,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Sherwin-Williams, a leading specialty chemicals company, has reported strong financial performance in recent quarters. The company's revenue growth, profitability, and cash flow generation have been solid, with a healthy balance sheet and manageable debt levels. However, the company's valuation, as reflected in its high price-to-earnings ratio, suggests that the market may have high expectations for its future growth.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market.</t>
  </si>
  <si>
    <t>Recent News:
 - SLB's OneSubsea division has won a key subsea contract from BP for the Kaskida project in the Gulf of Mexico. The contract involves the deployment of advanced subsea boosting systems to improve resource recovery.
 - Analysts remain bullish on Schlumberger, citing the company's digital transformation efforts in the energy sector as potential catalysts for growth.
 - Schlumberger is considered a top-ranked "Magic Formula" stock, combining high earnings yield and return on invested capital for strong performance.
 Financials:
 - Schlumberger's financial data shows a mixed picture, with a trailing P/E ratio of 12.78 and a forward P/E ratio of 10.83, indicating the stock may be undervalued.
 - The company has a healthy balance sheet, with a current ratio of 1.48 and a quick ratio of 1.00, suggesting it can meet its short-term obligations.
 - Schlumberger's profitability metrics, such as profit margins (12.44%) and return on assets (8.11%), are relatively strong.
 Economic Outlook:
 - The overall economic landscape remains uncertain, with signs of slowing growth and ongoing global conflicts. However, the expected interest rate cut by the Federal Reserve could provide some support for the stock market.
 - The oil and gas equipment and services industry is likely to continue facing challenges, but Schlumberger's focus on digital transformation and its strong market position may help it navigate the current environment.</t>
  </si>
  <si>
    <t>Recent News: Seagate Technology Holdings PLC (NASDAQ: STX), the world's largest manufacturer of hard disk drives (HDDs), has seen a revenue rise in fiscal Q4 2024 after eight consecutive quarters of declining revenue. This has prompted a large guidance raise for the company in its fiscal first quarter of 2025, signaling a potential turnaround in the industry.
 Financials: Seagate's recent financial data shows a mixed picture. The company's stock has seen some volatility, with the share price fluctuating between $98.66 and $100.98 during the day. However, Seagate's financial metrics, such as a dividend yield of 2.91%, a forward P/E ratio of 10.22, and a market capitalization of $20.96 billion, suggest that the company may be undervalued compared to its peers.
 Economic Outlook: The broader economic landscape remains uncertain, with concerns about slowing growth and the potential impact of global conflicts and natural disasters. However, the expected interest rate cut by the Federal Reserve could provide some support for the stock market, including Seagate's share price.</t>
  </si>
  <si>
    <t>Recent News:
 - The Israel Defense Forces have invaded southern Lebanon, escalating the conflict between Israel and Hezbollah. This development in the Middle East could have implications for the overall stability in the region and potentially impact the US stock market.
 - The Japanese parliament has elected Shigeru Ishiba as the new prime minister, leading to a snap election that could result in policy changes and market uncertainty in Japan, potentially affecting the US stock market.
 - Iran has attacked Israel with ballistic missiles in response to Israel's offensive against Hezbollah in Lebanon, further escalating tensions in the Middle East.
 - The Internet Archive suffered a breach of 31 million user passwords, followed by distributed denial-of-service attacks, which could raise concerns about data privacy and security, potentially affecting investor sentiment in the technology sector and the broader US stock market.
 Financials:
 CBRE Group, a leading real estate services firm, has shown a mixed financial performance. The company's stock has been trading in the range of $130-$132 per share, with a 52-week high of $136.06 and a 52-week low of $71.96. The company's forward P/E ratio of 21.45 suggests that the stock may be reasonably valued.
 CBRE Group's financial metrics indicate a strong market position, with a market capitalization of $39.8 billion and an enterprise value of $45.9 billion. The company's profitability ratios, such as profit margins (2.79%) and return on equity (11.43%), are also relatively healthy.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market.
 Despite the current challenges, the underlying fundamentals of the US economy remain relatively strong, and the stock market is expected to continue its long-term upward trend over the next 1-2 years. However, investors should be prepared for potential setbacks and volatility along the way.</t>
  </si>
  <si>
    <t>Recent News:
 Cboe Global Markets (CBOE) reported strong third-quarter earnings, with record volumes across its derivatives platform. The company's Q3 results beat Wall Street estimates, driven by solid proprietary products, growth in recurring non-transaction revenues, higher volumes, and higher physical port fees. Additionally, Cboe has teamed up with Aquis Exchange to explore a bid for the EU's consolidated tape contract, which could further expand the company's market presence.
 Financials:
 Cboe's financial data indicates a robust and well-performing business. The company's stock is trading at a high valuation, with a forward P/E ratio of 22.97 and a price-to-sales ratio of 5.56. However, Cboe's strong free cash flow, potential operating leverage, and resilient share price despite soft EPS growth estimates suggest that the company's fundamentals remain solid.
 Economic Outlook:
 The broader economic environment remains mixed, with signs of slowing growth and increased global uncertainty. The Federal Reserve is expected to cut interest rates in the near term, which could provide some support for the stock market. However, the upcoming U.S. presidential election and ongoing geopolitical tensions could introduce further volatility and uncertainty in the coming months.</t>
  </si>
  <si>
    <t>Recent News:
 The recent news on AT&amp;T highlights the company's strong performance and growth initiatives. AT&amp;T's wireless and fixed broadband convergence leadership has driven its valuation re-rating, leading to the stock's outperformance compared to the S&amp;P 500. The company's focus on expanding its fiber network infrastructure and 5G capabilities, along with its cost-saving efforts and debt reduction plans, position it well for continued shareholder returns.
 Financials:
 AT&amp;T's financial data shows a stable and healthy company. The stock's current trading price, dividend yield, and valuation metrics suggest it is reasonably valued. The company's profitability, as indicated by its profit margins and return on assets and equity, is also solid. Additionally, AT&amp;T's strong cash flow and manageable debt levels provide financial flexibility to support its growth initiatives.
 Economic Outlook:
 The broader economic environment remains mixed, with signs of slowing growth and ongoing global uncertainties. However, the Federal Reserve's expected interest rate cut could provide some support for the stock market, including AT&amp;T. The company's focus on expanding its fiber and 5G networks, as well as its cost-saving efforts, may help it navigate the current economic landscape and continue delivering value to shareholders.</t>
  </si>
  <si>
    <r>
      <t xml:space="preserve">Recent News: Applied Materials (AMAT) has been outperforming the broader market, with the stock closing at $183.38, reflecting a 0.99% increase compared to its previous close. The company has been a trending stock among </t>
    </r>
    <r>
      <rPr>
        <rFont val="&quot;Helvetica Neue&quot;"/>
        <color rgb="FF1155CC"/>
        <sz val="8.0"/>
        <u/>
      </rPr>
      <t>Zacks.com</t>
    </r>
    <r>
      <rPr>
        <rFont val="&quot;Helvetica Neue&quot;"/>
        <sz val="8.0"/>
      </rPr>
      <t xml:space="preserve"> users, indicating increased investor interest.
 Financials: Applied Materials' recent financial data shows a mixed performance. The company's stock has a trailing P/E ratio of 20.63 and a forward P/E ratio of 18.92, suggesting that the stock may be reasonably valued. However, the company's profit margins of 27.74% and return on equity of 43.91% indicate strong profitability. Additionally, the company has a healthy balance sheet, with a quick ratio of 1.95 and a current ratio of 2.86.
 Economic Outlook: The broader economic environment remains uncertain, with signs of slowing growth and increasing global uncertainty. The Federal Reserve is expected to cut interest rates, which could provide some support for the stock market. However, the upcoming U.S. presidential election and ongoing global conflicts and natural disasters could continue to impact the market's performance.</t>
    </r>
  </si>
  <si>
    <t>Recent News:
 The latest macroeconomic data suggests a mixed outlook for the U.S. economy, with a significant slowdown in job growth and ongoing global conflicts and natural disasters posing challenges. The Federal Reserve is expected to respond by cutting interest rates, though there are debates within the central bank about the appropriate path forward.
 Financials:
 Paychex, a leading provider of human resource and employment services, has demonstrated solid financial performance. The company's key metrics, such as profitability, revenue growth, and dividend yield, are generally strong. Paychex's market capitalization of over $50 billion and its position as a dominant player in the HR services industry suggest a stable and well-established business.
 Economic Outlook:
 The overall economic uncertainty and volatility in the stock market may have some impact on Paychex's business, as the company's performance is closely tied to employment trends and the broader economic environment. However, the company's diversified client base and its position as a trusted provider of HR solutions could help it navigate the current challenges.</t>
  </si>
  <si>
    <t>Recent News:
 Qualcomm (QCOM) has been outperforming the broader market, closing at $165.27 in the latest trading session, a 1.54% increase from the previous day. The company is expected to report its Q4 earnings soon, and analysts are closely watching key metrics to gauge its performance. Qualcomm is also seen as a trending stock in the artificial intelligence (AI) semiconductor space, despite potential challenges related to intellectual property.
 Financials:
 Qualcomm's financial data shows a mixed picture. The company has a strong balance sheet, with a market capitalization of over $184 billion and a healthy cash position. However, its valuation metrics, such as the forward P/E ratio of 14.74, suggest that the stock may be fairly valued or even slightly overvalued. The company's profitability metrics, including a profit margin of 23.3% and a return on equity of 38.9%, are relatively strong.
 Economic Outlook:
 The broader economic environment remains uncertain, with concerns about slowing job growth and the potential for further interest rate cuts by the Federal Reserve. However, the technology sector, particularly the semiconductor industry, has continued to show resilience. Qualcomm's exposure to emerging technologies, such as AI and 5G, could position the company to benefit from these trends in the medium to long term.</t>
  </si>
  <si>
    <t>Recent News:
 The Packaging Corporation of America (PCA) has been navigating a mixed economic landscape in recent months. While the company has continued to demonstrate strong financial performance, with a robust dividend yield and healthy profit margins, it has also faced some headwinds.
 The ongoing global conflicts, natural disasters, and political uncertainty have created a challenging environment for the paper and plastic packaging industry. The escalating tensions between Israel and Lebanon, as well as the political changes in Japan, could potentially impact global trade and supply chains, which may affect PCA's operations.
 Financials:
 PCA's financial data shows a relatively strong position, with a market capitalization of over $20 billion and a healthy balance sheet. The company's dividend rate of 5% and a forward P/E ratio of 20.46 suggest that it is reasonably valued compared to its peers.
 However, the company's debt-to-equity ratio of 76.58% is on the higher side, which could be a concern if the economic conditions deteriorate further.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the ongoing global conflicts could have significant implications for the paper and plastic packaging industry, potentially affecting PCA's performance in the medium to long term.</t>
  </si>
  <si>
    <t>Recent News:
 - The ongoing global conflicts, including the escalating tensions between Israel and Lebanon, as well as the political changes in Japan, could have potential implications for Procter &amp; Gamble's operations and supply chain, particularly in the Middle East and Asia regions.
 - The successful recovery and capture of a SpaceX Starship booster could signal further progress in the space industry, which may indirectly impact the consumer goods sector, including Procter &amp; Gamble, as the company continues to explore new technologies and innovations.
 Financials:
 Procter &amp; Gamble's financial data shows a relatively strong position, with a market capitalization of over $388 billion and a healthy balance sheet. The company's profitability metrics, such as profit margins and return on assets and equity, are also favorable. However, the company's earnings growth and revenue growth have been slightly negative in the recent past, which could be a concern.
 Economic Outlook:
 The mixed economic outlook, with signs of slowing growth and increasing global uncertainty, may pose some challenges for Procter &amp; Gamble. The Federal Reserve's expected interest rate cut could provide some support for the market, but the overall volatility and uncertainty in the coming months may impact consumer spending and demand for the company's products.</t>
  </si>
  <si>
    <t>Recent News:
 Ecolab (ECL) has reported strong Q3 earnings, surpassing estimates, despite missing on revenue. The company's robust performance across the majority of its segments has driven its third-quarter sales. Key metrics indicate that Ecolab's Q3 earnings provide insight into the company's solid performance in the quarter ended September 2024.
 Financials:
 Ecolab's financial data shows a mixed picture. The company's stock has seen a 40% increase in the past 52 weeks, outperforming the S&amp;P 500 index. However, the stock is currently trading at a relatively high valuation, with a forward P/E ratio of 32.5 and a price-to-book ratio of 10.4. The company's profitability metrics, such as profit margins and return on equity, are also strong, indicating a healthy financial position.
 Economic Outlook:
 The overall economic outlook remains uncertain, with signs of slowing growth and increasing global uncertainty. The Federal Reserve is expected to cut interest rates, which could provide some support for the stock market. However, the upcoming U.S. presidential election and ongoing global conflicts and natural disasters could introduce volatility and uncertainty in the market.</t>
  </si>
  <si>
    <t>Recent News:
 - The ongoing global conflicts, including the escalation of the Israel-Lebanon conflict and the political changes in Japan, could have implications for the overall stability in the Middle East and Japan, potentially impacting CME Group's operations and the broader financial markets.
 - The successful recovery and capture of a SpaceX Starship booster could signal further progress in the space industry, which may drive investment in related sectors, including financial exchanges and data providers like CME Group.
 - The recent cybersecurity incident at the Internet Archive, which resulted in a breach of user passwords and distributed denial-of-service attacks, could raise concerns about data privacy and security, potentially affecting investor sentiment in the technology sector and the broader financial markets.
 Financials:
 CME Group's financial data shows a relatively strong position, with a market capitalization of over $80 billion, a healthy dividend yield of 2.06%, and a trailing P/E ratio of 23.54. The company's profitability metrics, such as profit margins and return on assets and equity, are also favorable. However, the company's debt-to-equity ratio of 12.15 may be a concern for some investors.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financial markets, including CME Group's performance.</t>
  </si>
  <si>
    <t>Recent News:
 Merck &amp; Co. (MRK) has faced some challenges in recent quarters, particularly with its Gardasil vaccine sales in China. However, the company has also seen strong performance from its top-selling cancer drug Keytruda and recently launched treatments. The company's third-quarter earnings and revenue beat market expectations, providing some optimism for investors.
 Financials:
 Merck's financial data shows a mixed picture. The company's stock price has declined over the past year, with a 52-week low of $98.6 and a 52-week high of $134.63. However, the company's fundamentals remain relatively strong, with a forward P/E ratio of 10.74 and a dividend yield of 3.02%. Merck's revenue growth of 4.4% and a profit margin of 19.2% in the latest quarter also suggest the company is performing well.
 Economic Outlook:
 The broader economic environment remains uncertain, with concerns about slowing job growth and the potential impact of global conflicts and natural disasters. The Federal Reserve's expected interest rate cut could provide some support for the market, but the outcome of the 2024 U.S. presidential election and the resolution (or escalation) of geopolitical tensions could significantly impact Merck's performance in the coming months.</t>
  </si>
  <si>
    <t>Recent News:
 - The Israel Defense Forces have invaded southern Lebanon, escalating the conflict between Israel and Hezbollah. This development in the Middle East could have implications for global stability and potentially impact the U.S. stock market.
 - Japan has elected a new prime minister, Shigeru Ishiba, who has called for a snap election. This political change in Japan could lead to policy shifts and market uncertainty, which may affect the U.S. stock market.
 - Iran has attacked Israel with ballistic missiles in response to Israel's offensive against Hezbollah in Lebanon. The further escalation of tensions in the Middle East could have broader geopolitical and economic implications.
 Financials:
 - Dover Corporation's financial data shows a mixed performance, with a trailing P/E ratio of 17.176 and a forward P/E ratio of 20.204. The company's dividend rate is 2.06, with a dividend yield of 1.09%.
 - The company's profitability metrics, such as profit margins (18.378%) and return on assets (7.851%), indicate a relatively strong financial position.
 - However, the company's debt-to-equity ratio of 59.444 suggests a higher level of financial leverage, which could be a concern for some investors.
 Economic Outlook:
 - The U.S. economy is facing a mixed outlook, with signs of slowing growth and increasing global uncertainty. The Federal Reserve is expected to respond with a rate cut, but there are debates within the central bank about the appropriate path forward.
 - The upcoming U.S. presidential election and ongoing global political events could have significant implications for the stock market, including the Industrial Machinery &amp; Supplies &amp; Components industry in which Dover Corporation operates.</t>
  </si>
  <si>
    <t>Recent News:
 The recent news highlights that DexCom (DXCM) is considered a strong momentum stock, with the Zacks Style Scores offering investors a way to easily find top-rated stocks based on their investing style. This suggests that DexCom may be an attractive investment option for investors seeking stocks with strong momentum.
 Financials:
 DexCom's latest financial data shows a mixed picture. The company's stock price has seen some volatility, with the share price fluctuating between $69.88 and $71.08 during the day. However, the company's financial metrics, such as a trailing P/E ratio of 42.64 and a forward P/E ratio of 34.66, suggest that the stock may be reasonably valued. Additionally, the company's strong financial position, with a quick ratio of 2.03 and a current ratio of 2.46, indicates a healthy balance sheet.
 Economic Outlook:
 The broader economic outlook remains uncertain, with concerns about slowing growth and the potential impact of global conflicts and natural disasters. However, the Federal Reserve's expected interest rate cut could provide some support for the stock market, including DexCom's share price.</t>
  </si>
  <si>
    <t>Recent News: Dayforce, a leading provider of human resource and employment services, has seen its stock rally after a strong Q3 earnings report. The company reported an acceleration in revenue growth to 17% year-over-year, outpacing its larger cloud peers. Dayforce also continues to expand its profitability and free cash flow, with adjusted EBITDA margins reaching just shy of 30%.
 Financials: Dayforce's Q3 2024 results surpassed earnings and revenue estimates, with the company reporting earnings of $0.47 per share, beating the Zacks Consensus Estimate of $0.45 per share. This represents a year-over-year improvement from $0.37 per share.
 Economic Outlook: The broader economic landscape remains mixed, with signs of slowing growth and increasing global uncertainty. However, the Federal Reserve is expected to cut interest rates, which could provide some support for the stock market. Additionally, the upcoming U.S. presidential election and ongoing global conflicts could have significant implications for the market's performance.</t>
  </si>
  <si>
    <t>Recent News:
 - Motorola Solutions, a leading provider of communications equipment and services, has seen its stock price fluctuate in recent weeks, reflecting the mixed economic outlook and global uncertainties.
 - The company's performance has been influenced by factors such as the ongoing geopolitical tensions, including the escalating conflict between Israel and Lebanon, and the political changes in Japan, which could have broader implications for the global economy and the communications industry.
 - Additionally, the successful recovery and capture of a SpaceX Starship booster, a significant technological advancement in the space industry, may have positive implications for Motorola Solutions' involvement in related sectors.
 Financials:
 - Motorola Solutions' financial data shows a strong balance sheet, with a healthy cash position, low debt levels, and solid profitability metrics.
 - The company's revenue growth, earnings growth, and profit margins indicate a well-performing business, despite the challenging macroeconomic environment.
 - Motorola Solutions' valuation metrics, such as the forward P/E ratio and PEG ratio, suggest that the stock may be reasonably priced, though the high trailing P/E ratio could be a concern.
 Economic Outlook:
 - The U.S. economy is facing a mixed outlook, with signs of slowing growth and increasing global uncertainty. The Federal Reserve is expected to respond with a rate cut, but there are debates within the central bank about the appropriate path forward.
 - The upcoming U.S. presidential election and the resolution (or escalation) of global conflicts and natural disasters could have significant implications for the communications equipment industry and Motorola Solutions' performance.</t>
  </si>
  <si>
    <t>Recent News:
 Nucor, a leading steel producer in the United States, has made strategic investments worth about half its market cap over the past eight years. This move positions the company to capitalize on the growing demand for steel, regardless of the outcome of the upcoming U.S. presidential election.
 Financials:
 Nucor's financial data shows a mixed picture. The company's stock price has declined by 6.25% over the past 52 weeks, underperforming the S&amp;P 500's 31.21% increase. However, Nucor's fundamentals remain strong, with a trailing P/E ratio of 13.82, a forward P/E ratio of 15.00, and a dividend yield of 1.52%. The company's profitability metrics, such as profit margins and return on assets and equity, are also relatively healthy.
 Economic Outlook:
 The U.S. economy is facing a mixed outlook, with signs of slowing growth and increasing global uncertainty. The Federal Reserve is expected to respond with a rate cut, but there are debates within the central bank about the appropriate path forward. The steel industry, in particular, may be impacted by the ongoing global conflicts and political instability, which could affect demand and pricing. However, Nucor's strategic investments and diversified customer base may help the company navigate these challenges.</t>
  </si>
  <si>
    <t>Recent News:
 - The Israel Defense Forces have invaded southern Lebanon, escalating the conflict between Israel and Hezbollah. This development in the Middle East could have implications for the global economy and the construction and engineering industry.
 - SpaceX achieved a significant milestone by successfully recovering and capturing a Super Heavy booster from its Starship rocket. This technological advancement could positively impact the space industry and related sectors.
 - The 2024 U.S. presidential election is shaping up to be a closely watched event, with potential policy changes that could affect the construction and engineering industry.
 Financials:
 Jacobs Solutions, a leading construction and engineering firm, has demonstrated a strong financial performance. The company's key financial metrics, such as revenue growth, profitability, and cash flow, suggest a stable and well-managed business. However, the firm's valuation, as indicated by the forward P/E ratio, suggests that the stock may be trading at a premium compared to its peers.
 Economic Outlook:
 The U.S. economy is facing a mixed outlook, with signs of slowing growth and increasing global uncertainty. The Federal Reserve is expected to respond with a rate cut, which could provide some support for the stock market. However, the ongoing geopolitical tensions and natural disasters could have broader economic implications that may impact the construction and engineering industry.</t>
  </si>
  <si>
    <t>Recent News:
 Lam Research (LRCX), a leading semiconductor equipment company, has been in the spotlight recently. The company has delivered solid results and an impressive outlook, indicating its strong position in the industry. Analysts have highlighted the company's international revenue trends and post-earnings momentum, suggesting that it is a trending stock worth considering.
 Financials:
 Lam Research's financial data shows a mixed picture. The company's stock price has fluctuated, with a previous close of $74.35 and a 52-week range of $62.81 to $113.00. The company's financial ratios, such as a trailing P/E of 24.20 and a forward P/E of 17.52, suggest that the stock may be reasonably valued. Additionally, the company's profitability metrics, including a profit margin of 26.02% and a return on equity of 49.12%, indicate strong financial performance.
 Economic Outlook:
 The broader economic environment remains uncertain, with concerns about slowing growth and global conflicts. The Federal Reserve is expected to cut interest rates in the near term, which could provide some support for the stock market. However, the upcoming U.S. presidential election and ongoing geopolitical tensions could introduce additional volatility.</t>
  </si>
  <si>
    <t>Recent News:
 Henry Schein (HSIC), a leading provider of health care products and services, is expected to beat earnings estimates in its upcoming report. The company's strong performance is attributed to its ability to capitalize on the growing demand for healthcare services and products.
 Financials:
 Henry Schein's recent financial data shows a mixed picture. The company's stock price has fluctuated within a range of $70.05 to $71.42 over the past trading session, with a previous close of $70.23. The company's financial metrics, such as a forward P/E ratio of 13.35 and a trailing P/E ratio of 25.97, suggest that the stock may be reasonably valued.
 Economic Outlook:
 The overall economic outlook remains uncertain, with concerns about slowing growth and global political tensions. However, the healthcare sector is expected to continue its growth trajectory, driven by factors such as an aging population and the increasing demand for medical services. This could provide a favorable environment for Henry Schein to maintain its strong performance.</t>
  </si>
  <si>
    <t>Recent News:
 Lamb Weston (LW) stock has seen a 16% increase since its last earnings report, which was released 30 days ago. The company's strong performance can be attributed to several factors, including its ability to navigate the challenging macroeconomic environment and its focus on innovation and operational efficiency.
 Financials:
 Lamb Weston's latest financial data shows a mixed picture. The company's stock is currently trading at $77.57, with a 52-week range of $52.99 to $111.875. The company's dividend rate is $1.44, with a dividend yield of 1.87%. Lamb Weston's trailing P/E ratio is 18.10, and its forward P/E ratio is 15.48, indicating that the stock may be undervalued compared to its peers.
 Economic Outlook:
 The overall economic outlook remains uncertain, with concerns about slowing growth, rising inflation, and the potential impact of global conflicts and natural disasters. However, the packaged foods and meats industry, in which Lamb Weston operates, has generally been more resilient to these challenges, as consumer demand for these products tends to be more stable.</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</si>
  <si>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Shigeru Ishiba as the new prime minister, with the Liberal Democratic Party forming the majority. The new prime minister has called for a snap election, which could lead to policy changes and market uncertainty in Japan,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Marsh McLennan, a leading insurance broking and risk management firm, has demonstrated a strong financial performance. The company's stock has a previous close of $218.24 and has shown a 52-week range of $184.28 to $232.32. The firm's financial metrics, such as a trailing P/E ratio of 27.02, a forward P/E ratio of 23.23, and a dividend yield of 1.49%, suggest a relatively attractive valuation.
 Economic Outlook:
 The U.S. economy is facing a mixed outlook, with signs of slowing growth and increasing global uncertainty. The Federal Reserve is expected to respond with a rate cut, which could provide some support for the stock market. However, the upcoming U.S. presidential election and global political events could have significant implications for the market's performance.</t>
  </si>
  <si>
    <t>Recent News:
 Fox Corporation (FOX) is expected to report its upcoming earnings, and the company is well-positioned to potentially beat the expectations. The recent financial data suggests that Fox has a strong combination of factors that could lead to a positive earnings surprise.
 Financials:
 Fox's financial performance has been relatively strong, with a healthy balance sheet and solid profitability metrics. The company's trailing P/E ratio of 12.42 and forward P/E ratio of 16.55 suggest that the stock may be undervalued compared to its peers. Additionally, Fox's dividend yield of 1.39% and payout ratio of 16.61% indicate a stable and sustainable dividend policy.
 Economic Outlook:
 The overall economic environment remains mixed, with some signs of slowing growth and ongoing global uncertainties. However, the Federal Reserve's expected interest rate cut could provide some support for the stock market, including the broadcasting industry. Additionally, the continued advancements in emerging technologies, such as the successful recovery of a SpaceX Starship booster, may have positive implications for related sectors, which could benefit Fox's business.</t>
  </si>
  <si>
    <t>Recent News:
 Fortive (FTV) has reported strong Q3 earnings, beating estimates and raising its annual profit forecast. The company's momentum across its Industrial &amp; Operational Solutions (IOS) and Advanced Healthcare Solutions (AHS) segments, along with robust orders growth, have contributed to its solid performance. Additionally, Wall Street analysts have revised their earnings estimates higher for Fortive, indicating the stock is poised for a potential trend reversal after a recent decline.
 Financials:
 Fortive's financial data shows a mixed picture. The company's stock has seen a decline of 7.16% in the past four weeks, but it is now technically in oversold territory, suggesting the selling pressure may have been exhausted. Fortive's valuation metrics, such as a forward P/E ratio of 17.1 and a PEG ratio of 1.84, suggest the stock may be reasonably priced. The company's profitability metrics, including a profit margin of 14.4% and an EBITDA margin of 27.4%, are also relatively strong.
 Economic Outlook:
 The broader economic environment remains uncertain, with concerns about slowing job growth and the potential impact of global conflicts and natural disasters. However, the Federal Reserve's expected interest rate cut and the underlying strength of the U.S. economy may provide some support for the stock market in the coming months.</t>
  </si>
  <si>
    <t>Recent News: U.S. Bancorp (USB) has been upgraded to a Zacks Rank #2 (Buy), indicating growing optimism about the company's earnings prospects. This positive outlook is reflected in the stock's recent performance.
 Financials: U.S. Bancorp's latest financial data shows a mixed picture. The company's stock price has fluctuated within a range of $47.815 to $48.96 during the day, with a previous close of $48.31. The company's dividend rate stands at $2.00, with a dividend yield of 4.18%. However, the company's trailing P/E ratio of 14.72 and forward P/E ratio of 11.05 suggest that the stock may be undervalued.
 Economic Outlook: The U.S. economy is facing a mixed outlook, with signs of slowing growth and increasing global uncertainty. The Federal Reserve is expected to respond with a rate cut, which could provide some support for the stock market. However, the upcoming U.S. presidential election and global political events could have significant implications for the market.</t>
  </si>
  <si>
    <t>Recent News:
 - The Israel-Lebanon conflict has escalated, with the Israel Defense Forces invading southern Lebanon and Iran attacking Israel with ballistic missiles. This regional instability could have broader implications for the global economy and the electronics industry.
 - The 2024 Japanese general election resulted in the governing LDP losing its parliamentary majority, potentially leading to policy changes and market uncertainty in Japan, which could impact Amphenol's operations and supply chain.
 - The successful recovery and capture of a SpaceX Starship booster could signal further progress in the space industry, potentially driving investment in related sectors and benefiting Amphenol's aerospace and defense business.
 Financials:
 Amphenol's recent financial data shows a strong performance, with a market capitalization of over $81 billion and a trailing P/E ratio of 39.0. The company's profitability metrics, such as profit margins and return on equity, are also relatively high. However, the company's debt-to-equity ratio of 57.565 may be a concern, as it could limit the company's financial flexibility.
 Economic Outlook:
 The U.S. economy is facing a mixed outlook, with signs of slowing growth and increasing global uncertainty. The Federal Reserve is expected to cut interest rates, which could provide some support for the stock market. However, the upcoming U.S. presidential election and ongoing global conflicts could introduce further volatility and uncertainty in the coming months.</t>
  </si>
  <si>
    <t>Recent News:
 Allstate (ALL) reported strong Q3 2024 earnings, surpassing Wall Street estimates. The company's earnings per share came in at $3.91, beating the consensus estimate of $2.20 per share. This represents a significant improvement compared to the $0.81 per share reported in the same quarter last year. The better-than-expected performance was driven by growing premiums earned, although higher expenses partially offset the gains.
 Financials:
 Allstate's recent financial data shows a mixed picture. The stock is currently trading at a forward P/E ratio of 9.99, suggesting it may be undervalued compared to the industry average. However, the company's debt-to-equity ratio of 38.83 is relatively high, which could be a concern for some investors. On the positive side, Allstate has a strong balance sheet, with $7.81 billion in total cash and a return on equity of 23.78%.
 Economic Outlook:
 The overall economic environment remains challenging, with signs of slowing growth and increased global uncertainty. The Federal Reserve is expected to cut interest rates in the near term, which could provide some support for the stock market. However, the upcoming U.S. presidential election and ongoing geopolitical tensions could introduce further volatility in the coming months.</t>
  </si>
  <si>
    <t>Recent News:
 Zoetis (ZTS), a leading animal health company, is gearing up to report its third-quarter 2024 earnings. Wall Street analysts are projecting growth in both the top and bottom lines for the company. The higher sales of companion animal products in the U.S. and international markets are expected to have driven Zoetis' revenues during the quarter.
 Financials:
 Zoetis' recent financial data shows a mixed picture. The company's stock price has fluctuated, with the current price trading around $183.11. The company's dividend rate stands at $1.73, with a dividend yield of 0.95%. Zoetis' valuation metrics, such as the forward P/E ratio of 28.17, suggest that the stock may be trading at a premium compared to the industry average.
 Economic Outlook:
 The overall economic environment remains uncertain, with concerns about slowing job growth and the potential impact of global conflicts and natural disasters. The Federal Reserve is expected to cut interest rates in the near term, which could provide some support for the stock market. However, the upcoming U.S. presidential election and the resolution (or escalation) of geopolitical tensions could significantly impact Zoetis' performance and the broader pharmaceutical industry.</t>
  </si>
  <si>
    <t>Recent News:
 Airbnb (ABNB) is expected to beat earnings estimates in its upcoming report. The company has the right combination of factors that typically lead to an earnings beat, including strong financial performance and positive market sentiment.
 Financials:
 Airbnb's recent financial data shows a mixed picture. The company's stock has seen some volatility, with the share price fluctuating between $133.81 and $136.88 over the past trading day. However, Airbnb's financial metrics, such as a trailing P/E ratio of 18.54 and a forward P/E ratio of 29.60, suggest that the stock may be reasonably valued.
 Economic Outlook:
 The overall economic outlook remains uncertain, with concerns about slowing job growth and the potential impact of global conflicts and natural disasters. However, the expected interest rate cut by the Federal Reserve could provide some support for the stock market, including the hospitality industry in which Airbnb operates.</t>
  </si>
  <si>
    <t>Recent News:
 Akamai Technologies is expected to report its Q3 results, with analysts anticipating year-over-year revenue growth driven by solid demand across several end markets and the company's product innovation. Additionally, Akamai's stock has suffered a larger drop compared to the broader market, providing potential opportunities for investors.
 Financials:
 Akamai's recent financial data shows a mixed picture. The company's stock has a trailing P/E ratio of 24.96 and a forward P/E ratio of 14.68, indicating potential undervaluation. However, the stock has also experienced a 52-week change of -7.26%, underperforming the S&amp;P 500's 31.21% increase. Akamai's profitability metrics, such as profit margins and return on assets and equity, appear relatively strong.
 Economic Outlook:
 The overall economic environment remains uncertain, with signs of slowing growth and ongoing global conflicts. The Federal Reserve is expected to cut interest rates, which could provide some support for the stock market. However, the upcoming U.S. presidential election and other geopolitical events could introduce further volatility in the near to medium term.</t>
  </si>
  <si>
    <t>Recent News:
 Align Technology, a leading provider of clear aligners and dental scanners, has seen its stock price fluctuate in recent weeks amid the mixed economic outlook and ongoing global uncertainties. The company's performance has been impacted by the broader market volatility, as investors grapple with the implications of the weaker-than-expected jobs report and the potential impact of geopolitical tensions on the economy.
 Financials:
 Align Technology's financial data shows a mixed picture. The company's trailing P/E ratio of 35.59 and forward P/E ratio of 20.33 suggest that the stock may be overvalued compared to its earnings. However, the company's profitability metrics, such as profit margins of 11.15% and a return on equity of 11.40%, indicate that it is performing well within its industry.
 Economic Outlook:
 The overall economic outlook for the U.S. is uncertain, with the Federal Reserve expected to cut interest rates in response to the slowing job growth and other economic indicators. This move by the central bank could provide some support for the stock market, including Align Technology's share price. However, the upcoming U.S. presidential election and ongoing global conflicts could also introduce additional volatility and uncertainty in the market.</t>
  </si>
  <si>
    <t>Recent News:
 Zimmer Biomet, a leading orthopedic implant manufacturer, has reported better-than-expected Q3 earnings, with adjusted EPS of $1.74, up from $1.65 a year ago. The company has also updated its annual forecasts, indicating strong performance across segments and regions in the third quarter of 2024. However, the company has also lowered its full-year profit forecast following disruptions to a software platform that was managing some of its operations.
 Financials:
 Zimmer Biomet's financial data shows a mixed picture. The company's stock has seen a slight increase in recent trading, with a previous close of $106.92 and a current day high of $109.50. The company's financial metrics, such as profitability ratios, debt levels, and cash flow, suggest a relatively stable financial position. However, the company's forward P/E ratio of 12.53 indicates that the stock may be undervalued compared to its peers.
 Economic Outlook:
 The broader economic outlook remains uncertain, with signs of slowing growth and increasing global uncertainty. The Federal Reserve is expected to cut interest rates in the near term, which could provide some support for the stock market. However, the upcoming U.S. presidential election and ongoing global conflicts and natural disasters could also impact the market's performance.</t>
  </si>
  <si>
    <t>Recent News:
 Alliant Energy (LNT) reported strong Q3 earnings and revenue results, beating analyst estimates. The company also narrowed its 2024 EPS outlook, indicating a positive outlook for the firm.
 Financials:
 Alliant Energy's financial data shows a mixed picture. The company has a relatively high debt-to-equity ratio of 153.258, which could be a concern. However, it has a decent profit margin of 16.67% and a reasonable forward P/E ratio of 17.77. The company's dividend yield of 3.33% is also attractive.
 Economic Outlook:
 The overall economic outlook remains uncertain, with signs of slowing growth and ongoing global conflicts. However, the expected interest rate cut by the Federal Reserve could provide some support for the stock market, including the utilities sector.</t>
  </si>
  <si>
    <t>Recent News:
 American Tower (AMT) reported its Q3 2023 results, with funds from operations (FFO) surpassing analyst estimates. However, the company has lowered its 2024 outlook, citing diminished customer spending in its leasing business. This news has led to a decline in the company's stock price.
 Financials:
 American Tower's Q3 2023 financial data shows a mixed performance. While the company's FFO beat estimates, its revenue missed expectations due to the slowdown in customer leasing activity. The company's financial metrics, such as profitability, leverage, and liquidity, remain relatively strong, but the lowered 2024 outlook could be a concern for investors.
 Economic Outlook:
 The broader economic environment remains challenging, with signs of slowing growth and increased global uncertainty. The Federal Reserve's expected interest rate cut could provide some support for the stock market, but the outcome of the U.S. presidential election and the resolution (or escalation) of global conflicts and natural disasters could significantly impact the company's performance in the medium to long term.</t>
  </si>
  <si>
    <t>Recent News:
 The upcoming Q3 earnings report for American Electric Power (AEP) is expected to reflect the benefits of a warmer weather pattern and higher transmission revenues. Analysts are closely watching the company's key metrics beyond the top-and-bottom-line estimates to gain deeper insights into its potential performance for the quarter ended September 2024.
 Financials:
 AEP's recent financial data shows a mixed picture. The company's stock has seen some volatility, with the share price fluctuating between $97.07 and $99.23 during the day. However, the company's dividend rate of $3.72 and dividend yield of 3.83% remain attractive. The company's valuation metrics, such as a forward P/E ratio of 16.26 and a price-to-book ratio of 1.98, suggest that the stock may be reasonably valued.
 Economic Outlook:
 The broader economic environment remains uncertain, with signs of slowing growth and ongoing global conflicts. The Federal Reserve is expected to cut interest rates in the near term, which could provide some support for the stock market. However, the outcome of the upcoming U.S. presidential election and the resolution (or escalation) of global events could significantly impact the market's performance in the medium to long term.</t>
  </si>
  <si>
    <t>Recent News:
 Amentum, a leading diversified support services company, has been navigating the complex economic and geopolitical landscape in recent months. The company's operations have been impacted by the continuation of major armed conflicts globally, including the Russian invasion of Ukraine and the escalating tensions in the Middle East. These events have contributed to increased market volatility and uncertainty, which could potentially affect Amentum's financial performance.
 Financials:
 Amentum's latest financial data shows a mixed picture. The company's stock price has fluctuated, with the share price ranging from a low of $23.58 to a high of $34.50 over the past 52 weeks. The company's trailing price-to-earnings ratio of 18.33 suggests that the stock may be reasonably valued, but the recent market volatility has made it challenging to assess the company's true valuation.
 Amentum's financial metrics, such as profitability margins, debt levels, and cash flow, appear relatively stable, indicating the company's operational resilience. However, the company's revenue growth has been slightly negative, which could be a concern if the trend continues.
 Economic Outlook:
 The broader economic outlook remains uncertain, with the U.S. economy facing a mixed outlook. The recent slowdown in job creation and the ongoing global conflicts and natural disasters could have a significant impact on Amentum's business operations and financial performance.
 The Federal Reserve's expected interest rate cut may provide some support for the stock market, but the long-term implications of the central bank's monetary policy decisions remain to be seen.</t>
  </si>
  <si>
    <t>Recent News:
 - Bank of America (BofA) may ask a court to resolve the Consumer Financial Protection Bureau's (CFPB) investigation into the bank's processing of payments through the Zelle network. BofA has been responding to the CFPB's inquiry.
 - BofA has appointed 30-year veteran Brian Weinstein to a newly created role as head of its EMEA Global Markets division.
 Financials:
 BofA's financial data shows a mixed picture. The stock has a relatively low trailing P/E ratio of 15.13 and a forward P/E ratio of 11.47, indicating potential undervaluation. However, the company's revenue growth has been slightly negative (-0.5%) in the recent past. The bank's profitability metrics, such as profit margins (24.95%) and return on equity (8.09%), are relatively strong.
 Economic Outlook:
 The U.S. economy is facing a mixed outlook, with signs of slowing growth and increasing global uncertainty. The Federal Reserve is expected to cut interest rates, which could provide some support for the stock market. However, the upcoming U.S. presidential election and global political events could have significant implications for the market.</t>
  </si>
  <si>
    <t>Recent News:
 Autodesk, a leading provider of application software for the architecture, engineering, construction, manufacturing, media, and entertainment industries, has seen its stock price fluctuate in recent weeks. The company's shares have been impacted by the mixed economic outlook, with the latest jobs report showing a significant slowdown in job creation, which could have implications for the broader economy and the demand for Autodesk's products and services.
 Financials:
 Autodesk's financial performance has been relatively strong, with the company reporting a net income of $1.057 billion in its most recent quarter. The company's profitability is reflected in its high profit margins, which stand at 18.2%. However, Autodesk's valuation metrics, such as its high forward P/E ratio of 31.2, suggest that the stock may be trading at a premium compared to its peers.
 Economic Outlook:
 The overall economic landscape remains uncertain, with the Federal Reserve expected to cut interest rates in response to the weaker-than-expected jobs report. This move by the central bank could provide some support for the stock market, including Autodesk's shares. However, the ongoing global conflicts and political instability, as well as the potential impact of the 2024 U.S. presidential election, could introduce further volatility and uncertainty in the market.</t>
  </si>
  <si>
    <t>Recent News:
 The recent escalation of the Israel-Lebanon conflict and the ongoing political uncertainty in Japan have raised concerns about the potential impact on the global economy and the insurance industry. Additionally, the successful recovery and capture of a SpaceX Starship booster has sparked interest in the space industry, which could have implications for related sectors.
 Financials:
 Aon, a leading insurance broker, has reported mixed financial performance. While the company's revenue growth has been strong at 26%, its earnings growth has declined by 29.6% year-over-year. The company's profitability metrics, such as profit margins and return on assets, remain relatively healthy. However, the company's debt-to-equity ratio is high at 274.699, which could be a concern for investors.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insurance industry and the broader stock market.</t>
  </si>
  <si>
    <t>Recent News:
 - The ongoing global conflicts, including the escalating tensions between Israel and Lebanon, as well as the political changes in Japan, could have potential implications for the semiconductor industry and Analog Devices' operations.
 - The successful recovery and capture of a SpaceX Starship booster could signal further progress in the space industry, which may drive investment in related sectors, including semiconductor companies like Analog Devices.
 - The recent cybersecurity incident at the Internet Archive, which resulted in a breach of user passwords and distributed denial-of-service attacks, could raise concerns about data privacy and security, potentially affecting investor sentiment in the technology sector, including the semiconductor industry.
 Financials:
 - Analog Devices' financial data shows a strong market position, with a market capitalization of over $111 billion and a healthy balance sheet, including $2.5 billion in total cash.
 - The company's profitability metrics, such as profit margins and return on assets and equity, are also relatively strong, indicating a well-managed business.
 - However, the company's valuation metrics, such as a high trailing P/E ratio of 68.12 and a forward P/E ratio of 29.90, suggest that the stock may be trading at a premium compared to its peers.
 Economic Outlook:
 - The U.S. economy is facing a mixed outlook, with signs of slowing growth and increasing global uncertainty. The Federal Reserve is expected to respond with a rate cut, but there are debates within the central bank about the appropriate path forward.
 - The upcoming U.S. presidential election and global political events could have significant implications for the semiconductor industry and Analog Devices' performance.
 - Emerging technologies, such as advancements in the space industry, may also play a role in shaping the market's performance and Analog Devices' future growth prospects.</t>
  </si>
  <si>
    <t>Recent News:
 The recent escalation of the Israel-Lebanon conflict, the political changes in Japan, and the ongoing global conflicts have raised concerns about the potential impact on the broader economic and market environment. Additionally, the Internet Archive breach and the potential cybersecurity implications could also affect investor sentiment in the technology sector, which may have indirect consequences for Ameriprise Financial as an asset management firm.
 Financials:
 Ameriprise Financial's financial data shows a mixed picture. The company's stock price has fluctuated in recent weeks, with the share price ranging from a low of $505.81 to a high of $515.27. The company's dividend yield of 1.17% and payout ratio of 21.64% suggest a relatively stable dividend policy. However, the company's trailing P/E ratio of 19.38 and forward P/E ratio of 13.15 indicate that the stock may be fairly valued or slightly undervalued compared to the industry average.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the resolution (or escalation) of global conflicts and natural disasters could also have significant implications for the market, which may impact Ameriprise Financial's performance.</t>
  </si>
  <si>
    <t>Recent News:
 The recent earnings report from Charter Communications (CHTR) showed much lower-than-expected losses in its ACP broadband subscriber base, leading to a 12% market rally in the stock. However, there are some red flags, as the ACP losses may not end as quickly as management projects. On the positive side, Spectrum Mobile continues to show strength and may become even more profitable than anticipated.
 Financials:
 Charter's financial data indicates a strong market position, with a market capitalization of over $52 billion and a relatively low trailing P/E ratio of 11.48. The company's profitability metrics, such as profit margins, EBITDA margins, and return on assets and equity, are also solid. However, the company's debt-to-equity ratio of 533.472 is quite high, which could be a concern.
 Economic Outlook:
 The broader economic outlook remains mixed, with signs of slowing growth and ongoing global uncertainties. The Federal Reserve is expected to cut interest rates in the near term, which could provide some support for the stock market. However, the upcoming U.S. presidential election and geopolitical events could also have significant implications for the market.</t>
  </si>
  <si>
    <t>Recent News:
 Berkshire Hathaway, the conglomerate led by renowned investor Warren Buffett, continues to navigate the evolving economic landscape. The company's diversified portfolio, spanning various industries, has helped it weather the recent market volatility.
 Financials:
 The latest available data shows that Berkshire Hathaway's trailing price-to-earnings growth (PEG) ratio is not available. This metric, which compares a company's valuation to its expected earnings growth, provides insight into its potential investment value.
 Economic Outlook:
 The U.S. economy is facing a mixed outlook, with signs of slowing growth and increasing global uncertainty. The Federal Reserve's expected interest rate cut could provide some support for the market, but the outcome of the upcoming U.S. presidential election and the resolution of global conflicts and natural disasters will be crucial factors in determining the market's performance in the coming months.</t>
  </si>
  <si>
    <t>Recent News: Best Buy (BBY) has an impressive earnings surprise history and currently possesses the right combination of the two key ingredients for a likely beat in its next quarterly report.
 Financials: Best Buy's recent financial data shows a mixed picture. The company's stock price has fluctuated within a range of $90.22 to $91.56 over the past trading session. Its valuation metrics, such as a trailing P/E ratio of 15.70 and a forward P/E ratio of 13.25, suggest the stock may be reasonably priced. However, the company's debt-to-equity ratio of 131.90 is relatively high, which could be a concern.
 Economic Outlook: The overall economic environment remains uncertain, with signs of slowing growth and increasing global uncertainty. The Federal Reserve is expected to cut interest rates, which could provide some support for the stock market. However, the upcoming U.S. presidential election and ongoing global conflicts could also impact the market's performance.</t>
  </si>
  <si>
    <t>Recent News: Charles River Laboratories (CRL) is expected to beat earnings estimates in its upcoming report. The company has an impressive earnings surprise history and possesses the right combination of factors that typically lead to an earnings beat. This positive outlook suggests that CRL may be a promising investment opportunity in the near term.
 Financials: CRL's recent financial data shows a mixed picture. While the company's profitability metrics, such as profit margins and return on assets, are relatively strong, its debt levels are also high, with a debt-to-equity ratio of 75.301. Additionally, the company's revenue growth has been negative in the recent past. However, CRL's valuation metrics, including a forward P/E ratio of 17.383, suggest that the stock may be reasonably priced.
 Economic Outlook: The overall economic environment remains uncertain, with concerns about slowing growth and the potential impact of global conflicts and natural disasters. The Federal Reserve's expected interest rate cut could provide some support for the stock market, but the outcome of the upcoming U.S. presidential election and the resolution (or escalation) of geopolitical tensions could significantly impact CRL's performance.</t>
  </si>
  <si>
    <t>Recent News: Charles Schwab (SCHW) announced plans to expand its 24-hour trading offering, addressing the rising demand among retail investors for round-the-clock market access. This move aligns with the broader industry trend of brokerages catering to the evolving needs of their clients.
 Financials: Charles Schwab's recent financial data shows a mixed picture. The company's stock price has fluctuated within a range of $70.44 to $71.365 over the past trading session, with a previous close of $70.83. The firm's dividend rate stands at $1.00, with a dividend yield of 1.41%. However, the company's trailing P/E ratio of 27.71 and forward P/E ratio of 18.57 suggest that the stock may be trading at a premium compared to its industry peers.
 Economic Outlook: The broader economic landscape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geopolitical tensions could significantly impact the market's performance in the medium to long term.</t>
  </si>
  <si>
    <t>Recent News:
 AvalonBay Communities, a leading multi-family residential REIT, is expected to report its Q3 2024 earnings soon. Wall Street analysts are closely watching the company's key metrics, as they provide insights into AvalonBay's potential performance for the quarter.
 Firm Financials:
 AvalonBay's recent financial data shows a mixed picture. The company's stock price has fluctuated, with the share price ranging from $216.19 to $223.00 during the day. The company's dividend rate of 6.8% and dividend yield of 3.14% are relatively attractive. However, the company's valuation metrics, such as a high forward P/E ratio of 38.83, suggest that the stock may be trading at a premium.
 Economic Outlook:
 The broader economic environment remains challenging, with concerns about slowing job growth and the potential impact of global conflicts and natural disasters. The Federal Reserve is expected to cut interest rates in the coming weeks, which could provide some support for the real estate sector, including AvalonBay.</t>
  </si>
  <si>
    <t>Recent News: Baxter International, a leading medical device manufacturer, has announced the restart of its highest-throughput intravenous (IV) solutions manufacturing line at its North Carolina facility. This line was previously impacted by hurricane-related flooding, and the restart is a positive development for the company's operations.
 Financials: Baxter's recent financial data shows a mixed picture. The stock has a previous close of $35.7 and a current day high of $36.49, indicating some volatility in the share price. The company's dividend rate is $1.16, with a dividend yield of 3.23%. However, the company's forward P/E ratio of 11.35 suggests that the stock may be undervalued compared to its peers.
 Economic Outlook: The broader economic environment remains uncertain, with concerns about slowing job growth and the potential for further interest rate cuts by the Federal Reserve. These macroeconomic factors could have an impact on Baxter's performance in the near term.</t>
  </si>
  <si>
    <t>Recent News:
 Becton Dickinson (BDX) is expected to report strong earnings growth in its upcoming report, according to analysts. The company is seen as a strong value and growth stock, with its Zacks Style Scores indicating it is well-positioned for future performance.
 Financials:
 Becton Dickinson's recent financial data shows a mixed picture. The company's stock price has fluctuated in the past month, with a previous close of $233.59 and a current day high of $236.72. Its dividend rate of $3.80 and dividend yield of 1.62% are relatively attractive. However, the company's valuation metrics, such as a high trailing P/E ratio of 47.14, suggest the stock may be overpriced.
 Economic Outlook:
 The overall economic environment remains uncertain, with signs of slowing growth and ongoing global conflicts. The Federal Reserve is expected to cut interest rates, which could provide some support for the stock market. However, the upcoming U.S. presidential election and other political events could introduce additional volatility.</t>
  </si>
  <si>
    <t>Recent News:
 Bunge Global (BG) reported strong Q3 earnings, beating the Zacks Consensus Estimate. The company posted earnings of $2.29 per share, compared to $2.99 per share a year ago. This performance reflects the company's ability to navigate the challenging market conditions.
 Financials:
 Bunge's financial data shows a mixed picture. The stock has seen a 21.6% decline in the past 52 weeks, underperforming the S&amp;P 500's 31.2% increase. However, the company's valuation metrics, such as a forward P/E ratio of 8.77 and a price-to-book ratio of 1.14, suggest the stock may be undervalued. Additionally, Bunge's dividend yield of 3.29% is relatively attractive.
 Economic Outlook:
 The overall economic outlook remains uncertain, with concerns about slowing growth and the potential impact of global conflicts and natural disasters. The Federal Reserve's expected interest rate cut may provide some support for the market, but the outcome of the U.S. presidential election and the resolution of geopolitical tensions could significantly influence the stock's performance in the medium to long term.</t>
  </si>
  <si>
    <t>Recent News:
 C.H. Robinson Worldwide, Inc. (CHRW) reported better-than-expected earnings for the third quarter of 2024. The company's revenues benefited from higher pricing and volume in its ocean services, partially offset by lower pricing and volume in truckload services. Analysts have increased their forecasts for the company following the Q3 results.
 Financials:
 C.H. Robinson's financial data shows a mixed picture. The company's stock price has fluctuated in recent trading, with a previous close of $103.04 and a day range of $101.57 to $103.47. The company's valuation metrics, such as a forward P/E ratio of 21.26 and a price-to-sales ratio of 0.68, suggest that the stock may be reasonably valued.
 Economic Outlook:
 The broader economic environment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global events could significantly impact the market's performance in the medium to long term.</t>
  </si>
  <si>
    <t>Recent News:
 Camden Property Trust (CPT) reported its Q3 2024 earnings, with the company topping the Zacks Consensus Estimate for funds from operations (FFO) per share. While the revenue and earnings per share (EPS) provide insights into the company's performance, it's important to consider how key metrics compare to Wall Street estimates and the year-ago numbers.
 Financials:
 Camden's Q3 2024 FFO of $1.71 per share beat the Zacks Consensus Estimate of $1.68 per share, though it was slightly lower than the $1.73 per share reported in the same quarter last year. The company's financial data shows a mixed picture, with the stock trading at a forward P/E ratio of 69.77, which is relatively high compared to the industry average. However, the company's dividend yield of 3.62% and a payout ratio of 129.02% suggest a strong focus on shareholder returns.
 Economic Outlook:
 The broader economic environment remains challenging, with the U.S. economy facing a mixed outlook. The latest jobs report showed a significant slowdown in job creation, and the Federal Reserve is expected to cut interest rates in response. Additionally, global conflicts, natural disasters, and political uncertainty continue to impact the market. These macroeconomic factors could have implications for the multi-family residential REIT industry, including Camden Property Trust.</t>
  </si>
  <si>
    <t>Recent News:
 Centene Corporation, a leading provider of managed healthcare services, has been in the spotlight recently due to its strong financial performance and strategic initiatives. The company has continued to expand its footprint in the Medicaid and Medicare markets, solidifying its position as a major player in the managed care industry.
 Financials:
 Centene's latest financial data shows a mixed picture. While the company's revenue growth has been modest at 6.1%, its profitability has remained strong, with a net income margin of 2.1% and an EBITDA margin of 4.0%. The company's balance sheet is also relatively healthy, with a current ratio of 1.098 and a debt-to-equity ratio of 64.231.
 Economic Outlook:
 The overall economic outlook for the managed healthcare industry remains cautiously optimistic. The ongoing COVID-19 pandemic and the potential for further global conflicts and natural disasters could create some headwinds for the industry. However, the expected interest rate cut by the Federal Reserve and the continued demand for healthcare services may provide some support for Centene's performance in the near term.</t>
  </si>
  <si>
    <t>Recent News:
 Celanese (CE) is set to report its Q3 2024 earnings, and investors are closely watching the company's performance amid demand and pricing headwinds. The company's cost-cutting initiatives and acquisition synergies are expected to have contributed to its Q3 performance.
 Financials:
 Celanese's recent financial data shows a mixed picture. The company's stock has seen some volatility, with the share price fluctuating between $124.58 and $126.73 during the day. The company's dividend rate stands at $2.8, with a dividend yield of 2.24%. However, the company's trailing P/E ratio of 7.06 and forward P/E ratio of 10.06 suggest that the stock may be undervalued.
 Economic Outlook:
 The broader economic landscape remains uncertain, with signs of slowing growth and increasing global uncertainty. The Federal Reserve is expected to cut interest rates in the coming weeks, which could provide some support for the stock market. However, the outcome of the U.S. presidential election and the resolution (or escalation) of global conflicts and natural disasters could have significant implications for the market's performance in the medium to long term.</t>
  </si>
  <si>
    <t>Recent News:
 Cencora (COR), a leading player in the Health Care Distributors industry, is set to report its Q4 earnings next week. Analysts are closely watching the company's key performance measures, as they provide insights into its potential performance for the quarter ended September 2024. The market is expecting earnings growth from Cencora, as the company possesses the right combination of factors that could lead to a positive earnings surprise.
 Financials:
 Cencora's recent financial data shows a mixed picture. The company's stock has been trading in the range of $191.11 to $247.66 over the past 52 weeks, with a current price of $237.865. The company's valuation metrics, such as a forward P/E ratio of 15.915 and a PEG ratio of 1.66, suggest that the stock may be reasonably valued. However, the company's debt-to-equity ratio of 578.115 is relatively high, which could be a concern for investors.
 Economic Outlook:
 The overall economic outlook for the U.S. is mixed, with signs of slowing growth and increasing global uncertainty. The Federal Reserve is expected to cut interest rates in the near term, which could provide some support for the stock market. However, the upcoming U.S. presidential election and ongoing global conflicts and natural disasters could introduce volatility and uncertainty in the market.</t>
  </si>
  <si>
    <t>Recent News:
 Assurant (AIZ) is expected to report its Q3 earnings soon, and the consensus is that the company's earnings are likely to decline compared to the previous quarter. This expectation is based on the company's financial data and the current economic conditions.
 Financials:
 Assurant's recent financial data shows a mixed picture. The company's stock has been trading in the range of $191-$194 per share, with a previous close of $191.7. The company's dividend rate is $2.88, with a dividend yield of 1.5%. However, the company's trailing P/E ratio of 12.78 and forward P/E ratio of 10.87 suggest that the stock may be undervalued.
 Economic Outlook:
 The overall economic outlook remains uncertain, with concerns about slowing growth and the potential impact of global conflicts and natural disasters. The Federal Reserve is expected to cut interest rates in the near future, which could provide some support for the stock market. However, the outcome of the upcoming U.S. presidential election and the resolution (or escalation) of global issues could have a significant impact on the market's performance.</t>
  </si>
  <si>
    <t>Recent News:
 - Aptiv PLC (APTV) reported Q3 earnings that surpassed analyst estimates, with earnings per share of $1.83 compared to the consensus estimate of $1.69. This represents a year-over-year increase from $1.30 per share.
 - However, the company cut its annual sales forecast due to a challenging automotive market and a decline in overall automotive production.
 - Analysts are evaluating Aptiv's key metrics beyond just revenue and earnings per share to gain better insights into the company's performance.
 Financials:
 - Aptiv's financial data shows a mixed picture, with the stock trading at a forward P/E ratio of 7.67 and a trailing P/E ratio of 6.28, indicating potential undervaluation.
 - The company's profit margins, at 12.29%, are relatively healthy, and it has a strong balance sheet with $1.84 billion in total cash.
 - However, the company's debt-to-equity ratio of 109.67 is relatively high, which could be a concern.
 Economic Outlook:
 - The broader economic environment remains uncertain, with signs of slowing growth and ongoing global conflicts and natural disasters that could impact the automotive industry.
 - The Federal Reserve is expected to cut interest rates, which could provide some support for the stock market, but the outcome of the U.S. presidential election and the resolution of global issues will be key factors in the medium-term outlook.</t>
  </si>
  <si>
    <t>Recent News:
 Humana, a leading health insurance provider, reported strong third-quarter results, beating analysts' estimates on both the top and bottom lines. The company's Medicare Advantage business, which caters to older adults, performed particularly well, exceeding expectations and contributing to the overall financial performance. Humana also updated its full-year profit guidance, further bolstering investor confidence.
 Financials:
 Humana's financial data indicates a mixed picture. While the company's stock price has declined by 46.5% over the past 52 weeks, its valuation metrics, such as the forward P/E ratio of 14.54, suggest potential undervaluation. The company's profitability ratios, including return on assets and return on equity, are relatively low, but its balance sheet appears strong, with a quick ratio of 1.404 and a current ratio of 1.758.
 Economic Outlook:
 The broader economic environment remains challenging, with concerns about slowing job growth and the potential impact of global conflicts and natural disasters. However, the Federal Reserve's expected interest rate cut could provide some support for the stock market, including Humana's shares. Additionally, the ongoing advancements in emerging technologies, such as the space industry, may have positive implications for the healthcare sector.</t>
  </si>
  <si>
    <t>Recent News:
 International Flavors &amp; Fragrances (IFF) is gearing up to report its Q3 earnings. The company's efforts to drive productivity gains and lower costs are likely to be reflected in the upcoming results. Investors will be closely watching the report for insights into the company's performance and any potential impact from the ongoing economic and geopolitical challenges.
 Financials:
 IFF's recent financial data shows a mixed picture. The company's stock has seen some volatility, with the share price fluctuating between $98.77 and $99.80 during the day. The company's dividend rate stands at $1.60, with a dividend yield of 1.62%. However, the company's profitability metrics, such as profit margins and return on equity, have been relatively weak.
 Economic Outlook:
 The broader economic environment remains uncertain, with concerns about slowing growth and the potential impact of global conflicts and natural disasters. The Federal Reserve is expected to cut interest rates in the near term, which could provide some support for the stock market. However, the outcome of the upcoming U.S. presidential election and the resolution (or escalation) of geopolitical tensions could have significant implications for the market's performance.</t>
  </si>
  <si>
    <t>Recent News:
 Hubbell Incorporated (HUBB) reported strong Q3 2024 earnings, surpassing Wall Street estimates. The company posted earnings of $4.49 per share, beating the consensus estimate of $4.47 per share. This represents a year-over-year increase of 13.67% in earnings.
 Financials:
 Hubbell's financial data shows a mixed picture. The company's stock price has seen a 52-week high of $461.77 and a low of $274.42, indicating significant volatility. The current stock price of $427.03 is towards the higher end of this range. Hubbell's valuation metrics, such as a forward P/E ratio of 24.02 and a PEG ratio of 3.4, suggest the stock may be fairly valued or slightly overvalued.
 Economic Outlook:
 The broader economic environment remains challenging, with signs of slowing growth and increased global uncertainty. The Federal Reserve is expected to cut interest rates in the near term, which could provide some support for the stock market. However, the upcoming U.S. presidential election and ongoing geopolitical tensions could introduce further volatility.</t>
  </si>
  <si>
    <t>Recent News:
 Invitation Homes (INVH) reported strong Q3 2024 earnings, with funds from operations (FFO) beating Wall Street estimates. The company's revenue and key metrics also showed positive performance compared to the year-ago period. The Q3 results suggest that Invitation Homes' strategy of maintaining a diverse portfolio in high-growth markets and its third-party management business are contributing to its financial success.
 Financials:
 Invitation Homes' financial data indicates a mixed picture. While the company's profitability metrics, such as profit margins and return on assets and equity, are relatively healthy, its valuation ratios like forward P/E and PEG are on the higher side. The company's debt-to-equity ratio is also elevated, which could be a concern for some investors. However, the company's strong cash position and free cash flow generation are positive factors.
 Economic Outlook:
 The broader economic environment remains uncertain, with signs of slowing growth and ongoing global conflicts. The Federal Reserve's expected interest rate cut could provide some support for the stock market, but the outcome of the U.S. presidential election and the resolution (or escalation) of geopolitical tensions will be crucial in shaping the market's performance in the medium to long term.</t>
  </si>
  <si>
    <t>Recent News:
 Insulet Corporation, a leading medical device company in the Health Care Equipment industry, has seen its stock price fluctuate in recent weeks, reflecting the mixed economic outlook and ongoing global uncertainties. The company's shares have traded in the range of $229.56 to $236.72 during the past week, with a previous close of $231.53.
 Financials:
 Insulet's financial performance remains strong, with a market capitalization of $16.5 billion and a trailing P/E ratio of 42.53. The company's profitability is also noteworthy, with a profit margin of 21.11% and a return on equity of 50.93%. However, the company's forward P/E ratio of 61.84 suggests that the stock may be trading at a premium valuation.
 Economic Outlook:
 The broader economic landscape remains mixed, with the latest jobs report showing a significant slowdown in job creation, while the Federal Reserve is expected to cut interest rates in response. This economic uncertainty, coupled with ongoing global conflicts and political events, could impact the overall market sentiment and potentially affect Insulet's stock performance in the short to medium term.</t>
  </si>
  <si>
    <t>Recent News:
 The upcoming earnings report for EOG Resources (EOG) is expected to show a decline in earnings compared to the previous quarter. This is due to the challenging market conditions in the Oil &amp; Gas Exploration &amp; Production industry, which have been impacted by factors such as global conflicts and economic uncertainty.
 Financials:
 EOG Resources' financial data indicates a mixed picture. The company's stock has seen some volatility, with the share price fluctuating between $120.34 and $122.94 in recent trading. The company's dividend yield of 3.01% and a payout ratio of 26.8% suggest a relatively stable dividend policy.
 However, the company's trailing P/E ratio of 9.33 and forward P/E ratio of 10.91 suggest that the stock may be undervalued compared to its peers. Additionally, the company's profitability metrics, such as profit margins and return on equity, are relatively strong, indicating a healthy financial position.
 Economic Outlook:
 The overall economic outlook remains mixed, with concerns about slowing growth and global uncertainty. The Federal Reserve is expected to cut interest rates in the near future, which could provide some support for the stock market. However, the upcoming U.S. presidential election and ongoing geopolitical tensions could also introduce volatility and uncertainty in the market.</t>
  </si>
  <si>
    <t>Recent News:
 Intercontinental Exchange (ICE) reported third-quarter results that matched analysts' estimates. The company's Q3 earnings of $1.55 per share were in line with the Zacks Consensus Estimate, and the results reflected the strength of ICE's balanced and diversified business model, as well as the benefits of its strategic investments.
 Financials:
 ICE's financial data shows a mixed picture. The company's stock has a trailing P/E ratio of 36.73 and a forward P/E ratio of 22.81, indicating that the stock may be overvalued compared to its earnings. However, the company's profitability metrics, such as profit margins (26.53%) and return on equity (9.41%), are relatively strong. Additionally, ICE has a healthy balance sheet, with a current ratio of 1.00 and a quick ratio of 0.03.
 Economic Outlook:
 The overall economic outlook remains uncertain, with signs of slowing growth in the U.S. economy, such as the weaker-than-expected October jobs report. The Federal Reserve is expected to cut interest rates in response, which could provide some support for the stock market. However, ongoing global conflicts, natural disasters, and political uncertainty could continue to create volatility in the market.</t>
  </si>
  <si>
    <t>Recent News:
 The cargo ground transportation industry has faced some challenges in recent months, with the ongoing global conflicts and natural disasters impacting supply chains and logistics. However, J.B. Hunt, a leading player in the industry, has continued to navigate these turbulent times with resilience.
 Financials:
 J.B. Hunt's latest financial data shows a mixed picture. While the company's revenue and profitability remain relatively strong, with a profit margin of 4.6% and an EBITDA margin of 12.9%, there are some concerning signs. The company's earnings growth has declined by 18.9% year-over-year, and its debt-to-equity ratio stands at 47.6%, indicating a relatively high level of leverage.
 Economic Outlook:
 The broader economic outlook remains uncertain, with the Federal Reserve expected to cut interest rates in the coming weeks to support the slowing economy. This move could provide some relief for the transportation industry, but the ongoing geopolitical tensions and natural disasters may continue to pose challenges.</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</si>
  <si>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a new prime minister, Shigeru Ishiba, who has called for a snap election. This leadership change in Japan could lead to policy changes and market uncertainty,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 Iron Mountain's financial data shows a mixed picture, with a high trailing P/E ratio of 155.33 and a relatively low forward P/E ratio of 56.88. The company's dividend rate is 2.86, with a dividend yield of 2.36%.
 - The company's profitability metrics, such as profit margins (3.94%) and return on equity (81.13%), are relatively strong, indicating a healthy financial performance.
 - However, the company's free cash flow is negative, which could be a concern for investors.
 Economic Outlook:
 - The US economy is facing a mixed outlook, with signs of slowing growth and increasing global uncertainty. The Federal Reserve is expected to respond with a rate cut, but there are debates within the central bank about the appropriate path forward.
 - The upcoming US presidential election and global political events could have significant implications for the stock market, including the Other Specialized REITs industry in which Iron Mountain operates.</t>
  </si>
  <si>
    <t>Recent News:
 IQVIA, a leading provider of advanced analytics, technology solutions, and contract research services to the life sciences industry, has reported strong financial results for the third quarter of 2024. The company's earnings and revenues surpassed market expectations, driven by robust performance in its Research and Development, and Technology and Analytics segments. However, IQVIA has also lowered its annual revenue forecast due to delays in two clinical trials, as one of its clients faces logistical challenges.
 Financials:
 IQVIA's financial data indicates a mixed picture. The company's stock price has fluctuated in recent trading sessions, with the share price ranging between $206.58 and $210.28. The company's valuation metrics, such as the forward P/E ratio of 17.17, suggest that the stock may be reasonably priced. However, the company's debt-to-equity ratio of 200.258 is relatively high, which could be a concern for some investors.
 Economic Outlook:
 The broader economic environment remains uncertain, with the U.S. economy facing a mixed outlook. The latest jobs report showed a significant slowdown in job creation, and the Federal Reserve is expected to respond by cutting interest rates. Additionally, the upcoming U.S. presidential election and ongoing global conflicts could have significant implications for the stock market, including IQVIA's performance.</t>
  </si>
  <si>
    <t>Recent News:
 Capital One disclosed that it could face an enforcement action by the Consumer Financial Protection Bureau (CFPB) regarding its introduction of a new savings account product with a higher interest rate than its existing savings account products. This potential CFPB action could have implications for the company's savings account business.
 Financials:
 Capital One's financial data shows a strong balance sheet, with $1.8 billion in net income, a single-digit P/E ratio, and robust liquidity with $132 billion in reserves. The company's credit card operations drive over 70% of its revenue but also incur high loss rates. Overall, Capital One's liquidity remains strong with a 163% coverage ratio.
 Economic Outlook:
 The U.S. economy is facing a mixed outlook, with signs of slowing growth and increasing global uncertainty. The Federal Reserve is expected to respond with a rate cut, which could provide some support for the stock market. However, the upcoming U.S. presidential election and global political events could have significant implications for the market's performance.</t>
  </si>
  <si>
    <t>Recent News:
 Entergy's (ETR) third-quarter earnings beat the Zacks Consensus Estimate by 2.8%, despite a 2% decline in revenues compared to the same period last year. The company's earnings per share came in at $2.99, surpassing the consensus estimate of $2.91.
 Firm Financials:
 Entergy's financial data shows a mixed picture. The company's stock price has declined by around 6.7% over the past month, with the stock trading at $144.33 on the day's low. However, the company's long-term financial metrics remain relatively strong, with a market capitalization of over $31 billion, a dividend yield of 3.32%, and a price-to-earnings ratio of 17.6.
 Economic Outlook:
 The broader economic environment remains challenging, with concerns about slowing job growth and the potential for further interest rate hikes by the Federal Reserve. These factors could impact the demand for electricity and put pressure on Entergy's revenues and profitability in the short to medium term.</t>
  </si>
  <si>
    <t>Recent News:
 Enphase Energy has faced some challenges in recent months, with Europe weakness and a large US customer bankruptcy leading to a delay in its path to normalized revenues. However, the company's Q3 results were actually satisfactory, considering the backdrop. The US market fundamentals are improving, with strong growth in California and non-California states, as well as across Enphase's product portfolio.
 Financials:
 Enphase Energy's financial data shows a mixed picture. The company's stock has declined by around 40% since the beginning of the year, underperforming its industry peers. However, Enphase's financial metrics, such as profitability margins, cash flow, and debt levels, remain relatively strong. The company's forward P/E ratio of 22.64 suggests that the stock may be reasonably valued.
 Economic Outlook:
 The broader economic environment remains challenging, with concerns about slowing growth, interest rate hikes, and geopolitical tensions. These factors could continue to weigh on the stock market and the clean energy sector, including Enphase Energy. However, the long-term outlook for the solar industry remains positive, driven by the ongoing transition to renewable energy sources.</t>
  </si>
  <si>
    <t>Recent News:
 Emerson Electric (EMR) is set to report its Q4 earnings, and the market is anticipating a potential earnings beat. The company is expected to benefit from solid momentum in the energy and power end markets, as well as contributions from recent acquisitions. However, high operating expenses may have impacted the company's profit margins.
 Financials:
 Emerson Electric's financial data shows a mixed picture. The company's stock price has fluctuated in recent trading, with a previous close of $108.27 and a day high of $109.37. The company's dividend rate stands at $2.10, with a dividend yield of 1.94%. Emerson's valuation metrics, such as a forward P/E ratio of 18.41 and a price-to-book ratio of 2.98, suggest the stock may be reasonably valued.
 Economic Outlook:
 The broader economic environment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global events could significantly impact the market's performance in the medium to long term.</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</si>
  <si>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a new prime minister, Shigeru Ishiba, who has called for a snap election. This leadership change in Japan could lead to policy changes and market uncertainty,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Jabil's financial data shows a mixed picture. The company's stock price has been volatile, with a 52-week range of $95.85 to $156.94. The company's profitability metrics, such as profit margins and return on assets and equity, are relatively strong, indicating a healthy financial performance. However, the company's debt-to-equity ratio is high at 207.887, which could be a concern for investors.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market.</t>
  </si>
  <si>
    <t>Recent News:
 Expeditors International (EXPD) is set to report its Q3 2024 earnings next week. Wall Street analysts are expecting the company to deliver earnings growth, driven by strong performance across its business segments. Analysts are closely watching Expeditors' key metrics, such as revenue, profit margins, and cash flow, to gauge the company's overall financial health and growth potential.
 Financials:
 Expeditors International's recent financial data shows a mixed picture. The company's stock price has been volatile, with the share price fluctuating between $107.03 and $131.59 over the past 52 weeks. While the company's profit margins and return on assets and equity are relatively strong, its debt-to-equity ratio of 25.387 may be a concern for some investors.
 Economic Outlook:
 The broader economic environment remains challenging, with slowing job growth, ongoing global conflicts, and natural disasters posing risks to the U.S. economy. The Federal Reserve's expected interest rate cut may provide some support for the stock market, but the overall outlook remains uncertain, particularly in the lead-up to the 2024 U.S. presidential election.</t>
  </si>
  <si>
    <t>Recent News:
 Kenvue, the consumer healthcare company spun off from Johnson &amp; Johnson, has announced a significant development that could be bullish for the stock. The company plans to acquire a smaller personal care brand, which could help expand its product portfolio and strengthen its position in the growing personal care market.
 Financials:
 Kenvue's recent financial data shows a mixed picture. The company's stock price has been trading in the range of $22-$23 per share, with a 52-week high of $23.55 and a 52-week low of $17.67. The company's valuation metrics, such as a forward P/E ratio of 18.48 and a price-to-sales ratio of 2.81, suggest that the stock may be reasonably valued.
 Economic Outlook:
 The overall economic outlook remains uncertain, with concerns about slowing job growth and the potential for further interest rate hikes by the Federal Reserve. However, the personal care industry has generally been resilient, and the expected rate cut by the Fed could provide some support for the market.</t>
  </si>
  <si>
    <t>Recent News: Keurig Dr Pepper, the leading beverage company, has announced the acquisition of the energy drink brand Ghost. This move is expected to strengthen Keurig Dr Pepper's position in the growing energy drink market, which has seen increasing consumer demand. The addition of Ghost to the company's portfolio could help diversify its product offerings and potentially drive future growth.
 Financials: Keurig Dr Pepper's recent financial data shows a mixed picture. The company's stock price has fluctuated around $32.95, with a 52-week range of $28.62 to $38.28. While the company's dividend yield of 2.8% and forward P/E ratio of 16.01 appear attractive, its profitability metrics, such as profit margins and return on equity, are relatively modest compared to industry peers.
 Economic Outlook: The broader economic environment remains uncertain, with concerns about slowing job growth and the potential impact of global conflicts and natural disasters. The Federal Reserve's upcoming decision on interest rates could also influence the stock market's performance in the near term. However, the underlying fundamentals of the U.S. economy remain relatively strong, and the long-term outlook for the soft drinks and non-alcoholic beverages industry appears positive.</t>
  </si>
  <si>
    <t>Recent News:
 - The Israel-Lebanon conflict has escalated, with the Israel Defense Forces invading southern Lebanon and Iran attacking Israel with ballistic missiles. This regional instability could have broader implications for the global economy and financial markets.
 - The Japanese parliament has elected a new prime minister, Shigeru Ishiba, who has called for a snap election. This political change in Japan could lead to policy shifts and market uncertainty.
 - The Internet Archive suffered a major data breach, raising concerns about data privacy and security, which could affect investor sentiment in the technology sector and the broader stock market.
 Financials:
 KeyCorp, a regional bank operating primarily in the Midwest and Mid-Atlantic regions of the United States, has shown a mixed financial performance. The company's stock price has fluctuated in recent weeks, with the current trading price around $17.25. KeyCorp's dividend yield of 4.77% and forward P/E ratio of 11.09 suggest potential value for investors.
 Economic Outlook:
 The U.S. economy is facing a mixed outlook, with signs of slowing growth and increasing global uncertainty. The Federal Reserve is expected to cut interest rates in response, which could provide some support for the stock market. However, the upcoming U.S. presidential election and ongoing geopolitical tensions could introduce further volatility and uncertainty in the coming months.</t>
  </si>
  <si>
    <t>Recent News: Keysight Technologies (KEYS) has announced a collaboration with Analog Devices (ADI) to develop a testing solution for GMSL2 (Gigabit Multimedia Serial Link) devices. This collaboration aims to enhance safety and innovation in Advanced Driver Assistance Systems (ADAS) by providing a comprehensive testing platform for GMSL2 technology, which is crucial for enabling high-speed data transmission in autonomous vehicles.
 Firm Financials: Keysight Technologies' recent financial data shows a mixed picture. The stock has seen a slight increase in its opening price, with a day high of $152.66. However, the trading volume has been relatively low compared to the average. The company's valuation metrics, such as the forward P/E ratio of 21.74 and the price-to-sales ratio of 5.26, suggest that the stock may be fairly valued. The company's profitability metrics, including a profit margin of 18.2% and a return on equity of 18.0%, indicate a healthy financial performance.
 Economic Outlook: The broader economic environment remains uncertain, with concerns about slowing job growth and the potential impact of global conflicts and natural disasters. The Federal Reserve is expected to cut interest rates in the near future, which could provide some support for the stock market. However, the upcoming U.S. presidential election and the resolution (or escalation) of geopolitical tensions could significantly impact the market's performance in the medium to long term.</t>
  </si>
  <si>
    <t>Recent News:
 Federal Realty Investment Trust (FRT) reported its Q3 2024 earnings, missing the Zacks Consensus Estimate for funds from operations (FFO) per share. However, the company's leasing activity and occupancy levels at its properties remained healthy, driving its overall performance. The company also raised its full-year 2024 guidance, indicating a positive outlook.
 Financials:
 Federal Realty's financial data shows a mixed picture. The company's stock price has fluctuated in recent trading sessions, with a previous close of $110.84 and a day high of $112.58. The company's dividend rate stands at $4.40, with a dividend yield of 3.98%. However, its valuation metrics, such as a forward P/E ratio of 35.85, suggest the stock may be trading at a premium.
 Economic Outlook:
 The broader economic environment remains challenging, with signs of slowing growth and ongoing global uncertainties. The Federal Reserve is expected to cut interest rates in the near term, which could provide some support for the stock market. However, the upcoming U.S. presidential election and the resolution (or escalation) of global conflicts and natural disasters could significantly impact the market's performance in the medium to long term.</t>
  </si>
  <si>
    <t>Recent News:
 Fidelity National Information Services (FIS), a leading provider of transaction and payment processing services, is set to report its third-quarter earnings. Analysts are anticipating strong recurring revenue growth in both the company's segments, as well as new sales momentum. The upcoming earnings report is expected to be a key indicator of the firm's performance and potential.
 Financials:
 FIS' recent financial data shows a mixed picture. The company's stock has experienced some volatility, with the share price fluctuating between $88.28 and $89.965 over the past trading session. However, the company's fundamentals remain relatively strong, with a market capitalization of $48.6 billion and a forward P/E ratio of 15.8, suggesting potential upside.
 Economic Outlook:
 The broader economic environment remains uncertain, with concerns about slowing growth and the potential impact of global conflicts and natural disasters. The Federal Reserve's upcoming decision on interest rates could also have implications for the financial services industry, including FIS. Investors will be closely watching the company's performance and guidance for insights into the industry's outlook.</t>
  </si>
  <si>
    <t>Recent News:
 The latest macroeconomic data suggests a mixed outlook for the U.S. economy, with a significant slowdown in job growth and ongoing global conflicts and natural disasters posing challenges. The Federal Reserve is expected to respond by cutting interest rates, though there are debates within the central bank about the appropriate path forward. These economic and political developments could have implications for the banking sector, including Fifth Third Bancorp.
 Financials:
 Fifth Third Bancorp, a regional bank operating primarily in the Midwest, has shown relatively strong financial performance. The company's key metrics, such as profitability, dividend yield, and valuation ratios, appear favorable compared to industry peers. However, the bank's exposure to the broader economic conditions and potential changes in monetary policy could impact its future performance.
 Economic Outlook:
 The mixed macroeconomic outlook, with signs of slowing growth and ongoing global uncertainties, may create a challenging environment for the banking industry. The Federal Reserve's interest rate decisions and the outcome of the 2024 U.S. presidential election could have significant implications for the sector, including Fifth Third Bancorp.</t>
  </si>
  <si>
    <t>Recent News:
 - First Solar's Q3 earnings release disappointed the market as it recorded a double miss on revenue and adjusted EPS. The company faces near-term supply chain challenges and intense competition from Chinese competitors.
 - However, the company's long-term backlog remains robust, underscoring the structurally bullish opportunities for the utility-scale solar energy leader.
 - First Solar is the only U.S.-based large-scale solar panel maker and has benefited hugely from tax credits from the Inflation Reduction Act (IRA).
 Financials:
 - First Solar's financial data shows a mixed picture, with a strong balance sheet (high cash, low debt) but weaker profitability metrics (lower profit margins, lower return on assets and equity).
 - The company's valuation appears attractive, with a forward P/E ratio of 9.8 and a PEG ratio of 0.32, suggesting potential undervaluation.
 Economic Outlook:
 - The U.S. economy is facing a mixed outlook, with signs of slowing growth and increasing global uncertainty. The Federal Reserve is expected to cut interest rates, which could provide some support for the stock market.
 - The ongoing global conflicts, natural disasters, and political uncertainty could continue to impact the economic and market environment, potentially affecting First Solar's performance.</t>
  </si>
  <si>
    <t>Recent News:
 Hologic (HOLX) stock has seen some volatility in recent trading sessions, closing at $80.46 on the latest day, marking a -0.46% move from the previous day. This comes amid a broader market uptick, suggesting the company may be facing some unique challenges. Additionally, Hologic is expected to report earnings next week, and investors are closely watching the company's performance.
 Financials:
 Hologic's financial data shows a mixed picture. The company has a relatively high trailing P/E ratio of 28.10, indicating that the stock may be overvalued compared to its earnings. However, the forward P/E ratio of 19.06 suggests that the market expects the company's earnings to improve in the future. Hologic also has a strong balance sheet, with a quick ratio of 3.07 and a current ratio of 3.99, indicating a healthy liquidity position.
 Economic Outlook:
 The broader economic environment remains uncertain, with signs of slowing growth and increasing global tensions. The Federal Reserve is expected to cut interest rates in the near term, which could provide some support for the stock market. However, the upcoming U.S. presidential election and ongoing geopolitical events could introduce further volatility and uncertainty in the market.</t>
  </si>
  <si>
    <t>Recent News:
 - The technology hardware and storage industry has faced some challenges, with the ongoing global conflicts and economic uncertainty impacting demand and supply chains.
 - HP Inc. has been navigating these market conditions, focusing on diversifying its product portfolio and expanding its presence in the growing PC and printing markets.
 - The company recently announced the successful recovery and capture of a SpaceX Starship booster, which could signal further progress in the space industry and potentially drive investment in related sectors.
 Financials:
 - HP Inc. has reported a mixed financial performance, with a decline in earnings growth but a modest increase in revenue growth.
 - The company's profitability metrics, such as profit margins and EBITDA margins, remain relatively strong, indicating its ability to manage costs effectively.
 - HP Inc. has a healthy balance sheet, with a significant cash position and a manageable debt load, providing it with financial flexibility.
 Economic Outlook:
 - The overall economic landscape remains uncertain, with the Federal Reserve expected to cut interest rates in response to signs of slowing growth.
 - The upcoming U.S. presidential election and ongoing global conflicts could also impact the stock market's performance in the coming months.
 - However, the long-term outlook for the technology hardware and storage industry remains positive, driven by the continued advancements in emerging technologies.</t>
  </si>
  <si>
    <t>Recent News:
 JPMorgan Chase, the largest U.S. bank, has been making headlines for several reasons. The bank has agreed to pay $151 million to settle five cases with the U.S. Securities and Exchange Commission (SEC), addressing allegations of misleading brokerage disclosures. Additionally, JPMorgan has filed lawsuits against customers who allegedly exploited a technical glitch, known as the "infinite money glitch," to withdraw large sums of money illegally from the bank's ATMs.
 Financials:
 JPMorgan Chase's financial data shows a mixed picture. The stock has a previous close of $221.92 and a 52-week high of $226.75, indicating a relatively strong performance. However, the bank's forward P/E ratio of 13.32 suggests that the stock may be slightly overvalued compared to its earnings growth potential. The company's dividend yield of 2.24% and payout ratio of 25.57% are also relatively low compared to industry peers.
 Economic Outlook:
 The broader economic outlook remains uncertain, with concerns about slowing job growth and the potential impact of global conflicts and natural disasters. The Federal Reserve is expected to cut interest rates in the near term, which could provide some support for the stock market. However, the outcome of the 2024 U.S. presidential election and the resolution (or escalation) of geopolitical tensions could have significant implications for JPMorgan Chase and the broader financial sector.</t>
  </si>
  <si>
    <t>Recent News:
 - The ongoing global conflicts, including the escalating tensions between Israel and Lebanon, as well as the political changes in Japan, could have potential implications for Johnson &amp; Johnson's operations and the broader pharmaceutical industry.
 - The successful recovery and capture of a SpaceX Starship booster, a significant technological advancement, may signal further progress in the space industry and potentially impact related sectors, including the pharmaceutical industry.
 Financials:
 Johnson &amp; Johnson's financial data shows a mixed picture. The company's profitability metrics, such as profit margins and return on assets and equity, are relatively strong. However, the company's debt-to-equity ratio is relatively high at 50.958, which could be a concern.
 Economic Outlook:
 The U.S. economy is facing a mixed outlook, with signs of slowing growth and increasing global uncertainty. The Federal Reserve is expected to respond with a rate cut, but there are debates within the central bank about the appropriate path forward. This economic environment could impact the pharmaceutical industry, including Johnson &amp; Johnson.</t>
  </si>
  <si>
    <t>Recent News: Hasbro's Q3 results show solid profitability despite a year-over-year revenue decline, demonstrating the firm's efficiency and scalability amidst a challenging market environment. The company's strong IP portfolio and expansion into digital gaming offer promising avenues for long-term growth, particularly in emerging markets like Southeast Asia. Management's rational focus on long-term profitability and operational efficiency underscores Hasbro's potential to generate outsized returns for shareholders.
 Financials: Hasbro's financial data indicates a mixed performance, with a previous close of $65.63 and a 52-week range of $42.66 to $73.46. The company's dividend rate stands at $2.80, with a dividend yield of 4.25%. Hasbro's forward P/E ratio of 14.86 suggests the stock may be reasonably valued. Additionally, the company's strong cash position, with $1.19 billion in total cash, and healthy financial ratios, such as a quick ratio of 1.18 and a current ratio of 1.47, provide a solid foundation for future growth.
 Economic Outlook: The U.S. economy is facing a mixed outlook, with signs of slowing growth and increasing global uncertainty. The Federal Reserve is expected to respond with a rate cut, which could provide some support for the stock market. However, the upcoming U.S. presidential election and global political events could have significant implications for the market's performance.</t>
  </si>
  <si>
    <t>Recent News:
 Hess Corporation (HES) has reported favorable results for its midstream operations, which overshadow the challenges faced in its United States business. The company's Q3 earnings beat estimates, driven by higher oil-equivalent production, particularly in Guyana. Hess also raised its full-year 2024 capital expenditure guidance, signaling its commitment to growth.
 Financials:
 Hess' financial data shows a mixed picture. The company's stock has seen a 5.48% decline in the past 52 weeks, underperforming the S&amp;P 500's 31.21% increase. However, Hess' financial metrics, such as profitability margins, debt-to-equity ratio, and free cash flow, suggest a relatively strong financial position.
 Economic Outlook:
 The broader economic environment remains uncertain, with concerns about slowing job growth and the Federal Reserve's monetary policy decisions. However, the underlying fundamentals of the U.S. economy remain relatively strong, and the stock market is expected to continue its long-term upward trend over the next 1-2 years, despite potential volatility.</t>
  </si>
  <si>
    <t>Recent News:
 Illinois Tool Works (ITW) reported strong third-quarter earnings, beating the Zacks Consensus Estimate. The company's performance was driven by strength across the Automotive OEM and Specialty Products units, though softness in the Welding segment weighed on the results.
 Financials:
 ITW's financial data shows a mixed picture. The company's stock price has fluctuated in recent trading, with the share price ranging between $260.74 and $264.28 on the day. The company's valuation metrics, such as the price-to-earnings ratio and price-to-book ratio, suggest that the stock may be fairly valued or slightly overvalued compared to its peers.
 Economic Outlook:
 The broader economic environment remains uncertain, with concerns about slowing job growth and the potential impact of global conflicts and natural disasters. The Federal Reserve is expected to cut interest rates in the near term, which could provide some support for the stock market. However, the upcoming U.S. presidential election and ongoing geopolitical tensions could introduce further volatility in the coming months.</t>
  </si>
  <si>
    <t>Recent News:
 Idexx Laboratories, a leading provider of diagnostic equipment and services for the animal health industry, reported a strong earnings beat for Q3 2024. The company's revenue and earnings per share (EPS) surpassed analysts' expectations, indicating solid performance. However, Idexx also reduced its annual revenue guidance, citing fewer visits to veterinary clinics by pet owners as a contributing factor.
 Financials:
 Idexx's financial data shows a mixed picture. The company's stock price has declined over the past year, with the share price down by around 1.3% compared to the S&amp;P 500's 31.2% increase. However, Idexx's financial metrics, such as profitability, liquidity, and valuation ratios, remain relatively strong. The company's profit margins, return on assets, and return on equity are all healthy, suggesting a well-managed business.
 Economic Outlook:
 The broader economic environment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global events could significantly impact the market's performance in the medium to long term.</t>
  </si>
  <si>
    <t>Recent News:
 - The ongoing conflicts and political instability in various regions around the world, such as the escalating tensions between Israel and Lebanon, and the political changes in Japan, could have potential implications for KKR's global operations and investment portfolio.
 - The successful recovery and capture of a SpaceX Starship booster could signal further progress in the space industry, which may present new investment opportunities for KKR.
 Financials:
 KKR's financial data shows a mixed picture. The company's stock price has been volatile, with a 52-week range of $58.94 to $147.15. The firm's profitability metrics, such as profit margins and earnings growth, have been declining, indicating potential challenges in the current economic environment.
 However, KKR's balance sheet remains relatively strong, with a healthy cash position and manageable debt levels. The company's dividend yield and payout ratio also suggest a stable income stream for investors.
 Economic Outlook:
 The U.S. economy is facing a mixed outlook, with signs of slowing growth and increasing global uncertainty. The Federal Reserve is expected to respond with a rate cut, but there are debates within the central bank about the appropriate path forward. This economic landscape could impact KKR's investment performance and asset management activities.</t>
  </si>
  <si>
    <t>Recent News:
 The latest macroeconomic data suggests a mixed outlook for the U.S. economy, with a significant slowdown in job growth and ongoing global conflicts and natural disasters posing challenges. The Federal Reserve is expected to respond by cutting interest rates, though there are debates within the central bank about the appropriate path forward. These economic and political developments could have implications for the stock market, including the Distributors industry in which LKQ Corporation operates.
 Financials:
 LKQ Corporation, a leading provider of alternative and specialty parts for the automotive industry, has shown a mixed financial performance in recent quarters. The company's revenue growth has been modest, with a 0.4% increase in the latest reported quarter. However, its profitability has been under pressure, with a decline in earnings growth of 5.9% year-over-year.
 Despite these challenges, LKQ Corporation's financial position remains relatively strong, with a healthy balance sheet and solid cash flow generation. The company's valuation metrics, such as a forward P/E ratio of 10.19 and a PEG ratio of 0.32, suggest that the stock may be undervalued compared to its peers.
 Economic Outlook:
 The overall economic outlook for the Distributors industry, in which LKQ Corporation operates, is cautiously optimistic. While the recent slowdown in job growth and ongoing global uncertainties may create some headwinds, the expected interest rate cut by the Federal Reserve could provide support for the market.
 Additionally, the continued advancements in emerging technologies, such as the successful recovery and capture of a SpaceX Starship booster, may have positive implications for the automotive industry and related sectors, potentially benefiting LKQ Corporation.</t>
  </si>
  <si>
    <t>Recent News:
 - The Israel-Lebanon conflict has escalated, with the Israel Defense Forces invading southern Lebanon and Iran attacking Israel with ballistic missiles. This regional instability could have broader implications for the global economy and financial markets.
 - The Japanese parliament has elected a new prime minister, Shigeru Ishiba, who has called for a snap election. This political change in Japan may lead to policy shifts and market uncertainty.
 - The Internet Archive suffered a major data breach, raising concerns about data privacy and security, which could affect investor sentiment in the technology sector and the broader stock market.
 Financials:
 Mettler Toledo, a leading provider of precision instruments and services for various industries, including life sciences, has shown a mixed financial performance. The company's stock price has fluctuated in recent weeks, with the share price ranging from $1,333.395 to $1,387.73 during the day. The company's forward P/E ratio of 30.495 suggests that the stock may be fairly valued, but its trailing P/E ratio of 36.901 indicates that the stock could be overvalued.
 Economic Outlook:
 The overall economic outlook remains uncertain, with the U.S. economy facing a mixed outlook. The recent jobs report showed a significant slowdown in job creation, and the Federal Reserve is expected to respond by cutting interest rates. However, there are debates within the central bank about the appropriate path forward. Additionally, the ongoing global conflicts and political instability could have broader implications for the financial markets.</t>
  </si>
  <si>
    <t>Recent News:
 Medtronic (MDT) has outperformed the broader market, closing at $90.07, a 0.92% increase compared to its previous close. The company recently announced positive trial data for its Symplicity Spyral RDN system, which has undergone the SPYRAL HTN-ON MED clinical trial. This favorable data is likely to provide support for MDT stock.
 Financials:
 Medtronic's financial data shows a mixed performance. The company has a trailing P/E ratio of 30.33 and a forward P/E ratio of 15.40, indicating potential undervaluation. However, its debt-to-equity ratio of 57.86 is relatively high, which could be a concern. The company's profitability metrics, such as profit margins, return on assets, and return on equity, are also relatively strong.
 Economic Outlook:
 The overall economic outlook remains mixed, with signs of slowing growth and increasing global uncertainty. The Federal Reserve is expected to cut interest rates, which could provide some support for the stock market. However, the upcoming U.S. presidential election and ongoing global conflicts and natural disasters could introduce volatility and uncertainty in the market.</t>
  </si>
  <si>
    <t>Recent News:
 The U.S. housing market is facing significant challenges, as indicated by the warning from Laura Escobar, the president of Lennar Mortgage. Escobar stated that the lack of affordable housing options poses a threat to America's future, suggesting that the housing market is on the "verge of a vicious cycle," which is "not good for America."
 Firm Financials:
 Lennar's recent financial data shows a mixed picture. The company's stock price has fluctuated, with the current trading range between $169.34 and $173.69. Lennar's dividend rate stands at $2.00, with a dividend yield of 1.18%. The company's valuation metrics, such as the trailing P/E ratio of 11.27 and the forward P/E ratio of 10.49, suggest that the stock may be undervalued compared to its peers.
 Economic Outlook:
 The overall economic outlook for the U.S. housing market is uncertain. The Federal Reserve is expected to cut interest rates in the near term, which could provide some support for the housing sector. However, the ongoing global conflicts, natural disasters, and political uncertainty may continue to weigh on the market's performance.</t>
  </si>
  <si>
    <t>Recent News:
 Linde plc (LIN) reported strong Q3 earnings, with earnings per share of $3.94 beating the Zacks Consensus Estimate of $3.89. This represents a year-over-year increase in earnings, indicating the company's continued financial performance.
 Firm Financials:
 Linde's financial data shows a mixed picture. The company has a high trailing P/E ratio of 34.72, suggesting the stock may be overvalued. However, its forward P/E ratio of 26.84 is more reasonable, indicating potential future growth. Linde also has a healthy dividend yield of 1.22% and a payout ratio of 41.31%, suggesting the dividend is sustainable.
 Economic Outlook:
 The broader economic environment remains uncertain, with signs of slowing growth and ongoing global conflicts. The Federal Reserve is expected to cut interest rates, which could provide some support for the stock market. However, the upcoming U.S. presidential election and other geopolitical events could introduce further volatility.</t>
  </si>
  <si>
    <t>Recent News:
 Marriott International (MAR) is gearing up to report its Q3 2024 earnings, which are expected to reflect increased global travel demand, particularly in international markets, leading to RevPAR growth. The company's upcoming earnings report is anticipated to showcase its ability to capitalize on the recovering travel industry.
 Firm Financials:
 Marriott's recent financial data indicates a mixed performance. The company's stock price has fluctuated, with the current price at $263.39, slightly above the previous close of $260.02. The company's dividend rate stands at $2.52, with a dividend yield of 0.97%. Marriott's valuation metrics, such as a trailing P/E ratio of 26.11 and a forward P/E ratio of 24.58, suggest the stock may be reasonably priced.
 Economic Outlook:
 The broader economic landscape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global events could significantly impact Marriott's performance in the medium to long term.</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</si>
  <si>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Shigeru Ishiba as the new prime minister, with the Liberal Democratic Party forming the majority. The new prime minister has called for a snap election, which could lead to policy changes and market uncertainty in Japan,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M&amp;T Bank, a regional bank operating primarily in the northeastern United States, has shown a mixed financial performance. The company's stock price has fluctuated in recent weeks, with a previous close of $194.68 and a current day range of $191.89 to $196.61. The bank's dividend rate stands at 5.4%, with a dividend yield of 2.81%, indicating a relatively high payout ratio of 39.2%.
 The company's financial ratios, such as a trailing P/E of 14.22 and a forward P/E of 11.79, suggest that the stock may be reasonably valued. Additionally, the bank's profitability metrics, including a profit margin of 28.11% and a return on equity of 8.68%, are relatively strong.
 Economic Outlook:
 The overall economic outlook for the US is mixed, with signs of slowing growth and increasing global uncertainty. The Federal Reserve is expected to respond to these developments by cutting interest rates, which could provide some support for the stock market. However, the outcome of the upcoming US presidential election and the resolution (or escalation) of global conflicts and natural disasters could have significant implications for the market's performance in the medium to long term.</t>
  </si>
  <si>
    <t>Recent News:
 The upcoming Q2 earnings report for McKesson (MCK) is anticipated by Wall Street, with analysts projecting earnings growth for the company. However, the company may not possess the right combination of factors to deliver a likely earnings beat in the upcoming report. Investors should be prepared for the key expectations and metrics surrounding the company's performance.
 Financials:
 McKesson's recent financial data shows a mixed picture. The stock has outperformed the broader market upswing, closing at $508.95 in the latest trading session, a 0.3% increase from the previous day. The company's financial metrics, such as profitability ratios, debt levels, and cash flow, suggest a relatively stable financial position.
 Economic Outlook:
 The overall economic environment remains uncertain, with concerns about slowing growth and the potential impact of global conflicts and natural disasters. The Federal Reserve's monetary policy decisions and the outcome of the U.S. presidential election could also have significant implications for the healthcare sector and McKesson's performance.</t>
  </si>
  <si>
    <t>Recent News:
 The recent news surrounding McDonald's has been a mixed bag. On the positive side, the company has been upgraded to a Zacks Rank #2 (Buy), reflecting growing optimism about its earnings prospects. Additionally, the company's $5 value meals helped turn around its U.S. sales in the third quarter. However, the company has also faced some challenges, including a concerning E. coli outbreak linked to its Quarter Pounder hamburgers, which has resulted in 90 people being infected across 13 states. This outbreak has led to a lawsuit against the company and has the potential to slow its recovery.
 Financials:
 McDonald's financial data shows a relatively strong position, with a market capitalization of over $211 billion and a trailing P/E ratio of 25.9. The company's dividend rate of $7.08 and dividend yield of 2.4% also make it an attractive investment for income-seeking investors. However, the company's recent financial performance has been mixed, with global comparable sales falling by 1.5% in the third quarter, which was steeper than expected.
 Economic Outlook:
 The broader economic outlook remains uncertain, with the U.S. economy facing a mixed outlook. The latest jobs report showed a significant slowdown in job creation, and the Federal Reserve is expected to respond by cutting interest rates. Additionally, the ongoing global conflicts and political uncertainty could continue to impact the stock market's performance.</t>
  </si>
  <si>
    <t>Recent News:
 Essex Property Trust (ESS) reported strong Q3 2024 results, with funds from operations (FFO) and revenues beating Wall Street estimates. The company's same-property revenues and net operating income increased, reflecting the continued strength in the multi-family residential real estate market.
 Firm Financials:
 Essex Property Trust's financial data shows a mixed picture. The stock has a relatively high forward P/E ratio of 45.86, suggesting that it may be overvalued. However, the company's dividend yield of 3.54% and payout ratio of 112.85% indicate a healthy and sustainable dividend. Additionally, the company's debt-to-equity ratio of 113.37% is on the higher side, which could be a concern for some investors.
 Economic Outlook:
 The overall economic outlook remains uncertain, with signs of slowing growth and increasing global uncertainty. The Federal Reserve is expected to cut interest rates, which could provide some support for the stock market. However, the upcoming U.S. presidential election and ongoing global conflicts and natural disasters could introduce further volatility and uncertainty in the market.</t>
  </si>
  <si>
    <t>Recent News:
 Everest Group (EG) reported its Q3-2024 results, which reflected above-average catastrophe losses as well as lower premiums in the Insurance segment. However, higher premiums in the Reinsurance segment and improved net investment income helped limit the downside. The company's performance in the Reinsurance business, which is considered a tough industry, has been a key focus for investors.
 Financials:
 Everest Group's financial data shows a mixed picture. The company's stock has seen a decline of around 8% in the past 52 weeks, underperforming the broader market. However, the company's fundamentals remain relatively strong, with a healthy balance sheet, solid profitability metrics, and a reasonable valuation. The company's dividend yield of 2.28% and a forward P/E ratio of 5.17 suggest potential value for investors.
 Economic Outlook:
 The overall economic environment remains challenging, with concerns about slowing growth, global conflicts, and policy uncertainty. The Federal Reserve's interest rate decisions and the outcome of the upcoming U.S. presidential election could have significant implications for the insurance and reinsurance industry, including Everest Group. Additionally, the potential impact of natural disasters and geopolitical events on the company's operations and financial performance should be closely monitored.</t>
  </si>
  <si>
    <t>Recent News:
 EQT, one of the largest natural gas producers in the U.S., has been actively making strategic moves. The company recently announced the sale of assets for $1.25 billion in cash and is in talks with Blackstone. Additionally, the appointment of a new CFO with extensive experience in investment banking, mergers, and acquisitions suggests the company's focus on optimizing its operations and financial structure.
 Financials:
 EQT's Q3 earnings beat market expectations, driven by higher sales volumes and average realized prices, though partially offset by increased operating expenses. The company's financial data shows a mixed picture, with a high debt-to-equity ratio of 67.324, but also a strong market capitalization of over $21 billion and a relatively low forward P/E ratio of 12.54.
 Economic Outlook:
 The overall economic environment remains uncertain, with concerns about slowing job growth and the potential impact of global conflicts and natural disasters. However, the expected interest rate cut by the Federal Reserve could provide some support for the stock market in the near term. The upcoming U.S. presidential election and its implications for the energy industry will also be a key factor to monitor.</t>
  </si>
  <si>
    <t>Recent News:
 - The ongoing Israel-Lebanon conflict and escalating tensions in the Middle East could have significant implications for the overall stability in the region, potentially impacting EPAM Systems' operations and the broader IT consulting industry.
 - The political changes in Japan, including the snap election called by the new prime minister, could lead to policy shifts that may affect EPAM's business in the country.
 - The cybersecurity incident at the Internet Archive, which resulted in a breach of user passwords and denial-of-service attacks, could raise concerns about data privacy and security, potentially affecting investor sentiment in the technology sector, including EPAM.
 Financials:
 EPAM Systems, an IT consulting and services company, has shown a mixed financial performance in recent quarters. While the company's revenue growth has slowed down, it continues to maintain a strong market position and profitability. EPAM's trailing-twelve-month (TTM) revenue stands at $4.62 billion, with a profit margin of 8.86%. The company's balance sheet remains healthy, with a quick ratio of 4.66 and a low debt-to-equity ratio of 4.89.
 Economic Outlook:
 The U.S. economy is facing a mixed outlook, with signs of slowing growth and increasing global uncertainty. The Federal Reserve is expected to respond with a rate cut, which could provide some support for the stock market. However, the upcoming U.S. presidential election and ongoing global conflicts and natural disasters could continue to create volatility and uncertainty in the market.</t>
  </si>
  <si>
    <t>Recent News:
 - The ongoing global conflicts, including the escalating tensions between Israel and Lebanon, as well as the political changes in Japan, could have potential implications for Fastenal's operations and the broader economic environment.
 - The successful recovery and capture of a SpaceX Starship booster, a significant technological advancement, may signal further progress in the space industry, which could indirectly impact Fastenal's performance.
 Financials:
 - Fastenal's financial data shows a mixed picture, with a relatively high trailing P/E ratio of 38.92 and a forward P/E ratio of 35.72, indicating that the stock may be overvalued compared to its earnings.
 - The company's profitability metrics, such as profit margins (15.44%) and return on equity (32.70%), are relatively strong, suggesting a healthy financial performance.
 - Fastenal's dividend yield of 1.99% and payout ratio of 75.62% indicate a moderate level of dividend distribution, which could be attractive to income-oriented investors.
 Economic Outlook:
 - The U.S. economy is facing a mixed outlook, with signs of slowing growth and increasing global uncertainty. The Federal Reserve's expected interest rate cut may provide some support for the market, but the overall economic landscape remains uncertain.
 - The upcoming U.S. presidential election and the resolution (or escalation) of global conflicts and natural disasters could have significant implications for Fastenal's performance in the medium to long term.</t>
  </si>
  <si>
    <t>Recent News:
 The recent news coverage on Fair Isaac (FICO) has been mixed, with some reports highlighting the company's potential performance in the upcoming Q4 earnings report, while others compare its stock performance to the broader technology sector. The reports suggest that investors are closely watching FICO's key metrics and financial data to gauge the company's future prospects.
 Financials:
 Fair Isaac's latest financial data shows a mixed picture. The company's stock has seen some volatility, with the share price fluctuating between $1,985.38 and $2,011.865 during the recent trading session. The company's valuation metrics, such as a forward P/E ratio of 66.85 and a price-to-sales ratio of 29.49, suggest that the stock may be trading at a premium compared to its peers. However, the company's strong financial position, with a quick ratio of 1.761 and a current ratio of 1.872, indicates its ability to meet short-term obligations.
 Economic Outlook:
 The broader economic environment remains uncertain, with concerns about slowing job growth and the potential impact of global conflicts and natural disasters. The Federal Reserve's expected interest rate cut could provide some support for the stock market, but the outcome of the upcoming U.S. presidential election and the resolution (or escalation) of global issues could significantly impact the market's performance in the medium to long term.</t>
  </si>
  <si>
    <t>Recent News:
 The recent news on ExxonMobil (XOM) presents a mixed picture. While the company beat earnings expectations in the third quarter and raised its dividend, the earnings growth trajectory over the past three years has been negative. Additionally, the stock is now trading at a premium to the Graham Number, suggesting it may not be the best time to buy.
 Financials:
 ExxonMobil's financial data shows a strong balance sheet, with a healthy current ratio of 1.348 and a low debt-to-equity ratio of 15.394. The company's profitability metrics, such as profit margins and return on assets and equity, are also relatively strong. However, the company's earnings growth has been negative over the past three years, which could be a concern for investors.
 Economic Outlook:
 The overall economic outlook remains uncertain, with signs of slowing growth in the U.S. economy and ongoing global conflicts and natural disasters. The Federal Reserve is expected to cut interest rates in the near term, which could provide some support for the stock market. However, the outcome of the 2024 U.S. presidential election and the resolution (or escalation) of global issues could have significant implications for the energy sector and ExxonMobil's performance.</t>
  </si>
  <si>
    <t>Recent News:
 FMC Corporation, a leading global agricultural sciences company, reported strong financial results for the third quarter of 2024. The company's earnings and sales surpassed market expectations, driven by higher sales volumes and the benefits of its ongoing restructuring efforts. FMC's ability to navigate the challenging market conditions and deliver solid financial performance is a positive sign for the company's future prospects.
 Financials:
 FMC's financial data indicates a mixed picture. The company's stock price has fluctuated in recent trading sessions, with the share price ranging from a low of $62.93 to a high of $64.97. The company's dividend yield of 3.67% and a forward P/E ratio of 13.52 suggest that the stock may be reasonably valued. However, the company's trailing P/E ratio of 5.18 and the significant decline in its share price over the past year (down 14%) raise some concerns about the company's long-term growth potential.
 Economic Outlook:
 The broader economic environment remains uncertain, with mixed signals from the latest macroeconomic data. The slowdown in job growth and the ongoing global conflicts and natural disasters could create headwinds for the agricultural industry, potentially impacting FMC's performance. However, the expected interest rate cut by the Federal Reserve may provide some support for the stock market, which could benefit FMC.</t>
  </si>
  <si>
    <t>Recent News:
 Jack Henry (JKHY) is set to report its fiscal first-quarter 2024 earnings results next week. Wall Street analysts are expecting the company to deliver earnings growth, indicating potential positive performance for the quarter ended September 2024. Investors will be closely watching the company's key metrics, such as revenue, earnings, and other financial indicators, to gauge the overall health of the business.
 Financials:
 Jack Henry's recent financial data shows a mixed picture. The company's stock has seen some volatility, with the share price fluctuating between $180.95 and $183.525 during the day. However, the company's fundamentals remain relatively strong, with a market capitalization of over $13 billion and a healthy balance sheet. The company's dividend yield of 1.2% and a forward P/E ratio of 28.97 suggest that it may be reasonably valued.
 Economic Outlook:
 The broader economic environment remains uncertain, with concerns about slowing job growth and the potential impact of global conflicts and natural disasters. The Federal Reserve is expected to cut interest rates in the near term, which could provide some support for the stock market. However, the upcoming U.S. presidential election and the resolution (or escalation) of global issues could significantly impact the market's performance in the medium to long term.</t>
  </si>
  <si>
    <t>Recent News:
 Exelon (EXC), a leading utility firm, has reported strong financial results for the third quarter of 2024. The company's earnings and revenues have surpassed market expectations, driven by higher electricity rates and revenue decoupling, which helped offset the impact of weather and customer usage patterns. Exelon also announced plans to invest $34.5 billion over the next few years to modernize its infrastructure and expand its renewable energy portfolio.
 Financials:
 Exelon's financial data shows a mixed picture. The company's stock price has fluctuated in recent trading sessions, with the share price ranging from $38.11 to $39.59. The company's valuation metrics, such as the price-to-earnings (P/E) ratio and price-to-book (P/B) ratio, suggest that the stock may be undervalued compared to its peers. However, the company's debt-to-equity ratio is relatively high, which could be a concern for some investors.
 Economic Outlook:
 The overall economic outlook for the utility industry remains cautiously optimistic, with the Federal Reserve expected to cut interest rates in the near term to support the economy. However, the ongoing global conflicts, natural disasters, and political uncertainty could create headwinds for the industry. Additionally, the upcoming U.S. presidential election could have significant implications for the regulatory environment and energy policies, which could impact Exelon's operations and financial performance.</t>
  </si>
  <si>
    <t>Recent News: Lululemon's shares have begun to rebound after a poor Q2earnings report. The company experienced a slowdown in sales in the Americas, driven by a decline in the women's category, as well as a slowdown in China growth. Lululemon has identified the core driver as a lack of new product releases and seasonal updates relative to prior years.
 Financials: Lululemon's financial data shows a mixed picture. The company's stock price has fluctuated, with a previous close of $297.9 and a day high of $322.36. The company's valuation metrics, such as a forward P/E ratio of 21.51 and a price-to-sales ratio of 3.95, suggest that the stock may be reasonably valued. However, the company's debt-to-equity ratio of 36.19 is relatively high, which could be a concern.
 Economic Outlook: The broader economic environment remains uncertain, with signs of slowing growth and increasing global uncertainty. The Federal Reserve is expected to cut interest rates, which could provide some support for the stock market. However, the upcoming U.S. presidential election and ongoing global conflicts could also impact the market's performance.</t>
  </si>
  <si>
    <t>Recent News:
 Extra Space Storage (EXR) reported its Q3 2024 earnings, beating both revenue and funds from operations (FFO) estimates. The company's FFO per share came in at $2.07, surpassing the Zacks Consensus Estimate of $2.03 per share. This represents a year-over-year increase in FFO compared to the same quarter last year.
 Financials:
 Extra Space Storage's latest financial data shows a mixed picture. The company's stock price has fluctuated in recent trading sessions, with the share price ranging from a low of $161.13 to a high of $165.255. The company's dividend rate stands at $6.48, with a dividend yield of 4.02%. However, the stock's valuation metrics, such as a high trailing P/E ratio of 42.97 and a forward P/E ratio of 33.43, suggest that the stock may be overvalued compared to its peers.
 Economic Outlook:
 The broader economic environment remains uncertain, with concerns about slowing job growth and the potential impact of global conflicts and natural disasters. The Federal Reserve is expected to cut interest rates in the near term, which could provide some support for the stock market. However, the upcoming U.S. presidential election and the resolution (or escalation) of geopolitical tensions could significantly impact the market's performance in the medium to long term.</t>
  </si>
  <si>
    <t>Recent News:
 The recent news on MGM Resorts (MGM) has been mixed, with the company reporting a Q3 earnings miss, but also seeing strong contributions from its various business segments. While the earnings fell short of estimates, the company's revenues increased year-over-year, indicating that the underlying business fundamentals remain solid.
 Financials:
 MGM Resorts' financial data shows a company with a strong market presence and solid financial metrics. The company's market capitalization stands at over $10 billion, and it has a relatively low debt-to-equity ratio, suggesting a healthy balance sheet. Additionally, the company's profitability ratios, such as profit margins and return on assets, are within reasonable ranges.
 Economic Outlook:
 The broader economic outlook remains uncertain, with concerns about slowing growth and the potential impact of global conflicts and natural disasters. However, the expected interest rate cut by the Federal Reserve could provide some support for the stock market, including the casino and gaming industry. Additionally, the continued advancements in emerging technologies, such as the successful recovery of a SpaceX Starship booster, could have positive implications for related sectors, including entertainment and tourism.</t>
  </si>
  <si>
    <r>
      <t xml:space="preserve">Recent News: NRG Energy, Inc. (NRG) has been a trending stock lately, attracting significant attention from </t>
    </r>
    <r>
      <rPr>
        <rFont val="&quot;Helvetica Neue&quot;"/>
        <color rgb="FF1155CC"/>
        <sz val="8.0"/>
        <u/>
      </rPr>
      <t>Zacks.com</t>
    </r>
    <r>
      <rPr>
        <rFont val="&quot;Helvetica Neue&quot;"/>
        <sz val="8.0"/>
      </rPr>
      <t xml:space="preserve"> users. This suggests that it is wise to be aware of the key facts that can impact the stock's prospects.
 Financials: NRG's recent financial data shows a mixed picture. The company's stock has seen fluctuations, with the share price ranging from a low of $85.99 to a high of $90.26 during the day. The company's dividend rate stands at $1.63, with a dividend yield of 1.88%. However, the company's payout ratio is relatively low at 17.21%, and its five-year average dividend yield is 2.97%. The company's beta of 1.086 indicates that it is slightly more volatile than the overall market. The company's trailing P/E ratio of 9.51 and forward P/E ratio of 13.44 suggest that the stock may be undervalued.
 Economic Outlook: The broader economic environment remains mixed, with signs of slowing growth and increasing global uncertainty. The Federal Reserve is expected to cut interest rates in the coming weeks, which could provide some support for the stock market. However, the outcome of the upcoming U.S. presidential election and the resolution (or escalation) of global conflicts and natural disasters could have significant implications for the market's performance.</t>
    </r>
  </si>
  <si>
    <t>Recent News:
 NiSource (NI) reported strong third-quarter 2024 earnings, surpassing analysts' estimates. The company's earnings per share came in at $0.20, beating the consensus estimate of $0.14. However, the company's revenues missed expectations during the same period. Total operating expenses also increased year-over-year.
 Financials:
 NiSource's financial data shows a mixed picture. The company's stock price has seen a 36.38% increase in the past 52 weeks, outperforming the S&amp;P 500's 31.21% rise. The company's dividend yield of 3.07% is also attractive. However, the company's debt-to-equity ratio of 131.811 is relatively high, which could be a concern for investors.
 Economic Outlook:
 The overall economic outlook for the U.S. is mixed, with signs of slowing growth and increasing global uncertainty. The Federal Reserve is expected to cut interest rates in the near future, which could provide some support for the stock market. However, the upcoming U.S. presidential election and ongoing global conflicts could introduce additional volatility and uncertainty in the market.</t>
  </si>
  <si>
    <t>Recent News:
 - The Israel-Lebanon conflict has escalated, with the Israel Defense Forces invading southern Lebanon and expanding its conflict against Hezbollah. This regional instability could have implications for global trade and transportation, potentially impacting Norfolk Southern Railway's operations.
 - The Japanese parliament has elected a new prime minister, Shigeru Ishiba, who has called for a snap election. This political change in Japan could lead to policy shifts that may affect the global economic environment, which could in turn impact Norfolk Southern's business.
 Financials:
 Norfolk Southern Railway's recent financial data shows a mixed picture. The company's revenue growth has been modest at 2.7%, while its earnings growth has been more robust at 31%. The company's profitability metrics, such as profit margins and return on equity, are also relatively strong.
 However, the company's debt-to-equity ratio is high at 128.64, which could be a concern for investors. Additionally, the company's free cash flow is relatively low at $48 million, which may limit its ability to invest in growth initiatives or return capital to shareholders.
 Economic Outlook:
 The overall economic outlook for the U.S. is mixed, with signs of slowing growth and increasing global uncertainty. The Federal Reserve is expected to cut interest rates in the near term, which could provide some support for the stock market. However, the upcoming U.S. presidential election and ongoing global conflicts could introduce further volatility and uncertainty.</t>
  </si>
  <si>
    <t>Recent News:
 NXP Semiconductors is set to report its Q3 2024 earnings, and analysts are closely watching the company's performance. The semiconductor industry has faced ongoing inventory corrections in the Automobile end market, but NXP is expected to benefit from an expanding portfolio.
 Financials:
 NXP Semiconductors' recent financial data shows a mixed picture. The company's stock price has fluctuated, with a previous close of $234.50 and a 52-week range of $178.19 to $296.08. The company's dividend rate is $4.06, with a dividend yield of 1.7%. NXP's valuation metrics, such as a forward P/E ratio of 15.71 and a price-to-sales ratio of 4.64, suggest the stock may be reasonably valued.
 Economic Outlook:
 The broader economic environment remains uncertain, with concerns about slowing job growth and the potential impact of global conflicts and natural disasters. The Federal Reserve is expected to cut interest rates in the near term, which could provide some support for the stock market. However, the upcoming U.S. presidential election and ongoing geopolitical tensions could introduce further volatility.</t>
  </si>
  <si>
    <t>Recent News:
 The semiconductor industry has faced various challenges in recent months, including supply chain disruptions, geopolitical tensions, and economic uncertainty. However, Skyworks Solutions, a leading provider of semiconductor solutions, has continued to navigate these headwinds and maintain its market position.
 Financials:
 Skyworks Solutions' latest financial data shows a mixed performance. The company's stock price has fluctuated, with the share price ranging between $86.21 and $120.86 over the past 52 weeks. While the company's dividend rate and yield are relatively low, its profitability metrics, such as profit margins and return on assets and equity, remain healthy.
 Economic Outlook:
 The broader economic outlook remains uncertain, with concerns about slowing job growth and the potential for further interest rate hikes by the Federal Reserve. These macroeconomic factors could impact the semiconductor industry and Skyworks Solutions' performance in the near term.</t>
  </si>
  <si>
    <t>Recent News:
 - Southern Company (SO) has shown resilience, with a 64% return over three years, driven by strong demand for energy and successful management of Hurricane Helene's impact.
 - Despite challenges from inflation and rising interest rates, the company expects steady EPS growth of 5-7%, benefiting from economic activity in its operating areas.
 - However, SO stock's current valuation at 23x earnings raises concerns, making it less appealing compared to other income-generating options in the sector.
 Financials:
 - Southern Company reported Q3 earnings that beat estimates, with EPS of $1.43 compared to the consensus of $1.33.
 - The company has guided earnings per share of $4.05 for 2024.
 - Southern Company's financial metrics, such as profitability, liquidity, and debt levels, appear relatively stable.
 Economic Outlook:
 - The U.S. economy is facing a mixed outlook, with signs of slowing growth and increasing global uncertainty.
 - The Federal Reserve is expected to cut interest rates, which could provide some support for the stock market.
 - However, the upcoming U.S. presidential election and global political events could have significant implications for the market.</t>
  </si>
  <si>
    <t>Recent News:
 Sempra (SRE) is expected to report its Q3 earnings soon, and the company is not expected to deliver a positive earnings surprise. The market consensus suggests that Sempra's earnings may decline compared to the previous year's quarter.
 Firm Financials:
 Sempra's recent financial data shows a mixed picture. The company's stock has seen some volatility, with the share price fluctuating between $81.54 and $83.925 during the day. Sempra's dividend rate stands at $2.48, with a dividend yield of 3.04%. The company's valuation metrics, such as the trailing P/E ratio of 17.45 and the forward P/E ratio of 15.89, suggest that the stock may be reasonably valued.
 Economic Outlook:
 The broader economic environment remains challenging, with concerns about slowing economic growth and the potential impact of global conflicts and natural disasters. The Federal Reserve is expected to cut interest rates in the near future, which could provide some support for the stock market. However, the outcome of the upcoming U.S. presidential election and the resolution (or escalation) of global issues could significantly impact Sempra's performance and the overall market sentiment.</t>
  </si>
  <si>
    <t>Recent News:
 Regency Centers (REG) reported strong Q3 results, with funds from operations (FFO) and revenues beating analyst estimates. The company's Q3 FFO of $1.07 per share exceeded the Zacks Consensus Estimate of $1.04 per share, reflecting higher same-property net operating income and base rents amid healthy leasing activity. Additionally, Regency Centers raised its full-year 2024 outlook, indicating a positive outlook for the company.
 Financials:
 Regency Centers' financial data shows a mixed picture. The company's stock price has fluctuated in recent trading, with a 52-week range of $56.51 to $75.26. The company's valuation metrics, such as a forward P/E ratio of 34.67 and a price-to-book ratio of 1.98, suggest that the stock may be trading at a premium compared to its peers. However, the company's profitability metrics, including a profit margin of 27.1% and a return on equity of 5.8%, are relatively strong.
 Economic Outlook:
 The broader economic environment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global events could significantly impact the market's performance in the medium to long term.</t>
  </si>
  <si>
    <t>Recent News:
 Regions Financial Corporation, a leading regional bank in the United States, has been navigating a mixed economic landscape in recent months. The bank's performance has been influenced by a combination of factors, including the Federal Reserve's interest rate decisions, the ongoing global conflicts, and the potential impact of the upcoming U.S. presidential election.
 Financials:
 Regions Financial's latest financial data shows a mixed picture. The bank's previous close was $23.87, with the stock opening at $23.91 on the day. The stock's day low and high were $23.52 and $24.115, respectively. The bank's dividend rate stands at $1.00, with a dividend yield of 4.24%. Its price-to-earnings ratio (trailing) is 13.31, while the forward P/E ratio is 10.42. The bank's market capitalization is $21.46 billion.
 Economic Outlook:
 The U.S. economy is facing a mixed outlook, with signs of slowing growth and increasing global uncertainty. The Federal Reserve is expected to respond to these developments by cutting interest rates, which could provide some support for the stock market. However, the ongoing geopolitical tensions and the upcoming U.S. presidential election could also have significant implications for the market, including the regional banking sector.</t>
  </si>
  <si>
    <t>Recent News:
 - The ongoing Israel-Lebanon conflict and the escalating tensions in the Middle East region could have implications for the overall stability and economic environment, potentially impacting Crown Castle's operations and performance.
 - The political changes in Japan, with the election of a new prime minister and the possibility of a snap election, may also create market uncertainty that could affect Crown Castle's business.
 - The successful recovery and capture of a SpaceX Starship booster could signal progress in the space industry, which may have positive implications for Crown Castle's telecommunications infrastructure services.
 Financials:
 Crown Castle's financial data shows a mixed picture. The company's stock price has been volatile, with a 52-week range of $92.48 to $120.92. The company's dividend yield of 5.87% is relatively high, but its payout ratio of 221.99% raises concerns about the sustainability of the dividend.
 Crown Castle's profitability metrics, such as profit margins and return on assets and equity, are relatively strong, indicating a well-managed business. However, the company's high debt-to-equity ratio of 559.59% is a potential risk factor.
 Economic Outlook:
 The overall economic outlook for the U.S. is mixed, with signs of slowing growth and increasing global uncertainty. The Federal Reserve's expected interest rate cut may provide some support for the market, but the outcome of the 2024 U.S. presidential election and the resolution (or escalation) of global conflicts and natural disasters could have significant implications for Crown Castle's performance.</t>
  </si>
  <si>
    <t>Recent News:
 Clorox's (CLX) Q1 2025 results reflect a strong recovery from the previous year's cyberattack-related challenges. The company reported better-than-expected earnings and sales, driven by organic sales growth across all segments and margin expansion. Clorox also raised its full-year profit forecast, betting on robust demand for its cleaning and homecare products.
 Financials:
 Clorox's financial data shows a mixed picture. While the company's stock price has seen a 26.44% increase in the past 52 weeks, outperforming the S&amp;P 500's 31.21% rise, its valuation metrics are relatively high, with a trailing P/E ratio of 56.44 and a forward P/E ratio of 22.53. The company's profitability metrics, such as profit margins and return on assets, are also relatively strong.
 Economic Outlook:
 The broader economic environment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global conflicts and natural disasters could significantly impact the market's performance in the medium to long term.</t>
  </si>
  <si>
    <t>Recent News:
 The Coca-Cola Company (The) (KO) is facing a potential challenge in 2025 as inflation starts to come down, potentially reducing the company's ability to raise prices. However, the company's bottling partner, Coca-Cola HBC AG (LSE:CCH), has recently upgraded its full-year revenue outlook, citing strong performance across its key markets.
 Financials:
 Coca-Cola's financial data shows a mixed picture. The company has a relatively high trailing P/E ratio of 26.975, but a more reasonable forward P/E of 21.889. Its dividend yield of 2.98% is also attractive. The company's profitability metrics, such as profit margins and return on assets and equity, are solid. However, its debt-to-equity ratio of 167.358 is quite high, which could be a concern.
 Economic Outlook:
 The overall economic outlook for the U.S. and global markets is mixed, with signs of slowing growth and ongoing geopolitical tensions. The Federal Reserve is expected to cut interest rates, which could provide some support for the stock market. However, the upcoming U.S. presidential election and the resolution (or escalation) of global conflicts and natural disasters could significantly impact the market's performance.</t>
  </si>
  <si>
    <t>Recent News:
 CMS Energy (CMS) reported its Q3 2024 earnings, with the company beating analysts' estimates on both the top and bottom lines. The company's revenues increased by 4.2% year-over-year, reaching $1.74 billion, although this figure fell short of the Zacks Consensus Estimate by 4.9%. On the positive side, CMS Energy's earnings per share came in at $0.84, surpassing the consensus estimate of $0.78 per share and improving from $0.61 per share in the year-ago quarter.
 Financials:
 CMS Energy's financial data shows a mixed picture. The company's stock price has fluctuated in recent trading, with the share price ranging from a low of $68.08 to a high of $69.94 on the day. The company's dividend rate stands at $2.06, with a dividend yield of 3.02%. CMS Energy's valuation metrics, such as the trailing P/E ratio of 19.51 and the forward P/E ratio of 19.08, suggest the stock is reasonably priced.
 Economic Outlook:
 The broader economic environment remains challenging, with signs of slowing growth and ongoing global uncertainties. The Federal Reserve is expected to cut interest rates in the near term to support the economy, which could provide some relief for utility companies like CMS Energy. However, the upcoming U.S. presidential election and the potential for further geopolitical tensions could introduce additional volatility in the market.</t>
  </si>
  <si>
    <t>Recent News:
 Cognizant, the IT consulting and services provider, has reported strong third-quarter 2024 results, beating Wall Street estimates. The company's earnings and revenues surpassed expectations, driven by an expanding client base and robust demand for its AI-driven solutions. This positive performance suggests that Cognizant is benefiting from the gradual recovery in IT services demand as more businesses turn to the company for their technology needs.
 Financials:
 Cognizant's financial data indicates a mixed picture. The company's stock price has fluctuated in recent trading sessions, with the share price ranging from a low of $73.11 to a high of $74.91. The company's valuation metrics, such as the price-to-earnings ratio and price-to-book ratio, suggest that the stock may be reasonably valued. However, the company's dividend yield of 1.61% is relatively low compared to its historical average.
 Economic Outlook:
 The broader economic environment remains uncertain, with concerns about slowing job growth and the potential impact of global conflicts and natural disasters. The Federal Reserve is expected to cut interest rates in response to these challenges, which could provide some support for the stock market. However, the upcoming U.S. presidential election and its potential implications for economic policy could also introduce volatility in the market.</t>
  </si>
  <si>
    <t>Recent News:
 Comcast, the cable and media giant, has been making headlines with its plans to potentially spin off its cable networks, including MSNBC and CNBC. This move is seen as a strategic shift to focus more on its Peacock streaming service and potentially partner it with a rival platform. The company's recent third-quarter earnings report also showed solid performance, with the Olympics and blockbuster releases helping to boost revenue.
 Financials:
 Comcast's latest financial data indicates a mixed picture. The company's stock price has been volatile, with the share price fluctuating between $43.49 and $44.68 during the day. However, the company's fundamentals remain relatively strong, with a market capitalization of over $166 billion and a forward P/E ratio of 9.92, suggesting potential undervaluation.
 Economic Outlook:
 The broader economic landscape remains uncertain, with concerns about slowing job growth and the potential impact of global conflicts and natural disasters. However, the Federal Reserve's expected interest rate cut could provide some support for the market. Additionally, the continued advancements in emerging technologies, such as the successful recovery of a SpaceX Starship booster, could have positive implications for the technology sector, which includes Comcast's Peacock streaming service.</t>
  </si>
  <si>
    <t>Recent News:
 - The Israel Defense Forces have invaded southern Lebanon, escalating the conflict between Israel and Hezbollah. This development in the Middle East could have implications for the overall stability in the region and potentially impact the US stock market.
 - The Japanese parliament has elected a new prime minister, Shigeru Ishiba, who has called for a snap election. This political change in Japan could lead to policy shifts and market uncertainty, which may affect the US stock market.
 - Iran has attacked Israel with ballistic missiles in response to Israel's offensive against Hezbollah in Lebanon. The further escalation of tensions in the Middle East could have broader geopolitical and economic implications, potentially impacting the US stock market.
 Financials:
 Old Dominion, a leading player in the Cargo Ground Transportation industry, has demonstrated a strong financial performance. The company's key metrics, such as profitability, liquidity, and solvency, suggest a stable and well-managed business. However, the company's valuation, as indicated by its high price-to-earnings ratio, may be a concern for some investors.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ongoing global conflicts could also have significant implications for the market.</t>
  </si>
  <si>
    <t>Recent News:
 Occidental Petroleum (OXY) is embarking on a significant venture to reduce greenhouse gas (GHG) emissions in the Permian basin, with the backing of Warren Buffett's Berkshire Hathaway, which owns 29% of OXY stock. This strategic move aligns with the company's efforts to diversify its operations and reduce its reliance on oil and gas.
 Financials:
 Despite the industry headwinds, Occidental Petroleum is trading at a premium to its peers, with a price-to-earnings (P/E) ratio of 12.84. The company's high-performing domestic assets and contributions from acquired assets have helped it maintain a strong financial position. Additionally, Occidental's dividend yield of 1.78% and payout ratio of 20.73% suggest a stable and sustainable dividend policy.
 Economic Outlook:
 The oil and gas industry has faced challenges due to falling oil prices, but Occidental Petroleum is steadily reducing its reliance on oil and gas, diversifying its operations, and focusing on reducing GHG emissions. This strategic shift, coupled with the company's strong financial performance, could position Occidental Petroleum for long-term success, even in a volatile market environment.</t>
  </si>
  <si>
    <t>Recent News:
 Citigroup has made several notable moves in recent weeks. The bank has launched its Citi Digital Bill (CDB) solution, which aims to modernize trade finance and reduce reliance on physical documents and paper handling. This digital initiative could help Citigroup streamline its operations and improve efficiency. Additionally, the bank has hired a senior executive from Goldman Sachs to lead its lending efforts for the wealth management business, as part of its ongoing efforts to revamp its wealth management division.
 Financials:
 Citigroup's recent financial data shows a mixed picture. The stock has seen some volatility, with the share price fluctuating between $63.69 and $64.81 during the day. The bank's dividend rate stands at $2.18, with a dividend yield of 3.42%. However, the company's trailing P/E ratio of 18.15 and forward P/E ratio of 8.86 suggest that the stock may be undervalued compared to its peers. Citigroup's market capitalization of $120.5 billion and strong balance sheet, with $1.05 trillion in total cash, also indicate its financial stability.
 Economic Outlook:
 The broader economic environment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global events could significantly impact Citigroup's performance in the medium to long term.</t>
  </si>
  <si>
    <t>Recent News: Mohawk Industries, Inc. reported better-than-expected results for its third quarter, after the closing bell on Thursday. However, some analysts have cut their forecasts on the company following the Q3 results.
 Financials: Mohawk Industries' stock has seen fluctuations in recent trading, with the share price ranging between $133.88 and $136.785 during the day. The company's financial metrics, such as a trailing P/E ratio of 15.16 and a forward P/E ratio of 12.04, suggest that the stock may be reasonably valued. Additionally, the company's profitability ratios, including a profit margin of 5.22% and a return on equity of 7.46%, indicate a relatively healthy financial position.
 Economic Outlook: The overall economic landscape remains mixed, with signs of slowing growth and increasing global uncertainty. The Federal Reserve is expected to cut interest rates in the near future, which could provide some support for the stock market. However, the upcoming U.S. presidential election and ongoing global conflicts could also impact the market's performance.</t>
  </si>
  <si>
    <t>Recent News:
 Mondelez International, the global snacks and confectionery company, has seen a return to growth in sales volumes on a quarterly basis, though year-to-date volumes are still negative. The company has been actively expanding its portfolio through acquisitions, such as the recent majority stake in Evirth, to align with its goal of generating 90% of revenues from the Chocolate, Cookies, and Baked Snacks segment by 2030.
 Financials:
 Mondelez's recent financial performance has been solid, with the company reporting strong Q3 results that beat both earnings and revenue estimates. The company's valuation multiples, such as the forward P/E ratio of 19.8, suggest that it is not currently undervalued. However, Mondelez continues to reward its shareholders through growing dividends and share buybacks.
 Economic Outlook:
 The broader economic environment remains mixed, with signs of slowing growth and ongoing global uncertainties. The Federal Reserve is expected to cut interest rates in the near term, which could provide some support for the stock market. However, the upcoming U.S. presidential election and the resolution (or escalation) of various geopolitical conflicts could significantly impact the market's performance in the medium to long term.</t>
  </si>
  <si>
    <t>Recent News:
 Molina Healthcare, a leading provider of managed healthcare services, has been navigating the evolving healthcare landscape amidst the ongoing global conflicts and natural disasters. The company's performance has been relatively stable, with the stock price fluctuating within a range of $320.90 to $329.27 over the past week.
 Financials:
 Molina Healthcare's financial data suggests a mixed outlook. The company's profitability metrics, such as profit margins and return on equity, are relatively strong, indicating a well-managed business. However, the company's free cash flow has been negative, which could be a concern for investors. Additionally, the company's debt-to-equity ratio is relatively high, which may limit its financial flexibility.
 Economic Outlook:
 The broader economic environment remains uncertain, with the Federal Reserve expected to cut interest rates in the near future. This move could provide some support for the stock market, including Molina Healthcare. However, the upcoming U.S. presidential election and the ongoing global conflicts and natural disasters could introduce additional volatility and uncertainty in the market.</t>
  </si>
  <si>
    <t>Recent News:
 Monster Beverage's (MNST) upcoming Q3 2024 earnings report is expected to showcase the company's strength in the energy drinks category and its recent product launches. Analysts are closely watching the report, as the company's performance could be impacted by the broader economic conditions and competitive landscape.
 Financials:
 Monster Beverage's financial data indicates a mixed picture. The company's stock price has seen some volatility, with the share price fluctuating between $52.09 and $53.065 in the recent trading session. The company's valuation metrics, such as the forward P/E ratio of 27.38, suggest that the stock may be trading at a fair value. However, the company's trailing P/E ratio of 32.69 is relatively high, indicating potential overvaluation.
 Economic Outlook:
 The overall economic outlook remains uncertain, with concerns about slowing job growth and the potential impact of global conflicts and natural disasters. The Federal Reserve's upcoming decision on interest rates could also have implications for the broader market, including the soft drinks and non-alcoholic beverages industry in which Monster Beverage operates.</t>
  </si>
  <si>
    <t>Recent News:
 CrowdStrike (CRWD) has been a focus of investor attention lately, with several recent news developments surrounding the cybersecurity firm. The company has been in the spotlight after Delta Air Lines (DAL) filed a lawsuit against CrowdStrike following a software update in July that caused a major IT outage and flight cancellations. Additionally, analysts have highlighted CrowdStrike as a top cybersecurity stock to buy, given the continued growth in global security spending.
 Financials:
 CrowdStrike's financial data shows a strong market position, with a market capitalization of over $74 billion and a forward P/E ratio of 70.99. The company has reported impressive revenue growth of 31.7% and a profit margin of 4.84%. However, its valuation metrics, such as a high trailing P/E ratio of 433.04, suggest that the stock may be trading at a premium.
 Economic Outlook:
 The overall economic environment remains mixed, with signs of slowing growth in the U.S. economy. The Federal Reserve is expected to cut interest rates in the near term, which could provide some support for the stock market. However, ongoing global conflicts, political uncertainty, and natural disasters could continue to contribute to market volatility.</t>
  </si>
  <si>
    <t>Recent News:
 Copart, Inc. (CPRT) has outperformed the broader stock market upswing, closing at $52.18, a 0.64% increase compared to its previous close. This performance suggests the company is navigating the current market environment effectively.
 Financials:
 Copart's recent financial data shows a mixed picture. While the company's stock price has increased, its financial metrics, such as trailing P/E ratio of 36.78 and forward P/E ratio of 29.59, indicate that the stock may be overvalued compared to its earnings. However, the company's strong balance sheet, with a quick ratio of 5.74 and a current ratio of 7.03, suggests financial stability.
 Economic Outlook:
 The broader economic outlook remains uncertain, with signs of slowing growth and increasing global uncertainty. The Federal Reserve's expected interest rate cut could provide some support for the market, but the outcome of the U.S. presidential election and the resolution (or escalation) of global conflicts and natural disasters could significantly impact the company's performance.</t>
  </si>
  <si>
    <t>Recent News:
 Constellation Energy Corporation (CEG) is set to report its third-quarter earnings, and the market is anticipating a positive performance. The company's nuclear fleet has been operating efficiently, and strong demand from industrial customers is expected to contribute to the firm's financial results.
 Financials:
 Constellation Energy's recent financial data shows a mixed picture. The company's stock has seen some volatility, with the share price fluctuating between $256.82 and $264.755 during the day. The company's dividend rate and yield are relatively low at $1.41 and 0.55%, respectively. However, the firm's market capitalization of $80.7 billion and enterprise value of $89.9 billion suggest it is a sizable player in the electric utilities industry.
 Economic Outlook:
 The broader economic environment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global events could significantly impact the market's performance in the medium to long term.</t>
  </si>
  <si>
    <t>Recent News:
 Darden Restaurants, the parent company of popular dining chains like Olive Garden and LongHorn Steakhouse, has been navigating a challenging economic landscape. The latest macroeconomic data, including the weaker-than-expected October jobs report and the ongoing global conflicts, have contributed to increased volatility in the stock market, which may impact the company's performance.
 Financials:
 Darden Restaurants' financial data shows a mixed picture. The company's stock price has fluctuated in recent weeks, with the share price ranging from a low of $159.48 to a high of $160.99. The company's dividend yield of 3.51% and a payout ratio of 61.48% suggest a relatively stable dividend policy. However, the company's trailing P/E ratio of 18.41 and forward P/E ratio of 15.12 indicate that the stock may be fairly valued or slightly overvalued compared to the industry average.
 Economic Outlook:
 The Federal Reserve's expected interest rate cut in the coming weeks may provide some support for the stock market, including Darden Restaurants. However, the outcome of the 2024 U.S. presidential election and the ongoing global conflicts could have significant implications for the company's performance, as they may affect consumer spending and the overall economic environment.</t>
  </si>
  <si>
    <t>Recent News:
 Devon Energy (DVN) is expected to report a decline in its Q3 earnings, according to the latest earnings preview. However, the company appears undervalued heading into the earnings release, trading at less than 8 times forward earnings and 9 times free cash flow. Devon's strong Q2 performance, increased production guidance, and enhanced capital return program, including a $5 billion buyback, support a bullish outlook for the company.
 Firm Financials:
 Devon Energy's recent financial data shows a mixed picture. The company's stock has seen a 52-week low of $37.77 and a high of $55.09, with a current price of around $38.68. The company's profitability metrics, such as profit margins and return on assets and equity, are relatively strong. However, the company's debt-to-equity ratio of 51.08 is on the higher side, which could be a concern.
 Economic Outlook:
 The overall economic outlook remains uncertain, with signs of slowing growth and increasing global uncertainty. The Federal Reserve is expected to cut interest rates in the near term, which could provide some support for the stock market. However, the upcoming U.S. presidential election and ongoing global conflicts and natural disasters could continue to impact the market's performance.</t>
  </si>
  <si>
    <t>Recent News:
 - The Israel-Lebanon conflict has escalated, with the Israel Defense Forces invading southern Lebanon and Iran attacking Israel with ballistic missiles. This regional instability could have broader implications for the global economy and financial markets.
 - The Japanese parliament has elected a new prime minister, Shigeru Ishiba, who has called for a snap election. This political change in Japan may lead to policy shifts and market uncertainty.
 - The Internet Archive suffered a major data breach, raising concerns about data privacy and security, which could affect investor sentiment in the technology sector and the broader stock market.
 Financials:
 Discover Financial's recent financial data shows a mixed picture. The company's profitability metrics, such as profit margins and return on equity, are relatively strong, indicating a healthy financial position. However, the company's debt-to-equity ratio is high, which could be a concern for investors.
 Economic Outlook:
 The U.S. economy is facing a mixed outlook, with signs of slowing growth and increasing global uncertainty. The Federal Reserve is expected to cut interest rates in response, which could provide some support for the stock market. However, the upcoming U.S. presidential election and ongoing global conflicts could introduce further volatility and uncertainty.</t>
  </si>
  <si>
    <t>Recent News:
 Analysts estimate that Diamondback Energy (FANG) is expected to report a decline in earnings in its upcoming report. This suggests that the company may face some challenges in the current market environment.
 Financials:
 Diamondback Energy's recent financial data shows a mixed picture. The company's stock has seen some volatility, with the share price fluctuating between $175.08 and $178.86 over the past trading day. The company's dividend yield of 6.12% and a payout ratio of 47.93% suggest a relatively strong dividend policy.
 However, the company's forward P/E ratio of 10.31 indicates that the stock may be trading at a discount compared to its peers. Additionally, the company's debt-to-equity ratio of 65.63% suggests a relatively high level of leverage, which could be a concern for some investors.
 Economic Outlook:
 The overall economic outlook remains uncertain, with signs of slowing growth and increasing global uncertainty. The Federal Reserve is expected to cut interest rates in the near future, which could provide some support for the stock market. However, the outcome of the upcoming U.S. presidential election and the resolution (or escalation) of global conflicts and natural disasters could have significant implications for the market.</t>
  </si>
  <si>
    <t>Recent News:
 Mid-America Apartment Communities' (MAA) Q3 results reflect healthy demand and strong average physical occupancy despite elevated new supply in its markets. The company's revenues exceeded expectations, but its earnings per share (EPS) fell short of estimates.
 Financials:
 MAA's Q3 funds from operations (FFO) of $2.21 per share beat the Zacks Consensus Estimate of $2.18 per share, though it was lower than the $2.29 per share reported a year ago. The company's financial data shows a mixed performance, with a previous close of $151.34, a 52-week low of $118.69, and a 52-week high of $167.39. The company's dividend rate is $5.88, with a dividend yield of 3.94%.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</si>
  <si>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 The Israel-Lebanon conflict has escalated, with the Israel Defense Forces invading southern Lebanon and Iran attacking Israel with ballistic missiles. This regional instability could have broader implications for the global economy and energy markets.
 - The 2024 Japanese general election resulted in the governing LDP losing its parliamentary majority, potentially leading to policy changes and market uncertainty in Japan.
 - The successful recovery and capture of a SpaceX Starship booster could signal further progress in the space industry, potentially driving investment in related sectors.
 Financials:
 DTE Energy, a multi-utilities company, has reported a mixed financial performance. While the company's revenue growth has been modest at 0.6%, its profitability metrics, such as profit margins (12.3%) and return on equity (13.6%), remain relatively strong. The company's debt-to-equity ratio is high at 213.8%, which could be a concern for investors.
 Economic Outlook:
 The U.S. economy is facing a mixed outlook, with signs of slowing growth and increasing global uncertainty. The Federal Reserve is expected to cut interest rates in the near term, which could provide some support for the stock market. However, the upcoming U.S. presidential election and ongoing global conflicts could introduce further volatility and uncertainty in the market.</t>
  </si>
  <si>
    <t>Recent News:
 The recent news reports on DuPont de Nemours (DD) suggest that the company is gearing up for its Q3 2024 earnings release. Analysts project that DuPont may have benefited from its innovation-driven investments and productivity actions, despite facing demand weakness in specific business segments. The reports indicate that DuPont possesses the right combination of factors that could lead to an earnings beat in the upcoming quarter.
 Financials:
 DuPont's recent financial data shows a mixed picture. The stock has seen some volatility, with the share price fluctuating between $82.30 and $83.43 during the day. The company's dividend rate stands at $1.52, with a dividend yield of 1.84%. However, the stock's valuation metrics, such as the forward P/E ratio of 19.01, suggest that the market may be pricing in some growth potential.
 Economic Outlook:
 The broader economic environment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global events could significantly impact the market's performance in the medium to long term.</t>
  </si>
  <si>
    <t>Recent News:
 Eastman Chemical's (EMN) earnings and revenues surpassed analysts' estimates in the third quarter of 2024. The company saw higher sales volume due to the end of customer inventory de-stocking across most major end markets. This suggests that the company's performance was better than expected, despite the challenging economic conditions.
 Financials:
 Eastman Chemical's financial data indicates a mixed picture. The company's stock price has fluctuated in recent trading sessions, with the share price ranging from $100.00 to $104.51 on the day. The company's dividend rate and yield are relatively attractive, and its valuation metrics, such as the forward P/E ratio of 11.36, suggest that the stock may be reasonably priced.
 However, the company's debt-to-equity ratio of 90.82 is relatively high, which could be a concern for some investors. Additionally, the company's profitability metrics, such as profit margins and return on equity, are not exceptionally high, indicating that the company may face some challenges in maintaining its profitability.
 Economic Outlook:
 The broader economic outlook remains uncertain, with mixed signals from the latest economic data. The U.S. job market has shown signs of slowing, and the Federal Reserve is expected to cut interest rates in response. Additionally, global conflicts and natural disasters continue to pose risks to the global economy, which could have indirect impacts on Eastman Chemical's business.</t>
  </si>
  <si>
    <t>Recent News:
 NetApp (NTAP) has been attracting significant investor attention lately, as the company has been outperforming the broader market. The stock closed the most recent trading day at $121.24, up 0.69% from the previous session.
 Firm Financials:
 NetApp's recent financial data shows a mixed picture. The company's stock has a trailing P/E ratio of 22.72 and a forward P/E ratio of 15.32, indicating that it may be reasonably valued. However, its debt-to-equity ratio of 285.04 is relatively high, which could be a concern for some investors.
 Economic Outlook:
 The overall economic outlook remains uncertain, with signs of slowing growth and increasing global uncertainty. The Federal Reserve is expected to cut interest rates in the near future, which could provide some support for the stock market. However, the upcoming U.S. presidential election and ongoing global conflicts could also have significant implications for the market's performance.</t>
  </si>
  <si>
    <t>Recent News:
 Newmont (NEM) has seen a significant decline of 11.71% in the past 4 weeks, raising concerns among investors. However, the stock has become technically oversold, indicating a potential trend reversal in the near term. Wall Street analysts have also revised their earnings estimates higher for the company, suggesting a positive outlook.
 Financials:
 Newmont's financial data shows a mixed picture. The company has a strong balance sheet with a healthy cash position and low debt levels. However, its profitability metrics, such as profit margins and return on equity, have been under pressure. The company's valuation, based on metrics like forward P/E and PEG ratio, appears attractive compared to its peers.
 Economic Outlook:
 The broader economic environment remains challenging, with concerns over slowing growth, rising inflation, and geopolitical tensions. The Federal Reserve's monetary policy decisions and the outcome of the upcoming U.S. presidential election could have significant implications for the gold industry and Newmont's performance.</t>
  </si>
  <si>
    <t>Recent News:
 The latest macroeconomic data suggests a mixed outlook for the U.S. economy, with a significant slowdown in job growth and ongoing global conflicts and natural disasters. These factors could potentially impact consumer spending and the overall retail industry, including Dollar General.
 Financials:
 Dollar General's recent financial data shows a relatively strong position, with a market capitalization of $17.98 billion and a healthy balance sheet. The company's profitability metrics, such as profit margins and return on equity, are also favorable. However, the company's debt-to-equity ratio is high, which could be a concern in the current economic environment.
 Economic Outlook:
 The Federal Reserve is expected to cut interest rates in the near term to support the economy, which could provide some relief for the retail sector. However, the upcoming U.S. presidential election and ongoing global conflicts and natural disasters could introduce further uncertainty and volatility in the market.</t>
  </si>
  <si>
    <t>Recent News:
 Morgan Stanley (MS) has been a trending stock recently, with several notable developments. The firm is launching a new portfolio for investors tied to prominent sports leagues, targeting high net worth sports fans with a minimum investment of $250,000. Additionally, a trader selling a Morgan Stanley option trade could potentially see a 25% return on risk, if they are willing to wait.
 Financials:
 Morgan Stanley's financial data shows a mixed picture. The stock has a trailing P/E ratio of 17.76 and a forward P/E ratio of 14.74, indicating potential undervaluation. However, the firm's debt-to-equity ratio is high at 401.02, which could be a concern. On the positive side, Morgan Stanley has a strong market capitalization of $188.36 billion and a dividend yield of 3.17%.
 Economic Outlook:
 The broader economic environment remains uncertain, with signs of slowing growth and ongoing global conflicts. The Federal Reserve is expected to cut interest rates, which could provide some support for the stock market. However, the upcoming U.S. presidential election and the resolution (or escalation) of global events could significantly impact the market's performance in the medium to long term.</t>
  </si>
  <si>
    <t>Recent News:
 Edison International (EIX) reported strong third-quarter earnings, with the company's earnings per share beating the Zacks Consensus Estimate. The company's revenues also increased year-over-year by 3.7%. Additionally, Edison International has narrowed its 2024 EPS outlook, indicating a positive outlook for the company.
 Financials:
 Edison International's financial data shows a mixed picture. The company's stock price has fluctuated in recent trading, with the stock opening at $82.62 and closing at $81.035 on the day. The company's dividend rate stands at $3.12, with a dividend yield of 3.85%. The company's price-to-earnings ratio (trailing) is 23.72, and the forward P/E ratio is 14.33, suggesting the stock may be reasonably valued.
 Economic Outlook:
 The broader economic outlook remains uncertain, with the U.S. economy facing a mixed outlook. The latest jobs report showed a significant slowdown in job creation, and the Federal Reserve is expected to cut interest rates in response. Additionally, global conflicts, natural disasters, and political uncertainty continue to impact the economic landscape. These factors may have implications for the utility industry, including Edison International.</t>
  </si>
  <si>
    <t>Recent News:
 The latest news indicates that the Israel-Lebanon conflict has escalated, with the Israel Defense Forces invading southern Lebanon and Iran attacking Israel with ballistic missiles. This escalation of tensions in the Middle East could have broader geopolitical and economic implications, potentially impacting the US stock market. Additionally, the change in Japanese leadership and the upcoming 2024 US presidential election could also introduce market uncertainty in the coming months.
 Financials:
 Edwards Lifesciences, a leading medical device company in the Health Care Equipment industry, has shown a mixed financial performance. The company's stock price has fluctuated in recent weeks, with the share price ranging from $66.69 to $68.585 during the day. The company's trailing P/E ratio of 28.618647 and forward P/E ratio of 27.567347 suggest that the stock may be fairly valued. However, the company's profitability metrics, such as profit margins of 65.859% and EBITDA margins of 32.599%, indicate a strong financial position.
 Economic Outlook:
 The overall economic outlook for the US is mixed, with signs of slowing growth and increasing global uncertainty. The recent weak job report and the Federal Reserve's expected interest rate cut suggest that the central bank is trying to support the economy. However, the ongoing geopolitical tensions and the upcoming US presidential election could introduce further volatility in the stock market.</t>
  </si>
  <si>
    <t>Recent News:
 LabCorp, a leading provider of clinical laboratory and diagnostic services, has been in the spotlight recently due to its involvement in the COVID-19 pandemic. The company has played a crucial role in expanding testing capabilities and supporting the healthcare system during this challenging time. Additionally, LabCorp has continued to invest in innovative technologies and expand its service offerings to meet the evolving needs of its clients.
 Financials:
 LabCorp's latest financial data shows a mixed picture. While the company's revenue has grown by 7.4% year-over-year, its earnings growth has declined by 5.2% during the same period. The company's profitability metrics, such as gross margins and EBITDA margins, remain relatively strong at 27.9% and 13.2%, respectively. However, the company's debt-to-equity ratio of 95.0% is on the higher side, which could be a concern for some investors.
 Economic Outlook:
 The overall economic outlook for the healthcare services industry, in which LabCorp operates, remains cautiously optimistic. The ongoing COVID-19 pandemic has increased the demand for diagnostic services, and the industry is expected to benefit from the continued focus on healthcare infrastructure and the aging population. However, the potential impact of global conflicts, natural disasters, and political uncertainty could pose challenges for the industry in the near term.</t>
  </si>
  <si>
    <t>Recent News:
 The Kroger Co. (KR) has been in the news recently, with analysts debating whether value investors should consider buying the stock. The company's financial data shows a mixed picture, with some positive and negative indicators.
 Financials:
 Kroger's stock has seen a 25.27% increase in the past 52 weeks, outperforming the S&amp;P 500's 31.21% gain. The company's financial metrics, such as a forward P/E ratio of 12.35, a dividend yield of 2.26%, and a payout ratio of 30.37%, suggest that it may be undervalued compared to its peers. However, the company's debt-to-equity ratio of 229.20 is relatively high, which could be a concern for some investors.
 Economic Outlook:
 The overall economic outlook remains uncertain, with the Federal Reserve expected to cut interest rates in the near future. This could provide some support for the stock market, including the food retail industry in which Kroger operates. However, the ongoing global conflicts and natural disasters could also have an impact on the company's performance.</t>
  </si>
  <si>
    <t>Recent News:
 Uber's Q3 earnings report showed a mixed performance, with the company beating expectations on revenue and earnings but missing on a key industry metric - gross bookings. While revenue grew 20% year-over-year and earnings per share jumped from $0.10 to $1.20, the slower-than-expected growth in gross bookings, a measure of the total value of rides and deliveries, has raised concerns among investors. Analysts remain cautiously optimistic, citing Uber's strong margins and expanding partnerships in the autonomous vehicle space as potential opportunities.
 Financials:
 Uber's latest financial data indicates a mixed picture. The company's stock has seen significant volatility, with the share price fluctuating between $72.67 and $74.15 during the trading day. Key financial metrics, such as a trailing P/E ratio of 36.08 and a forward P/E ratio of 30.91, suggest the stock may be fairly valued. However, the company's high debt-to-equity ratio of 80.34 could be a concern for some investors.
 Economic Outlook:
 The broader economic environment remains challenging, with the U.S. economy facing a mixed outlook. The latest jobs report showed a significant slowdown in job creation, and the Federal Reserve is expected to respond by cutting interest rates. Additionally, ongoing global conflicts and political uncertainty could continue to impact the stock market's performance.</t>
  </si>
  <si>
    <t>Recent News: Ulta Beauty (ULTA) has surpassed market returns, closing at $380.08, a 1.82% increase compared to its previous close. This positive performance is noteworthy in the current market environment.
 Financials: Ulta Beauty's financial data shows a mixed picture. The company's key metrics, such as trailing P/E ratio of 15.15, forward P/E ratio of 16.51, and profit margins of 10.68%, suggest a relatively strong financial position. However, the company's debt-to-equity ratio of 82.15% and a quick ratio of 0.39 indicate some potential liquidity concerns.
 Economic Outlook: The broader economic landscape remains uncertain, with signs of slowing growth and ongoing global conflicts. The Federal Reserve's expected interest rate cut could provide some support for the market, but the outcome of the upcoming U.S. presidential election and the resolution (or escalation) of global events could significantly impact the stock market's performance in the medium to long term.</t>
  </si>
  <si>
    <t>Recent News:
 Steris (STE), a leading provider of infection prevention and other procedural products and services, is set to report its Q2 2024 earnings next week. Analysts are closely watching the company's performance, particularly its key metrics, to gain insights into how the business has fared during the quarter.
 Financials:
 Steris' recent financial data shows a mixed picture. The company's stock has seen some volatility, with the share price fluctuating between $223.25 and $226.835 over the past trading session. However, the company's fundamentals remain relatively strong, with a healthy dividend yield of 1.01% and a forward P/E ratio of 22.38, suggesting potential growth opportunities.
 Economic Outlook:
 The broader economic environment remains challenging, with concerns about slowing job growth and the potential impact of global conflicts and natural disasters. The Federal Reserve is expected to cut interest rates in response to these developments, which could provide some support for the stock market. However, the upcoming U.S. presidential election and ongoing geopolitical tensions could introduce further uncertainty in the coming months.</t>
  </si>
  <si>
    <t>Recent News:
 Valero Energy Corporation (VLO) has been attracting significant investor attention lately, as the company's strong financial performance and attractive dividend yield have caught the market's eye. The recent news highlights the potential investment value of VLO in the Oil &amp; Gas Refining &amp; Marketing industry.
 Financials:
 Valero Energy's financial data shows a mixed picture. The company's stock price has been volatile, with a 52-week range of $119.88 to $184.79. However, Valero's dividend yield of 3.34% and a payout ratio of 37.2% suggest that the company is returning a significant portion of its profits to shareholders. Additionally, Valero's trailing P/E ratio of 11.28 and forward P/E ratio of 13.26 indicate that the stock may be undervalued compared to its peers.
 Economic Outlook:
 The overall economic outlook for the Oil &amp; Gas Refining &amp; Marketing industry is cautiously optimistic. While the recent jobs report showed a slowdown in job creation, the Federal Reserve is expected to cut interest rates, which could provide some support for the market. However, the ongoing global conflicts, natural disasters, and political uncertainty may continue to create volatility and uncertainty in the market.</t>
  </si>
  <si>
    <t>Recent News:
 The package delivery company United Parcel Service (UPS) has been facing a mixed outlook in recent months. While the company has been able to navigate the challenging end markets, investors have been closely watching its performance.
 Recent reports suggest that UPS is finally turning the corner, with the company's Q3 earnings beating expectations. However, the company expects shipping activity to be subdued during the upcoming holiday season, which could pose a challenge.
 Firm Financials:
 UPS's financial data shows a mixed picture. The company's stock has seen a 5.78% decline over the past 52 weeks, underperforming the S&amp;P 500's 31.21% gain. The company's dividend yield of 4.86% is relatively high, but its payout ratio of 106.04% raises some concerns about the sustainability of the dividend.
 The company's valuation metrics, such as a forward P/E ratio of 15.27 and a PEG ratio of 8.53, suggest that the stock may be fairly valued or slightly overvalued. However, the company's strong market position, diversified revenue streams, and potential for growth in the e-commerce and logistics sectors could make it an attractive investment option.
 Economic Outlook:
 The overall economic outlook remains mixed, with concerns about slowing growth and the potential impact of global conflicts and natural disasters. The Federal Reserve's expected interest rate cut could provide some support for the market, but the outcome of the upcoming U.S. presidential election and the resolution (or escalation) of global issues could have a significant impact on the stock market's performance.</t>
  </si>
  <si>
    <t>Recent News:
 The latest news on Globe Life (GL) suggests that the company may be a potential value investment opportunity. According to Zacks, the focus is on the proven Zacks Rank system, which emphasizes earnings estimates and estimate revisions to find great stocks. While the market has been volatile, the underlying fundamentals of Globe Life appear to be relatively strong.
 Financials:
 Globe Life's financial data shows a mixed picture. The company's stock has seen a 10.37% decline in the past 52 weeks, underperforming the S&amp;P 500's 31.21% increase. However, the company's valuation metrics, such as a trailing P/E ratio of 8.82 and a forward P/E ratio of 7.69, suggest that the stock may be undervalued. Additionally, the company has a healthy dividend yield of 0.92% and a low payout ratio of 8.01%.
 Economic Outlook:
 The broader economic outlook remains uncertain, with signs of slowing growth and increasing global uncertainty. The Federal Reserve is expected to cut interest rates in the near term, which could provide some support for the stock market. However, the upcoming U.S. presidential election and ongoing global conflicts could also have significant implications for the market's performance.</t>
  </si>
  <si>
    <t>Recent News:
 Fortinet (FTNT) has been a trending stock lately, with several positive developments reported. The company was recently upgraded to a Zacks Rank #1 (Strong Buy), indicating growing optimism about its earnings prospects. Additionally, Fortinet is expected to report its upcoming earnings, and the company is said to possess the right combination of factors for a likely earnings beat.
 Financials:
 Fortinet's recent financial data shows a mixed picture. The stock has outperformed the broader market, closing at $80.76 in the latest trading session, up 0.52% from the previous day. However, the stock's valuation metrics, such as a high trailing P/E ratio of 46.62 and a forward P/E ratio of 35.02, suggest that the stock may be overvalued.
 Economic Outlook:
 The overall economic outlook remains uncertain, with signs of slowing growth and increasing global uncertainty. The Federal Reserve is expected to cut interest rates in the coming week, which could provide some support for the stock market. However, the outcome of the U.S. presidential election and the resolution (or escalation) of global conflicts and natural disasters could significantly impact the market's performance in the medium to long term.</t>
  </si>
  <si>
    <t>Recent News: Two of the world's largest investment banks, Goldman Sachs Group Inc (NYSE:GS, ETR:GOS) and JPMorgan Chase &amp; Co (NYSE:JPM, ETR:CMC), have raised concerns about high UK inflation following the Autumn Statement by Labour Chancellor Rachel Reeves. The banks suggest that the rise in public spending is significant and front-loaded, which could contribute to inflationary pressures.
 Financials: Goldman Sachs' recent financial data shows a mixed performance. The stock has seen a 60.34% increase in the past 52 weeks, outperforming the S&amp;P 500's 31.21% rise. However, the company's current valuation metrics, such as a forward P/E ratio of 12.33 and a price-to-book ratio of 1.57, suggest that the stock may be reasonably valued. The company's profitability metrics, including a profit margin of 24.65% and a return on equity of 10.20%, are also relatively strong.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</si>
  <si>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The Distributors industry, which Genuine Parts Company (GPC) operates in, has faced some challenges in the recent macroeconomic environment. The October jobs report showed a significant slowdown in job creation, which could indicate a broader economic slowdown. Additionally, the ongoing global conflicts and natural disasters, such as the escalating tensions between Israel and Lebanon and the severe floods in Spain, have the potential to impact the industry's performance.
 Financials:
 Genuine Parts Company's financial data suggests a mixed outlook. The company's stock price has declined by around 15% over the past 52 weeks, underperforming the broader market. However, the company's dividend yield of 3.52% and a forward P/E ratio of 13.41 indicate potential value. The company's profitability metrics, such as profit margins and return on equity, are also relatively strong.
 Economic Outlook:
 The Federal Reserve is expected to cut interest rates in the near term to support the economy, which could provide some relief for the Distributors industry. However, the outcome of the 2024 U.S. presidential election and the resolution (or escalation) of global conflicts and natural disasters will be crucial in determining the industry's long-term performance.</t>
  </si>
  <si>
    <t>Recent News:
 Gen Digital (GEN) reported second-quarter earnings that met market expectations, driven by higher revenues, disciplined spending, and cost synergies from the NortonLifeLock and Avast merger. The company also provided a strong outlook for the third quarter, forecasting revenue above Wall Street estimates. This signals robust demand for Gen Digital's cybersecurity products, particularly as customers prioritize spending on these offerings while adopting data-intensive GenAI technology.
 Financials:
 Gen Digital's financial data shows a mixed picture. The company's stock has seen a 62% increase in the past 52 weeks, outperforming the S&amp;P 500's 31% rise. However, the stock's current valuation, with a forward P/E ratio of 11.54, suggests that it may be reasonably priced. The company's profitability metrics, such as profit margins and return on equity, are also relatively strong, indicating a healthy financial position.
 Economic Outlook:
 The broader economic environment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global events could significantly impact the market's performance in the medium to long term.</t>
  </si>
  <si>
    <t>Recent News:
 Trane Technologies (TT) reported strong Q3 results, with earnings and revenues beating estimates and improving year-over-year. The company experienced robust growth in its North America business, particularly in the residential HVAC segment, which grew by 20% year-over-year. However, the company faced a significant decline in China, with a 50% drop in bookings and a 45% decrease in revenue.
 Financials:
 Trane Technologies' financial data shows a mixed picture. The company has a strong balance sheet, with a healthy cash position and low debt levels. However, its valuation metrics, such as the forward P/E ratio of 29.9, suggest that the stock may be trading at a premium compared to its peers. The company's profitability metrics, including profit margins and return on assets, are also relatively strong.
 Economic Outlook:
 The overall economic outlook for Trane Technologies is somewhat uncertain. The U.S. economy is facing a mixed outlook, with signs of slowing growth and increasing global uncertainty. The Federal Reserve is expected to cut interest rates, which could provide some support for the market. However, the upcoming U.S. presidential election and ongoing global conflicts and natural disasters could introduce volatility and uncertainty in the coming months.</t>
  </si>
  <si>
    <t>Recent News:
 The recent escalation of the Israel-Lebanon conflict, the change in Japanese leadership, and the ongoing Iran-Israel tensions have raised concerns about the potential impact on global markets, including the US stock market. Additionally, the Internet Archive breach and the potential implications for data privacy and security could affect investor sentiment in the technology sector.
 Financials:
 State Street Corporation, a leading asset management and custody bank, has shown a mixed financial performance. The company's stock price has fluctuated within the range of $92.72 to $93.755 over the past trading day. While the company's dividend rate and yield are relatively attractive, its trailing and forward P/E ratios suggest that the stock may be fairly valued or slightly undervalued.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market.</t>
  </si>
  <si>
    <t>Recent News:
 - The ongoing global conflicts, including the escalating tensions between Israel and Lebanon, as well as the political changes in Japan, could have potential implications for the broader economic and market environment, which may indirectly impact BNY Mellon's performance.
 - The successful recovery and capture of a SpaceX Starship booster could signal progress in the space industry, potentially driving investment in related sectors, which could benefit BNY Mellon's asset management and custody services.
 Financials:
 BNY Mellon's recent financial data shows a mixed picture. The company's profitability metrics, such as profit margins and return on equity, are relatively strong, indicating a healthy financial position. However, the company's operating cash flow has been negative, which could be a concern.
 Economic Outlook:
 The U.S. economy is facing a mixed outlook, with signs of slowing growth and increasing global uncertainty. The Federal Reserve is expected to respond with a rate cut, which could provide some support for the stock market, including BNY Mellon's share price.</t>
  </si>
  <si>
    <t>Recent News:
 Blackstone Inc., a leading global investment management firm, has been making headlines in recent weeks. The company's successful recovery and capture of a SpaceX Starship booster has been seen as a positive development for the space industry, potentially driving investment in related sectors. Additionally, the ongoing geopolitical tensions, such as the escalating conflict between Israel and Lebanon, and the political changes in Japan, could have broader implications for the global economic and market environment, which may impact Blackstone's performance.
 Financials:
 Blackstone's financial data shows a mixed picture. The company's stock has been volatile, with the share price fluctuating between $167.82 and $171.56 in recent trading sessions. The firm's dividend rate of $3.45 and dividend yield of 2.05% are relatively attractive, but its trailing P/E ratio of 57.78 and forward P/E ratio of 28.89 suggest that the stock may be overvalued. However, Blackstone's strong financial metrics, such as a high profit margin of 19.97% and a healthy return on equity of 22.04%, indicate that the company is well-positioned to navigate the current market conditions.
 Economic Outlook:
 The broader economic outlook remains uncertain, with the U.S. economy facing a mixed outlook. The recent slowdown in job growth and the ongoing global conflicts and natural disasters could have a significant impact on the financial markets, including the asset management industry in which Blackstone operates. The Federal Reserve's expected interest rate cut may provide some support for the market, but the long-term performance of the stock will largely depend on the resolution of these macroeconomic and geopolitical factors.</t>
  </si>
  <si>
    <t>Recent News: The TJX Companies, Inc. (TJX) has been attracting significant investor attention lately. Brokers have been closely watching the stock, and it is considered a good investment by many Wall Street analysts. The company's recent financial data shows a mixed performance, with some positive indicators like a high dividend yield and a strong market capitalization, but also some concerns around its debt levels and valuation metrics.
 Financials: TJX's stock has seen some volatility in recent trading, with the share price fluctuating between $112.375 and $113.88 during the day. The company's financial data reveals a dividend rate of $1.5 and a dividend yield of 1.33%, which could be attractive to income-oriented investors. However, the company's debt-to-equity ratio of 162.567 is relatively high, which may be a concern for some investors.
 Economic Outlook: The broader economic environment remains uncertain, with mixed signals from the latest economic data. The Federal Reserve is expected to cut interest rates in the near term, which could provide some support for the stock market. However, ongoing global conflicts, natural disasters, and political uncertainty could continue to create volatility and challenges for the retail sector, including TJX.</t>
  </si>
  <si>
    <t>Recent News:
 The recent earnings report from GE Aerospace contained some negatives, such as weaker-than-expected revenue and earnings. However, the report also included a significant positive - the company's announcement of a major contract win with a leading airline. This contract, valued at over $20 billion, is expected to provide a significant boost to GE Aerospace's order backlog and future revenue stream.
 Firm Financials:
 GE Aerospace's financial data shows a mixed picture. The company's stock has seen a 92.47% increase in the past 52 weeks, outperforming the S&amp;P 500's 31.21% gain. However, the company's valuation metrics, such as a high trailing P/E ratio of 33.87 and a forward P/E ratio of 32.77, suggest that the stock may be overvalued compared to its peers.
 Economic Outlook:
 The overall economic outlook for the aerospace and defense industry remains cautiously optimistic, with continued demand for commercial and military aircraft. However, the recent slowdown in job growth and the ongoing global conflicts and natural disasters could create headwinds for the industry in the near term.</t>
  </si>
  <si>
    <t>Recent News:
 UDR, Inc. (UDR), a leading multi-family residential REIT, has seen its stock price decline by 5.62% over the past four weeks. However, the recent financial data and analyst sentiment suggest that the stock may be poised for a turnaround.
 UDR's Q3 results showed an increase in revenues from same-store communities, reflecting the resilience of the labor market despite high levels of new supply. The company also beat Q3 FFOA and revenue estimates and raised its 2024 guidance, indicating a positive outlook.
 Financials:
 UDR's financial data shows a mixed picture. The company's stock is currently trading at a forward P/E ratio of 87.87, suggesting it may be undervalued. However, its trailing P/E ratio of 108.68 is relatively high. The company's dividend yield of 4.12% is also attractive, and its payout ratio of 34.42% suggests the dividend is sustainable.
 Economic Outlook:
 The broader economic outlook remains uncertain, with signs of slowing growth and increasing global uncertainty. The Federal Reserve is expected to cut interest rates in the near term, which could provide some support for the stock market. However, the upcoming U.S. presidential election and ongoing global conflicts could also impact the market's performance.</t>
  </si>
  <si>
    <r>
      <t xml:space="preserve">Recent News:
 Wells Fargo &amp; Company (WFC) has been a trending stock lately, garnering significant attention from </t>
    </r>
    <r>
      <rPr>
        <rFont val="&quot;Helvetica Neue&quot;"/>
        <color rgb="FF1155CC"/>
        <sz val="8.0"/>
        <u/>
      </rPr>
      <t>Zacks.com</t>
    </r>
    <r>
      <rPr>
        <rFont val="&quot;Helvetica Neue&quot;"/>
        <sz val="8.0"/>
      </rPr>
      <t xml:space="preserve"> users. This indicates that there is a growing interest in the company and its prospects.
 Financials:
 The latest financial data for Wells Fargo shows a mixed picture. The company's stock price has been fluctuating, with the previous close at $64.92 and the current day's trading range between $64.62 and $65.57. The company's dividend rate stands at $1.6, with a dividend yield of 2.47%. However, the company's price-to-earnings ratio (trailing 12 months) is 13.45, which is relatively low compared to the industry average.
 Economic Outlook:
 The overall economic outlook remains uncertain, with signs of slowing growth and increasing global uncertainty. The Federal Reserve is expected to cut interest rates in the near future, which could provide some support for the stock market. However, the upcoming U.S. presidential election and ongoing global conflicts could also have significant implications for the market's performance.</t>
    </r>
  </si>
  <si>
    <t>Recent News:
 WEC Energy Group (WEC) reported strong Q3 earnings, with earnings per share of $0.82 beating the Zacks Consensus Estimate of $0.70. This performance, however, was lower than the $1 per share reported in the same quarter a year ago. The company's financial results suggest it is navigating the current economic environment relatively well.
 Financials:
 WEC Energy Group's financial data shows a mixed picture. The company's stock price has fluctuated in recent trading, with the share price ranging from a low of $95.10 to a high of $98.58 during the day. The company's dividend rate of $3.34 and dividend yield of 3.49% are attractive for income-oriented investors. However, the company's trailing P/E ratio of 23.37 and forward P/E ratio of 18.31 suggest the stock may be fairly valued or slightly overvalued compared to the industry average.
 Economic Outlook:
 The broader economic environment remains challenging, with signs of slowing growth and ongoing global uncertainties. The Federal Reserve is expected to cut interest rates in the near term, which could provide some support for the stock market. However, the upcoming U.S. presidential election and the resolution (or escalation) of global conflicts and natural disasters could significantly impact the market's performance in the medium to long term.</t>
  </si>
  <si>
    <t>Recent News:
 Western Digital Corporation (WDC) has been a heavily watched stock by investors lately, indicating increased interest and potential investment value in the company.
 Financials:
 The latest financial data shows that Western Digital has a market capitalization of $22.78 billion, with a stock price of $65.31 per share as of the previous close. The company's financial metrics, such as a forward P/E ratio of 7.48 and a beta of 1.381, suggest potential value and growth opportunities.
 Economic Outlook:
 The overall economic landscape remains mixed, with signs of slowing growth and ongoing global uncertainties. However, the expected interest rate cut by the Federal Reserve could provide some support for the stock market, including the technology hardware and storage sectors.</t>
  </si>
  <si>
    <t>Recent News:
 Target (TGT) has received positive news, with the stock being upgraded to a Zacks Rank #1 (Strong Buy), indicating growing optimism about its earnings prospects. Wall Street analysts have also expressed a favorable view on the company, suggesting it is a good investment. Additionally, Target has been identified as a strong value and growth stock for the long-term.
 Financials:
 Target's recent financial data shows a mixed picture. While the company's Q2 2024 results were positive, and the stock appears undervalued with a fair value estimate of $177, implying an 18% upside, there are concerns about its long-term growth. Target's moderate net margins, high CAPEX, and competitive pressures raise doubts about its sustainable long-term performance, despite strong digital sales growth.
 Economic Outlook:
 The broader economic landscape remains uncertain, with signs of slowing growth and increasing global uncertainty. The Federal Reserve is expected to cut interest rates, which could provide some support for the stock market. However, the upcoming U.S. presidential election and ongoing global conflicts and natural disasters could continue to impact the market's performance.</t>
  </si>
  <si>
    <t>Recent News:
 The semiconductor industry has faced some challenges in recent months, with the ongoing global conflicts and economic uncertainty impacting demand. However, Teradyne, a leading provider of semiconductor testing equipment, has continued to demonstrate resilience.
 Financials:
 Teradyne's latest financial data shows a mixed picture. While the company's revenue and earnings growth have been positive, there are some concerns around its valuation metrics, such as the high price-to-earnings ratio and the relatively low dividend yield. The company's balance sheet remains strong, with a healthy cash position and low debt levels.
 Economic Outlook:
 The broader economic outlook remains uncertain, with the Federal Reserve expected to cut interest rates in the near term to support the economy. This could provide some relief for the semiconductor industry, as lower borrowing costs may spur investment and demand. However, the ongoing geopolitical tensions and the potential impact of the 2024 U.S. presidential election could introduce additional volatility in the market.</t>
  </si>
  <si>
    <t>Recent News:
 - The Israel Defense Forces have invaded southern Lebanon, escalating the conflict between Israel and Hezbollah. This development in the Middle East could have implications for the global economy and the aerospace and defense industry.
 - SpaceX achieved a significant milestone by successfully recovering and capturing a Super Heavy booster from its Starship rocket, showcasing advancements in the space industry.
 - The 2024 U.S. presidential election is shaping up to be a closely watched event, with potential policy changes that could impact the aerospace and defense sector.
 Financials:
 Textron's financial data indicates a mixed performance. The company's stock price has fluctuated in recent weeks, with a 52-week range of $74.13 to $97.34. The company's profitability metrics, such as profit margins and return on equity, are relatively strong, suggesting a healthy financial position.
 Economic Outlook:
 The U.S. economy is facing a mixed outlook, with signs of slowing growth and increasing global uncertainty. The Federal Reserve is expected to cut interest rates, which could provide some support for the stock market. However, the ongoing geopolitical tensions and the upcoming U.S. presidential election could introduce volatility and uncertainty in the market.</t>
  </si>
  <si>
    <t>Recent News:
 Willis Towers Watson (WTW) delivered strong third-quarter 2024 results, with adjusted earnings per share beating the Zacks Consensus Estimate by 9.3% and increasing 30.8% year over year. The company's performance was driven by higher revenues, improved project work, and strong client retention, despite escalating expenses.
 Financials:
 WTW's financial data shows a mixed picture. The stock has a forward P/E ratio of 16.436, suggesting it is reasonably valued. However, the company's dividend yield of 1.17% is relatively low compared to the industry average. The company's debt levels are also on the higher side, with a total debt of $5.989 billion. On the positive side, WTW has a strong market capitalization of $30.15 billion and a healthy cash position of $1.372 billion.
 Economic Outlook:
 The overall economic outlook remains uncertain, with signs of slowing growth and increasing global uncertainty. The Federal Reserve is expected to cut interest rates, which could provide some support for the stock market. However, the upcoming U.S. presidential election and ongoing global conflicts could have significant implications for the market's performance.</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</si>
  <si>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Shigeru Ishiba as the new prime minister, with the Liberal Democratic Party forming the majority. The new prime minister has called for a snap election, which could lead to policy changes and market uncertainty in Japan, potentially affecting the US stock market.
 - Iran has attacked Israel with ballistic missiles in response to Israel's offensive against Hezbollah in Lebanon. This further escalation of tensions in the Middle East could have broader geopolitical and economic implications, potentially impacting the US stock market.
 Financials:
 Pentair's recent financial data shows a mixed performance. The company's revenue growth has been slightly negative at -1.5%, while its earnings growth has been positive at 6.3%. The company's profitability metrics, such as gross margins (38.7%), EBITDA margins (23.9%), and operating margins (21%), are relatively strong. However, the company's debt-to-equity ratio of 49.7% is on the higher side, which could be a concern.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</si>
  <si>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Pfizer has been in the spotlight recently, with a mix of positive and concerning news. The company's third-quarter earnings report was a standout, as it beat analyst estimates on both the top and bottom lines. Pfizer also raised its full-year guidance, driven by strong demand for its COVID-19 products. However, some investors remain skeptical about the sustainability of these COVID-related revenue gains, as the company's non-COVID segments showed mixed results.
 The company has also faced some challenges, including pressure from activist investor Starboard Value, which has called for major changes at Pfizer. The CEO, Albert Bourla, has defended the company's record and argued that Pfizer is headed in the right direction, but the market remains uncertain about the long-term growth prospects.
 Financials:
 Pfizer's latest financial data paints a relatively strong picture. The company's stock is trading at a forward P/E ratio of 9.59, suggesting it may be undervalued compared to its peers. Pfizer's dividend yield of 5.98% is also attractive, and the company's payout ratio of 22.27% indicates that the dividend is well-covered.
 However, Pfizer's trailing P/E ratio of 37.45 is relatively high, and the company's debt-to-equity ratio of 79.41% is also on the higher side, which could be a concern for some investors.
 Economic Outlook:
 The broader economic environment remains mixed, with signs of slowing growth and ongoing global uncertainty. The Federal Reserve is expected to cut interest rates in response, which could provide some support for the stock market. However, the upcoming U.S. presidential election and various geopolitical events could also have significant implications for Pfizer and the broader pharmaceutical industry.</t>
  </si>
  <si>
    <t>Recent News:
 Phillips 66 (PSX) reported its Q3 earnings, which beat estimates despite a decrease in revenues year-over-year. The company's earnings benefited from cost reduction efforts, but were partially offset by lower contributions from the refining segment due to declining realized margins.
 Financials:
 Phillips 66's financial data shows a mixed picture. The company's stock price has fluctuated in the recent trading sessions, with the stock trading between $119.77 and $123.00 on the day. The company's dividend rate and yield are relatively attractive at 4.6% and 3.83%, respectively. However, the company's valuation metrics, such as the forward P/E ratio of 11.16, suggest that the stock may be reasonably valued.
 Economic Outlook:
 The overall economic outlook remains uncertain, with signs of slowing growth and increasing global uncertainty. The Federal Reserve is expected to cut interest rates in the near term, which could provide some support for the stock market. However, the upcoming U.S. presidential election and ongoing global conflicts could have significant implications for the market's performance.</t>
  </si>
  <si>
    <t>Recent News:
 Pinnacle West Capital (PNW) is expected to post its Q3 earnings, with analysts anticipating continued benefits from retail customer growth. However, rising expenses may offset some of the positives. Additionally, the company's dividend stock has been a favorite among funds, thanks to its 11-year streak of dividend increases.
 Financials:
 Pinnacle West's financial data shows a mixed picture. The stock has a trailing P/E ratio of 15.84 and a forward P/E of 18.07, indicating potential undervaluation. The company's dividend yield of 4.17% is also attractive. However, the stock has experienced a 52-week price range of $65.20 to $91.57, suggesting volatility. The company's debt-to-equity ratio of 177.48% is also relatively high, which could be a concern.
 Economic Outlook:
 The overall economic outlook remains uncertain, with signs of slowing growth and increasing global uncertainty. The Federal Reserve is expected to cut interest rates, which could provide some support for the stock market. However, the upcoming U.S. presidential election and ongoing global conflicts could also impact the market's performance.</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</si>
  <si>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a new prime minister, Shigeru Ishiba, who has called for a snap election. This leadership change in Japan could lead to policy changes and market uncertainty,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Paccar's financial data shows a mixed picture. The company's stock price has fluctuated in recent weeks, with a previous close of $104.28 and a current day range of $102.95 to $104.66. The company's dividend rate is $1.2, with a dividend yield of 1.16%. Paccar's trailing P/E ratio is 11.56, and its forward P/E ratio is 13.42, indicating potential undervaluation.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</si>
  <si>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 The ongoing conflicts in the Middle East, particularly the escalating tensions between Israel and Lebanon, could have implications for global supply chains and the real estate market, potentially impacting Prologis' operations.
 - The successful recovery and capture of a SpaceX Starship booster could signal further progress in the space industry, which may drive investment in related sectors and potentially benefit Prologis as an industrial REIT.
 - The 2024 U.S. presidential election and the Federal Reserve's monetary policy decisions are expected to have a significant impact on the overall economic and market environment, which could affect Prologis' performance.
 Financials:
 Prologis, a leading industrial REIT, has demonstrated strong financial performance, with a market capitalization of over $105 billion and a healthy balance sheet. The company's profitability metrics, such as profit margins and return on equity, are relatively strong, indicating its ability to generate consistent cash flows. However, the company's valuation, as reflected in its high price-to-earnings and price-to-book ratios, suggests that the stock may be trading at a premium.
 Economic Outlook:
 The U.S. economy is facing a mixed outlook, with signs of slowing growth and increasing global uncertainty. The Federal Reserve's expected interest rate cut could provide some support for the market, but the overall economic landscape remains uncertain. The performance of Prologis, as an industrial REIT, is closely tied to the broader economic conditions and the real estate market.</t>
  </si>
  <si>
    <t>Recent News: Progressive's performance in 2024 was strong, driven by technological advantages that led to higher margins and tremendous sales growth. However, the recent surge in car insurance premiums may increase consumer price sensitivity, which could impact the company's profit margins going forward.
 Financials: Progressive's financial data shows a strong balance sheet, with a market capitalization of over $142 billion and a healthy cash position. The company's profitability metrics, such as profit margins and return on equity, are also impressive. However, the stock's valuation, as indicated by the forward P/E ratio of 17.7, suggests that the market has already priced in the company's strong performance.
 Economic Outlook: The broader economic environment remains mixed, with concerns about slowing job growth and the potential impact of global conflicts and natural disasters. The Federal Reserve's expected interest rate cut could provide some support for the stock market, but the overall outlook remains uncertain, particularly in the medium-term.</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</si>
  <si>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Shigeru Ishiba as the new prime minister, with the Liberal Democratic Party forming the majority. The new prime minister has called for a snap election, which could lead to policy changes and market uncertainty in Japan, potentially affecting the US stock market.
 - Iran has attacked Israel with ballistic missiles in response to Israel's offensive against Hezbollah in Lebanon. This further escalation of tensions in the Middle East could have broader geopolitical and economic implications, potentially impacting the US stock market.
 Financials:
 PPG Industries, a leading specialty chemicals company, has shown a mixed financial performance in recent quarters. While the company's revenue growth has been relatively flat, its profitability metrics, such as profit margins and return on equity, have remained relatively strong. The company's balance sheet appears to be in a healthy condition, with a reasonable debt-to-equity ratio and adequate liquidity.
 Economic Outlook:
 The overall economic outlook for the US is mixed, with signs of slowing growth and increasing global uncertainty. The Federal Reserve is expected to cut interest rates in the coming weeks, which could provide some support for the stock market. However, the outcome of the 2024 US presidential election and the resolution (or escalation) of global conflicts and natural disasters could significantly impact the market's performance in the medium to long term.</t>
  </si>
  <si>
    <t>Recent News:
 Norwegian Cruise Line (NCLH) has been seeing strong demand from consumers, with the company reporting an "impressive" quarterly performance and continued "robust" demand. The company's stock has rallied towards a three-year high, reflecting the positive market sentiment. The company's third-quarter earnings have surpassed estimates, benefiting from strong demand, cost control efforts, and effective execution by the management team.
 Financials:
 Norwegian Cruise Line's financial data shows a mixed picture. The company's stock has a relatively high trailing P/E ratio of 21.82, but a more attractive forward P/E ratio of 12.38, suggesting potential upside. The company's revenue growth of 10.7% and earnings growth of 34% are also positive indicators. However, the company's debt-to-equity ratio of 1256.52 is quite high, which could be a concern.
 Economic Outlook:
 The overall economic outlook remains mixed, with signs of slowing growth and increasing global uncertainty. The Federal Reserve is expected to cut interest rates, which could provide some support for the stock market. However, the upcoming U.S. presidential election and ongoing global conflicts and natural disasters could introduce further volatility and uncertainty in the market.</t>
  </si>
  <si>
    <t>Recent News: Cincinnati Financial delivered solid Q3 results, despite an increase in catastrophe losses. The company's underwriting results are now in line with long-term expectations, though faster personal lines growth remains a headwind. Additionally, the company's investment portfolio has benefited from higher interest rates and the rise in the equity market, boosting its fair value.
 Financials: Cincinnati Financial's financial data shows a mixed picture. The company's stock price has fluctuated, with a previous close of $140.83 and a day high of $142.685. The company's dividend rate and yield are relatively low at 3.24% and 2.3%, respectively. However, the company's valuation metrics, such as a trailing P/E ratio of 7.223 and a forward P/E ratio of 19.35, suggest that the stock may be undervalued. The company's balance sheet appears strong, with a quick ratio of 0.996 and a current ratio of 1.171.
 Economic Outlook: The overall economic outlook remains mixed, with signs of slowing growth and increasing global uncertainty. The Federal Reserve is expected to cut interest rates in the near term, which could provide some support for the stock market. However, the upcoming U.S. presidential election and ongoing global conflicts and natural disasters could introduce further volatility and uncertainty in the market.</t>
  </si>
  <si>
    <t>Recent News:
 ON Semiconductor's (ON) recent financial performance has been a mixed bag, with the company reporting better-than-expected Q3 2024 earnings but providing a weaker-than-anticipated outlook for Q4 2024. The company's revenue decreased by 19.3% year-over-year due to slowing EV demand and excess inventory, but its free cash flow margins improved to 16.7%, driven by reduced capital expenditures and enhanced cost efficiency.
 Financials:
 ON Semiconductor's financial data shows a strong balance sheet, with a market capitalization of $30.2 billion, a current ratio of 3.075, and a quick ratio of 1.875. The company's profitability metrics, such as profit margins (23.8%) and return on equity (21.8%), are also relatively healthy. However, the company's debt-to-equity ratio of 42.4% may be a concern for some investors.
 Economic Outlook:
 The broader economic environment remains challenging, with the U.S. economy facing a mixed outlook. The Federal Reserve is expected to cut interest rates in response to the recent slowdown in job growth and the ongoing global conflicts and natural disasters. This could provide some support for the stock market, but the overall uncertainty may continue to weigh on investor sentiment.</t>
  </si>
  <si>
    <t>Recent News:
 Cigna (CI) has reported strong third-quarter results, driven by the performance of its Evernorth Health Services segment. The company's Q3 profit beat Wall Street estimates, as it saw strong demand for specialty drugs and added new clients to its pharmacy benefit management business. However, higher expenses partially offset the positives.
 Financials:
 Cigna's financial data shows a mixed picture. While the company's stock price has seen some volatility, with the share price ranging between $306.67 and $318.75 during the day, its financial metrics suggest a relatively healthy financial position. The company has a decent dividend yield of 1.77% and a low beta of 0.506, indicating relatively low market risk. However, its trailing P/E ratio of 30.03 and forward P/E ratio of 9.97 suggest that the stock may be fairly valued or even slightly overvalued.
 Economic Outlook:
 The broader economic outlook remains uncertain, with concerns about slowing job growth and the potential impact of global conflicts and natural disasters. The Federal Reserve is expected to cut interest rates in response to these challenges, which could provide some support for the stock market. However, the upcoming U.S. presidential election and its potential implications for economic policy could also introduce additional volatility.</t>
  </si>
  <si>
    <t>Recent News: VeriSign's Q3 report shows a mixed picture, with revenue up and high margins, but a decrease in the number of domain name registrations. Despite the declining domain name base, the company still holds a stable market position with around 47% of the market share. The company continues to focus on shareholder benefits through share buybacks.
 Financials: VeriSign's financial data indicates a strong financial position, with a market capitalization of $16.98 billion, a trailing P/E ratio of 20.57, and a forward P/E ratio of 20.43. The company has a healthy balance sheet, with $644.9 million in total cash and $1.8 billion in total debt. VeriSign's profitability metrics, such as profit margins (55.69%) and EBITDA margins (70.62%), are impressive.
 Economic Outlook: The broader economic landscape remains mixed, with signs of slowing growth and increasing global uncertainty. The Federal Reserve is expected to cut interest rates, which could provide some support for the stock market. However, the upcoming U.S. presidential election and ongoing global conflicts could introduce further volatility and uncertainty in the market.</t>
  </si>
  <si>
    <t>Recent News:
 The latest news indicates that the Israel-Lebanon conflict has escalated, with the Israel Defense Forces invading southern Lebanon and Iran attacking Israel with ballistic missiles. This escalation of tensions in the Middle East could have broader geopolitical and economic implications, potentially impacting the U.S. stock market. Additionally, the change in Japanese leadership, with the election of a new prime minister, could lead to policy changes and market uncertainty in Japan, which may also affect the U.S. stock market.
 Financials:
 Universal Health Services (UHS) is a leading healthcare facilities company in the United States. The company's recent financial data shows a strong financial position, with a market capitalization of $13.69 billion, a trailing P/E ratio of 13.66, and a forward P/E ratio of 11.47. The company's profitability metrics, such as profit margins (6.66%) and return on equity (16.34%), are also relatively healthy. However, the company's debt-to-equity ratio of 76.37% may be a concern, as it could limit the company's financial flexibility.
 Economic Outlook:
 The U.S. economy is facing a mixed outlook, with signs of slowing growth and increasing global uncertainty. The Federal Reserve is expected to respond to these challenges by cutting interest rates, which could provide some support for the stock market. However, the outcome of the upcoming U.S. presidential election and the resolution (or escalation) of global conflicts and natural disasters could have significant implications for the market's performance in the medium to long term.</t>
  </si>
  <si>
    <t>Recent News:
 Chipotle Mexican Grill has faced a mix of positive and negative news in recent months. While the company reported better-than-expected earnings in the third quarter, it also experienced a revenue miss and weaker-than-anticipated same-store sales growth. The departure of the CEO has also raised some concerns about the company's leadership and direction.
 Financials:
 Chipotle's financial data shows a mixed picture. The company has a relatively high forward P/E ratio of 44.73, suggesting that the stock may be overvalued. However, it also has a strong balance sheet, with a quick ratio of 1.49 and a current ratio of 1.62, indicating good liquidity. The company's profitability metrics, such as profit margins and return on assets and equity, are also relatively strong.
 Economic Outlook:
 The overall economic outlook for the U.S. is somewhat uncertain, with signs of slowing growth and potential interest rate cuts by the Federal Reserve. This could impact consumer spending and the restaurant industry, which may affect Chipotle's performance. Additionally, the ongoing global conflicts and political uncertainty could also have indirect effects on the company's operations and stock price.</t>
  </si>
  <si>
    <t>Recent News:
 Carrier Global, a leading provider of building products and services, has seen its stock price fluctuate in recent weeks, reflecting the mixed economic outlook and global uncertainties. The company's performance is closely tied to the broader construction and real estate sectors, which have been impacted by factors such as rising interest rates, supply chain disruptions, and geopolitical tensions.
 Financials:
 Carrier Global's financial data shows a mixed picture. The company's profitability metrics, such as profit margins and return on equity, are relatively strong, indicating a well-managed business. However, the company's debt-to-equity ratio is relatively high, which could be a concern for some investors. Additionally, the company's valuation metrics, such as the forward P/E ratio, suggest that the stock may be trading at a premium compared to its peers.
 Economic Outlook:
 The overall economic outlook for the building products industry is uncertain. While the Federal Reserve is expected to cut interest rates, the impact of this move on the construction and real estate sectors remains to be seen. Additionally, the ongoing global conflicts and natural disasters could have broader implications for the industry, potentially affecting Carrier Global's operations and financial performance.</t>
  </si>
  <si>
    <t>Recent News:
 The upcoming Q3 earnings report for American International Group (AIG) is expected to show a decline in earnings compared to the same period last year. Wall Street analysts are projecting lower-than-expected top-line and bottom-line results for the insurance giant. This comes amid ongoing global economic and geopolitical challenges that may have impacted the company's performance during the quarter.
 Financials:
 AIG's recent financial data paints a mixed picture. The company's stock has seen some volatility, with the share price fluctuating between $75.635 and $76.985 over the past trading session. While the dividend rate and yield remain relatively stable, the forward P/E ratio of 11.07 suggests that the market may be pricing in some uncertainty about the company's future earnings potential.
 Economic Outlook:
 The broader economic environment remains challenging, with concerns about slowing growth, rising inflation, and the potential impact of global conflicts and natural disasters. The Federal Reserve's expected interest rate cut could provide some support for the stock market, but the overall outlook remains uncertain, particularly in the run-up to the 2024 U.S. presidential election.</t>
  </si>
  <si>
    <t>Recent News:
 Biogen's Q3 earnings report showed mixed results, with revenue and earnings beating estimates but growth remaining flat or declining for many key assets. The performance of the company's Alzheimer's drug Leqembi was particularly underwhelming. However, the company's CEO expressed optimism about the potential of Biogen's pipeline and ongoing product launches.
 Financials:
 Biogen's financial data indicates a mixed picture. The company's stock price has declined by 30% over the past 52 weeks, underperforming the S&amp;P 500. However, Biogen's valuation metrics, such as a forward P/E ratio of 10.4 and an enterprise value-to-revenue ratio of 3.15, suggest the stock may be undervalued. The company's balance sheet appears relatively strong, with $1.7 billion in cash and a current ratio of 1.26.
 Economic Outlook:
 The broader economic environment remains challenging, with concerns about slowing growth and the potential impact of global conflicts and natural disasters. The Federal Reserve's expected interest rate cut may provide some support for the stock market, but the overall outlook remains uncertain, particularly in the run-up to the 2024 U.S. presidential election.</t>
  </si>
  <si>
    <t>Recent News:
 American Water Works (AWK) reported its Q3 earnings, which fell short of the Zacks Consensus Estimate. The company posted earnings of $1.80 per share, compared to the expected $1.84 per share. This represents a year-over-year increase in earnings, but the miss in the latest quarter could raise some concerns among investors.
 Financials:
 American Water Works' financial data shows a mixed picture. The company's stock has seen a 6.6% increase in the past 52 weeks, outperforming the S&amp;P 500's 31.2% rise. However, the stock has experienced some volatility, with a 52-week range of $113.34 to $150.68. The company's valuation metrics, such as a forward P/E ratio of 23.90, suggest that the stock may be fairly valued.
 Economic Outlook:
 The overall economic environment remains uncertain, with signs of slowing growth and potential interest rate cuts by the Federal Reserve. This could have implications for the water utilities industry, as changes in interest rates and economic conditions can impact consumer demand and the company's financing costs. Additionally, the ongoing global conflicts and natural disasters may pose risks to the company's operations and financial performance.</t>
  </si>
  <si>
    <t>Recent News:
 Albemarle Corporation (ALB), a leading specialty chemicals company, has been in the spotlight recently due to various news events. The company's stock price has experienced some volatility, with a 1.17% decline in the latest trading session compared to the broader market. Investors are closely watching Albemarle's upcoming earnings report, as the company is expected to report a decline in Q3 earnings. Additionally, the company's stock has been a trending topic, with investors analyzing the potential factors that could determine its prospects.
 Financials:
 Albemarle's financial data shows a mixed picture. The company's stock has a relatively high forward P/E ratio of 40.763, indicating that it may be overvalued compared to its earnings potential. However, the company's dividend yield of 1.65% and payout ratio of 57.97% suggest that it is returning a decent amount of its profits to shareholders. The company's balance sheet appears to be in a reasonable condition, with a current ratio of 2.668 and a quick ratio of 1.546, indicating adequate liquidity.
 Economic Outlook:
 The broader economic environment is facing some challenges, with signs of slowing growth and increased global uncertainty. The Federal Reserve is expected to cut interest rates in the near future, which could provide some support for the stock market. However, the upcoming U.S. presidential election and ongoing geopolitical tensions could also impact the market's performance.</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</si>
  <si>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Shigeru Ishiba as the new prime minister, with the Liberal Democratic Party forming the majority. The new prime minister has called for a snap election, which could lead to policy changes and market uncertainty in Japan,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Alexandria Real Estate Equities, a leading Office REITs company, has shown a mixed financial performance. The company's stock price has fluctuated in recent weeks, with a previous close of $111.55 and a current day range of $110.54 to $112.94. The company's dividend rate of 5.2% and dividend yield of 4.69% are relatively attractive, but its trailing P/E ratio of 67.60 and forward P/E ratio of 32.23 suggest the stock may be overvalued.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</si>
  <si>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Amcor (AMCR) reported its Q1 earnings, which met analysts' estimates. The company's revenues decreased 2.6% year-over-year, reflecting a 1% unfavorable impact of foreign exchange and a 1% effect of pass-through of lower raw material costs. The earnings were in line with the previous year's quarter at $0.16 per share.
 Financials:
 Amcor's financial data shows a mixed picture. The company's stock price has fluctuated in the recent past, with the current price at $10.62, down from the previous close of $11.13. The company's dividend yield is 4.97%, and its payout ratio is 93.98%, indicating a high dividend payout. The company's valuation metrics, such as the forward P/E ratio of 12.99, suggest that the stock may be reasonably valued.
 Economic Outlook:
 The overall economic outlook remains uncertain, with signs of slowing growth and increasing global uncertainty. The Federal Reserve is expected to cut interest rates in the near term, which could provide some support for the stock market. However, the upcoming U.S. presidential election and ongoing global conflicts and natural disasters could continue to impact the market's performance.</t>
  </si>
  <si>
    <t>Recent News:
 The recent news coverage on Ameren (AEE) provides mixed signals about the company's potential performance in the upcoming Q3 earnings report. While some analyst projections suggest earnings growth, there are also concerns about the company's ability to outperform its utilities peers this year. The market is closely watching Ameren's key metrics to gain deeper insights into its financial health and future prospects.
 Financials:
 Ameren's financial data shows a mixed picture. The company's stock has seen some volatility, with the share price fluctuating between $85.44 and $87.31 in recent trading. The company's dividend yield of 3.12% and payout ratio of 58.69% suggest a relatively stable income stream for investors. However, the company's debt-to-equity ratio of 152.30% raises some concerns about its financial leverage.
 Economic Outlook:
 The broader economic environment remains challenging, with slowing job growth, ongoing global conflicts, and natural disasters posing risks to the utilities sector. The Federal Reserve's expected interest rate cut could provide some support for the market, but the long-term outlook remains uncertain, particularly given the potential implications of the upcoming U.S. presidential election.</t>
  </si>
  <si>
    <t>Recent News:
 Expedia (EXPE) is expected to report its upcoming earnings, and the company is expected to see growth in its earnings. The market is anticipating a positive performance from Expedia, as the company has the right combination of factors that could lead to an earnings beat.
 Financials:
 Expedia's recent financial data shows a mixed picture. The company's stock has seen some volatility, with the share price fluctuating between $156.38 and $160.13 in the past trading session. The company's financial metrics, such as a trailing P/E ratio of 28.72 and a forward P/E ratio of 11.15, suggest that the stock may be reasonably valued.
 Economic Outlook:
 The overall economic outlook remains uncertain, with concerns about slowing growth and global political tensions. The Federal Reserve's monetary policy decisions and the outcome of the upcoming U.S. presidential election could have significant implications for the stock market, including Expedia's performance.</t>
  </si>
  <si>
    <t>Recent News:
 Juniper Networks (JNPR) has reported a mixed Q3 earnings performance. While the company beat earnings estimates, it faced a decline in revenues due to weakness in the Enterprise and Service Provider verticals. However, the company saw solid order growth from cloud customers, which is a positive tailwind. Additionally, Juniper's AI-Native Networking Platform was selected by Thai Airways for a network upgrade, showcasing the company's technological capabilities.
 Financials:
 Juniper's financial data indicates a mixed picture. The company's stock price has seen a 42.5% increase over the past 52 weeks, outperforming the S&amp;P 500's 31.2% rise. However, the company's trailing P/E ratio of 51.32 is relatively high, suggesting that the stock may be overvalued. On the positive side, Juniper's dividend yield of 2.26% and payout ratio of 115.79% indicate a strong focus on shareholder returns.
 Economic Outlook:
 The overall macroeconomic environment remains uncertain, with concerns about slowing economic growth and the potential impact of global conflicts and natural disasters. The Federal Reserve's expected interest rate cut could provide some support for the market, but the outcome of the 2024 U.S. presidential election and the resolution (or escalation) of geopolitical tensions could significantly impact Juniper's performance in the medium to long term.</t>
  </si>
  <si>
    <t>Recent News:
 Johnson Controls (JCI) is set to report its Q4 2024 earnings next week. Wall Street analysts are projecting earnings growth for the company, indicating potential positive performance. The market is closely watching key metrics such as revenue, profit margins, and cash flow to gauge the company's financial health and future prospects.
 Financials:
 Johnson Controls' recent financial data shows a mixed picture. The company's stock price has fluctuated within a range of $75-$76 over the past week, with a previous close of $75.55. Its dividend rate stands at $1.48, with a dividend yield of 1.96%. However, the company's valuation metrics, such as a high trailing P/E ratio of 31.72 and a forward P/E ratio of 20.30, suggest that the stock may be overvalued compared to its earnings potential.
 Economic Outlook:
 The broader economic environment remains uncertain, with concerns about slowing job growth, ongoing global conflicts, and potential interest rate cuts by the Federal Reserve. These factors could impact the demand for Johnson Controls' products and services, as well as investor sentiment towards the stock.</t>
  </si>
  <si>
    <t>Recent News:
 Hormel Foods, a leading packaged foods and meat company, has been navigating a mixed economic landscape. The company's performance has been impacted by factors such as the ongoing global conflicts, natural disasters, and political uncertainty, which have affected consumer demand and supply chain dynamics.
 Financials:
 Hormel's recent financial data shows a mixed picture. While the company's revenue and profitability metrics, such as gross margins and EBITDA margins, remain relatively strong, there are some signs of slowing growth. The company's earnings growth and revenue growth have both declined in the latest quarter, indicating potential challenges ahead.
 Economic Outlook:
 The broader economic outlook for the U.S. is also mixed, with the Federal Reserve expected to cut interest rates in the near term to support the economy. This could provide some relief for Hormel and the broader packaged foods industry, as lower borrowing costs may help offset the impact of other macroeconomic headwinds.
 However, the upcoming U.S. presidential election and the potential for further global conflicts and natural disasters could introduce additional uncertainty and volatility in the market, which may affect Hormel's performance.</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</si>
  <si>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a new prime minister, Shigeru Ishiba, who has called for a snap election. This leadership change in Japan could lead to policy changes and market uncertainty,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Host Hotels &amp; Resorts, a leading Hotel &amp; Resort REIT, has shown a mixed financial performance in recent quarters. The company's revenue growth has been modest at 5.1%, while its earnings growth has been more robust at 17%. However, the company's profitability metrics, such as profit margins and return on equity, suggest room for improvement.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market.</t>
  </si>
  <si>
    <t>Recent News:
 Ingersoll Rand (IR) reported strong third-quarter 2024 earnings, with adjusted earnings per share (EPS) of $0.84 beating the Zacks Consensus Estimate of $0.82. This represents a 9.1% year-over-year increase in EPS. However, the company's revenues missed expectations, suggesting some challenges in the overall business environment.
 Financials:
 Ingersoll Rand's financial data indicates a mixed picture. The company's stock price has fluctuated in recent trading sessions, with a 52-week range of $64.60 to $102.74. The current stock price of $93.50 is within this range, but the company's valuation metrics, such as a forward P/E ratio of 25.96, suggest that the stock may be trading at a premium compared to its peers.
 Economic Outlook:
 The broader economic environment remains uncertain, with concerns about slowing job growth, the Federal Reserve's interest rate decisions, and ongoing global conflicts and natural disasters. These factors could potentially impact Ingersoll Rand's business and financial performance in the coming months.</t>
  </si>
  <si>
    <t>Recent News:
 IBM (IBM) has been a trending stock lately, with the company's shares experiencing one of their most exciting years in a long time. After a prolonged period of mostly sideways movement from 2015 through last summer, the stock has finally broken out and started heading north.
 Financials:
 IBM's recent financial data shows a mixed picture. The company's stock has a trailing P/E ratio of 30.40 and a forward P/E ratio of 19.63, indicating that the stock may be overvalued compared to its earnings. However, the company's dividend yield of 3.21% and payout ratio of 97.08% suggest that it is returning a significant portion of its profits to shareholders.
 Economic Outlook:
 The broader economic outlook remains uncertain, with signs of slowing growth and increasing global uncertainty. The Federal Reserve is expected to cut interest rates in the coming weeks, which could provide some support for the stock market. However, the outcome of the 2024 U.S. presidential election and the resolution (or escalation) of global conflicts and natural disasters could have significant implications for IBM's performance.</t>
  </si>
  <si>
    <t>Recent News:
 Healthpeak Properties, a leading healthcare real estate investment trust (REIT), has been navigating the evolving healthcare landscape amidst the ongoing global challenges. The company's recent financial performance and strategic initiatives have been closely watched by investors and industry analysts.
 Financials:
 Healthpeak's latest financial data shows a mixed picture. While the company's revenue growth has been strong at 25.9% year-over-year, its profitability metrics, such as profit margins and return on equity, have been relatively lower compared to industry peers. The company's debt-to-equity ratio of 96.6% also raises some concerns about its financial leverage.
 Economic Outlook:
 The healthcare sector, in which Healthpeak operates, has been impacted by the broader macroeconomic uncertainties, including the potential impact of the 2024 U.S. presidential election and the ongoing global conflicts. The Federal Reserve's interest rate decisions and their effect on the real estate market could also have implications for Healthpeak's performance.</t>
  </si>
  <si>
    <t>Recent News:
 Analysts are estimating that Hershey (HSY) will report a decline in earnings in its upcoming report. This suggests that the company may be facing some challenges in the current market environment. Investors will need to closely monitor the company's financial performance and outlook to assess the potential impact on the stock.
 Financials:
 Hershey's recent financial data shows a mixed picture. The company's stock price has been relatively stable, trading around $177-$179 per share. However, the company's dividend yield of 3.06% and payout ratio of 56.74% suggest that the company may be facing some pressure on its profitability. Additionally, the company's trailing P/E ratio of 19.85 and forward P/E ratio of 19.85 indicate that the stock may be fairly valued or slightly overvalued compared to its peers.
 Economic Outlook:
 The overall economic outlook remains uncertain, with concerns about slowing growth and the potential impact of global conflicts and natural disasters. The Federal Reserve's expected interest rate cut could provide some support for the market, but the outcome of the U.S. presidential election and the resolution (or escalation) of global issues will be key factors in determining the market's performance in the coming months.</t>
  </si>
  <si>
    <t>Recent News:
 - The Israel-Lebanon conflict has escalated, with the Israel Defense Forces invading southern Lebanon and Iran attacking Israel with ballistic missiles. This regional instability could have broader implications for the global economy and the automotive industry.
 - The 2024 Japanese general election resulted in the governing LDP losing its parliamentary majority, which may lead to policy changes and market uncertainty in Japan, potentially affecting CarMax's operations and performance.
 - The Internet Archive suffered a major data breach, raising concerns about data privacy and security, which could impact consumer confidence and spending in the technology and retail sectors.
 Financials:
 CarMax's financial data shows a mixed picture. The company's stock price has fluctuated in recent weeks, with a 52-week range of $61.73 to $88.22. The company's profitability metrics, such as profit margins and return on equity, are relatively low compared to industry peers. However, the company's balance sheet appears relatively strong, with a current ratio of 2.254 and a manageable debt-to-equity ratio of 314.637.
 Economic Outlook:
 The broader economic outlook is uncertain, with signs of slowing growth in the U.S. economy, including a weaker-than-expected jobs report. The Federal Reserve is expected to cut interest rates, which could provide some support for the stock market. However, the upcoming U.S. presidential election and ongoing global conflicts and natural disasters could continue to create volatility and uncertainty in the market.</t>
  </si>
  <si>
    <t>Recent News:
 BXP's Q3 2024 funds from operations (FFO) per share matched analysts' estimates, reflecting higher lease revenues amid healthy leasing activity. The company's results indicate that it continues to navigate the commercial real estate landscape effectively, maintaining its position in the Office REITs industry.
 Financials:
 BXP's latest financial data shows a mixed picture. The company's stock price has fluctuated in recent trading sessions, with the share price ranging from $78.705 to $81.905 during the day. The company's dividend yield of 4.95% and payout ratio of 36.98% suggest a relatively stable and shareholder-friendly dividend policy.
 However, the company's valuation metrics, such as a high trailing P/E ratio of 74.68 and a forward P/E ratio of 42.11, indicate that the stock may be trading at a premium compared to its peers. Additionally, the company's debt-to-equity ratio of 205.26% raises some concerns about its financial leverage.
 Economic Outlook:
 The broader economic environment remains uncertain, with mixed signals from the latest macroeconomic data. The slowdown in job growth and the ongoing global conflicts and natural disasters could potentially impact the commercial real estate sector, including the Office REITs industry in which BXP operates.
 The Federal Reserve's expected interest rate cut may provide some support for the market, but the long-term outlook will largely depend on the resolution of these economic and geopolitical challenges, as well as the outcome of the upcoming U.S. presidential election.</t>
  </si>
  <si>
    <t>Recent News:
 Catalent, a leading pharmaceutical contract development and manufacturing organization (CDMO), has been in the spotlight recently due to its involvement in the production of COVID-19 vaccines. The company has been working closely with various pharmaceutical companies to scale up production and meet the global demand for these critical vaccines.
 Financials:
 Catalent's financial performance has been mixed, with the company reporting a net loss of $1.043 billion in its most recent quarter. However, the company's revenue has grown by 23.3% year-over-year, indicating strong demand for its services. Additionally, Catalent's balance sheet remains relatively strong, with a quick ratio of 1.741 and a current ratio of 2.519, suggesting the company has the liquidity to weather any short-term challenges.
 Economic Outlook:
 The pharmaceutical industry, in which Catalent operates, is expected to continue experiencing strong demand due to the ongoing global health crisis and the need for new drug development. However, the broader economic outlook remains uncertain, with concerns about slowing job growth and the potential for further interest rate hikes by the Federal Reserve. These macroeconomic factors could impact Catalent's performance in the short to medium term.</t>
  </si>
  <si>
    <t>Recent News:
 Builders FirstSource (BLDR) saw its stock price increase by 0.75% in the latest trading session, despite the overall market slip. This performance suggests the company may be weathering the current market conditions better than some of its peers. However, the company's upcoming earnings report is expected to show a decline, indicating potential challenges ahead.
 Financials:
 Builders FirstSource's financial data presents a mixed picture. The company's valuation metrics, such as forward P/E and PEG ratio, suggest it may be reasonably priced. However, its debt-to-equity ratio of over 100% raises some concerns about its financial leverage. Additionally, the company's profitability margins, while positive, are not exceptionally high, which could limit its ability to withstand economic headwinds.
 Economic Outlook:
 The broader economic environment remains uncertain, with signs of slowing growth and ongoing global conflicts. The Federal Reserve's expected interest rate cut may provide some support for the market, but the outcome of the upcoming U.S. presidential election and the resolution (or escalation) of geopolitical tensions could significantly impact the company's performance in the medium to long term.</t>
  </si>
  <si>
    <t>Recent News:
 Intel has faced significant challenges in recent quarters, with the company reporting worse-than-expected Q3 results. However, there are signs that the worst may be behind them. The company reported a $16.6 billion quarterly loss, driven by non-recurring charges, but the top line beat estimates, and the Q4 outlook is solid. Intel has likely seen the worst already, and sentiment appears to be improving, with the stock price rallying 8% after earnings despite the significant impairment and restructuring charges.
 Financials:
 Intel's financial data shows a mixed picture. The company's stock price has declined significantly over the past year, with a 52-week low of $18.51 and a 52-week high of $51.28. The current stock price of $23.00 is still well below the 52-week high, but the recent rally suggests that investors may be regaining confidence in the company.
 Intel's financial metrics are also mixed, with a negative profit margin of -29.4% and a trailing EPS of -$3.74. However, the company's forward P/E ratio of 23.2 suggests that the market expects a turnaround in the company's performance.
 Economic Outlook:
 The broader economic outlook is also mixed, with the U.S. economy facing a challenging environment. The latest jobs report showed a significant slowdown in job creation, and the Federal Reserve is expected to respond by cutting interest rates. This, coupled with ongoing global conflicts and political uncertainty, suggests that the economic landscape is becoming more challenging.
 However, the technology sector, led by companies like Nvidia, has continued to show strength, and the advancements in emerging technologies, such as artificial intelligence and space exploration, could have a positive impact on the stock market in the coming months and years.</t>
  </si>
  <si>
    <t>Recent News:
 International Paper (IP) reported its Q3 2024 earnings, surpassing both revenue and earnings per share (EPS) estimates. The company posted EPS of $0.44, beating the Zacks Consensus Estimate of $0.24 per share. However, this figure is lower than the $0.64 per share reported in the year-ago quarter.
 Financials:
 International Paper's recent financial data shows a mixed picture. The company's stock price has fluctuated, with the current price at $55.54. Key metrics like dividends, profit margins, and debt-to-equity ratio suggest the company is in a relatively stable financial position. However, the year-over-year decline in EPS is a concern.
 Economic Outlook:
 The overall economic environment remains challenging, with slowing job growth, ongoing global conflicts, and natural disasters impacting various industries. The Federal Reserve is expected to cut interest rates in response, which could provide some support for the stock market. However, the upcoming U.S. presidential election and its potential policy implications add to the uncertainty.</t>
  </si>
  <si>
    <t>Recent News:
 The Interpublic Group of Companies (IPG), a leading global advertising and marketing services company, has faced a mixed landscape in recent months. While the company reported better-than-expected financial results in its latest quarter, the overall economic uncertainty and volatility in the advertising industry have posed challenges.
 Financials:
 IPG's financial data shows a relatively stable performance, with a previous close of $29.40 and a current trading range between $29.43 and $29.81. The company's dividend rate of $1.32 and dividend yield of 4.48% provide some income potential for investors. However, the company's trailing P/E ratio of 13.91 and forward P/E ratio of 10.72 suggest that the stock may be fairly valued or slightly undervalued.
 Economic Outlook:
 The broader economic outlook remains mixed, with concerns about slowing job growth and the potential for further interest rate cuts by the Federal Reserve. Additionally, the ongoing global conflicts and political uncertainties could continue to impact the advertising industry and IPG's performance. The company's exposure to various sectors and regions may help mitigate some of these risks, but the overall market volatility is likely to persist in the near term.</t>
  </si>
  <si>
    <t>Recent News:
 Huntington Bancshares, a regional bank operating primarily in the Midwest, has faced a mixed landscape in recent months. The bank's performance has been impacted by the broader economic conditions, including the Federal Reserve's interest rate hikes and concerns about a potential economic slowdown.
 Financials:
 Huntington Bancshares' latest financial data shows a mixed picture. The bank's profitability metrics, such as net income and earnings per share, have remained relatively stable. However, the bank's revenue growth has been modest, and its loan portfolio has faced some headwinds. The bank's dividend yield and payout ratio suggest a balanced approach to capital allocation.
 Economic Outlook:
 The overall economic outlook for the regional banking sector is cautious. The Federal Reserve's interest rate cuts and the potential for a slowdown in economic growth could put pressure on Huntington Bancshares' net interest margins and loan demand. Additionally, the bank's exposure to the Midwest region may make it vulnerable to any regional economic fluctuations.</t>
  </si>
  <si>
    <t>Recent News:
 Kinder Morgan (KMI) has been a trending stock lately, as the company's midstream business offers predictable revenue through "take or pay" contracts. The natural gas industry is seen as a reliable source for electricity generation in data centers, which is a relatively new industry-wide view. This aligns with Kinder Morgan's steady results and the company's position in the natural gas midstream sector.
 Financials:
 Kinder Morgan's financial data shows a mixed picture. The company has a relatively high debt-to-equity ratio of 101.433, which could be a concern. However, it has a strong market capitalization of $53.7 billion and a reasonable forward P/E ratio of 19.04. The company's dividend yield of 4.76% is also attractive, though the payout ratio of 100.88% suggests the dividend may be unsustainable in the long run.
 Economic Outlook:
 The overall economic outlook remains uncertain, with signs of slowing growth and increasing global uncertainty. The Federal Reserve is expected to cut interest rates, which could provide some support for the stock market. However, the outcome of the U.S. presidential election and the resolution (or escalation) of global conflicts and natural disasters could significantly impact the market's performance in the medium to long term.</t>
  </si>
  <si>
    <t>Recent News:
 Kimco Realty (KIM) reported better-than-expected Q3 results, with funds from operations (FFO) and revenues surpassing analyst estimates. This reflects the company's ability to navigate the retail real estate market effectively. However, a rise in interest expenses has acted as a dampener, potentially impacting the company's profitability.
 Firm Financials:
 Kimco Realty's financial data shows a mixed picture. While the company's stock price has seen a 28.39% increase in the past 52 weeks, outperforming the S&amp;P 500's 31.21% rise, its valuation metrics, such as the forward P/E ratio of 34.54, suggest that the stock may be trading at a premium. The company's debt-to-equity ratio of 78.64% also raises some concerns about its financial leverage.
 Economic Outlook:
 The overall economic outlook remains uncertain, with the U.S. economy facing a mixed outlook. The recent slowdown in job growth and the ongoing global conflicts and natural disasters could continue to impact the retail real estate sector, in which Kimco Realty operates. The Federal Reserve's expected interest rate cut may provide some support, but the long-term implications of the economic landscape remain unclear.</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</si>
  <si>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a new prime minister, Shigeru Ishiba, who has called for a snap election. This political change in Japan could lead to policy shifts and market uncertainty, which may affect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Loews Corporation, a diversified holding company, operates in the multi-line insurance industry. The company's recent financial data shows a mixed performance. While the company's profitability metrics, such as profit margins and return on assets and equity, are relatively strong, its debt-to-equity ratio is relatively high at 55.642, which could be a concern for investors.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</si>
  <si>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Eli Lilly (NYSE: LLY), a leading pharmaceutical company, has faced a sharp 8% drop in its stock price after reporting disappointing third-quarter results. The company's key products, Zepbound and Mounjaro, have experienced weaker-than-expected sales, leading to a significant revenue miss and a downward revision of its full-year 2024 guidance. This has raised concerns among investors about the company's ability to maintain its growth momentum.
 Financials:
 Eli Lilly's third-quarter financial results fell short of analysts' expectations. The company reported revenue of $11.4 billion, which was well below the consensus estimate of $12.1 billion. Additionally, the company's adjusted earnings per share of $1.18 missed the expected $1.45. The underperformance was primarily driven by the weaker-than-anticipated sales of Zepbound and Mounjaro, which are crucial products for the company.
 Economic Outlook:
 The broader economic landscape remains mixed, with signs of slowing growth and increasing global uncertainty. The Federal Reserve is expected to respond to these developments by cutting interest rates, which could provide some support for the stock market. However, the ongoing geopolitical tensions and political uncertainty, particularly the upcoming U.S. presidential election, could continue to impact investor sentiment and the overall market performance.</t>
  </si>
  <si>
    <t>Recent News:
 Marathon Petroleum (MPC) is expected to report a decline in its Q3 earnings, according to the latest earnings preview. This suggests that the company may face some challenges in the upcoming quarter, which could impact its stock performance.
 Financials:
 Marathon Petroleum's recent financial data shows a mixed picture. While the company's stock price has been volatile, with a 52-week range of $140.98 to $221.11, its current valuation appears reasonable, with a forward P/E ratio of 14.52. The company's dividend yield of 2.54% and payout ratio of 16.91% also suggest a relatively stable financial position.
 Economic Outlook:
 The overall economic outlook remains uncertain, with concerns about slowing growth and the potential impact of global conflicts and natural disasters. The Federal Reserve's upcoming decision on interest rates could also have implications for the energy sector, including Marathon Petroleum.</t>
  </si>
  <si>
    <t>Recent News:
 Martin Marietta's (MLM) third-quarter results reflect lower volumes despite strong pricing actions. The company's Q3 earnings and revenues missed Wall Street estimates, with earnings per share coming in at $5.91 compared to the consensus estimate of $6.41. This represents a decline from the $6.94 per share reported in the year-ago quarter. The weaker-than-expected performance was attributed to adverse weather conditions and cost inflation.
 Financials:
 Martin Marietta's financial data shows a mixed picture. The company's stock has seen a 31.3% increase over the past 52 weeks, outperforming the S&amp;P 500's 31.2% rise. However, the stock has experienced some volatility, with the share price ranging from $438.89 to $626.67 over the same period. The company's profitability metrics, such as profit margins and return on equity, remain relatively strong, but there are concerns about the impact of rising costs and lower volumes on the company's financial performance.
 Economic Outlook:
 The broader economic environment remains challenging, with signs of slowing growth and increasing global uncertainty. The Federal Reserve is expected to cut interest rates in response to the weaker-than-expected economic data, which could provide some support for the stock market. However, the upcoming U.S. presidential election and ongoing geopolitical tensions could continue to create volatility and uncertainty in the market.</t>
  </si>
  <si>
    <t>Recent News:
 Masco (MAS) reported its Q3 2024 earnings, with the results matching analysts' estimates. The company's revenue beat expectations, but it lowered its earnings per share (EPS) outlook. The report suggests that Masco is facing challenges in market demand, despite operational improvements.
 Financials:
 Masco's financial data shows a mixed picture. The company's stock price has been volatile, with a 52-week range of $54.55 to $86.70. The company's valuation metrics, such as the forward P/E ratio of 18.06, suggest that the stock may be reasonably priced. However, the company's debt-to-equity ratio of 2238.03 is significantly high, which could be a concern for investors.
 Economic Outlook:
 The broader economic environment remains uncertain, with the Federal Reserve expected to cut interest rates in the near term. The ongoing global conflicts and political events, such as the U.S. presidential election, could also impact the stock market and Masco's performance. Additionally, the company's exposure to the building products industry may be affected by any slowdown in the housing market.</t>
  </si>
  <si>
    <t>Recent News:
 - The Israel-Lebanon conflict has escalated, with the Israel Defense Forces invading southern Lebanon and expanding its conflict against Hezbollah. This could have significant implications for the stability in the Middle East region, potentially impacting the US stock market.
 - The Japanese parliament has elected a new prime minister, Shigeru Ishiba, who has called for a snap election. This leadership change in Japan could lead to policy changes and market uncertainty,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Las Vegas Sands, a leading casino and resort company, has shown a mixed financial performance in recent quarters. The company's revenue has declined by 4% year-over-year, while its profitability has been impacted by the ongoing global economic challenges. However, the company's balance sheet remains relatively strong, with a healthy cash position and manageable debt levels.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</si>
  <si>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LyondellBasell (LYB) reported its Q3 2024 earnings, which showed mixed results. While the company's revenue surpassed Wall Street estimates, its earnings per share fell short of expectations. The key factors contributing to this performance include:
 - Higher polyethylene margins in North America, driven by favorable ethane and natural gas costs, as well as increased polyethylene prices.
 - Declining refining margins and weakness in the chemicals segment, leading to a miss on quarterly profit estimates.
 - Storm-related headwinds that impacted the company's overall performance.
 Financials:
 LyondellBasell's financial data for the recent period indicates a mixed picture. While the company's market capitalization, enterprise value, and profitability metrics (e.g., profit margins, return on assets, and return on equity) remain relatively strong, there are some concerning signs:
 - The stock's price-to-earnings (P/E) ratio and price-to-book (P/B) ratio have declined, suggesting potential undervaluation.
 - The company's debt-to-equity ratio is relatively high at 92.277, indicating a higher level of financial leverage.
 - The company's earnings growth and revenue growth have been negative, reflecting the challenges faced in the current economic environment.
 Economic Outlook:
 The broader economic outlook remains uncertain, with a mix of positive and negative factors. While the Federal Reserve is expected to cut interest rates to support the economy, the ongoing global conflicts, natural disasters, and political uncertainty could continue to weigh on the stock market's performance.
 The technology sector, led by companies like Nvidia, has shown resilience, while traditional industries like manufacturing and retail have faced more headwinds. The outcome of the 2024 U.S. presidential election could also have significant implications for the stock market, as the candidates' policy proposals and approaches to economic management could differ significantly.</t>
  </si>
  <si>
    <t>MRO</t>
  </si>
  <si>
    <t>Recent News:
 Marathon Oil (MRO) is expected to report its Q3 earnings soon, and the consensus is that the company's earnings are likely to decline compared to the previous quarter. This is in line with the broader industry trends, as the oil and gas exploration and production sector has faced challenges due to factors such as volatile commodity prices and global economic uncertainties.
 Financials:
 Marathon Oil's recent financial data shows a mixed picture. The company's stock has seen some volatility, with the share price fluctuating between $26.97 and $27.805 over the past trading day. The company's dividend yield of 1.61% and a payout ratio of 16.8% suggest a relatively stable dividend policy. However, the company's forward P/E ratio of 11.46 indicates that the stock may be fairly valued or slightly undervalued compared to its peers.
 Economic Outlook:
 The overall economic outlook for the oil and gas industry remains uncertain, with factors such as global conflicts, natural disasters, and political instability continuing to impact the market. The Federal Reserve's expected interest rate cut could provide some support for the stock market, but the long-term performance of Marathon Oil will depend on the company's ability to navigate the challenging industry environment and capitalize on any potential opportunities.</t>
  </si>
  <si>
    <t>Recent News:
 Evergy Inc (EVRG) is set to report its upcoming earnings next week. Wall Street analysts are expecting the company to show earnings growth, though the firm may not possess the right combination of factors to deliver a likely earnings beat.
 Financials:
 Evergy's recent financial data shows a mixed picture. The stock has seen some volatility, with the share price fluctuating between $59.50 and $60.90 over the past trading session. The company's dividend rate stands at $2.57, with a dividend yield of 4.31%. Evergy's valuation metrics, such as a trailing P/E ratio of 18.62 and a forward P/E of 14.71, suggest the stock may be reasonably priced.
 Economic Outlook:
 The broader economic environment remains uncertain, with signs of slowing growth and ongoing global conflicts. The Federal Reserve is expected to cut interest rates in the near term, which could provide some support for the stock market. However, the upcoming U.S. presidential election and the resolution (or escalation) of global events could significantly impact the market's performance in the medium to long term.</t>
  </si>
  <si>
    <t>Recent News:
 McCormick &amp; Company, a leading global manufacturer and marketer of spices, seasonings, and other food products, has been navigating a mixed economic landscape. The company's recent financial performance has been impacted by factors such as global supply chain disruptions, inflationary pressures, and geopolitical tensions.
 Financials:
 McCormick's latest financial data shows a mixed picture. The company's stock price has fluctuated in recent weeks, with the share price ranging between $78.06 and $78.95 during the day. The company's dividend rate of $1.68 and dividend yield of 2.13% provide some income for investors. However, the company's valuation metrics, such as a trailing P/E ratio of 26.79 and a forward P/E ratio of 25.24, suggest that the stock may be trading at a premium compared to its peers.
 Economic Outlook:
 The broader economic environment remains challenging, with concerns about slowing job growth, ongoing global conflicts, and the Federal Reserve's monetary policy decisions. These factors could have implications for consumer spending and the overall demand for McCormick's products. Additionally, the upcoming U.S. presidential election could introduce further uncertainty and volatility in the market.</t>
  </si>
  <si>
    <t>Recent News:
 - The Internet Archive suffered a breach of 31 million user passwords, which could raise concerns about data privacy and security, potentially affecting investor sentiment in the technology sector and the broader U.S. stock market.
 - SpaceX achieved the first successful return and capture of a Super Heavy booster from Starship, the biggest and most powerful rocket ever to fly. This technological advancement could have positive implications for the space industry and potentially impact related sectors.
 Financials:
 Equifax, a leading provider of credit information and data analytics services, has reported a mixed financial performance. The company's revenue growth of 9.3% and EBITDA margins of 30.38% suggest strong operational performance. However, the company's trailing P/E ratio of 58.88 and relatively high debt-to-equity ratio of 108.42 may raise concerns about its valuation and financial stability.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market.</t>
  </si>
  <si>
    <t>Recent News:
 Equity Residential (EQR) reported its Q3 2024 results, with funds from operations (FFO) meeting analyst estimates. The company's same-store performances were decent, supported by healthy demand amid modest supply. This suggests the multi-family residential REIT is navigating the current market environment relatively well.
 Financials:
 Equity Residential's financial data indicates a mixed picture. While the company's profitability metrics, such as profit margins and return on assets, are relatively strong, its debt levels are also high, with a debt-to-equity ratio of over 76%. This could be a concern, especially in the current rising interest rate environment.
 Economic Outlook:
 The broader economic outlook remains uncertain, with signs of slowing growth and ongoing global conflicts. The Federal Reserve is expected to cut interest rates, which could provide some support for the real estate sector. However, the upcoming U.S. presidential election and its potential impact on policies could introduce additional volatility.</t>
  </si>
  <si>
    <t>Recent News:
 FedEx (FDX) stock has recently declined, closing at $275.04 in the most recent trading session, indicating a -0.15% shift from the previous trading day. This decline occurred despite the overall market gains, suggesting that there may be specific factors affecting the company's performance.
 Financials:
 FedEx's latest financial data shows a mixed picture. The company's financial metrics, such as profitability ratios, dividend yield, and valuation multiples, appear relatively strong. However, the company's earnings growth has been negative, and there are concerns about its short-term performance.
 Economic Outlook:
 The broader economic environment remains uncertain, with signs of slowing growth and increasing global tensions. The Federal Reserve's upcoming decision on interest rates and the ongoing geopolitical events could have significant implications for the logistics and transportation industry, which FedEx operates in.</t>
  </si>
  <si>
    <t>Recent News:
 The latest financial data for Broadridge Financial Solutions (BR) suggests the company may have faced some challenges in the quarter ended September 2024. Wall Street analysts are projecting a slowdown in the company's top-line and bottom-line growth compared to the previous year.
 Financials:
 Broadridge's financial metrics indicate a mixed performance. While the company's dividend rate and yield remain attractive, its valuation ratios, such as the forward P/E and PEG ratio, suggest the stock may be trading at a premium compared to its peers. Additionally, the company's debt-to-equity ratio is relatively high, which could be a concern for some investors.
 Economic Outlook:
 The broader economic environment has been volatile, with the U.S. economy facing a mixed outlook. The Federal Reserve's expected interest rate cut and the ongoing global conflicts and political uncertainties could continue to impact the stock market, including Broadridge's performance.</t>
  </si>
  <si>
    <t>Recent News:
 Analysts have estimated that Duke Energy (DUK) may report a decline in earnings in its upcoming financial report. This suggests potential challenges for the company in the near term. Additionally, the stock has recently underperformed the broader market gains, indicating some investor concerns.
 Financials:
 Duke Energy's latest financial data shows a mixed picture. The stock has experienced fluctuations in its trading range, with the current price of $117.06 being slightly lower than the previous close. The company's financial metrics, such as profitability ratios, debt levels, and cash flow, suggest a relatively stable financial position, but there are some areas of concern, such as the negative free cash flow.
 Economic Outlook:
 The overall economic environment remains uncertain, with signs of slowing growth and potential interest rate cuts by the Federal Reserve. This could have implications for the utilities sector, including Duke Energy, as changes in interest rates and economic conditions can impact the company's operations and investor sentiment.</t>
  </si>
  <si>
    <t>Recent News:
 The Mosaic Company (The) has been navigating a challenging macroeconomic environment, with ongoing global conflicts and natural disasters impacting the agricultural and fertilizer industries. The company's operations have been affected by the escalating tensions between Israel and Lebanon, as well as the political changes in Japan, which could have broader implications for the global economy and the fertilizer market.
 Financials:
 Mosaic's financial performance has been mixed, with the company reporting a decline in revenue growth of 17% in the latest quarter. However, the company's profitability metrics, such as EBITDA margins and operating margins, remain relatively strong at 15.9% and 8.3%, respectively. The company's balance sheet appears healthy, with a current ratio of 1.155 and a manageable debt-to-equity ratio of 37.4%.
 Economic Outlook:
 The overall economic outlook for the U.S. and global markets remains uncertain, with the Federal Reserve expected to cut interest rates in the near term to support the slowing economy. This move could provide some relief for the fertilizer industry, but the ongoing geopolitical tensions and natural disasters may continue to create headwinds for Mosaic and its peers.</t>
  </si>
  <si>
    <t>Recent News:
 L3Harris Technologies' Aerojet Rocketdyne unit has seen a surge in business, with the company doubling its monthly production of motors for GMLRS rockets that are heavily used in the Ukraine conflict. This increased demand is driven by the need to supply Kyiv and rebuild shrinking U.S. stockpiles. Additionally, the company's investments into its rocket motor facilities have helped improve output after years of underinvestment and late deliveries.
 Financials:
 L3Harris' financial data shows a mixed picture. The company's stock price has seen a 36% increase over the past 52 weeks, outperforming the S&amp;P 500's 31% rise. However, the company's valuation metrics, such as a high trailing P/E ratio of 39 and a forward P/E ratio of 17, suggest that the stock may be overvalued. The company's profitability metrics, including a profit margin of 5.7% and a return on equity of 6.3%, are also relatively low compared to industry peers.
 Economic Outlook:
 The overall economic outlook remains uncertain, with signs of slowing growth in the U.S. economy, such as the weaker-than-expected October jobs report. The Federal Reserve is expected to respond with a rate cut, but there are debates within the central bank about the appropriate path forward. Additionally, the ongoing global conflicts and political uncertainty, including the 2024 U.S. presidential election, could have significant implications for the stock market and the aerospace and defense industry.</t>
  </si>
  <si>
    <t>Recent News:
 Brown-Forman Corporation, a leading global spirits and wine company, has maintained a strong market presence in the Distillers &amp; Vintners industry. The company's diverse portfolio of premium brands, including Jack Daniel's, Woodford Reserve, and Finlandia, has allowed it to navigate the competitive landscape.
 Financials:
 The latest financial data shows that Brown-Forman's trailing PEG ratio is not available, indicating that the company's growth prospects may not be easily quantifiable at the moment. This could be due to various factors, such as market volatility or ongoing strategic initiatives within the company.
 Economic Outlook:
 The Distillers &amp; Vintners industry is expected to face some challenges in the near term, given the mixed macroeconomic conditions and the potential impact of global conflicts and natural disasters. However, the industry's resilience and the continued consumer demand for premium spirits and wines may provide opportunities for well-positioned companies like Brown-Forman to capitalize on.</t>
  </si>
  <si>
    <t>Recent News:
 Nike Inc. (NYSE: NKE) has faced challenges this year, with its stock price declining by 22% amid slower global demand and a sales strategy shift that hasn't yielded expected results. However, the company's recent leadership changes and the upcoming 40th anniversary of the iconic Air Jordan brand could potentially turn around its stock performance.
 Financials:
 Nike's financial data shows a mixed picture. While the company's profitability metrics, such as profit margins and return on assets, remain relatively strong, its revenue growth has been negative, and its debt-to-equity ratio is high at 86.962. The company's valuation, as indicated by its forward P/E ratio of 24.09, suggests that the market is pricing in some uncertainty about its future performance.
 Economic Outlook:
 The broader economic environment remains uncertain, with the U.S. economy facing a mixed outlook. The Federal Reserve is expected to cut interest rates in the near term, which could provide some support for the stock market. However, the ongoing global conflicts, natural disasters, and political uncertainty could continue to weigh on investor sentiment and market performance.</t>
  </si>
  <si>
    <t>Recent News:
 The J.M. Smucker Company (The) has faced some challenges in the recent past, with the company's stock price fluctuating in response to the mixed economic conditions and global events. The ongoing conflicts and political instability in various regions around the world, such as the escalating tensions between Israel and Lebanon, and the political changes in Japan, could potentially impact the company's operations and financial performance.
 Financials:
 The company's financial data shows a mixed picture. While the company has a relatively strong balance sheet, with a market capitalization of over $12 billion, its profitability metrics, such as profit margins and return on equity, are not exceptionally high. The company's dividend yield of 3.83% is also relatively low compared to its historical average.
 Economic Outlook:
 The U.S. economy is facing a mixed outlook, with signs of slowing growth and increasing global uncertainty. The Federal Reserve is expected to respond with a rate cut, but there are debates within the central bank about the appropriate path forward. This economic environment could have implications for the company's performance, as consumer spending and demand for its products may be affected.</t>
  </si>
  <si>
    <t>Recent News:
 Otis Worldwide (OTIS) reported its Q3 2024 results, which showed a miss on both earnings and revenue estimates. The company's performance was impacted by weak demand trends in China and EMEA, partially offset by stronger sales in the Americas and Asia Pacific regions. The company's 2024 outlook has also been revised downward.
 Financials:
 Otis Worldwide's financial data indicates a mixed picture. The company's stock price has fluctuated in the recent trading session, with the stock opening at $98.5 and reaching a high of $100.24. The company's dividend rate and yield are relatively low at $1.56 and 1.57%, respectively. The company's valuation metrics, such as forward P/E and PEG ratio, suggest that the stock may be fairly valued.
 Economic Outlook:
 The broader economic environment remains challenging, with signs of slowing growth and increased global uncertainty. The Federal Reserve is expected to cut interest rates in the near term, which could provide some support for the stock market. However, the upcoming U.S. presidential election and ongoing geopolitical tensions could continue to create volatility in the market.</t>
  </si>
  <si>
    <t>Recent News:
 Cisco Systems, Inc. (CSCO) has been receiving significant attention from investors lately, indicating strong interest in the company's prospects. The recent financial data provides a comprehensive overview of the firm's current standing.
 Financials:
 Cisco's financial metrics present a mixed picture. While the company's profitability ratios, such as profit margins and return on assets, are relatively strong, its debt-to-equity ratio is relatively high at 70.931, which could be a concern for some investors. Additionally, the company's revenue growth has been negative in the recent past, indicating potential challenges in the business environment.
 Economic Outlook:
 The broader economic landscape remains uncertain, with the Federal Reserve expected to cut interest rates in the near term to support the economy. This could provide some relief for Cisco, as it operates in the technology sector, which is often sensitive to changes in monetary policy. However, the ongoing global conflicts and political uncertainties may continue to create volatility in the stock market, which could impact Cisco's performance.</t>
  </si>
  <si>
    <t>Recent News:
 - CSX Corporation, a leading rail transportation company, has been navigating a mixed economic landscape in recent months. The company's performance has been impacted by the ongoing global conflicts, natural disasters, and political uncertainties that have affected the broader market.
 Financials:
 - CSX's financial data shows a mixed picture. While the company's revenue and profitability metrics, such as profit margins and EBITDA, remain relatively strong, there are some concerning signs, including a decline in the company's share price and a higher debt-to-equity ratio.
 - The company's valuation metrics, such as the forward P/E ratio and PEG ratio, suggest that the stock may be reasonably priced, but the overall market volatility and economic uncertainty could continue to weigh on the company's performance.
 Economic Outlook:
 - The U.S. economy is facing a mixed outlook, with signs of slowing growth and increasing global uncertainty. The Federal Reserve's expected interest rate cut could provide some support for the market, but the outcome of the upcoming U.S. presidential election and the resolution (or escalation) of global conflicts and natural disasters could have significant implications for the rail transportation industry and CSX's performance.</t>
  </si>
  <si>
    <t>Recent News:
 - The Israel-Lebanon conflict has escalated, with the Israel Defense Forces invading southern Lebanon and Iran attacking Israel with ballistic missiles. This regional instability could have broader implications for the global economy and financial markets.
 - The Japanese parliament has elected a new prime minister, Shigeru Ishiba, who has called for a snap election. This political change in Japan could lead to policy shifts and market uncertainty.
 - The Internet Archive suffered a major data breach, raising concerns about data privacy and security, which could affect investor sentiment in the technology sector and the broader stock market.
 Financials:
 Citizens Financial Group, a regional bank, has shown a mixed financial performance. The company's stock price has fluctuated in recent weeks, with a previous close of $42.12 and a current trading range between $41.81 and $42.94. The bank's dividend rate of $1.68 and dividend yield of 4.02% are relatively attractive, but its trailing P/E ratio of 16.4 and forward P/E ratio of 10.81 suggest potential valuation concerns.
 Economic Outlook:
 The U.S. economy is facing a mixed outlook, with signs of slowing growth, such as the weaker-than-expected October jobs report. The Federal Reserve is expected to respond with a rate cut, but there are debates within the central bank about the appropriate path forward. The upcoming U.S. presidential election and ongoing global conflicts could also have significant implications for the stock market.</t>
  </si>
  <si>
    <t>Recent News:
 eBay (EBAY) has faced some challenges in the recent quarter, as the company provided weaker-than-expected guidance for the upcoming holiday shopping season. Despite reporting better-than-expected earnings and revenues for the third quarter, the company's stock price has declined due to concerns about consumer demand and spending during the crucial holiday period.
 Financials:
 eBay's third-quarter 2024 results show a year-over-year increase in revenues and earnings, driven by its Focus Categories and geo-specific investments. The company's key financial metrics, such as earnings per share, revenue, and profit margins, have generally improved compared to the previous year and exceeded analyst estimates.
 Economic Outlook:
 The broader economic landscape remains mixed, with signs of slowing growth and increasing global uncertainty. The Federal Reserve is expected to cut interest rates in response to these developments, which could provide some support for the stock market. However, the outcome of the upcoming U.S. presidential election and the resolution (or escalation) of global conflicts and natural disasters could significantly impact the market's performance in the coming months.</t>
  </si>
  <si>
    <t>Recent News:
 - The Israel Defense Forces have invaded southern Lebanon, escalating the conflict between Israel and Hezbollah. This development in the Middle East could have implications for the overall stability in the region and potentially impact the U.S. stock market.
 - The Japanese parliament has elected Shigeru Ishiba as the new prime minister, leading to a snap election that could result in policy changes and market uncertainty in Japan, potentially affecting the U.S. stock market.
 - Iran has attacked Israel with ballistic missiles in response to Israel's offensive against Hezbollah in Lebanon, further escalating tensions in the Middle East.
 Financials:
 Elevance Health, a leading managed healthcare company, has shown a mixed financial performance in recent quarters. While the company's revenue growth has been modest at 5.4%, its earnings growth has declined by 20% year-over-year. The company's profitability metrics, such as profit margins and return on equity, have also been under pressure.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market.</t>
  </si>
  <si>
    <t>Recent News:
 Microchip Technology's second-quarter fiscal 2025 results are likely to reflect a demand slump and inventory correction, which could put pressure on the company's financial performance. However, the firm is expected to see growth in the AI and Aerospace sectors, which could provide some offset to the overall challenges.
 Financials:
 Microchip Technology's financial data shows a mixed picture. The company's stock price has declined over the past year, with the 52-week low at $71.77 and the 52-week high at $100.57. The company's valuation metrics, such as the forward P/E ratio of 22.88, suggest that the stock may be reasonably priced. However, the company's profitability metrics, including a trailing P/E ratio of 29.80 and a profit margin of 20.8%, indicate that the firm is facing some headwinds.
 Economic Outlook:
 The broader economic environment is also a factor to consider. The U.S. economy is facing a mixed outlook, with signs of slowing growth and increasing global uncertainty. The Federal Reserve is expected to cut interest rates, which could provide some support for the stock market. However, the upcoming U.S. presidential election and ongoing global conflicts could also impact the market's performance.</t>
  </si>
  <si>
    <t>Recent News: Delta Air Lines has been capitalizing on its sustainability initiatives and innovative strategies to drive growth. The company has made significant investments in sustainable aviation fuel and is working towards reducing its carbon footprint. Additionally, Delta's shareholder-friendly initiatives, such as dividend payments and share buybacks, have been well-received by investors.
 Financials: Delta's financial data shows a mixed picture. The company's stock price has been trading in the range of $57-$59, with a 52-week high of $59.19. However, the company's operating expenses have been a concern, as reflected in its relatively low profit margins of 7.71%. The company's debt-to-equity ratio of 186.78 is also on the higher side, which could be a potential risk factor.
 Economic Outlook: The overall economic outlook remains uncertain, with the Federal Reserve expected to cut interest rates in the near term. This could provide some support for the stock market, including the airline industry. However, the ongoing global conflicts and political uncertainties may continue to create volatility in the market.</t>
  </si>
  <si>
    <t>Recent News:
 DaVita HealthCare (DVA) reported its Q3 earnings, missing the Zacks Consensus Estimate of $2.76 per share by reporting $2.59 per share. This represents a year-over-year decline in earnings. The company cited higher patient care costs as the primary reason for the missed earnings.
 Financials:
 DaVita's financial data shows a mixed picture. The company's stock price has seen a significant increase of 79.3% over the past 52 weeks, outperforming the S&amp;P 500's 31.2% gain. However, the company's valuation metrics, such as the forward P/E ratio of 12.97, suggest that the stock may be fairly valued or even slightly undervalued.
 Economic Outlook:
 The overall economic outlook remains uncertain, with the Federal Reserve expected to cut interest rates in the near term to support the slowing economy. This could have a positive impact on the healthcare sector, as lower borrowing costs may benefit companies like DaVita. However, the ongoing global conflicts and political uncertainties could also introduce volatility and challenges for the industry.</t>
  </si>
  <si>
    <t>Recent News:
 The recent escalation of the Israel-Lebanon conflict and the political changes in Japan have raised concerns about the potential impact on the global economic and market environment. These geopolitical tensions, coupled with the weaker-than-expected U.S. jobs report, have contributed to increased volatility in the stock market.
 Financials:
 CoStar Group, a leading provider of commercial real estate information and analytics, has shown a mixed financial performance. The company's revenue growth of 10.9% and gross margins of 79.2% indicate strong underlying business fundamentals. However, the company's profitability metrics, such as a trailing P/E ratio of 172.62 and a forward P/E ratio of 64.73, suggest that the stock may be overvalued compared to its earnings potential.
 Economic Outlook:
 The U.S. economy is facing a mixed outlook, with the Federal Reserve expected to cut interest rates in response to the slowing job growth. This move could provide some support for the stock market, but the ongoing global conflicts and political uncertainties may continue to weigh on investor sentiment.</t>
  </si>
  <si>
    <t>Recent News:
 Simon Property Group (SPG) reported its Q3 2024 financial results, with funds from operations (FFO) per share missing the Zacks Consensus Estimate. The company's FFO of $2.84 per share fell short of the expected $3 per share, primarily due to higher interest expenses. However, the company's revenues showed a year-over-year increase, providing some support.
 Firm Financials:
 Simon Property's financial data indicates a mixed performance. The company's stock has seen fluctuations, with the share price ranging from $166.00 to $171.38 during the day. The dividend rate stands at $8.2, with a dividend yield of 4.89%. The company's valuation metrics, such as the trailing P/E ratio of 22.33 and the forward P/E ratio of 26.12, suggest that the stock may be fairly valued.
 Economic Outlook:
 The broader economic environment remains challenging, with signs of slowing growth and increased global uncertainty. The Federal Reserve is expected to cut interest rates in the near term, which could provide some support for the stock market. However, the upcoming U.S. presidential election and ongoing geopolitical tensions could introduce further volatility and uncertainty in the market.</t>
  </si>
  <si>
    <t>Recent News:
 The Health Care Technology industry has faced a mixed landscape in recent months. While the sector has seen advancements in emerging technologies, such as the successful recovery and capture of a SpaceX Starship booster, the broader economic uncertainty and global conflicts have created challenges for some companies.
 Financials:
 Solventum, a leading player in the Health Care Technology industry, has reported a mixed financial performance. The company's stock has seen fluctuations, with the share price ranging between $72.36 and $73.82 in recent trading sessions. The company's trailing P/E ratio of 30.965813 and forward P/E ratio of 12.962433 suggest that the stock may be fairly valued, but the market is cautious about the company's future prospects.
 Economic Outlook:
 The overall economic outlook for the U.S. is uncertain, with signs of slowing growth and the Federal Reserve expected to cut interest rates in the near future. The upcoming U.S. presidential election and ongoing global conflicts could also have significant implications for the market, which may impact Solventum's performance.</t>
  </si>
  <si>
    <t>Recent News:
 - Tapestry (TPR) is expected to report earnings next week, with Wall Street anticipating earnings growth.
 - The stock has hit a 52-week high, and investors are wondering if the run can continue.
 - Tapestry's share price jumped 13.5% in a recent session, but the latest trend in earnings estimate revisions suggests the strength may not continue.
 Financials:
 - Tapestry's financial data shows a mixed picture, with the stock trading at a forward P/E ratio of 9.93 and a trailing P/E ratio of 13.42.
 - The company has a dividend yield of 2.98% and a payout ratio of 40%.
 - Tapestry's profitability metrics, such as profit margins and return on assets and equity, are relatively strong.
 Economic Outlook:
 - The overall economic environment remains uncertain, with concerns about slowing job growth and the potential impact of global conflicts and natural disasters.
 - The Federal Reserve is expected to cut interest rates, which could provide some support for the stock market.
 - The upcoming U.S. presidential election and its potential impact on economic policies could also affect Tapestry's performance.</t>
  </si>
  <si>
    <t>Recent News:
 The recent news surrounding Take-Two Interactive (TTWO) has been a mix of both positive and negative developments. On the positive side, investors have been heavily searching for information about the company, indicating strong interest. However, analysts are forecasting a decline in earnings for the upcoming quarter, which could be a concern for investors.
 Financials:
 Take-Two's financial data shows a mixed picture. The company's stock has seen some volatility, with the share price fluctuating between $160.83 and $164.40 during the recent trading session. The company's valuation metrics, such as the forward P/E ratio of 20.81, suggest that the stock may be reasonably priced. However, the company's profitability metrics, including negative profit margins, could be a cause for concern.
 Economic Outlook:
 The broader economic environment is also a factor to consider. The U.S. economy is facing a mixed outlook, with signs of slowing growth and increasing global uncertainty. The Federal Reserve is expected to cut interest rates, which could provide some support for the stock market. However, the upcoming U.S. presidential election and ongoing global conflicts could also impact the market's performance.</t>
  </si>
  <si>
    <t>Recent News:
 Yum! Brands, the parent company of popular fast-food chains like KFC, Taco Bell, and Pizza Hut, is set to report its third-quarter 2024 earnings. Analysts expect the company to report a decline in earnings, as inflation-weary consumers have been choosing to dine out less. This is evident from the recent performance of Sapphire Foods India, the operator of KFC and Pizza Hut restaurants in the country, which posted a surprise quarterly loss.
 Firm Financials:
 Yum! Brands' stock has been trading in the range of $123.6 to $143.2 over the past 52 weeks. The company's financial data shows a mixed picture, with a trailing P/E ratio of 24.19 and a forward P/E ratio of 21.11, suggesting the stock may be fairly valued. The company's dividend yield of 2.03% and payout ratio of 46.7% are also noteworthy.
 Economic Outlook:
 The overall economic landscape remains uncertain, with signs of slowing growth in the U.S. economy. The Federal Reserve is expected to cut interest rates in the coming weeks, which could provide some support for the stock market. However, the outcome of the 2024 U.S. presidential election and the resolution (or escalation) of global conflicts and natural disasters could have significant implications for the market's performance.</t>
  </si>
  <si>
    <t>Recent News:
 Xylem Inc. (XYL), a leading provider of water technology solutions, reported its Q3 2024 earnings results. While the company's earnings per share met analyst estimates, its revenues missed expectations. However, the company saw a year-over-year increase in organic revenues, driven by strong performances in its Measurement &amp; Control and Water Infrastructure segments.
 Financials:
 Xylem's financial data shows a mixed picture. The company's stock price has fluctuated in recent trading, with the share price declining on the day of the earnings release. Key financial metrics, such as profit margins, return on assets, and return on equity, suggest the company is performing reasonably well, but there are concerns about the revenue miss and the impact on the stock price.
 Economic Outlook:
 The broader economic environment remains challenging, with signs of slowing growth and ongoing global uncertainties. The Federal Reserve's expected interest rate cut could provide some support for the market, but the outcome of the U.S. presidential election and the resolution (or escalation) of global conflicts and natural disasters will be critical factors in the medium-term outlook.</t>
  </si>
  <si>
    <t>Recent News:
 The U.S. stock market has been volatile in recent weeks, with the major indices fluctuating in response to mixed economic news. The latest jobs report showed a significant slowdown in job creation, raising concerns about the economic outlook. Additionally, ongoing global conflicts, natural disasters, and political uncertainty continue to impact the market environment.
 Financials:
 Truist Financial, a diversified bank, has shown a mixed financial performance. The company's profitability has been impacted, with negative profit margins and a trailing EPS of -$4.86. However, Truist Financial maintains a strong balance sheet, with a healthy cash position and a manageable debt load. The company's dividend yield of 4.86% and a forward P/E ratio of 10.84 suggest potential value for investors.
 Economic Outlook:
 The Federal Reserve is expected to respond to the economic challenges by cutting interest rates at its next meeting. This move could provide some support for the stock market, including Truist Financial. However, the outcome of the upcoming U.S. presidential election and the resolution (or escalation) of global conflicts and natural disasters will be crucial factors in determining the medium-term outlook for the market.</t>
  </si>
  <si>
    <t>Recent News:
 - The Israel-Lebanon conflict has escalated, with the Israel Defense Forces invading southern Lebanon and Iran attacking Israel with ballistic missiles. This regional instability could have broader implications for the global economy and the stock market.
 - The Japanese parliament has elected a new prime minister, Shigeru Ishiba, who has called for a snap election. This political change in Japan may lead to policy shifts and market uncertainty.
 - The Internet Archive suffered a major data breach, raising concerns about data privacy and security, which could affect investor sentiment in the technology sector and the broader stock market.
 Financials:
 Trimble Inc. is a leading provider of electronic equipment and instruments, operating in the Electronic Equipment &amp; Instruments industry. The company's recent financial data shows a mixed performance, with a trailing P/E ratio of 10.02 and a forward P/E ratio of 20.27, indicating potential growth opportunities. However, the company's revenue growth has been negative at -12.4% in the latest quarter.
 Economic Outlook:
 The U.S. economy is facing a mixed outlook, with signs of slowing growth and increasing global uncertainty. The Federal Reserve is expected to cut interest rates in the near future, which could provide some support for the stock market. However, the upcoming U.S. presidential election and ongoing global conflicts may continue to create volatility and uncertainty in the market.</t>
  </si>
  <si>
    <t>Recent News:
 Xcel Energy (XEL) reported its third-quarter earnings, missing both revenue and earnings estimates. The company's revenue and earnings per share fell short of Wall Street's expectations, despite adding new customers and seeing increasing demand from data centers. However, Xcel Energy remains committed to its long-term investment plans, announcing a $45 billion investment in 2025-2029 to support its growth and sustainability initiatives.
 Financials:
 Xcel Energy's financial data shows a mixed picture. The company's stock price has seen a 10.12% increase over the past 52 weeks, outperforming the S&amp;P 500's 31.21% rise. However, the company's trailing P/E ratio of 19.79 and forward P/E ratio of 17.41 suggest that the stock may be fairly valued or slightly overvalued compared to the industry average. Additionally, Xcel Energy's debt-to-equity ratio of 154.33 is relatively high, which could be a concern for investors.
 Economic Outlook:
 The overall economic outlook for the U.S. is mixed, with signs of slowing growth and increasing global uncertainty. The Federal Reserve is expected to cut interest rates in the near term, which could provide some support for the stock market. However, the upcoming U.S. presidential election and ongoing geopolitical tensions could introduce additional volatility and uncertainty in the market.</t>
  </si>
  <si>
    <t>Recent News:
 Wynn Resorts (WYNN) is gearing up to report its Q3 2024 earnings, and analysts are closely watching the company's key metrics beyond just revenue and earnings per share (EPS). Projections suggest that Wynn may have seen improvements in areas like EBITDA, profit margins, and cash flow during the quarter, which could signal a positive trajectory for the company.
 Financials:
 Wynn Resorts' recent financial data shows a mixed picture. The stock has seen some volatility, with the share price fluctuating between $95.44 and $97.53 over the past trading session. The company's valuation metrics, such as a forward P/E ratio of 17.95 and a price-to-sales ratio of 1.49, suggest that the stock may be reasonably priced.
 However, Wynn's financial performance has been somewhat uneven, with a trailing P/E ratio of 12.33 and a dividend yield of just 1.05%. The company's profitability, as measured by its profit margins, has been relatively low at 12.22%.
 Economic Outlook:
 The broader economic environment remains challenging, with concerns about slowing job growth and the potential for further interest rate cuts by the Federal Reserve. Additionally, ongoing global conflicts and political uncertainty could continue to impact the gaming and hospitality industry, which Wynn Resorts operates in.
 Despite these headwinds, the long-term outlook for the U.S. economy and the stock market remains relatively positive, with the potential for continued growth and recovery. Investors will be closely watching Wynn's performance and management's guidance for insights into the company's ability to navigate the current economic landscape.</t>
  </si>
  <si>
    <t>Recent News:
 Prudential Financial (PRU) reported strong Q3 2024 earnings, with the company beating both revenue and earnings estimates. The results were driven by higher asset management fees, favorable underwriting, and improved net investment spread. However, the company also faced higher expenses during the quarter.
 Financials:
 Prudential's financial data shows a mixed picture. The company's stock price has seen a 32% increase over the past 52 weeks, outperforming the broader market. The company's dividend yield of 4.29% is also attractive, and its payout ratio of 45.86% suggests a sustainable dividend policy.
 However, the company's valuation metrics, such as a forward P/E ratio of 8.26 and a PEG ratio of 1.02, suggest that the stock may not be significantly undervalued. Additionally, the company's profitability metrics, including a return on equity of 13.77% and a return on assets of 0.45%, are relatively modest.
 Economic Outlook:
 The broader economic environment remains challenging, with signs of slowing growth and increased global uncertainty. The Federal Reserve is expected to cut interest rates in the near term, which could provide some support for the stock market. However, the upcoming U.S. presidential election and ongoing geopolitical tensions could introduce additional volatility.</t>
  </si>
  <si>
    <t>Recent News:
 PPL Corporation (PPL) reported its Q3 2024 earnings, beating the Zacks Consensus Estimate. The company's earnings per share came in at $0.42, compared to $0.39 expected. This represents a slight year-over-year decline from $0.43 per share in the same period last year. The company's Q3 results are expected to benefit from increased transmission investments and ongoing savings in operation and maintenance costs.
 Financials:
 PPL's financial data shows a mixed picture. The company's stock price has fluctuated in recent trading sessions, with the share price ranging from a low of $31.47 to a high of $33.075. The company's dividend yield of 3.26% is relatively attractive, but its payout ratio of 91.22% raises some concerns about the sustainability of the dividend. Additionally, the company's trailing P/E ratio of 28.43 and forward P/E ratio of 17.25 suggest that the stock may be fairly valued or slightly overvalued.
 Economic Outlook:
 The broader economic environment remains uncertain, with signs of slowing growth and increasing global uncertainty. The Federal Reserve is expected to cut interest rates in the near term, which could provide some support for the stock market. However, the upcoming U.S. presidential election and ongoing global conflicts and natural disasters could continue to create volatility and uncertainty in the market.</t>
  </si>
  <si>
    <t>Recent News:
 Paramount Global-B (PARA) is expected to beat earnings estimates in its upcoming report. The company possesses the right combination of factors that typically lead to an earnings beat, including strong financial performance and positive analyst sentiment.
 Financials:
 Paramount Global's recent financial data shows a mixed picture. The company's stock has seen some volatility, with the share price fluctuating between $10.72 and $11.00 in the past trading session. However, the company's financial metrics, such as a low forward P/E ratio of 7.42 and a high dividend yield of 1.82%, suggest potential value for investors.
 Economic Outlook:
 The broader economic environment remains uncertain, with concerns about slowing growth and the potential impact of global conflicts and natural disasters. The Federal Reserve's upcoming decision on interest rates could also have implications for the stock market, including Paramount Global's performance.</t>
  </si>
  <si>
    <t>Recent News: PG&amp;E (PCG) is set to report its upcoming earnings next week, and Wall Street expects the company to show earnings growth. This suggests that the market is anticipating positive financial performance from PG&amp;E in the recent quarter.
 Financials: PG&amp;E's recent financial data indicates a mixed picture. The company's stock price has been trading in the range of $19.99 to $20.38, with a previous close of $20.22. The company's dividend rate is $0.04, and its dividend yield is 0.2%. PG&amp;E's valuation metrics, such as a trailing P/E ratio of 17.13 and a forward P/E ratio of 13.54, suggest that the stock may be reasonably valued. However, the company's high debt-to-equity ratio of 228.68% and negative free cash flow of -$6.31 billion raise some concerns about its financial stability.
 Economic Outlook: The broader economic environment remains mixed, with signs of slowing growth and ongoing global uncertainties. The Federal Reserve is expected to cut interest rates in the near term, which could provide some support for the stock market. However, the upcoming U.S. presidential election and geopolitical events could introduce additional volatility and uncertainty in the market.</t>
  </si>
  <si>
    <t>Recent News:
 The PNC Financial Services Group (PNC) has been underperforming its sector so far this year, with the stock lagging behind its peers like The Bank of New York Mellon Corporation (BK). This underperformance could be attributed to the mixed economic outlook and the ongoing global uncertainties that have impacted the broader financial sector.
 Financials:
 PNC's recent financial data shows a mixed picture. The company's stock has a previous close of $188.27 and a 52-week range of $118.56 to $196.64. The stock's forward P/E ratio of 12.47 suggests that it may be undervalued compared to its peers. However, the company's dividend yield of 3.42% and payout ratio of 52.83% indicate a relatively high dividend payout, which could be a concern for some investors.
 Economic Outlook:
 The U.S. economy is facing a mixed outlook, with signs of slowing growth and increasing global uncertainty. The Federal Reserve is expected to respond with a rate cut, but there are debates within the central bank about the appropriate path forward. This economic environment could have a significant impact on the performance of financial stocks like PNC, as their profitability is closely tied to interest rates and economic conditions.</t>
  </si>
  <si>
    <t>Recent News:
 Analysts estimate that The Williams Companies, Inc. (WMB) is expected to report a decline in earnings in its upcoming financial report. This prediction suggests that the company may face some challenges in the current economic environment.
 Financials:
 The latest financial data for Williams Companies shows a mixed picture. The company's stock has seen some volatility, with the share price fluctuating between $51.50 and $52.84 in recent trading. The company's dividend yield of 3.69% and a forward P/E ratio of 24.21 suggest that the stock may be fairly valued.
 Economic Outlook:
 The overall economic outlook remains uncertain, with concerns about slowing growth and the potential impact of global conflicts and natural disasters. The Federal Reserve's expected interest rate cut could provide some support for the market, but the outcome of the upcoming U.S. presidential election and the resolution of geopolitical tensions will be key factors in determining the market's performance in the coming months.</t>
  </si>
  <si>
    <t>Recent News:
 Public Service Enterprise Group (PSEG) is set to report its Q3 earnings. The company's results are likely to benefit from above-normal weather patterns, which could boost its performance. However, higher operating and maintenance expenses for restoration are expected to have partially hurt its earnings.
 Firm Financials:
 PSEG's recent financial data shows a mixed picture. The company's stock has seen a 38.54% increase in the past 52 weeks, outperforming the S&amp;P 500's 31.21% rise. However, the company's trailing P/E ratio of 26.46 and forward P/E ratio of 21.24 suggest that the stock may be overvalued compared to its peers. Additionally, the company's debt-to-equity ratio of 136.26 is relatively high, indicating a higher financial risk.
 Economic Outlook:
 The overall economic outlook remains uncertain, with signs of slowing growth and increasing global uncertainty. The Federal Reserve is expected to cut interest rates in the near term, which could provide some support for the stock market. However, the upcoming U.S. presidential election and ongoing global conflicts could have significant implications for the market's performance.</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</si>
  <si>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a new prime minister, Shigeru Ishiba, who has called for a snap election. This leadership change in Japan could lead to policy changes and market uncertainty,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A. O. Smith's financial data shows a mixed picture. The company's profitability metrics, such as profit margins and return on assets and equity, are relatively strong. However, the company's revenue growth has been negative, and its earnings growth has also declined. Additionally, the company's debt-to-equity ratio is relatively high, which could be a concern for investors.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</si>
  <si>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Shigeru Ishiba as the new prime minister, with the Liberal Democratic Party forming the majority. The new prime minister has called for a snap election, which could lead to policy changes and market uncertainty in Japan, potentially affecting the US stock market.
 - Iran has attacked Israel with ballistic missiles in response to Israel's offensive against Hezbollah in Lebanon. This further escalation of tensions in the Middle East could have broader geopolitical and economic implications, potentially impacting the US stock market.
 Financials:
 Weyerhaeuser, a leading Timber REIT, has shown a mixed financial performance in recent quarters. The company's revenue has declined by 16.9% year-over-year, while its earnings growth has contracted by 88.2%. However, the company maintains a strong balance sheet, with a quick ratio of 1.27 and a current ratio of 2.01, indicating a healthy liquidity position.
 Economic Outlook:
 The US economy is facing a mixed outlook, with signs of slowing growth and increasing global uncertainty. The Federal Reserve is expected to respond with a rate cut, but there are debates within the central bank about the appropriate path forward. The upcoming US presidential election and global political events could also have significant implications for the market.</t>
  </si>
  <si>
    <t>Recent News: Analysts are estimating that Halliburton (HAL) will report a decline in earnings in its upcoming report. This suggests that the company may face some challenges in the current market environment.
 Financials: Halliburton's recent financial data shows a mixed picture. The company's stock price has fluctuated in the past month, with a previous close of $27.74 and a current day high of $28.135. The company's dividend rate is $0.68, with a dividend yield of 2.46%. However, the company's trailing P/E ratio of 9.196 and forward P/E ratio of 8.094 suggest that the stock may be undervalued.
 Economic Outlook: The overall economic outlook remains uncertain, with concerns about slowing growth and the potential impact of global conflicts and natural disasters. The Federal Reserve is expected to cut interest rates in the near future, which could provide some support for the stock market.</t>
  </si>
  <si>
    <t>Recent News:
 Starbucks is facing a mix of challenges and opportunities under the leadership of new CEO Brian Niccol. The company is looking to return to its coffeehouse roots, with a focus on improving the customer experience, reducing wait times, and simplifying the menu. Niccol has outlined a turnaround plan that includes making it easier for customers to get their coffee, eliminating surcharges for non-dairy milk, and overhauling the company's U.S. locations.
 However, Starbucks is also grappling with declining sales in its key markets of the U.S. and China, as it faces increased competition from local upstarts and price-conscious consumers. The company's latest quarterly results missed analysts' expectations, and it has warned that its financial performance "does not reflect the strength of our brand."
 Financials:
 Starbucks' recent financial data shows a mixed picture. The company's stock price has fluctuated, with the share price ranging from a low of $71.55 to a high of $107.66 over the past 52 weeks. The company's trailing P/E ratio of 29.87 and forward P/E ratio of 25.29 suggest that the stock may be fairly valued.
 Starbucks' revenue and earnings have been under pressure, with the company reporting a 25% decline in EPS in its latest quarter compared to the prior year. The company's profitability metrics, such as profit margins and EBITDA margins, have also declined.
 Economic Outlook:
 The broader economic environment remains challenging, with concerns about slowing growth, rising interest rates, and geopolitical tensions. The Federal Reserve is expected to cut interest rates in response to the weaker-than-expected economic data, which could provide some support for the stock market.
 However, the upcoming U.S. presidential election and the ongoing global conflicts could introduce additional uncertainty and volatility in the market. Investors will also be closely watching the performance of the technology sector, which has been a bright spot in the market, as well as the impact of emerging technologies on the broader economy.</t>
  </si>
  <si>
    <t>Recent News:
 - General Mills, the packaged foods and cereals giant, has seen its stock price fluctuate in recent weeks, reflecting the mixed economic outlook and ongoing global uncertainties.
 - The company's latest financial data shows a relatively stable financial position, with a dividend yield of 3.52% and a forward P/E ratio of 14.52, suggesting the stock may be reasonably valued.
 - However, the company's earnings growth has been negative in the recent past, and the overall risk profile, as indicated by the various risk factors, is in the moderate range.
 Financials:
 - General Mills' financial performance has been mixed, with revenue growth declining by 1.2% and earnings growth contracting by 9.6% in the recent past.
 - The company's profitability metrics, such as profit margins and return on assets, are in the mid-range, indicating a moderately profitable business.
 - The company's balance sheet appears to be in a reasonable condition, with a debt-to-equity ratio of 139.8% and a quick ratio of 0.317, suggesting some liquidity concerns.
 Economic Outlook:
 - The overall economic environment remains uncertain, with the Federal Reserve expected to cut interest rates in the near term to support the slowing economy.
 - The upcoming U.S. presidential election and ongoing global conflicts could also introduce additional volatility and uncertainty in the market, which may impact the performance of General Mills and the broader packaged foods industry.</t>
  </si>
  <si>
    <t>Recent News:
 Ahead of Gilead's (GILD) Q3 2024 earnings report, Wall Street analysts have provided estimates for the company's key metrics. The consensus expectations suggest a decline in Gilead's earnings compared to the previous year. Additionally, the stock has been trending recently, and investors should be aware of the factors that could determine its prospects.
 Financials:
 Gilead Sciences' latest financial data shows a mixed performance. The company's stock price has fluctuated, with the latest closing price at $88.08, reflecting a 0.77% decline compared to the previous close. Gilead's financial metrics, such as profitability ratios, debt levels, and cash flow, suggest a relatively stable financial position, though some indicators like the high trailing P/E ratio may raise concerns.
 Economic Outlook:
 The broader economic environment remains uncertain, with signs of slowing growth and ongoing global conflicts. The Federal Reserve's monetary policy decisions, the outcome of the U.S. presidential election, and the resolution (or escalation) of geopolitical tensions could all have significant implications for Gilead and the broader biotechnology industry.</t>
  </si>
  <si>
    <t>Recent News:
 - Global Payments (GPN) reported Q3 earnings that missed Wall Street estimates, with earnings per share of $3.08 compared to the consensus estimate of $3.11. The company's profit fell nearly 13% due to higher costs.
 - Global Payments announced that it is selling its medical software company AdvancedMD to Francisco Partners, a technology-focused investment firm.
 - Analysts believe GPN's Q3 earnings are likely to have benefited from growing revenues from its Americas and Europe operations.
 Financials:
 - Global Payments' stock is currently trading at $103.71, with a 52-week range of $91.6 to $141.78.
 - The company has a market capitalization of $26.58 billion and an enterprise value of $42.04 billion.
 - GPN's financial metrics, such as profit margins, return on assets, and return on equity, suggest a mixed performance compared to industry peers.
 Economic Outlook:
 - The U.S. economy is facing a mixed outlook, with signs of slowing growth and increasing global uncertainty. The Federal Reserve is expected to cut interest rates in the near term, which could provide some support for the stock market.
 - However, the upcoming U.S. presidential election and ongoing global conflicts and natural disasters could introduce further volatility and uncertainty in the market.</t>
  </si>
  <si>
    <t>Recent News:
 Verizon Communications (VZ) has been the subject of mixed news and analyst opinions lately. While the company's dividend yield of 6.6% may appear attractive, there are concerns about the potential risks associated with the stock. Some analysts have upgraded their ratings on Verizon, citing the recent price dip as a buying opportunity, despite limited near-term upside due to the Frontier Communications deal. However, the company's increased debt and missed revenue estimates in the latest earnings report have led to market overreaction and a decline in the stock price.
 Financials:
 Verizon's financial data shows a mixed picture. The company's dividend payout ratio of 46.7% suggests that the dividend remains safe, despite recent declines in earnings and cash flow. The stock's valuation metrics, such as a forward P/E ratio of 8.74 and a price-to-book ratio of 1.81, indicate that the stock may be undervalued. However, the company's high debt-to-equity ratio of 182.6 and declining profitability metrics, such as a drop in earnings growth, are causes for concern.
 Economic Outlook:
 The broader economic environment remains uncertain, with signs of slowing growth and increased global tensions. The Federal Reserve's expected interest rate cut could provide some support for the stock market, but the outcome of the 2024 U.S. presidential election and the resolution (or escalation) of global conflicts could significantly impact Verizon's performance.</t>
  </si>
  <si>
    <t>Recent News:
 Ventas' Q3 2024 results reflect a year-over-year rise in revenues, with the total property same-store NOI improving on strong performance across the business segments. The company's Q3 funds from operations (FFO) were in line with the Zacks Consensus Estimate, and Ventas has slightly raised the lower end of its annual FFO per share forecast, expecting continued strong performance from its assisted living and senior housing properties.
 Financials:
 Ventas, a leading healthcare real estate investment trust (REIT), has shown a mixed financial performance in recent quarters. The company's key financial metrics, such as revenue, FFO, and profitability, have been relatively stable, with some improvements observed in the latest quarter. However, the company's debt levels remain elevated, which could be a concern for investors.
 Economic Outlook:
 The overall economic outlook for the healthcare REIT industry remains cautiously optimistic, with the sector expected to benefit from the aging population and the increasing demand for healthcare services. However, the industry is also facing challenges, such as the ongoing impact of the COVID-19 pandemic and the potential for rising interest rates, which could affect the company's cost of capital and profitability.</t>
  </si>
  <si>
    <t>Recent News:
 - The Israel Defense Forces have invaded southern Lebanon, escalating the conflict between Israel and Hezbollah. This could have significant implications for the overall stability in the Middle East region, potentially impacting the US stock market.
 - The Japanese parliament has elected Shigeru Ishiba as the new prime minister, who has called for a snap election. This political change in Japan could lead to policy shifts and market uncertainty, potentially affecting the US stock market.
 - Iran has attacked Israel with ballistic missiles in response to Israel's offensive against Hezbollah in Lebanon, further escalating tensions in the Middle East.
 Financials:
 GE Vernova, a leading player in the Heavy Electrical Equipment industry, has shown a mixed financial performance. The company's trailing P/E ratio of 71.34 and forward P/E ratio of 43.63 suggest that the stock may be overvalued compared to its earnings. However, the company's strong market capitalization of $82.99 billion and enterprise value of $77.59 billion indicate its significant market presence.
 Economic Outlook:
 The US economy is facing a mixed outlook, with signs of slowing growth and increasing global uncertainty. The Federal Reserve is expected to respond with a rate cut, but there are debates within the central bank about the appropriate path forward. The stock market has been volatile, with some sectors performing better than others, and the upcoming US presidential election and global political events could have significant implications for the market.</t>
  </si>
  <si>
    <t>Recent News:
 Freeport-McMoRan (FCX) has been attracting investor attention lately, as the copper miner continues to navigate the challenges and opportunities in the industry. The company's recent financial performance and management guidance have provided insights into its value proposition.
 Financials:
 Freeport-McMoRan's financial data shows a mixed picture. While the company's profitability metrics, such as profit margins and return on assets and equity, are relatively strong, its valuation ratios, including forward P/E and PEG, suggest the stock may be trading at a fair value range between $44.15 and $48.82. The company's dividend yield of 1.32% and payout ratio of 43.48% also provide some income potential for investors.
 Economic Outlook:
 The broader economic environment remains uncertain, with concerns about slowing growth, global conflicts, and the Federal Reserve's monetary policy decisions. These factors could impact the demand for copper and other commodities, which could in turn affect Freeport-McMoRan's performance. However, the long-term outlook for copper demand remains positive, driven by the transition to renewable energy and the electrification of the global economy.</t>
  </si>
  <si>
    <t>Recent News:
 Fox Corporation (FOXA) is set to report its Q1 2024 earnings soon. Analysts expect the company to face challenges, including lower volume of third-party content revenue and persistent inflation. However, the strong performance of Tubi, Fox's streaming platform, is seen as a positive factor for investors.
 Financials:
 Fox's recent financial data shows a mixed picture. The company's stock has been trading in the range of $41.78 to $42.17, with a previous close of $42.00. The dividend rate stands at $0.54, with a dividend yield of 1.29%. The company's valuation metrics, such as a forward P/E ratio of 11.57 and a price-to-sales ratio of 1.32, suggest that the stock may be reasonably valued.
 Economic Outlook:
 The broader economic environment remains uncertain, with concerns about slowing job growth and the potential for further interest rate cuts by the Federal Reserve. These macroeconomic factors could have an impact on Fox's performance and investor sentiment towards the stock.</t>
  </si>
  <si>
    <t>Recent News:
 Ahead of Franklin Resources' (BEN) Q4 earnings report, analysts are closely evaluating the company's key metrics to gain insights into its performance for the quarter ended September 2024. The latest reports suggest that Franklin Resources' fiscal fourth-quarter results are likely to reflect the impacts of improved AUM (Assets Under Management) balances, while rising expenses are expected to have created headwinds.
 Financials:
 Franklin Resources' recent financial data shows a mixed picture. The company's stock has seen some volatility, with the share price fluctuating between $20.68 and $21.045 during the day. The company's dividend rate stands at $1.24, with a dividend yield of 5.95%. However, the company's trailing P/E ratio of 12.94 and forward P/E ratio of 8.14 suggest that the stock may be undervalued.
 Economic Outlook:
 The broader economic environment remains uncertain, with the U.S. economy facing a mixed outlook. The latest jobs report showed a significant slowdown in job creation, and the Federal Reserve is expected to respond by cutting interest rates. Additionally, ongoing global conflicts, natural disasters, and political uncertainty could continue to impact the market.</t>
  </si>
  <si>
    <t>Recent News:
 W.W. Grainger (GWW) reported its Q3 2024 earnings, which missed both revenue and earnings per share estimates. The company's EPS of $9.87 fell short of the Zacks Consensus Estimate of $9.98 per share, though it was still higher than the $9.43 reported in the year-ago quarter. Grainger also provided an updated guidance for the full year 2024, expecting EPS in the range of $38.65-$39.35, compared to the previous guidance of $38.00-$39.50.
 Financials:
 W.W. Grainger's financial data shows a mixed picture. The company's stock price has seen a 44.05% increase over the past 52 weeks, outperforming the S&amp;P 500's 31.21% gain. However, the stock's valuation metrics, such as the forward P/E ratio of 26.18, suggest that it may be trading at a premium compared to its industry peers. Additionally, the company's debt-to-equity ratio of 83.325 is relatively high, which could be a concern for some investors.
 Economic Outlook:
 The overall economic outlook remains uncertain, with the U.S. economy facing a mixed outlook. The latest jobs report showed a significant slowdown in job creation, and the Federal Reserve is expected to respond by cutting interest rates at its next meeting. Additionally, the ongoing global conflicts and political uncertainty could continue to impact the stock market's performance in the near term.</t>
  </si>
  <si>
    <t>Recent News:
 - United Airlines has announced that it will be raising the spending requirements for customers to earn frequent flyer status next year. This move is in line with other major airlines' efforts to improve their loyalty programs and increase revenue.
 - The U.S. Department of Transportation has implemented new rules requiring airlines to automatically offer cash refunds to passengers for significantly delayed or canceled flights, rather than just providing vouchers.
 Financials:
 United Airlines' financial data shows a mixed picture. The company's stock price has been volatile, with a 52-week range of $36.23 to $81.35. The company's forward P/E ratio of 6.61 suggests that the stock may be undervalued, but its high debt-to-equity ratio of 291.68 raises concerns about its financial stability.
 Economic Outlook:
 The overall economic outlook for the airline industry remains uncertain. While the U.S. economy has shown signs of slowing growth, the Federal Reserve is expected to cut interest rates, which could provide some support for the stock market. However, the ongoing global conflicts and political uncertainties could continue to impact the industry's performance.</t>
  </si>
  <si>
    <t>Recent News:
 Tyson Foods, a leading player in the Packaged Foods &amp; Meats industry, has faced a mixed landscape in recent months. The company's financial performance has been impacted by the ongoing global conflicts, natural disasters, and economic uncertainties. The escalating tensions between Israel and Lebanon, as well as the political changes in Japan, could potentially affect the global supply chain and consumer demand, which may have implications for Tyson Foods' operations.
 Financials:
 Tyson Foods' latest financial data shows a mixed picture. The company's revenue has grown modestly, but its profitability has been under pressure, with negative net income in the most recent quarter. The company's debt levels remain elevated, and its valuation metrics, such as the forward P/E ratio, suggest that the stock may be fairly valued or slightly overvalued compared to its peers.
 Economic Outlook:
 The broader economic outlook for the U.S. is also mixed, with signs of slowing growth and increasing global uncertainty. The Federal Reserve is expected to cut interest rates in the near term, which could provide some support for the stock market, but the ongoing geopolitical tensions and the upcoming U.S. presidential election could introduce additional volatility and uncertainty.</t>
  </si>
  <si>
    <t>Recent News:
 Vistra Corp. (VST), a nuclear power company, has outperformed every stock in the S&amp;P 500 so far this year, indicating a potential parabolic run. Analysts, however, estimate the company to report a decline in earnings in its upcoming report. The stock has also fallen amid a market uptick, raising concerns among investors.
 Financials:
 Vistra Corp. (VST) has a mixed financial profile. The company's stock has a high trailing P/E ratio of 87.875, suggesting it may be overvalued. However, its forward P/E ratio of 17.575 indicates potential undervaluation. The company's dividend yield of 0.74% is relatively low, and its payout ratio of 62.61% suggests limited room for dividend growth. Vistra's profitability metrics, such as profit margins and return on assets and equity, are also relatively low compared to industry peers.
 Economic Outlook:
 The overall economic outlook remains uncertain, with signs of slowing growth and increasing global uncertainty. The Federal Reserve is expected to cut interest rates, which could provide some support for the stock market. However, the upcoming U.S. presidential election and ongoing global conflicts and natural disasters could continue to impact the market's performance.</t>
  </si>
  <si>
    <t>Recent News:
 Vulcan Materials (VMC) reported weaker-than-expected Q3 earnings and revenues, as the company's performance was impacted by unfavorable weather conditions and cost inflation. The company's Q3 earnings of $2.22 per share missed the Zacks Consensus Estimate of $2.34 per share, and its revenues also fell short of expectations. The company also cut its 2025 outlook, citing the ongoing challenges in the market.
 Firm Financials:
 Vulcan Materials' recent financial data shows a mixed picture. The company's stock price has fluctuated, with the share price ranging from $270.27 to $275.40 during the day. The company's dividend rate stands at $1.84, with a dividend yield of 0.68%. Vulcan's valuation metrics, such as the forward P/E ratio of 29.62, suggest that the stock may be trading at a premium compared to the industry average.
 Economic Outlook:
 The broader economic environment remains challenging, with signs of slowing growth and increased global uncertainty. The Federal Reserve is expected to cut interest rates in the near term, which could provide some support for the stock market. However, the upcoming U.S. presidential election and ongoing geopolitical tensions could continue to create volatility and uncertainty in the market.</t>
  </si>
  <si>
    <t>Recent News:
 Stanley Black &amp; Decker (SWK) has faced some challenges in recent months. The company reported worse-than-expected results and narrowed its guidance, citing falling consumer demand and a slowdown in the auto sector. However, the company also reported that it beat earnings estimates in the third quarter, with earnings per share of $1.22 compared to the consensus estimate of $1.03.
 Financials:
 Stanley Black &amp; Decker's financial data shows a mixed picture. The company's stock has seen some volatility, with a 52-week range of $77.70 to $110.88. The company's profitability metrics, such as profit margins and return on assets, are relatively low, indicating some operational challenges. However, the company's balance sheet appears to be in decent shape, with a current ratio of 1.291 and a manageable debt-to-equity ratio of 79.081.
 Economic Outlook:
 The broader economic environment is facing some headwinds, with signs of slowing growth and increasing global uncertainty. The Federal Reserve is expected to cut interest rates in the near term, which could provide some support for the stock market. However, the upcoming U.S. presidential election and ongoing global conflicts could also introduce volatility and uncertainty in the market.</t>
  </si>
  <si>
    <t>Recent News:
 Ford Motor Company has faced several challenges in recent months, including pausing production of its F-150 Lightning electric pickup truck due to sluggish consumer demand for EVs and increased competition. The company has also announced plans to lower manager bonuses as it seeks to improve quality and lower costs. Additionally, Ford reported a lower third-quarter profit, hurt by ongoing challenges in the auto market, which sent its shares down in after-hours trading.
 Financials:
 Ford's financial data shows a mixed picture. The company's stock price has declined by around 0.9% over the past 52 weeks, underperforming the S&amp;P 500's 31.2% gain. However, Ford's forward P/E ratio of 5.68 suggests the stock may be undervalued. The company's profitability metrics, such as profit margins and return on equity, are relatively low compared to industry peers.
 Economic Outlook:
 The broader economic outlook remains uncertain, with concerns about slowing job growth, ongoing global conflicts, and the potential for further interest rate hikes by the Federal Reserve. These factors could continue to weigh on the performance of the automotive industry, including Ford.</t>
  </si>
  <si>
    <t>Recent News:
 The recent news surrounding Realty Income, a leading real estate investment trust (REIT) in the retail sector, has been mixed. While the company's healthy demand for its properties and diverse tenant base are expected to have benefited its Q3 earnings, there are also concerns about the broader macroeconomic outlook and its impact on the REIT industry. Investors remain skittish about REITs due to the uncertain economic environment.
 Financials:
 Realty Income's financial data shows a mixed picture. The company's stock has seen some volatility, with the share price fluctuating between $49.52 and $64.88 over the past 52 weeks. The company's dividend yield of 5.37% is attractive, but its payout ratio of 2.86 is relatively high. Additionally, the company's trailing P/E ratio of 54.52 and forward P/E ratio of 37.03 suggest that the stock may be overvalued compared to its peers.
 Economic Outlook:
 The broader economic outlook remains uncertain, with concerns about slowing job growth, the Federal Reserve's interest rate decisions, and the potential impact of global conflicts and natural disasters. These factors could have a significant impact on the REIT industry, including Realty Income. Investors will be closely watching the company's upcoming earnings report and any guidance it provides on its outlook.</t>
  </si>
  <si>
    <t>Recent News:
 Revvity (RVTY) is expected to report its Q3 earnings soon, and the consensus is that the company's earnings are likely to decline compared to the previous quarter. This news suggests that the company may be facing some challenges in its operations, which could impact its financial performance.
 Financials:
 Revvity's recent financial data shows a mixed picture. The company's stock has been trading in the range of $120-$124 per share, with a 52-week high of $128.15 and a 52-week low of $82.17. The company's valuation metrics, such as the forward P/E ratio of 23.46 and the price-to-sales ratio of 5.51, suggest that the stock may be trading at a premium compared to its peers.
 Economic Outlook:
 The broader economic environment remains uncertain, with concerns about slowing economic growth, rising interest rates, and geopolitical tensions. These factors could have a significant impact on the healthcare equipment industry, in which Revvity operates. The company's performance may be affected by these macroeconomic conditions, which could influence investor sentiment and the stock's performance.</t>
  </si>
  <si>
    <t>Recent News:
 AES Corporation (AES) reported its third-quarter earnings, which beat the Zacks Consensus Estimate by 18.3%. However, the company's revenues missed the consensus estimate by 9.3%. This mixed financial performance reflects the challenges faced by the Independent Power Producers &amp; Energy Traders industry.
 Firm Financials:
 AES' financial data shows a mixed picture. The company's stock price has declined by around 10% over the past 52 weeks, underperforming the S&amp;P 500 index. The company's valuation metrics, such as the forward P/E ratio of 7.14, suggest that the stock may be undervalued. However, the company's high debt-to-equity ratio of 352.879 and negative return on equity (-2.549%) raise concerns about its financial stability.
 Economic Outlook:
 The overall economic outlook remains uncertain, with the Federal Reserve expected to cut interest rates in the near term to support the slowing economy. Additionally, the ongoing global conflicts and political uncertainties could continue to impact the energy sector, which may affect AES' performance.</t>
  </si>
  <si>
    <t>Recent News:
 Sysco (SYY) reported its Q1 earnings, with the company missing Wall Street estimates. The company reported earnings of $1.09 per share, compared to the consensus estimate of $1.13 per share. This represents a slight year-over-year increase from the $1.07 per share reported in the same quarter last year.
 Financials:
 Sysco's recent financial data shows a mixed picture. The company's stock is trading at a forward P/E ratio of 15.22, which is lower than the industry average, suggesting potential undervaluation. However, the company's profit margins of 2.44% are relatively low compared to its peers. Additionally, Sysco's debt-to-equity ratio of 599.73 is significantly higher than the industry average, indicating a highly leveraged balance sheet.
 Economic Outlook:
 The overall economic environment remains challenging, with concerns about slowing job growth and the potential impact of global conflicts and natural disasters. The Federal Reserve is expected to cut interest rates in the near term, which could provide some support for the stock market. However, the upcoming U.S. presidential election and ongoing geopolitical tensions could introduce further uncertainty.</t>
  </si>
  <si>
    <t>Recent News:
 The industrial conglomerate 3M has been facing challenges in recent years, with the company struggling to maintain its profitability and market share. However, there are signs that the company may be turning a corner, as evidenced by its latest financial results.
 Financials:
 3M's financial data shows a mixed picture. While the company's revenue and earnings have been relatively stable, its profit margins and return on equity have been declining. The company's debt levels also remain high, which could be a concern for investors.
 Economic Outlook:
 The overall economic outlook for the industrial sector is uncertain, with concerns about slowing growth and the potential impact of global conflicts and natural disasters. The Federal Reserve's decision to cut interest rates may provide some support for the market, but the outcome of the upcoming U.S. presidential election could also have significant implications for the sector.</t>
  </si>
  <si>
    <t>Recent News:
 Public Storage's Q3 2024 results reflect lower realized annual rent per occupied square foot and a decline in occupancy compared to the previous year. The company's funds from operations (FFO) of $4.20 per share missed the Zacks Consensus Estimate of $4.25 per share, indicating weaker-than-expected performance.
 Firm Financials:
 Public Storage's financial data shows a mixed picture. The company's stock price has fluctuated in the recent trading session, with the stock opening at $330.12 and closing at $322.94. The company's dividend rate stands at $12.00, with a dividend yield of 3.71%. However, the company's trailing P/E ratio of 33.54 and forward P/E ratio of 30.39 suggest that the stock may be overvalued compared to its earnings.
 Economic Outlook:
 The broader economic environment remains uncertain, with signs of slowing growth and increasing global tensions. The Federal Reserve is expected to cut interest rates in the near term, which could provide some support for the stock market. However, the upcoming U.S. presidential election and ongoing geopolitical events could introduce further volatility and uncertainty in the market.</t>
  </si>
  <si>
    <t>Recent News:
 The latest macroeconomic data suggests a mixed outlook for the U.S. economy, with a significant slowdown in job growth and ongoing global conflicts and natural disasters posing challenges. The Federal Reserve is expected to respond by cutting interest rates, though there are debates within the central bank about the appropriate path forward. These economic and political developments could have implications for the stock market, including the Life &amp; Health Insurance industry.
 Financials:
 Principal Financial Group's recent financial data shows a mixed performance. The company's stock price has fluctuated in recent weeks, with the share price ranging from $82.14 to $83.39 during the day. The company's dividend rate and yield are relatively low compared to its five-year average, and its profitability metrics, such as profit margins and return on assets, are negative.
 Economic Outlook:
 The overall economic outlook for the U.S. is uncertain, with concerns about slowing growth and the potential impact of global events. The upcoming U.S. presidential election and the Federal Reserve's monetary policy decisions could also have significant implications for the stock market, including the Life &amp; Health Insurance industry.</t>
  </si>
  <si>
    <t>Recent News:
 APA Corporation (APA) is expected to report its Q3 earnings soon, and the company is not expected to deliver a positive earnings surprise. The market consensus suggests that APA's earnings may decline compared to the previous quarter.
 Firm Financials:
 APA's recent financial data shows a mixed picture. The company's stock has experienced volatility, with the share price fluctuating between $22.93 and $23.98 during the day. The company's dividend rate stands at $1.00, with a dividend yield of 4.33%. However, the company's trailing P/E ratio of 2.50 and forward P/E ratio of 6.69 suggest that the stock may be undervalued.
 Economic Outlook:
 The overall economic environment remains challenging, with concerns about slowing growth and global uncertainty. The Federal Reserve is expected to cut interest rates in the near future, which could provide some support for the stock market. However, the upcoming U.S. presidential election and ongoing geopolitical tensions may continue to impact the market's performance.</t>
  </si>
  <si>
    <t>Recent News:
 Smurfit WestRock (SW) stock has been one of the top performers in the S&amp;P 500 recently, following the release of the company's first quarterly results after the merger of Ireland's Smurfit Kappa and U.S.-based WestRock in July. However, the company's Q3 earnings and revenue missed analyst estimates, with earnings per share coming in at $0.48 compared to the consensus estimate of $0.71.
 Financials:
 Smurfit WestRock's financial data shows a mixed picture. The company's stock has a forward P/E ratio of 13.65, suggesting it may be undervalued. However, its profit margins are relatively low at 1.35%, and its debt-to-equity ratio is high at 77.36, indicating a significant debt burden. The company's dividend yield of 3.66% is also relatively low compared to its 5-year average of 3.29%.
 Economic Outlook:
 The overall economic outlook remains uncertain, with signs of slowing growth and increasing global uncertainty. The Federal Reserve is expected to cut interest rates, which could provide some support for the stock market. However, the upcoming U.S. presidential election and ongoing global conflicts and natural disasters could also impact the market's performance.</t>
  </si>
  <si>
    <t>Recent News:
 Qorvo, a leading semiconductor company, has faced a challenging fiscal second quarter, with its stock price plummeting by 29% since the company's latest earnings report. The chipmaker reported a surprising loss and warned of a continuing slowdown in its business, leading to a significant drop in its share price.
 The company's diversification strategy, which aimed to lessen its reliance on Apple, has not yet yielded the expected results. Qorvo's guidance for the third quarter was also below Wall Street estimates, as the company faces stiff competition and a consumer shift towards entry-tier smartphones.
 Financials:
 Qorvo's financial data shows a mixed picture. While the company's earnings per share for the second quarter beat estimates, its revenues declined year-over-year in several business verticals. The company's profit margins are also in negative territory, indicating profitability challenges.
 Economic Outlook:
 The broader economic landscape remains uncertain, with signs of slowing growth and increasing global uncertainty. The Federal Reserve's monetary policy decisions and the outcome of the U.S. presidential election could have significant implications for the semiconductor industry and Qorvo's performance.</t>
  </si>
  <si>
    <t>Recent News:
 Rockwell Automation (ROK) is expected to report its Q4 earnings soon, and the consensus is that the company's earnings are likely to decline compared to the previous year. This suggests that the company may be facing some challenges in the current economic environment.
 Financials:
 Rockwell Automation's recent financial data shows a mixed picture. The company's stock price has been volatile, with the share price fluctuating between $242.81 and $312.76 over the past 52 weeks. The company's financial ratios, such as the price-to-earnings (P/E) ratio and the price-to-sales (P/S) ratio, indicate that the stock may be overvalued compared to its peers.
 Economic Outlook:
 The overall economic outlook remains uncertain, with concerns about slowing growth, rising interest rates, and geopolitical tensions. These factors could have a significant impact on Rockwell Automation's business and financial performance in the coming months.</t>
  </si>
  <si>
    <t>Recent News:
 Coterra Energy (CTRA) reported weaker-than-expected third-quarter earnings, as the company's profits were impacted by lower oil and gas prices. The company's earnings per share of $0.32 missed the Zacks Consensus Estimate of $0.34 per share, compared to $0.50 per share a year ago.
 Financials:
 Coterra Energy's financial data shows a mixed picture. The company's stock has declined by 17.23% over the past 52 weeks, underperforming the S&amp;P 500's 31.21% increase. However, the company's valuation metrics, such as a forward P/E ratio of 9.54 and a price-to-book ratio of 1.28, suggest that the stock may be undervalued.
 Economic Outlook:
 The overall economic outlook remains uncertain, with concerns about slowing job growth and the potential impact of global conflicts and natural disasters. The Federal Reserve is expected to cut interest rates in the near term, which could provide some support for the stock market. However, the outcome of the 2024 U.S. presidential election and the resolution (or escalation) of global issues could significantly impact the market's performance in the medium to long term.</t>
  </si>
  <si>
    <t>Recent News:
 Analysts estimate that Consolidated Edison (ED) is expected to report a decline in earnings in its upcoming report. This suggests that the company may face some challenges in the near term. Investors should closely monitor the company's financial performance and any updates on the factors driving this expected decline.
 Financials:
 Consolidated Edison's recent financial data shows a mixed picture. The company's stock has seen some volatility, with the share price fluctuating between $99.57 and $102.025 over the past trading day. The company's dividend yield of 3.32% and payout ratio of 63.69% suggest a relatively stable dividend policy.
 However, the company's trailing P/E ratio of 19.42 and forward P/E ratio of 17.79 indicate that the stock may be fairly valued or slightly overvalued compared to its peers. Additionally, the company's debt-to-equity ratio of 123.19% raises some concerns about its financial leverage.
 Economic Outlook:
 The broader economic environment remains uncertain, with mixed signals from the latest economic data. The Federal Reserve is expected to cut interest rates in the near term, which could provide some support for the stock market. However, ongoing global conflicts, natural disasters, and political uncertainty may continue to weigh on investor sentiment and market performance.</t>
  </si>
  <si>
    <t>Recent News:
 Analysts are estimating that Corteva, Inc. (CTVA) will report a decline in earnings in its upcoming financial report. This expectation comes amid the mixed economic outlook and potential challenges facing the Fertilizers &amp; Agricultural Chemicals industry.
 Financials:
 Corteva's recent financial data shows a mixed picture. The company's stock has seen some volatility, with the share price fluctuating between $60.53 and $61.345 over the past trading session. The company's dividend yield of 1.12% and a payout ratio of 50.79% suggest a relatively stable dividend policy.
 However, the company's valuation metrics, such as a high trailing P/E ratio of 48.30 and a forward P/E ratio of 18.33, may indicate potential overvaluation concerns. Additionally, the company's profitability margins, including a profit margin of 5.31%, could be an area of focus for investors.
 Economic Outlook:
 The overall economic environment remains uncertain, with signs of slowing growth and potential interest rate cuts by the Federal Reserve. This backdrop, combined with ongoing global conflicts and political instability, could create headwinds for the Fertilizers &amp; Agricultural Chemicals industry, of which Corteva is a part.</t>
  </si>
  <si>
    <t>Recent News:
 Conagra Brands, a leading packaged foods company, has been navigating a challenging macroeconomic environment. The company's recent financial performance has been mixed, with some positive developments offset by ongoing concerns.
 Financials:
 Conagra's financial data shows a mixed picture. The company's stock price has been relatively stable, trading around $29 per share. However, the company's profitability metrics, such as profit margins and return on equity, have been under pressure. Additionally, the company's debt levels remain elevated, which could limit its financial flexibility.
 Economic Outlook:
 The broader economic outlook for the packaged foods industry is cautious. The recent slowdown in job growth and the Federal Reserve's expected interest rate cut suggest that the U.S. economy is facing some headwinds. This could impact consumer spending and potentially affect Conagra's sales and profitability.
 Furthermore, the ongoing global conflicts and political uncertainties, such as the escalating tensions between Israel and Lebanon, as well as the leadership changes in Japan, could have broader implications for the global economy and the stock market, which may indirectly impact Conagra's performance.</t>
  </si>
  <si>
    <t>Recent News:
 News Corp, the media conglomerate, has faced a mixed landscape in recent months. The company's publishing division, which includes prominent titles like The Wall Street Journal and The New York Post, has grappled with the ongoing challenges of the print media industry, including declining print advertising revenues. However, the company's digital initiatives, such as its growing digital subscriptions, have shown some promise.
 Financials:
 News Corp's financial performance has been relatively stable, with the company reporting a net income of $266 million in its most recent quarter. The company's revenue growth of 5.9% year-over-year suggests that it is navigating the industry's challenges reasonably well. However, its high debt-to-equity ratio of 45% and relatively high valuation metrics, such as a forward P/E ratio of 26.3, may raise some concerns for investors.
 Economic Outlook:
 The broader economic environment remains uncertain, with signs of slowing growth and ongoing global conflicts. The Federal Reserve's expected interest rate cut could provide some support for the stock market, but the outcome of the 2024 U.S. presidential election and the resolution (or escalation) of geopolitical tensions could significantly impact News Corp's performance in the medium to long term.</t>
  </si>
  <si>
    <t>Recent News:
 Caterpillar Inc. (CAT), a leading manufacturer of construction and mining equipment, has reported weaker-than-expected financial results for the third quarter of 2024. The company's earnings and revenues fell short of analysts' estimates, primarily due to decreased volumes in the Construction Industries and Resource Industries segments.
 The recent news highlights the challenges Caterpillar is facing, as the company grapples with a slowdown in industrial demand and a decline in sales. The construction equipment manufacturer warned about the future, indicating that the weak demand environment is likely to persist.
 Financials:
 Caterpillar's financial data shows a mixed picture. While the company's stock price has increased by 59.32% over the past 52 weeks, outperforming the S&amp;P 500's 31.21% gain, its recent financial performance has been disappointing. The company's earnings per share (EPS) of $5.17 for the third quarter missed the consensus estimate of $5.33, and its revenue of $16.1 billion was also below expectations.
 Economic Outlook:
 The broader economic outlook remains uncertain, with the U.S. economy facing a mixed outlook. The recent jobs report showed a significant slowdown in job creation, and the Federal Reserve is expected to respond by cutting interest rates. Additionally, the ongoing global conflicts, natural disasters, and political uncertainty could continue to impact the economic landscape and, consequently, Caterpillar's performance.</t>
  </si>
  <si>
    <t>Recent News:
 Carnival Corporation (CCL) has seen its stock price rise by 22.6% since its last earnings report, indicating that Wall Street is optimistic about the company's prospects. Analysts have been bullish on the stock, with some suggesting that there may still be room for further gains. The company's recent financial performance and the broader economic outlook will be key factors in determining the stock's future direction.
 Financials:
 Carnival's financial data shows a mixed picture. The company's stock is trading at a forward P/E ratio of 12.73, suggesting that it may be undervalued compared to its peers. However, the company's debt-to-equity ratio of 352.36 is quite high, which could be a concern for investors. Additionally, the company's free cash flow is negative, which may limit its ability to invest in growth initiatives or return capital to shareholders.
 Economic Outlook:
 The broader economic outlook remains uncertain, with concerns about slowing job growth and the potential for further interest rate hikes by the Federal Reserve. Additionally, geopolitical tensions and natural disasters could have a negative impact on the travel and tourism industry, which could affect Carnival's performance.</t>
  </si>
  <si>
    <t>Recent News:
 CenterPoint Energy (CNP) reported its Q3 2024 earnings, which missed both revenue and earnings estimates. The company generated revenues of $1.86 billion, down 0.2% year-over-year, and earnings per share of $0.31, falling short of the consensus estimate of $0.36. This performance reflects the ongoing challenges faced by the multi-utilities industry, as the company grapples with factors such as declining revenues and weaker-than-expected profitability.
 Financials:
 CenterPoint Energy's financial data shows a mixed picture. The company's stock is trading at a forward P/E ratio of 16.43, suggesting it may be reasonably valued. However, its debt-to-equity ratio of 188.83 is quite high, indicating a highly leveraged balance sheet. Additionally, the company's free cash flow is negative, which could be a concern for investors.
 Economic Outlook:
 The broader economic environment remains uncertain, with the U.S. economy facing a mixed outlook. The Federal Reserve is expected to cut interest rates in the near term, which could provide some support for the stock market. However, ongoing global conflicts, natural disasters, and political uncertainty could continue to weigh on investor sentiment and the overall market performance.</t>
  </si>
  <si>
    <t>Recent News:
 CDW, a leading provider of IT solutions, reported weaker-than-expected Q3 2024 earnings and revenues. The company's performance was affected by continued weakness across the Corporate and Public businesses, offset by a slight gain in the Small Business unit. CDW's Q3 earnings of $2.63 per share missed the Zacks Consensus Estimate of $2.84 per share, and its revenue also fell short of expectations due to reduced demand for hardware solutions as clients curtailed spending amid inflationary pressures.
 Firm Financials:
 CDW's financial data shows a mixed picture. The company's stock has declined by 10.73% in the past 52 weeks, underperforming the S&amp;P 500's 31.21% gain. The company's valuation metrics, such as a forward P/E ratio of 18.61 and a price-to-sales ratio of 1.21, suggest that the stock may be reasonably valued. However, the company's debt-to-equity ratio of 278.65% is relatively high, which could be a concern for investors.
 Economic Outlook:
 The broader economic environment remains challenging, with signs of slowing growth and increasing global uncertainty. The Federal Reserve is expected to cut interest rates in the near term, which could provide some support for the stock market. However, the upcoming U.S. presidential election and ongoing global conflicts and natural disasters could continue to create volatility and uncertainty in the market.</t>
  </si>
  <si>
    <t>Recent News:
 The recent news surrounding Archer Daniels Midland (ADM) suggests a mixed outlook for the company's upcoming Q3 earnings. Analysts project that the company's Agricultural Services &amp; Oilseeds segment may continue to face weak trends, potentially impacting the overall financial performance. Additionally, the company's stock has declined despite the broader market uptick, indicating some investor concerns.
 Financials:
 Archer Daniels Midland's financial data shows a mixed picture. The company's stock is trading at a price-to-earnings ratio of 10.88, suggesting it may be undervalued. However, the company's profit margins of 2.93% and return on equity of 10.75% are relatively low compared to industry peers. The company's debt-to-equity ratio of 52.87% also raises some concerns about its financial leverage.
 Economic Outlook:
 The broader economic outlook remains uncertain, with signs of slowing growth and increasing global tensions. The Federal Reserve's expected interest rate cut may provide some support for the market, but the outcome of the upcoming U.S. presidential election and the resolution (or escalation) of global conflicts could significantly impact the company's performance.</t>
  </si>
  <si>
    <t>Recent News:
 - The ongoing global conflicts, including the escalating tensions between Israel and Lebanon, as well as the political changes in Japan, could have potential implications for the broader economic and market environment, which may impact Digital Realty's performance.
 - The successful recovery and capture of a SpaceX Starship booster could signal further progress in the space industry, potentially driving investment in related sectors, including data centers.
 Financials:
 - Digital Realty, a leading data center REIT, has shown a mixed financial performance in recent quarters. While the company's revenue growth has been modest at 1.6%, its profitability has been impacted, with a significant decline in earnings growth of -96%.
 - The company's valuation metrics, such as the forward P/E ratio of 145.45 and the PEG ratio of -14.02, suggest that the stock may be overvalued compared to its growth prospects.
 - However, Digital Realty maintains a strong balance sheet, with a quick ratio of 1.6 and a relatively low debt-to-equity ratio of 79.825.
 Economic Outlook:
 - The U.S. economy is facing a mixed outlook, with signs of slowing growth and increasing global uncertainty. The Federal Reserve is expected to respond with a rate cut, but there are debates within the central bank about the appropriate path forward.
 - The upcoming U.S. presidential election and global political events could have significant implications for the market, which may impact Digital Realty's performance.</t>
  </si>
  <si>
    <t>Recent News:
 The recent news surrounding CVS Health (CVS) has been mixed. While the company is expected to report a decline in earnings for the third quarter of 2024, the stock has been underperforming the broader market gains. This suggests that investors may be concerned about the company's performance and future prospects.
 Financials:
 CVS Health's financial data shows a mixed picture. The company's stock has a relatively low trailing and forward P/E ratio, indicating that it may be undervalued. However, the company's debt-to-equity ratio is high, which could be a concern for investors. Additionally, the company's profitability metrics, such as profit margins and return on equity, are relatively low compared to industry peers.
 Economic Outlook:
 The overall economic outlook for the U.S. is uncertain, with signs of slowing growth and increasing global uncertainty. The Federal Reserve is expected to cut interest rates in the near term, which could provide some support for the stock market. However, the outcome of the 2024 U.S. presidential election and the resolution (or escalation) of global conflicts and natural disasters could have significant implications for the market's performance.</t>
  </si>
  <si>
    <t>Recent News:
 Molson Coors Brewing (TAP) is expected to report its Q3 earnings soon, and the consensus is that the company's earnings are likely to decline compared to the same period last year. This reflects the ongoing challenges faced by the brewing industry, including changing consumer preferences and increased competition from craft beer and other alcoholic beverages.
 Financials:
 Molson Coors' recent financial data shows a mixed picture. The company's stock price has fluctuated in the range of $49.19 to $69.18 over the past 52 weeks, with the current price around $54.47. The company's dividend yield of 3.2% is relatively low compared to its 5-year average of 2.65%. Additionally, the company's trailing P/E ratio of 10.09 and forward P/E ratio of 9.43 suggest that the stock may be undervalued compared to its peers.
 Economic Outlook:
 The overall economic outlook remains uncertain, with concerns about slowing growth, rising inflation, and the potential impact of global conflicts and natural disasters. These factors could continue to weigh on the brewing industry and Molson Coors' performance in the near term. However, the company's strong brand recognition and diversified product portfolio may help it navigate these challenges more effectively than some of its competitors.</t>
  </si>
  <si>
    <t>Recent News:
 Kraft Heinz Co (NASDAQ:KHC, ETR:KHNZ) has faced a delayed recovery, with the company reporting a 2.8% decline in net sales to $6.38 billion over the third quarter, underperforming analysts' expectations. The company's performance was impacted by inflation-battered consumers pulling back on pricey packaged foods, despite Kraft Heinz raising prices by 1.2 percentage points during the quarter. Analysts at Barclays have urged patience, suggesting that the company's long-term strategy may still pay off.
 Financials:
 Kraft Heinz's financial data shows a mixed picture. The company's stock has a relatively high trailing P/E ratio of 30.17, but a more reasonable forward P/E of 10.80. The dividend yield of 4.78% is also attractive. However, the company's revenue growth has been negative, and its profit margins, while positive, are relatively low at 5.24%. The company's balance sheet appears to be in reasonable shape, with a current ratio of 1.06 and a quick ratio of 0.45.
 Economic Outlook:
 The broader economic environment remains challenging, with the latest jobs report showing a significant slowdown in job creation, and ongoing global conflicts and natural disasters adding to the uncertainty. The Federal Reserve is expected to respond by cutting interest rates, but there are debates within the central bank about the appropriate path forward. These macroeconomic factors could continue to weigh on Kraft Heinz's performance in the near term.</t>
  </si>
  <si>
    <t>Recent News:
 The recent escalation of the Israel-Lebanon conflict and the ongoing political uncertainty in Japan have raised concerns about the potential impact on the global economy and the stock market. These geopolitical tensions could have broader implications for the household products industry, including Kimberly-Clark, as they may affect consumer sentiment and spending patterns.
 Financials:
 Kimberly-Clark's financial data shows a mixed picture. The company's stock price has been relatively stable, with a previous close of $134.18 and a 52-week range of $117.67 to $149.31. However, the company's profitability metrics, such as profit margins and return on equity, are relatively low compared to industry peers. Additionally, the company's debt-to-equity ratio is high, which could be a concern for investors.
 Economic Outlook:
 The U.S. economy is facing a mixed outlook, with signs of slowing growth and increasing global uncertainty. The Federal Reserve is expected to respond with a rate cut, but there are debates within the central bank about the appropriate path forward. This economic environment could impact consumer spending and demand for household products, potentially affecting Kimberly-Clark's performance.</t>
  </si>
  <si>
    <t>Recent News:
 - The Israel-Lebanon conflict has escalated, with the Israel Defense Forces invading southern Lebanon and expanding its conflict against Hezbollah. This could have significant implications for the overall stability in the Middle East region, potentially impacting the US stock market.
 - The Japanese parliament has elected a new prime minister, Shigeru Ishiba, who has called for a snap election. This leadership change in Japan could lead to policy changes and market uncertainty, potentially affecting the US stock market.
 - The Internet Archive suffered a breach of 31 million user passwords, followed by distributed denial-of-service attacks, rendering the site unusable for weeks. This cybersecurity incident could raise concerns about data privacy and security, potentially affecting investor sentiment in the technology sector and the broader US stock market.
 Financials:
 Dow Inc. is a leading global producer of commodity chemicals, with a diverse portfolio of products and a strong market presence. The company's recent financial performance has been mixed, with a decline in earnings growth (-28.6%) and a relatively high debt-to-equity ratio (95.059). However, the company's profitability metrics, such as profit margins (2.46%) and return on equity (5.86%), suggest that it is still generating positive cash flow and returns for shareholders.
 Economic Outlook:
 The overall economic outlook for the US is mixed, with signs of slowing growth and increasing global uncertainty. The Federal Reserve is expected to cut interest rates in the coming weeks, which could provide some support for the stock market. However, the outcome of the 2024 US presidential election and the resolution (or escalation) of global conflicts and natural disasters could have significant implications for the market's performance in the medium to long term.</t>
  </si>
  <si>
    <t>Recent News:
 Estée Lauder, the renowned skincare, makeup, and fragrance company, has faced significant challenges in recent weeks. The company reported weak quarterly earnings, leading to a 20% plunge in its stock price. The primary factors contributing to this decline include softness in the China market, weakness in the Asia travel retail segment, and the company's decision to withdraw its full-year guidance.
 Additionally, Estée Lauder announced the appointment of Stephane de la Faverie as its new Chief Executive Officer and President, effective January 1st. This leadership change has drawn mixed reactions from investors, with some hoping for a more sweeping transformation under an outsider's leadership.
 Financials:
 Estée Lauder's latest financial data paints a mixed picture. While the company's Q1 earnings beat estimates, its sales declined amid the challenges in China and the travel retail market. The company's dividend rate stands at $1.4, with a dividend yield of 2.1%. However, the company has recently cut its dividend, which could be a concern for investors.
 The company's valuation metrics, such as a forward P/E ratio of 23.12 and a price-to-sales ratio of 1.55, suggest that the stock may be trading at a premium compared to its industry peers. Additionally, the company's debt-to-equity ratio of 196.89 is relatively high, which could be a source of concern for some investors.
 Economic Outlook:
 The broader economic landscape remains uncertain, with signs of slowing growth and increased global tensions. The Federal Reserve is expected to cut interest rates in response to these developments, which could provide some support for the stock market. However, the outcome of the upcoming U.S. presidential election and the resolution (or escalation) of global conflicts could have significant implications for Estée Lauder and the broader personal care products industry.</t>
  </si>
  <si>
    <t>Recent News:
 MetLife's (MET) third-quarter earnings missed estimates due to higher expenses and a lower recurring interest margin in its Retirement &amp; Income Solutions (RIS) business. The company's Group Benefits unit also faced weakness, contributing to the overall earnings miss.
 Financials:
 MetLife's financial data shows a mixed picture. While the company's stock price has seen a 29.8% increase over the past 52 weeks, outperforming the S&amp;P 500's 31.2% gain, its recent quarterly earnings fell short of analyst expectations. The company's profitability metrics, such as profit margins and return on assets, are also relatively low compared to industry peers.
 Economic Outlook:
 The broader economic environment remains challenging, with signs of slowing growth and increased global uncertainty. The Federal Reserve's expected interest rate cut could provide some support for the stock market, but the outcome of the upcoming U.S. presidential election and the resolution (or escalation) of global conflicts and natural disasters could significantly impact MetLife's performance in the medium to long term.</t>
  </si>
  <si>
    <t>Recent News: Analysts are estimating that Match Group (MTCH) will report a decline in earnings in its upcoming report. This suggests that the company may be facing some challenges that could impact its financial performance.
 Financials: The latest financial data for Match Group shows a mixed picture. The company's stock has seen some volatility, with the share price fluctuating between $35.59 and $36.36 over the past trading session. The company's financial metrics, such as its price-to-earnings ratio, dividend yield, and profitability margins, indicate that it may be facing some headwinds.
 Economic Outlook: The broader economic environment remains uncertain, with concerns about slowing growth and the potential impact of global conflicts and natural disasters. The Federal Reserve's upcoming decision on interest rates could also have implications for the stock market, which may affect Match Group's performance.</t>
  </si>
  <si>
    <t>Recent News:
 - Australia has cancelled a multi-billion dollar military satellite project with Lockheed Martin, shifting its focus to a multi-orbit system instead.
 - Investors have punished Lockheed Martin stock for anemic sales growth in Q3, with the aerospace giant performing poorly in both its aerospace and space segments.
 - There is ongoing debate about whether the recent dip in Lockheed Martin's share price makes it an attractive investment, given the risk/reward outlook.
 Firm Financials:
 Lockheed Martin's financial data shows a mixed picture. While the company has a strong market capitalization of $128 billion and a relatively low beta of 0.47, indicating lower volatility, its stock price has been under pressure recently. The company's trailing P/E ratio of 19.72 and forward P/E of 19.43 suggest the stock may be fairly valued. However, the company's dividend yield of 2.42% and payout ratio of 45.6% provide some income potential for investors.
 Economic Outlook:
 The broader economic environment remains uncertain, with signs of slowing growth in the U.S. economy and ongoing global conflicts and political instability. The Federal Reserve's expected interest rate cut may provide some support for the stock market, but the outcome of the 2024 U.S. presidential election and the resolution (or escalation) of global issues could significantly impact Lockheed Martin's performance.</t>
  </si>
  <si>
    <t>Recent News:
 Live Nation Entertainment and its subsidiary Ticketmaster have failed to persuade a U.S. appeals court to block a proposed class action accusing them of charging artificially high ticket prices. This legal challenge could have significant implications for the company's pricing practices and profitability.
 Financials:
 Live Nation's recent financial data shows a mixed picture. While the company's stock price has been relatively strong, trading near its 52-week high, its financial ratios, such as the high debt-to-equity ratio and low profit margins, suggest potential challenges. The company's forward P/E ratio of 48.8 also indicates that the stock may be overvalued compared to its earnings potential.
 Economic Outlook:
 The broader economic environment remains uncertain, with concerns about slowing job growth and the potential for further interest rate hikes by the Federal Reserve. These macroeconomic factors could impact consumer spending and demand for live entertainment, which could in turn affect Live Nation's financial performance.</t>
  </si>
  <si>
    <t>Recent News:
 FirstEnergy (FE) reported weaker-than-expected Q3 2024 earnings and revenues, primarily due to higher storm restoration costs. The company, however, maintained its five-year capital expenditure plan, indicating its commitment to infrastructure investments.
 Financials:
 FirstEnergy's financial data shows a mixed picture. While the company's profitability metrics, such as profit margins and return on assets, are relatively strong, its debt levels are high, with a debt-to-equity ratio of 173.13. Additionally, the company's free cash flow is negative, which could be a concern for investors.
 Economic Outlook:
 The broader economic environment remains challenging, with signs of slowing growth and increased global uncertainty. The Federal Reserve's expected interest rate cut may provide some support for the stock market, but the outcome of the U.S. presidential election and the resolution (or escalation) of global conflicts could significantly impact the company's performance.</t>
  </si>
  <si>
    <t>Recent News:
 Eversource Energy (ES) is expected to post its Q3 2024 earnings soon. The company's results are anticipated to benefit from the closed sale of the Sunrise Wind project and higher electric distribution earnings. Analysts are generally positive about Eversource's upcoming earnings report, as the company is expected to deliver growth.
 Financials:
 Eversource Energy's recent financial data shows a mixed picture. The company's stock has seen some volatility, with the share price fluctuating between $63.58 and $66.22 over the past trading session. The company's dividend yield of 4.49% and payout ratio of 79.72% suggest a relatively stable and shareholder-friendly dividend policy.
 However, Eversource's profitability metrics are somewhat concerning, with negative profit margins and a trailing EPS of -$0.29. The company's debt-to-equity ratio of 193.36% is also relatively high, indicating a highly leveraged balance sheet.
 Economic Outlook:
 The broader economic environment remains uncertain, with the U.S. economy facing a mixed outlook. The latest jobs report showed a significant slowdown in job creation, and the Federal Reserve is expected to cut interest rates in response. Additionally, global conflicts, natural disasters, and political uncertainty continue to create volatility and challenges for the market.
 These macroeconomic factors could have implications for Eversource Energy's operations and financial performance, as the company's business is closely tied to the broader economic conditions.</t>
  </si>
  <si>
    <t>Recent News:
 Huntington Ingalls Industries (HII), the largest military shipbuilder in the U.S., has faced some challenges in recent quarters. The company's Q3 2024 earnings and revenues fell short of market expectations, with revenues declining 2.4% year-over-year. The company also cut its five-year free cash flow forecast, citing uncertainty around a submarine contract, supply chain disruptions, and the loss of experienced workers.
 Financials:
 Huntington Ingalls' financial data shows a mixed picture. The company's stock price has declined by around 19% over the past 52 weeks, underperforming the S&amp;P 500 index. However, the company's valuation metrics, such as a forward P/E ratio of 11.4 and a price-to-book ratio of 1.76, suggest that the stock may be undervalued compared to its peers.
 Economic Outlook:
 The broader economic environment remains challenging, with concerns about slowing job growth, the Federal Reserve's interest rate decisions, and ongoing global conflicts and natural disasters. These factors could continue to weigh on the performance of the defense and aerospace industry, including Huntington Ingalls.</t>
  </si>
  <si>
    <t>Recent News:
 - News Corp (Class B) is a media and information services company operating in the Publishing industry. The company has faced some challenges in recent months, with the ongoing global conflicts and economic uncertainty impacting the broader media landscape.
 Financials:
 - The company's financial data shows a mixed picture, with a relatively high trailing P/E ratio of 63.21, indicating that the stock may be overvalued. However, the company's dividend yield of 0.69% and payout ratio of 43.48% suggest that it is still generating steady cash flow.
 - The company's profitability metrics, such as profit margins and return on assets and equity, are relatively low, indicating that it may be struggling to maintain its competitive edge.
 Economic Outlook:
 - The overall economic outlook for the Publishing industry remains uncertain, with the potential for continued volatility and uncertainty in the coming months. The Federal Reserve's expected interest rate cut and the ongoing global conflicts could have a significant impact on the industry's performance.</t>
  </si>
  <si>
    <t>Recent News:
 Viatris, a global pharmaceutical company, has faced some challenges in recent months. The company's stock price has been volatile, with shares trading around $11.60 as of the latest data. This volatility can be attributed to a mix of factors, including the ongoing global economic uncertainty and the company's own operational and financial performance.
 Financials:
 Viatris' financial data shows a mixed picture. The company's profitability has been a concern, with negative profit margins and a trailing EPS of -$0.54. However, the company's revenue remains relatively stable, and it has a strong balance sheet with a significant cash position and manageable debt levels. The company's dividend yield of 4.13% may also be attractive to some investors.
 Economic Outlook:
 The broader economic environment remains uncertain, with signs of slowing growth and ongoing global conflicts. The Federal Reserve's monetary policy decisions and the outcome of the upcoming U.S. presidential election could have significant implications for the pharmaceutical industry and Viatris' performance.</t>
  </si>
  <si>
    <t>Recent News:
 The latest news on Invesco (IVZ) suggests that the asset management firm is facing some challenges. The company's earnings have been declining, with a 40.1% drop in earnings per share reported in the most recent quarter. This decline is attributed to the ongoing market volatility and the impact of global conflicts on the investment landscape.
 Financials:
 Invesco's financial data shows a mixed picture. While the company's revenue growth has been positive at 5.1%, its profitability has been under pressure, with a negative profit margin of -3%. The firm's debt-to-equity ratio of 5.597 also raises some concerns about its financial leverage.
 Economic Outlook:
 The broader economic outlook remains uncertain, with the Federal Reserve expected to cut interest rates in the near term to support the slowing economy. This could have implications for the asset management industry, as lower interest rates may impact the firm's ability to generate returns for its clients.
 Additionally, the upcoming U.S. presidential election and the ongoing global conflicts, such as the escalating tensions between Israel and Lebanon, could introduce further volatility and uncertainty in the market, potentially affecting Invesco's performance.</t>
  </si>
  <si>
    <t>Recent News:
 Altria's Q3 2024 results were mixed, with the company beating earnings expectations but facing ongoing challenges in its core cigarette business. The company reported 1.3% net revenue growth and 7.8% adjusted EPS growth, driven by strong pricing and demand for its smoke-free products like NJOY. However, cigarette shipment volumes remain soft, and the company is facing headwinds from macroeconomic pressures and the rise of illegal e-vapor alternatives.
 Altria has announced a cost-saving initiative called "Optimize &amp; Accelerate," which is expected to save the company at least $600 million over the next five years. This initiative, along with the company's focus on expanding its smoke-free product offerings, could help offset the decline in its traditional cigarette business.
 Financials:
 Altria's financial data shows a mixed picture. The company has a high dividend yield of 7.57% and a low trailing P/E ratio of 9.1, suggesting potential value. However, the company's free cash flow per share growth is negative, indicating that the current valuation may not be fully justified.
 Economic Outlook:
 The broader economic outlook remains uncertain, with signs of slowing growth and increasing global tensions. The Federal Reserve is expected to cut interest rates in the near term, which could provide some support for the stock market. However, the upcoming U.S. presidential election and ongoing geopolitical events could introduce additional volatility and uncertainty.</t>
  </si>
  <si>
    <t>Recent News:
 - Boeing is facing several challenges, including a strike by its machinists union, production issues with the 737 MAX aircraft, and ongoing financial struggles. The company has announced a $19 billion stock offering to shore up its finances.
 - The strike by Boeing's machinists union has been a significant issue, with the union rejecting previous contract offers. However, the union has now endorsed a sweetened contract deal that includes a 38% pay increase over four years.
 - Boeing has also been grappling with quality control problems and delivery delays, which have impacted its commercial aircraft business. The company's defense and space division has also been underperforming.
 - The upcoming U.S. presidential election could also have implications for Boeing, as the potential policies of the new administration could affect the aerospace and defense industry.
 Financials:
 - Boeing's financial performance has been weak, with the company reporting a net loss of $6.1 billion in the third quarter. The company's revenue, profitability, and cash flow have all been negatively impacted by the various challenges it is facing.
 - The company's balance sheet has also been strained, with a significant amount of debt and a declining cash position. The $19 billion stock offering is aimed at strengthening the company's financial position.
 - Boeing's valuation metrics, such as the forward P/E ratio and price-to-sales ratio, suggest that the stock is currently trading at a discount compared to its historical levels.
 Economic Outlook:
 - The broader economic environment remains uncertain, with concerns about slowing growth, rising interest rates, and geopolitical tensions. These factors could continue to weigh on the aerospace and defense industry, including Boeing.
 - However, the expected interest rate cut by the Federal Reserve and the potential resolution of some of the company's internal issues could provide some support for Boeing's stock in the near term.</t>
  </si>
  <si>
    <t>Recent News:
 D.R. Horton, a leading homebuilder, has faced a challenging quarter, with its fiscal fourth-quarter earnings and sales missing analysts' expectations. The company reported weaker-than-expected results, with earnings per share falling 11.9% year-over-year. This disappointing performance has led analysts to slash their forecasts for the company.
 The recent earnings miss and the company's 2025 guidance have also weighed on the stock, with D.R. Horton's shares plunging on the news, leading to the stock's worst day since March 2020. The homebuilding industry as a whole has been roiled by the ongoing affordability challenges, which have delayed home purchases and impacted the sector's performance.
 Financials:
 D.R. Horton's financial data shows a mixed picture. The company's valuation remains relatively undemanding, with a forward P/E ratio of 12.4x and a P/B ratio of 2.3x. However, the company's earnings growth and revenue growth have been negative, indicating a challenging operating environment.
 Economic Outlook:
 The broader economic landscape remains uncertain, with the U.S. economy facing a mixed outlook. The latest jobs report showed a significant slowdown in job creation, and the Federal Reserve is expected to respond by cutting interest rates. This, coupled with ongoing global conflicts, natural disasters, and political uncertainty, suggests that the economic environment is becoming more challenging, which could further impact the homebuilding industry and D.R. Horton's performance.</t>
  </si>
  <si>
    <t>Recent News:
 Southwest Airlines' management expects non-fuel unit costs to increase in the 11-13% band in fourth-quarter 2024 from fourth-quarter 2023's actuals, indicating continued cost pressure for the company. Additionally, Southwest Airlines was ordered by a federal appeals court to face a lawsuit by its pilots union, which accused the carrier of violating federal law by intimidating and disciplining pilots for affiliating with the union.
 Financials:
 Southwest Airlines' financial data shows a mixed picture. The company's stock has a forward P/E ratio of 19.012, suggesting it may be fairly valued. However, the company's profitability metrics, such as profit margins (-0.17%) and return on equity (-0.447%), are concerning. The company's free cash flow is also negative, indicating potential liquidity issues.
 Economic Outlook:
 The broader economic outlook remains uncertain, with signs of slowing growth and increasing global uncertainty. The Federal Reserve is expected to cut interest rates, which could provide some support for the stock market. However, the upcoming U.S. presidential election and ongoing global conflicts and natural disasters could continue to impact the market's performance.</t>
  </si>
  <si>
    <t>Recent News:
 Walgreens Boots Alliance (WBA) has faced several challenges in the recent past, including the ongoing impact of the COVID-19 pandemic on its retail operations and the competitive pressures in the drug retail industry. The company has been working to streamline its operations and focus on its core pharmacy business, but the latest financial data suggests that it is still struggling to maintain profitability.
 Financials:
 The latest financial data for Walgreens Boots Alliance shows a mixed picture. While the company's revenue has grown by 6% year-over-year, its profitability has been under pressure, with a negative profit margin of -5.85% and a trailing EPS of -$10.01. The company's balance sheet also appears to be strained, with a high debt-to-equity ratio of 277.9% and a quick ratio of only 0.332, indicating potential liquidity concerns.
 Economic Outlook:
 The overall economic outlook for the drug retail industry remains challenging, with the Federal Reserve expected to cut interest rates in the near term to support the slowing economy. Additionally, the ongoing global conflicts and political uncertainties could further impact consumer spending and the overall market sentiment, which could have a negative effect on Walgreens Boots Alliance's performance.</t>
  </si>
  <si>
    <t>Recent News:
 Dollar Tree (DLTR) stock closed 1.84% lower in the latest trading session, underperforming the broader market. This decline can be attributed to the mixed economic signals and ongoing global uncertainties that have been weighing on the retail sector.
 Firm Financials:
 The latest financial data for Dollar Tree shows a mixed picture. While the company's market capitalization stands at $14.3 billion and it has a relatively low forward P/E ratio of 10.99, its profitability metrics, such as profit margins (-3.44%) and return on equity (-12.98%), are concerning. Additionally, the company's debt-to-equity ratio of 146.32 is quite high, indicating a highly leveraged balance sheet.
 Economic Outlook:
 The U.S. economy is facing a mixed outlook, with signs of slowing growth and increasing global uncertainty. The Federal Reserve is expected to cut interest rates in the near future, which could provide some support for the stock market. However, the upcoming U.S. presidential election and ongoing geopolitical tensions could introduce further volatility and uncertainty in the market.</t>
  </si>
  <si>
    <t>Recent News:
 Caesars Entertainment Inc (NASDAQ:CZR) reported a surprise third-quarter loss of 4 cents per share, compared to the expected profits of 12 cents per share. This disappointing earnings result has led to a 9.2% drop in the company's stock price, closing at $41.13. The key metrics in the earnings report suggest that Caesars Entertainment is facing increased competition, construction disruptions, and higher expenses, which have impacted its financial performance.
 Financials:
 Caesars Entertainment's financial data shows a mixed picture. The company's stock has a forward P/E ratio of 28.84, indicating that it may be overvalued compared to its earnings potential. However, the company's price-to-sales ratio of 0.74 suggests that it may be undervalued relative to its revenue. The company's debt-to-equity ratio of 599.43 is also quite high, indicating a significant level of financial leverage.
 Economic Outlook:
 The broader economic environment remains challenging, with signs of slowing growth and increased global uncertainty. The Federal Reserve is expected to cut interest rates in the coming weeks, which could provide some support for the stock market. However, the outcome of the upcoming U.S. presidential election and the resolution (or escalation) of global conflicts and natural disasters could have significant implications for the casino and gaming industry, and Caesars Entertainment in particular.</t>
  </si>
  <si>
    <t>Recent News:
 The recent resignation of Ernst &amp; Young as the auditor for Super Micro Computer (SMCI) has sent shockwaves through the market, causing the stock to plummet by over 35%. The auditor cited concerns about the company's financial reporting and its inability to rely on management's representations. This is the second time in less than two years that Super Micro has lost its auditor, raising significant doubts about the accuracy of its financial statements.
 Financials:
 Super Micro's financial data paints a mixed picture. The company's revenue growth has been strong, with a 43% increase year-over-year. However, its profitability metrics, such as profit margins and return on equity, are relatively low compared to industry peers. Additionally, the company's free cash flow and operating cash flow have been negative, indicating potential liquidity concerns.
 Economic Outlook:
 The broader economic environment remains challenging, with slowing job growth, ongoing global conflicts, and political uncertainty. The Federal Reserve is expected to cut interest rates in response to these concerns, which could provide some support for the stock market. However, the impact on Super Micro's business and the technology sector as a whole remains uncertain.</t>
  </si>
  <si>
    <t>Recent News: Warner Bros. Discovery (WBD) may report negative earnings in its upcoming earnings release next week. The company's financial data suggests it may not have the right combination of factors to deliver a positive earnings surprise.
 Financials: The company's recent financial data shows a mixed picture. While the stock has a forward P/E ratio of -68.58, indicating potential undervaluation, it also has a high debt-to-equity ratio of 115.663, suggesting financial leverage. Additionally, the company's profitability metrics, such as return on assets and return on equity, are negative, indicating ongoing challenges.
 Economic Outlook: The broader economic environment remains uncertain, with concerns about slowing growth and the potential impact of global conflicts and natural disasters. The Federal Reserve's monetary policy decisions and the outcome of the U.S. presidential election could also have significant implications for the media and entertainment industry, in which Warner Bros. Discovery operates.</t>
  </si>
  <si>
    <t>Recent News:
 Analysts have estimated that Moderna (MRNA) is expected to report a decline in earnings in its upcoming financial report. This comes as the company's stock price has already dropped significantly, with a 46% decline so far this year and a 56% drop in the past three months. The decline in the stock price is largely attributed to concerns about the company's vaccine business.
 Firm Financials:
 Moderna's recent financial data shows a mixed picture. The company's market capitalization stands at $20.99 billion, with a forward P/E ratio of -6.44. However, the company's profitability metrics, such as profit margins (-1.16%) and return on equity (-40.94%), are negative, indicating ongoing challenges. Additionally, the company's free cash flow and operating cash flow are both negative, suggesting potential liquidity concerns.
 Economic Outlook:
 The broader economic environment remains uncertain, with signs of slowing growth and increasing global tensions. The Federal Reserve is expected to cut interest rates in the near future, which could provide some support for the stock market. However, the upcoming U.S. presidential election and ongoing geopolitical conflicts could introduce further volatility and uncertainty in the market.</t>
  </si>
  <si>
    <t>Recent News:
 The renewable energy sector has seen a flurry of activity in recent weeks. The successful recovery and capture of a SpaceX Starship booster, a significant technological advancement, could have positive implications for the space industry and potentially impact related sectors, including renewable energy. Additionally, the 2024 Kazakh nuclear power referendum could have implications for the country's energy policies and potentially affect global energy markets.
 Economic Outlook:
 The economic outlook for the independent power and renewable electricity producers sector is generally positive, as the global shift towards sustainable energy sources continues. The ongoing conflicts and natural disasters, such as the Spain floods, could drive increased demand for renewable energy solutions as countries seek to diversify their energy mix and enhance energy security. However, the broader economic slowdown and potential interest rate cuts by the Federal Reserve may pose some challenges for the sector.
 Political Challenges:
 The political landscape remains a key factor for the renewable energy sector. The outcome of the 2024 U.S. presidential election could have significant implications for the sector, as the candidates' policy proposals and approaches to energy and environmental management may differ. Additionally, the escalating tensions in the Middle East, particularly the conflict between Israel and Lebanon, could impact global energy markets and potentially affect the renewable energy sector.
 Recent Technology Developments:
 The renewable energy sector has been at the forefront of technological advancements, with continued progress in areas such as solar, wind, and energy storage. The successful recovery and capture of a SpaceX Starship booster, a significant milestone in the space industry, could have positive implications for the development and deployment of renewable energy technologies, particularly in remote or hard-to-reach areas.</t>
  </si>
  <si>
    <t>Recent News:
 The semiconductor industry has been closely watched in recent weeks, with the latest developments in the ongoing global conflicts and natural disasters potentially impacting the sector. The successful recovery and capture of a SpaceX Starship booster, a significant technological advancement, could have positive implications for the space industry and potentially impact related sectors, including semiconductors.
 Economic Outlook:
 The semiconductor industry is closely tied to the broader economic performance, and the mixed signals from the latest economic data, such as the weaker-than-expected jobs report, suggest a more challenging environment. However, the continued strength of the technology sector, led by companies like Nvidia, indicates that the semiconductor industry may be able to weather the economic headwinds better than some other sectors.
 Political Challenges:
 The upcoming U.S. presidential election could have significant implications for the semiconductor industry, as the candidates' policy proposals and approaches to economic management may differ. Additionally, the ongoing geopolitical tensions, such as the escalating conflict between Israel and Lebanon, could potentially disrupt global supply chains and impact the semiconductor industry.
 Recent Technology Developments:
 The semiconductor industry has been at the forefront of technological advancements, with companies like Nvidia leading the way in areas such as artificial intelligence and high-performance computing. The successful recovery and capture of a SpaceX Starship booster, a significant milestone in the space industry, could also have positive implications for the semiconductor sector, as it may drive further investment and innovation in related technologies.</t>
  </si>
  <si>
    <t>Recent News:
 The professional services sector has faced a mixed landscape in recent months. While the overall economy has shown signs of slowing, with the October jobs report indicating a significant slowdown in job creation, the professional services industry has remained relatively resilient. Firms in this sector have continued to see steady demand for their services, particularly in areas such as management consulting, legal services, and accounting.
 Economic Outlook:
 The economic outlook for the professional services sector is cautiously optimistic. Despite the broader economic headwinds, the industry is expected to maintain its growth trajectory, driven by the ongoing need for specialized expertise and advisory services. As businesses navigate the challenges posed by global conflicts, natural disasters, and political uncertainty, the demand for professional services is likely to remain strong.
 Political Challenges:
 The upcoming U.S. presidential election in 2024 could present some political challenges for the professional services sector. Depending on the policy proposals and approaches of the candidates, the industry may face changes in regulations, tax policies, or government contracting opportunities. However, the sector's diversified client base and adaptability to changing market conditions may help it navigate these potential political headwinds.
 Recent Technology Developments:
 The professional services sector has been embracing technological advancements to enhance its service offerings and improve operational efficiency. The successful recovery and capture of a SpaceX Starship booster, for example, could lead to increased demand for engineering and consulting services related to the space industry. Additionally, the growing adoption of artificial intelligence and data analytics tools within the sector is expected to drive productivity and innovation.</t>
  </si>
  <si>
    <t>Recent News:
 The health care technology sector has seen some notable developments in recent weeks. The Internet Archive, a major digital library, suffered a significant data breach, affecting 31 million user passwords. This incident has raised concerns about data privacy and security, which could have broader implications for the technology industry, including health care-related companies.
 Economic Outlook:
 The overall economic outlook for the health care technology sector appears relatively stable, despite the mixed signals in the broader U.S. economy. The sector has historically demonstrated resilience, as the demand for innovative health care solutions remains strong, driven by factors such as an aging population and the ongoing need for improved medical technologies.
 Political Challenges:
 The political landscape, particularly the upcoming U.S. presidential election, could have implications for the health care technology sector. Depending on the policy proposals and priorities of the candidates, the regulatory environment and funding for research and development in this sector may be affected.
 Recent Technology Developments:
 The health care technology sector has continued to witness advancements in areas such as artificial intelligence, telemedicine, and medical devices. The successful recovery and capture of a SpaceX Starship booster, a significant milestone in the space industry, could also have indirect positive implications for the development of cutting-edge medical technologies that rely on space-based research and applications.</t>
  </si>
  <si>
    <t>Recent News:
 The pharmaceutical sector has faced a mixed landscape in recent months. While the industry continues to grapple with the ongoing impact of the COVID-19 pandemic, there have been some positive developments, such as the approval of several new drug treatments for various medical conditions. However, the sector has also been impacted by political challenges, including ongoing debates around drug pricing and healthcare policy reforms.
 Economic Outlook:
 The economic outlook for the pharmaceutical sector remains cautiously optimistic. The global demand for healthcare services and pharmaceutical products is expected to remain strong, driven by factors such as an aging population, the rise of chronic diseases, and the continued development of innovative therapies. Additionally, the sector has demonstrated resilience during economic downturns, as the demand for essential medical treatments tends to be less sensitive to macroeconomic conditions.
 Political Challenges:
 The pharmaceutical industry has faced increasing scrutiny and pressure from policymakers and regulators regarding drug pricing and access to affordable healthcare. The upcoming U.S. presidential election could have significant implications for the sector, as the candidates' policy proposals on healthcare and drug pricing may differ significantly. Additionally, ongoing global conflicts and political instability in certain regions could impact the supply chain and distribution of pharmaceutical products.
 Recent Technology Developments:
 The pharmaceutical sector has been at the forefront of technological advancements, with the increased adoption of digital health solutions, the development of personalized medicine, and the utilization of artificial intelligence and machine learning in drug discovery and development. These technological innovations have the potential to improve patient outcomes, streamline clinical trials, and enhance the overall efficiency of the industry.</t>
  </si>
  <si>
    <t>Recent News:
 The electric utilities sector has faced a mixed landscape in recent months. While the overall economy has shown signs of slowing, the electric utilities industry has remained relatively stable. The recent announcement of the successful recovery and capture of a SpaceX Starship booster could signal further progress in the space industry, which may have indirect implications for the energy sector, as advancements in space technology could lead to new innovations in renewable energy and power generation.
 Economic Outlook:
 The economic outlook for the electric utilities sector appears relatively positive, despite the broader economic challenges. The sector is typically considered a defensive investment, as demand for electricity remains relatively stable even during economic downturns. Additionally, the ongoing shift towards renewable energy sources, such as solar and wind power, could provide growth opportunities for electric utilities that are able to adapt and invest in these emerging technologies.
 Political Challenges:
 The political landscape, particularly the upcoming U.S. presidential election, could have implications for the electric utilities sector. Depending on the policy proposals and priorities of the candidates, the sector may face changes in regulations, tax incentives, or environmental standards, which could impact the industry's profitability and growth prospects.
 Recent Technology Developments:
 The electric utilities sector has been undergoing a technological transformation, with advancements in areas such as smart grid technologies, energy storage solutions, and the integration of renewable energy sources. The successful recovery and capture of a SpaceX Starship booster, while not directly related to the electric utilities industry, could signal further progress in the space industry, which may lead to new innovations that could benefit the energy sector in the long run.</t>
  </si>
  <si>
    <t>Recent News:
 The health care equipment and supplies sector has faced some challenges in recent weeks, with the Internet Archive breach raising concerns about data privacy and security in the broader technology landscape. However, the sector has also seen some positive developments, such as the successful launch of the Europa Clipper spacecraft, which could lead to advancements in medical technology and research.
 Economic Outlook:
 The overall economic outlook for the health care equipment and supplies sector is cautiously optimistic. While the slowdown in job growth and the Federal Reserve's expected interest rate cut may create some headwinds, the sector's fundamental demand drivers, such as an aging population and the ongoing need for medical devices and supplies, remain strong. Additionally, the continued advancements in emerging technologies, such as artificial intelligence and renewable energy, could have positive implications for the sector.
 Political Challenges:
 The upcoming U.S. presidential election could have significant implications for the health care sector, as the candidates' policy proposals and approaches to healthcare management may differ. Investors will be closely watching the election outcome and any potential changes to healthcare regulations or funding.
 Recent Technology Developments:
 The successful recovery and capture of a SpaceX Starship booster is a significant technological advancement that could have positive implications for the space industry, including potential applications in the health care sector. Additionally, the continued progress in artificial intelligence and data analytics could lead to advancements in medical diagnostics, treatment, and patient monitoring.</t>
  </si>
  <si>
    <t>Recent News:
 The life sciences tools and services sector has seen mixed performance in recent weeks, with some companies reporting strong financial results while others have faced challenges. The successful launch and recovery of the SpaceX Starship booster, a significant technological advancement, could have positive implications for the space industry and potentially impact related sectors, including life sciences tools and services.
 Economic Outlook:
 The overall economic outlook for the life sciences tools and services sector remains relatively positive, despite the mixed signals in the broader U.S. economy. The sector has historically demonstrated resilience during economic downturns, as the demand for medical research, drug development, and diagnostic tools remains relatively stable. However, the potential impact of global conflicts, natural disasters, and political uncertainty on supply chains and research budgets could pose some risks to the sector's performance.
 Political Challenges:
 The upcoming U.S. presidential election and the ongoing geopolitical tensions in various regions around the world could introduce some political challenges for the life sciences tools and services sector. Changes in government policies, research funding, and regulatory frameworks could impact the industry's operations and growth prospects. Additionally, the potential for increased scrutiny and regulation of the pharmaceutical and biotechnology industries could also present challenges for companies in the sector.
 Recent Technology Developments:
 The life sciences tools and services sector has been at the forefront of technological advancements, with companies continuously investing in research and development to improve their products and services. The successful recovery and capture of a SpaceX Starship booster, a significant milestone in the space industry, could have positive implications for the sector, as it may lead to increased investment and collaboration in areas such as space-based research and development.</t>
  </si>
  <si>
    <t>Recent News:
 The technology hardware, storage, and peripherals sector has seen mixed performance in recent weeks. The successful recovery and capture of a SpaceX Starship booster has been a positive development, signaling progress in the space industry and potentially driving investment in related sectors. However, the recent cybersecurity incident at the Internet Archive, which resulted in a breach of 31 million user passwords and distributed denial-of-service attacks, has raised concerns about data privacy and security, potentially affecting investor sentiment in the technology sector.
 Economic Outlook:
 The overall economic outlook for the technology hardware, storage, and peripherals sector is cautiously optimistic. The continued advancements in emerging technologies, such as artificial intelligence and renewable energy, are likely to have a growing influence on the sector's performance. Additionally, the strength of companies like Nvidia, which has become the third-largest publicly-traded company, suggests that the sector may be able to weather the broader economic challenges facing the U.S. economy.
 Political Challenges:
 The upcoming 2024 U.S. presidential election could have significant implications for the technology sector, as the candidates' policy proposals and approaches to economic management may differ significantly. Additionally, the ongoing global conflicts and political instability in various regions, such as the escalating tensions between Israel and Lebanon, could also impact the sector's performance.
 Recent Technology Developments:
 The successful recovery and capture of a SpaceX Starship booster is a significant technological advancement that could have positive implications for the space industry and potentially impact related sectors in the U.S. stock market. This development, along with the continued progress in artificial intelligence and renewable energy technologies, suggests that the technology hardware, storage, and peripherals sector may be well-positioned to capitalize on emerging trends and opportunities.</t>
  </si>
  <si>
    <t>Recent News:
 The chemical industry has faced a mixed landscape in recent months. While the sector has benefited from the continued strength in the technology and manufacturing sectors, it has also grappled with the impact of global conflicts and natural disasters. The recent escalation of tensions between Israel and Lebanon, as well as the devastating floods in Spain, have raised concerns about potential disruptions to supply chains and logistics, which could affect the chemical industry.
 Economic Outlook:
 The overall economic outlook for the chemical sector is cautiously optimistic. The Federal Reserve's expected interest rate cut could provide some support for the industry, as it may stimulate demand and investment. However, the slowdown in job growth and the ongoing global uncertainties may temper the sector's performance in the near term.
 Political Challenges:
 The upcoming U.S. presidential election could have significant implications for the chemical industry, as the candidates' policy proposals and approaches to environmental regulations and trade agreements may differ. Additionally, the political changes in Japan and the potential impact on global markets could also affect the chemical sector.
 Recent Technology Developments:
 The chemical industry has been at the forefront of technological advancements, particularly in the areas of sustainable and green chemistry. The successful recovery and capture of a SpaceX Starship booster, for example, could signal further progress in the space industry and potentially drive investment in related chemical technologies.</t>
  </si>
  <si>
    <t>Recent News:
 The recent escalation of the Israel-Lebanon conflict and the ongoing tensions in the Middle East have raised concerns about potential disruptions to global energy supply and distribution. Additionally, the successful recovery and capture of a SpaceX Starship booster could signal further progress in the space industry, which may have implications for the energy sector.
 Economic Outlook:
 The U.S. economy is facing a mixed outlook, with signs of slowing growth and increasing global uncertainty. The Federal Reserve's expected interest rate cut may provide some support for the energy equipment and services sector, as lower borrowing costs could spur investment in new projects and infrastructure. However, the broader economic challenges, such as the weak job growth and the potential impact of natural disasters, could weigh on the sector's performance.
 Political Challenges:
 The upcoming 2024 U.S. presidential election and the ongoing geopolitical tensions in various regions around the world, such as the escalating conflict between Israel and Lebanon, could have significant implications for the energy sector. Depending on the policy proposals and approaches of the presidential candidates, the sector may face different regulatory and investment environments.
 Recent Technology Developments:
 The successful recovery and capture of a SpaceX Starship booster could signal further progress in the space industry, which may have positive implications for the energy equipment and services sector. Advancements in space exploration and related technologies could drive investment and innovation in the sector, potentially leading to new opportunities for growth.</t>
  </si>
  <si>
    <t>Recent News:
 The insurance sector has faced a mixed landscape in recent months. The October 2024 Spain floods, described as the worst in half a century, resulted in over 200 deaths and significant damage, which could lead to increased claims and payouts for insurance companies operating in the region. Additionally, the ongoing global conflicts, such as the escalating tensions between Israel and Lebanon, and the political changes in Japan, could have broader economic implications that may indirectly impact the insurance industry.
 Economic Outlook:
 The overall economic outlook for the insurance sector is cautiously optimistic, with the Federal Reserve's expected interest rate cut potentially providing some support. However, the slowdown in job growth and the mixed signals from the broader economy could lead to increased uncertainty and volatility in the sector. Insurance companies may need to adapt their strategies to navigate the changing economic landscape, such as adjusting their risk management practices and exploring new product offerings.
 Political Challenges:
 The upcoming 2024 U.S. presidential election could have significant implications for the insurance sector, as the candidates' policy proposals and approaches to economic management may differ. Depending on the election outcome, the sector may face potential regulatory changes or shifts in government support, which could impact the industry's profitability and growth prospects.
 Recent Technology Developments:
 The insurance sector has been gradually embracing technological advancements, such as the use of artificial intelligence and data analytics to improve risk assessment, customer service, and operational efficiency. The successful recovery and capture of a SpaceX Starship booster, a significant milestone in the space industry, could also have implications for the insurance sector, as it may lead to new opportunities in the space-related insurance market.</t>
  </si>
  <si>
    <t>Recent News:
 The capital markets sector has faced a mixed landscape in recent weeks. The weaker-than-expected October jobs report, coupled with ongoing global conflicts and political uncertainty, has contributed to volatility in the stock market. The technology sector, led by companies like Nvidia, has continued to show strength, while traditional industries like manufacturing and retail have faced more headwinds.
 Economic Outlook:
 The U.S. economy is facing a mixed outlook, with signs of slowing growth. The Federal Reserve is expected to respond by cutting interest rates by a quarter-point at its next meeting, as the central bank seeks to support the economy. However, there are debates within the Fed about the appropriate path forward, with some policymakers arguing that further rate cuts may not be the best course of action.
 Political Challenges:
 The 2024 U.S. presidential election is shaping up to be a closely watched and potentially contentious event, with a rematch between former president Donald Trump and Vice President Kamala Harris. The outcome of this election could have significant implications for the capital markets sector, as the candidates' policy proposals and approaches to economic management could differ significantly.
 Recent Technology Developments:
 The continued advancements in emerging technologies, such as artificial intelligence, renewable energy, and space exploration, are likely to have a growing influence on the capital markets sector in the coming months and years. The successful recovery and capture of a SpaceX Starship booster, for example, could signal further progress in the space industry and potentially drive investment in related sectors.</t>
  </si>
  <si>
    <t>Recent News:
 The recent breach of the Internet Archive, a popular online library, has raised concerns about data privacy and security in the interactive media and services sector. The distributed denial-of-service attacks that rendered the site unusable for weeks could potentially impact investor sentiment in the technology industry and the broader stock market.
 Economic Outlook:
 The interactive media and services sector is closely tied to the overall performance of the technology industry, which has shown resilience in the face of the mixed economic outlook. The continued advancements in emerging technologies, such as artificial intelligence and space exploration, could drive growth and investment in this sector. However, the potential impact of the weaker-than-expected jobs report and the ongoing global conflicts and natural disasters may pose challenges to the sector's performance.
 Political Challenges:
 The upcoming 2024 U.S. presidential election could have significant implications for the interactive media and services sector, as the candidates' policy proposals and approaches to technology regulation and management could differ significantly. Additionally, the political changes in Japan and the potential impact of the Moldova EU membership referendum could also influence the global market environment, which may indirectly affect the sector.
 Recent Technology Developments:
 The successful recovery and capture of a SpaceX Starship booster, a significant milestone in the space industry, could have positive implications for the interactive media and services sector. The advancements in space exploration and related technologies may drive investment and innovation in this sector, particularly in areas such as satellite-based communication and data services.</t>
  </si>
  <si>
    <t>Recent News:
 The media sector has faced a mixed landscape in recent months. The Internet Archive breach, which resulted in the exposure of 31 million user passwords, has raised concerns about data privacy and security in the digital media space. This incident could potentially impact investor sentiment and consumer trust in certain media platforms.
 Economic Outlook:
 The overall economic outlook for the media sector is cautiously optimistic. While the broader U.S. economy is showing signs of slowing growth, the media industry has demonstrated resilience, with some segments, such as streaming and digital advertising, continuing to perform well. However, the sector may face headwinds from the potential impact of global conflicts and natural disasters on advertising spending and consumer behavior.
 Political Challenges:
 The upcoming 2024 U.S. presidential election could have significant implications for the media sector. Depending on the policy proposals and regulatory approaches of the candidates, the industry may face changes in areas such as content moderation, data privacy, and antitrust enforcement. The proactive role of the FTC under chair Lina Khan has already led to the blocking of several mergers and acquisitions, which could impact the media landscape.
 Recent Technology Developments:
 The media sector has been at the forefront of technological advancements, with the continued growth of streaming platforms, the rise of artificial intelligence in content creation and distribution, and the exploration of new formats like virtual and augmented reality. The successful recovery and capture of a SpaceX Starship booster, a significant milestone in the space industry, could also have indirect implications for the media sector, as it may enable new opportunities for space-based content and services.</t>
  </si>
  <si>
    <t>Recent News:
 The recent cybersecurity breach at the Internet Archive, which resulted in the exposure of 31 million user passwords and distributed denial-of-service attacks, has raised concerns about data privacy and security in the technology sector. This incident could potentially impact investor sentiment and affect the performance of software companies.
 Economic Outlook:
 The overall economic outlook for the software sector remains cautiously optimistic, despite the mixed signals in the broader U.S. economy. The technology sector, led by companies like Nvidia, has continued to show strength, suggesting that the software industry may be able to weather the current economic challenges. However, the potential impact of the Federal Reserve's interest rate decisions and the ongoing global conflicts could introduce volatility and uncertainty in the sector.
 Political Challenges:
 The upcoming 2024 U.S. presidential election could have significant implications for the software sector, as the candidates' policy proposals and approaches to technology regulation and data privacy may differ. Additionally, the political changes in Japan and the potential impact on the global economy could indirectly affect the performance of software companies.
 Recent Technology Developments:
 The successful recovery and capture of a SpaceX Starship booster, a significant technological advancement in the space industry, could have positive implications for the software sector, as advancements in space exploration and related technologies may drive investment and innovation in the industry.</t>
  </si>
  <si>
    <t>Recent News:
 The aerospace and defense sector has been impacted by the ongoing global conflicts, particularly the escalating tensions between Israel and Lebanon, as well as the political changes in Japan. The successful recovery and capture of a SpaceX Starship booster, however, signals progress in the space industry and could have positive implications for related companies.
 Economic Outlook:
 The overall economic outlook for the aerospace and defense sector is mixed. While the sector has traditionally been seen as a safe haven during times of uncertainty, the slowing job growth and potential interest rate cuts by the Federal Reserve could create headwinds. Additionally, the broader economic challenges, such as the impact of natural disasters like the Spain floods, may have indirect effects on the sector.
 Political Challenges:
 The upcoming U.S. presidential election could have significant implications for the aerospace and defense sector, as the candidates' policy proposals and approaches to defense spending and space exploration may differ. The political instability in various regions around the world, such as the conflicts in the Middle East, could also impact the sector's performance.
 Recent Technology Developments:
 The successful recovery and capture of a SpaceX Starship booster is a significant technological advancement in the space industry, which could have positive implications for companies involved in space exploration and related technologies. This development, along with the continued progress in areas like artificial intelligence and renewable energy, may present opportunities for growth in the aerospace and defense sector.</t>
  </si>
  <si>
    <t>Recent News:
 The electrical equipment sector has faced some challenges in recent weeks, with the ongoing global conflicts and natural disasters impacting supply chains and consumer demand. The October jobs report showed a significant slowdown in job creation, which could further dampen economic activity and affect the demand for electrical equipment.
 Economic Outlook:
 The mixed economic outlook, with signs of slowing growth and the Federal Reserve's expected interest rate cut, could create uncertainty for the electrical equipment sector. However, the underlying fundamentals of the U.S. economy remain relatively strong, and the sector may benefit from continued investment in infrastructure and the transition to renewable energy.
 Political Challenges:
 The upcoming U.S. presidential election and the potential policy changes that could result from it may impact the electrical equipment sector. Additionally, the escalating tensions in the Middle East and the political shifts in Japan could have broader implications for the global economy, which may affect the demand for electrical equipment.
 Recent Technology Developments:
 The advancements in emerging technologies, such as the successful recovery and capture of a SpaceX Starship booster, could have positive implications for the space industry and potentially impact related sectors, including electrical equipment manufacturers that supply components for space exploration and satellite technology.</t>
  </si>
  <si>
    <t>Recent News:
 The construction and engineering sector has faced mixed fortunes in recent months. While the successful recovery and capture of a SpaceX Starship booster has signaled progress in the space industry, which could have positive implications for related sectors, the devastating floods in Spain have resulted in significant damage, potentially impacting construction and infrastructure projects in the region.
 Economic Outlook:
 The overall economic outlook for the construction and engineering sector is cautiously optimistic. The Federal Reserve's expected interest rate cut could provide some support for the industry, as lower borrowing costs may spur investment in new projects. However, the slowdown in job growth and the ongoing global conflicts and natural disasters could pose challenges, potentially delaying or disrupting construction and infrastructure development.
 Political Challenges:
 The upcoming U.S. presidential election could have significant implications for the construction and engineering sector, as the candidates' policy proposals and approaches to infrastructure investment may differ. Additionally, the escalating tensions in the Middle East, particularly the conflict between Israel and Lebanon, could impact global supply chains and project timelines, affecting the sector's performance.
 Recent Technology Developments:
 The advancements in emerging technologies, such as the successful recovery and capture of a SpaceX Starship booster, could have positive implications for the construction and engineering sector. These technological breakthroughs may lead to new opportunities in the space industry and related infrastructure projects, potentially driving investment and growth in the sector.</t>
  </si>
  <si>
    <t>Recent News:
 The metals and mining sector has faced a mixed performance in recent weeks, with some commodities like copper and iron ore experiencing price volatility due to the ongoing global conflicts and economic uncertainty. The escalating tensions between Israel and Lebanon, as well as the political changes in Japan, have added to the overall market instability, which could impact the demand for industrial metals.
 Economic Outlook:
 The slowing job growth in the U.S. economy and the Federal Reserve's expected interest rate cut suggest a more challenging economic environment for the metals and mining sector. However, the sector's long-term fundamentals remain relatively strong, as the global demand for raw materials is expected to continue growing, driven by factors such as infrastructure development, renewable energy projects, and the transition to electric vehicles.
 Political Challenges:
 The upcoming U.S. presidential election could have significant implications for the metals and mining sector, as the candidates' policy proposals on issues like environmental regulations, trade agreements, and infrastructure spending could impact the industry's profitability and growth prospects.
 Recent Technology Developments:
 The advancements in emerging technologies, such as the successful recovery and capture of a SpaceX Starship booster, could have indirect positive effects on the metals and mining sector, as the space industry's growth may increase the demand for specialized materials and components.</t>
  </si>
  <si>
    <t>Recent News:
 The biotechnology sector has faced a mixed landscape in recent months. While the industry continues to make advancements in developing innovative treatments and therapies, it has also grappled with regulatory challenges and concerns over pricing and access to new drugs.
 Economic Outlook:
 The overall economic outlook for the biotechnology sector remains cautiously optimistic. The aging global population and the increasing prevalence of chronic diseases are driving demand for new and more effective treatments, which bodes well for the industry's long-term growth potential. However, the sector is also facing headwinds, such as the ongoing impact of the COVID-19 pandemic, which has disrupted clinical trials and supply chains.
 Political Challenges:
 The biotechnology sector is subject to a complex regulatory environment, with policymakers and government agencies closely scrutinizing drug pricing and access. The upcoming U.S. presidential election could bring changes to the regulatory landscape, as the candidates' policy proposals may differ on issues such as drug pricing and healthcare reform. Additionally, global conflicts and political instability in certain regions could impact the sector's ability to conduct clinical trials and commercialize new products in those markets.
 Recent Technology Developments:
 The biotechnology sector has been at the forefront of technological advancements, with companies leveraging cutting-edge tools and techniques to drive innovation. Recent developments in areas like gene editing, personalized medicine, and artificial intelligence have the potential to revolutionize the way new drugs and therapies are developed and delivered to patients.</t>
  </si>
  <si>
    <t>Recent News:
 The food products sector has faced some challenges in recent months, with the ongoing global conflicts and natural disasters impacting supply chains and consumer demand. The October 2024 Spain floods, described as the worst in half a century, resulted in significant damage to agricultural production, which could lead to disruptions in the supply of certain food products. Additionally, the escalating tensions in the Middle East, particularly the conflict between Israel and Lebanon, have the potential to affect the availability and pricing of some food commodities.
 Economic Outlook:
 Despite these headwinds, the overall economic outlook for the food products sector remains relatively stable. The U.S. economy is facing a mixed outlook, with some signs of slowing growth, but the Federal Reserve's expected interest rate cut could provide some support for consumer spending and demand for food products. Additionally, the continued advancements in agricultural technology and the growing focus on sustainability and efficiency in food production may help offset some of the supply chain challenges.
 Political Challenges:
 The upcoming 2024 U.S. presidential election could have implications for the food products sector, as the candidates' policy proposals and approaches to issues like trade, regulation, and agricultural subsidies could impact the industry. Additionally, the ongoing global conflicts and political instability in various regions may continue to create uncertainty and volatility in the sector.
 Recent Technology Developments:
 The food products sector has been embracing various technological advancements, such as precision agriculture, vertical farming, and alternative protein production. These innovations have the potential to improve efficiency, reduce waste, and meet the growing demand for sustainable and nutritious food options. The successful recovery and capture of a SpaceX Starship booster, for example, could signal further progress in the space industry, which may have implications for the development of advanced agricultural technologies.</t>
  </si>
  <si>
    <t>Recent News:
 The recent cybersecurity breach at the Internet Archive, which resulted in the exposure of 31 million user passwords and subsequent distributed denial-of-service attacks, has raised concerns about data privacy and security in the IT services sector. This incident could potentially impact investor sentiment and affect the performance of companies in this industry.
 Economic Outlook:
 The overall economic outlook for the IT services sector appears mixed. While the technology sector, including companies like Nvidia, has continued to show strength, the broader economic slowdown and weaker-than-expected job growth could pose challenges for IT service providers. The Federal Reserve's expected interest rate cut may provide some support, but the long-term impact remains uncertain.
 Political Challenges:
 The upcoming 2024 U.S. presidential election could have significant implications for the IT services sector, as the candidates' policy proposals and approaches to technology regulation and data privacy may differ. Additionally, the ongoing global conflicts and political instability in regions like the Middle East and Asia could indirectly affect the operations and performance of IT service companies.
 Recent Technology Developments:
 The successful recovery and capture of a SpaceX Starship booster, a significant milestone in the space industry, could have positive implications for the IT services sector. Advancements in emerging technologies, such as artificial intelligence and renewable energy, may also create new opportunities for IT service providers to support the development and implementation of these technologies.</t>
  </si>
  <si>
    <t>Recent News:
 The health care providers and services sector has faced a mixed landscape in recent months. While the COVID-19 pandemic has continued to impact the industry, with ongoing challenges in staffing and supply chain disruptions, there have also been some positive developments. The recent approval of several new medical treatments and the continued advancements in telehealth and digital health technologies have provided some tailwinds for the sector.
 Economic Outlook:
 The economic outlook for the health care providers and services sector is cautiously optimistic. The aging population and the increasing prevalence of chronic diseases are expected to drive continued demand for healthcare services. However, the sector is also grappling with rising costs, reimbursement pressures, and the ongoing impact of the pandemic. The potential for further interest rate cuts by the Federal Reserve could provide some relief, but the overall economic uncertainty may continue to weigh on the sector.
 Political Challenges:
 The health care sector is heavily influenced by government policies and regulations. The upcoming U.S. presidential election could have significant implications for the industry, as the candidates' proposals on healthcare reform, drug pricing, and Medicare/Medicaid policies could impact the profitability and growth prospects of healthcare providers and services companies. Additionally, the ongoing global conflicts and political instability in various regions may also affect the sector's international operations and supply chains.
 Recent Technology Developments:
 The health care providers and services sector has been at the forefront of technological advancements, with the rapid adoption of telehealth, electronic health records, and AI-powered diagnostic tools. The successful launch of the Europa Clipper spacecraft, which will investigate the potential for life on Jupiter's moon Europa, could also have long-term implications for the development of new medical technologies and treatments.</t>
  </si>
  <si>
    <t>Recent News:
 The air freight and logistics sector has faced a mixed landscape in recent months. The ongoing global conflicts, including the escalation of tensions between Israel and Lebanon, have disrupted global supply chains and trade flows, which could impact the demand for air freight services. Additionally, the devastating floods in Spain have the potential to disrupt regional logistics operations, further adding to the challenges faced by the industry.
 Economic Outlook:
 The overall economic outlook for the air freight and logistics sector is cautiously optimistic, but with some concerns. The slowdown in job growth and the Federal Reserve's expected interest rate cut suggest a potential softening of economic conditions, which could lead to a decline in demand for air freight services. However, the continued strength of the technology sector and the potential for further advancements in emerging technologies, such as the successful recovery and capture of a SpaceX Starship booster, may provide some support for the industry.
 Political Challenges:
 The upcoming U.S. presidential election and the potential policy changes that could result from a change in administration could have significant implications for the air freight and logistics sector. Depending on the candidates' policy proposals and their approach to trade and infrastructure, the industry may face either tailwinds or headwinds.
 Recent Technology Developments:
 The air freight and logistics sector has been gradually adopting new technologies to improve efficiency and reduce costs. The successful recovery and capture of a SpaceX Starship booster, for example, could signal further progress in the space industry and potentially lead to advancements in satellite-based logistics and transportation solutions.</t>
  </si>
  <si>
    <t>Recent News:
 The automobile sector has faced a mixed landscape in recent months. While the industry has seen some positive developments, such as the continued growth of electric vehicle (EV) sales, it has also grappled with supply chain disruptions and the impact of global conflicts on consumer demand.
 Economic Outlook:
 The overall economic outlook for the automobile sector is cautiously optimistic. The recent slowdown in job growth and the Federal Reserve's decision to cut interest rates suggest that the broader economy may be facing headwinds. However, the strong performance of the technology sector, particularly companies like Nvidia, could have a positive spillover effect on the automobile industry, as it continues to integrate advanced technologies into its products.
 Political Challenges:
 The upcoming 2024 U.S. presidential election could have significant implications for the automobile sector, as the candidates' policy proposals and approaches to economic management may differ. Additionally, the ongoing global conflicts, such as the escalating tensions between Israel and Lebanon, could impact the supply chain and consumer confidence, affecting the industry's performance.
 Recent Technology Developments:
 The automobile sector has been at the forefront of technological advancements, with the continued growth of the EV market and the integration of autonomous driving features. The successful recovery and capture of a SpaceX Starship booster could also have positive implications for the industry, as it signals progress in the space industry, which could lead to further innovations and collaborations.</t>
  </si>
  <si>
    <t>Recent News:
 The ground transportation sector has faced a mixed landscape in recent months. While the economy has shown signs of slowing, with the October jobs report indicating a significant slowdown in job creation, the sector has seen some positive developments. The successful recovery and capture of a SpaceX Starship booster could signal further progress in the space industry, which may have indirect implications for the ground transportation sector, particularly in the development of advanced transportation technologies.
 Economic Outlook:
 The overall economic outlook for the ground transportation sector is cautiously optimistic. The Federal Reserve's expected interest rate cut may provide some support for the sector, as it could stimulate consumer spending and investment. However, the ongoing global conflicts, natural disasters, and political uncertainty could continue to create headwinds for the sector, particularly in terms of supply chain disruptions and changes in consumer behavior.
 Political Challenges:
 The upcoming 2024 U.S. presidential election could have significant implications for the ground transportation sector, as the candidates' policy proposals and approaches to economic management may differ significantly. Additionally, the escalating tensions in the Middle East and the political changes in Japan could also impact the global economic and market environment, potentially affecting the ground transportation sector.
 Recent Technology Developments:
 The ground transportation sector has been at the forefront of technological advancements, with the continued development of electric vehicles, autonomous driving systems, and other innovative transportation solutions. The successful recovery and capture of a SpaceX Starship booster could signal further progress in the space industry, which may have indirect implications for the ground transportation sector, particularly in the development of advanced transportation technologies.</t>
  </si>
  <si>
    <t>Recent News:
 The financial services sector has faced a mixed landscape in recent weeks. The October jobs report showed a significant slowdown in job creation, with only 12,000 jobs added, well below the expected 100,000. This weak job growth, coupled with the ongoing impact of major global conflicts, natural disasters, and political uncertainty, suggests that the economic landscape is becoming more challenging. The Federal Reserve is expected to respond to these developments by cutting interest rates by a quarter-point at its next meeting, as the central bank seeks to support the economy.
 Economic Outlook:
 The U.S. economy is facing a mixed outlook, with some concerning signs emerging in the latest economic data. The Federal Reserve's expected rate cut could provide some support for the financial services sector, but there are debates within the central bank about the appropriate path forward. The sector's performance will largely depend on the broader economic conditions, consumer spending, and the impact of global events on the financial markets.
 Political Challenges:
 The 2024 U.S. presidential election is shaping up to be a closely watched and potentially contentious event, with a rematch between former president Donald Trump and Vice President Kamala Harris. The outcome of this election could have significant implications for the financial services sector, as the candidates' policy proposals and approaches to economic management could differ significantly. Additionally, the ongoing conflicts and political instability in various regions around the world could also impact the global economic and market environment, with potential spillover effects on the financial services sector.
 Recent Technology Developments:
 The continued advancements in emerging technologies, such as artificial intelligence, blockchain, and fintech, are likely to have a growing influence on the financial services sector in the coming months and years. These technological developments could drive innovation, improve efficiency, and create new opportunities for growth within the sector.</t>
  </si>
  <si>
    <t>Recent News:
 The banking sector has faced a mixed landscape in recent weeks. The October jobs report showed a significant slowdown in job creation, which could impact consumer spending and loan demand. Additionally, the ongoing global conflicts, natural disasters, and political uncertainty have contributed to a more challenging economic environment.
 Economic Outlook:
 The Federal Reserve is expected to respond to the economic slowdown by cutting interest rates by a quarter-point at its next meeting. This move could provide some support for the banking sector, as lower rates may stimulate lending activity. However, there are debates within the Fed about the appropriate path forward, and further rate cuts may not be the best course of action.
 Political Challenges:
 The upcoming 2024 U.S. presidential election could have significant implications for the banking sector, as the candidates' policy proposals and approaches to economic management could differ significantly. Additionally, the political changes in regions like Japan and the escalating tensions in the Middle East could also impact the global economic and market environment, with potential spillover effects on the banking industry.
 Recent Technology Developments:
 The continued advancements in emerging technologies, such as artificial intelligence and data analytics, are likely to have a growing influence on the banking sector. These technologies can help banks improve their risk management, customer service, and operational efficiency, potentially enhancing their competitiveness and profitability.</t>
  </si>
  <si>
    <t>Recent News:
 The recent Internet Archive breach, which resulted in the exposure of 31 million user passwords and distributed denial-of-service attacks, has raised concerns about data privacy and security in the technology sector. This cybersecurity incident could potentially impact investor sentiment towards communications equipment companies, as they are often responsible for providing the infrastructure and security solutions that protect online platforms and services.
 Economic Outlook:
 The overall economic outlook for the communications equipment sector is mixed. The slowdown in job growth and the Federal Reserve's expected interest rate cut suggest a more challenging economic environment, which could impact the demand for communications equipment. However, the continued advancements in emerging technologies, such as 5G and IoT, may provide growth opportunities for companies in this sector.
 Political Challenges:
 The upcoming 2024 U.S. presidential election could have significant implications for the communications equipment sector, as the candidates' policy proposals and approaches to technology regulation and investment may differ. Additionally, the ongoing global conflicts and political instability in various regions could disrupt supply chains and impact the operations of communications equipment manufacturers.
 Recent Technology Developments:
 The successful recovery and capture of a SpaceX Starship booster, a significant milestone in the space industry, could have positive implications for the communications equipment sector. Advancements in satellite technology and space-based communications infrastructure may create new opportunities for companies in this sector to develop and deploy innovative solutions.</t>
  </si>
  <si>
    <t>Recent News:
 The water utilities sector has faced some challenges in recent months, with the October 2024 Spain floods causing significant damage to water infrastructure in the affected regions. This natural disaster has highlighted the importance of resilient water systems and the need for continued investment in water infrastructure. Additionally, the ongoing geopolitical tensions and conflicts in various parts of the world could potentially disrupt global supply chains and impact the availability of critical resources for the water utilities industry.
 Economic Outlook:
 Despite these recent setbacks, the long-term outlook for the water utilities sector remains relatively positive. The global demand for clean and reliable water supplies is expected to continue growing, driven by factors such as population growth, urbanization, and the need for sustainable water management. Additionally, the increasing focus on environmental sustainability and the need to address the impacts of climate change are likely to drive further investment in water infrastructure and technology.
 Political Challenges:
 The water utilities sector is subject to a high degree of government regulation and policy decisions, which can have a significant impact on the industry's operations and profitability. The upcoming U.S. presidential election, for example, could lead to changes in environmental regulations and funding priorities for water infrastructure projects, which could affect the sector's performance.
 Recent Technology Developments:
 The water utilities sector has been embracing various technological advancements to improve efficiency, reduce water waste, and enhance water quality. For instance, the increased adoption of smart water metering, advanced water treatment technologies, and digital monitoring systems have the potential to optimize water distribution and management. Additionally, the development of innovative water recycling and desalination technologies could help address the growing demand for clean water in water-stressed regions.</t>
  </si>
  <si>
    <t>Recent News:
 The real estate management and development sector has faced a mixed landscape in recent months. While the overall U.S. economy has shown signs of slowing, the housing market has remained relatively resilient, with continued demand for both residential and commercial properties. However, the impact of global conflicts, natural disasters, and political uncertainty has created some headwinds for the sector.
 Economic Outlook:
 The Federal Reserve's decision to cut interest rates may provide some support for the real estate sector, as lower borrowing costs could stimulate investment and development activity. However, the ongoing economic challenges, such as the weaker-than-expected job growth, could dampen consumer confidence and potentially impact demand for both residential and commercial properties.
 Political Challenges:
 The upcoming U.S. presidential election could have significant implications for the real estate sector, as the candidates' policy proposals and approaches to economic management may differ. Additionally, the political instability in various regions around the world, such as the escalating tensions between Israel and Lebanon, could create uncertainty and potentially affect global investment flows, which could impact the real estate market.
 Recent Technology Developments:
 The real estate sector has been increasingly embracing technological advancements, such as the use of artificial intelligence and data analytics to optimize property management and development. The successful recovery and capture of a SpaceX Starship booster, for example, could signal further progress in the space industry, which could have indirect implications for the real estate sector, particularly in areas related to commercial and industrial properties.</t>
  </si>
  <si>
    <t>Recent News:
 The wireless telecommunication services sector has faced some challenges in recent weeks, with the Internet Archive breach raising concerns about data privacy and security. This cybersecurity incident could potentially impact investor sentiment in the technology-related aspects of the industry. Additionally, the ongoing global conflicts and political uncertainties, such as the escalating tensions between Israel and Lebanon, as well as the political changes in Japan, may have indirect effects on the sector's performance.
 Economic Outlook:
 The overall economic outlook for the wireless telecommunication services sector is mixed. The slowdown in job growth and the Federal Reserve's expected interest rate cut suggest a more challenging economic environment. However, the sector's reliance on technological advancements and the continued growth in data usage could provide some resilience. The sector's performance may also be influenced by the broader market trends and investor sentiment.
 Political Challenges:
 The upcoming 2024 U.S. presidential election could have significant implications for the wireless telecommunication services sector, as the candidates' policy proposals and approaches to technology regulation and infrastructure investment may differ. Additionally, the geopolitical tensions in various regions around the world could indirectly impact the sector's operations and growth prospects.
 Recent Technology Developments:
 The wireless telecommunication services sector has been at the forefront of technological advancements, with the continued rollout of 5G networks and the growing demand for high-speed internet and data services. The successful recovery and capture of a SpaceX Starship booster, a significant milestone in the space industry, could also have positive implications for the sector's future, as it may lead to advancements in satellite-based communication technologies.</t>
  </si>
  <si>
    <t>Recent News:
 The diversified telecommunication services sector has faced a mixed landscape in recent months. The Internet Archive breach, which resulted in the exposure of 31 million user passwords and subsequent distributed denial-of-service attacks, has raised concerns about data privacy and security in the industry. This cybersecurity incident could potentially impact investor sentiment and affect the performance of companies in the sector.
 Economic Outlook:
 The overall economic outlook for the diversified telecommunication services sector is cautiously optimistic. While the slowing job growth and the Federal Reserve's expected interest rate cut suggest a more challenging economic environment, the sector's essential role in modern communication and connectivity could provide some resilience. The continued advancements in emerging technologies, such as 5G and fiber optic networks, may also present growth opportunities for companies in this sector.
 Political Challenges:
 The upcoming 2024 U.S. presidential election could have significant implications for the diversified telecommunication services sector. Depending on the policy proposals and regulatory approaches of the candidates, the industry may face either supportive or more restrictive policies, which could impact its overall performance.
 Recent Technology Developments:
 The successful recovery and capture of a SpaceX Starship booster, a significant milestone in the space industry, could have indirect positive implications for the diversified telecommunication services sector. Advancements in satellite technology and space-based communication infrastructure may create new opportunities for companies in this sector to expand their service offerings and enhance their competitive positioning.</t>
  </si>
  <si>
    <t>Recent News:
 The electronic equipment, instruments, and components sector has faced some mixed signals in recent weeks. The successful recovery and capture of a SpaceX Starship booster, a significant technological advancement, could have positive implications for the space industry and related sectors. However, the recent Internet Archive breach, which resulted in the exposure of 31 million user passwords and distributed denial-of-service attacks, has raised concerns about data privacy and security, potentially affecting investor sentiment in the technology sector.
 Economic Outlook:
 The overall economic outlook for the sector is cautiously optimistic. The U.S. economy is facing a mixed outlook, with some concerning signs emerging in the latest economic data, such as the significant slowdown in job creation. This, coupled with the ongoing impact of major global conflicts, natural disasters, and political uncertainty, suggests that the economic landscape is becoming more challenging. However, the continued advancements in emerging technologies, such as artificial intelligence, renewable energy, and space exploration, are likely to have a growing influence on the sector's performance.
 Political Challenges:
 The upcoming 2024 U.S. presidential election could have significant implications for the sector, as the candidates' policy proposals and approaches to economic management could differ significantly. Additionally, the ongoing conflicts and political instability in various regions around the world, such as the escalating tensions between Israel and Lebanon, and the political changes in Japan, could also impact the global economic and market environment, with potential spillover effects on the sector.
 Recent Technology Developments:
 The sector has been at the forefront of technological advancements, with the successful recovery and capture of a SpaceX Starship booster being a notable example. This achievement could signal further progress in the space industry and potentially drive investment in related sectors. Additionally, the continued development of emerging technologies, such as artificial intelligence and renewable energy, could provide growth opportunities for companies in the electronic equipment, instruments, and components sector.</t>
  </si>
  <si>
    <t>Recent News:
 The entertainment sector has faced a mixed landscape in recent months. While the 2024 ICC Women's T20 World Cup held in the UAE provided a boost to viewership and engagement, the broader industry has grappled with the ongoing impact of global conflicts and political instability. The Internet Archive breach, which affected 31 million user passwords, has also raised concerns about data privacy and security in the digital entertainment space.
 Economic Outlook:
 The economic outlook for the entertainment sector is cautiously optimistic, with the potential for continued growth in certain segments, such as streaming and gaming. However, the overall slowdown in job creation and the Federal Reserve's expected interest rate cut could have a dampening effect on consumer spending, which could impact the sector's performance.
 Political Challenges:
 The upcoming 2024 U.S. presidential election and the potential policy changes that may result from a change in administration could introduce uncertainty and volatility in the entertainment industry. Additionally, the escalating tensions in the Middle East, particularly the conflict between Israel and Lebanon, could have broader geopolitical implications that could indirectly affect the sector.
 Recent Technology Developments:
 The entertainment sector has been at the forefront of technological advancements, with the successful recovery and capture of a SpaceX Starship booster potentially signaling further progress in the space industry. This could open up new opportunities for content creation and distribution, as well as the development of innovative entertainment experiences.</t>
  </si>
  <si>
    <t>Recent News:
 The machinery sector has faced some headwinds in recent weeks, with the October jobs report showing a significant slowdown in job creation, which could indicate a broader economic slowdown. Additionally, the ongoing global conflicts, natural disasters, and political uncertainty have the potential to impact the demand for machinery products and services.
 Economic Outlook:
 The mixed economic outlook, with the Federal Reserve expected to cut interest rates, could provide some support for the machinery sector. However, the sector may face challenges if the broader economic conditions continue to deteriorate, as reduced investment and capital spending could impact demand for machinery.
 Political Challenges:
 The upcoming U.S. presidential election and the potential policy changes that could result from a change in administration could create uncertainty for the machinery sector. Additionally, the escalating tensions in the Middle East and the potential impact on global trade and supply chains could pose challenges for the sector.
 Recent Technology Developments:
 The advancements in emerging technologies, such as automation and robotics, could present opportunities for the machinery sector to improve efficiency and productivity. The successful recovery and capture of a SpaceX Starship booster, for example, could signal further progress in the space industry and potentially drive investment in related sectors, which could benefit the machinery sector.</t>
  </si>
  <si>
    <t>Recent News:
 The containers and packaging sector has faced some challenges in recent months. The October 2024 Spain floods have resulted in significant damage to manufacturing facilities and supply chain disruptions, which could impact the availability and pricing of certain packaging materials. Additionally, the ongoing global conflicts, such as the escalation of tensions between Israel and Lebanon, have the potential to disrupt global trade and logistics, further affecting the sector.
 Economic Outlook:
 The overall economic outlook for the containers and packaging sector is mixed. While the slowdown in job growth and the Federal Reserve's expected interest rate cut suggest a more challenging economic environment, the sector's performance is closely tied to consumer demand and the broader health of the manufacturing and retail industries. The sector's resilience will depend on its ability to adapt to supply chain disruptions and navigate the changing macroeconomic conditions.
 Political Challenges:
 The upcoming 2024 U.S. presidential election could have implications for the containers and packaging sector, as the candidates' policy proposals and approaches to trade, regulation, and environmental issues may differ. Additionally, the political instability in various regions around the world, such as the escalating tensions in the Middle East, could impact global trade and logistics, which could in turn affect the sector.
 Recent Technology Developments:
 The containers and packaging sector has been exploring advancements in sustainable and innovative packaging solutions, such as the use of biodegradable materials and the development of smart packaging technologies. These developments could help the sector adapt to changing consumer preferences and environmental regulations, potentially enhancing its long-term competitiveness.</t>
  </si>
  <si>
    <t>Recent News:
 The construction materials sector has faced some challenges in recent months, with the October 2024 Spain floods causing significant damage to infrastructure and disrupting supply chains. This natural disaster could have broader economic implications for the construction industry, particularly in Europe, which may indirectly impact the U.S. market.
 Economic Outlook:
 The overall economic outlook for the construction materials sector is mixed. While the U.S. economy is showing signs of slowing growth, the Federal Reserve's expected interest rate cut could provide some support for the sector. However, the ongoing global conflicts and political uncertainty may continue to weigh on the industry's performance.
 Political Challenges:
 The 2024 U.S. presidential election could have significant implications for the construction materials sector, as the candidates' policy proposals and approaches to infrastructure investment may differ. Additionally, the escalating tensions in the Middle East, particularly the conflict between Israel and Lebanon, could impact global trade and supply chains, affecting the availability and pricing of construction materials.
 Recent Technology Developments:
 The construction materials sector has been gradually adopting new technologies, such as advanced materials and sustainable production methods. However, the recent news does not indicate any significant technological advancements that would directly impact the sector's investment potential.</t>
  </si>
  <si>
    <t>Recent News:
 The paper and forest products sector has faced some challenges in recent months. The October 2024 Spain floods have resulted in significant damage to paper mills and forestry operations in the affected regions, disrupting supply chains and production. Additionally, the ongoing global conflicts, such as the escalating tensions between Israel and Lebanon, have contributed to economic uncertainty and volatility in the sector.
 Economic Outlook:
 The overall economic outlook for the paper and forest products sector is mixed. While the U.S. economy is showing signs of slowing growth, the demand for paper and wood products remains relatively stable. However, the sector is vulnerable to fluctuations in commodity prices, transportation costs, and changes in consumer preferences. The Federal Reserve's expected interest rate cut may provide some support for the sector, but the long-term impact remains uncertain.
 Political Challenges:
 The 2024 U.S. presidential election could have significant implications for the paper and forest products sector, as the candidates' policy proposals on environmental regulations, trade agreements, and infrastructure investments could impact the industry's operations and profitability. Additionally, the ongoing global conflicts and political instability in various regions may continue to create challenges for the sector's international trade and supply chain management.
 Recent Technology Developments:
 The paper and forest products sector has been exploring advancements in sustainable forestry practices, recycling technologies, and the development of new, innovative wood-based products. For example, the successful recovery and capture of a SpaceX Starship booster could signal progress in the space industry, which may have indirect implications for the demand for specialized paper and wood products used in aerospace applications.</t>
  </si>
  <si>
    <t>Recent News:
 The construction industry has faced several challenges in recent months, with the ongoing global conflicts and natural disasters impacting supply chains and project timelines. The October 2024 Spain floods, described as the worst in half a century, resulted in significant damage to infrastructure, which could lead to increased demand for building products in the affected regions.
 Economic Outlook:
 The overall economic outlook for the building products sector is mixed. While the U.S. economy is showing signs of slowing growth, the expected interest rate cut by the Federal Reserve may provide some support for the housing market and related industries. However, the continued uncertainty surrounding the 2024 U.S. presidential election and the potential policy changes that could result from it may create headwinds for the sector.
 Political Challenges:
 The political landscape, both domestically and globally, presents several challenges for the building products sector. The escalating tensions between Israel and Lebanon, as well as the political changes in Japan, could impact global trade and supply chains, affecting the availability and pricing of raw materials used in the production of building products.
 Recent Technology Developments:
 The building products sector has seen some advancements in emerging technologies, such as the increased use of sustainable and energy-efficient materials, as well as the integration of smart home technologies into building design. However, the pace of technological innovation in this sector has been relatively slow compared to other industries.</t>
  </si>
  <si>
    <t>Recent News:
 The ongoing conflicts in the Middle East, particularly the escalating tensions between Israel and Lebanon, have led to increased instability in the region. This has raised concerns about the potential disruption to global shipping routes, especially in the Red Sea, which could impact the marine transportation sector. Additionally, the devastating floods in Spain have caused significant damage to infrastructure, potentially affecting shipping operations in the region.
 Economic Outlook:
 The overall economic outlook for the marine transportation sector is mixed. The slowdown in job growth and the Federal Reserve's expected interest rate cut suggest a more challenging economic environment. However, the continued strength of the technology sector, led by companies like Nvidia, could provide some support for the broader market, which may benefit the marine transportation industry.
 Political Challenges:
 The upcoming U.S. presidential election in 2024 could have significant implications for the marine transportation sector, as the candidates' policy proposals and approaches to economic management may differ. Additionally, the political changes in Japan and the potential impact on global trade patterns could pose challenges for the sector.
 Recent Technology Developments:
 The successful recovery and capture of a SpaceX Starship booster could signal further progress in the space industry, which may have indirect implications for the marine transportation sector, as advancements in space exploration and technology could lead to new opportunities or disruptive changes in the industry.</t>
  </si>
  <si>
    <t>Recent News:
 The textile, apparel, and luxury goods sector has faced a mixed performance in recent weeks. While some high-end fashion brands have reported strong sales, the overall industry has been impacted by the global economic slowdown and geopolitical tensions. The recent escalation of the Israel-Lebanon conflict and the political uncertainty in Japan have raised concerns about the potential impact on consumer spending and supply chain disruptions.
 Economic Outlook:
 The sector's outlook is closely tied to the broader economic conditions. The slowdown in job growth and the Federal Reserve's expected interest rate cut suggest a more challenging environment for the industry. Consumers may become more cautious in their spending, particularly on discretionary items like luxury goods. However, the continued strength of the technology sector and the potential for a resolution in global conflicts could provide some support for the sector.
 Political Challenges:
 The upcoming U.S. presidential election and the ongoing political instability in various regions around the world, such as the Middle East and Asia, could have significant implications for the textile, apparel, and luxury goods sector. Changes in trade policies, consumer sentiment, and global supply chains could all impact the industry's performance.
 Recent Technology Developments:
 The sector has been exploring ways to leverage emerging technologies, such as e-commerce platforms, artificial intelligence, and sustainable manufacturing processes. These advancements could help companies in the industry adapt to changing consumer preferences and improve their operational efficiency.</t>
  </si>
  <si>
    <t>Recent News:
 The real estate investment trust (REIT) sector has faced some challenges in recent months, with the ongoing global conflicts and economic uncertainty impacting the commercial real estate market. The escalating tensions between Israel and Lebanon, as well as the political changes in Japan, have contributed to a more volatile environment for REITs, particularly those with international exposure.
 Economic Outlook:
 The U.S. economy is showing signs of slowing, with the recent jobs report indicating a significant slowdown in job creation. This, coupled with the Federal Reserve's expected interest rate cut, suggests that the economic landscape is becoming more challenging. The performance of specialized REITs, which often focus on specific property types, may be influenced by these broader economic trends.
 Political Challenges:
 The upcoming 2024 U.S. presidential election could also have implications for the REIT sector, as the candidates' policy proposals and approaches to economic management may differ. Investors will be closely watching the election outcome and any potential policy changes that could impact the real estate market.
 Recent Technology Developments:
 The advancements in emerging technologies, such as the successful recovery and capture of a SpaceX Starship booster, may have indirect implications for the REIT sector. Developments in the space industry and other high-tech sectors could potentially drive demand for specialized real estate, such as data centers or research facilities, which could benefit certain REIT segments.</t>
  </si>
  <si>
    <t>Recent News:
 The industrial conglomerates sector has faced a mixed performance in recent weeks, with the ongoing global conflicts and economic uncertainties weighing on investor sentiment. The slowdown in job growth, as evidenced by the October jobs report, has raised concerns about the broader economic outlook, which could impact demand for the products and services offered by industrial conglomerates.
 Economic Outlook:
 The Federal Reserve's expected interest rate cut may provide some support for the industrial conglomerates sector, as lower borrowing costs could spur investment and consumer spending. However, the debates within the Fed about the appropriate monetary policy path forward suggest that the economic landscape remains uncertain. Additionally, the potential spillover effects from natural disasters, such as the severe floods in Spain, could disrupt supply chains and operations for some industrial conglomerates.
 Political Challenges:
 The upcoming 2024 U.S. presidential election could have significant implications for the industrial conglomerates sector, as the candidates' policy proposals and approaches to economic management may differ. Investors will be closely watching the election outcome and any potential policy changes that could impact the sector.
 Recent Technology Developments:
 The advancements in emerging technologies, such as the successful recovery and capture of a SpaceX Starship booster, could have positive implications for the industrial conglomerates sector. These technological breakthroughs may drive investment and innovation in related industries, potentially benefiting some industrial conglomerates.</t>
  </si>
  <si>
    <t>Recent News:
 The commercial services and supplies sector has faced a mixed landscape in recent months. The ongoing global conflicts, natural disasters, and political uncertainty have created challenges for businesses in this sector. The October jobs report showed a significant slowdown in job creation, which could impact demand for commercial services. Additionally, the Internet Archive breach and the potential cybersecurity concerns it raises may affect investor sentiment in the technology-related aspects of this sector.
 Economic Outlook:
 The overall economic outlook for the commercial services and supplies sector is cautious. The Federal Reserve's expected interest rate cut may provide some support, but the sector's performance will largely depend on the broader economic conditions and the resolution (or escalation) of global issues. The sector's reliance on business and consumer spending could make it vulnerable to any slowdown in economic activity.
 Political Challenges:
 The upcoming U.S. presidential election and the potential policy changes it may bring could have significant implications for the commercial services and supplies sector. Depending on the candidates' policy proposals and approaches to economic management, the sector may face either supportive or challenging conditions.
 Recent Technology Developments:
 The advancements in emerging technologies, such as artificial intelligence and cybersecurity solutions, could present opportunities for companies in the commercial services and supplies sector to enhance their offerings and improve operational efficiency. The successful recovery and capture of a SpaceX Starship booster, while not directly related to this sector, may signal broader technological progress that could indirectly benefit the commercial services and supplies industry.</t>
  </si>
  <si>
    <t>Recent News:
 The consumer finance sector has faced a mixed landscape in recent months. The October jobs report showed a significant slowdown in job creation, which could impact consumer spending and demand for financial products. Additionally, the ongoing global conflicts and natural disasters, such as the devastating floods in Spain, have the potential to affect consumer confidence and the overall economic environment.
 Economic Outlook:
 The Federal Reserve's expected interest rate cut may provide some support for the consumer finance sector, as lower rates could stimulate borrowing and lending activity. However, the broader economic uncertainty and potential for further slowdown could pose challenges for the sector. Investors will be closely watching the impact of these macroeconomic factors on consumer behavior and the performance of financial institutions.
 Political Challenges:
 The upcoming 2024 U.S. presidential election could also have implications for the consumer finance sector, as the candidates' policy proposals and approaches to economic management may differ. Depending on the election outcome, the sector may face changes in regulations, consumer protection measures, or other policy shifts that could affect its operations and profitability.
 Recent Technology Developments:
 The consumer finance sector has been undergoing a digital transformation, with the increased adoption of fintech solutions and the integration of emerging technologies, such as artificial intelligence and blockchain. These advancements have the potential to improve the efficiency, accessibility, and security of financial services, which could benefit both consumers and financial institutions in the long run.</t>
  </si>
  <si>
    <t>Recent News:
 The real estate investment trust (REIT) sector has faced a mixed performance in recent weeks, with the ongoing global conflicts and economic uncertainty impacting various segments of the industry. The escalating tensions between Israel and Lebanon, as well as the political changes in Japan, have raised concerns about the potential impact on global real estate markets, which could have spillover effects on the U.S. REIT sector.
 Economic Outlook:
 The U.S. economy is showing signs of slowing growth, with the recent jobs report indicating a significant slowdown in job creation. This, coupled with the Federal Reserve's expected interest rate cut, suggests that the economic landscape is becoming more challenging for the REIT sector. However, the underlying fundamentals of the U.S. real estate market remain relatively strong, and the sector is expected to continue its long-term upward trend.
 Political Challenges:
 The upcoming 2024 U.S. presidential election could have significant implications for the REIT sector, as the candidates' policy proposals and approaches to economic management could differ significantly. Additionally, the ongoing global conflicts and political instability in various regions around the world could impact the global real estate market, with potential spillover effects on the U.S. REIT sector.
 Recent Technology Developments:
 The REIT sector has not seen any major technology-driven developments in the recent period that would significantly impact its investment value.</t>
  </si>
  <si>
    <t>Recent News:
 The beverage industry has faced some challenges in recent months. The ongoing global conflicts, including the escalating tensions between Israel and Lebanon, have led to disruptions in supply chains and logistics, impacting the availability and distribution of certain beverage products. Additionally, the devastating floods in Spain have caused damage to production facilities and transportation infrastructure, further exacerbating the supply chain issues.
 Economic Outlook:
 The overall economic outlook for the beverage sector is mixed. The slowdown in job growth and the Federal Reserve's expected interest rate cut suggest a more cautious consumer environment, which could impact discretionary spending on beverages. However, the continued strength of the technology sector and the potential for further advancements in renewable energy and space exploration may provide some offsetting positive factors for the broader economy, which could benefit the beverage industry.
 Political Challenges:
 The upcoming 2024 U.S. presidential election could introduce policy changes and regulatory uncertainty that may affect the beverage industry. Depending on the outcome and the policy proposals of the candidates, the industry may face new challenges or opportunities related to taxation, environmental regulations, or trade agreements.
 Recent Technology Developments:
 The beverage industry has been exploring ways to incorporate emerging technologies, such as artificial intelligence and data analytics, to optimize production, distribution, and marketing strategies. The successful recovery and capture of a SpaceX Starship booster could also signal advancements in the space industry, which may lead to new opportunities for the development and distribution of specialized beverages for space exploration and tourism.</t>
  </si>
  <si>
    <t>Recent News:
 The personal care products sector has faced some challenges in recent months. The ongoing global conflicts and natural disasters, such as the devastating floods in Spain, have disrupted supply chains and impacted consumer spending. Additionally, the cybersecurity breach at the Internet Archive has raised concerns about data privacy and security, which could affect consumer trust in online personal care product purchases.
 Economic Outlook:
 The overall economic outlook for the personal care products sector is mixed. The slowdown in job growth and the Federal Reserve's expected interest rate cut suggest a more cautious consumer environment. However, the continued strength of the technology sector, led by companies like Nvidia, could provide some support for personal care brands that have successfully integrated digital and e-commerce strategies.
 Political Challenges:
 The upcoming U.S. presidential election could have significant implications for the personal care products sector, as the candidates' policy proposals and approaches to economic management may differ. Additionally, the escalating tensions in the Middle East and the political changes in Japan could impact global trade and consumer sentiment, which could indirectly affect the personal care products industry.
 Recent Technology Developments:
 The personal care products sector has been embracing various technological advancements, such as the use of artificial intelligence and data analytics to better understand consumer preferences and optimize product development and marketing. The successful recovery and capture of a SpaceX Starship booster could also signal further progress in the space industry, which could potentially lead to new materials and innovations that could benefit the personal care products sector.</t>
  </si>
  <si>
    <t>Recent News:
 The household products sector has faced some challenges in recent months, with the ongoing global conflicts and natural disasters impacting supply chains and consumer demand. The October 2024 Spain floods, described as the worst in half a century, resulted in significant damage and could have broader economic implications for the region, potentially affecting European markets and indirectly impacting the U.S. household products sector.
 Economic Outlook:
 The mixed economic outlook in the U.S., with signs of slowing job growth and the Federal Reserve's expected interest rate cut, may create some headwinds for the household products sector. Consumers may become more cautious in their spending, which could affect demand for household goods. However, the sector's relatively stable and defensive nature may provide some resilience during economic uncertainty.
 Political Challenges:
 The upcoming 2024 U.S. presidential election could introduce policy changes that may impact the household products sector, depending on the candidates' policy proposals and approaches to economic management. Additionally, the escalating tensions in the Middle East, such as the conflict between Israel and Lebanon, could have broader geopolitical implications that may indirectly affect the sector.
 Recent Technology Developments:
 The household products sector has not seen any significant technological advancements that would directly impact its performance. However, the continued progress in areas like artificial intelligence and renewable energy may indirectly influence the sector's operations and sustainability efforts.</t>
  </si>
  <si>
    <t>Recent News:
 The diversified consumer services sector has faced a mixed landscape in recent months. The October jobs report showed a significant slowdown in job creation, which could impact consumer spending and demand for various services. Additionally, the ongoing global conflicts, natural disasters, and political uncertainty have contributed to a more challenging economic environment.
 Economic Outlook:
 The overall economic outlook for the diversified consumer services sector is cautious. The Federal Reserve's expected interest rate cut may provide some support, but the sector's performance will largely depend on the strength of consumer confidence and spending. The potential impact of the upcoming U.S. presidential election and the resolution (or escalation) of global conflicts and natural disasters will also be crucial factors.
 Political Challenges:
 The 2024 U.S. presidential election could have significant implications for the diversified consumer services sector, as the candidates' policy proposals and approaches to economic management may differ. Additionally, the political changes in regions like Japan and the ongoing conflicts in the Middle East could indirectly affect the sector's performance.
 Recent Technology Developments:
 While the diversified consumer services sector may not be directly impacted by the latest technological advancements, such as the successful recovery and capture of a SpaceX Starship booster, the sector could potentially benefit from the broader economic and consumer trends driven by these technological developments.</t>
  </si>
  <si>
    <t>Recent News:
 The leisure products sector has faced some challenges in recent months, with the ongoing global conflicts and natural disasters impacting consumer spending and travel patterns. The escalating tensions between Israel and Lebanon, as well as the devastating floods in Spain, have raised concerns about the potential impact on the leisure industry, particularly in regions directly affected by these events.
 Economic Outlook:
 The overall economic outlook for the leisure products sector is mixed. The slowdown in job growth and the Federal Reserve's expected interest rate cut suggest a more cautious consumer environment, which could dampen demand for leisure products and services. However, the continued strength of the technology sector, led by companies like Nvidia, may provide some support for related leisure products, such as high-end gaming and entertainment devices.
 Political Challenges:
 The upcoming 2024 U.S. presidential election could also have implications for the leisure products sector, as the candidates' policy proposals and approaches to economic management may differ. Investors will be closely watching the election outcome and any potential policy changes that could affect consumer confidence and spending in the leisure industry.
 Recent Technology Developments:
 The advancements in emerging technologies, such as the successful recovery and capture of a SpaceX Starship booster, could have positive implications for the space tourism and related leisure products. As the space industry continues to evolve, there may be opportunities for innovative leisure products and services to capitalize on this growing market.</t>
  </si>
  <si>
    <t>Recent News:
 The transportation infrastructure sector has faced a mixed landscape in recent months. The ongoing global conflicts, including the escalation of tensions between Israel and Lebanon, have disrupted global supply chains and logistics, leading to delays and increased costs for transportation companies. Additionally, the devastating floods in Spain have damaged critical transportation infrastructure, further exacerbating the challenges faced by the industry.
 Economic Outlook:
 The overall economic outlook for the transportation infrastructure sector is cautious. The slowdown in job growth and the Federal Reserve's expected interest rate cut suggest a more challenging economic environment. However, the sector's performance is closely tied to the broader economic recovery, and any improvements in the macroeconomic conditions could provide a boost to transportation infrastructure companies.
 Political Challenges:
 The upcoming U.S. presidential election could have significant implications for the transportation infrastructure sector, as the candidates' policy proposals and approaches to infrastructure investment may differ. Additionally, the political instability in various regions around the world, such as the changes in leadership in Japan, could impact global trade and transportation patterns, affecting the sector's performance.
 Recent Technology Developments:
 The transportation infrastructure sector has been embracing technological advancements, such as the use of AI and automation in logistics and supply chain management. The successful recovery and capture of a SpaceX Starship booster, a significant milestone in the space industry, could also have indirect implications for the transportation sector, as it may lead to further innovations and investments in related technologies.</t>
  </si>
  <si>
    <t>Recent News:
 The household durables sector has faced some headwinds in recent weeks, with the October jobs report showing a significant slowdown in job creation. This, coupled with the ongoing impact of major global conflicts, natural disasters, and political uncertainty, suggests that the economic landscape is becoming more challenging. The Federal Reserve is expected to respond by cutting interest rates, but there are debates within the central bank about the appropriate path forward.
 Economic Outlook:
 The U.S. economy is facing a mixed outlook, with some concerning signs emerging in the latest economic data. The weak job growth in the household durables sector, as well as the broader economic slowdown, could lead to reduced consumer spending and demand for durable goods. However, the expected interest rate cut by the Federal Reserve may provide some support for the sector.
 Political Challenges:
 The upcoming 2024 U.S. presidential election could have significant implications for the household durables sector, as the candidates' policy proposals and approaches to economic management could differ significantly. Additionally, the ongoing global conflicts and political instability in various regions around the world could also impact the sector's performance.
 Recent Technology Developments:
 The household durables sector has been impacted by advancements in emerging technologies, such as the increasing adoption of smart home devices and the integration of AI-powered features in household appliances. These technological developments could drive innovation and growth in the sector, but also introduce new competitive challenges.</t>
  </si>
  <si>
    <t>Recent News:
 The hotel, restaurant, and leisure sector has faced a mixed performance in recent months. While the easing of pandemic-related restrictions has led to an increase in travel and dining demand, the sector has also grappled with the broader economic headwinds, including slowing job growth and ongoing global conflicts. The recent Spain floods have also raised concerns about the potential impact on tourism and leisure activities in the affected regions.
 Economic Outlook:
 The sector's outlook remains cautiously optimistic, as the continued recovery in consumer spending and the expected interest rate cut by the Federal Reserve could provide some support. However, the slowdown in job creation and the potential for further economic volatility may pose challenges for the sector's growth in the near term.
 Political Challenges:
 The upcoming U.S. presidential election and the ongoing geopolitical tensions in various regions, such as the escalating conflict between Israel and Lebanon, could introduce additional uncertainty and impact consumer confidence, which is crucial for the hotel, restaurant, and leisure industry.
 Recent Technology Developments:
 The sector has been exploring ways to leverage emerging technologies, such as artificial intelligence and automation, to enhance the customer experience and improve operational efficiency. However, the impact of these technological advancements on the sector's overall performance remains to be seen.</t>
  </si>
  <si>
    <t>Recent News:
 The consumer staples distribution and retail sector has faced a mixed landscape in recent months. While the overall economy has shown signs of slowing, the demand for essential consumer goods has remained relatively stable. However, the impact of natural disasters, such as the severe floods in Spain, has raised concerns about potential supply chain disruptions and their effect on the sector.
 Economic Outlook:
 The sector's performance is closely tied to the broader economic conditions. The recent slowdown in job growth and the Federal Reserve's decision to cut interest rates suggest that the economic environment may become more challenging in the near term. This could lead to increased pressure on consumer spending, potentially impacting the revenue and profitability of companies in the consumer staples distribution and retail sector.
 Political Challenges:
 The upcoming U.S. presidential election and the ongoing global conflicts, such as the escalating tensions between Israel and Lebanon, could also have implications for the sector. Depending on the policy proposals and approaches of the candidates, the sector may face different regulatory and trade-related challenges that could affect its long-term outlook.
 Recent Technology Developments:
 The sector has not seen any significant technological advancements that would directly impact its performance. However, the continued growth of e-commerce and the increasing adoption of digital tools for supply chain management and customer engagement could provide opportunities for companies in the consumer staples distribution and retail sector to improve their operational efficiency and customer experience.</t>
  </si>
  <si>
    <t>Recent News:
 The specialty retail sector has faced a mixed performance in recent weeks, with some companies reporting stronger-than-expected earnings while others have struggled. The ongoing global conflicts, natural disasters, and political uncertainty have contributed to a challenging environment for many specialty retailers, as consumer spending patterns have become more volatile.
 Economic Outlook:
 The overall economic outlook for the specialty retail sector is cautious, as the slowdown in job growth and the potential for further interest rate cuts by the Federal Reserve could impact consumer confidence and discretionary spending. However, the continued strength in the technology sector and the potential for a resolution to some of the global conflicts could provide some support for the specialty retail industry.
 Political Challenges:
 The upcoming U.S. presidential election and the ongoing geopolitical tensions in various regions around the world could have significant implications for the specialty retail sector. Depending on the policy proposals and approaches of the candidates, as well as the resolution (or escalation) of global conflicts, the sector may face additional headwinds or tailwinds.
 Recent Technology Developments:
 The specialty retail sector has been increasingly leveraging emerging technologies, such as e-commerce platforms, artificial intelligence, and data analytics, to enhance the customer experience and improve operational efficiency. The successful recovery and capture of a SpaceX Starship booster, for example, could signal further progress in the space industry and potentially drive investment in related sectors, which could have indirect benefits for the specialty retail industry.</t>
  </si>
  <si>
    <t>Recent News:
 The broadline retail sector has faced a mixed performance in recent weeks, with some companies reporting stronger-than-expected earnings while others have struggled. The October jobs report showed a significant slowdown in job creation, which could impact consumer spending and demand for retail products. Additionally, the ongoing global conflicts and natural disasters, such as the devastating floods in Spain, have the potential to disrupt supply chains and affect the sector's operations.
 Economic Outlook:
 The overall economic outlook for the broadline retail sector is cautious. The Federal Reserve's expected interest rate cut may provide some support, but the sector's performance will largely depend on the strength of consumer spending and the ability of retailers to navigate the challenging macroeconomic environment. The potential for further economic slowdown and the impact of global events on consumer confidence and spending patterns could pose risks to the sector's growth.
 Political Challenges:
 The upcoming 2024 U.S. presidential election could have significant implications for the broadline retail sector, as the candidates' policy proposals and approaches to economic management may differ. Depending on the election outcome, the sector may face changes in regulations, tax policies, or trade agreements that could impact its operations and profitability.
 Recent Technology Developments:
 The broadline retail sector has been undergoing a digital transformation, with companies investing in e-commerce platforms, data analytics, and omnichannel strategies to enhance the customer experience and improve operational efficiency. However, the recent cybersecurity incident at the Internet Archive, which affected data privacy and security, could raise concerns and potentially impact investor sentiment in the technology-driven aspects of the sector.</t>
  </si>
  <si>
    <t>Recent News:
 The multi-utilities sector has faced some challenges in recent weeks, with the ongoing global conflicts and natural disasters impacting the broader economic landscape. The October 2024 Spain floods, described as the worst in half a century, resulted in over 200 deaths and significant damage, which could have broader economic implications for the region and potentially affect European markets, potentially impacting the performance of multi-utility companies with operations in the affected areas.
 Economic Outlook:
 The U.S. economy is facing a mixed outlook, with some concerning signs emerging in the latest economic data. The October jobs report showed a significant slowdown in job creation, which could lead to reduced demand for utility services. However, the Federal Reserve is expected to respond to these developments by cutting interest rates, which could provide some support for the multi-utilities sector.
 Political Challenges:
 The upcoming 2024 U.S. presidential election could also have implications for the multi-utilities sector, as the candidates' policy proposals and approaches to energy and infrastructure management could differ significantly. Additionally, the ongoing geopolitical tensions in various regions around the world, such as the escalating conflict between Israel and Lebanon, could impact global energy markets and potentially affect the performance of multi-utility companies.
 Recent Technology Developments:
 The continued advancements in emerging technologies, such as renewable energy and energy storage solutions, could present both opportunities and challenges for the multi-utilities sector. Companies in this sector may need to adapt their business models and investment strategies to stay competitive in the evolving energy landscape.</t>
  </si>
  <si>
    <t>Recent News:
 The industrial real estate investment trust (REIT) sector has faced some challenges in recent months, with the ongoing global conflicts and economic uncertainty impacting demand for industrial space. The October 2024 Spain floods, described as the worst in half a century, resulted in significant damage and could have broader economic implications for the region, potentially affecting European markets and indirectly impacting the U.S. industrial REIT sector.
 Economic Outlook:
 The U.S. economy is showing signs of slowing, with the October jobs report indicating a significant slowdown in job creation. This, coupled with the ongoing impact of major global conflicts and natural disasters, suggests that the economic landscape is becoming more challenging. The Federal Reserve is expected to respond by cutting interest rates, which could provide some support for the industrial REIT sector.
 Political Challenges:
 The 2024 U.S. presidential election is shaping up to be a closely watched and potentially contentious event, with a rematch between former president Donald Trump and Vice President Kamala Harris. The outcome of this election could have significant implications for the industrial REIT sector, as the candidates' policy proposals and approaches to economic management could differ significantly.
 Recent Technology Developments:
 The continued advancements in emerging technologies, such as artificial intelligence and renewable energy, could have implications for the industrial REIT sector, as companies seek to optimize their operations and reduce their environmental impact. However, there are no recent major technology developments that are directly impacting the sector.</t>
  </si>
  <si>
    <t>Recent News:
 The residential real estate market has faced some headwinds in recent months, with the October jobs report showing a significant slowdown in job creation. This, coupled with the ongoing impact of major global conflicts, natural disasters, and political uncertainty, suggests that the economic landscape is becoming more challenging. Additionally, the Federal Reserve is expected to cut interest rates at its next meeting, which could have implications for the residential REIT sector.
 Economic Outlook:
 The U.S. economy is facing a mixed outlook, with some concerning signs emerging in the latest economic data. The weaker-than-expected job growth could lead to reduced demand for rental housing, which could impact the performance of residential REITs. However, the expected interest rate cut by the Federal Reserve may provide some support for the sector, as it could make borrowing more affordable for both developers and consumers.
 Political Challenges:
 The upcoming 2024 U.S. presidential election could have significant implications for the residential REIT sector, as the candidates' policy proposals and approaches to economic management could differ significantly. Additionally, the ongoing conflicts and political instability in various regions around the world could also impact the global economic and market environment, with potential spillover effects on the U.S. real estate market.
 Recent Technology Developments:
 The residential REIT sector has been exploring the use of emerging technologies, such as smart home automation and data analytics, to improve the efficiency and customer experience of their properties. However, these technological advancements have not yet had a significant impact on the overall performance of the sector.</t>
  </si>
  <si>
    <t>Recent News:
 The healthcare real estate investment trust (REIT) sector has faced some challenges in recent months. The ongoing COVID-19 pandemic has continued to impact the demand for certain healthcare facilities, such as senior housing and skilled nursing properties. Additionally, rising interest rates have put pressure on the sector, as higher borrowing costs can affect the profitability of REITs.
 Economic Outlook:
 The long-term outlook for healthcare REITs remains relatively positive, driven by the aging population and the growing demand for healthcare services. However, the near-term economic environment poses some risks. The slowdown in job growth and the potential for further interest rate hikes by the Federal Reserve could create headwinds for the sector. Additionally, the impact of global conflicts and natural disasters on the broader economy may indirectly affect the performance of healthcare REITs.
 Political Challenges:
 The upcoming U.S. presidential election could have implications for the healthcare industry, including potential changes to healthcare policies and regulations. This uncertainty may create some volatility in the healthcare REIT sector, as investors assess the potential impact of policy changes on the industry.
 Recent Technology Developments:
 The healthcare sector has been at the forefront of technological advancements, with the increased adoption of telemedicine, remote patient monitoring, and other digital health solutions. While these developments may not have a direct impact on healthcare REITs, they could influence the long-term demand for certain types of healthcare facilities, such as outpatient clinics and diagnostic centers.</t>
  </si>
  <si>
    <t>Recent News:
 The ongoing conflicts in the Middle East, particularly the escalating tensions between Israel and Lebanon, have raised concerns about the potential disruption to global energy supply chains. This has led to increased volatility in the prices of natural gas, a key input for gas utilities. Additionally, the political changes in Japan, with the new prime minister calling for a snap election, could also impact the global energy market dynamics.
 Economic Outlook:
 The U.S. economy is facing a mixed outlook, with signs of slowing growth and the Federal Reserve expected to cut interest rates in response. This economic environment could have implications for the gas utilities sector, as a slowdown in economic activity may lead to reduced demand for natural gas. However, the sector's relatively stable and regulated nature may provide some resilience against broader economic headwinds.
 Political Challenges:
 The upcoming 2024 U.S. presidential election could introduce policy uncertainties that may impact the gas utilities sector. Depending on the candidates' policy proposals and approaches to energy and environmental regulations, the sector may face potential challenges or opportunities.
 Recent Technology Developments:
 The advancements in renewable energy technologies, such as solar and wind power, could pose a long-term challenge to the traditional gas utilities business model. However, the sector's ability to adapt and integrate these new technologies into their operations may be a key factor in maintaining their competitiveness.</t>
  </si>
  <si>
    <t>Recent News:
 The latest macroeconomic data suggests a mixed outlook for the U.S. economy. The October jobs report showed a significant slowdown in job creation, with only 12,000 jobs added, well below the expected 100,000. This weak job growth, coupled with the ongoing impact of major global conflicts, natural disasters, and political uncertainty, suggests that the economic landscape is becoming more challenging.
 Economic Outlook:
 The Federal Reserve is expected to respond to these developments by cutting interest rates by a quarter-point at its next meeting, as the central bank seeks to support the economy. However, there are debates within the Fed about the appropriate path forward, with some policymakers arguing that further rate cuts may not be the best course of action.
 Political Challenges:
 The 2024 U.S. presidential election is shaping up to be a closely watched and potentially contentious event, with a rematch between former president Donald Trump and Vice President Kamala Harris. The outcome of this election could have significant implications for the stock market, as the candidates' policy proposals and approaches to economic management could differ significantly.
 Additionally, the ongoing conflicts and political instability in various regions around the world, such as the escalating tensions between Israel and Lebanon, and the political changes in Japan, could also impact the global economic and market environment, with potential spillover effects on the U.S. stock market.
 Recent Technology Developments:
 The continued advancements in emerging technologies, such as artificial intelligence, renewable energy, and space exploration, are likely to have a growing influence on the stock market in the coming months and years. The successful recovery and capture of a SpaceX Starship booster, for example, could signal further progress in the space industry and potentially drive investment in related sectors.</t>
  </si>
  <si>
    <t>Recent News:
 The ongoing conflicts in the Middle East, particularly the escalating tensions between Israel and Lebanon, as well as the continued instability in the Sahel region, have raised concerns about the potential disruption to global oil and gas supplies. The attack on Iran by Israel has further exacerbated the geopolitical tensions in the region, which could lead to supply chain disruptions and price volatility in the oil and gas markets.
 Economic Outlook:
 The global economy is facing a mixed outlook, with signs of slowing growth and increasing uncertainty. The recent weak job growth in the U.S. and the potential for further interest rate cuts by the Federal Reserve suggest that the economic landscape is becoming more challenging. This could have a negative impact on the demand for oil and gas, as industrial and consumer activity may slow down.
 Political Challenges:
 The 2024 U.S. presidential election is a key political event that could have significant implications for the oil and gas sector. The policy proposals and approaches to energy management of the candidates could differ significantly, which could lead to uncertainty and volatility in the market.
 Recent Technology Developments:
 The advancements in renewable energy technologies, such as solar and wind power, continue to pose a long-term challenge to the traditional oil and gas industry. However, the sector has also been investing in new technologies to improve efficiency and reduce emissions, which could help maintain its competitiveness in the evolving energy landscape.</t>
  </si>
  <si>
    <t>Recent News:
 The trading companies and distributors sector has faced a mixed performance in recent weeks, with the ongoing global conflicts and economic uncertainties weighing on investor sentiment. The slowdown in job growth, as evidenced by the October jobs report, has raised concerns about the broader economic outlook, which could impact the demand for the products and services offered by companies in this sector.
 Economic Outlook:
 The Federal Reserve's expected interest rate cut may provide some support for the trading companies and distributors sector, as lower borrowing costs could potentially boost consumer spending and business investment. However, the continued impact of major global conflicts, natural disasters, and political instability could pose challenges for the sector's growth and profitability.
 Political Challenges:
 The upcoming 2024 U.S. presidential election and the potential policy changes that may result from a change in administration could introduce additional uncertainty for the trading companies and distributors sector. Depending on the candidates' policy proposals and approaches to economic management, the sector may face either tailwinds or headwinds.
 Recent Technology Developments:
 The trading companies and distributors sector has not seen any significant technological advancements that would directly impact its performance in the recent period. However, the continued adoption of e-commerce and digital distribution channels may continue to shape the competitive landscape for companies in this sector.</t>
  </si>
  <si>
    <t>Recent News:
 The mortgage REIT sector has faced some headwinds in recent weeks, as the Federal Reserve's interest rate hikes have put pressure on the industry. The October jobs report, which showed a significant slowdown in job creation, has also raised concerns about the broader economic outlook, which could impact the performance of mortgage REITs.
 Economic Outlook:
 The mixed economic data and the Fed's monetary policy decisions are likely to continue to influence the mortgage REIT sector in the coming months. The expected interest rate cut by the Federal Reserve may provide some relief, but the overall economic uncertainty could still weigh on the sector's performance.
 Political Challenges:
 The upcoming 2024 U.S. presidential election could also have implications for the mortgage REIT sector, as the candidates' policy proposals and approaches to economic management may differ. Additionally, the ongoing global conflicts and political instability in various regions could impact the broader economic environment, which could indirectly affect the mortgage REIT sector.
 Recent Technology Developments:
 The mortgage REIT sector has not seen any significant technological advancements that would directly impact its performance. The sector's performance is more closely tied to macroeconomic factors, such as interest rates, economic growth, and housing market conditions.</t>
  </si>
  <si>
    <t>Recent News:
 The distribution sector has faced a mixed landscape in recent months. The October jobs report showed a significant slowdown in job creation, with only 12,000 jobs added, well below the expected 100,000. This weak job growth, coupled with the ongoing impact of major global conflicts, natural disasters, and political uncertainty, suggests that the economic environment for distributors is becoming more challenging.
 Economic Outlook:
 The U.S. economy is facing a mixed outlook, with some concerning signs emerging in the latest economic data. The Federal Reserve is expected to respond to these developments by cutting interest rates by a quarter-point at its next meeting, as the central bank seeks to support the economy. However, there are debates within the Fed about the appropriate path forward, with some policymakers arguing that further rate cuts may not be the best course of action. This uncertainty could impact the distribution sector's performance.
 Political Challenges:
 The 2024 U.S. presidential election is shaping up to be a closely watched and potentially contentious event, with a rematch between former president Donald Trump and Vice President Kamala Harris. The outcome of this election could have significant implications for the distribution sector, as the candidates' policy proposals and approaches to economic management could differ significantly. Additionally, the ongoing conflicts and political instability in various regions around the world could also impact the global economic and market environment, with potential spillover effects on the distribution sector.
 Recent Technology Developments:
 The continued advancements in emerging technologies, such as artificial intelligence, renewable energy, and space exploration, are likely to have a growing influence on the distribution sector in the coming months and years. While these developments may not have a direct impact on the sector, they could indirectly affect the overall economic landscape and consumer behavior, which could in turn impact the performance of distribution companies.</t>
  </si>
  <si>
    <t>Recent News:
 The automobile components sector has faced mixed news in recent weeks. While the overall U.S. economy is showing signs of slowing growth, the latest jobs report indicates a significant slowdown in job creation, which could impact consumer demand for new vehicles and related components. Additionally, the ongoing global conflicts and natural disasters, such as the devastating floods in Spain, have the potential to disrupt supply chains and affect the production of automobile components.
 Economic Outlook:
 The economic outlook for the automobile components sector is cautious. The Federal Reserve's expected interest rate cut may provide some support, but the overall economic uncertainty and potential for further slowdown could weigh on consumer spending and demand for new vehicles. The sector's performance will likely be influenced by the broader trends in the automotive industry, which is facing challenges such as the transition to electric vehicles and the impact of emerging technologies.
 Political Challenges:
 The upcoming U.S. presidential election could have significant implications for the automobile components sector, as the candidates' policy proposals and approaches to economic management may differ. Additionally, the escalating tensions in the Middle East and the potential for further global conflicts could impact trade and supply chain dynamics, affecting the sector's operations.
 Recent Technology Developments:
 The automobile components sector is closely tied to the advancements in emerging technologies, such as autonomous driving, electric vehicles, and connected car systems. The successful recovery and capture of a SpaceX Starship booster, for example, could signal progress in the space industry and potentially drive investment in related technologies that could benefit the automobile components sector.</t>
  </si>
  <si>
    <t>Recent News:
 The tobacco industry has faced a mixed landscape in recent months. While some major tobacco companies have reported steady revenue and profit growth, the sector has also grappled with increasing regulatory scrutiny and public health concerns. The ongoing conflicts and political instability in various regions, such as the escalating tensions between Israel and Lebanon, have also contributed to a volatile operating environment for tobacco firms.
 Economic Outlook:
 The economic outlook for the tobacco sector is cautiously optimistic. Despite the overall slowdown in the U.S. economy, the tobacco industry has demonstrated resilience, with consumers continuing to demand tobacco products. However, the industry faces headwinds from rising production costs, increased taxation, and the growing popularity of alternative nicotine delivery systems, such as e-cigarettes and vaping products.
 Political Challenges:
 The tobacco industry has long been a target of public health advocates and policymakers, and this trend is expected to continue. The proactive role of the FTC under chair Lina Khan, who has been blocking several mergers and acquisitions, could further challenge the industry's ability to consolidate and grow. Additionally, the upcoming U.S. presidential election could bring about policy changes that may impact the tobacco sector, depending on the outcome.
 Recent Technology Developments:
 The tobacco industry has been exploring new technologies to adapt to changing consumer preferences and regulatory environments. Some companies have invested in the development of alternative nicotine delivery systems, such as heated tobacco products and e-cigarettes, in an effort to diversify their product portfolios and appeal to health-conscious consumers.</t>
  </si>
  <si>
    <t>Recent News:
 The hotel and resort real estate investment trust (REIT) sector has faced a mixed performance in recent months. While the easing of pandemic-related restrictions has led to a gradual recovery in travel demand, the sector continues to grapple with the impact of global conflicts, natural disasters, and economic uncertainty.
 Economic Outlook:
 The slowdown in job growth and the Federal Reserve's expected interest rate cut suggest a more challenging economic environment for the hotel and resort REIT sector. Reduced business and leisure travel, coupled with rising costs and supply chain disruptions, could put pressure on the sector's profitability and occupancy rates.
 Political Challenges:
 The upcoming U.S. presidential election and the potential policy changes that may result could have significant implications for the hotel and resort REIT sector. Depending on the candidates' policy proposals, the sector may face increased regulation, changes in tax policies, or shifts in consumer sentiment that could impact travel demand.
 Recent Technology Developments:
 The hotel and resort REIT sector has been exploring ways to leverage emerging technologies, such as AI-powered guest experiences and smart building management systems, to enhance operational efficiency and improve the customer experience. However, the sector's ability to invest in these technologies may be constrained by the current economic environment.</t>
  </si>
  <si>
    <t>Recent News:
 The passenger airline industry has faced significant challenges in recent months, with the ongoing global conflicts and natural disasters impacting travel demand. The escalating tensions between Israel and Lebanon, as well as the political changes in Japan, have raised concerns about the potential disruption to international travel. Additionally, the devastating floods in Spain have further dampened the industry's recovery efforts.
 Economic Outlook:
 The slowdown in job growth and the Federal Reserve's expected interest rate cut suggest a more challenging economic environment for the passenger airline sector. The weaker-than-expected jobs report and the central bank's policy response indicate a potential softening of consumer demand, which could translate to reduced air travel. Furthermore, the continued impact of major global conflicts and natural disasters may further constrain the industry's ability to recover.
 Political Challenges:
 The upcoming 2024 U.S. presidential election could have significant implications for the passenger airline industry, as the candidates' policy proposals and approaches to economic management may differ significantly. Depending on the election outcome, the industry may face changes in regulations, tax policies, or government support, which could impact its long-term viability.
 Recent Technology Developments:
 While the passenger airline industry is not directly impacted by the recent advancements in emerging technologies, such as the successful recovery and capture of a SpaceX Starship booster, these developments may indirectly influence the sector. Improvements in space exploration and transportation could potentially lead to new opportunities or challenges for the passenger airline industry in the future.</t>
  </si>
  <si>
    <t>Recent News:
 The retail real estate investment trust (REIT) sector has faced significant headwinds in recent months, with the ongoing impact of the COVID-19 pandemic and the shift towards e-commerce continuing to weigh on the performance of brick-and-mortar retail properties. The October 2024 Spain floods have also resulted in damage to some retail properties, adding to the challenges faced by the sector.
 Economic Outlook:
 The overall economic slowdown, as evidenced by the weaker-than-expected October jobs report, is likely to further dampen consumer spending and demand for retail space. The Federal Reserve's expected interest rate cut may provide some relief, but the broader economic uncertainty could continue to negatively impact the retail REIT sector.
 Political Challenges:
 The upcoming 2024 U.S. presidential election and the potential policy changes that could result from a change in administration could also create uncertainty for the retail REIT sector. Depending on the candidates' policy proposals, the sector may face additional regulatory or tax-related challenges.
 Recent Technology Developments:
 The continued growth of e-commerce and the increasing adoption of technologies like AI-powered supply chain optimization and autonomous delivery solutions could further disrupt the traditional retail landscape, posing challenges for retail REITs that rely on brick-and-mortar properties.</t>
  </si>
  <si>
    <t>Recent News:
 The office real estate investment trust (REIT) sector has faced significant headwinds in recent months, as the ongoing shift towards remote and hybrid work arrangements has led to a decline in demand for traditional office spaces. The latest data shows that office vacancy rates have reached their highest levels since the 2008 financial crisis, with many companies downsizing or abandoning their office footprints altogether.
 Economic Outlook:
 The economic outlook for the office REIT sector remains challenging. The slowdown in job growth and the potential for a recession have further dampened the demand for office space, as businesses become more cautious about their real estate needs. Additionally, the rise in interest rates has increased the cost of financing for REITs, putting pressure on their profitability.
 Political Challenges:
 The political landscape has also added to the uncertainty facing the office REIT sector. The upcoming U.S. presidential election could bring about policy changes that could impact the commercial real estate market, such as changes to tax incentives or regulations. Furthermore, the ongoing global conflicts and natural disasters have the potential to disrupt supply chains and economic activity, further exacerbating the challenges faced by the sector.
 Recent Technology Developments:
 The office REIT sector has been grappling with the impact of emerging technologies, such as the increasing adoption of remote work and the use of automation in office management. While some REITs have invested in technology to improve the efficiency and sustainability of their properties, the long-term implications of these technological changes on the sector remain uncertain.</t>
  </si>
  <si>
    <t>Recent News: Cadence Design Systems, a leading provider of electronic design automation (EDA) software, has been the subject of high market expectations. The company's mission-critical position in the chip industry has led the market to demand significant annual growth of 17% for the firm to be fairly valued.
 Financials: Cadence's financial performance has been strong, with the company consistently delivering solid revenue growth and profitability. In the latest quarter, the company reported revenue of $902 million, up 18% year-over-year, and non-GAAP earnings per share of $1.18, exceeding analyst estimates.
 Economic Outlook: The overall economic environment remains favorable for Cadence, as the demand for semiconductor design tools continues to grow. The ongoing digital transformation and the increasing complexity of chip design are driving the need for Cadence's specialized software solutions.
 Furthermore, the virtual duopoly that Cadence and its main competitor, Synopsys, hold in the EDA market provides the company with a strong competitive advantage. While other players serve niche markets, Cadence's dominant position in the industry's core segments suggests that it may be able to exceed the market's high expectations.</t>
  </si>
  <si>
    <t>Recent News: Nvidia, the leading semiconductor company, has continued to demonstrate its dominance in the industry. Despite the broader market volatility, Nvidia's stock has surged, with the company becoming the third-largest publicly traded company. This performance is largely driven by the growing demand for Nvidia's cutting-edge graphics processing units (GPUs) and their increasing adoption in various industries, including artificial intelligence, gaming, and data centers.
 Financials: Nvidia's latest financial results have been impressive, with the company reporting strong revenue growth and profitability. The company's revenue for the previous quarter exceeded expectations, and its earnings per share also beat market forecasts. Nvidia's robust financial performance has been a key factor in its recent stock price appreciation.
 Economic Outlook: The overall economic environment remains mixed, with the U.S. economy showing resilience in the job market but facing challenges in the manufacturing sector. The threat of a prolonged port strike also poses a risk of renewed inflationary pressures. However, the continued advancements in emerging technologies, such as AI, are expected to drive growth in the technology sector, which could benefit Nvidia's performance.</t>
  </si>
  <si>
    <t>Recent News: Freeport-McMoRan's shares have remained stable despite market volatility, as the company is poised to benefit from strong long-term copper demand. China's aggressive stimulus measures and focus on AI-driven infrastructure projects are expected to boost copper demand, which is a positive development for Freeport-McMoRan.
 Financials: Freeport-McMoRan has a strong balance sheet, which positions the company well to weather any short-term market fluctuations. The company's focus on copper production, a critical raw material for AI and automation technologies, aligns with the growing demand in these sectors.
 Economic Outlook: The latest macroeconomic data suggests that the U.S. economy remains resilient, with the private sector adding more jobs than expected in September. However, the manufacturing sector's contraction and the threat of a prolonged port strike pose risks to the overall economic outlook. The continued advancements in emerging technologies, like AI, could drive further growth in the market, provided that the political and geopolitical risks are managed effectively.</t>
  </si>
  <si>
    <t>Recent News: Micron Technology, a leading semiconductor company, has reported strong Q4 results, showcasing revenue growth, margin expansion, and high demand for its high-value solutions like HBM and SSDs. The company is expected to continue benefiting from tailwinds such as the growing demand for AI, 5G, and other technological advancements. Additionally, improved pricing outlook and industry supply constraints are anticipated to drive higher average selling prices (ASPs), positively impacting Micron's profitability and capital returns.
 Financials: Micron's recent financial performance has been robust, with the company reporting solid revenue growth and margin expansion in Q4. The strong demand for Micron's products, coupled with the favorable pricing environment, has contributed to the company's strong financial results.
 Economic Outlook: The overall economic outlook remains mixed, with the U.S. economy showing resilience in the face of global tensions and concerns about a potential recession. The manufacturing sector has contracted for the sixth straight month, indicating some softness in the industrial segment. However, the continued advancements in emerging technologies, such as AI, are expected to drive growth in the semiconductor industry, which could benefit Micron in the long term.</t>
  </si>
  <si>
    <t>Recent News:
 Adobe Inc. (ADBE) has continued to demonstrate its strength in the Application Software industry, with its market capitalization reaching $222.66 billion. The company's enterprise value stands at $221.22 billion, reflecting its robust financial position.
 Financials:
 Adobe's financial metrics indicate a strong performance. The company's trailing P/E ratio of 42.83 and forward P/E ratio of 24.57 suggest that the stock is trading at a premium, reflecting investor confidence in the company's growth potential. The PEG ratio of 1.64 (5-year expected) further supports this view, indicating that the stock is reasonably valued relative to its expected earnings growth.
 Additionally, Adobe's price-to-sales ratio of 10.96 and price-to-book ratio of 15.31 highlight the company's premium valuation compared to its industry peers. The enterprise value-to-revenue and enterprise value-to-EBITDA ratios of 10.56 and 28.52, respectively, also suggest that the company is trading at a premium.
 Economic Outlook:
 The overall economic outlook remains mixed, with the U.S. economy showing resilience in the private sector job market but facing challenges in the manufacturing sector and the threat of a prolonged port strike. The escalating conflict in the Middle East and the upcoming 2024 U.S. presidential election also introduce potential volatility and uncertainty into the market.
 However, the continued advancements in artificial intelligence (AI) and the strong performance of the technology sector, particularly Nvidia's surge, provide a positive backdrop for Adobe's growth prospects. The company's focus on AI-powered solutions and its position in the thriving Application Software industry could enable it to navigate the current economic landscape effectively.</t>
  </si>
  <si>
    <t>Recent News:
 Visa Inc. (V) has continued to demonstrate its resilience in the face of global economic challenges. The company's strong brand recognition, diversified revenue streams, and strategic partnerships have allowed it to navigate the volatile market conditions. Visa's recent acquisition of Plaid, a leading financial data aggregator, has further strengthened its position in the rapidly evolving digital payments landscape.
 Financials:
 Visa's financial performance remains robust, with a market capitalization of $539.01 billion and an enterprise value of $544.39 billion. The company's trailing P/E ratio of 29.66 and forward P/E ratio of 24.81 suggest that the stock is trading at a premium, reflecting investor confidence in its growth potential. Additionally, Visa's PEG ratio of 1.80 indicates that the stock may be slightly overvalued compared to its expected earnings growth.
 Economic Outlook:
 The macroeconomic environment remains mixed, with the U.S. economy showing signs of resilience, but also facing headwinds from global tensions and potential supply chain disruptions. The continued growth in digital payments and the increasing adoption of emerging technologies, such as artificial intelligence, could benefit Visa's long-term prospects. However, the company's performance may be influenced by the ongoing geopolitical developments and their impact on consumer spending and cross-border transactions.</t>
  </si>
  <si>
    <t>Recent News:
 AbbVie, a leading biopharmaceutical company, has been making headlines with its robust pipeline and strategic acquisitions. The firm recently announced the successful completion of its acquisition of Allergan, a move that strengthened its position in the aesthetics and neuroscience markets. Additionally, AbbVie's flagship product, Humira, continues to maintain its dominance in the autoimmune disease treatment landscape, contributing significantly to the company's revenue stream.
 Financials:
 AbbVie's financial performance has been impressive, with a market capitalization of $347.65 billion and an enterprise value of $405.13 billion. The company's trailing P/E ratio of 65.83 and forward P/E ratio of 16.34 suggest that the stock may be trading at a premium, reflecting the market's confidence in the firm's growth potential. The PEG ratio of 0.47 indicates that the stock may be undervalued relative to its expected earnings growth. Additionally, AbbVie's price-to-sales ratio of 6.34 and price-to-book ratio of 51.29 suggest that the stock is trading at a premium compared to its industry peers.
 Economic Outlook:
 The overall economic outlook remains positive, with the U.S. economy continuing to show resilience. The private sector has added more jobs than expected, indicating a strong labor market. However, the manufacturing sector has contracted for the sixth straight month, and the threat of a prolonged port strike poses a risk of renewed inflationary pressures. These factors could impact consumer spending and the overall economic trajectory, which may in turn affect AbbVie's performance.</t>
  </si>
  <si>
    <t>Recent News: Eli Lilly (LLY) has resolved the supply shortages for its popular weight-loss and diabetes medications, Zepbound and Mounjaro, according to the U.S. Food and Drug Administration (FDA). This development may impact the market presence of generic versions that had become popular due to the previous shortages.
 Financials: Eli Lilly is a leading pharmaceutical company with a strong financial position. In the latest quarter, the company reported revenue of $7.8 billion, a 7% increase year-over-year, driven by the strong performance of its key products, including Mounjaro and Zepbound. The company's net income for the quarter was $1.5 billion, with a robust profit margin.
 Economic Outlook: The pharmaceutical industry is expected to benefit from the aging global population and the increasing prevalence of chronic diseases. The demand for innovative treatments, such as Eli Lilly's Mounjaro and Zepbound, is likely to remain strong in the coming years. However, the industry may face challenges related to pricing pressures and regulatory changes.</t>
  </si>
  <si>
    <t>Recent News:
 Alphabet Inc. (Class A), the parent company of Google, has continued to solidify its position as a dominant player in the interactive media and services industry. The company's recent advancements in artificial intelligence (AI) and cloud computing have been well-received by investors, contributing to the stock's strong performance.
 Financials:
 Alphabet's financial metrics indicate a robust and profitable business. The company's market capitalization stands at a substantial $2.05 trillion, with an enterprise value of $1.98 trillion. The trailing P/E ratio of 23.80 and the forward P/E ratio of 18.94 suggest that the stock is reasonably valued, considering the company's growth potential. The PEG ratio of 1.12 further supports the notion that Alphabet is not overpriced relative to its expected earnings growth.
 Economic Outlook:
 The overall economic environment remains favorable for Alphabet, with the U.S. economy showing resilience and the technology sector continuing to outperform. The advancements in AI and the growing demand for cloud computing services are expected to drive Alphabet's future growth, despite the potential volatility in the stock market due to geopolitical tensions and political uncertainty.</t>
  </si>
  <si>
    <t>Recent News:
 Alphabet Inc. (Class C), the parent company of Google, has continued to solidify its position as a dominant player in the interactive media and services industry. The company's recent advancements in artificial intelligence (AI) and cloud computing have been well-received by the market, contributing to the stock's strong performance.
 Financials:
 Alphabet's financial metrics indicate a robust and profitable business. The company's market capitalization stands at a substantial $2.05 trillion, with an enterprise value of $1.98 trillion. The trailing P/E ratio of 24.00 and the forward P/E ratio of 19.08 suggest that the stock is reasonably valued, while the PEG ratio of 1.13 indicates that the company's growth potential is well-priced. Additionally, the company's price-to-sales and price-to-book ratios of 6.41 and 6.85, respectively, demonstrate the market's confidence in Alphabet's ability to generate revenue and create shareholder value.
 Economic Outlook:
 The overall economic outlook remains mixed, with the U.S. economy showing resilience in the face of global tensions and concerns about a potential recession. The technology sector, in which Alphabet operates, has been a standout performer, driven by the continued advancements in AI and the growing demand for cloud computing services. However, the escalating conflict in the Middle East and the threat of a prolonged port strike pose risks that could introduce volatility and uncertainty into the market.</t>
  </si>
  <si>
    <t>Recent News:
 Agilent Technologies, a leading provider of life sciences tools and services, has continued to demonstrate strong financial performance amidst the challenging macroeconomic environment. The company's recent quarterly results have exceeded market expectations, driven by robust demand for its analytical instruments and software solutions across various industries, including healthcare, pharmaceuticals, and environmental testing.
 Financials:
 Agilent's financial metrics reflect its strong market position and growth potential. The company's market capitalization stands at $42.10 billion, with an enterprise value of $43.26 billion. Its trailing P/E ratio of 30.47 and forward P/E ratio of 25.64 suggest that the stock is trading at a premium, reflecting investor confidence in the company's future growth prospects. The PEG ratio of 3.16 indicates that the stock may be slightly overvalued compared to its expected earnings growth.
 Economic Outlook:
 The life sciences tools and services industry has been relatively resilient in the face of broader economic uncertainties. The continued demand for advanced analytical instruments and software solutions, driven by the growth in the healthcare, pharmaceutical, and environmental sectors, is expected to benefit Agilent's performance. Additionally, the company's focus on innovation and its ability to adapt to changing market dynamics position it well to capitalize on emerging trends, such as the increasing adoption of artificial intelligence and the growing emphasis on sustainability and environmental monitoring.</t>
  </si>
  <si>
    <t>Recent News:
 Aflac, the leading provider of supplemental insurance products, has reported solid financial results for the third quarter of 2024. The company's revenue and earnings have exceeded market expectations, driven by strong sales performance and effective cost management. Aflac's diversified product portfolio, which includes accident, dental, and vision insurance, has helped the company navigate the challenging economic environment.
 Financials:
 Aflac's financial position remains robust, with a market capitalization of $63.97 billion and an enterprise value of $69.83 billion. The company's trailing P/E ratio of 12.04 and forward P/E ratio of 16.10 suggest that the stock is trading at a reasonable valuation compared to its peers. Additionally, Aflac's price-to-sales ratio of 3.41 and price-to-book ratio of 2.46 indicate that the company is generating strong returns on its assets and investments.
 Economic Outlook:
 The U.S. economy continues to show resilience, with the private sector adding more jobs than expected in September. However, the manufacturing sector's contraction and the threat of a prolonged port strike pose risks to the overall economic outlook. The ongoing geopolitical tensions in the Middle East and the upcoming 2024 U.S. presidential election could also introduce volatility and uncertainty into the market.</t>
  </si>
  <si>
    <t>Recent News:
 American Tower, a leading global real estate investment trust (REIT) in the telecom tower industry, has continued to expand its global footprint. The company recently announced the acquisition of Telxius Towers, a portfolio of over 31,000 communications sites across Europe and Latin America, further strengthening its international presence.
 Financials:
 American Tower's financial performance remains robust, with a market capitalization of $108.31 billion and an enterprise value of $153.20 billion. The company's trailing P/E ratio stands at 43.50, while the forward P/E ratio is 34.84, indicating investor confidence in the company's future growth prospects. The PEG ratio, which takes into account the company's expected growth, is 1.33, suggesting the stock may be reasonably valued.
 Economic Outlook:
 The telecom tower industry is expected to benefit from the ongoing 5G rollout and the increasing demand for wireless connectivity globally. American Tower's diversified international operations and its focus on emerging markets, such as Latin America and Europe, position the company well to capitalize on these trends.
 However, the recent geopolitical tensions and the potential impact of the port strike in the U.S. could introduce some volatility and uncertainty in the broader market, which may affect American Tower's stock performance in the short term.</t>
  </si>
  <si>
    <t>Recent News:
 Amphenol Corporation, a leading global provider of high-performance interconnect and sensor solutions, has continued to demonstrate its resilience in the face of ongoing macroeconomic challenges. The company's diversified product portfolio and strong market position have enabled it to navigate the volatile market conditions.
 Financials:
 Amphenol's latest financial data showcases its strong performance. The company boasts a market capitalization of $74.83 billion and an enterprise value of $78.97 billion. Its trailing P/E ratio stands at 37.10, while the forward P/E ratio is 30.96, indicating investor confidence in the company's future growth prospects. The PEG ratio, which takes into account the company's expected growth, is 2.69, suggesting that the stock may be reasonably valued.
 Economic Outlook:
 The overall economic outlook remains mixed, with the U.S. economy showing signs of resilience, particularly in the labor market, but also facing headwinds from the manufacturing sector's contraction and the threat of a prolonged port strike. The geopolitical tensions in the Middle East and the upcoming U.S. presidential election are also factors that could impact the stock market's performance in the near term.</t>
  </si>
  <si>
    <t>Recent News:
 Ametek, a leading manufacturer of electronic instruments and electromechanical devices, has continued to demonstrate strong performance despite the challenging macroeconomic environment. The company's diversified product portfolio and focus on innovation have allowed it to navigate the ongoing global tensions and supply chain disruptions.
 Financials:
 Ametek's latest financial data showcases its robust financial position. The company's market capitalization stands at $38.94 billion, with an enterprise value of $41.20 billion. Its trailing P/E ratio of 29.30 and forward P/E ratio of 22.94 suggest that the stock is trading at a premium, reflecting investor confidence in the company's growth prospects. The PEG ratio of 2.29 indicates that the stock may be slightly overvalued compared to its expected earnings growth.
 Economic Outlook:
 The overall economic outlook remains mixed, with the U.S. economy showing resilience in the face of global challenges. The continued strength in the private sector job market and the technology sector's performance provide a positive backdrop for Ametek's operations. However, the potential risks posed by the escalating conflict in the Middle East and the threat of a prolonged port strike could introduce volatility and uncertainty in the market.</t>
  </si>
  <si>
    <t>Recent News:
 Ameriprise Financial, a leading asset management and custody bank, has seen its stock price fluctuate in recent weeks amid the volatile market conditions. The company's diversified business model, which includes wealth management, asset management, and insurance services, has helped it navigate the challenging economic environment.
 Financials:
 Ameriprise Financial's latest financial data shows a market capitalization of $47.16 billion and an enterprise value of $45.28 billion. The company's trailing P/E ratio stands at 16.43, while the forward P/E ratio is 12.80, indicating potential growth opportunities. The PEG ratio, which measures the balance between valuation and growth, is 0.97, suggesting the stock may be reasonably priced. Additionally, the company's price-to-sales and price-to-book ratios are 3.10 and 9.45, respectively, reflecting its strong financial position.
 Economic Outlook:
 The U.S. economy continues to show resilience, with the private sector adding more jobs than expected in September. However, the manufacturing sector's contraction and the threat of a prolonged port strike pose risks to the overall economic outlook. The upcoming 2024 U.S. presidential election and the escalating conflict in the Middle East are two key political events that could significantly influence the stock market in the near future.</t>
  </si>
  <si>
    <t>Recent News:
 The escalating conflict between Hezbollah and Israel, including cyberattacks, assassinations, and airstrikes, has led to a significant increase in tensions in the Middle East. This could potentially impact the overall US stock market due to concerns about regional instability and the possibility of further escalation. Additionally, the landfall of Hurricane Helene, a category four hurricane, in Florida has caused significant damage and loss of life, which could negatively affect the US stock market, particularly sectors related to insurance, tourism, and infrastructure.
 Financials:
 American International Group (AIG) is a leading multi-line insurance company with a market capitalization of $46.65 billion and an enterprise value of $55.21 billion. The company's financial metrics, such as a trailing P/E ratio of 13.80 and a forward P/E ratio of 9.89, suggest that the stock may be undervalued. Additionally, the PEG ratio of 0.84 indicates that the company's growth potential may not be fully reflected in its current valuation.
 Economic Outlook:
 The U.S. economy continues to show resilience, with the private sector adding 143,000 jobs in September, exceeding expectations. However,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t>
  </si>
  <si>
    <t>Recent News: American Express (AXP) has been a standout performer in the Consumer Finance industry, with its stock price rising steadily over the past year. The company's strong brand recognition, diverse product offerings, and focus on high-end customers have contributed to its success.
 Financials: American Express boasts a market capitalization of $192.60 billion, indicating its significant size and market presence. The company's trailing P/E ratio of 20.22 and forward P/E ratio of 18.21 suggest that the stock is reasonably valued, while the PEG ratio of 2.05 implies potential for future growth. Additionally, the company's price-to-sales and price-to-book ratios of 3.11 and 6.52, respectively, suggest that the stock is trading at a premium compared to its peers.
 Economic Outlook: The overall economic environment remains favorable for American Express, with the U.S. economy continuing to show resilience. The strong employment data and the potential for further growth in the technology and AI sectors could provide a tailwind for the company's performance in the coming months.</t>
  </si>
  <si>
    <t>Recent News:
 American Electric Power (AEP) has announced plans to invest $37 billion in its transmission and distribution infrastructure over the next five years. This investment is aimed at modernizing the company's grid and enhancing its renewable energy capabilities. Additionally, AEP has been actively expanding its renewable energy portfolio, with a goal of achieving net-zero carbon emissions by 2050.
 Financials:
 AEP's financial metrics indicate a relatively stable and well-established company. The firm's trailing P/E ratio of 20.36 and forward P/E ratio of 17.15 suggest that the stock is reasonably valued. The PEG ratio of 2.00 implies that the company's growth potential is in line with its valuation. The price-to-sales and price-to-book ratios of 2.75 and 2.07, respectively, further suggest that the stock is not overpriced.
 Economic Outlook:
 The electric utilities industry is expected to benefit from the ongoing shift towards renewable energy sources and the need for grid modernization. The recent macroeconomic data, including the resilient private sector job growth and the continued strength in the technology sector, provide a favorable backdrop for the industry. However, the threat of a prolonged port strike and the potential impact of the Middle East conflict on energy supplies could introduce some volatility in the near term.</t>
  </si>
  <si>
    <t>Recent News:
 Waste Management, the leading provider of comprehensive waste management services in North America, has continued to demonstrate resilience amidst the challenging macroeconomic environment. The company's focus on sustainability and its ability to adapt to changing market conditions have been key factors in its recent performance.
 Financials:
 Waste Management's financial metrics indicate a strong and stable business model. The company's market capitalization of $83.20 billion and enterprise value of $98.99 billion reflect its dominant position in the industry. The trailing P/E ratio of 32.96 and forward P/E ratio of 26.18 suggest that the stock may be trading at a premium, but the PEG ratio of 2.50 indicates that the valuation is justified by the company's expected growth. Additionally, the price-to-sales ratio of 3.99 and the price-to-book ratio of 11.16 suggest that the stock is trading at a premium compared to its peers.
 Economic Outlook:
 The latest macroeconomic data suggests that the U.S. economy remains resilient, with the private sector adding more jobs than expected in September. However, the manufacturing sector's contraction and the threat of a prolonged port strike pose risks to the overall economic outlook. The escalating conflict in the Middle East and the upcoming 2024 U.S. presidential election are also factors that could introduce volatility and uncertainty into the market.</t>
  </si>
  <si>
    <t>Recent News: OpenAI, the artificial intelligence research company, has become one of the highest-valued privately held companies after its latest funding round, surpassing the market value of 87% of the S&amp;P 500 companies. This significant milestone highlights the growing importance and potential of the AI industry. However, the company now faces a tough test ahead, as it navigates an increasingly competitive landscape with the rise of other prominent AI players.
 Financials: As a privately held company, OpenAI's detailed financial information is not publicly available. However, the recent funding round, which reportedly valued the company at over $30 billion, suggests that investors see significant growth potential in the company's technology and future prospects.
 Economic Outlook: The AI industry is expected to continue its rapid growth, driven by the increasing adoption of AI-powered solutions across various sectors, from healthcare to finance. The global AI market is projected to grow at a CAGR of over 20% in the coming years, presenting substantial opportunities for companies like OpenAI to capitalize on this trend.</t>
  </si>
  <si>
    <t>Recent News:
 The Industrial Gases industry, which Air Products operates in, has faced some challenges due to the ongoing global conflicts and supply chain disruptions. However, the company has demonstrated resilience, with its latest quarterly results exceeding market expectations. Air Products' focus on expanding its presence in emerging markets, such as Asia, has been a key growth driver.
 Financials:
 Air Products' financial metrics indicate a relatively strong position. The company's market capitalization stands at $64.47 billion, with an enterprise value of $76.71 billion. The trailing P/E ratio of 25.20 and the forward P/E ratio of 21.55 suggest that the stock may be reasonably valued. The PEG ratio of 1.55 implies that the company's growth potential is being priced in. Additionally, the price-to-sales and price-to-book ratios of 5.34 and 4.27, respectively, suggest that the stock may be trading at a premium compared to its industry peers.
 Economic Outlook:
 The macroeconomic environment remains mixed, with the U.S. economy showing resilience in job creation, but the manufacturing sector facing some headwinds. The ongoing geopolitical tensions and the threat of a prolonged port strike could introduce volatility in the market. However, the continued advancements in emerging technologies, such as AI, are expected to drive growth in the industrial sector, which could benefit Air Products.</t>
  </si>
  <si>
    <t>Recent News:
 Akamai Technologies, a leading provider of cloud computing and content delivery network (CDN) services, has seen its stock price fluctuate in recent months amid the ongoing geopolitical tensions and macroeconomic uncertainties. The company's services are crucial for businesses and organizations to deliver content and applications securely and efficiently, making it a key player in the internet infrastructure industry.
 Financials:
 Akamai's latest financial data shows a market capitalization of $15.27 billion and an enterprise value of $18.25 billion. The company's trailing P/E ratio stands at 25.01, while the forward P/E ratio is 14.71, indicating potential growth opportunities. The PEG ratio, which takes into account the company's expected growth, is 1.25, suggesting the stock may be reasonably valued. Additionally, Akamai's price-to-sales and price-to-book ratios are 4.00 and 3.21, respectively, indicating a premium valuation compared to its peers.
 Economic Outlook:
 The ongoing global conflicts and natural disasters, such as the Hezbollah–Israel conflict and Hurricane Helene, have the potential to impact Akamai's business operations and financial performance. However, the company's critical role in the internet infrastructure industry and its ability to adapt to changing market conditions may help it navigate these challenges. Additionally, the continued growth in the technology and AI sectors could provide further opportunities for Akamai to expand its services and maintain its competitive edge.</t>
  </si>
  <si>
    <t>Recent News:
 Albemarle Corporation, a leading global specialty chemicals company, has been in the spotlight due to its strategic positioning in the lithium market. The company's lithium production facilities have been operating at full capacity to meet the growing demand for electric vehicles and energy storage solutions. Additionally, Albemarle has been actively investing in research and development to enhance its lithium extraction and processing technologies, positioning the company to capitalize on the long-term growth of the lithium-ion battery market.
 Financials:
 Albemarle's financial performance has been robust, with the company reporting strong revenue and earnings growth in recent quarters. The company's trailing P/E ratio of 35.46 and forward P/E ratio of 19.42 suggest that the stock may be trading at a premium valuation, reflecting the market's optimism about the company's growth prospects. The PEG ratio of 1.04 indicates that the stock is reasonably valued relative to its expected earnings growth.
 Economic Outlook:
 The global demand for lithium-ion batteries, driven by the increasing adoption of electric vehicles and the transition to renewable energy, is expected to continue growing in the coming years. This trend bodes well for Albemarle, as the company is a leading supplier of lithium, a critical raw material for these batteries. However, the ongoing geopolitical tensions and the potential for supply chain disruptions could pose risks to the company's operations and financial performance.</t>
  </si>
  <si>
    <t>Recent News:
 Alexandria Real Estate Equities, a leading office REIT, has continued to demonstrate resilience in the face of ongoing economic and geopolitical challenges. The company's focus on life science and technology-related tenants has helped it maintain a high occupancy rate, even as the broader office market has faced headwinds.
 Financials:
 Alexandria's latest financial data shows a strong market capitalization of $20.33 billion and an enterprise value of $32.58 billion. The company's trailing P/E ratio of 143.51 and forward P/E ratio of 16.69 suggest that the stock may be trading at a premium, reflecting the market's confidence in the company's growth prospects. Additionally, the firm's price-to-sales ratio of 6.63 and price-to-book ratio of 1.11 indicate that the stock may be fairly valued.
 Economic Outlook:
 The U.S. economy continues to show signs of resilience, with the private sector adding more jobs than expected in September. However, the manufacturing sector's contraction and the threat of a prolonged port strike pose risks to the overall economic outlook. The upcoming 2024 U.S. presidential election and the escalating conflict in the Middle East are two key political events that could significantly influence the stock market in the near future.</t>
  </si>
  <si>
    <t>Recent News:
 Accenture, a leading global professional services company, has continued to demonstrate its resilience and adaptability in the face of ongoing macroeconomic challenges. The company's recent financial results have been positive, with strong revenue growth and a robust order pipeline, indicating its ability to navigate the evolving business landscape.
 Financials:
 Accenture's financial metrics suggest a solid and well-positioned company. The firm's market capitalization stands at $223.04 billion, with an enterprise value of $222.15 billion. The trailing P/E ratio of 31.14 and the forward P/E ratio of 27.86 indicate that the stock is trading at a premium, reflecting the market's confidence in the company's future performance. The PEG ratio of 2.23 suggests that the stock may be slightly overvalued compared to its expected growth rate.
 Economic Outlook:
 The latest macroeconomic data points to a mixed economic environment, with the U.S. economy showing resilience in some areas, such as the strong employment figures, while facing challenges in the manufacturing sector and the threat of a prolonged port strike. These factors could have a moderate impact on Accenture's operations and financial performance in the short to medium term.</t>
  </si>
  <si>
    <t>Recent News:
 Alliant Energy, a leading electric utility company, has been making strides in its renewable energy initiatives. The company recently announced plans to invest $2 billion in wind and solar projects over the next five years, further solidifying its commitment to clean energy. This strategic move aligns with the growing demand for sustainable energy solutions and could position Alliant Energy as a key player in the industry's transition.
 Financials:
 Alliant Energy's financial performance has been relatively stable, with a market capitalization of $15.54 billion and an enterprise value of $25.21 billion. The company's trailing P/E ratio of 24.73 and forward P/E ratio of 18.66 suggest that the stock may be reasonably valued. Additionally, the PEG ratio of 2.55 indicates that the company's growth potential may be slightly above average.
 Economic Outlook:
 The overall economic outlook for the electric utilities industry remains cautiously optimistic. While the manufacturing sector has shown some softness, the continued resilience of the private sector and the positive employment data suggest that the broader economy is on a solid footing. However, the threat of a prolonged port strike and the potential impact of geopolitical tensions in the Middle East could introduce volatility and uncertainty in the market.</t>
  </si>
  <si>
    <t>Recent News:
 Wabtec, a leading manufacturer of construction machinery and heavy transportation equipment, has seen its stock price fluctuate in recent months due to the mixed economic data and geopolitical developments. The company's exposure to the infrastructure and transportation sectors has made it vulnerable to the potential impact of the ongoing port strike and the escalating conflict in the Middle East.
 Financials:
 Wabtec's financial performance has been relatively strong, with a market capitalization of $31.75 billion and an enterprise value of $35.15 billion. The company's trailing P/E ratio of 31.79 and forward P/E ratio of 23.75 suggest that the stock may be trading at a premium compared to its industry peers. However, the company's price-to-sales ratio of 3.15 and price-to-book ratio of 3.03 indicate that the stock may still be undervalued.
 Economic Outlook:
 The U.S. economy's resilience, as evidenced by the positive employment data, could provide a favorable backdrop for Wabtec's business. However, the contraction in the manufacturing sector and the threat of a prolonged port strike may pose challenges for the company's operations and financial performance.</t>
  </si>
  <si>
    <t>Recent News: Warren Buffett's Berkshire Hathaway has continued to reduce its stake in Bank of America (BAC), selling $338 million worth of shares in the latest transaction. This marks the third consecutive slowdown in Buffett's liquidation of BAC shares, which began in mid-July. The sales have been executed at some of the lowest prices seen since the legendary investor started trimming his position, raising speculation about Buffett's outlook on the bank's prospects.
 Financials: Bank of America reported solid financial results in the recent quarter, with net income of $7.1 billion and earnings per share of $0.85, exceeding market expectations. The bank's revenue grew by 12% year-over-year, driven by higher net interest income and strong performance in its consumer banking and wealth management divisions. However, the bank's provision for credit losses increased, reflecting a more cautious stance amid economic uncertainties.
 Economic Outlook: The U.S. economy has shown resilience, with the private sector adding more jobs than expected in September. However,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t>
  </si>
  <si>
    <t>Recent News:
 AES Corporation, a leading independent power producer, has been navigating the challenges posed by the ongoing geopolitical tensions and macroeconomic uncertainties. The company's operations have been impacted by the escalating conflict in the Middle East, particularly the tensions between Israel and Iran, which have the potential to disrupt global energy supplies. Additionally, the threat of a prolonged port strike in the United States could further exacerbate the company's supply chain issues and impact its ability to deliver power to its customers.
 Financials:
 AES Corporation's financial performance has been relatively stable, with a market capitalization of $14.14 billion and an enterprise value of $40.86 billion. The company's trailing P/E ratio of 18.94 and forward P/E ratio of 9.54 suggest that the stock may be undervalued compared to its peers. The PEG ratio of 1.15 indicates that the company's growth prospects are reasonably priced. Additionally, the company's price-to-sales ratio of 1.14 and price-to-book ratio of 4.57 suggest that the stock is trading at a reasonable valuation.
 Economic Outlook:
 The U.S. economy continues to show resilience, with the private sector adding more jobs than expected in September. However, the manufacturing sector's contraction and the threat of a prolonged port strike pose risks to the overall economic outlook. The ongoing geopolitical tensions and the potential impact of the 2024 U.S. presidential election could also introduce further volatility and uncertainty into the market.</t>
  </si>
  <si>
    <t>Recent News:
 Amazon's stock has seen significant volatility in recent months, reflecting the broader uncertainty in the broader retail and technology sectors. The company's expansion into new business areas, such as cloud computing and healthcare, has been a key driver of its growth, offsetting some of the challenges faced in its core e-commerce operations.
 Financials:
 Amazon's financial performance remains strong, with a market capitalization of $1.94 trillion and an enterprise value of $1.98 trillion. The company's trailing P/E ratio of 44.10 and forward P/E ratio of 31.25 suggest that the stock is trading at a premium compared to the industry average. The PEG ratio of 1.75 indicates that the stock may be slightly overvalued relative to its expected growth rate.
 Economic Outlook:
 The overall economic outlook remains mixed, with the U.S. economy showing signs of resilience, but also facing headwinds from factors such as the ongoing global conflicts and the threat of a prolonged port strike. The technology sector, in which Amazon operates, has been a standout performer, driven by the continued advancements in emerging technologies like artificial intelligence.</t>
  </si>
  <si>
    <t>Recent News:
 Ameren, a leading multi-utility company, has been making strides in its renewable energy initiatives. The company recently announced plans to invest $8 billion in renewable energy projects over the next decade, aiming to achieve net-zero carbon emissions by 2045. This strategic shift towards clean energy is expected to position Ameren as a key player in the growing renewable power market.
 Financials:
 Ameren's financial performance has been relatively stable, with a market capitalization of $23.32 billion and an enterprise value of $41.07 billion. The company's trailing P/E ratio of 19.73 and forward P/E ratio of 17.83 suggest that the stock may be reasonably valued. Additionally, the PEG ratio of 2.96 indicates that the company's growth potential may be slightly above average.
 Economic Outlook:
 The multi-utilities industry, in which Ameren operates, is expected to benefit from the ongoing shift towards renewable energy and the increasing demand for reliable and sustainable power sources. However, the recent geopolitical tensions and the potential impact of the port strike could introduce some volatility and uncertainty in the market, which may affect Ameren's performance in the short term.</t>
  </si>
  <si>
    <t>Recent News:
 American Water Works, the largest publicly traded water and wastewater utility company in the United States, has been actively expanding its operations and investing in infrastructure improvements. The company recently announced the acquisition of a water utility system in New Jersey, further strengthening its presence in the Northeast region. Additionally, American Water Works has been recognized for its commitment to sustainability, with the company being named one of the World's Most Ethical Companies by the Ethisphere Institute.
 Financials:
 American Water Works' financial performance has been solid, with the company reporting consistent revenue growth and profitability. The company's market capitalization stands at $28.47 billion, and its enterprise value is $41.63 billion. The company's trailing P/E ratio is 29.82, and the forward P/E ratio is 25.77, indicating that the stock may be trading at a premium compared to its industry peers. The PEG ratio, which takes into account the company's expected growth, is 3.43, suggesting that the stock may be overvalued.
 Economic Outlook:
 The water utilities industry is generally considered a defensive sector, as the demand for water services is relatively inelastic. However, the ongoing geopolitical tensions and the potential impact of natural disasters, such as hurricanes, could pose challenges for the industry. Additionally, the threat of a prolonged port strike could disrupt the supply chain and affect the company's operations. Despite these risks, the long-term outlook for the water utilities industry remains positive, as the need for reliable and sustainable water infrastructure is expected to continue growing.</t>
  </si>
  <si>
    <t>Recent News: Tesla has made a strategic move by discontinuing the sale of the cheapest version of the Model 3 in the US market. This decision is seen as a smart move by analysts, as it may be driven by the impact of US tariffs on Chinese-made components used in the vehicle. Despite meeting its delivery expectations for the third quarter, reporting 462,890 vehicles delivered, Tesla's stock has seen a dip, indicating potential concerns among investors.
 Financials: Tesla's third-quarter deliveries were slightly above the analysts' average forecast of 462,000 vehicles, with the majority of deliveries coming from the Model 3 and Model Y models, which totaled 439,975 units.
 Economic Outlook: The ongoing global economic challenges, including the impact of US tariffs on Chinese-made components, could continue to pose risks for Tesla's operations and profitability. However, the company's ability to meet its delivery targets and its strategic decision to discontinue the cheapest Model 3 version suggest that Tesla is adapting to the market conditions.</t>
  </si>
  <si>
    <t>Recent News:
 Amgen, a leading biotechnology company, has been making headlines with its robust pipeline of innovative drug candidates. The company's recent acquisition of Horizon Therapeutics has further strengthened its position in the biopharmaceutical industry, expanding its portfolio of treatments for rare and autoimmune diseases.
 Financials:
 Amgen's financial performance has been solid, with a market capitalization of $171.80 billion and an enterprise value of $225.14 billion. The company's trailing P/E ratio of 55.13 and forward P/E ratio of 15.62 suggest that the stock may be trading at a premium, reflecting the market's confidence in Amgen's growth potential. The PEG ratio of 2.22 indicates that the stock may be slightly overvalued compared to its expected earnings growth.
 Economic Outlook:
 The biotechnology industry has been resilient in the face of the ongoing global economic challenges. The continued demand for innovative treatments, coupled with the industry's focus on research and development, has contributed to the sector's overall stability. However, the potential impact of geopolitical tensions and regulatory changes on the industry's supply chain and pricing dynamics should be closely monitored.</t>
  </si>
  <si>
    <t>Recent News:
 A. O. Smith, a leading manufacturer of water heating and water treatment products, has seen its stock price fluctuate in recent months amid the ongoing global economic and geopolitical uncertainties. The company's performance has been influenced by factors such as the escalating conflict in the Middle East, the threat of a prolonged port strike, and the potential impact of the upcoming U.S. presidential election.
 Financials:
 A. O. Smith's financial metrics suggest a mixed picture. The company's trailing and forward P/E ratios of 22.75 and 20.24, respectively, indicate that the stock may be trading at a premium compared to its industry peers. However, the PEG ratio of 2.02 suggests that the stock may be fairly valued considering its expected growth. Additionally, the company's price-to-sales and price-to-book ratios of 3.34 and 6.72, respectively, suggest that the stock may be trading at a premium compared to its historical averages.
 Economic Outlook:
 The U.S. economy continues to show resilience, with the private sector adding more jobs than expected in September. However, the manufacturing sector's contraction and the threat of a prolonged port strike pose risks to the overall economic outlook. The escalating conflict in the Middle East and the upcoming U.S. presidential election are also likely to introduce further volatility and uncertainty into the market.</t>
  </si>
  <si>
    <t>Recent News:
 Analog Devices, a leading semiconductor company, has been at the forefront of the industry's technological advancements. The firm's focus on high-performance analog, mixed-signal, and digital signal processing (DSP) solutions has positioned it as a key player in the growing demand for advanced electronics across various sectors, including industrial, automotive, and communications.
 Financials:
 Analog Devices' financial performance has been robust, with a market capitalization of $113.07 billion and an enterprise value of $118.62 billion. The company's trailing P/E ratio of 68.59 and forward P/E ratio of 28.33 suggest that the stock may be trading at a premium, reflecting the market's confidence in the firm's growth potential. The PEG ratio of 2.36 indicates that the stock may be slightly overvalued compared to its expected earnings growth.
 Economic Outlook:
 The semiconductor industry is closely tied to the broader economic conditions, and the recent macroeconomic data provides a mixed outlook. While the U.S. private sector has shown resilience by adding more jobs than expected, the manufacturing sector has contracted for the sixth consecutive month, indicating some softness in the industrial segment. Additionally, the threat of a prolonged port strike poses a risk of renewed inflationary pressures, which could impact consumer spending and the overall economic trajectory.</t>
  </si>
  <si>
    <t>Recent News:
 Abbott Laboratories, a leading global healthcare company, has continued to demonstrate its resilience in the face of ongoing market challenges. The company's diversified product portfolio, which includes medical devices, diagnostics, nutritional products, and branded generic pharmaceuticals, has helped it navigate the volatile economic landscape.
 Financials:
 Abbott's latest financial data shows a strong market capitalization of $197.72 billion and an enterprise value of $205.26 billion. The company's trailing P/E ratio stands at 35.85, while the forward P/E ratio is 21.98, indicating potential growth opportunities. The PEG ratio, which measures the company's growth potential, is 4.15, suggesting that the stock may be slightly overvalued compared to its expected earnings growth.
 Economic Outlook:
 The overall economic outlook remains mixed, with the U.S. economy showing signs of resilience, particularly in the private sector job market. However, the manufacturing sector has contracted for the sixth straight month, and the threat of a prolonged port strike poses a risk of renewed inflationary pressures. These factors could impact consumer spending and the healthcare industry, which may affect Abbott's performance in the short to medium term.</t>
  </si>
  <si>
    <t>Recent News: AMD is poised for a potential breakout from its current trading range, driven by strong Q2 earnings and robust Data Center revenue growth. The acquisition of ZT Systems enhances AMD's AI and data center capabilities, potentially boosting revenue and market position. Risks include failing to break resistance at $160 and negative analyst sentiment regarding the ZT Systems acquisition or data center guidance when it reports Q3 earnings later this month.
 Financials: AMD's financial metrics present a mixed picture. The company has a high trailing P/E ratio of 190.20, indicating that the stock may be overvalued. However, the forward P/E ratio of 29.41 and the PEG ratio of 0.41 suggest that the stock may be undervalued relative to its growth potential. The company's high Price/Sales and Enterprise Value/Revenue ratios indicate that the stock is trading at a premium compared to its peers.
 Economic Outlook: The overall economic outlook remains uncertain, with ongoing global tensions and concerns about a potential recession. However, the resilience of the U.S. economy, as evidenced by the strong employment data, provides some support for the stock market. The continued advancements in emerging technologies, such as AI, could also benefit AMD's performance in the medium to long term.</t>
  </si>
  <si>
    <t>Recent News:
 Align Technology, the leading manufacturer of clear aligners and intraoral scanners, has seen its stock price fluctuate in recent months amid the ongoing global economic and geopolitical uncertainties. The company's innovative products, which are used in the orthodontic and restorative dentistry markets, have continued to gain traction, but concerns about consumer spending and potential supply chain disruptions have weighed on investor sentiment.
 Financials:
 Align Technology's latest financial data shows a strong market capitalization of $17.78 billion and an enterprise value of $17.13 billion. The company's trailing P/E ratio stands at 40.42, while the forward P/E ratio is 22.78, indicating that the stock may be trading at a premium compared to its expected future earnings. The PEG ratio, which takes into account the company's growth prospects, is 1.35, suggesting that the stock may be fairly valued.
 Economic Outlook:
 The overall economic outlook remains mixed, with the U.S. economy showing resilience in the face of global challenges. The continued strength in the job market and the technology sector's performance have provided some support to the stock market. However, the threat of a prolonged port strike and the ongoing geopolitical tensions in the Middle East could introduce volatility and uncertainty in the coming months.</t>
  </si>
  <si>
    <t>Recent News:
 The escalating conflict between Hezbollah and Israel, including cyberattacks, assassinations, and airstrikes, has led to a significant increase in tensions in the Middle East. This could potentially impact Allstate's operations and financial performance due to concerns about regional instability and the possibility of further escalation. Additionally, the landfall of Hurricane Helene, a category four hurricane, in Florida has caused significant damage and loss of life, which could negatively affect Allstate's insurance business, particularly in the areas of claims and payouts.
 Financials:
 Allstate's financial metrics suggest a mixed picture. The company's trailing P/E ratio of 17.34 and forward P/E ratio of 10.95 indicate that the stock may be reasonably valued, but the lack of a PEG ratio makes it difficult to assess the company's growth prospects. The price-to-sales ratio of 0.83 and the enterprise value-to-revenue ratio of 0.99 suggest that the stock may be undervalued compared to its peers. However, the price-to-book ratio of 3.03 indicates that the stock may be trading at a premium.
 Economic Outlook:
 The U.S. economy continues to show resilience, with the private sector adding 143,000 jobs in September, exceeding expectations. This positive employment data suggests that the economy remains on a solid footing, despite ongoing global tensions and concerns about a potential recession. However,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t>
  </si>
  <si>
    <t>Without any recent news or financial data provided, it is difficult to provide a comprehensive assessment of Thermo Fisher Scientific's investment potential in the Life Sciences Tools &amp; Services industry for the next month. The macroeconomic outlook, including factors such as the ongoing geopolitical tensions, the U.S. presidential election, and the Federal Reserve's monetary policy decisions, could have a significant impact on the overall market performance and the performance of companies within the industry.
 However, the Life Sciences Tools &amp; Services industry has generally been resilient, as the demand for scientific instruments, reagents, and services remains strong, driven by the continued advancements in various fields, including healthcare, biotechnology, and pharmaceutical research. Thermo Fisher Scientific, as a leading player in this industry, could potentially benefit from these industry-wide trends, provided that the company's fundamentals remain strong.</t>
  </si>
  <si>
    <t>Recent News:
 Allegion, a leading provider of security products and solutions, has seen its stock price fluctuate in recent months amid the ongoing geopolitical tensions and economic uncertainties. The company's performance has been influenced by the potential impact of the escalating conflict in the Middle East, as well as concerns about the threat of a prolonged port strike in the United States.
 Financials:
 Allegion's financial metrics suggest a mixed picture. The company's trailing P/E ratio of 23.19 and forward P/E ratio of 18.73 indicate that the stock may be trading at a premium compared to its industry peers. However, the PEG ratio of 1.87 suggests that the stock may be fairly valued relative to its expected growth. Additionally, the company's price-to-sales and price-to-book ratios of 3.50 and 8.92, respectively, suggest that the stock may be trading at a premium compared to its intrinsic value.
 Economic Outlook:
 The U.S. economy continues to show resilience, with the private sector adding more jobs than expected in September. However, the manufacturing sector's contraction and the threat of a prolonged port strike pose risks to the overall economic outlook. These factors could potentially impact Allegion's performance, as the company's products are closely tied to the construction and real estate sectors.</t>
  </si>
  <si>
    <t>Recent News:
 The hospitality industry has faced significant challenges in the past year, with the ongoing impact of the COVID-19 pandemic and the resulting travel restrictions. However, Airbnb has demonstrated resilience, adapting its business model to cater to the changing consumer preferences for more flexible and remote-friendly accommodations.
 Financials:
 Airbnb's financial performance has been mixed, with the company reporting strong revenue growth but also high operating expenses. The company's market capitalization of $79.79 billion and an enterprise value of $70.81 billion suggest that investors remain optimistic about its long-term prospects. The company's trailing P/E ratio of 17.16 and forward P/E ratio of 26.81 indicate that the stock may be trading at a premium compared to its industry peers.
 Economic Outlook:
 The macroeconomic environment remains uncertain, with concerns about a potential recession and the impact of geopolitical tensions on the global economy. However, the recent positive employment data in the U.S. and the continued growth in the technology sector suggest that the economy may be able to weather these challenges. The ongoing conflict in the Middle East and the threat of a prolonged port strike could introduce additional volatility in the market, which may impact Airbnb's performance in the short term.</t>
  </si>
  <si>
    <t>Without any recent news or financial data provided, it is challenging to provide a comprehensive assessment of Apple Inc.'s investment potential in the Technology Hardware, Storage &amp; Peripherals industry for the next month. The macroeconomic outlook, including factors such as the ongoing geopolitical tensions, the U.S. presidential election, and the Federal Reserve's monetary policy decisions, could have a significant impact on the overall performance of the technology sector and Apple's stock price.
 However, given Apple's dominant position in the industry, its strong brand recognition, and its history of innovation, the company's long-term prospects remain favorable. The continued growth in emerging technologies, such as artificial intelligence, could also benefit Apple's product portfolio and drive future revenue growth.</t>
  </si>
  <si>
    <t>Recent News:
 Amentum, a leading diversified support services company, has been navigating the challenges posed by the ongoing global conflicts and economic uncertainties. The company's operations have been impacted by the escalating tensions in the Middle East, particularly the conflict between Hezbollah and Israel, as well as the potential disruptions from the Hurricane Helene and the threat of a prolonged port strike.
 Financials:
 Amentum's financial performance has remained relatively stable, with a market capitalization of $3.87 billion and an enterprise value of $3.77 billion. The company's trailing P/E ratio of 15.07 suggests that its shares are trading at a reasonable valuation compared to its earnings. However, the lack of forward P/E and PEG ratio data makes it difficult to assess the company's future growth prospects.
 Economic Outlook:
 The overall economic outlook for the U.S. remains mixed, with the private sector adding more jobs than expected in September, but the manufacturing sector continuing to contract. The threat of a prolonged port strike poses a risk of renewed inflationary pressures, which could impact consumer spending and the company's operations.</t>
  </si>
  <si>
    <t>Recent News:
 Amcor, a leading global packaging company, has been navigating the challenges posed by the ongoing geopolitical tensions and macroeconomic uncertainties. The company's operations have been impacted by the escalating conflict in the Middle East, particularly the tensions between Israel and Iran, which have the potential to disrupt global supply chains and energy markets. Additionally, the threat of a prolonged port strike in the United States raises concerns about renewed inflationary pressures, which could affect Amcor's cost structure and profitability.
 Financials:
 Amcor's financial performance has been relatively stable, with a market capitalization of $16.23 billion and an enterprise value of $22.83 billion. The company's trailing P/E ratio of 22.24 and forward P/E ratio of 14.68 suggest that the stock may be reasonably valued, although the PEG ratio of 4.01 indicates that the company's growth prospects may be somewhat limited. Amcor's price-to-sales ratio of 1.19 and price-to-book ratio of 4.18 suggest that the stock is trading at a premium compared to its industry peers.
 Economic Outlook:
 The U.S. economy continues to show resilience, with the private sector adding more jobs than expected in September. However, the manufacturing sector's contraction and the threat of a prolonged port strike pose risks to the overall economic trajectory. The ongoing geopolitical tensions and the upcoming 2024 U.S. presidential election are also likely to introduce volatility and uncertainty into the market, which could impact Amcor's performance.</t>
  </si>
  <si>
    <t>Recent News:
 The ongoing geopolitical tensions in the Middle East, particularly the escalating conflict between Hezbollah and Israel, as well as the potential impact of Hurricane Helene on the U.S. economy, have introduced volatility in the stock market. This could have implications for industrial conglomerates like 3M, as global economic uncertainty and supply chain disruptions may affect their operations and financial performance.
 Financials:
 3M's financial metrics present a mixed picture. The company's trailing P/E ratio of 52.70 is relatively high, suggesting that the stock may be overvalued. However, the forward P/E ratio of 17.27 and the PEG ratio of 1.90 indicate that the stock may be reasonably priced based on future earnings expectations. The price-to-sales and price-to-book ratios of 2.30 and 19.00, respectively, suggest that the company's valuation is on the higher end compared to its peers.
 Economic Outlook:
 The U.S. economy continues to show resilience, with the private sector adding more jobs than expected in September. However, the manufacturing sector's contraction and the threat of a prolonged port strike pose risks to the overall economic trajectory. The upcoming 2024 U.S. presidential election and the ongoing geopolitical tensions in the Middle East could also impact the stock market's performance in the near term.</t>
  </si>
  <si>
    <t>Recent News: Humana (HUM) shares have plummeted to levels not seen in over four years after the Centers for Medicare and Medicaid Services (CMS) downgraded a large portion of the health insurer's Medicare offerings. This downgrade of Humana's Medicare plan ratings has raised concerns among investors about the potential impact on the company's future performance.
 Financials: Humana is a major player in the Managed Health Care industry, providing a range of insurance products and services, including Medicare plans. The company's financial performance has generally been strong, with steady revenue growth and profitability in recent years. However, the recent CMS rating downgrade could pose a challenge to Humana's ability to maintain its market share and profitability in the Medicare segment.
 Economic Outlook: The Managed Health Care industry is heavily influenced by government regulations and policies, particularly those related to Medicare and Medicaid. The ongoing political and economic uncertainties, including the potential impact of the 2024 U.S. presidential election, could introduce further volatility and uncertainty for Humana and its peers in the industry.</t>
  </si>
  <si>
    <t>Recent News:
 Altria Group, the leading tobacco company in the United States, has faced ongoing challenges in the industry due to the declining smoking rates and increased regulatory scrutiny. The company's recent acquisition of a 35% stake in Juul Labs, a prominent e-cigarette manufacturer, has been met with mixed reactions from investors and regulators. While the move was intended to diversify Altria's portfolio and capitalize on the growing vaping market, the regulatory crackdown on e-cigarettes has raised concerns about the long-term viability of this investment.
 Financials:
 Altria's financial performance has been relatively stable, with a market capitalization of $86.32 billion and an enterprise value of $109.54 billion. The company's trailing P/E ratio of 8.72 and forward P/E ratio of 9.66 suggest that the stock may be undervalued compared to its peers. However, the PEG ratio of 4.04 indicates that the stock may be overpriced relative to its expected earnings growth.
 Economic Outlook:
 The tobacco industry as a whole is facing significant headwinds, with increasing health concerns, government regulations, and the rise of alternative nicotine products, such as e-cigarettes and vaping. The ongoing geopolitical tensions and economic uncertainty could also impact consumer spending, which could further challenge Altria's performance in the near term.</t>
  </si>
  <si>
    <t>Without any recent news or financial data provided, it is difficult to provide a comprehensive assessment of the investment potential for Edwards Lifesciences in the Health Care Equipment industry. The macroeconomic outlook, including factors such as the ongoing geopolitical tensions, the U.S. presidential election, and the Federal Reserve's monetary policy decisions, could have a significant impact on the performance of the healthcare sector and the overall stock market.
 However, the healthcare industry, particularly the medical equipment segment, has historically demonstrated resilience and the potential for long-term growth, driven by factors such as an aging population, advancements in medical technology, and the increasing demand for healthcare services. Edwards Lifesciences, as a leading manufacturer of heart valves and other cardiovascular devices, could potentially benefit from these industry-wide trends.</t>
  </si>
  <si>
    <t>Without any recent news or financial data provided, it is challenging to provide a comprehensive assessment of the investment potential for Nasdaq, Inc. in the Financial Exchanges &amp; Data industry. The macroeconomic outlook, however, suggests a mixed picture for the overall market performance in the next month.
 The U.S. economy continues to show resilience, with positive employment data, but the manufacturing sector's contraction and the threat of a prolonged port strike pose risks to the economic trajectory. Additionally, the escalating conflict in the Middle East and the upcoming 2024 U.S. presidential election could introduce further volatility and uncertainty into the stock market.
 The technology sector, including AI-related companies, has been a standout performer, and Nasdaq, Inc. as a leading financial exchange and data provider, could potentially benefit from this trend. However, without access to the company's recent financial information and market positioning, it is difficult to gauge the specific investment value of Nasdaq, Inc. in the current environment.</t>
  </si>
  <si>
    <t>Without any recent news or financial data provided, it is difficult to provide a comprehensive assessment of Molina Healthcare's investment potential in the Managed Health Care industry for the next month. The macroeconomic outlook, including factors such as the ongoing geopolitical tensions, the potential impact of the port strike, and the upcoming U.S. presidential election, could all have significant implications for the healthcare sector. However, without the necessary company-specific information, it is not possible to determine how Molina Healthcare might be affected by these broader economic and political developments.</t>
  </si>
  <si>
    <t>Without any recent news or financial data provided, it is difficult to provide a comprehensive assessment of Moody's Corporation's investment potential in the Financial Exchanges &amp; Data industry for the next month. The macroeconomic outlook, including factors such as the ongoing geopolitical tensions, the U.S. presidential election, and the Federal Reserve's monetary policy decisions, could have a significant impact on the overall performance of the financial sector. However, without the specific details about Moody's Corporation's current financial standing, market position, and growth prospects, it is not possible to make a well-informed evaluation of the company's investment value.</t>
  </si>
  <si>
    <t>Without any recent news or financial data provided, it is difficult to provide a comprehensive assessment of the investment potential for Monolithic Power Systems in the Semiconductors industry for the next month. The macroeconomic outlook, including factors such as the ongoing geopolitical tensions, the U.S. presidential election, and the Federal Reserve's monetary policy decisions, could have a significant impact on the overall performance of the semiconductor sector. However, without the specific details about Monolithic Power Systems' financial health, market position, and growth prospects, it would be speculative to assign a meaningful investment score.</t>
  </si>
  <si>
    <t>Without any recent news or financial data provided, it is challenging to provide a comprehensive assessment of Moderna's investment potential in the Biotechnology industry for the next month. The macroeconomic outlook, including factors such as the ongoing geopolitical tensions, the U.S. presidential election, and the Federal Reserve's monetary policy decisions, could have a significant impact on the overall performance of the Biotechnology sector. However, without the specific details about Moderna's current financial standing, product pipeline, and competitive positioning, it is difficult to determine the company's investment value accurately.</t>
  </si>
  <si>
    <t>Without any recent news or financial data provided, it is difficult to provide a comprehensive assessment of NetApp's investment potential in the Technology Hardware, Storage &amp; Peripherals industry for the next month. The macroeconomic outlook, including factors such as the ongoing geopolitical tensions, the U.S. presidential election, and the Federal Reserve's monetary policy decisions, could have a significant impact on the overall performance of the technology sector and, consequently, NetApp's stock.
 However, given the lack of specific information about the company's current financial standing, product pipeline, and competitive positioning, it would be speculative to assign a definitive score reflecting the potential investment value of NetApp. A more thorough analysis of the company's fundamentals, industry trends, and market dynamics would be necessary to provide a meaningful and well-informed investment recommendation.</t>
  </si>
  <si>
    <t>Without any recent news or financial data provided, it is difficult to provide a comprehensive assessment of Morgan Stanley's investment potential in the Investment Banking &amp; Brokerage industry for the next month. The macroeconomic outlook, including factors such as the ongoing geopolitical tensions, the U.S. presidential election, and the Federal Reserve's monetary policy decisions, could have a significant impact on the performance of the financial sector, including Morgan Stanley. However, without access to the company's latest financial statements, market performance, and industry-specific information, a reliable evaluation of the firm's investment value cannot be made.</t>
  </si>
  <si>
    <t>Without any recent news or financial data provided, it is difficult to provide a comprehensive assessment of the investment potential for Mosaic Company (The) in the Fertilizers &amp; Agricultural Chemicals industry. The macroeconomic outlook, including factors such as global conflicts, natural disasters, and political events, could have a significant impact on the company's performance and the overall industry dynamics. However, without the necessary information about the company's current financial standing, operational efficiency, and competitive positioning, a reliable investment score cannot be determined.</t>
  </si>
  <si>
    <t>Without any recent news or financial data provided, it is difficult to provide a comprehensive assessment of the investment potential of Mid-America Apartment Communities in the Multi-Family Residential REITs industry for the next month. The overall economic outlook, including factors such as the performance of the housing market, consumer spending, and interest rate movements, would be crucial in determining the company's prospects. However, without the necessary information, a thorough evaluation cannot be made.</t>
  </si>
  <si>
    <t>Without any recent news or financial data provided, it is difficult to provide a comprehensive assessment of Motorola Solutions' investment potential in the Communications Equipment industry for the next month. The macroeconomic outlook, including factors such as the ongoing geopolitical tensions, the U.S. presidential election, and the performance of the overall stock market, could have a significant impact on the company's performance. However, without access to the latest financial statements, market trends, and industry-specific information, a reliable investment score cannot be determined.</t>
  </si>
  <si>
    <t>Without any recent news or financial data provided, it is difficult to provide a comprehensive assessment of the investment potential for Molson Coors Beverage Company. The company's performance and outlook would largely depend on the broader economic conditions, industry trends, and the company's specific strategies and execution.
 The Brewers industry is influenced by factors such as consumer preferences, regulatory environment, and competition. The macroeconomic outlook, including factors like consumer spending, inflation, and interest rates, can also impact the industry's dynamics and the company's financial performance.
 Given the lack of recent information, it would be prudent to further research and analyze the company's latest financial reports, management's guidance, and industry-specific developments before making an informed investment decision.</t>
  </si>
  <si>
    <t>Without any recent news or financial data provided, it is difficult to provide a comprehensive assessment of the investment potential for MSCI, a company in the Financial Exchanges &amp; Data industry. The macroeconomic outlook, however, suggests that the overall market environment may be volatile in the near term due to factors such as the escalating conflict in the Middle East, the threat of a port strike, and the uncertainty surrounding the upcoming U.S. presidential election.
 In the absence of company-specific information, it is challenging to determine the potential impact of these broader economic and geopolitical developments on MSCI's performance. The financial exchanges and data industry is generally sensitive to market conditions, and the company's ability to navigate the current environment and capitalize on emerging trends, such as the growth in artificial intelligence, would be crucial factors in evaluating its investment value.</t>
  </si>
  <si>
    <t>Without any recent news or financial data provided, it is difficult to provide a comprehensive assessment of the investment potential of MGM Resorts in the Casinos &amp; Gaming industry for the next month. The macroeconomic outlook, including factors such as consumer spending, tourism trends, and regulatory changes, would be crucial in determining the company's performance and investment value.
 Given the lack of specific information, a definitive score cannot be assigned. However, the Casinos &amp; Gaming industry is generally sensitive to broader economic conditions and geopolitical events, which could impact MGM Resorts' operations and financial results in the short term.</t>
  </si>
  <si>
    <t>Without any recent news or financial data provided, it is difficult to provide a comprehensive assessment of Mondelez International's investment potential in the Packaged Foods &amp; Meats industry for the next month. The macroeconomic outlook, including factors such as consumer spending, inflation, and the overall economic conditions, would be crucial in evaluating the company's performance and growth prospects.
 Given the lack of specific information about Mondelez International, a definitive investment score cannot be assigned. The company's ability to navigate the current market environment, its competitive positioning, and its strategic initiatives would all need to be taken into consideration to determine its potential investment value.</t>
  </si>
  <si>
    <t>Without any recent news or financial data provided, it is difficult to provide a comprehensive assessment of the investment potential for Otis Worldwide in the Industrial Machinery &amp; Supplies &amp; Components industry. The macroeconomic outlook, which includes factors such as the ongoing global conflicts, the potential impact of natural disasters, and the political landscape, could have a significant influence on the performance of companies in this industry. However, without the specific details about Otis Worldwide's operations, financial standing, and market positioning, a reliable investment score cannot be determined.</t>
  </si>
  <si>
    <t>Without any recent news or financial data provided, it is difficult to provide a comprehensive assessment of the investment potential of Oracle Corporation in the Application Software industry for the next month. The macroeconomic outlook, including factors such as the ongoing geopolitical tensions, the U.S. presidential election, and the performance of the technology sector, could have a significant impact on the company's performance. However, without access to the latest financial statements, market trends, and industry-specific information, a reliable score cannot be determined.</t>
  </si>
  <si>
    <t>Without any recent news or financial data provided, it is difficult to provide a comprehensive assessment of ONEOK's investment potential in the Oil &amp; Gas Storage &amp; Transportation industry for the next month. The macroeconomic outlook, including factors such as global conflicts, natural disasters, and political events, could have a significant impact on the performance of companies in this sector. However, without the necessary information about ONEOK's specific operations, financial standing, and market positioning, a reliable investment score cannot be determined.</t>
  </si>
  <si>
    <t>Without any recent news or financial data provided, it is difficult to provide a comprehensive assessment of ON Semiconductor's investment potential. The semiconductor industry is heavily influenced by macroeconomic factors, such as the ongoing global conflicts, the threat of a port strike, and the political landscape in the United States.
 The semiconductor sector has been a standout performer in the stock market, with the continued advancements in emerging technologies, particularly artificial intelligence (AI), driving growth. However, the volatility in the market and the potential risks posed by the geopolitical tensions could impact the overall performance of the industry, including ON Semiconductor.
 Given the lack of specific information about the company's recent developments and financial standing, it is challenging to assign a meaningful investment score. A more thorough analysis would be required to evaluate the company's competitive position, growth prospects, and potential risks.</t>
  </si>
  <si>
    <t>Without any recent news or financial data provided, it is difficult to provide a comprehensive assessment of Omnicom Group's investment potential in the Advertising industry for the next month. The macroeconomic outlook, however, suggests some potential headwinds that could impact the overall advertising sector.
 The escalating conflicts in the Middle East, particularly the tensions between Israel and Iran, as well as the potential disruptions from the Hurricane Helene and the threat of a prolonged port strike, could introduce volatility and uncertainty into the market. These geopolitical and economic factors may influence consumer spending and business investment, which are crucial drivers for the advertising industry.
 Additionally, the upcoming 2024 U.S. presidential election could also introduce political uncertainty that may affect investor sentiment and the overall market performance.
 Given the lack of specific information about Omnicom Group's recent performance and the potential risks posed by the macroeconomic environment, it is challenging to assign a definitive investment score for the company in the next month.</t>
  </si>
  <si>
    <t>Without any recent news or financial data provided, it is difficult to assess the potential investment value of Old Dominion, a company in the Cargo Ground Transportation industry. The macroeconomic outlook, including factors such as the ongoing global conflicts, the potential impact of natural disasters, and the political landscape, could have significant implications for the transportation and logistics sector. However, without access to the company's specific performance metrics and industry trends, a comprehensive evaluation cannot be made.</t>
  </si>
  <si>
    <t>Without any recent news or financial data provided, it is difficult to provide a comprehensive assessment of Occidental Petroleum's investment potential in the Oil &amp; Gas Exploration &amp; Production industry for the next month. The macroeconomic outlook, including factors such as global conflicts, natural disasters, and political events, could significantly impact the performance of the industry and the company. However, without access to the latest financial statements, operational updates, and market positioning of Occidental Petroleum, a reliable investment score cannot be determined.</t>
  </si>
  <si>
    <t>Without any recent news or financial data provided, it is difficult to provide a comprehensive assessment of the investment potential for O'Reilly Auto Parts in the Automotive Retail industry. The macroeconomic outlook, including factors such as consumer spending, inflation, and the overall health of the automotive sector, would be crucial in evaluating the company's prospects.
 Given the lack of specific information about the company's current performance and market position, a definitive investment score cannot be determined. The potential investment value would depend on a thorough analysis of O'Reilly Auto Parts' financial statements, competitive positioning, growth strategies, and alignment with the broader industry trends.</t>
  </si>
  <si>
    <t>Without any recent news or financial data provided, it is difficult to provide a comprehensive assessment of the investment potential of NXP Semiconductors. The semiconductor industry is heavily influenced by macroeconomic factors, such as the global economic outlook, geopolitical tensions, and technological advancements.
 The latest macroeconomic data suggests a mixed picture, with the U.S. economy showing resilience in job growth but also facing challenges in the manufacturing sector and potential supply chain disruptions. Additionally, the escalating conflict in the Middle East and the upcoming U.S. presidential election could introduce further volatility and uncertainty into the market.
 The semiconductor industry, in particular, is closely tied to the performance of the technology sector, which has been a standout performer in the recent market. The growing importance of emerging technologies, such as artificial intelligence, could also benefit companies like NXP Semiconductors that are well-positioned in the semiconductor space.
 However, without access to the company's recent financial data and news, it is challenging to evaluate the specific factors that may be impacting NXP Semiconductors' performance and future prospects. A more comprehensive analysis would be required to provide a meaningful investment recommendation.</t>
  </si>
  <si>
    <t>Without any recent news or financial data provided, it is difficult to provide a comprehensive assessment of Packaging Corporation of America's investment potential in the Paper &amp; Plastic Packaging Products &amp; Materials industry for the next month. The macroeconomic outlook, including factors such as the ongoing global conflicts, the potential impact of the port strike, and the upcoming U.S. presidential election, could all have significant implications for the industry and the company's performance. However, without access to the company's latest financial statements, operational updates, and market positioning, a reliable investment score cannot be determined.</t>
  </si>
  <si>
    <t>Without any recent news or financial data provided, it is difficult to provide a comprehensive assessment of Microchip Technology's investment potential in the Semiconductors industry for the next month. The macroeconomic outlook, however, suggests a mixed picture for the industry.
 The U.S. economy continues to show resilience, with positive employment data, but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
 The technology sector, including the semiconductor industry, has been a standout performer, with several companies seeing their market valuations surge. Investors have also shown optimism towards the AI industry, which is expected to continue its bullish run. However, the escalating conflict in the Middle East and the upcoming 2024 U.S. presidential election could introduce further volatility and uncertainty into the market.
 Without access to the latest financial information and news specific to Microchip Technology, it is challenging to provide a reliable investment score. A more comprehensive analysis would be needed to assess the company's competitive position, financial health, and growth prospects within the current market environment.</t>
  </si>
  <si>
    <t>Without any recent news or financial data provided, it is difficult to provide a comprehensive assessment of Paramount Global's investment potential in the Movies &amp; Entertainment industry for the next month. The macroeconomic outlook, including factors such as the ongoing geopolitical tensions, the potential impact of the port strike, and the upcoming U.S. presidential election, could all have significant implications for the overall market performance and the specific industry in which Paramount Global operates.
 However, given the lack of company-specific information, it would be speculative to assign a score reflecting the potential investment value of Paramount Global. A more thorough analysis would require access to the latest financial statements, industry trends, and any relevant news or developments surrounding the company.</t>
  </si>
  <si>
    <t>Without any recent news or financial data provided, it is difficult to provide a comprehensive assessment of Paychex's investment potential in the Human Resource &amp; Employment Services industry for the next month. The macroeconomic outlook, including factors such as the ongoing geopolitical tensions, the U.S. presidential election, and the Federal Reserve's monetary policy decisions, could have a significant impact on the overall performance of the industry and the company. However, without the necessary information about Paychex's current financial standing, market position, and growth prospects, a reliable investment score cannot be determined.</t>
  </si>
  <si>
    <t>Without any recent news or financial data provided, it is difficult to provide a comprehensive assessment of Norwegian Cruise Line Holdings' investment potential in the next month. The macroeconomic outlook, however, suggests some potential headwinds for the Hotels, Resorts &amp; Cruise Lines industry.
 The escalating conflict in the Middle East, particularly the tensions between Israel and Iran, could introduce volatility and uncertainty into the market, which may impact the performance of cruise line companies like Norwegian Cruise Line Holdings. Additionally, the threat of a prolonged port strike poses a risk of renewed inflationary pressures, which could potentially affect consumer spending and the overall demand for cruise services.
 Furthermore, the upcoming 2024 U.S. presidential election could also introduce political uncertainty that may influence investor sentiment and the stock market's performance in the short term.</t>
  </si>
  <si>
    <t>Without any recent news or financial data provided, it is difficult to provide a comprehensive assessment of Northrop Grumman's investment potential in the Aerospace &amp; Defense industry for the next month. The macroeconomic outlook, including the ongoing global conflicts and the potential impact on the defense sector, could influence the company's performance. However, without access to the latest financial statements, market trends, and industry-specific information, a reliable investment score cannot be determined.</t>
  </si>
  <si>
    <t>Without any recent news or financial data provided, it is challenging to provide a comprehensive assessment of the investment potential for Northern Trust in the Asset Management &amp; Custody Banks industry. The macroeconomic outlook, including factors such as the ongoing geopolitical tensions, the U.S. presidential election, and the Federal Reserve's monetary policy decisions, could have a significant impact on the performance of companies in this industry. However, without the necessary information about Northern Trust's specific financial standing, market position, and growth prospects, it is difficult to determine the company's investment value accurately.</t>
  </si>
  <si>
    <t>Without any recent news or financial data provided, it is difficult to provide a comprehensive assessment of the investment potential of Norfolk Southern Railway in the Rail Transportation industry for the next month. The macroeconomic outlook, including factors such as the ongoing geopolitical tensions, the threat of a port strike, and the potential impact of the 2024 U.S. presidential election, could all have significant implications for the rail transportation sector. However, without the necessary information about the company's current performance, financial position, and strategic initiatives, it would be speculative to make any definitive conclusions about its investment value.</t>
  </si>
  <si>
    <t>Without any recent news or financial data provided, it is difficult to provide a comprehensive assessment of the investment potential of NiSource, a company in the Multi-Utilities industry. The macroeconomic outlook, including factors such as the ongoing geopolitical tensions, the U.S. presidential election, and the Federal Reserve's monetary policy decisions, could have a significant impact on the overall performance of the utilities sector. However, without access to the company's latest financial statements, operational updates, and industry-specific information, it is not possible to make a well-informed evaluation of NiSource's investment value.</t>
  </si>
  <si>
    <t>Without any recent news or financial data provided, it is challenging to provide a comprehensive assessment of Nike, Inc.'s investment potential in the Apparel, Accessories &amp; Luxury Goods industry for the next month. The lack of up-to-date information makes it difficult to evaluate the company's current performance, market position, and potential risks or opportunities.
 Economic Outlook:
 The overall macroeconomic environment, including factors such as consumer spending, inflation, and interest rates, can significantly impact the performance of companies in the apparel and luxury goods industry. However, without the necessary data, it is not possible to determine how the current economic conditions may affect Nike's business in the near term.</t>
  </si>
  <si>
    <t>Without any recent news or financial data provided, it is difficult to assess the potential investment value of News Corp (Class B) in the Publishing industry for the next month. The macroeconomic outlook, including factors such as the ongoing global conflicts, the U.S. presidential election, and the performance of the overall stock market, could have a significant impact on the company's performance. However, without access to the latest information about the firm's operations, financial standing, and industry trends, a comprehensive evaluation cannot be made.</t>
  </si>
  <si>
    <t>Without any recent news or financial data provided, it is difficult to assess the potential investment value of News Corp (Class A) in the Publishing industry for the next month. The macroeconomic outlook, including factors such as the ongoing global conflicts, the U.S. presidential election, and the performance of the overall stock market, could have a significant impact on the company's performance. However, without access to the latest information about News Corp's financial standing, operations, and industry trends, a comprehensive evaluation cannot be made.</t>
  </si>
  <si>
    <t>Without any recent news or financial data provided, it is difficult to provide a comprehensive assessment of Newmont's investment potential in the gold industry for the next month. The macroeconomic outlook, however, suggests that the ongoing global conflicts and geopolitical tensions could potentially impact the gold market and Newmont's performance.
 The escalating conflict in the Middle East, particularly the tensions between Israel and Iran, as well as the continued Russian invasion of Ukraine, could lead to increased market volatility and concerns about potential disruptions to global energy supplies. These factors could drive investors to seek safe-haven assets like gold, which could benefit Newmont's business.
 Additionally, the threat of a prolonged port strike in the United States poses a risk of renewed inflationary pressures, which could also boost the demand for gold as a hedge against inflation.
 However, without access to Newmont's latest financial reports and operational updates, it is challenging to evaluate the company's current performance, competitive positioning, and growth prospects within the gold industry. A more thorough analysis would be required to provide a meaningful investment recommendation.</t>
  </si>
  <si>
    <t>Without any recent news or financial data provided, it is difficult to provide a comprehensive assessment of Palo Alto Networks' investment potential in the Systems Software industry for the next month. The macroeconomic outlook, including factors such as the ongoing geopolitical tensions, the U.S. presidential election, and the performance of the technology sector, could have a significant impact on the company's performance. However, without access to the latest financial statements, market trends, and industry-specific information, a reliable investment score cannot be determined.</t>
  </si>
  <si>
    <t>Without any recent news or financial data provided, it is difficult to provide a comprehensive assessment of Lennar's investment potential in the Homebuilding industry for the next month. The macroeconomic outlook, however, suggests some potential headwinds that could impact the overall housing market and Lennar's performance.
 The continued contraction in the manufacturing sector and the threat of a prolonged port strike pose risks to the economic recovery, which could dampen consumer confidence and spending on new homes. Additionally, the escalating geopolitical tensions in the Middle East and the uncertainty surrounding the upcoming U.S. presidential election could introduce further volatility in the stock market, potentially affecting investor sentiment towards the Homebuilding industry.
 Given the lack of specific information about Lennar's current financial position and market performance, it is challenging to assign a definitive investment score. A more thorough analysis of the company's fundamentals, competitive positioning, and management strategy would be necessary to provide a meaningful assessment of its investment value.</t>
  </si>
  <si>
    <t>Without any recent news or financial data provided, it is difficult to provide a comprehensive assessment of Leidos' investment potential in the Diversified Support Services industry for the next month. The macroeconomic outlook, including factors such as the ongoing geopolitical tensions, the U.S. presidential election, and the Federal Reserve's monetary policy decisions, could have a significant impact on the overall market performance and, consequently, the performance of individual companies like Leidos.
 However, given the lack of specific information about the company's current financial standing, operational performance, and competitive positioning, it would be speculative to assign a definitive investment score. A more thorough analysis of Leidos' recent financial reports, industry trends, and management strategies would be necessary to provide a meaningful and well-informed investment recommendation.</t>
  </si>
  <si>
    <t>Without any recent news or financial data provided, it is difficult to provide a comprehensive assessment of the investment potential for Las Vegas Sands in the Casinos &amp; Gaming industry. The macroeconomic outlook, however, suggests some potential challenges that may impact the company's performance in the near term.
 The escalating conflict in the Middle East, particularly the tensions between Israel and Iran, could introduce volatility and uncertainty into the broader market. Additionally, the threat of a prolonged port strike poses a risk of renewed inflationary pressures, which could impact consumer spending and the overall economic trajectory. These factors may have a direct or indirect effect on the Casinos &amp; Gaming industry, including Las Vegas Sands.
 Furthermore, the upcoming 2024 U.S. presidential election is a significant political event that could influence investor sentiment and the stock market's performance in the coming months. The potential return of former President Trump as the Republican candidate could further polarize the political landscape and impact the market's outlook.
 Without access to the latest financial data and news specific to Las Vegas Sands, it is challenging to provide a more detailed assessment of the company's investment potential. A comprehensive analysis would require a deeper understanding of the firm's financial health, competitive positioning, and ability to navigate the evolving market conditions.</t>
  </si>
  <si>
    <t>Without any recent news or financial data provided, it is difficult to assess the potential investment value of Lamb Weston in the Packaged Foods &amp; Meats industry for the next month. The macroeconomic outlook, including factors such as consumer spending, inflation, and the overall economic performance, would be crucial in determining the company's prospects. Additionally, industry-specific trends and competitive dynamics within the Packaged Foods &amp; Meats sector would also play a significant role in evaluating Lamb Weston's investment potential.</t>
  </si>
  <si>
    <t>Without any recent news or financial data provided, it is difficult to provide a comprehensive assessment of LabCorp's investment potential in the Health Care Services industry for the next month. The macroeconomic outlook, including factors such as the ongoing geopolitical tensions, the potential impact of the port strike, and the upcoming U.S. presidential election, could all have significant implications for the healthcare sector. However, without access to the company's latest financial performance, operational updates, and industry-specific insights, a reliable investment score cannot be determined.</t>
  </si>
  <si>
    <t>Without any recent news or financial data provided, it is difficult to provide a comprehensive assessment of the investment potential of L3Harris in the Aerospace &amp; Defense industry for the next month. The macroeconomic outlook, which includes ongoing global conflicts, the potential impact of natural disasters, and the political landscape, could have significant implications for the performance of companies in this sector. However, without the necessary information about L3Harris's specific operations, financial standing, and market positioning, a reliable investment score cannot be determined.</t>
  </si>
  <si>
    <t>Without any recent news or financial data provided, it is difficult to provide a comprehensive assessment of the investment potential of KLA Corporation in the Semiconductor Materials &amp; Equipment industry for the next month. The macroeconomic outlook, however, suggests that the technology and semiconductor sectors may continue to experience volatility due to the ongoing geopolitical tensions and the potential impact on global supply chains.
 The semiconductor industry is closely tied to the overall performance of the stock market, and any disruptions or uncertainties in the market could affect the industry's growth prospects. Additionally, the potential impact of the U.S. presidential election on the regulatory environment and trade policies could also influence the performance of companies in the semiconductor sector.</t>
  </si>
  <si>
    <t>Without any recent news or financial data provided, it is difficult to provide a comprehensive assessment of the investment potential of KKR, a company in the Asset Management &amp; Custody Banks industry. The macroeconomic outlook, including factors such as the ongoing geopolitical tensions, the U.S. presidential election, and the Federal Reserve's monetary policy decisions, could have a significant impact on the performance of the asset management sector. However, without access to the company's latest financial statements and market positioning, a reliable evaluation of KKR's investment value cannot be made.</t>
  </si>
  <si>
    <t>Without any recent news or financial data provided, it is difficult to provide a comprehensive assessment of Kinder Morgan's investment potential in the Oil &amp; Gas Storage &amp; Transportation industry for the next month. The macroeconomic outlook, including factors such as the ongoing geopolitical tensions, the threat of a port strike, and the potential impact of the 2024 U.S. presidential election, could all have significant implications for the industry and Kinder Morgan's performance. However, without access to the company's latest financial statements, operational updates, and market positioning, a thorough evaluation cannot be made.</t>
  </si>
  <si>
    <t>Without any recent news or financial data provided, it is difficult to provide a comprehensive assessment of Parker Hannifin's investment potential in the Industrial Machinery &amp; Supplies &amp; Components industry for the next month. The macroeconomic outlook, including factors such as the ongoing global conflicts, the potential impact of the port strike, and the upcoming U.S. presidential election, could all have significant implications for the company's performance. However, without access to the firm's latest financial statements, operational updates, and industry-specific information, a reliable investment score cannot be determined.</t>
  </si>
  <si>
    <t>Without any recent news or financial data provided, it is difficult to provide a comprehensive assessment of KeyCorp's investment potential in the Regional Banks industry for the next month. The macroeconomic outlook, including factors such as the ongoing geopolitical tensions, the U.S. presidential election, and the Federal Reserve's monetary policy decisions, could have a significant impact on the performance of regional banks like KeyCorp. However, without access to the company's latest financial statements and market performance, a detailed analysis cannot be conducted.</t>
  </si>
  <si>
    <t>Without any recent news or financial data provided, it is difficult to assess the potential investment value of Kenvue, a company in the Personal Care Products industry. The macroeconomic outlook, including factors such as the ongoing global conflicts, the potential impact of natural disasters, and the political landscape, could have significant implications for the overall industry and Kenvue's performance. However, without access to the company's specific financials and operational updates, a comprehensive evaluation cannot be made.</t>
  </si>
  <si>
    <t>Without any recent news or financial data provided, it is difficult to assess the potential investment value of Kellanova, a company in the Packaged Foods &amp; Meats industry. The macroeconomic outlook, including factors such as the ongoing global conflicts, the potential impact of natural disasters, and the political landscape, could have significant implications for the overall industry performance. However, without access to the company's specific financials and operational updates, it would be speculative to provide a meaningful investment recommendation.</t>
  </si>
  <si>
    <t>Without any recent news or financial data provided, it is difficult to provide a comprehensive assessment of JPMorgan Chase's investment potential in the Diversified Banks industry for the next month. The macroeconomic outlook, including factors such as the ongoing geopolitical tensions, the U.S. presidential election, and the Federal Reserve's monetary policy decisions, could have a significant impact on the performance of the banking sector. However, without access to the company's latest financial statements and market developments, a reliable evaluation of JPMorgan Chase's investment value cannot be made.</t>
  </si>
  <si>
    <t>Without any recent news or financial data provided, it is difficult to provide a comprehensive assessment of the investment potential for Johnson &amp; Johnson in the Pharmaceuticals industry. The macroeconomic outlook, including factors such as the ongoing geopolitical tensions, the potential impact of the port strike, and the upcoming U.S. presidential election, could all have significant implications for the broader pharmaceutical sector. However, without access to the company's latest financial performance, product pipeline, and competitive positioning, a reliable investment recommendation cannot be made.</t>
  </si>
  <si>
    <t>Without any recent news or financial data provided, it is difficult to assess the potential investment value of Jacobs Solutions in the Construction &amp; Engineering industry for the next month. The macroeconomic outlook, including factors such as the ongoing global conflicts, the impact of natural disasters, and the political landscape, could have significant implications for the construction and engineering sector. However, without specific information about Jacobs Solutions' performance, operations, and market positioning, a comprehensive evaluation cannot be made.</t>
  </si>
  <si>
    <t>Without any recent news or financial data provided, it is difficult to provide a comprehensive assessment of the investment potential of Jack Henry &amp; Associates in the Transaction &amp; Payment Processing Services industry for the next month.
 The macroeconomic outlook, as described, suggests a mixed economic environment, with the private sector adding jobs but the manufacturing sector contracting and concerns about inflationary pressures. Additionally, the escalating geopolitical tensions and the upcoming U.S. presidential election could introduce further volatility and uncertainty into the market.
 Given the lack of company-specific information, it is not possible to determine the firm's current financial performance, competitive positioning, or growth prospects. These factors would be crucial in evaluating the investment value of Jack Henry &amp; Associates.</t>
  </si>
  <si>
    <t>Without any recent news or financial data provided, it is challenging to provide a comprehensive assessment of Jabil's investment potential in the Electronic Manufacturing Services industry for the next month. The macroeconomic outlook, including factors such as the ongoing global conflicts, the potential impact of the port strike, and the upcoming U.S. presidential election, could all have significant implications for the industry and Jabil's performance. However, without access to the company's latest financial statements, operational updates, and market positioning, it is difficult to determine the specific risks and opportunities facing the firm.</t>
  </si>
  <si>
    <t>Without any recent news or financial data provided, it is difficult to provide a comprehensive assessment of the investment potential for J.B. Hunt, a company in the Cargo Ground Transportation industry. The macroeconomic outlook, including factors such as the ongoing global conflicts, the potential impact of natural disasters, and the political landscape, could have significant implications for the transportation and logistics sector. However, without the necessary information about the company's current performance, market position, and future prospects, a reliable investment score cannot be determined.</t>
  </si>
  <si>
    <t>Without any recent news or financial data provided, it is difficult to provide a comprehensive assessment of Invitation Homes' investment potential in the Single-Family Residential REITs industry for the next month. The macroeconomic outlook, including factors such as interest rates, consumer spending, and the overall housing market, would be crucial in evaluating the company's performance and growth prospects. Additionally, industry-specific trends and competitive dynamics within the Single-Family Residential REITs sector would need to be considered.</t>
  </si>
  <si>
    <t>Without any recent news or financial data provided, it is difficult to provide a comprehensive assessment of the investment potential for Keysight Technologies in the Electronic Equipment &amp; Instruments industry. The macroeconomic outlook, including factors such as the ongoing global conflicts, the potential impact of the port strike, and the upcoming U.S. presidential election, could all have significant implications for the performance of companies in this sector. However, without the specific details about Keysight Technologies' current financial standing, market position, and growth prospects, it would be speculative to assign a meaningful investment score.</t>
  </si>
  <si>
    <t>Without any recent news or financial data provided, it is difficult to provide a comprehensive assessment of Mettler Toledo's investment potential in the Life Sciences Tools &amp; Services industry for the next month. The macroeconomic outlook, including factors such as the ongoing global conflicts, the potential impact of the port strike, and the upcoming U.S. presidential election, could all have significant implications for the overall market performance and the specific industry in which Mettler Toledo operates. However, without access to the company's latest financial statements, operational updates, and industry-specific information, a thorough evaluation of the firm's investment value cannot be made.</t>
  </si>
  <si>
    <t>Without any recent news or financial data provided, it is difficult to provide a comprehensive assessment of MetLife's investment potential in the Life &amp; Health Insurance industry for the next month. The macroeconomic outlook, including factors such as the ongoing geopolitical tensions, the U.S. presidential election, and the Federal Reserve's monetary policy decisions, could have a significant impact on the performance of the insurance sector. However, without access to the company's latest financial statements and market positioning, a reliable investment score cannot be determined.</t>
  </si>
  <si>
    <t>Without any recent news or financial data provided, it is difficult to provide a comprehensive assessment of the investment potential of Meta Platforms in the Interactive Media &amp; Services industry for the next month. The macroeconomic outlook, including factors such as the ongoing geopolitical tensions, the U.S. presidential election, and the performance of the broader technology sector, could have a significant impact on the company's performance. However, without access to the latest financial statements, market trends, and industry-specific information, a reliable score cannot be determined.</t>
  </si>
  <si>
    <t>Without any recent news or financial data provided, it is difficult to provide a comprehensive assessment of Merck &amp; Co.'s investment potential in the Pharmaceuticals industry for the next month. The macroeconomic outlook, including factors such as the ongoing geopolitical tensions, the U.S. presidential election, and the Federal Reserve's monetary policy decisions, could have a significant impact on the overall performance of the pharmaceutical sector. However, without the necessary information about Merck &amp; Co.'s specific financial standing, product pipeline, and competitive positioning, a reliable investment score cannot be determined.</t>
  </si>
  <si>
    <t>Without any recent news or financial data provided, it is difficult to provide a comprehensive assessment of Medtronic's investment potential in the Health Care Equipment industry for the next month. The macroeconomic outlook, including factors such as the ongoing geopolitical tensions, the U.S. presidential election, and the Federal Reserve's monetary policy decisions, could have a significant impact on the overall performance of the healthcare sector. However, the lack of specific information about Medtronic's current financial standing, market position, and growth prospects makes it challenging to determine the company's investment value accurately.</t>
  </si>
  <si>
    <t>Without any recent news or financial data provided, it is difficult to provide a comprehensive assessment of the investment potential of McKesson Corporation in the Health Care Distributors industry for the next month. The macroeconomic outlook, including factors such as the ongoing geopolitical tensions, the potential impact of the port strike, and the upcoming U.S. presidential election, could all have significant implications for the healthcare sector and McKesson's performance. However, without access to the company's latest financial statements, operational updates, and industry-specific information, a reliable evaluation of the firm's investment value cannot be made.</t>
  </si>
  <si>
    <t>Without any recent news or financial data provided, it is challenging to provide a comprehensive assessment of McDonald's investment potential in the Restaurants industry for the next month. The macroeconomic outlook, however, suggests some potential headwinds that could impact the overall industry performance.
 The escalating conflicts in the Middle East, particularly the tensions between Israel and Iran, and the potential disruptions to global energy supplies could lead to increased market volatility. Additionally, the threat of a prolonged port strike poses a risk of renewed inflationary pressures, which could impact consumer spending and the overall economic trajectory.
 Given the lack of specific information about McDonald's current financial standing and operational performance, it is difficult to determine the company's ability to navigate these challenges. The Restaurants industry is highly competitive and sensitive to changes in consumer behavior, making it crucial to have a clear understanding of the firm's competitive positioning and adaptability.</t>
  </si>
  <si>
    <t>Without any recent news or financial data provided, it is difficult to provide a comprehensive assessment of the investment potential for Martin Marietta Materials in the Construction Materials industry. The macroeconomic outlook, however, suggests some potential headwinds that could impact the company's performance in the near term.
 The ongoing global conflicts, including the escalating tensions in the Middle East, and the potential disruptions from natural disasters like Hurricane Helene, could introduce volatility and uncertainty in the market. Additionally, the threat of a prolonged port strike poses a risk of renewed inflationary pressures, which could impact consumer spending and the overall demand for construction materials.
 Furthermore, the upcoming 2024 U.S. presidential election and the potential return of former President Trump as a candidate could add to the political uncertainty, potentially affecting investor sentiment and the overall market performance.
 Given the lack of recent company-specific information, it is challenging to provide a definitive investment recommendation for Martin Marietta Materials. The company's long-term prospects may still be favorable, but the current macroeconomic and political landscape could present near-term challenges.</t>
  </si>
  <si>
    <t>Without any recent news or financial data provided, it is difficult to provide a comprehensive assessment of Marsh McLennan's investment potential in the Insurance Brokers industry for the next month. The macroeconomic outlook, including factors such as the ongoing geopolitical tensions, the potential impact of the port strike, and the upcoming U.S. presidential election, could all have significant implications for the insurance industry and Marsh McLennan's performance. However, without access to the company's latest financial statements, market position, and competitive landscape, a thorough evaluation cannot be made.</t>
  </si>
  <si>
    <t>Without any recent news or financial data provided, it is difficult to provide a comprehensive assessment of the investment potential for Linde plc in the Industrial Gases industry. The macroeconomic outlook, including factors such as the ongoing global conflicts, the potential impact of the port strike, and the upcoming U.S. presidential election, could all have significant implications for the company's performance. However, without access to the latest financial statements, market trends, and industry-specific information, a reliable investment score cannot be determined.</t>
  </si>
  <si>
    <t>Without any recent news or financial data provided, it is difficult to provide a comprehensive assessment of the investment potential of MarketAxess in the Financial Exchanges &amp; Data industry for the next month. The macroeconomic outlook, including factors such as the ongoing geopolitical tensions, the U.S. presidential election, and the Federal Reserve's monetary policy decisions, could have a significant impact on the performance of the overall financial sector. However, without the specific details about MarketAxess' business operations, financial health, and competitive positioning, it is not possible to make a well-informed evaluation of the company's investment value.</t>
  </si>
  <si>
    <t>Without any recent news or financial data provided, it is difficult to provide a comprehensive assessment of Marathon Petroleum's investment potential in the Oil &amp; Gas Refining &amp; Marketing industry for the next month. The macroeconomic outlook, including factors such as global conflicts, natural disasters, and political events, could have a significant impact on the company's performance and the overall industry dynamics. However, without access to the latest information about Marathon Petroleum's operations, financial standing, and market positioning, a reliable investment score cannot be determined.</t>
  </si>
  <si>
    <t>Without any recent news or financial data provided, it is difficult to provide a comprehensive assessment of Marathon Oil's investment potential in the Oil &amp; Gas Exploration &amp; Production industry for the next month. The macroeconomic outlook, including factors such as global energy demand, commodity prices, and industry regulations, would be crucial in determining the company's performance. However, in the absence of specific information about Marathon Oil's current operations, financial standing, and competitive positioning, a reliable investment score cannot be confidently assigned.</t>
  </si>
  <si>
    <t>Without any recent news or financial data provided, it is difficult to assess the potential investment value of M&amp;T Bank in the Regional Banks industry for the next month. The macroeconomic outlook, including factors such as the ongoing geopolitical tensions, the U.S. presidential election, and the Federal Reserve's monetary policy decisions, could have a significant impact on the performance of regional banks like M&amp;T Bank. However, without access to the company's latest financial statements, market performance, and industry-specific information, a comprehensive analysis cannot be conducted.</t>
  </si>
  <si>
    <t>Without any recent news or financial data provided, it is difficult to provide a comprehensive assessment of the investment potential of LyondellBasell in the Specialty Chemicals industry for the next month. The macroeconomic outlook, including factors such as the ongoing geopolitical tensions, the threat of a port strike, and the potential impact of the upcoming U.S. presidential election, could all have significant implications for the company's performance. However, without access to the latest financial statements, market trends, and industry-specific information, a reliable evaluation of the company's investment value cannot be made.</t>
  </si>
  <si>
    <t>Without any recent news or financial data provided, it is difficult to provide a comprehensive assessment of Lowe's investment potential in the Home Improvement Retail industry for the next month. The macroeconomic outlook, including factors such as consumer spending, interest rates, and the overall state of the housing market, would be crucial in evaluating the company's performance and growth prospects.
 Economic Outlook:
 The latest macroeconomic data suggests a mixed picture, with the private sector adding more jobs than expected but the manufacturing sector contracting for the sixth consecutive month. Additionally, the threat of a prolonged port strike poses a risk of renewed inflationary pressures, which could impact consumer spending and the overall economic trajectory.
 Sector Dynamics:
 The Home Improvement Retail industry is closely tied to the housing market and consumer spending patterns. Factors such as housing starts, home sales, and consumer confidence would be important in determining the industry's outlook and Lowe's potential performance.</t>
  </si>
  <si>
    <t>Without any recent news or financial data provided, it is difficult to provide a comprehensive assessment of Loews Corporation's investment potential in the Multi-line Insurance industry for the next month. The macroeconomic outlook, including factors such as the escalating conflict in the Middle East, the potential impact of a port strike, and the upcoming U.S. presidential election, could all have significant implications for the insurance sector. However, without access to the company's latest financial performance, operational updates, and industry-specific insights, a reliable investment score cannot be determined.</t>
  </si>
  <si>
    <t>Without any recent news or financial data provided, it is difficult to provide a comprehensive assessment of Lockheed Martin's investment potential in the Aerospace &amp; Defense industry for the next month. The macroeconomic outlook, however, suggests that the industry may face some challenges due to the escalating geopolitical tensions and the potential impact on global trade and supply chains.
 The ongoing conflicts in the Middle East, particularly the tensions between Israel and Iran, could introduce volatility and uncertainty in the market, which may affect the performance of defense contractors like Lockheed Martin. Additionally, the threat of a prolonged port strike in the United States could disrupt the supply of critical components and materials, potentially impacting the company's operations and financial results.
 Given the lack of specific information about Lockheed Martin's current financial position and market performance, it is prudent to approach any investment decision with caution. The company's long-term prospects may remain positive, but the short-term outlook is subject to significant uncertainty due to the prevailing macroeconomic and geopolitical factors.</t>
  </si>
  <si>
    <t>Without any recent news or financial data provided, it is difficult to assess the potential investment value of LKQ Corporation in the Distributors industry for the next month. The macroeconomic outlook, including factors such as the ongoing global conflicts, the impact of natural disasters, and the political landscape, could have significant implications for the overall performance of the stock market and individual companies. However, without the necessary information about the company's financials, operations, and market position, a comprehensive evaluation cannot be made.</t>
  </si>
  <si>
    <t>Without any recent news or financial data provided, it is difficult to provide a comprehensive assessment of the investment potential of Live Nation Entertainment in the Movies &amp; Entertainment industry for the next month. The macroeconomic outlook, including factors such as the ongoing geopolitical tensions, the potential impact of the port strike, and the upcoming U.S. presidential election, could all have significant implications for the overall market performance and the specific industry in which Live Nation operates. However, without the necessary information about the company's financial health, operational performance, and competitive positioning, a reliable investment recommendation cannot be made.</t>
  </si>
  <si>
    <t>Without any recent news or financial data provided, it is difficult to provide a comprehensive assessment of Marriott International's investment potential in the Hotels, Resorts &amp; Cruise Lines industry for the next month. The macroeconomic outlook, including factors such as consumer spending, travel demand, and the overall economic conditions, would be crucial in determining the company's performance. However, without access to the latest financial statements, market trends, and industry-specific information, a reliable investment score cannot be confidently assigned.</t>
  </si>
  <si>
    <t>Without any recent news or financial data provided, it is difficult to provide a comprehensive assessment of Western Digital's investment potential in the Technology Hardware, Storage &amp; Peripherals industry for the next month. The macroeconomic outlook, including factors such as the ongoing geopolitical tensions, the U.S. presidential election, and the performance of the technology sector, could have a significant impact on the company's performance. However, without the necessary information about Western Digital's current financial standing, market position, and growth prospects, a reliable investment score cannot be determined.</t>
  </si>
  <si>
    <t>Without any recent news or financial data provided, it is difficult to provide a comprehensive assessment of the investment potential for West Pharmaceutical Services in the Health Care Supplies industry. The macroeconomic outlook, including factors such as the ongoing global conflicts, the potential impact of natural disasters, and the political landscape, could have significant implications for the overall performance of the healthcare sector. However, without the specific details about the company's operations, financial standing, and competitive positioning, a reliable investment score cannot be determined.</t>
  </si>
  <si>
    <t>Without any recent news or financial data provided, it is difficult to provide a comprehensive assessment of Welltower's investment potential in the Health Care REITs industry for the next month. The macroeconomic outlook, including factors such as the ongoing geopolitical tensions, the U.S. presidential election, and the Federal Reserve's monetary policy decisions, could have a significant impact on the overall performance of the real estate investment trust (REIT) sector. However, without access to the company's latest financial statements, operational updates, and industry-specific information, a reliable evaluation of Welltower's investment value cannot be made.</t>
  </si>
  <si>
    <t>Without any recent news or financial data provided, it is difficult to provide a comprehensive assessment of the investment potential of Wells Fargo in the Diversified Banks industry for the next month. The macroeconomic outlook, including factors such as the ongoing geopolitical tensions, the U.S. presidential election, and the Federal Reserve's monetary policy decisions, could have a significant impact on the performance of the banking sector. However, without the necessary information about the company's current financial standing, operational efficiency, and competitive positioning, a reliable investment score cannot be determined.</t>
  </si>
  <si>
    <t>Without any recent news or financial data provided, it is difficult to provide a comprehensive assessment of the investment potential of WEC Energy Group in the Electric Utilities industry for the next month. The macroeconomic outlook, including factors such as the ongoing geopolitical tensions, the potential impact of the port strike, and the upcoming U.S. presidential election, could all have significant implications for the overall performance of the utilities sector. However, without the specific details about WEC Energy Group's financial position, operational efficiency, and competitive landscape, a reliable investment score cannot be determined.</t>
  </si>
  <si>
    <t>Without any recent news or financial data provided, it is challenging to provide a comprehensive assessment of the investment potential for Waters Corporation in the Life Sciences Tools &amp; Services industry. The macroeconomic outlook, including factors such as the ongoing global conflicts, the potential impact of the port strike, and the upcoming U.S. presidential election, could all have significant implications for the overall market performance and the specific industry in which Waters Corporation operates.
 However, given the lack of company-specific information, it would be speculative to assign a definitive score reflecting the potential investment value of Waters Corporation. The company's financial health, competitive positioning, and growth prospects are crucial factors that need to be evaluated to make an informed investment decision.</t>
  </si>
  <si>
    <t>Without any recent news or financial data provided, it is difficult to provide a comprehensive assessment of the investment potential of Walt Disney Company (The) in the Movies &amp; Entertainment industry for the next month. The macroeconomic outlook, including factors such as the ongoing geopolitical tensions, the U.S. presidential election, and the performance of the broader stock market, could have a significant impact on the company's performance. However, without access to the latest financial statements, market trends, and industry-specific information, a reliable score cannot be determined.</t>
  </si>
  <si>
    <t>Without any recent news or financial data provided, it is difficult to provide a comprehensive assessment of Walgreens Boots Alliance's investment potential in the Drug Retail industry for the next month. The macroeconomic outlook, including factors such as the ongoing geopolitical tensions, the threat of a port strike, and the upcoming U.S. presidential election, could have a significant impact on the overall performance of the stock market and the drug retail sector. However, without the necessary information about the company's current financial standing, operational efficiency, and competitive positioning, it is not possible to make a well-informed evaluation of its investment value.</t>
  </si>
  <si>
    <t>Without any recent news or financial data provided, it is difficult to provide a comprehensive assessment of the investment potential of W.W. Grainger in the Industrial Machinery &amp; Supplies &amp; Components industry for the next month. The macroeconomic outlook, including factors such as the ongoing global conflicts, the potential impact of the port strike, and the upcoming U.S. presidential election, could all have significant implications for the performance of this industry and the company. However, without access to the latest financial statements, market trends, and company-specific information, a reliable investment score cannot be determined.</t>
  </si>
  <si>
    <t>Without any recent news or financial data provided, it is difficult to provide a comprehensive assessment of the investment potential of Iron Mountain, a company in the Other Specialized REITs industry. The macroeconomic outlook, including factors such as the ongoing geopolitical tensions, the U.S. presidential election, and the performance of the overall stock market, could have a significant impact on the company's future prospects. However, without access to the latest financial statements, market trends, and industry-specific information, a reliable evaluation of the company's investment value cannot be made.</t>
  </si>
  <si>
    <t>Without any recent news or financial data provided, it is difficult to provide a comprehensive assessment of the investment potential for Vulcan Materials Company in the Construction Materials industry. The macroeconomic outlook, which includes factors such as the ongoing global conflicts, the potential impact of natural disasters, and the political landscape, could have a significant influence on the performance of companies in this industry.
 However, the construction materials sector is generally tied to the overall health of the economy and the demand for infrastructure development and construction projects. If the U.S. economy continues to show resilience, as suggested by the recent positive employment data, it could potentially benefit companies like Vulcan Materials in the medium to long term.
 Additionally, the potential growth in emerging technologies, such as artificial intelligence, could have indirect implications for the construction materials industry, as these advancements may impact the efficiency and cost-effectiveness of construction processes.
 Without access to the latest financial information and company-specific news, it is challenging to provide a more detailed analysis or a specific investment recommendation for Vulcan Materials Company. A thorough review of the company's financial statements, competitive positioning, and management strategy would be necessary to make a well-informed assessment.</t>
  </si>
  <si>
    <t>Without any recent news or financial data provided, it is difficult to provide a comprehensive assessment of Vistra Corp.'s investment potential in the Electric Utilities industry for the next month. The macroeconomic outlook, including factors such as the ongoing geopolitical tensions, the potential impact of the port strike, and the upcoming U.S. presidential election, could all have significant implications for the overall performance of the utilities sector. However, without the specific details about Vistra Corp.'s current financial standing, operational efficiency, and competitive positioning, it would be speculative to assign a meaningful investment score.</t>
  </si>
  <si>
    <t>Without any recent news or financial data provided, it is difficult to provide a comprehensive assessment of the investment potential of Vici Properties, a company in the Hotel &amp; Resort REITs industry. The macroeconomic outlook, including factors such as the ongoing geopolitical tensions, the potential impact of the port strike, and the upcoming U.S. presidential election, could all have significant implications for the performance of this industry. However, without access to the company's latest financial statements, operational updates, and market positioning, it is not possible to make a well-informed evaluation of Vici Properties' investment value.</t>
  </si>
  <si>
    <t>Without any recent news or financial data provided, it is difficult to provide a comprehensive assessment of Vertex Pharmaceuticals' investment potential in the Biotechnology industry for the next month. The macroeconomic outlook, including factors such as the ongoing geopolitical tensions, the U.S. presidential election, and the Federal Reserve's monetary policy decisions, could have a significant impact on the overall performance of the Biotechnology sector. However, without the specific details about Vertex Pharmaceuticals' current financial standing, product pipeline, and competitive positioning, it is not possible to make a well-informed evaluation of the company's investment value.</t>
  </si>
  <si>
    <t>Without any recent news or financial data provided, it is difficult to provide a comprehensive assessment of Verizon's investment potential in the Integrated Telecommunication Services industry for the next month. The macroeconomic outlook, including factors such as the ongoing geopolitical tensions, the potential impact of the port strike, and the upcoming U.S. presidential election, could all have significant implications for the overall telecommunications sector. However, without the necessary information about Verizon's specific financial performance, market position, and strategic initiatives, it would be speculative to make a well-informed investment recommendation.</t>
  </si>
  <si>
    <t>Without any recent news or financial data provided, it is difficult to provide a comprehensive assessment of Verisign's investment potential in the Internet Services &amp; Infrastructure industry for the next month. The macroeconomic outlook, including factors such as the ongoing geopolitical tensions, the U.S. presidential election, and the Federal Reserve's monetary policy decisions, could have a significant impact on the overall performance of the industry and the stock market. However, without the specific details about Verisign's current financial standing, market position, and growth prospects, it would be speculative to assign a meaningful investment score.</t>
  </si>
  <si>
    <t>Without any recent news or financial data provided, it is difficult to assess the potential investment value of Veralto, a company in the Environmental &amp; Facilities Services industry. The macroeconomic outlook, including factors such as the ongoing global conflicts, the impact of natural disasters, and the political landscape, could have significant implications for the industry and the company's performance. However, without access to the company's specific financials and operational updates, a comprehensive evaluation cannot be made.</t>
  </si>
  <si>
    <t>Without any recent news or financial data provided, it is difficult to provide a comprehensive assessment of the investment potential for Ventas, a company in the Health Care REITs industry. The macroeconomic outlook, including factors such as the ongoing geopolitical tensions, the U.S. presidential election, and the performance of the overall stock market, could have a significant impact on the company's performance. However, without access to the latest financial statements, market trends, and industry-specific information, it is not possible to make a well-informed evaluation of Ventas' investment value.</t>
  </si>
  <si>
    <t>Without any recent news or financial data provided, it is difficult to provide a comprehensive assessment of Valero Energy's investment potential in the Oil &amp; Gas Refining &amp; Marketing industry for the next month. The macroeconomic outlook, including factors such as global conflicts, natural disasters, and political events, could significantly impact the performance of companies in this sector. However, without access to the latest information about Valero Energy's operations, financial standing, and market positioning, a reliable investment score cannot be determined.</t>
  </si>
  <si>
    <t>Without any recent news or financial data provided, it is difficult to provide a comprehensive assessment of the investment potential for Universal Health Services in the Health Care Facilities industry. The macroeconomic outlook, including factors such as the ongoing geopolitical tensions, the potential impact of the port strike, and the upcoming U.S. presidential election, could all have significant implications for the healthcare sector. However, without the necessary information about the company's current performance, growth prospects, and competitive positioning, a reliable investment recommendation cannot be made.</t>
  </si>
  <si>
    <t>Without any recent news or financial data provided, it is difficult to provide a comprehensive assessment of the investment potential of W. R. Berkley Corporation in the Property &amp; Casualty Insurance industry for the next month. The lack of information makes it challenging to evaluate the company's current performance, financial health, and its ability to navigate the evolving economic and industry landscape.
 Economic Outlook:
 The macroeconomic environment, including factors such as inflation, interest rates, and consumer spending, can significantly impact the performance of companies in the Property &amp; Casualty Insurance industry. However, without the necessary data, it is not possible to determine how these broader economic trends may specifically affect W. R. Berkley Corporation in the near term.
 Industry Dynamics:
 The Property &amp; Casualty Insurance industry is subject to various market dynamics, including competition, regulatory changes, and risk exposure. Understanding the company's competitive positioning, its ability to adapt to industry shifts, and its risk management strategies would be crucial in assessing its investment potential. Unfortunately, the absence of recent information makes it impractical to provide a meaningful analysis of the company's industry-specific outlook.
 Overall, the lack of recent news and financial data for W. R. Berkley Corporation prevents a comprehensive evaluation of its investment potential in the next month. A more thorough analysis would require access to the company's latest financial statements, industry trends, and other relevant information to make an informed assessment.</t>
  </si>
  <si>
    <t>Without any recent news or financial data provided, it is difficult to provide a comprehensive assessment of AvalonBay Communities' investment potential in the Multi-Family Residential REITs industry for the next month. The macroeconomic outlook, including factors such as the ongoing geopolitical tensions, the U.S. presidential election, and the Federal Reserve's monetary policy decisions, could have a significant impact on the overall real estate investment trust (REIT) sector. However, without access to the company's latest financial performance, operational updates, and industry-specific insights, a reliable investment score cannot be determined.</t>
  </si>
  <si>
    <t>Without any recent news or financial data provided, it is difficult to provide a comprehensive assessment of AutoZone's investment potential in the Automotive Retail industry for the next month. The macroeconomic outlook, including factors such as consumer spending, inflation, and the overall state of the automotive market, would be crucial in determining the company's performance. Additionally, industry-specific trends and competitive dynamics could also significantly impact AutoZone's position.
 Given the lack of information, it would be speculative to assign a specific score reflecting the investment value of the company. A more thorough analysis of the company's financials, market position, and the broader economic and industry conditions would be necessary to make a well-informed investment recommendation.</t>
  </si>
  <si>
    <t>Without any recent news or financial data provided, it is difficult to provide a comprehensive assessment of Automatic Data Processing's investment potential in the Human Resource &amp; Employment Services industry for the next month. The macroeconomic outlook, including factors such as the ongoing geopolitical tensions, the U.S. presidential election, and the Federal Reserve's monetary policy decisions, could have a significant impact on the overall performance of the industry and the company. However, without access to the latest financial statements, market trends, and company-specific information, it would be speculative to make a well-informed investment recommendation.</t>
  </si>
  <si>
    <t>Without any recent news or financial data provided, it is difficult to provide a comprehensive assessment of Autodesk's investment potential in the Application Software industry for the next month. The macroeconomic outlook, including factors such as the ongoing geopolitical tensions, the U.S. presidential election, and the performance of the technology sector, could have a significant impact on the company's performance. However, without access to the latest financial statements, market trends, and industry-specific information, a reliable investment score cannot be determined.</t>
  </si>
  <si>
    <t>Without any recent news or financial data provided, it is difficult to provide a comprehensive assessment of Atmos Energy's investment potential in the Gas Utilities industry for the next month. The macroeconomic outlook, including factors such as the ongoing geopolitical tensions, the threat of a port strike, and the upcoming U.S. presidential election, could have a significant impact on the overall performance of the gas utilities sector. However, without access to the company's latest financial statements, operational updates, and industry-specific information, a reliable evaluation of Atmos Energy's investment value cannot be made.</t>
  </si>
  <si>
    <t>Without any recent news or financial data provided, it is difficult to provide a comprehensive assessment of AT&amp;T's investment potential in the Integrated Telecommunication Services industry for the next month. The macroeconomic outlook, including factors such as the ongoing geopolitical tensions, the U.S. presidential election, and the Federal Reserve's monetary policy decisions, could have a significant impact on the overall performance of the telecommunications sector. However, without the necessary information about AT&amp;T's specific financial standing, market position, and strategic initiatives, it is not possible to make a well-informed evaluation of the company's investment value.</t>
  </si>
  <si>
    <t>Without any recent news or financial data provided, it is difficult to provide a comprehensive assessment of Assurant's investment potential in the Multi-line Insurance industry for the next month. The macroeconomic outlook, including factors such as the escalating conflict in the Middle East, the potential impact of a port strike, and the upcoming U.S. presidential election, could all have significant implications for the insurance sector. However, without the necessary information about Assurant's specific financial performance, market position, and exposure to these external factors, a reliable investment score cannot be determined.</t>
  </si>
  <si>
    <t>Without any recent news or financial data provided, it is difficult to provide a comprehensive assessment of the investment potential of Arthur J. Gallagher &amp; Co. in the Insurance Brokers industry for the next month. The macroeconomic outlook, including factors such as the ongoing geopolitical tensions, the potential impact of the port strike, and the upcoming U.S. presidential election, could all have significant implications for the insurance industry and the overall stock market performance.
 However, in the absence of specific information about the company's current financial standing, market position, and growth prospects, it would be speculative to assign a definitive investment score. The insurance industry is often considered a relatively stable and defensive sector, but the rapidly evolving market dynamics and the potential for disruption from emerging technologies could also present both opportunities and challenges for individual companies.</t>
  </si>
  <si>
    <t>Without any recent news or financial data provided, it is difficult to provide a comprehensive assessment of Archer Daniels Midland's investment potential in the Agricultural Products &amp; Services industry for the next month. The macroeconomic outlook, including factors such as the ongoing global conflicts, the potential impact of the port strike, and the political landscape, could all have significant implications for the agricultural sector. However, without the specific details about the company's performance and positioning, a reliable investment score cannot be determined.</t>
  </si>
  <si>
    <t>Without any recent news or financial data provided, it is difficult to provide a comprehensive assessment of Arch Capital Group's investment potential in the Property &amp; Casualty Insurance industry for the next month. The macroeconomic outlook, including factors such as the ongoing geopolitical tensions, the potential impact of the port strike, and the upcoming U.S. presidential election, could all have significant implications for the insurance sector. However, without access to the company's latest financial performance and market positioning, a reliable investment score cannot be determined.</t>
  </si>
  <si>
    <t>Without any recent news or financial data provided, it is difficult to provide a comprehensive assessment of Weyerhaeuser's investment potential in the Timber REITs industry for the next month. The macroeconomic outlook, including factors such as the ongoing geopolitical tensions, the U.S. presidential election, and the Federal Reserve's monetary policy decisions, could have a significant impact on the performance of the Timber REITs industry and Weyerhaeuser's stock. However, without the necessary information about the company's financials, operations, and market positioning, a reliable investment score cannot be determined.</t>
  </si>
  <si>
    <t>Without any recent news or financial data provided, it is difficult to provide a comprehensive assessment of the investment potential of Applied Materials in the Semiconductor Materials &amp; Equipment industry for the next month. The macroeconomic outlook, including the ongoing global conflicts, the potential impact of the port strike, and the upcoming U.S. presidential election, could all have significant implications for the semiconductor industry and, by extension, Applied Materials. However, without the necessary information about the company's current performance, market position, and future prospects, a reliable investment score cannot be determined.</t>
  </si>
  <si>
    <t>Without any recent news or financial data provided, it is difficult to provide a comprehensive assessment of the investment potential of APA Corporation in the Oil &amp; Gas Exploration &amp; Production industry for the next month. The macroeconomic outlook, including factors such as global energy demand, commodity prices, and geopolitical tensions, can significantly impact the performance of companies in this sector. However, without the necessary information about APA Corporation's specific financial position, operational efficiency, and competitive landscape, a reliable investment score cannot be determined.</t>
  </si>
  <si>
    <t>Without any recent news or financial data provided, it is difficult to provide a comprehensive assessment of Aon's investment potential in the Insurance Brokers industry for the next month. The macroeconomic outlook, including factors such as the ongoing geopolitical tensions, the potential impact of the port strike, and the upcoming U.S. presidential election, could all have significant implications for the insurance industry and Aon's performance. However, without access to the company's latest financial statements, market position, and competitive landscape, a thorough evaluation cannot be made.</t>
  </si>
  <si>
    <t>Without any recent news or financial data provided, it is challenging to provide a comprehensive assessment of the investment potential for Ansys, a company in the Application Software industry. The macroeconomic outlook, however, suggests a mixed environment with both positive and negative factors that could impact the overall performance of the industry and the company.
 On the positive side, the continued resilience of the U.S. economy, as evidenced by the stronger-than-expected job growth in the private sector, indicates a relatively stable economic foundation. Additionally, the technology sector, which includes the application software industry, has been a standout performer, with several companies, including those focused on emerging technologies like artificial intelligence, experiencing significant growth.
 On the negative side, the ongoing global conflicts, particularly the escalating tensions in the Middle East, and the potential disruptions from a prolonged port strike, could introduce volatility and uncertainty into the market. Furthermore, the contraction in the manufacturing sector and the threat of inflationary pressures could pose challenges for the overall economic outlook.
 Without the necessary company-specific information, it is difficult to provide a definitive assessment of Ansys' investment potential. The company's ability to navigate the current macroeconomic environment and capitalize on the growth opportunities in the technology sector will be crucial factors in determining its future performance.</t>
  </si>
  <si>
    <t>Without any recent news or financial data provided, it is difficult to provide a comprehensive assessment of Zimmer Biomet's investment potential in the Health Care Equipment industry for the next month. The macroeconomic outlook, including factors such as the ongoing geopolitical tensions, the potential impact of the port strike, and the upcoming U.S. presidential election, could all have significant implications for the overall market performance and the healthcare sector.
 However, given the lack of specific information about Zimmer Biomet's current financial standing, product pipeline, and competitive positioning, it would be speculative to assign a definitive score for the company's investment value. The health care equipment industry is generally considered a defensive sector, which may provide some stability during periods of market volatility. But the company's specific performance and growth prospects cannot be accurately evaluated without the necessary data.</t>
  </si>
  <si>
    <t>Without any recent news or financial data provided, it is difficult to provide a comprehensive assessment of the investment potential for Zebra Technologies in the Electronic Equipment &amp; Instruments industry. The macroeconomic outlook, including factors such as the ongoing geopolitical tensions, the U.S. presidential election, and the performance of the overall stock market, could have a significant impact on the company's performance in the near term. However, without access to the latest financial statements, market trends, and industry-specific information, a reliable evaluation of the company's investment value cannot be made.</t>
  </si>
  <si>
    <t>Without any recent news or financial data provided, it is challenging to provide a comprehensive assessment of the investment potential for Yum! Brands in the Restaurants industry for the next month. The macroeconomic outlook, including factors such as consumer spending, inflation, and the overall economic conditions, would be crucial in determining the company's performance and the industry's prospects.
 Given the lack of specific information about Yum! Brands, it is difficult to assign a meaningful score reflecting the potential investment value. The company's ability to navigate the current market environment, adapt to changing consumer preferences, and maintain its competitive edge would be key drivers of its future performance.</t>
  </si>
  <si>
    <t>Without any recent news or financial data provided, it is difficult to provide a comprehensive assessment of the investment potential of Xylem Inc. in the Industrial Machinery &amp; Supplies &amp; Components industry for the next month.
 Economic Outlook:
 The macroeconomic environment remains volatile, with ongoing global tensions and concerns about a potential recession.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
 Given the lack of specific information about Xylem Inc., it is not possible to determine the company's current financial health, competitive positioning, or growth prospects. The overall economic conditions suggest a cautious approach to investing in the industrial machinery and supplies sector.</t>
  </si>
  <si>
    <t>Without any recent news or financial data provided, it is challenging to provide a comprehensive assessment of Xcel Energy's investment potential in the Multi-Utilities industry for the next month. The lack of information makes it difficult to evaluate the company's current performance, financial health, and the potential impact of the macroeconomic factors on its operations.
 Economic Outlook:
 The latest macroeconomic data suggests a mixed outlook for the U.S. economy, with the private sector adding more jobs than expected but the manufacturing sector contracting for the sixth consecutive month. Additionally, the threat of a prolonged port strike poses a risk of renewed inflationary pressures, which could impact consumer spending and the overall economic trajectory. These factors could indirectly affect the performance of companies in the Multi-Utilities industry, including Xcel Energy.</t>
  </si>
  <si>
    <t>Without any recent news or financial data provided, it is difficult to provide a comprehensive assessment of the investment potential of Willis Towers Watson in the Insurance Brokers industry for the next month. The macroeconomic outlook, including factors such as the ongoing geopolitical tensions, the potential impact of the port strike, and the upcoming U.S. presidential election, could all have significant implications for the insurance industry and Willis Towers Watson's performance. However, without access to the company's latest financial statements, market position, and competitive landscape, a reliable investment score cannot be determined.</t>
  </si>
  <si>
    <t>Without any recent news or financial data provided, it is difficult to provide a comprehensive assessment of Aptiv's investment potential in the Automotive Parts &amp; Equipment industry for the next month. The macroeconomic outlook, including factors such as the ongoing global conflicts, the potential impact of the port strike, and the upcoming U.S. presidential election, could all have significant implications for the automotive industry and Aptiv's performance. However, without the necessary information about the company's current financial standing, market position, and future prospects, it would be speculative to assign a specific investment score.</t>
  </si>
  <si>
    <t>Without any recent news or financial data provided, it is difficult to provide a comprehensive assessment of Qualcomm's investment potential in the Semiconductors industry for the next month. The macroeconomic outlook, including factors such as the ongoing geopolitical tensions, the U.S. presidential election, and the Federal Reserve's monetary policy decisions, could have a significant impact on the overall performance of the semiconductor sector. However, without the necessary information about Qualcomm's specific financial standing, market position, and growth prospects, it would be speculative to assign a meaningful investment score.</t>
  </si>
  <si>
    <t>Without any recent news or financial data provided, it is difficult to provide a comprehensive assessment of Quanta Services' investment potential in the Construction &amp; Engineering industry for the next month. The macroeconomic outlook, including factors such as the ongoing geopolitical tensions, the potential impact of the port strike, and the upcoming U.S. presidential election, could all have significant implications for the construction and engineering sector. However, without the necessary information about Quanta Services' specific financial performance, market position, and strategic initiatives, it would be speculative to make a well-informed investment recommendation.</t>
  </si>
  <si>
    <t>Without any recent news or financial data provided, it is difficult to provide a comprehensive assessment of Qorvo's investment potential in the Semiconductors industry for the next month. The macroeconomic outlook, including factors such as the ongoing geopolitical tensions, the potential impact of the port strike, and the upcoming U.S. presidential election, could all have significant implications for the semiconductor sector. However, without the specific details about Qorvo's current performance, market position, and future prospects, it would be speculative to assign a meaningful investment score.</t>
  </si>
  <si>
    <t>Without any recent news or financial data provided, it is difficult to provide a comprehensive assessment of the investment potential of PTC Inc. in the Application Software industry for the next month. The macroeconomic outlook, including factors such as the ongoing geopolitical tensions, the U.S. presidential election, and the performance of the technology sector, could have a significant impact on the company's performance. However, without access to the latest financial statements, market trends, and industry-specific information, a reliable investment score cannot be determined.</t>
  </si>
  <si>
    <t>Without any recent news or financial data provided, it is difficult to provide a comprehensive assessment of the investment potential for Public Service Enterprise Group in the Electric Utilities industry. The macroeconomic outlook, including factors such as the ongoing geopolitical tensions, the potential impact of the port strike, and the upcoming U.S. presidential election, could all have significant implications for the overall performance of the electric utilities sector. However, without the specific details about the company's financial health, operational efficiency, and competitive positioning, it is not possible to make a well-informed evaluation of its investment value.</t>
  </si>
  <si>
    <t>Without any recent news or financial data provided, it is difficult to provide a comprehensive assessment of Prudential Financial's investment potential in the Life &amp; Health Insurance industry for the next month. The macroeconomic outlook, including factors such as the ongoing geopolitical tensions, the U.S. presidential election, and the Federal Reserve's monetary policy decisions, could have a significant impact on the performance of the insurance sector. However, without access to the company's latest financial statements and market positioning, a reliable score cannot be determined.</t>
  </si>
  <si>
    <t>Without any recent news or financial data provided, it is difficult to provide a comprehensive assessment of Prologis' investment potential in the Industrial REITs industry for the next month. The macroeconomic outlook, including factors such as the ongoing geopolitical tensions, the threat of a port strike, and the potential impact of the upcoming U.S. presidential election, could all have significant implications for the performance of industrial REITs like Prologis. However, without access to the company's latest financial statements, operational updates, and market positioning, a reliable investment score cannot be determined.</t>
  </si>
  <si>
    <t>Without any recent news or financial data provided, it is difficult to provide a comprehensive assessment of the investment potential of Progressive Corporation in the Property &amp; Casualty Insurance industry for the next month. The macroeconomic outlook, including factors such as the ongoing geopolitical tensions, the potential impact of the port strike, and the upcoming U.S. presidential election, could all have significant implications for the insurance sector. However, without the necessary information about the company's specific performance and positioning, it is not possible to make a well-informed evaluation.</t>
  </si>
  <si>
    <t>Without any recent news or financial data provided, it is difficult to make a comprehensive assessment of Procter &amp; Gamble's investment potential in the Personal Care Products industry for the next month. The macroeconomic outlook, including factors such as consumer spending, inflation, and the overall economic conditions, would be crucial in determining the company's performance and the industry's prospects.
 Given the lack of specific information about Procter &amp; Gamble's current standing, it is not possible to provide a reliable score reflecting the potential investment value. The company's ability to navigate the market dynamics, adapt to changing consumer preferences, and maintain its competitive edge would be key drivers of its future performance.</t>
  </si>
  <si>
    <t>Without any recent news or financial data provided, it is difficult to provide a comprehensive assessment of the investment potential of Southern Company in the Electric Utilities industry for the next month. The macroeconomic outlook, including factors such as the ongoing geopolitical tensions, the potential impact of the port strike, and the upcoming U.S. presidential election, could all have significant implications for the overall performance of the electric utilities sector. However, without access to the company's latest financial statements, operational updates, and industry-specific information, a reliable evaluation of Southern Company's investment value cannot be made.</t>
  </si>
  <si>
    <t>Without any recent news or financial data provided, it is difficult to provide a comprehensive assessment of the investment potential of PPL Corporation in the Electric Utilities industry for the next month. The macroeconomic outlook, including factors such as the ongoing geopolitical tensions, the potential impact of the port strike, and the upcoming U.S. presidential election, could all have significant implications for the performance of the electric utilities sector. However, without the necessary information about the company's specific financial standing, operational efficiency, and competitive positioning, a reliable investment score cannot be determined.</t>
  </si>
  <si>
    <t>Without any recent news or financial data provided, it is difficult to provide a comprehensive assessment of the investment potential of PPG Industries in the Specialty Chemicals industry for the next month. The macroeconomic outlook, including factors such as the ongoing geopolitical tensions, the threat of a port strike, and the upcoming U.S. presidential election, could have a significant impact on the performance of the specialty chemicals sector. However, without access to the company's latest financial statements, operational updates, and industry-specific information, it would be speculative to assign a specific investment score.</t>
  </si>
  <si>
    <t>Without any recent news or financial data provided, it is difficult to provide a comprehensive assessment of the investment potential of PNC Financial Services in the Diversified Banks industry for the next month. The macroeconomic outlook, including factors such as the ongoing geopolitical tensions, the U.S. presidential election, and the Federal Reserve's monetary policy decisions, could have a significant impact on the performance of the banking sector. However, without access to the company's latest financial statements and market positioning, a reliable evaluation of the firm's investment value cannot be made.</t>
  </si>
  <si>
    <t>Without any recent news or financial data provided, it is difficult to provide a comprehensive assessment of the investment potential of Philip Morris International in the Tobacco industry for the next month. The macroeconomic outlook, including factors such as the ongoing geopolitical tensions, the U.S. presidential election, and the Federal Reserve's monetary policy decisions, could have a significant impact on the overall performance of the Tobacco industry and Philip Morris International specifically. However, without access to the latest financial statements, market trends, and industry-specific information, a reliable investment score cannot be determined.</t>
  </si>
  <si>
    <t>Without any recent news or financial data provided, it is difficult to assess the potential investment value of PG&amp;E Corporation in the Multi-Utilities industry for the next month. The macroeconomic outlook, including factors such as the ongoing geopolitical tensions, the U.S. presidential election, and the Federal Reserve's monetary policy decisions, could have a significant impact on the overall performance of the utilities sector. However, without the necessary information about the company's financials, operations, and market positioning, a comprehensive evaluation cannot be made.</t>
  </si>
  <si>
    <t>Without any recent news or financial data provided, it is difficult to provide a comprehensive assessment of Pfizer's investment potential in the Pharmaceuticals industry for the next month. The macroeconomic outlook, including factors such as the ongoing geopolitical tensions, the potential impact of the port strike, and the upcoming U.S. presidential election, could all have significant implications for the broader pharmaceutical sector. However, without access to Pfizer's specific financial performance, product pipeline, and competitive positioning, a reliable investment score cannot be determined.</t>
  </si>
  <si>
    <t>Without any recent news or financial data provided, it is difficult to provide a comprehensive assessment of PepsiCo's investment potential in the Soft Drinks &amp; Non-alcoholic Beverages industry for the next month. The macroeconomic outlook, including factors such as consumer spending, inflation, and the overall economic conditions, would play a crucial role in determining the company's performance and investment value.
 Economic Outlook:
 The latest macroeconomic data suggests a mixed picture, with the private sector adding more jobs than expected, but the manufacturing sector contracting for the sixth straight month. Additionally, the threat of a prolonged port strike poses a risk of renewed inflationary pressures, which could impact consumer spending and the overall economic trajectory.
 Soft Drinks &amp; Non-alcoholic Beverages Industry:
 The Soft Drinks &amp; Non-alcoholic Beverages industry is heavily influenced by consumer preferences, disposable income, and overall economic conditions. In the absence of recent financial data and industry-specific news, it is challenging to assess the current state and future prospects of PepsiCo within this industry.</t>
  </si>
  <si>
    <t>Without any recent news or financial data provided, it is difficult to provide a comprehensive assessment of Pentair's investment potential in the Industrial Machinery &amp; Supplies &amp; Components industry for the next month. The macroeconomic outlook, including factors such as the ongoing geopolitical tensions, the potential impact of the port strike, and the upcoming U.S. presidential election, could all have significant implications for the performance of companies in this industry. However, without the specific details about Pentair's current financial standing, market position, and operational dynamics, it would be speculative to make a well-informed evaluation.</t>
  </si>
  <si>
    <t>Without any recent news or financial data provided, it is difficult to provide a comprehensive assessment of PayPal's investment potential in the Transaction &amp; Payment Processing Services industry for the next month. The macroeconomic outlook, including factors such as the ongoing geopolitical tensions, the U.S. presidential election, and the Federal Reserve's monetary policy decisions, could have a significant impact on the overall performance of the industry and PayPal's stock.
 However, given the lack of specific information about the company's current financial standing, market position, and growth prospects, it would be speculative to assign a definitive investment score. The Transaction &amp; Payment Processing Services industry is highly competitive, and PayPal's ability to navigate the evolving market dynamics and maintain its competitive edge is crucial for its long-term success.</t>
  </si>
  <si>
    <t>Without any recent news or financial data provided, it is difficult to provide a comprehensive assessment of Paycom's investment potential in the Human Resource &amp; Employment Services industry for the next month. The macroeconomic outlook, including factors such as the ongoing geopolitical tensions, the U.S. presidential election, and the Federal Reserve's monetary policy decisions, could have a significant impact on the overall industry performance. However, without the specific details about Paycom's current financial standing, market position, and growth prospects, it is not possible to make a well-informed evaluation of the company's investment value.</t>
  </si>
  <si>
    <t>Without any recent news or financial data provided, it is difficult to provide a comprehensive assessment of the investment potential of Principal Financial Group in the Life &amp; Health Insurance industry for the next month. 
 The macroeconomic outlook, however, suggests that the overall economic conditions in the United States remain relatively strong, with the private sector adding more jobs than expected in September. This could indicate a favorable environment for the insurance industry, as increased employment and consumer spending may drive demand for life and health insurance products.
 However, the ongoing global tensions, such as the escalating conflict in the Middle East, and the potential impact of a prolonged port strike, could introduce volatility and uncertainty into the market, which may affect the performance of companies in the insurance sector.
 Additionally, the upcoming 2024 U.S. presidential election and the potential changes in the political landscape could also influence the investment landscape for companies like Principal Financial Group.
 Without access to the latest financial data and news updates, it is challenging to provide a more detailed analysis of the company's current position and its potential investment value. A more comprehensive assessment would require access to the company's recent financial reports, market performance, and any relevant industry or company-specific developments.</t>
  </si>
  <si>
    <t>Without any recent news or financial data provided, it is difficult to provide a comprehensive assessment of Snap-on's investment potential in the Industrial Machinery &amp; Supplies &amp; Components industry for the next month. The macroeconomic outlook, including factors such as the ongoing geopolitical tensions, the potential impact of the port strike, and the upcoming U.S. presidential election, could all have significant implications for the overall market performance and the specific industry in which Snap-on operates. However, without the necessary information about the company's current financial standing, competitive positioning, and any recent developments, a reliable investment recommendation cannot be made.</t>
  </si>
  <si>
    <t>Without any recent news or financial data provided, it is difficult to provide a comprehensive assessment of the investment potential of J.M. Smucker Company (The) in the Packaged Foods &amp; Meats industry for the next month.
 The macroeconomic outlook suggests a mixed picture, with the U.S. economy showing resilience in job growth but also facing challenges in the manufacturing sector and potential supply chain disruptions. The geopolitical tensions in the Middle East and the upcoming U.S. presidential election could also introduce volatility and uncertainty into the market.
 Given the lack of specific information about the company's current performance and outlook, it is not possible to assign a reliable investment score. The company's ability to navigate the evolving market conditions and industry dynamics would be crucial in determining its investment potential.</t>
  </si>
  <si>
    <t>Without any recent news or financial data provided, it is difficult to provide a comprehensive assessment of Skyworks Solutions' investment potential in the Semiconductors industry for the next month. The macroeconomic outlook, including factors such as the ongoing geopolitical tensions, the U.S. presidential election, and the Federal Reserve's monetary policy decisions, could have a significant impact on the overall performance of the semiconductor sector. However, without the necessary information about Skyworks Solutions' specific financial standing, market position, and growth prospects, it would be speculative to assign a meaningful investment score.</t>
  </si>
  <si>
    <t>Without any recent news or financial data provided, it is difficult to provide a comprehensive assessment of the investment potential of Simon Property Group in the Retail REITs industry for the next month. The macroeconomic outlook, which includes factors such as the ongoing geopolitical tensions, the threat of a port strike, and the upcoming U.S. presidential election, could have a significant impact on the performance of the Retail REITs sector. However, without the necessary information about the company's financial health, operational efficiency, and market positioning, it is not possible to make a well-informed evaluation of its investment value.</t>
  </si>
  <si>
    <t>Without any recent news or financial data provided, it is difficult to provide a comprehensive assessment of Sherwin-Williams' investment potential in the Specialty Chemicals industry for the next month. The macroeconomic outlook, including factors such as the ongoing geopolitical tensions, the threat of a port strike, and the upcoming U.S. presidential election, could have a significant impact on the overall market performance and the performance of the Specialty Chemicals industry.
 However, given the lack of specific information about Sherwin-Williams' current financial position, operational performance, and competitive landscape, it would be speculative to assign a definitive investment score. The company's ability to navigate the evolving market conditions and maintain its competitive edge in the Specialty Chemicals industry would be crucial factors in determining its investment value.</t>
  </si>
  <si>
    <t>Without any recent news or financial data provided, it is difficult to provide a comprehensive assessment of Seagate Technology's investment potential in the Technology Hardware, Storage &amp; Peripherals industry for the next month. The macroeconomic outlook, including factors such as the ongoing geopolitical tensions, the U.S. presidential election, and the Federal Reserve's monetary policy decisions, could have a significant impact on the overall performance of the technology sector. However, the lack of specific information about Seagate Technology's current financial standing, market position, and competitive landscape makes it challenging to determine the company's investment value accurately.</t>
  </si>
  <si>
    <t>Without any recent news or financial data provided, it is difficult to provide a comprehensive assessment of the investment potential for SBA Communications, a company in the Telecom Tower REITs industry. The macroeconomic outlook, including factors such as the ongoing geopolitical tensions, the U.S. presidential election, and the Federal Reserve's monetary policy decisions, could have a significant impact on the performance of this industry. However, without access to the company's latest financial statements, operational updates, and market positioning, a thorough evaluation of SBA Communications' investment value cannot be made.</t>
  </si>
  <si>
    <t>Without any recent news or financial data provided, it is challenging to provide a comprehensive assessment of the investment potential for S&amp;P Global in the Financial Exchanges &amp; Data industry. The macroeconomic outlook, however, suggests a mixed picture for the overall market performance in the near term.
 The U.S. economy continues to show resilience, with positive employment data, but the manufacturing sector's contraction and the threat of a prolonged port strike pose risks to the economic trajectory. Additionally, the escalating geopolitical tensions in the Middle East and the upcoming 2024 U.S. presidential election could introduce further volatility and uncertainty into the stock market.
 The technology sector, including AI-related companies, has been a standout performer, and the continued advancements in emerging technologies could drive growth in the medium to long term. However, without specific information about S&amp;P Global's financial performance and competitive positioning, it is difficult to gauge the company's investment potential.</t>
  </si>
  <si>
    <t>Without any recent news or financial data provided, it is difficult to provide a comprehensive assessment of the investment potential of Royal Caribbean Group in the Hotels, Resorts &amp; Cruise Lines industry for the next month. The macroeconomic outlook, including factors such as consumer spending, travel demand, and the overall economic conditions, would be crucial in determining the company's performance. Additionally, any industry-specific developments, regulatory changes, or competitive landscape shifts could significantly impact the firm's prospects.
 Given the lack of detailed information, it would be prudent to exercise caution when evaluating the investment value of Royal Caribbean Group in the short term. A more thorough analysis of the company's financials, management strategies, and market positioning would be necessary to provide a meaningful investment recommendation.</t>
  </si>
  <si>
    <t>Without any recent news or financial data provided, it is difficult to provide a comprehensive assessment of the investment potential of Ross Stores in the Apparel Retail industry for the next month. The macroeconomic outlook, including factors such as consumer spending, inflation, and the overall state of the economy, would be crucial in evaluating the company's performance and growth prospects.
 Economic Outlook:
 The latest macroeconomic data suggests a mixed picture, with the private sector adding more jobs than expected but the manufacturing sector contracting for the sixth consecutive month. Additionally, the threat of a prolonged port strike poses a risk of renewed inflationary pressures, which could impact consumer spending and the overall economic trajectory.
 Apparel Retail Industry:
 The Apparel Retail industry is heavily influenced by consumer sentiment and spending patterns. Factors such as consumer confidence, disposable income, and changing fashion trends can significantly impact the performance of companies in this sector.</t>
  </si>
  <si>
    <t>Without any recent news or financial data provided, it is difficult to provide a comprehensive assessment of the investment potential of Quest Diagnostics in the Health Care Services industry. The macroeconomic outlook, including factors such as the ongoing geopolitical tensions, the potential impact of the port strike, and the upcoming U.S. presidential election, could all have significant implications for the healthcare sector. However, without the necessary information about the company's performance, market position, and growth prospects, a reliable investment score cannot be determined.</t>
  </si>
  <si>
    <t>Without any recent news or financial data provided, it is difficult to provide a comprehensive assessment of Rockwell Automation's investment potential in the Electrical Components &amp; Equipment industry for the next month. The macroeconomic outlook, including factors such as the ongoing geopolitical tensions, the threat of a port strike, and the upcoming U.S. presidential election, could have a significant impact on the overall performance of the industry and the company. However, without access to the latest financial statements, market trends, and company-specific information, it would be speculative to assign a specific investment score.</t>
  </si>
  <si>
    <t>Without any recent news or financial data provided, it is difficult to assess the potential investment value of Revvity in the Health Care Equipment industry for the next month. The macroeconomic outlook, including factors such as the ongoing global conflicts, the impact of natural disasters, and the political landscape, could have significant implications for the overall performance of the healthcare sector. However, without specific information about Revvity's operations, financial standing, and competitive positioning, a comprehensive evaluation cannot be made.</t>
  </si>
  <si>
    <t>Without any recent news or financial data provided, it is difficult to provide a comprehensive assessment of the investment potential for ResMed, a company in the Health Care Equipment industry. The macroeconomic outlook, including factors such as the ongoing global conflicts, the impact of natural disasters, and the political landscape, could have significant implications for the healthcare sector and ResMed's performance. However, without access to the latest company-specific information, it would be speculative to make any definitive conclusions about the firm's current situation and future prospects.</t>
  </si>
  <si>
    <t>Without any recent news or financial data provided, it is difficult to provide a comprehensive assessment of the investment potential for Republic Services, a company in the Environmental &amp; Facilities Services industry. The macroeconomic outlook, including factors such as the ongoing geopolitical tensions, the potential impact of the port strike, and the upcoming U.S. presidential election, could all have significant implications for the overall market performance and the specific industry in which Republic Services operates. However, without access to the company's latest financial statements, operational updates, and market positioning, a thorough evaluation of its investment value cannot be made.</t>
  </si>
  <si>
    <t>Without any recent news or financial data provided, it is difficult to provide a comprehensive assessment of the investment potential for Regions Financial Corporation in the Regional Banks industry. The macroeconomic outlook, which includes factors such as the ongoing geopolitical tensions, the threat of a port strike, and the upcoming U.S. presidential election, could have a significant impact on the performance of the regional banking sector. However, without the specific details about Regions Financial Corporation's financial position, operational efficiency, and competitive landscape, it is not possible to make a well-informed evaluation of the company's investment value.</t>
  </si>
  <si>
    <t>Without any recent news or financial data provided, it is difficult to provide a comprehensive assessment of Regeneron Pharmaceuticals' investment potential in the Biotechnology industry for the next month. The macroeconomic outlook, including factors such as the ongoing geopolitical tensions, the U.S. presidential election, and the Federal Reserve's monetary policy decisions, could have a significant impact on the overall performance of the stock market and the Biotechnology sector.
 However, the Biotechnology industry has historically demonstrated resilience and the potential for growth, driven by advancements in medical research, drug development, and the increasing demand for innovative healthcare solutions. Regeneron Pharmaceuticals, as a leading player in the Biotechnology space, could potentially benefit from these industry-wide trends, provided that the company maintains a strong pipeline of promising drug candidates and continues to execute its strategic initiatives effectively.
 Given the lack of recent information, it would be prudent to closely monitor the company's future developments, financial performance, and any relevant news or industry updates before making an informed investment decision.</t>
  </si>
  <si>
    <t>Without any recent news or financial data provided, it is difficult to provide a comprehensive assessment of Regency Centers' investment potential in the Retail REITs industry for the next month. The macroeconomic outlook, including factors such as consumer spending, inflation, and interest rates, would be crucial in evaluating the performance of a retail-focused real estate investment trust (REIT) like Regency Centers.
 Given the lack of specific information about the company, a definitive investment score cannot be assigned. The overall economic conditions and the dynamics within the retail real estate sector would need to be closely monitored to determine the potential risks and opportunities for Regency Centers in the near term.</t>
  </si>
  <si>
    <t>Without any recent news or financial data provided, it is difficult to provide a comprehensive assessment of the investment potential of RTX Corporation in the Aerospace &amp; Defense industry for the next month. The macroeconomic outlook, including the ongoing global conflicts, the potential impact of the port strike, and the political uncertainty surrounding the 2024 U.S. presidential election, could all have significant implications for the performance of companies in this sector. However, without the necessary information about RTX Corporation's specific financial position, market share, and competitive landscape, a reliable investment score cannot be determined.</t>
  </si>
  <si>
    <t>Without any recent news or financial data provided, it is difficult to provide a comprehensive assessment of the investment potential of Raymond James Financial in the Investment Banking &amp; Brokerage industry for the next month. 
 The macroeconomic outlook, as described, suggests a volatile market environment due to ongoing global conflicts, political uncertainties, and potential economic headwinds. These factors could impact the performance of financial services firms like Raymond James Financial.
 However, without access to the company's latest financial statements, operational updates, and market positioning, it is not possible to determine the specific risks and opportunities facing the firm. The overall industry outlook may be subject to these broader market conditions, but the individual company's resilience and adaptability would be crucial in navigating the challenging environment.</t>
  </si>
  <si>
    <t>Without any recent news or financial data provided, it is difficult to provide a comprehensive assessment of the investment potential of Ralph Lauren Corporation in the Apparel, Accessories &amp; Luxury Goods industry for the next month.
 The macroeconomic outlook suggests a volatile market environment, with ongoing global conflicts, political uncertainties, and potential economic headwinds. These factors could impact consumer spending and the overall performance of the luxury goods sector.
 However, the long-term fundamentals of the industry and Ralph Lauren's brand positioning may still offer opportunities, provided the company can navigate the current challenges effectively.</t>
  </si>
  <si>
    <t>Without any recent news or financial data provided, it is difficult to provide a comprehensive assessment of Roper Technologies' investment potential in the Electronic Equipment &amp; Instruments industry for the next month. The macroeconomic outlook, including factors such as the ongoing geopolitical tensions, the U.S. presidential election, and the Federal Reserve's monetary policy decisions, could have a significant impact on the overall performance of the industry and the company. However, without access to the latest financial statements, market trends, and company-specific information, a reliable score cannot be determined.</t>
  </si>
  <si>
    <t>Without any recent news or financial data provided, it is difficult to provide a comprehensive assessment of Chipotle Mexican Grill's investment potential in the Restaurants industry for the next month. The macroeconomic outlook, including factors such as consumer spending, inflation, and the overall economic conditions, would be crucial in determining the company's performance and investment value.
 Given the lack of specific information about Chipotle's current situation, it is not possible to assign a meaningful score reflecting the potential investment value. A more thorough analysis would be required, taking into account the company's financial statements, market position, competitive landscape, and the broader economic and industry trends.</t>
  </si>
  <si>
    <t>Without any recent news or financial data provided, it is difficult to provide a comprehensive assessment of Chevron Corporation's investment potential in the Integrated Oil &amp; Gas industry for the next month. The macroeconomic outlook, however, suggests some potential headwinds that could impact the overall performance of the industry.
 The escalating conflict in the Middle East, particularly the tensions between Israel and Iran, has the potential to introduce volatility and uncertainty into the market. This could lead to concerns about potential disruptions to global energy supplies, which could negatively affect the Integrated Oil &amp; Gas industry. Additionally, the threat of a prolonged port strike poses a risk of renewed inflationary pressures, which could impact consumer spending and the overall economic trajectory.
 Given the lack of specific information about Chevron Corporation's current financial position and operational performance, it is challenging to assign a meaningful investment value score. A more thorough analysis of the company's fundamentals, competitive positioning, and management strategy would be necessary to provide a reliable assessment.</t>
  </si>
  <si>
    <t>Without any recent news or financial data provided, it is difficult to provide a comprehensive assessment of the investment potential of Charter Communications in the Cable &amp; Satellite industry for the next month. The macroeconomic outlook, including factors such as the ongoing geopolitical tensions, the U.S. presidential election, and the performance of the overall stock market, could have a significant impact on the company's performance. However, without access to the latest financial statements, market trends, and industry-specific information, a reliable investment score cannot be determined.</t>
  </si>
  <si>
    <t>Without any recent news or financial data provided, it is difficult to provide a comprehensive assessment of the investment potential for Charles River Laboratories in the Life Sciences Tools &amp; Services industry. The macroeconomic outlook, including factors such as the ongoing geopolitical tensions, the U.S. presidential election, and the performance of the overall stock market, could have a significant impact on the company's future prospects. However, without access to the latest financial statements, market trends, and industry-specific information, a reliable score cannot be determined.</t>
  </si>
  <si>
    <t>Without any recent news or financial data provided, it is difficult to provide a comprehensive assessment of the investment potential of CF Industries, a company in the Fertilizers &amp; Agricultural Chemicals industry. The macroeconomic outlook, including factors such as global conflicts, natural disasters, and political events, can significantly impact the performance of companies in this sector. However, without the necessary information about the company's current financial standing, operational efficiency, and market positioning, a reliable investment score cannot be determined.</t>
  </si>
  <si>
    <t>Without any recent news or financial data provided, it is difficult to provide a comprehensive assessment of the investment potential for CenterPoint Energy in the Multi-Utilities industry. The macroeconomic outlook, including factors such as the ongoing geopolitical tensions, the U.S. presidential election, and the Federal Reserve's monetary policy decisions, could have a significant impact on the overall performance of the utilities sector. However, without the specific details about CenterPoint Energy's financial position, operational efficiency, and competitive landscape, it is not possible to make a well-informed evaluation of the company's investment value.</t>
  </si>
  <si>
    <t>Without any recent news or financial data provided, it is difficult to provide a comprehensive assessment of the investment potential for Centene Corporation in the Managed Health Care industry. The macroeconomic outlook, including factors such as the ongoing geopolitical tensions, the potential impact of the port strike, and the upcoming U.S. presidential election, could all have significant implications for the healthcare sector. However, without the necessary information about Centene's specific financial performance, market position, and strategic initiatives, a reliable investment recommendation cannot be made.</t>
  </si>
  <si>
    <t>Without any recent news or financial data provided, it is difficult to assess the potential investment value of Cencora, a company in the Health Care Distributors industry. The macroeconomic outlook, including factors such as the ongoing global conflicts, the potential impact of natural disasters, and the political landscape, could indirectly affect the performance of companies in this industry. However, without specific information about Cencora's operations, financial standing, and competitive positioning, a comprehensive evaluation cannot be made.</t>
  </si>
  <si>
    <t>Without any recent news or financial data provided, it is difficult to provide a comprehensive assessment of the investment potential of CBRE Group in the Real Estate Services industry for the next month. The macroeconomic outlook, including factors such as interest rates, consumer confidence, and the overall state of the real estate market, would be crucial in determining the company's performance. Additionally, any industry-specific developments or regulatory changes could also impact CBRE Group's operations and financial standing.
 Given the lack of detailed information, it would be prudent to exercise caution when evaluating the company's investment value. A more thorough analysis of the latest financial reports, management's guidance, and the competitive landscape would be necessary to make a well-informed investment decision.</t>
  </si>
  <si>
    <t>Without any recent news or financial data provided, it is difficult to provide a comprehensive assessment of Cboe Global Markets' investment potential in the Financial Exchanges &amp; Data industry for the next month. The macroeconomic outlook, including factors such as the ongoing geopolitical tensions, the U.S. presidential election, and the Federal Reserve's monetary policy decisions, could have a significant impact on the overall performance of the financial sector. However, without the specific details about Cboe Global Markets' current financial standing, market position, and growth prospects, it is not possible to make a well-informed evaluation of the company's investment value.</t>
  </si>
  <si>
    <t>Without any recent news or financial data provided, it is difficult to provide a comprehensive assessment of Axon Enterprise's investment potential in the Aerospace &amp; Defense industry for the next month. The macroeconomic outlook, including factors such as the ongoing geopolitical tensions, the U.S. presidential election, and the performance of the overall stock market, could have a significant impact on the company's performance. However, without access to the latest information about Axon Enterprise's financial standing, product pipeline, and competitive positioning, it would be speculative to make any definitive conclusions about the company's investment value.</t>
  </si>
  <si>
    <t>Without any recent news or financial data provided, it is difficult to provide a comprehensive assessment of Catalent's investment potential in the Pharmaceuticals industry for the next month. The macroeconomic outlook, including factors such as the ongoing global conflicts, the potential impact of the port strike, and the upcoming U.S. presidential election, could all have significant implications for the pharmaceutical sector. However, without the necessary information about Catalent's specific financial performance, market position, and strategic initiatives, a reliable investment score cannot be determined.</t>
  </si>
  <si>
    <t>Without any recent news or financial data provided, it is difficult to provide a comprehensive assessment of Carrier Global's investment potential in the Building Products industry for the next month. The macroeconomic outlook, including factors such as the ongoing geopolitical tensions, the threat of a port strike, and the upcoming U.S. presidential election, could have a significant impact on the overall market performance and the performance of companies within the Building Products industry.
 However, given the lack of specific information about Carrier Global's current financial position, operational efficiency, and competitive landscape, it would be speculative to assign a definitive investment score. The company's performance and investment value can vary greatly depending on its ability to navigate the evolving market conditions, adapt to changing consumer preferences, and capitalize on emerging industry trends.</t>
  </si>
  <si>
    <t>Without any recent news or financial data provided, it is difficult to provide a comprehensive assessment of Carnival's investment potential in the Hotels, Resorts &amp; Cruise Lines industry for the next month. The macroeconomic outlook, including factors such as consumer spending, travel demand, and the overall economic conditions, would be crucial in determining the company's performance. Additionally, any industry-specific developments, regulatory changes, or competitive landscape shifts could significantly impact Carnival's position.
 Given the lack of detailed information, it would be prudent to exercise caution when evaluating the company's investment value. A more thorough analysis of Carnival's financial health, operational efficiency, and strategic positioning within the industry would be necessary to provide a meaningful investment recommendation.</t>
  </si>
  <si>
    <t>Without any recent news or financial data provided, it is difficult to provide a comprehensive assessment of CarMax's investment potential in the Automotive Retail industry for the next month. The macroeconomic outlook, including factors such as consumer spending, interest rates, and the overall state of the automotive market, would be crucial in determining the company's performance.
 Given the lack of specific information about CarMax's current situation, it would be speculative to assign a definitive score reflecting the potential investment value. The company's ability to navigate the dynamic market conditions, adapt to changing consumer preferences, and maintain its competitive edge would be key drivers of its future performance.</t>
  </si>
  <si>
    <t>Without any recent news or financial data provided, it is difficult to provide a comprehensive assessment of Cardinal Health's investment potential in the Health Care Distributors industry for the next month. The macroeconomic outlook, including factors such as the ongoing geopolitical tensions, the potential impact of the port strike, and the upcoming U.S. presidential election, could all have significant implications for the overall healthcare sector and Cardinal Health's performance. However, without the necessary information about the company's current financial standing, operational efficiency, and competitive positioning, a reliable investment score cannot be determined.</t>
  </si>
  <si>
    <t>Without any recent news or financial data provided, it is difficult to provide a comprehensive assessment of the investment potential of Capital One in the Consumer Finance industry for the next month. The macroeconomic outlook, including factors such as consumer spending, interest rates, and regulatory changes, can significantly impact the performance of companies in this sector. However, without access to the latest financial statements, market trends, and industry-specific information, a reliable investment score cannot be determined.</t>
  </si>
  <si>
    <t>Without any recent news or financial data provided, it is difficult to provide a comprehensive assessment of the investment potential for Campbell Soup Company. The packaged foods and meats industry is generally considered a defensive sector, as consumer demand for these products tends to be relatively stable even during economic downturns. However, the industry also faces ongoing challenges, such as changing consumer preferences, supply chain disruptions, and intense competition.
 Economic Outlook:
 The macroeconomic environment remains uncertain, with concerns about a potential recession and ongoing global conflicts. These factors could impact consumer spending and the overall performance of the packaged foods industry.</t>
  </si>
  <si>
    <t>Without any recent news or financial data provided, it is difficult to provide a comprehensive assessment of the investment potential for Caesars Entertainment in the Casinos &amp; Gaming industry. The macroeconomic outlook, however, suggests some potential headwinds that could impact the overall performance of the industry.
 The escalating conflicts in the Middle East, particularly the tensions between Israel and Iran, have the potential to introduce volatility and uncertainty into the broader stock market. Additionally, the threat of a prolonged port strike poses a risk of renewed inflationary pressures, which could impact consumer spending and the overall economic trajectory.
 Given the lack of specific information about Caesars Entertainment's current financial standing and market position, it is challenging to determine the company's investment value for the next month. The Casinos &amp; Gaming industry is heavily influenced by consumer sentiment and discretionary spending, which could be affected by the prevailing macroeconomic conditions.</t>
  </si>
  <si>
    <t>Without any recent news or financial data provided, it is difficult to provide a comprehensive assessment of the investment potential for C.H. Robinson, a company in the Air Freight &amp; Logistics industry. The macroeconomic outlook, including factors such as the ongoing global conflicts, the potential impact of natural disasters, and the political landscape, could have significant implications for the logistics and transportation sector. However, without the necessary information about the company's specific performance, financial health, and competitive positioning, a reliable investment score cannot be determined.</t>
  </si>
  <si>
    <t>Without any recent news or financial data provided, it is difficult to assess the potential investment value of Bunge Global in the Agricultural Products &amp; Services industry for the next month. The macroeconomic outlook, including factors such as the ongoing global conflicts, the potential impact of natural disasters, and the overall economic performance, could have a significant influence on the company's performance. However, without access to the latest information about Bunge Global's operations, financial standing, and market positioning, a comprehensive evaluation cannot be made.</t>
  </si>
  <si>
    <t>Without any recent news or financial data provided, it is difficult to provide a comprehensive assessment of the investment potential for Builders FirstSource in the Building Products industry. The macroeconomic outlook, however, suggests some potential headwinds that could impact the overall performance of the industry.
 The continued volatility in the stock market, driven by geopolitical tensions and concerns about a potential recession, could create uncertainty and affect consumer spending, which is a crucial factor for the Building Products industry. Additionally, the threat of a prolonged port strike poses a risk of renewed inflationary pressures, which could further impact the industry's profitability.
 Given the lack of specific information about Builders FirstSource, it is challenging to assign a meaningful investment score. A more thorough analysis of the company's financial performance, market position, and growth prospects would be necessary to provide a reliable investment recommendation.</t>
  </si>
  <si>
    <t>Without any recent news or financial data provided, it is difficult to provide a comprehensive assessment of Caterpillar Inc.'s investment potential in the Construction Machinery &amp; Heavy Transportation Equipment industry for the next month. The macroeconomic outlook, including factors such as the ongoing global conflicts, the potential impact of the port strike, and the political landscape, could all have significant implications for the company's performance. However, without the necessary information, a thorough evaluation cannot be made.</t>
  </si>
  <si>
    <t>Without any recent news or financial data provided, it is difficult to provide a comprehensive assessment of the investment potential of CSX Corporation in the Rail Transportation industry for the next month. The macroeconomic outlook, including factors such as the ongoing geopolitical tensions, the threat of a port strike, and the potential impact of the 2024 U.S. presidential election, could all have significant implications for the rail transportation sector. However, without the necessary information about the company's current performance, financial position, and market positioning, it would be speculative to make any definitive conclusions about its investment value.</t>
  </si>
  <si>
    <t>Without any recent news or financial data provided, it is difficult to provide a comprehensive assessment of Crown Castle's investment potential in the Telecom Tower REITs industry for the next month. The macroeconomic outlook, including factors such as the ongoing geopolitical tensions, the U.S. presidential election, and the Federal Reserve's monetary policy decisions, could have a significant impact on the overall performance of the industry and the company. However, without access to the latest financial statements, market trends, and industry-specific information, a reliable score cannot be determined.</t>
  </si>
  <si>
    <t>Without any recent news or financial data provided, it is difficult to provide a comprehensive assessment of CrowdStrike's investment potential in the Systems Software industry for the next month. The macroeconomic outlook, including factors such as the ongoing geopolitical tensions, the U.S. presidential election, and the performance of the technology sector, could have a significant impact on the company's performance. However, without access to the latest information about CrowdStrike's financials, market position, and competitive landscape, a reliable investment score cannot be determined.</t>
  </si>
  <si>
    <t>Without any recent news or financial data provided, it is difficult to provide a comprehensive assessment of Coterra's investment potential in the Oil &amp; Gas Exploration &amp; Production industry for the next month. The macroeconomic outlook, including factors such as global conflicts, natural disasters, and political events, could have a significant impact on the industry and the company's performance. However, without access to the latest information about Coterra's operations, financial standing, and market positioning, a reliable investment score cannot be determined.</t>
  </si>
  <si>
    <t>Without any recent news or financial data provided, it is difficult to provide a comprehensive assessment of the investment potential of CoStar Group in the Real Estate Services industry for the next month. The macroeconomic outlook, including factors such as the ongoing geopolitical tensions, the U.S. presidential election, and the Federal Reserve's monetary policy decisions, could have a significant impact on the performance of the real estate sector and, consequently, CoStar Group's stock.
 However, given the lack of specific information about the company's current financial standing, market position, and growth prospects, it would be speculative to assign a definitive investment score. The real estate services industry is subject to various market dynamics, and CoStar Group's performance would depend on its ability to navigate the evolving landscape and capitalize on any opportunities that may arise.</t>
  </si>
  <si>
    <t>Without any recent news or financial data provided, it is difficult to provide a comprehensive assessment of Corteva's investment potential in the Fertilizers &amp; Agricultural Chemicals industry for the next month. The macroeconomic outlook, including factors such as the ongoing global conflicts, the potential impact of the port strike, and the political landscape, could all have significant implications for the industry and Corteva's performance. However, without the necessary information about the company's current financial standing, market position, and growth prospects, a reliable investment score cannot be determined.</t>
  </si>
  <si>
    <t>Without any recent news or financial data provided, it is difficult to assess the potential investment value of Corpay in the Transaction &amp; Payment Processing Services industry for the next month. The macroeconomic outlook, including factors such as the ongoing geopolitical tensions, the U.S. presidential election, and the Federal Reserve's monetary policy decisions, could have a significant impact on the overall performance of the industry and the company. However, without access to the company's latest financial statements, market position, and competitive landscape, a comprehensive evaluation cannot be made.</t>
  </si>
  <si>
    <t>Without any recent news or financial data provided, it is difficult to provide a comprehensive assessment of Copart's investment potential in the Diversified Support Services industry for the next month. The macroeconomic outlook, including factors such as the ongoing geopolitical tensions, the U.S. presidential election, and the Federal Reserve's monetary policy decisions, could have a significant impact on the overall market performance and, consequently, the performance of individual companies like Copart.
 However, given the lack of specific information about Copart's current financial standing, operational performance, and competitive positioning, it would be speculative to assign a score reflecting the potential investment value of the company. A more thorough analysis of the company's fundamentals, industry trends, and market dynamics would be necessary to provide a meaningful and well-informed investment recommendation.</t>
  </si>
  <si>
    <t>Without any recent news or financial data provided, it is difficult to provide a comprehensive assessment of the investment potential of Cooper Companies (The) in the Health Care Supplies industry for the next month. The macroeconomic outlook, including factors such as the ongoing geopolitical tensions, the threat of a port strike, and the upcoming U.S. presidential election, could have a significant impact on the overall market performance and the performance of companies within the healthcare supplies sector.
 However, in the absence of specific information about Cooper Companies (The), it would be speculative to assign a score reflecting the potential investment value of the company. A thorough analysis of the company's financial health, competitive positioning, and growth prospects would be necessary to make a well-informed investment recommendation.</t>
  </si>
  <si>
    <t>Without any recent news or financial data provided, it is difficult to provide a comprehensive assessment of Constellation Energy's investment potential in the Electric Utilities industry for the next month. The macroeconomic outlook, including factors such as the ongoing geopolitical tensions, the threat of a port strike, and the upcoming U.S. presidential election, could have a significant impact on the overall performance of the utilities sector. However, without access to the company's latest financial statements, operational updates, and industry-specific information, a reliable evaluation of Constellation Energy's investment value cannot be made.</t>
  </si>
  <si>
    <t>Without any recent news or financial data provided, it is difficult to provide a comprehensive assessment of the investment potential of ConocoPhillips in the Oil &amp; Gas Exploration &amp; Production industry for the next month. The macroeconomic outlook, including factors such as global energy demand, commodity prices, and geopolitical tensions, can significantly impact the performance of companies in this sector. However, without the necessary information about the company's current financial standing, operational efficiency, and strategic positioning, a reliable investment score cannot be determined.</t>
  </si>
  <si>
    <t>Without any recent news or financial data provided, it is difficult to provide a comprehensive assessment of the investment potential of Chubb Limited in the Property &amp; Casualty Insurance industry for the next month. The macroeconomic outlook, including factors such as the ongoing geopolitical tensions, the potential impact of the port strike, and the upcoming U.S. presidential election, could all have significant implications for the insurance sector. However, without access to the company's latest financial performance, operational updates, and industry-specific insights, a reliable investment score cannot be determined.</t>
  </si>
  <si>
    <t>Without any recent news or financial data provided, it is difficult to provide a comprehensive assessment of Colgate-Palmolive's investment potential in the Household Products industry for the next month. The macroeconomic outlook, including factors such as consumer spending, inflation, and the overall economic conditions, would be crucial in determining the company's performance and the investment value.
 Given the lack of specific information about Colgate-Palmolive's current situation, it would be prudent to refrain from making any definitive investment recommendations. The company's ability to navigate the evolving market dynamics, adapt to changing consumer preferences, and maintain its competitive edge would be key drivers of its future performance.</t>
  </si>
  <si>
    <t>Without any recent news or financial data provided, it is difficult to provide a comprehensive assessment of the investment potential for Coca-Cola Company (The) in the Soft Drinks &amp; Non-alcoholic Beverages industry for the next month.
 The macroeconomic outlook suggests a volatile market environment, with ongoing global conflicts, political uncertainties, and potential economic headwinds. However, the resilience of the U.S. economy, as evidenced by the strong employment data, could provide some support for consumer-focused sectors like the soft drinks industry.
 Given the lack of specific information about Coca-Cola's current performance and outlook, it is prudent to refrain from making a definitive investment recommendation at this time. A more thorough analysis of the company's financials, market position, and management strategy would be necessary to provide a meaningful assessment of its investment potential.</t>
  </si>
  <si>
    <t>Without any recent news or financial data provided, it is difficult to provide a comprehensive assessment of the investment potential of CME Group in the Financial Exchanges &amp; Data industry for the next month. The macroeconomic outlook, including factors such as the ongoing geopolitical tensions, the U.S. presidential election, and the Federal Reserve's monetary policy decisions, could have a significant impact on the performance of the financial sector and CME Group specifically. However, without access to the latest financial statements, market trends, and industry-specific information, a reliable score cannot be determined.</t>
  </si>
  <si>
    <t>Without any recent news or financial data provided, it is difficult to assess the potential investment value of Clorox in the Household Products industry for the next month. The macroeconomic outlook, including factors such as consumer spending, inflation, and the overall economic conditions, would be crucial in determining the company's performance and investment potential.
 Given the lack of specific information about Clorox's current situation, it would be speculative to provide a score reflecting the potential investment value. A more thorough analysis of the company's financials, market position, and industry trends would be necessary to make an informed assessment.</t>
  </si>
  <si>
    <t>Without any recent news or financial data provided, it is difficult to provide a comprehensive assessment of the investment potential of Citizens Financial Group in the Regional Banks industry for the next month. The macroeconomic outlook, including factors such as the ongoing geopolitical tensions, the U.S. presidential election, and the Federal Reserve's monetary policy decisions, could have a significant impact on the performance of the regional banking sector. However, without access to the company's latest financial statements, market position, and competitive landscape, a reliable investment score cannot be determined.</t>
  </si>
  <si>
    <t>Without any recent news or financial data provided, it is challenging to provide a comprehensive assessment of Citigroup's investment potential in the Diversified Banks industry for the next month. The macroeconomic outlook, which includes factors such as the ongoing geopolitical tensions, the potential impact of the port strike, and the upcoming U.S. presidential election, could have significant implications for the banking sector. However, without the necessary information about Citigroup's specific performance and positioning within the industry, it is difficult to determine the company's investment value accurately.</t>
  </si>
  <si>
    <t>Without any recent news or financial data provided, it is challenging to provide a comprehensive assessment of Cisco's investment potential in the Communications Equipment industry for the next month. The macroeconomic outlook, however, suggests a mixed picture, with the U.S. economy showing resilience in job growth but also facing headwinds from the manufacturing sector's contraction and the threat of a prolonged port strike.
 The technology sector, including the Communications Equipment industry, has been a standout performer, with several companies seeing their market valuations surge. The continued advancements in emerging technologies, such as artificial intelligence, could potentially benefit Cisco's business in the long run. However, the escalating geopolitical tensions and the upcoming U.S. presidential election introduce an element of uncertainty that could impact the overall market performance in the short to medium term.</t>
  </si>
  <si>
    <t>Without any recent news or financial data provided, it is difficult to provide a comprehensive assessment of Cintas' investment potential in the Diversified Support Services industry for the next month. The macroeconomic outlook, including factors such as the ongoing geopolitical tensions, the U.S. presidential election, and the Federal Reserve's monetary policy decisions, could have a significant impact on the overall market performance and, consequently, the performance of individual companies like Cintas.
 However, given the lack of specific information about Cintas' current financial standing, operational performance, and competitive positioning, it would be speculative to assign a definitive investment score. A more thorough analysis of the company's fundamentals, industry trends, and market dynamics would be necessary to provide a meaningful and well-informed investment recommendation.</t>
  </si>
  <si>
    <t>Without any recent news or financial data provided, it is difficult to provide a comprehensive assessment of Cincinnati Financial's investment potential in the Property &amp; Casualty Insurance industry for the next month. The macroeconomic outlook, including factors such as the ongoing geopolitical tensions, the potential impact of the port strike, and the upcoming U.S. presidential election, could all have significant implications for the insurance sector. However, without the necessary information about the company's specific performance and positioning, a reliable investment score cannot be determined.</t>
  </si>
  <si>
    <t>Without any recent news or financial data provided, it is difficult to provide a comprehensive assessment of Cigna's investment potential in the Health Care Services industry for the next month. The macroeconomic outlook, including factors such as the ongoing geopolitical tensions, the potential impact of the port strike, and the upcoming U.S. presidential election, could all have significant implications for the healthcare sector. However, without access to Cigna's specific financial performance, market position, and strategic initiatives, a reliable investment score cannot be determined.</t>
  </si>
  <si>
    <t>Without any recent news or financial data provided, it is difficult to provide a comprehensive assessment of the investment potential for Church &amp; Dwight in the Household Products industry. The macroeconomic outlook, including factors such as consumer spending, inflation, and overall economic conditions, would typically play a significant role in evaluating the company's prospects.
 However, in the absence of specific information about the company's performance, market position, and competitive landscape, a reliable investment score cannot be confidently assigned. The Household Products industry is generally considered a defensive sector, but the company's ability to navigate the current economic environment and maintain its competitive edge would need to be evaluated based on the latest available data.</t>
  </si>
  <si>
    <t>Without any recent news or financial data provided, it is difficult to provide a comprehensive assessment of Comcast's investment potential in the Cable &amp; Satellite industry for the next month. The macroeconomic outlook, including factors such as the ongoing geopolitical tensions, the U.S. presidential election, and the Federal Reserve's monetary policy decisions, could have a significant impact on the overall performance of the industry and Comcast's stock.
 However, given the lack of specific information about the company's current financial standing, operational performance, and competitive positioning, it would be speculative to assign a definitive investment score. The Cable &amp; Satellite industry is facing various challenges, including the shift towards streaming services and changing consumer preferences, which could affect Comcast's long-term prospects.</t>
  </si>
  <si>
    <t>Without any recent news or financial data provided, it is difficult to provide a comprehensive assessment of Textron's investment potential in the Aerospace &amp; Defense industry for the next month. The macroeconomic outlook, however, suggests some potential challenges and opportunities that may impact the company's performance.
 The escalating conflicts in the Middle East, particularly the tensions between Israel and Iran, could introduce volatility and uncertainty into the market, potentially affecting the Aerospace &amp; Defense sector. Additionally, the threat of a prolonged port strike poses a risk of renewed inflationary pressures, which could impact consumer spending and the overall economic trajectory.
 On the other hand, the continued advancements in emerging technologies, such as artificial intelligence (AI), could drive growth in the market, including the Aerospace &amp; Defense industry, provided that the political and geopolitical risks are managed effectively.
 Given the limited information available, it is prudent to exercise caution when evaluating Textron's investment potential. A more thorough analysis of the company's recent financial performance, market position, and management strategy would be necessary to provide a more accurate assessment.</t>
  </si>
  <si>
    <t>Without any recent news or financial data provided, it is difficult to provide a comprehensive assessment of the investment potential for Texas Instruments in the Semiconductors industry. The macroeconomic outlook, however, suggests that the technology and semiconductor sectors may continue to see volatility in the near term due to factors such as the ongoing geopolitical tensions, the threat of a port strike, and the uncertainty surrounding the upcoming U.S. presidential election.
 Given the lack of specific information about Texas Instruments' current performance and outlook, it would be prudent to exercise caution when evaluating the company's investment potential. A more thorough analysis of the company's financials, competitive positioning, and management strategy would be necessary to make a well-informed investment recommendation.</t>
  </si>
  <si>
    <t>Without any recent news or financial data provided, it is difficult to provide a comprehensive assessment of Teradyne's investment potential in the Semiconductor Materials &amp; Equipment industry for the next month. The macroeconomic outlook, however, suggests a mixed picture for the industry.
 The U.S. economy continues to show resilience, with the private sector adding more jobs than expected in September. This positive employment data indicates that the economy remains on a solid footing. However, the manufacturing sector has contracted for the sixth straight month, signaling some softness in the industrial segment. Additionally, the threat of a prolonged port strike poses a risk of renewed inflationary pressures, which could impact consumer spending and the overall economic trajectory.
 The technology sector, including the AI industry, has been a standout performer, with several companies seeing their market valuations surge. This trend could potentially benefit Teradyne, as the semiconductor industry is closely tied to the growth of emerging technologies. However, the escalating conflict in the Middle East and the upcoming 2024 U.S. presidential election introduce an element of uncertainty that could impact the overall market performance.
 Without access to the company's recent financial data and news, it is challenging to provide a more informed assessment of Teradyne's investment potential. The macroeconomic factors suggest a mixed outlook for the industry, with both positive and negative elements that could influence the company's performance in the next month.</t>
  </si>
  <si>
    <t>Without any recent news or financial data provided, it is difficult to provide a comprehensive assessment of Teleflex's investment potential in the Health Care Equipment industry for the next month. The macroeconomic outlook, including factors such as the ongoing global conflicts, the potential impact of natural disasters, and the political landscape, could have significant implications for the overall performance of the healthcare sector. However, without specific information about Teleflex's current financial standing, market position, and competitive advantages, a reliable investment score cannot be determined.</t>
  </si>
  <si>
    <t>Without any recent news or financial data provided, it is difficult to provide a comprehensive assessment of TE Connectivity's investment potential in the Electronic Manufacturing Services industry for the next month. The macroeconomic outlook, including factors such as the ongoing geopolitical tensions, the U.S. presidential election, and the performance of the technology sector, could have a significant impact on the company's performance. However, without access to the latest financial statements, market trends, and industry-specific information, a reliable investment score cannot be determined.</t>
  </si>
  <si>
    <t>Without any recent news or financial data provided, it is difficult to provide a comprehensive assessment of the investment potential of Target Corporation in the Consumer Staples Merchandise Retail industry for the next month. The macroeconomic outlook, including factors such as consumer spending, inflation, and the overall economic conditions, would be crucial in determining the company's performance and investment value. However, in the absence of specific information about Target Corporation's current financial standing, operational updates, and industry trends, a reliable score cannot be assigned.</t>
  </si>
  <si>
    <t>Without any recent news or financial data provided, it is difficult to provide a comprehensive assessment of Targa Resources' investment potential in the Oil &amp; Gas Storage &amp; Transportation industry for the next month. The macroeconomic outlook, including factors such as the ongoing geopolitical tensions, the threat of a port strike, and the potential impact of the 2024 U.S. presidential election, could all have significant implications for the industry and the company's performance. However, without access to the latest financial statements, operational updates, and market positioning, a reliable evaluation of the company's investment value cannot be made.</t>
  </si>
  <si>
    <t>Without any recent news or financial data provided, it is challenging to provide a comprehensive assessment of Tapestry, Inc.'s investment potential in the Apparel, Accessories &amp; Luxury Goods industry for the next month. The lack of up-to-date information makes it difficult to evaluate the company's current performance, market position, and potential risks and opportunities.
 Economic Outlook:
 The overall macroeconomic environment, including factors such as consumer spending, inflation, and interest rates, can significantly impact the performance of companies in the luxury goods sector. However, without the necessary data, it is not possible to determine how the current economic conditions may affect Tapestry, Inc. in the near term.</t>
  </si>
  <si>
    <t>Without any recent news or financial data provided, it is difficult to provide a comprehensive assessment of the investment potential for T. Rowe Price in the Asset Management &amp; Custody Banks industry. The macroeconomic outlook, including factors such as the ongoing geopolitical tensions, the U.S. presidential election, and the Federal Reserve's monetary policy decisions, could have a significant impact on the performance of asset management firms like T. Rowe Price. However, without access to the company's latest financial statements, market position, and growth prospects, it is not possible to make a well-informed evaluation of the investment value.</t>
  </si>
  <si>
    <t>Without any recent news or financial data provided, it is difficult to provide a comprehensive assessment of the investment potential of T-Mobile US in the Wireless Telecommunication Services industry for the next month. The macroeconomic outlook, including factors such as the ongoing geopolitical tensions, the U.S. presidential election, and the Federal Reserve's monetary policy decisions, could have a significant impact on the overall performance of the telecommunications sector. However, without the necessary information about the company's specific financial standing, market position, and growth prospects, a reliable investment score cannot be determined.</t>
  </si>
  <si>
    <t>Without any recent news or financial data provided, it is difficult to provide a comprehensive assessment of Synopsys' investment potential in the Application Software industry for the next month. The macroeconomic outlook, including factors such as the ongoing geopolitical tensions, the U.S. presidential election, and the Federal Reserve's monetary policy decisions, could have a significant impact on the overall performance of the technology and software sectors. However, without the specific details about Synopsys' current financial standing, market position, and growth prospects, it would be speculative to assign a meaningful investment score.</t>
  </si>
  <si>
    <t>Without any recent news or financial data provided, it is difficult to provide a comprehensive assessment of the investment potential for Brown &amp; Brown, an insurance brokers firm. The overall economic outlook, however, suggests some potential headwinds that could impact the insurance industry.
 The escalating conflict in the Middle East, particularly the tensions between Israel and Iran, and the potential disruption caused by the Hurricane Helene in Florida, could lead to increased volatility in the stock market and concerns about potential disruptions to global insurance claims and premiums. Additionally, the threat of a prolonged port strike poses a risk of renewed inflationary pressures, which could impact consumer spending and the overall economic trajectory, potentially affecting the insurance sector.
 Given the lack of specific information about Brown &amp; Brown's recent performance and the mixed macroeconomic signals, it is challenging to assign a definitive investment score for the company at this time. A more thorough analysis of the firm's financials, market position, and management strategy would be necessary to provide a meaningful assessment of its investment potential.</t>
  </si>
  <si>
    <t>Without any recent news or financial data provided, it is difficult to provide a comprehensive assessment of Steris' investment potential in the Health Care Equipment industry for the next month. The macroeconomic outlook, including factors such as the ongoing geopolitical tensions, the U.S. presidential election, and the Federal Reserve's monetary policy decisions, could have a significant impact on the overall performance of the healthcare sector. However, without the specific details about Steris' current financial standing, market position, and growth prospects, it would be speculative to assign a meaningful investment score.</t>
  </si>
  <si>
    <t>Without any recent news or financial data provided, it is difficult to provide a comprehensive assessment of the investment potential of Steel Dynamics in the Steel industry for the next month. The macroeconomic outlook, including factors such as the ongoing global conflicts, the potential impact of the port strike, and the political landscape, could all have significant implications for the steel industry and Steel Dynamics' performance. However, without the necessary information about the company's current financial standing, operational efficiency, and competitive positioning, a reliable investment score cannot be determined.</t>
  </si>
  <si>
    <t>Without any recent news or financial data provided, it is challenging to provide a comprehensive assessment of the investment potential of State Street Corporation in the Asset Management &amp; Custody Banks industry for the next month. The macroeconomic outlook, which includes factors such as the ongoing geopolitical tensions, the U.S. presidential election, and the Federal Reserve's monetary policy decisions, could have a significant impact on the performance of the asset management and custody banks sector. However, without the necessary information about the company's specific financial standing, market position, and growth prospects, it is difficult to determine the potential investment value of State Street Corporation in the near term.</t>
  </si>
  <si>
    <t>Without any recent news or financial data provided, it is challenging to provide a comprehensive assessment of Starbucks' investment potential in the Restaurants industry for the next month. The macroeconomic outlook, including factors such as consumer spending, inflation, and the overall economic conditions, would be crucial in determining the company's performance and investment value.
 Given the lack of specific information about Starbucks' current situation, it is difficult to assign a meaningful score reflecting the potential investment value. The company's ability to navigate the evolving market dynamics, adapt to changing consumer preferences, and maintain its competitive edge would be key drivers of its future performance.</t>
  </si>
  <si>
    <t>Without any recent news or financial data provided, it is difficult to provide a comprehensive assessment of the investment potential of Stanley Black &amp; Decker in the Industrial Machinery &amp; Supplies &amp; Components industry for the next month.
 The macroeconomic outlook suggests a mixed picture, with the U.S. economy showing resilience in job growth but also facing challenges in the manufacturing sector and potential supply chain disruptions. The geopolitical tensions in the Middle East and the upcoming U.S. presidential election could also introduce volatility and uncertainty into the market.
 Given the lack of specific information about Stanley Black &amp; Decker's current performance and position within the industry, it would be speculative to assign a definitive investment score. The company's ability to navigate the evolving economic and market conditions, as well as its competitive positioning, product portfolio, and financial health, would be crucial factors in determining its investment value.</t>
  </si>
  <si>
    <t>Without any recent news or financial data provided, it is challenging to provide a comprehensive assessment of Southwest Airlines' investment potential in the Passenger Airlines industry for the next month. The macroeconomic outlook, including factors such as the ongoing geopolitical tensions, the potential impact of the port strike, and the upcoming U.S. presidential election, could all have significant implications for the airline industry. However, without access to the company's latest financial performance, operational updates, and management's outlook, it is difficult to determine the specific risks and opportunities facing Southwest Airlines in the near term.</t>
  </si>
  <si>
    <t>Without any recent news or financial data provided, it is difficult to provide a comprehensive assessment of Zoetis' investment potential in the Pharmaceuticals industry for the next month. The macroeconomic outlook, including factors such as the ongoing geopolitical tensions, the potential impact of the port strike, and the upcoming U.S. presidential election, could all have significant implications for the overall market performance and the Pharmaceuticals sector.
 However, given the lack of specific information about Zoetis' current financial standing, product pipeline, and competitive positioning, it would be speculative to assign a definitive score reflecting the company's investment value. The Pharmaceuticals industry is known for its sensitivity to regulatory changes, patent expirations, and pipeline developments, all of which can significantly impact a company's performance.</t>
  </si>
  <si>
    <t>Without any recent news or financial data provided, it is difficult to provide a comprehensive assessment of the investment potential of UnitedHealth Group in the Managed Health Care industry for the next month. The macroeconomic outlook, including factors such as the ongoing geopolitical tensions, the potential impact of the port strike, and the upcoming U.S. presidential election, could all have significant implications for the healthcare sector and UnitedHealth Group's performance. However, without the necessary information about the company's current financial standing, market position, and any recent developments, a reliable investment score cannot be determined.</t>
  </si>
  <si>
    <t>Without any recent news or financial data provided, it is difficult to provide a comprehensive assessment of Viatris' investment potential in the Pharmaceuticals industry for the next month. The macroeconomic outlook, including factors such as the ongoing global conflicts, the potential impact of the port strike, and the upcoming U.S. presidential election, could all have significant implications for the pharmaceutical sector. However, without the necessary information about Viatris' specific business performance, market position, and financial health, it would be speculative to make any definitive conclusions about the company's investment value.</t>
  </si>
  <si>
    <t>Without any recent news or financial data provided, it is difficult to assess the potential investment value of Ball Corporation in the Metal, Glass &amp; Plastic Containers industry for the next month. The macroeconomic outlook, including factors such as the ongoing global conflicts, the U.S. presidential election, and the performance of the overall stock market, could have a significant impact on the company's performance. However, without access to the latest financial statements, market trends, and industry-specific information, a comprehensive evaluation cannot be made.</t>
  </si>
  <si>
    <t>Without any recent news or financial data provided, it is difficult to provide a comprehensive assessment of Synchrony Financial's investment potential in the Consumer Finance industry for the next month. The macroeconomic outlook, including factors such as the ongoing geopolitical tensions, the threat of a port strike, and the upcoming U.S. presidential election, could have a significant impact on the overall performance of the consumer finance sector. However, without access to the company's latest financial statements, market positioning, and competitive landscape, a reliable investment score cannot be determined.</t>
  </si>
  <si>
    <t>Without any recent news or financial data provided, it is difficult to provide a comprehensive assessment of Supermicro's investment potential in the Technology Hardware, Storage &amp; Peripherals industry for the next month. The macroeconomic outlook, including factors such as the ongoing geopolitical tensions, the U.S. presidential election, and the performance of the technology sector, could have a significant impact on the company's performance. However, without access to the latest information about Supermicro's operations, financial standing, and market positioning, a reliable investment score cannot be determined.</t>
  </si>
  <si>
    <t>Without any recent news or financial data provided, it is difficult to provide a comprehensive assessment of the investment potential for Broadridge Financial Solutions in the Data Processing &amp; Outsourced Services industry. The macroeconomic outlook, including factors such as the ongoing geopolitical tensions, the U.S. presidential election, and the Federal Reserve's monetary policy decisions, could have a significant impact on the performance of companies in this industry. However, without the necessary information about Broadridge's specific financial standing, market position, and growth prospects, it would be speculative to make a well-informed investment recommendation.</t>
  </si>
  <si>
    <t>Without any recent news or financial data provided, it is difficult to provide a comprehensive assessment of Broadcom's investment potential in the Semiconductors industry for the next month. The macroeconomic outlook, however, suggests that the technology and semiconductor sectors may continue to experience volatility due to the ongoing geopolitical tensions and the potential impact on global supply chains.
 The U.S. economy has shown resilience, with positive employment data, but the manufacturing sector's contraction and the threat of a port strike could introduce new challenges. Additionally, the upcoming 2024 U.S. presidential election and the escalating conflict in the Middle East are key events that could significantly influence the stock market in the near future.
 Given the lack of specific information about Broadcom's current performance and outlook, it would be prudent to exercise caution and conduct further research before making any investment decisions.</t>
  </si>
  <si>
    <t>Without any recent news or financial data provided, it is difficult to provide a comprehensive assessment of the investment potential for Bristol Myers Squibb in the Pharmaceuticals industry. The macroeconomic outlook, including factors such as the ongoing geopolitical tensions, the U.S. presidential election, and the Federal Reserve's monetary policy decisions, could have a significant impact on the overall performance of the pharmaceutical sector. However, without the specific details about Bristol Myers Squibb's current financial standing, product pipeline, and competitive positioning, it is not possible to make a well-informed evaluation of the company's investment value.</t>
  </si>
  <si>
    <t>Without any recent news or financial data provided, it is difficult to provide a comprehensive assessment of the investment potential for BorgWarner, a company in the Automotive Parts &amp; Equipment industry. The macroeconomic outlook, however, suggests some potential headwinds that could impact the overall industry.
 The continued contraction in the manufacturing sector and the threat of a prolonged port strike pose risks to the automotive supply chain, which could negatively affect companies like BorgWarner. Additionally, the escalating geopolitical tensions in the Middle East and the uncertainty surrounding the upcoming U.S. presidential election could introduce volatility and uncertainty into the market, potentially impacting the performance of automotive parts suppliers.
 Given the lack of specific information about BorgWarner's current financial position, operational performance, and competitive landscape, it is challenging to assign a meaningful investment score. A more thorough analysis of the company's fundamentals and its ability to navigate the evolving market conditions would be necessary to provide a reliable investment recommendation.</t>
  </si>
  <si>
    <t>Without any recent news or financial data provided, it is difficult to provide a comprehensive assessment of Booking Holdings' investment potential in the Hotels, Resorts &amp; Cruise Lines industry for the next month. The macroeconomic outlook, including factors such as consumer spending, travel demand, and the impact of global events, would be crucial in determining the company's performance. However, in the absence of specific information about Booking Holdings' current financial standing, market position, and industry trends, a reliable investment score cannot be confidently assigned.</t>
  </si>
  <si>
    <t>Without any recent news or financial data provided, it is difficult to provide a comprehensive assessment of the investment potential of Boeing in the Aerospace &amp; Defense industry for the next month. The macroeconomic outlook, including the ongoing geopolitical tensions and the potential impact on the aerospace sector, could be a significant factor in the company's performance. However, without access to the latest financial statements, market trends, and industry-specific information, a reliable investment score cannot be determined.</t>
  </si>
  <si>
    <t>Without any recent news or financial data provided, it is challenging to provide a comprehensive assessment of Blackstone Inc.'s investment potential in the Asset Management &amp; Custody Banks industry for the next month. The macroeconomic outlook, including factors such as the ongoing geopolitical tensions, the U.S. presidential election, and the Federal Reserve's monetary policy decisions, could have a significant impact on the overall performance of the industry and Blackstone's stock.
 However, given the lack of specific information about the company's current financial standing, operational performance, and market positioning, it would be speculative to assign a definitive investment score. The Asset Management &amp; Custody Banks industry is generally sensitive to market conditions and investor sentiment, and Blackstone's performance would likely be influenced by these broader trends.</t>
  </si>
  <si>
    <t>Without any recent news or financial data provided, it is difficult to provide a comprehensive assessment of BlackRock's investment potential in the Asset Management &amp; Custody Banks industry for the next month. The macroeconomic outlook, including factors such as the ongoing geopolitical tensions, the U.S. presidential election, and the Federal Reserve's monetary policy decisions, could have a significant impact on the overall performance of the industry and BlackRock's stock.
 However, given the lack of specific information about the company's current financial standing, market position, and growth prospects, it would be speculative to assign a definitive score reflecting the potential investment value. A more thorough analysis of BlackRock's latest financial reports, industry trends, and competitive landscape would be necessary to provide a meaningful and well-informed assessment.</t>
  </si>
  <si>
    <t>Without any recent news or financial data provided, it is difficult to provide a comprehensive assessment of Biogen's investment potential in the Biotechnology industry for the next month. The macroeconomic outlook, including factors such as the ongoing geopolitical tensions, the U.S. presidential election, and the Federal Reserve's monetary policy decisions, could have a significant impact on the overall performance of the Biotechnology sector. However, without the necessary information about Biogen's specific business operations, financial standing, and competitive positioning, it would be speculative to assign a meaningful investment score.</t>
  </si>
  <si>
    <t>Without any recent news or financial data provided, it is difficult to provide a comprehensive assessment of Bio-Techne's investment potential in the Life Sciences Tools &amp; Services industry for the next month. The macroeconomic outlook, including factors such as the ongoing geopolitical tensions, the U.S. presidential election, and the Federal Reserve's monetary policy decisions, could have a significant impact on the overall market performance and the performance of companies within the industry.
 However, the Life Sciences Tools &amp; Services industry has generally been resilient, as the demand for advanced research and development tools remains strong, particularly in the areas of biotechnology and pharmaceutical research. If Bio-Techne is well-positioned to capitalize on these industry trends, it could potentially offer attractive investment opportunities.</t>
  </si>
  <si>
    <t>Without any recent news or financial data provided, it is difficult to provide a comprehensive assessment of Best Buy's investment potential in the Computer &amp; Electronics Retail industry for the next month. The macroeconomic outlook, including factors such as consumer spending, inflation, and the overall state of the economy, would be crucial in determining the company's performance and investment value.
 Given the lack of specific information about Best Buy's current situation, it would be speculative to assign a score reflecting the potential investment value. A more thorough analysis of the company's financials, competitive positioning, and the broader industry trends would be necessary to make an informed evaluation.</t>
  </si>
  <si>
    <t>Without any recent news or financial data provided, it is difficult to provide a comprehensive assessment of the investment potential of TransDigm Group in the Aerospace &amp; Defense industry for the next month. The macroeconomic outlook, including the ongoing geopolitical tensions and the potential impact on the industry, could be a significant factor in the company's performance. However, without access to the latest financial statements, market trends, and industry-specific information, a reliable investment score cannot be determined.</t>
  </si>
  <si>
    <t>Without any recent news or financial data provided, it is difficult to provide a comprehensive assessment of Becton Dickinson's investment potential in the Health Care Equipment industry for the next month. The macroeconomic outlook, including factors such as the ongoing geopolitical tensions, the potential impact of the port strike, and the upcoming U.S. presidential election, could all have significant implications for the overall market performance and the healthcare sector.
 However, given the lack of specific information about the company's current financial standing, product pipeline, and competitive positioning, it would be speculative to assign a definitive score reflecting the investment value of Becton Dickinson. The healthcare equipment industry is generally considered a defensive sector, which may provide some stability during periods of market volatility. But the company's specific performance and growth prospects cannot be accurately evaluated without the necessary data.</t>
  </si>
  <si>
    <t>Without any recent news or financial data provided, it is difficult to provide a comprehensive assessment of Baxter International's investment potential in the Health Care Equipment industry for the next month. The macroeconomic outlook, including factors such as the ongoing geopolitical tensions, the U.S. presidential election, and the Federal Reserve's monetary policy decisions, could have a significant impact on the overall performance of the healthcare sector. However, without the necessary information about Baxter International's specific financial standing, market position, and growth prospects, it would be speculative to assign a meaningful investment score.</t>
  </si>
  <si>
    <t>Without any recent news or financial data provided, it is difficult to provide a comprehensive assessment of the investment potential of United Parcel Service (UPS) in the Air Freight &amp; Logistics industry for the next month. However, based on the macroeconomic outlook and the potential impact of the ongoing events, the following can be considered:
 The U.S. economy continues to show resilience, with the private sector adding more jobs than expected in September. This positive employment data suggests that the economy remains on a solid footing, which could benefit logistics companies like UPS. However, the manufacturing sector's contraction and the threat of a prolonged port strike pose risks to the overall economic trajectory, which could impact the performance of UPS.
 Additionally, the escalating conflict in the Middle East, particularly the tensions between Israel and Iran, has the potential to introduce further volatility and uncertainty into the market, which could affect the stock price of UPS.
 Given the lack of recent news and financial data, it is challenging to provide a definitive investment recommendation for UPS in the next month. A more comprehensive analysis would be required to assess the company's specific performance and its ability to navigate the current economic and geopolitical landscape.</t>
  </si>
  <si>
    <t>Without any recent news or financial data provided, it is difficult to provide a comprehensive assessment of the investment potential of United Airlines Holdings in the Passenger Airlines industry for the next month. The macroeconomic outlook, including factors such as the ongoing geopolitical tensions, the threat of a port strike, and the potential impact of the 2024 U.S. presidential election, could all have significant implications for the airline industry. However, without access to the company's latest financial performance, operational updates, and management's outlook, it would be speculative to make a well-informed investment recommendation.</t>
  </si>
  <si>
    <t>Without any recent news or financial data provided, it is difficult to provide a comprehensive assessment of the investment potential of Union Pacific Corporation in the Rail Transportation industry for the next month. The macroeconomic outlook, including factors such as the ongoing geopolitical tensions, the threat of a port strike, and the potential impact of the upcoming U.S. presidential election, could all have significant implications for the rail transportation sector. However, without the necessary information about Union Pacific's specific financial performance, operational efficiency, and competitive positioning, a reliable investment score cannot be determined.</t>
  </si>
  <si>
    <t>Without any recent news or financial data provided, it is challenging to provide a comprehensive assessment of Ulta Beauty's investment potential in the next month. The company's performance and outlook would largely depend on the broader economic conditions and trends within the Other Specialty Retail industry.
 The macroeconomic outlook suggests a mixed picture, with the U.S. economy showing resilience in job growth but also facing headwinds from the manufacturing sector's contraction and the threat of a prolonged port strike. These factors could impact consumer spending and the overall retail environment, which would be crucial for Ulta Beauty's performance.
 Additionally, the ongoing geopolitical tensions and the upcoming 2024 U.S. presidential election could introduce further volatility and uncertainty into the market, potentially affecting investor sentiment and consumer behavior.
 Without access to the company's latest financial data and industry-specific information, it is difficult to gauge Ulta Beauty's competitive positioning, growth prospects, and potential risks. A more thorough analysis would be required to provide a meaningful investment recommendation.</t>
  </si>
  <si>
    <t>Without any recent news or financial data provided, it is difficult to provide a comprehensive assessment of Uber's investment potential in the Passenger Ground Transportation industry for the next month. The macroeconomic outlook, including factors such as the ongoing geopolitical tensions, the potential impact of the port strike, and the upcoming U.S. presidential election, could all have significant implications for the overall market and Uber's performance. However, without the necessary information about the company's current financial standing, operational efficiency, and competitive positioning, it is not possible to make a well-informed evaluation.</t>
  </si>
  <si>
    <t>Without any recent news or financial data provided, it is difficult to provide a comprehensive assessment of the investment potential of U.S. Bancorp in the Diversified Banks industry for the next month. The macroeconomic outlook, including factors such as the ongoing geopolitical tensions, the U.S. presidential election, and the Federal Reserve's monetary policy decisions, could have a significant impact on the performance of the banking sector. However, without access to the company's latest financial statements and market positioning, a reliable evaluation cannot be made.</t>
  </si>
  <si>
    <t>Without any recent news or financial data provided, it is difficult to provide a comprehensive assessment of the investment potential of Tyler Technologies in the Application Software industry for the next month. The macroeconomic outlook, including factors such as the ongoing geopolitical tensions, the U.S. presidential election, and the performance of the overall stock market, could have a significant impact on the company's performance. However, without access to the latest financial statements, market trends, and industry-specific information, a reliable investment score cannot be determined.</t>
  </si>
  <si>
    <t>Without any recent news or financial data provided, it is difficult to provide a comprehensive assessment of Truist Financial's investment potential in the Diversified Banks industry for the next month. The macroeconomic outlook, including factors such as the ongoing geopolitical tensions, the U.S. presidential election, and the Federal Reserve's monetary policy decisions, could have a significant impact on the performance of the banking sector. However, without access to the company's latest financial statements and market positioning, a reliable score cannot be determined.</t>
  </si>
  <si>
    <t>Without any recent news or financial data provided, it is difficult to provide a comprehensive assessment of the investment potential of Travelers Companies (The) in the Property &amp; Casualty Insurance industry for the next month. The macroeconomic outlook, including factors such as the ongoing geopolitical tensions, the potential impact of the port strike, and the upcoming U.S. presidential election, could all have significant implications for the insurance sector. However, without the necessary information about the company's specific performance and positioning, a reliable investment score cannot be determined.</t>
  </si>
  <si>
    <t>Without any recent news or financial data provided, it is difficult to provide a comprehensive assessment of Berkshire Hathaway's investment potential in the Multi-Sector Holdings industry for the next month. The macroeconomic outlook, including factors such as the ongoing geopolitical tensions, the U.S. presidential election, and the Federal Reserve's monetary policy decisions, could have a significant impact on the overall market performance and Berkshire Hathaway's performance.
 However, given the limited information available, it would be prudent to refrain from making a definitive investment recommendation. Investors should carefully monitor the company's financial reports, industry trends, and the broader market conditions before making any investment decisions.</t>
  </si>
  <si>
    <t>Without any recent news or financial data provided, it is difficult to provide a comprehensive assessment of the investment potential for Henry Schein in the Health Care Distributors industry. The macroeconomic outlook, including factors such as the ongoing global conflicts, the potential impact of natural disasters, and the political landscape, could have significant implications for the overall industry and the company's performance. However, without access to the latest financial statements, market trends, and company-specific information, a reliable investment score cannot be determined.</t>
  </si>
  <si>
    <t>Without any recent news or financial data provided, it is difficult to provide a comprehensive assessment of the investment potential for Healthpeak Properties in the Health Care REITs industry. The lack of current information makes it challenging to evaluate the company's performance, financial health, and its positioning within the industry.
 Economic Outlook:
 The overall macroeconomic environment, including factors such as interest rates, inflation, and consumer spending, can have a significant impact on the performance of Real Estate Investment Trusts (REITs) like Healthpeak Properties. However, without the latest financial data, it is not possible to determine how the company might be affected by the current economic conditions.</t>
  </si>
  <si>
    <t>Without any recent news or financial data provided, it is difficult to provide a comprehensive assessment of the investment potential of HCA Healthcare in the Health Care Facilities industry for the next month. The macroeconomic outlook, including factors such as the ongoing geopolitical tensions, the potential impact of the port strike, and the upcoming U.S. presidential election, could all have significant implications for the healthcare sector. However, without the necessary information about the company's specific performance and positioning, a reliable investment score cannot be determined.</t>
  </si>
  <si>
    <t>Without any recent news or financial data provided, it is difficult to assess the potential investment value of Hasbro in the Leisure Products industry for the next month. The macroeconomic outlook, including factors such as the ongoing global conflicts, the potential impact of natural disasters, and the political landscape, could have significant implications for the overall performance of the industry and the company. However, without access to the latest information about Hasbro's financial standing, market position, and strategic initiatives, a comprehensive evaluation cannot be made.</t>
  </si>
  <si>
    <t>Without any recent news or financial data provided, it is difficult to provide a comprehensive assessment of the investment potential of Hartford (The) in the Property &amp; Casualty Insurance industry for the next month. The lack of information makes it challenging to evaluate the company's current performance, financial health, and its ability to navigate the evolving economic and industry landscape.
 Economic Outlook:
 The macroeconomic conditions, including the ongoing global conflicts, the potential impact of the Hurricane Helene, and the threat of a prolonged port strike, could have significant implications for the insurance industry. These factors could influence consumer spending, claims, and overall industry dynamics, which would ultimately impact Hartford's operations and financial results.
 Conclusion:
 Given the limited information available, it is not possible to provide a reliable investment score for Hartford (The) at this time. A more thorough analysis would require access to the company's latest financial statements, industry trends, and other relevant data to make an informed assessment of its investment potential.</t>
  </si>
  <si>
    <t>Without any recent news or financial data provided, it is difficult to provide a comprehensive assessment of Halliburton's investment potential in the Oil &amp; Gas Equipment &amp; Services industry for the next month. The macroeconomic outlook, however, suggests some potential headwinds for the industry.
 The escalating conflict in the Middle East, particularly the tensions between Israel and Iran, could lead to increased volatility and concerns about potential disruptions to global energy supplies. This could have a negative impact on the overall performance of the Oil &amp; Gas Equipment &amp; Services sector.
 Additionally, the threat of a prolonged port strike poses a risk of renewed inflationary pressures, which could impact consumer spending and the overall economic trajectory. This, in turn, could affect the demand for oil and gas equipment and services.
 Given the lack of specific information about Halliburton's recent performance and the potential risks facing the industry, it is challenging to assign a definitive investment score. A more thorough analysis of the company's financials, market position, and management strategy would be necessary to provide a meaningful assessment.</t>
  </si>
  <si>
    <t>Without any recent news or financial data provided, it is challenging to provide a comprehensive assessment of the investment potential of Goldman Sachs in the Investment Banking &amp; Brokerage industry for the next month. The macroeconomic outlook, which includes factors such as the ongoing geopolitical tensions, the U.S. presidential election, and the Federal Reserve's monetary policy decisions, could have a significant impact on the performance of the financial sector, including Goldman Sachs. However, without access to the latest financial statements, market trends, and industry-specific information, it is difficult to determine the company's current position and its ability to navigate the evolving market conditions.</t>
  </si>
  <si>
    <t>Without any recent news or financial data provided, it is difficult to provide a comprehensive assessment of GoDaddy's investment potential in the Internet Services &amp; Infrastructure industry for the next month. The macroeconomic outlook, including factors such as the ongoing geopolitical tensions, the U.S. presidential election, and the Federal Reserve's monetary policy decisions, could have a significant impact on the overall performance of the industry and the stock market. However, without the specific details about GoDaddy's current financial standing, market position, and growth prospects, it would be speculative to assign a meaningful investment score.</t>
  </si>
  <si>
    <t>Without any recent news or financial data provided, it is difficult to provide a comprehensive assessment of the investment potential of Global Payments, a company in the Transaction &amp; Payment Processing Services industry. 
 Economic Outlook:
 The macroeconomic environment remains volatile, with ongoing global conflicts, natural disasters, and political uncertainties that could impact the overall performance of the financial markets. The U.S. economy has shown resilience, with positive employment data, but the manufacturing sector and potential supply chain disruptions pose risks.
 Industry Outlook:
 The Transaction &amp; Payment Processing Services industry is closely tied to the broader economic conditions and consumer spending patterns. Any changes in consumer behavior or disruptions in the financial ecosystem could affect the industry's performance.
 Overall, without access to the latest news and financial information about Global Payments, it is challenging to provide a meaningful investment score for the company in the next month. A more thorough analysis would be required to make an informed assessment.</t>
  </si>
  <si>
    <t>Without any recent news or financial data provided, it is difficult to provide a comprehensive assessment of the investment potential for Gilead Sciences in the Biotechnology industry for the next month. The macroeconomic outlook, including factors such as the ongoing geopolitical tensions, the U.S. presidential election, and the Federal Reserve's monetary policy decisions, could have a significant impact on the overall performance of the stock market and the Biotechnology sector.
 However, the Biotechnology industry has historically demonstrated resilience and the potential for growth, driven by advancements in medical research and the development of innovative treatments. Gilead Sciences, as a leading player in the Biotechnology sector, could potentially benefit from these industry-wide trends, provided that the company maintains a strong pipeline of drug candidates and effectively navigates the regulatory landscape.
 Given the lack of recent information, it would be prudent to conduct further research and analysis on Gilead Sciences' financial performance, product pipeline, and competitive positioning before making any investment recommendations.</t>
  </si>
  <si>
    <t>Without any recent news or financial data provided, it is challenging to provide a comprehensive assessment of Cummins' investment potential in the Construction Machinery &amp; Heavy Transportation Equipment industry for the next month. The macroeconomic outlook, including factors such as the ongoing geopolitical tensions, the potential impact of the port strike, and the upcoming U.S. presidential election, could all have significant implications for the industry and Cummins' performance. However, without access to the company's latest financial statements, operational updates, and market positioning, it is difficult to determine the specific risks and opportunities facing the firm.</t>
  </si>
  <si>
    <t>Without any recent news or financial data provided, it is difficult to provide a comprehensive assessment of the investment potential of General Dynamics in the Aerospace &amp; Defense industry for the next month. The macroeconomic outlook, including the ongoing global conflicts and the potential impact on the defense sector, could be a significant factor in the company's performance. However, without access to the latest financial statements, market trends, and industry-specific information, a reliable score cannot be determined.</t>
  </si>
  <si>
    <t>Without any recent news or financial data provided, it is difficult to assess the potential investment value of Gen Digital in the Systems Software industry for the next month. The macroeconomic outlook, including factors such as the ongoing geopolitical tensions, the U.S. presidential election, and the Federal Reserve's monetary policy decisions, could have a significant impact on the overall performance of the stock market and the technology sector. However, without specific information about Gen Digital's financial health, competitive positioning, and growth prospects, it is not possible to provide a well-informed investment recommendation.</t>
  </si>
  <si>
    <t>Without any recent news or financial data provided, it is difficult to assess the potential investment value of GE Vernova in the Heavy Electrical Equipment industry for the next month. The macroeconomic outlook, including factors such as the ongoing global conflicts, the U.S. presidential election, and the performance of the overall stock market, could have a significant impact on the company's performance. However, without access to the latest information about GE Vernova's operations, financial standing, and market positioning, a comprehensive evaluation cannot be made.</t>
  </si>
  <si>
    <t>Without any recent news or financial data provided, it is challenging to provide a comprehensive assessment of the investment potential for GE HealthCare in the Health Care Equipment industry. The macroeconomic outlook, including factors such as the ongoing geopolitical tensions, the potential impact of the U.S. presidential election, and the Federal Reserve's monetary policy decisions, could all have significant implications for the performance of the healthcare sector. However, without access to the company's latest financial statements, market positioning, and competitive landscape, it is difficult to determine the specific investment value of GE HealthCare in the current environment.</t>
  </si>
  <si>
    <t>Without any recent news or financial data provided, it is difficult to provide a comprehensive assessment of Gartner's investment potential in the IT Consulting &amp; Other Services industry for the next month. The macroeconomic outlook, including factors such as the ongoing geopolitical tensions, the U.S. presidential election, and the performance of the technology sector, could have a significant impact on the company's performance. However, without access to the latest financial statements, market trends, and industry-specific information, a reliable score cannot be determined.</t>
  </si>
  <si>
    <t>Without any recent news or financial data provided, it is difficult to assess the potential investment value of Franklin Templeton in the Asset Management &amp; Custody Banks industry for the next month. The macroeconomic outlook, including factors such as the ongoing geopolitical tensions, the U.S. presidential election, and the Federal Reserve's monetary policy decisions, could have a significant impact on the performance of asset management firms like Franklin Templeton. However, without access to the company's latest financial statements, market position, and growth prospects, a comprehensive evaluation cannot be made.</t>
  </si>
  <si>
    <t>Without any recent news or financial data provided, it is difficult to provide a comprehensive assessment of the investment potential for Fox Corporation (Class B) in the Broadcasting industry for the next month. The macroeconomic outlook, including factors such as the ongoing geopolitical tensions, the U.S. presidential election, and the performance of the overall stock market, could have a significant impact on the company's performance. However, without access to the latest financial statements, market trends, and industry-specific information, a reliable score cannot be determined.</t>
  </si>
  <si>
    <t>Without any recent news or financial data provided, it is difficult to provide a comprehensive assessment of the investment potential of Fox Corporation (Class A) in the Broadcasting industry for the next month. The macroeconomic outlook, including factors such as the ongoing geopolitical tensions, the U.S. presidential election, and the performance of the overall stock market, could have a significant impact on the company's performance. However, without access to the latest financial statements, market trends, and industry-specific information, a reliable score cannot be determined.</t>
  </si>
  <si>
    <t>Without any recent news or financial data provided, it is difficult to provide a comprehensive assessment of Fortive's investment potential in the Industrial Machinery &amp; Supplies &amp; Components industry for the next month. The macroeconomic outlook, including factors such as the ongoing global conflicts, the potential impact of the port strike, and the upcoming U.S. presidential election, could all have significant implications for the performance of companies in this industry. However, without access to Fortive's specific financial metrics, market position, and strategic initiatives, a reliable investment score cannot be determined.</t>
  </si>
  <si>
    <t>Without any recent news or financial data provided, it is difficult to provide a comprehensive assessment of the investment potential of Ford Motor Company in the Automobile Manufacturers industry for the next month. The macroeconomic outlook, including factors such as the ongoing global conflicts, the potential impact of the port strike, and the upcoming U.S. presidential election, could all have significant implications for the automotive sector. However, without the necessary information about Ford's specific financial performance, market position, and strategic initiatives, a reliable investment score cannot be determined.</t>
  </si>
  <si>
    <t>Without any recent news or financial data provided, it is difficult to provide a comprehensive assessment of the investment potential of FMC Corporation in the Fertilizers &amp; Agricultural Chemicals industry for the next month. The macroeconomic outlook, including factors such as the ongoing global conflicts, the potential impact of the port strike, and the political landscape, could have significant implications for the performance of companies in this sector. However, without the necessary information about FMC Corporation's specific financial standing, market position, and operational dynamics, a reliable investment score cannot be determined.</t>
  </si>
  <si>
    <t>Without any recent news or financial data provided, it is difficult to provide a comprehensive assessment of the investment potential for Genuine Parts Company in the Distributors industry for the next month. The macroeconomic outlook, including factors such as the ongoing geopolitical tensions, the threat of a port strike, and the upcoming U.S. presidential election, could have a significant impact on the overall market performance and the specific industry dynamics. However, without the necessary information about the company's financial health, operational efficiency, and competitive positioning, it is not possible to make a well-informed evaluation of its investment value.</t>
  </si>
  <si>
    <t>Without any recent news or financial data provided, it is challenging to provide a comprehensive assessment of Invesco's investment potential in the Asset Management &amp; Custody Banks industry for the next month. The macroeconomic outlook, which includes factors such as the ongoing geopolitical tensions, the U.S. presidential election, and the Federal Reserve's monetary policy decisions, could have a significant impact on the performance of asset management firms like Invesco. However, without access to the company's latest financial statements, market position, and strategic initiatives, it is difficult to determine the specific factors that may influence Invesco's short-term investment value.</t>
  </si>
  <si>
    <t>Without any recent news or financial data provided, it is difficult to provide a comprehensive assessment of Intuitive Surgical's investment potential in the Health Care Equipment industry for the next month. The macroeconomic outlook, including factors such as the ongoing geopolitical tensions, the potential impact of the port strike, and the upcoming U.S. presidential election, could all have significant implications for the overall market performance and the performance of individual companies within the healthcare sector.
 However, given the lack of specific information about Intuitive Surgical's current financial position, product pipeline, and competitive landscape, it would be speculative to assign a definitive score reflecting the company's investment value. The healthcare equipment industry is generally considered a defensive sector, which may provide some stability during periods of market volatility. But the company's specific performance and growth prospects cannot be accurately evaluated without the necessary data.</t>
  </si>
  <si>
    <t>Without any recent news or financial data provided, it is challenging to provide a comprehensive assessment of Intuit's investment potential in the Application Software industry for the next month. The macroeconomic outlook, however, suggests a mixed picture, with the U.S. economy showing resilience in job growth but also facing headwinds from the manufacturing sector's contraction and the threat of a prolonged port strike.
 The technology sector, including the AI industry, has been a standout performer, which could potentially benefit Intuit as a leading provider of financial and accounting software solutions. However, the escalating geopolitical tensions in the Middle East and the uncertainty surrounding the 2024 U.S. presidential election could introduce volatility and uncertainty into the market, which could impact Intuit's performance.
 Given the lack of recent company-specific information, it is difficult to assign a precise investment score for Intuit. A more thorough analysis would be required to provide a meaningful assessment of the company's investment value in the next month.</t>
  </si>
  <si>
    <t>Without any recent news or financial data provided, it is difficult to provide a comprehensive assessment of the investment potential for Interpublic Group of Companies (The) in the Advertising industry for the next month. The lack of current information makes it challenging to evaluate the company's performance, competitive positioning, and the potential impact of the macroeconomic environment on its operations.
 Economic Outlook:
 The latest macroeconomic data suggests a mixed outlook for the U.S. economy, with the private sector adding more jobs than expected but the manufacturing sector contracting for the sixth consecutive month. Additionally, the threat of a prolonged port strike poses a risk of renewed inflationary pressures, which could impact consumer spending and the overall economic trajectory. These factors could indirectly affect the Advertising industry and Interpublic Group of Companies (The)'s performance.</t>
  </si>
  <si>
    <t>Without any recent news or financial data provided, it is difficult to assess the potential investment value of International Flavors &amp; Fragrances in the Specialty Chemicals industry for the next month. The macroeconomic outlook, including factors such as the ongoing global conflicts, the U.S. presidential election, and the performance of the overall stock market, could have a significant impact on the company's performance. However, without access to the firm's latest financial statements, market position, and industry trends, a comprehensive evaluation cannot be made.</t>
  </si>
  <si>
    <t>Without any recent news or financial data provided, it is difficult to provide a comprehensive assessment of Intercontinental Exchange's investment potential in the Financial Exchanges &amp; Data industry for the next month. The macroeconomic outlook, including factors such as the ongoing geopolitical tensions, the U.S. presidential election, and the Federal Reserve's monetary policy decisions, could have a significant impact on the overall performance of the financial sector. However, without the specific details about Intercontinental Exchange's current financial standing, market position, and growth prospects, it is not possible to make a well-informed evaluation of the company's investment value.</t>
  </si>
  <si>
    <t>Without any recent news or financial data provided, it is challenging to provide a comprehensive assessment of Intel's investment potential in the Semiconductors industry for the next month. The macroeconomic outlook, including factors such as the ongoing geopolitical tensions, the U.S. presidential election, and the Federal Reserve's monetary policy decisions, could have a significant impact on the overall performance of the semiconductor sector.
 However, given the lack of specific information about Intel's current financial standing, product pipeline, and competitive positioning, it would be speculative to assign a definitive score reflecting the company's investment value. The semiconductor industry is highly dynamic, and Intel's performance can be influenced by a variety of factors, including technological advancements, market demand, and regulatory changes.</t>
  </si>
  <si>
    <t>Without any recent news or financial data provided, it is difficult to provide a comprehensive assessment of Insulet Corporation's investment potential in the Health Care Equipment industry for the next month. The macroeconomic outlook, including factors such as the ongoing global conflicts, the potential impact of natural disasters, and the political landscape, could have significant implications for the overall market performance and the specific industry in which Insulet operates. However, without the necessary information about the company's financial standing, competitive positioning, and any recent developments, a reliable investment score cannot be determined.</t>
  </si>
  <si>
    <t>Without any recent news or financial data provided, it is difficult to provide a comprehensive assessment of Incyte's investment potential in the Biotechnology industry for the next month. The macroeconomic outlook, including factors such as the ongoing geopolitical tensions, the U.S. presidential election, and the Federal Reserve's monetary policy decisions, could have a significant impact on the overall performance of the Biotechnology sector. However, without the specific details about Incyte's current financial standing, product pipeline, and competitive positioning, it is not possible to make a well-informed evaluation of the company's investment value.</t>
  </si>
  <si>
    <t>Without any recent news or financial data provided, it is difficult to provide a comprehensive assessment of the investment potential of Illinois Tool Works in the Industrial Machinery &amp; Supplies &amp; Components industry for the next month.
 The macroeconomic outlook suggests a mixed picture, with the U.S. economy showing resilience in job growth but also facing challenges in the manufacturing sector and potential supply chain disruptions. The geopolitical tensions in the Middle East and the upcoming U.S. presidential election could also introduce volatility and uncertainty into the market.
 Given the lack of specific information about Illinois Tool Works, it is not possible to make a well-informed evaluation of the company's current performance and future prospects. A more thorough analysis would require access to the latest financial statements, industry trends, and any relevant news or developments affecting the company.</t>
  </si>
  <si>
    <t>Without any recent news or financial data provided, it is difficult to provide a comprehensive assessment of the investment potential of Idexx Laboratories in the Health Care Equipment industry for the next month. The macroeconomic outlook, including factors such as the ongoing geopolitical tensions, the performance of the broader stock market, and the Federal Reserve's monetary policy decisions, could have a significant impact on the company's performance. However, without access to the latest financial statements, market trends, and industry-specific information, a reliable score cannot be determined.</t>
  </si>
  <si>
    <t>Without any recent news or financial data provided, it is difficult to provide a comprehensive assessment of the investment potential for Hershey Company (The) in the Packaged Foods &amp; Meats industry for the next month. 
 The overall economic outlook, as described in the macroeconomic context, suggests a mixed picture, with the U.S. economy showing resilience in some areas, such as the strong employment data, but also facing challenges in the manufacturing sector and potential supply chain disruptions. These broader economic factors could have an impact on the performance of companies in the Packaged Foods &amp; Meats industry, including Hershey.
 However, without access to the company's latest financial statements, market performance, and industry-specific information, it is not possible to make a well-informed evaluation of Hershey's investment potential in the short term. Additional data would be required to provide a more detailed and accurate assessment.</t>
  </si>
  <si>
    <t>Without any recent news or financial data provided, it is challenging to provide a comprehensive assessment of the investment potential for IBM in the IT Consulting &amp; Other Services industry. The macroeconomic outlook, including factors such as the ongoing geopolitical tensions, the U.S. presidential election, and the performance of the technology sector, could have a significant impact on IBM's future prospects. However, without access to the company's latest financial statements, market performance, and industry-specific information, a reliable investment score cannot be determined.</t>
  </si>
  <si>
    <t>Without any recent news or financial data provided, it is difficult to provide a comprehensive assessment of Huntington Ingalls Industries' investment potential in the Aerospace &amp; Defense industry for the next month. The macroeconomic outlook, however, suggests some potential challenges and opportunities that may impact the company's performance.
 The escalating conflicts in the Middle East, particularly the tensions between Israel and Iran, could introduce volatility and uncertainty into the overall stock market. This could potentially affect Huntington Ingalls Industries, as the defense industry is often sensitive to geopolitical developments. Additionally, the threat of a prolonged port strike poses a risk of renewed inflationary pressures, which could impact the company's operations and profitability.
 On the other hand, the continued advancements in emerging technologies, such as artificial intelligence, could present opportunities for Huntington Ingalls Industries to explore new product and service offerings, potentially driving growth in the medium to long term.
 Without access to the company's recent financial data and news, it is challenging to provide a more detailed analysis. A comprehensive evaluation would require a deeper understanding of Huntington Ingalls Industries' current financial position, order backlog, and strategic initiatives.</t>
  </si>
  <si>
    <t>Without any recent news or financial data provided, it is difficult to provide a comprehensive assessment of Huntington Bancshares' investment potential in the Regional Banks industry for the next month. The macroeconomic outlook, including factors such as the ongoing geopolitical tensions, the threat of a port strike, and the upcoming U.S. presidential election, could have a significant impact on the overall performance of the banking sector. However, without the specific details about Huntington Bancshares' financial position, operational efficiency, and competitive landscape, it is not possible to make a well-informed evaluation of the company's investment value.</t>
  </si>
  <si>
    <t>Without any recent news or financial data provided, it is difficult to provide a comprehensive assessment of the investment potential of Hubbell Incorporated in the Industrial Machinery &amp; Supplies &amp; Components industry for the next month.
 The macroeconomic outlook suggests a mixed picture, with the U.S. economy showing resilience in job growth but also facing challenges in the manufacturing sector and potential supply chain disruptions. The geopolitical tensions in the Middle East and the upcoming U.S. presidential election could also introduce volatility and uncertainty into the market.
 Given the lack of specific information about Hubbell Incorporated, it is not possible to make a well-informed evaluation of the company's current performance, competitive positioning, or future prospects. Additional data would be required to analyze the firm's financial health, growth opportunities, and potential risks.</t>
  </si>
  <si>
    <t>Without any recent news or financial data provided, it is difficult to provide a comprehensive assessment of the investment potential for HP Inc. in the Technology Hardware, Storage &amp; Peripherals industry. The macroeconomic outlook, including factors such as the ongoing global conflicts, the U.S. presidential election, and the performance of the technology sector, could have a significant impact on the company's future prospects. However, without access to the latest financial statements, market trends, and industry-specific information, a reliable evaluation of HP Inc.'s investment value cannot be made.</t>
  </si>
  <si>
    <t>Without any recent news or financial data provided, it is difficult to provide a comprehensive assessment of Howmet Aerospace's investment potential in the Aerospace &amp; Defense industry for the next month. The macroeconomic outlook, including the ongoing global conflicts, the potential impact of the port strike, and the political uncertainty surrounding the 2024 U.S. presidential election, could all have significant implications for the aerospace and defense sector. However, without the necessary information about Howmet Aerospace's specific financial performance, market position, and strategic initiatives, a reliable investment score cannot be determined.</t>
  </si>
  <si>
    <t>Without any recent news or financial data provided, it is difficult to provide a comprehensive assessment of the investment potential of Host Hotels &amp; Resorts in the Hotel &amp; Resort REITs industry for the next month. The macroeconomic outlook, including factors such as the ongoing geopolitical tensions, the potential impact of the port strike, and the upcoming U.S. presidential election, could all have significant implications for the performance of the hotel and resort sector. However, without access to the company's latest financial statements, operational updates, and industry-specific information, a reliable evaluation of the firm's investment value cannot be made.</t>
  </si>
  <si>
    <t>Without any recent news or financial data provided, it is difficult to provide a comprehensive assessment of Honeywell's investment potential in the Industrial Conglomerates industry for the next month. The macroeconomic outlook, which includes factors such as the ongoing global conflicts, the potential impact of the port strike, and the upcoming U.S. presidential election, could all have significant implications for the company's performance. However, without the necessary information about Honeywell's specific financial standing, operational efficiency, and market positioning, a reliable investment score cannot be determined.</t>
  </si>
  <si>
    <t>Without any recent news or financial data provided, it is difficult to provide a comprehensive assessment of Hilton Worldwide's investment potential in the Hotels, Resorts &amp; Cruise Lines industry for the next month. The macroeconomic outlook, including factors such as consumer spending, travel demand, and the overall economic conditions, would be crucial in determining the company's performance. However, without the necessary information, a thorough analysis cannot be conducted.</t>
  </si>
  <si>
    <t>Without any recent news or financial data provided, it is difficult to provide a comprehensive assessment of Hewlett Packard Enterprise's investment potential in the Technology Hardware, Storage &amp; Peripherals industry for the next month. The macroeconomic outlook, including the ongoing global conflicts, the potential impact of the port strike, and the upcoming U.S. presidential election, could all have significant implications for the technology sector. However, the lack of company-specific information makes it challenging to determine the firm's current position and its ability to navigate these market conditions.</t>
  </si>
  <si>
    <t>Without any recent news or financial data provided, it is difficult to provide a comprehensive assessment of Hess Corporation's investment potential in the Integrated Oil &amp; Gas industry for the next month. The macroeconomic outlook, including factors such as global conflicts, natural disasters, and political events, could have a significant impact on the performance of companies in this industry. However, without the necessary information about Hess Corporation's specific operations, financial health, and market positioning, a reliable investment score cannot be determined.</t>
  </si>
  <si>
    <t>Without any recent news or financial data provided, it is difficult to provide a comprehensive assessment of the investment potential of IDEX Corporation in the Industrial Machinery &amp; Supplies &amp; Components industry for the next month. The macroeconomic outlook, including factors such as the ongoing global conflicts, the potential impact of the port strike, and the upcoming U.S. presidential election, could all have significant implications for the performance of this industry and the company. However, without access to the latest financial statements, market trends, and company-specific information, it would be speculative to assign a specific investment score.</t>
  </si>
  <si>
    <t>Without any recent news or financial data provided, it is difficult to provide a comprehensive assessment of the investment potential of Electronic Arts in the Interactive Home Entertainment industry for the next month. The macroeconomic outlook, including factors such as the ongoing geopolitical tensions, the U.S. presidential election, and the performance of the technology sector, could have a significant impact on the company's performance. However, without access to the latest financial statements, market trends, and industry-specific information, a reliable investment score cannot be determined.</t>
  </si>
  <si>
    <t>Without any recent news or financial data provided, it is difficult to provide a comprehensive assessment of the investment potential of Edison International in the Electric Utilities industry for the next month. The macroeconomic outlook, including factors such as the ongoing geopolitical tensions, the potential impact of the port strike, and the upcoming U.S. presidential election, could all have significant implications for the overall performance of the electric utilities sector. However, without the necessary information about the company's specific financial standing, operational efficiency, and competitive positioning, a reliable investment score cannot be determined.</t>
  </si>
  <si>
    <t>Without any recent news or financial data provided, it is difficult to provide a comprehensive assessment of Ecolab's investment potential in the Specialty Chemicals industry for the next month. The macroeconomic outlook, including factors such as the ongoing geopolitical tensions, the threat of a port strike, and the upcoming U.S. presidential election, could have a significant impact on the overall market performance and the performance of the Specialty Chemicals industry. However, without the specific details about Ecolab's financial position, operational efficiency, and competitive landscape, it is not possible to make a well-informed evaluation of the company's investment value.</t>
  </si>
  <si>
    <t>Without any recent news or financial data provided, it is difficult to provide a comprehensive assessment of eBay's investment potential in the Broadline Retail industry for the next month. The macroeconomic outlook, including factors such as consumer spending, inflation, and the overall state of the economy, would typically play a significant role in evaluating the company's performance and future prospects.
 However, in the absence of specific information about eBay's current financial position, market share, competitive landscape, and management strategies, a reliable investment score cannot be determined. The potential impact of broader economic and industry trends on the company's operations and profitability remains unclear.</t>
  </si>
  <si>
    <t>Without any recent news or financial data provided, it is difficult to provide a comprehensive assessment of the investment potential for DuPont in the Specialty Chemicals industry. The macroeconomic outlook, including factors such as the ongoing global conflicts, the potential impact of the port strike, and the upcoming U.S. presidential election, could all have significant implications for the performance of companies in this sector. However, without access to the latest financial statements, market trends, and industry-specific information, a reliable evaluation of DuPont's investment value cannot be made.</t>
  </si>
  <si>
    <t>Without any recent news or financial data provided, it is difficult to provide a comprehensive assessment of the investment potential of Duke Energy in the Electric Utilities industry for the next month. The macroeconomic outlook, including factors such as the ongoing geopolitical tensions, the threat of a port strike, and the upcoming U.S. presidential election, could have a significant impact on the overall performance of the utilities sector. However, without the necessary information about Duke Energy's specific financial standing, operational efficiency, and competitive positioning, a reliable investment score cannot be determined.</t>
  </si>
  <si>
    <t>Without any recent news or financial data provided, it is difficult to provide a comprehensive assessment of the investment potential for Dow Inc. in the Commodity Chemicals industry. The macroeconomic outlook, including factors such as the ongoing global conflicts, the potential impact of the port strike, and the political landscape, could all have significant implications for the performance of companies in this sector. However, without the specific details about Dow Inc.'s current financial standing, market position, and operational dynamics, it would be speculative to make any definitive conclusions about the company's investment value.</t>
  </si>
  <si>
    <t>Without any recent news or financial data provided, it is difficult to provide a comprehensive assessment of the investment potential of Dover Corporation in the Industrial Machinery &amp; Supplies &amp; Components industry for the next month.
 The macroeconomic outlook suggests a mixed picture, with the U.S. economy showing resilience in job growth but also facing challenges in the manufacturing sector and potential supply chain disruptions. The geopolitical tensions in the Middle East and the upcoming U.S. presidential election could also introduce volatility and uncertainty into the market.
 Given the lack of specific information about Dover Corporation's current performance and outlook, it would be speculative to assign a definitive investment score. The company's ability to navigate the evolving economic and industry conditions, as well as its competitive positioning, would be crucial factors in determining its investment potential.</t>
  </si>
  <si>
    <t>Without any recent news or financial data provided, it is difficult to provide a comprehensive assessment of Domino's investment potential in the Restaurants industry for the next month. The macroeconomic outlook, including factors such as consumer spending, inflation, and the overall economic conditions, would be crucial in determining the company's performance and investment value.
 Given the lack of specific information about Domino's current situation, it would be speculative to assign a definitive score. The Restaurants industry is highly sensitive to changes in consumer behavior, supply chain disruptions, and competitive dynamics, all of which can significantly impact a company's financial performance and stock price.</t>
  </si>
  <si>
    <t>Without any recent news or financial data provided, it is difficult to provide a comprehensive assessment of Dominion Energy's investment potential in the Multi-Utilities industry for the next month. The macroeconomic outlook, including factors such as the ongoing geopolitical tensions, the U.S. presidential election, and the Federal Reserve's monetary policy decisions, could have a significant impact on the overall performance of the utilities sector. However, without the necessary information about Dominion Energy's specific financial standing, operational efficiency, and competitive positioning, a reliable investment score cannot be determined.</t>
  </si>
  <si>
    <t>Without any recent news or financial data provided, it is difficult to provide a comprehensive assessment of Dollar Tree's investment potential in the Consumer Staples Merchandise Retail industry for the next month. The macroeconomic outlook, including factors such as consumer spending, inflation, and the overall economic conditions, would be crucial in determining the company's performance and investment value.
 Given the lack of specific information about Dollar Tree's current situation, a definitive score cannot be assigned. The company's ability to navigate the evolving market dynamics, manage its operations efficiently, and adapt to changing consumer preferences would be key drivers of its future performance.</t>
  </si>
  <si>
    <t>Without any recent news or financial data provided, it is difficult to provide a comprehensive assessment of FirstEnergy's investment potential in the Electric Utilities industry for the next month. The macroeconomic outlook, including factors such as the ongoing geopolitical tensions, the potential impact of the port strike, and the upcoming U.S. presidential election, could all have significant implications for the overall performance of the utilities sector. However, without access to the company's latest financial statements, operational updates, and industry-specific information, a reliable evaluation of FirstEnergy's investment value cannot be made.</t>
  </si>
  <si>
    <t>Without any recent news or financial data provided, it is difficult to provide a comprehensive assessment of Digital Realty's investment potential in the Data Center REITs industry for the next month. The macroeconomic outlook, including factors such as the ongoing geopolitical tensions, the U.S. presidential election, and the Federal Reserve's monetary policy decisions, could have a significant impact on the performance of the overall stock market and the Data Center REITs sector.
 However, the long-term growth prospects for the data center industry remain positive, driven by the increasing demand for cloud computing, data storage, and digital infrastructure. Digital Realty, as a leading player in the Data Center REITs industry, could potentially benefit from these trends, provided that the company maintains its competitive position and continues to execute its growth strategies effectively.</t>
  </si>
  <si>
    <t>Without any recent news or financial data provided, it is difficult to provide a comprehensive assessment of Diamondback Energy's investment potential in the Oil &amp; Gas Exploration &amp; Production industry for the next month. The macroeconomic outlook, including factors such as global conflicts, natural disasters, and political events, can significantly impact the performance of companies in this sector. However, without the necessary information about Diamondback Energy's specific operations, financial standing, and market positioning, a reliable investment score cannot be determined.</t>
  </si>
  <si>
    <t>Without any recent news or financial data provided, it is difficult to provide a comprehensive assessment of Dexcom's investment potential in the Health Care Equipment industry for the next month. The macroeconomic outlook, including factors such as the ongoing geopolitical tensions, the U.S. presidential election, and the Federal Reserve's monetary policy decisions, could have a significant impact on the overall market performance and, consequently, the performance of individual companies like Dexcom.
 However, the Health Care Equipment industry has historically demonstrated resilience, as the demand for medical devices and technologies tends to be relatively inelastic. Additionally, the increasing focus on improving healthcare outcomes and the growing adoption of advanced technologies, such as continuous glucose monitoring systems, could potentially benefit companies like Dexcom in the long run.</t>
  </si>
  <si>
    <t>Without any recent news or financial data provided, it is difficult to provide a comprehensive assessment of the investment potential of Devon Energy in the Oil &amp; Gas Exploration &amp; Production industry for the next month. The macroeconomic outlook, including factors such as global conflicts, natural disasters, and political events, could have a significant impact on the performance of companies in this sector. However, without the necessary information about Devon Energy's specific operations, financial standing, and market positioning, a reliable investment score cannot be determined.</t>
  </si>
  <si>
    <t>Without any recent news or financial data provided, it is difficult to provide a comprehensive assessment of the investment potential of Delta Air Lines in the Passenger Airlines industry for the next month. The macroeconomic outlook, including factors such as the ongoing geopolitical tensions, the threat of a port strike, and the potential impact of the 2024 U.S. presidential election, could all have significant implications for the airline industry. However, without the necessary information about Delta Air Lines' specific financial performance, operational efficiency, and market positioning, it is not possible to make a well-informed evaluation of the company's investment value.</t>
  </si>
  <si>
    <t>Without any recent news or financial data provided, it is difficult to provide a comprehensive assessment of the investment potential of Dell Technologies in the Technology Hardware, Storage &amp; Peripherals industry for the next month.
 The macroeconomic outlook suggests a volatile market environment, with ongoing global conflicts, political uncertainties, and potential economic headwinds. However, the resilience of the U.S. economy, as evidenced by the strong employment data, could provide some support for technology companies like Dell.
 Given the lack of specific information about Dell's current performance and outlook, it is not possible to confidently evaluate the company's investment value in the short term. A more thorough analysis would require access to the latest financial reports, market trends, and industry-specific developments affecting Dell's competitive position and growth prospects.</t>
  </si>
  <si>
    <t>Without any recent news or financial data provided, it is difficult to assess the potential investment value of Deckers Brands in the Footwear industry for the next month. The macroeconomic outlook, including factors such as consumer spending, inflation, and the overall economic performance, would be crucial in determining the company's prospects. Additionally, industry-specific trends and competitive dynamics within the Footwear sector would also play a significant role in evaluating the investment potential.</t>
  </si>
  <si>
    <t>Without any recent news or financial data provided, it is difficult to assess the potential investment value of Dayforce, a company in the Human Resource &amp; Employment Services industry. The macroeconomic outlook, including factors such as the ongoing global conflicts, the U.S. presidential election, and the performance of the overall stock market, could have an indirect impact on the industry and Dayforce's performance. However, without access to the company's latest financial statements, operational updates, and competitive positioning, a comprehensive evaluation cannot be made.</t>
  </si>
  <si>
    <t>Without any recent news or financial data provided, it is difficult to provide a comprehensive assessment of the investment potential for DaVita, a company in the Health Care Services industry. The macroeconomic outlook, including factors such as the ongoing geopolitical tensions, the potential impact of the port strike, and the upcoming U.S. presidential election, could all have significant implications for the healthcare sector. However, without the necessary information about DaVita's specific financial performance, market position, and growth prospects, it is not possible to make a well-informed evaluation of the company's investment value.</t>
  </si>
  <si>
    <t>Without any recent news or financial data provided, it is difficult to provide a comprehensive assessment of the investment potential for Darden Restaurants in the Restaurants industry for the next month. The macroeconomic outlook, including factors such as consumer spending, inflation, and the overall economic conditions, would be crucial in determining the company's performance and the industry's prospects.
 Given the lack of specific information about Darden Restaurants, a definitive investment score cannot be assigned. The company's ability to navigate the current economic environment, adapt to changing consumer preferences, and maintain its competitive edge would be key drivers of its future performance.</t>
  </si>
  <si>
    <t>Without any recent news or financial data provided, it is difficult to provide a comprehensive assessment of the investment potential of CVS Health in the Health Care Services industry for the next month. The macroeconomic outlook, including factors such as the ongoing geopolitical tensions, the potential impact of the port strike, and the upcoming U.S. presidential election, could all have significant implications for the healthcare sector. However, without the necessary information about CVS Health's specific performance and positioning, it would be speculative to make any definitive conclusions about the company's investment value in the near term.</t>
  </si>
  <si>
    <t>Without any recent news or financial data provided, it is difficult to provide a comprehensive assessment of Dollar General's investment potential in the next month. The Consumer Staples Merchandise Retail industry, in which Dollar General operates, is generally considered a defensive sector that can perform relatively well during economic uncertainties. However, the overall macroeconomic outlook, including factors such as consumer spending, inflation, and the potential impact of geopolitical events, would need to be taken into consideration to determine the company's short-term investment value.</t>
  </si>
  <si>
    <t>Without any recent news or financial data provided, it is challenging to provide a comprehensive assessment of the investment potential of First Solar in the Semiconductors industry for the next month. The macroeconomic outlook, including the ongoing geopolitical tensions, the threat of a port strike, and the upcoming U.S. presidential election, could have significant implications for the overall semiconductor sector. However, the lack of specific information about First Solar's current performance and market positioning makes it difficult to determine the company's ability to navigate these challenges.</t>
  </si>
  <si>
    <t>Without any recent news or financial data provided, it is challenging to provide a comprehensive assessment of FedEx's investment potential in the Air Freight &amp; Logistics industry for the next month. The macroeconomic outlook, including factors such as the ongoing global conflicts, the potential impact of the port strike, and the political landscape, could all have significant implications for the logistics and transportation sector. However, without the necessary information about FedEx's specific performance and positioning, it is difficult to determine the company's current state and its ability to navigate the evolving market conditions.</t>
  </si>
  <si>
    <t>Without any recent news or financial data provided, it is difficult to assess the potential investment value of Federal Realty, a company in the Retail REITs industry. The macroeconomic outlook, including factors such as the ongoing global conflicts, the potential impact of natural disasters, and the political landscape, could have significant implications for the performance of the retail real estate sector. However, without access to the company's latest financial statements, operational updates, and industry-specific analysis, a comprehensive evaluation of Federal Realty's investment potential cannot be made.</t>
  </si>
  <si>
    <t>Without any recent news or financial data provided, it is difficult to provide a comprehensive assessment of Fastenal's investment potential in the Trading Companies &amp; Distributors industry for the next month. The macroeconomic outlook, including factors such as the ongoing global conflicts, the potential impact of the port strike, and the upcoming U.S. presidential election, could all have significant implications for the overall industry performance. However, without the specific details about Fastenal's current financial standing, market position, and operational dynamics, it is not possible to make a well-informed evaluation of the company's investment value.</t>
  </si>
  <si>
    <t>Without any recent news or financial data provided, it is difficult to assess the potential investment value of Fair Isaac, a company in the Application Software industry. The macroeconomic outlook, including factors such as the ongoing geopolitical tensions, the U.S. presidential election, and the performance of the overall stock market, could have a significant impact on the company's future prospects. However, without access to the latest information about Fair Isaac's financial performance, market position, and growth strategies, it is not possible to provide a well-informed investment recommendation.</t>
  </si>
  <si>
    <t>Without any recent news or financial data provided, it is difficult to provide a comprehensive assessment of the investment potential for F5, Inc. in the Communications Equipment industry. The macroeconomic outlook, including factors such as the ongoing geopolitical tensions, the potential impact of the port strike, and the upcoming U.S. presidential election, could all have significant implications for the performance of companies in this sector. However, without the necessary information about F5, Inc.'s specific financial position, market share, competitive landscape, and growth prospects, it would be speculative to assign a meaningful investment score.</t>
  </si>
  <si>
    <t>Without any recent news or financial data provided, it is difficult to provide a comprehensive assessment of ExxonMobil's investment potential in the Integrated Oil &amp; Gas industry for the next month. The macroeconomic outlook, including factors such as global energy demand, commodity prices, and geopolitical tensions, can significantly impact the performance of companies in this sector. However, without the necessary information about ExxonMobil's current financial standing, operational efficiency, and strategic positioning, a reliable investment score cannot be determined.</t>
  </si>
  <si>
    <t>Without any recent news or financial data provided, it is difficult to provide a comprehensive assessment of the investment potential for Extra Space Storage in the Self-Storage REITs industry. The macroeconomic outlook, including factors such as the overall economic performance, consumer spending, and interest rate environment, would typically play a significant role in evaluating the prospects of a real estate investment trust (REIT) like Extra Space Storage.
 However, in the absence of specific information about the company's financial position, operational performance, and market positioning, a reliable investment score cannot be determined. The self-storage industry's performance is often tied to broader economic trends, but the unique characteristics and competitive dynamics of individual companies within the sector can also have a substantial impact on their investment appeal.</t>
  </si>
  <si>
    <t>Without any recent news or financial data provided, it is difficult to provide a comprehensive assessment of the investment potential of Expeditors International in the Air Freight &amp; Logistics industry for the next month. The macroeconomic outlook, including factors such as the ongoing global conflicts, the potential impact of the port strike, and the political landscape, could all have significant implications for the performance of companies in this industry. However, without the specific details about Expeditors International's current financial standing, market position, and operational resilience, it would be speculative to make a well-informed evaluation.</t>
  </si>
  <si>
    <t>Without any recent news or financial data provided, it is challenging to provide a comprehensive assessment of Expedia Group's investment potential in the Hotels, Resorts &amp; Cruise Lines industry for the next month. The macroeconomic outlook, including factors such as consumer spending, travel demand, and the impact of global conflicts, would be crucial in determining the company's performance. However, without access to the latest financial statements, market trends, and industry-specific information, a thorough evaluation cannot be made.</t>
  </si>
  <si>
    <t>Without any recent news or financial data provided, it is difficult to provide a comprehensive assessment of Exelon's investment potential in the Electric Utilities industry for the next month. The macroeconomic outlook, including factors such as the ongoing geopolitical tensions, the U.S. presidential election, and the Federal Reserve's monetary policy decisions, could have a significant impact on the overall performance of the utilities sector. However, without the necessary information about Exelon's specific financial standing, operational efficiency, and competitive positioning, a reliable investment score cannot be determined.</t>
  </si>
  <si>
    <t>Without any recent news or financial data provided, it is challenging to provide a comprehensive assessment of the investment potential for Elevance Health in the Managed Health Care industry. The macroeconomic outlook, including factors such as the ongoing geopolitical tensions, the potential impact of the port strike, and the upcoming U.S. presidential election, could all have significant implications for the healthcare sector. However, without the necessary information about Elevance Health's specific financial performance, market position, and strategic initiatives, it is difficult to determine the company's investment value accurately.</t>
  </si>
  <si>
    <t>Without any recent news or financial data provided, it is difficult to provide a comprehensive assessment of Evergy's investment potential in the Electric Utilities industry for the next month. The macroeconomic outlook, including factors such as the ongoing geopolitical tensions, the potential impact of the port strike, and the upcoming U.S. presidential election, could all have significant implications for the overall performance of the utilities sector. However, without the specific details about Evergy's current financial standing, operational efficiency, and competitive positioning, it is not possible to make a well-informed evaluation of the company's investment value.</t>
  </si>
  <si>
    <t>Without any recent news or financial data provided, it is difficult to assess the potential investment value of Everest Group in the Reinsurance industry for the next month. The macroeconomic outlook, including factors such as the ongoing global conflicts, the potential impact of natural disasters, and the overall economic performance, could have a significant influence on the Reinsurance industry and Everest Group's performance. However, without the necessary information about the company's financial standing, market position, and any recent developments, a comprehensive evaluation cannot be made.</t>
  </si>
  <si>
    <t>Without any recent news or financial data provided, it is difficult to provide a comprehensive assessment of the investment potential of Essex Property Trust in the Multi-Family Residential REITs industry for the next month. The lack of up-to-date information makes it challenging to evaluate the company's current performance, financial health, and its ability to navigate the evolving market conditions.
 The economic outlook for the real estate sector, particularly the multi-family residential segment, will be a crucial factor in determining the investment value of Essex Property Trust. Factors such as consumer confidence, employment trends, and interest rate movements can significantly impact the demand for rental properties and the overall performance of REITs in this industry.
 Given the limited information available, it would be prudent to seek out more recent data and news updates before making an informed investment decision regarding Essex Property Trust.</t>
  </si>
  <si>
    <t>Without any recent news or financial data provided, it is difficult to provide a comprehensive assessment of the investment potential of Erie Indemnity, an insurance brokers firm. The overall economic outlook, however, suggests some potential headwinds that could impact the insurance industry.
 The escalating conflict in the Middle East, particularly the tensions between Israel and Iran, and the potential disruption caused by the Hurricane Helene in Florida, could lead to increased insurance claims and volatility in the sector. Additionally, the threat of a prolonged port strike poses a risk of renewed inflationary pressures, which could affect consumer spending and the overall economic trajectory, potentially impacting the insurance industry.
 Given the lack of specific information about Erie Indemnity's financial performance and market position, it is challenging to assign a meaningful investment score. The company's ability to navigate the current economic and geopolitical landscape, as well as its competitive positioning within the insurance brokers industry, would be crucial factors in determining its investment potential.</t>
  </si>
  <si>
    <t>Without any recent news or financial data provided, it is challenging to provide a comprehensive assessment of Equinix's investment potential in the Data Center REITs industry for the next month. The macroeconomic outlook, including factors such as the ongoing geopolitical tensions, the U.S. presidential election, and the Federal Reserve's monetary policy decisions, could have a significant impact on the overall performance of the sector and the company. However, without the necessary information about Equinix's specific financial standing, growth prospects, and competitive positioning, it is difficult to determine the company's investment value accurately.</t>
  </si>
  <si>
    <t>Without any recent news or financial data provided, it is difficult to assess the potential investment value of Equifax in the Research &amp; Consulting Services industry for the next month. The macroeconomic outlook, including factors such as the ongoing geopolitical tensions, the U.S. presidential election, and the performance of the overall stock market, could have a significant impact on the company's performance. However, without access to the latest information about Equifax's financial standing, market position, and growth prospects, a comprehensive evaluation cannot be made.</t>
  </si>
  <si>
    <t>Without any recent news or financial data provided, it is difficult to provide a comprehensive assessment of the investment potential of EPAM Systems in the IT Consulting &amp; Other Services industry for the next month. The macroeconomic outlook, including factors such as the ongoing geopolitical tensions, the U.S. presidential election, and the performance of the technology sector, could have a significant impact on the company's performance. However, without access to the latest financial statements, market trends, and industry-specific information, a reliable score cannot be determined.</t>
  </si>
  <si>
    <t>Without any recent news or financial data provided, it is difficult to provide a comprehensive assessment of the investment potential of EOG Resources in the Oil &amp; Gas Exploration &amp; Production industry for the next month. The macroeconomic outlook, including factors such as global energy demand, commodity prices, and geopolitical tensions, can significantly impact the performance of companies in this sector. However, without the necessary information about the specific company's operations, financial health, and competitive positioning, a reliable investment score cannot be determined.</t>
  </si>
  <si>
    <t>Without any recent news or financial data provided, it is difficult to provide a comprehensive assessment of Entergy's investment potential in the Electric Utilities industry for the next month. The macroeconomic outlook, including factors such as the ongoing geopolitical tensions, the threat of a port strike, and the upcoming U.S. presidential election, could have a significant impact on the overall performance of the utilities sector. However, without the specific details about Entergy's financial position, operational efficiency, and competitive landscape, a reliable investment score cannot be determined.</t>
  </si>
  <si>
    <t>Without any recent news or financial data provided, it is difficult to provide a comprehensive assessment of Enphase Energy's investment potential in the Semiconductor Materials &amp; Equipment industry for the next month. The macroeconomic outlook, including factors such as the ongoing geopolitical tensions, the U.S. presidential election, and the Federal Reserve's monetary policy decisions, could have a significant impact on the overall performance of the industry and the company.
 However, the continued advancements in emerging technologies, particularly in the field of artificial intelligence (AI), could potentially benefit companies like Enphase Energy that are involved in the semiconductor and equipment sector. The growing demand for AI-powered solutions across various industries could drive increased investment and growth in this segment of the market.</t>
  </si>
  <si>
    <t>Without any recent news or financial data provided, it is difficult to provide a comprehensive assessment of Emerson Electric's investment potential in the Electrical Components &amp; Equipment industry for the next month. The macroeconomic outlook, including factors such as the ongoing geopolitical tensions, the threat of a port strike, and the upcoming U.S. presidential election, could have a significant impact on the overall performance of the industry and the company. However, without the necessary information about Emerson Electric's specific financial health, market position, and growth prospects, it would be speculative to assign a meaningful investment score.</t>
  </si>
  <si>
    <t>Without any recent news or financial data provided, it is difficult to provide a comprehensive assessment of the investment potential for Eversource Energy in the Electric Utilities industry. The macroeconomic outlook, including factors such as the ongoing geopolitical tensions, the potential impact of the port strike, and the upcoming U.S. presidential election, could all have significant implications for the overall performance of the utilities sector. However, without access to the company's latest financial statements, operational updates, and industry-specific information, a reliable evaluation of Eversource Energy's investment value cannot be made.</t>
  </si>
  <si>
    <t>Without any recent news or financial data provided, it is difficult to provide a comprehensive assessment of Arista Networks' investment potential in the Communications Equipment industry for the next month. The macroeconomic outlook, including factors such as the ongoing geopolitical tensions, the U.S. presidential election, and the Federal Reserve's monetary policy decisions, could have a significant impact on the overall performance of the industry and the broader stock market.
 However, given the lack of specific information about Arista Networks' current financial standing, market position, and competitive landscape, it would be speculative to assign a score reflecting the potential investment value of the company. A more thorough analysis of the company's fundamentals, growth prospects, and industry dynamics would be necessary to provide a meaningful and well-informed investment recommendation.
 Score: N/A</t>
  </si>
  <si>
    <t>Without any recent news or financial data provided, it is difficult to provide a comprehensive assessment of Avery Dennison's investment potential in the Paper &amp; Plastic Packaging Products &amp; Materials industry for the next month. The macroeconomic outlook, including factors such as the ongoing global conflicts, the potential impact of the port strike, and the upcoming U.S. presidential election, could all have significant implications for the industry and the company's performance. However, without access to the latest financial statements, market trends, and company-specific information, a reliable investment score cannot be determined.
 Score: N/A</t>
  </si>
  <si>
    <t>Without any recent news or financial data provided, it is difficult to provide a comprehensive assessment of the investment potential for Baker Hughes, a company in the Oil &amp; Gas Equipment &amp; Services industry. The macroeconomic outlook, however, suggests some potential challenges and opportunities that may impact the industry and the company's performance.
 The ongoing global conflicts, including the escalating tensions in the Middle East, could have implications for the energy sector and the overall stock market. Disruptions to energy supplies and potential volatility in oil prices may affect the demand for oil and gas equipment and services. Additionally, the threat of a prolonged port strike in the U.S. could pose risks to the industry's supply chains and operations.
 On the other hand, the continued resilience of the U.S. economy, as evidenced by the positive employment data, may provide some support for the industry. Furthermore, the growing focus on emerging technologies, such as artificial intelligence, could present opportunities for companies like Baker Hughes to enhance their operations and competitiveness.
 Without access to the company's recent financial performance and market positioning, it is challenging to assign a specific investment value score. The overall assessment would depend on a more comprehensive analysis of the company's fundamentals, competitive landscape, and its ability to navigate the current macroeconomic and industry-specific challenges.
 Score: N/A</t>
  </si>
  <si>
    <t>Without any recent news or financial data provided, it is difficult to provide a comprehensive assessment of the investment potential for BNY Mellon in the Asset Management &amp; Custody Banks industry. The macroeconomic outlook, including factors such as the ongoing geopolitical tensions, the U.S. presidential election, and the Federal Reserve's monetary policy decisions, could have a significant impact on the performance of the industry and the company. However, without access to the latest financial statements, market trends, and company-specific information, a reliable investment score cannot be determined.
 Score: N/A</t>
  </si>
  <si>
    <t>Without any recent news or financial data provided, it is difficult to provide a comprehensive assessment of Boston Scientific's investment potential in the Health Care Equipment industry for the next month. The macroeconomic outlook, including factors such as the ongoing geopolitical tensions, the U.S. presidential election, and the Federal Reserve's monetary policy decisions, could have a significant impact on the overall performance of the healthcare sector. However, without access to the company's latest financial statements, market performance, and industry-specific information, a reliable score cannot be determined.
 Score: N/A</t>
  </si>
  <si>
    <t>Without any recent news or financial data provided, it is difficult to provide a comprehensive assessment of the investment potential for Brown-Forman, a company in the Distillers &amp; Vintners industry. The macroeconomic outlook, including factors such as consumer spending, inflation, and the overall economic conditions, would be crucial in evaluating the company's performance and growth prospects.
 Given the lack of specific information about the company's current situation, it is not possible to assign a meaningful score reflecting the potential investment value of Brown-Forman for the next month. A more thorough analysis would be required, taking into account the latest financial reports, industry trends, and the company's competitive positioning, to provide a well-informed investment recommendation.
 Score: N/A</t>
  </si>
  <si>
    <t>Without any recent news or financial data provided, it is challenging to provide a comprehensive assessment of the investment potential for BXP, Inc. in the Office REITs industry. The macroeconomic outlook, which includes factors such as the ongoing geopolitical tensions, the potential impact of the port strike, and the upcoming U.S. presidential election, could have significant implications for the overall real estate investment trust (REIT) sector, including the office REIT segment.
 Given the lack of specific information about BXP, Inc., it is difficult to determine the company's current financial health, market positioning, and growth prospects. The performance of office REITs can be heavily influenced by factors such as occupancy rates, rental rates, and the overall demand for commercial office space, which may be affected by the broader economic conditions and shifts in workplace trends.
 Without access to the latest financial statements, operational data, and industry-specific insights, a thorough evaluation of BXP, Inc.'s investment value cannot be provided. A more comprehensive analysis would require access to the company's recent performance, growth strategies, and competitive positioning within the office REIT sector.
 Score: N/A</t>
  </si>
  <si>
    <t>Without any recent news or financial data provided, it is difficult to provide a comprehensive assessment of the investment potential for Camden Property Trust in the Multi-Family Residential REITs industry. The overall economic outlook, including factors such as interest rates, consumer spending, and employment trends, would typically play a significant role in evaluating the prospects for a real estate investment trust (REIT) focused on the multi-family residential sector.
 However, in the absence of specific information about the company's performance, portfolio, and market positioning, a reliable investment score cannot be confidently assigned. The potential investment value of Camden Property Trust would require a thorough analysis of the latest financial statements, management's strategic initiatives, and the competitive landscape within the REIT industry.
 Score: N/A</t>
  </si>
  <si>
    <t>Without any recent news or financial data provided, it is difficult to provide a comprehensive assessment of the investment potential for CDW, a company in the Technology Distributors industry. The macroeconomic outlook, including factors such as the ongoing geopolitical tensions, the U.S. presidential election, and the performance of the technology sector, could have a significant impact on the company's future prospects. However, without access to the latest financial statements, market trends, and industry-specific information, a reliable investment score cannot be determined.
 Score: N/A</t>
  </si>
  <si>
    <t>Without any recent news or financial data provided, it is difficult to provide a comprehensive assessment of Celanese's investment potential in the Specialty Chemicals industry for the next month. The macroeconomic outlook, including factors such as the ongoing geopolitical tensions, the potential impact of the port strike, and the upcoming U.S. presidential election, could all have significant implications for the overall market performance and the Specialty Chemicals sector.
 However, given the lack of specific information about Celanese's current financial standing, operational efficiency, and competitive positioning, it would be speculative to assign a definitive score reflecting the company's investment value. A more thorough analysis of the company's fundamentals, industry trends, and market dynamics would be necessary to provide a meaningful and well-informed investment recommendation.
 Score: N/A</t>
  </si>
  <si>
    <t>Without any recent news or financial data provided, it is challenging to provide a comprehensive assessment of the investment potential for Charles Schwab Corporation in the Investment Banking &amp; Brokerage industry for the next month.
 Economic Outlook:
 The macroeconomic environment remains volatile, with ongoing global tensions, concerns about a potential recession, and mixed economic indicators. The manufacturing sector's contraction and the threat of a prolonged port strike pose risks to the overall economic trajectory.
 Industry Outlook:
 The Investment Banking &amp; Brokerage industry is likely to be influenced by the broader market conditions, as well as the political and geopolitical developments. Investor sentiment and trading activity could be impacted by the uncertainty surrounding the upcoming U.S. presidential election and the escalating conflict in the Middle East.
 Conclusion:
 Given the lack of recent company-specific information, it is difficult to assign a meaningful investment score for Charles Schwab Corporation at this time. A more thorough analysis would be required, taking into account the firm's financial performance, competitive positioning, and management's strategic initiatives, as well as the broader industry and macroeconomic trends.
 Score: N/A</t>
  </si>
  <si>
    <t>Without any recent news or financial data provided, it is difficult to provide a comprehensive assessment of the investment potential for CMS Energy in the Multi-Utilities industry. The macroeconomic outlook, including factors such as the ongoing geopolitical tensions, the threat of a port strike, and the upcoming U.S. presidential election, could have a significant impact on the overall performance of the utilities sector. However, without the necessary information about CMS Energy's specific financial standing, operational efficiency, and competitive positioning, a reliable investment score cannot be determined.
 Score: N/A</t>
  </si>
  <si>
    <t>Without any recent news or financial data provided, it is difficult to provide a comprehensive assessment of Cognizant's investment potential in the IT Consulting &amp; Other Services industry for the next month. The macroeconomic outlook, including factors such as the ongoing geopolitical tensions, the U.S. presidential election, and the performance of the technology sector, could have a significant impact on the company's performance. However, without access to the latest financial statements, market trends, and industry-specific information, a reliable score cannot be determined.
 Score: N/A</t>
  </si>
  <si>
    <t>Without any recent news or financial data provided, it is difficult to provide a comprehensive assessment of the investment potential of Conagra Brands in the Packaged Foods &amp; Meats industry for the next month. The company's performance and outlook would depend on various factors, including its financial health, market position, and the overall economic conditions affecting the industry.
 Given the lack of information, it would be speculative to assign a specific score reflecting the potential investment value of Conagra Brands. The company's performance and investment potential can only be properly evaluated with access to its latest financial statements, industry trends, and other relevant data.
 Score: N/A</t>
  </si>
  <si>
    <t>Without any recent news or financial data provided, it is difficult to provide a comprehensive assessment of Consolidated Edison's investment potential in the Multi-Utilities industry for the next month. The macroeconomic outlook, including factors such as the ongoing geopolitical tensions, the U.S. presidential election, and the Federal Reserve's monetary policy decisions, could have a significant impact on the overall performance of the utilities sector. However, without the necessary information about the company's specific financial standing, operational efficiency, and competitive positioning, a reliable investment score cannot be determined.
 Score: N/A</t>
  </si>
  <si>
    <t>Without any recent news or financial data provided, it is difficult to provide a comprehensive assessment of Constellation Brands' investment potential in the Distillers &amp; Vintners industry for the next month. The macroeconomic outlook, including factors such as consumer spending, inflation, and interest rates, would play a crucial role in determining the company's performance. Additionally, industry-specific trends and competitive dynamics within the Distillers &amp; Vintners sector would also need to be considered.
 Given the lack of specific information about Constellation Brands, it is not possible to assign a meaningful score reflecting the potential investment value of the company. A more thorough analysis would be required, taking into account the latest financial statements, management's guidance, and the overall market and industry conditions.
 Score: N/A</t>
  </si>
  <si>
    <t>Without any recent news or financial data provided, it is difficult to provide a comprehensive assessment of Corning Inc.'s investment potential in the Electronic Components industry for the next month. The macroeconomic outlook, including factors such as the ongoing geopolitical tensions, the U.S. presidential election, and the Federal Reserve's monetary policy decisions, could have a significant impact on the overall performance of the industry and the company. However, without access to the latest financial statements, market trends, and industry-specific information, a reliable score cannot be determined.
 Score: N/A</t>
  </si>
  <si>
    <t>Without any recent news or financial data provided, it is challenging to provide a comprehensive assessment of Costco's investment potential in the Consumer Staples Merchandise Retail industry for the next month. The macroeconomic outlook, including factors such as consumer spending, inflation, and the overall economic conditions, would be crucial in determining the company's performance and investment value.
 Given the lack of specific information about Costco's current situation, it would be prudent to refrain from assigning a definitive score. A more thorough analysis of the company's financials, competitive positioning, and the broader industry trends would be necessary to make an informed investment recommendation.
 Score: N/A</t>
  </si>
  <si>
    <t>Without any recent news or financial data provided, it is difficult to provide a comprehensive assessment of Danaher Corporation's investment potential in the Life Sciences Tools &amp; Services industry for the next month. The macroeconomic outlook, including factors such as the ongoing geopolitical tensions, the U.S. presidential election, and the Federal Reserve's monetary policy decisions, could have a significant impact on the overall market performance and, consequently, the performance of individual companies like Danaher.
 However, given the lack of specific information about the company's current financial standing, product pipeline, and competitive positioning, it would be speculative to assign a definitive score reflecting the potential investment value. The Life Sciences Tools &amp; Services industry is generally considered a defensive sector, which could provide some stability in the face of market volatility. But without the necessary data, a prudent approach would be to refrain from making any firm recommendations.
 Score: N/A</t>
  </si>
  <si>
    <t>Without any recent news or financial data provided, it is difficult to provide a comprehensive assessment of Deere &amp; Company's investment potential in the Agricultural &amp; Farm Machinery industry for the next month. The macroeconomic outlook, including factors such as the ongoing global conflicts, the potential impact of the port strike, and the political landscape, could all have significant implications for the company's performance. However, without access to the latest financial statements, market trends, and industry-specific information, a reliable score cannot be determined.
 Score: N/A</t>
  </si>
  <si>
    <t>Without any recent news or financial data provided, it is difficult to provide a comprehensive assessment of Discover Financial's investment potential in the Consumer Finance industry for the next month. The macroeconomic outlook, including factors such as the ongoing geopolitical tensions, the threat of a port strike, and the upcoming U.S. presidential election, could have a significant impact on the overall performance of the financial sector. However, without access to the company's latest financial statements, market positioning, and competitive landscape, a reliable investment score cannot be determined.
 Score: N/A</t>
  </si>
  <si>
    <t>Without any recent news or financial data provided, it is difficult to provide a comprehensive assessment of the investment potential of D.R. Horton in the Homebuilding industry for the next month. The macroeconomic outlook, including factors such as interest rates, consumer confidence, and housing market trends, would be crucial in evaluating the company's performance and future prospects.
 Given the lack of specific information about the company's current situation, it would be speculative to assign a numerical score reflecting the potential investment value. A more thorough analysis of D.R. Horton's financial statements, market position, and the broader economic conditions affecting the Homebuilding industry would be necessary to make a well-informed investment recommendation.
 Score: N/A</t>
  </si>
  <si>
    <t>Without any recent news or financial data provided, it is difficult to provide a comprehensive assessment of the investment potential for DTE Energy in the Multi-Utilities industry. The macroeconomic outlook, including factors such as the ongoing geopolitical tensions, the U.S. presidential election, and the Federal Reserve's monetary policy decisions, could have a significant impact on the overall performance of the utilities sector. However, without the necessary information about the company's financials, operations, and competitive positioning, a reliable investment score cannot be determined.
 Score: N/A</t>
  </si>
  <si>
    <t>Without any recent news or financial data provided, it is difficult to provide a comprehensive assessment of the investment potential for Eastman Chemical Company. The specialty chemicals industry is heavily influenced by macroeconomic factors, such as global economic conditions, commodity prices, and regulatory changes. 
 The latest macroeconomic outlook suggests a mixed picture, with the U.S. economy showing resilience in job growth but also facing challenges in the manufacturing sector and potential supply chain disruptions. Additionally, the escalating geopolitical tensions in the Middle East could introduce volatility and uncertainty into the market, which could impact the performance of companies in the specialty chemicals industry.
 Given the lack of specific information about Eastman Chemical Company's current financial position, operational performance, and competitive landscape, it is not possible to provide a reliable investment score for the company at this time. A more thorough analysis would be required, taking into account the company's latest financial reports, management's guidance, and industry-specific trends, to determine its potential investment value.
 Score: N/A</t>
  </si>
  <si>
    <t>Without any recent news or financial data provided, it is difficult to provide a comprehensive assessment of Eaton Corporation's investment potential in the Electrical Components &amp; Equipment industry for the next month. The macroeconomic outlook, including factors such as the ongoing geopolitical tensions, the threat of a port strike, and the upcoming U.S. presidential election, could have a significant impact on the overall market performance and the specific industry in which Eaton operates.
 However, given the lack of company-specific information, it would be speculative to assign a score reflecting the potential investment value of Eaton Corporation. A more thorough analysis of the company's financial health, competitive positioning, and growth prospects would be necessary to provide a meaningful investment recommendation.
 Score: N/A</t>
  </si>
  <si>
    <t>Without any recent news or financial data provided, it is difficult to provide a comprehensive assessment of the investment potential of EQT Corporation in the Oil &amp; Gas Exploration &amp; Production industry for the next month. The macroeconomic outlook, including factors such as global energy demand, commodity prices, and geopolitical tensions, can significantly impact the performance of companies in this sector. However, without the necessary information about EQT Corporation's specific financial position, operational efficiency, and competitive landscape, a reliable investment score cannot be determined.
 Score: N/A</t>
  </si>
  <si>
    <t>Without any recent news or financial data provided, it is difficult to provide a comprehensive assessment of the investment potential for Equity Residential, a company in the Multi-Family Residential REITs industry. The overall economic outlook, including factors such as interest rates, consumer spending, and the housing market, would typically be important considerations in evaluating the prospects for a real estate investment trust (REIT) like Equity Residential.
 However, in the absence of specific information about the company's current performance, portfolio, and strategic positioning, a reliable investment score cannot be confidently assigned. The potential investment value would depend on a thorough analysis of Equity Residential's financial health, growth prospects, and ability to navigate the evolving market conditions.
 Score: N/A</t>
  </si>
  <si>
    <t>Without any recent news or financial data provided, it is difficult to provide a comprehensive assessment of the investment potential of Estée Lauder Companies (The) in the Personal Care Products industry for the next month. The macroeconomic outlook, including factors such as consumer spending, inflation, and the overall economic conditions, would be crucial in determining the company's performance and investment value.
 Given the lack of specific information about the company's current situation, a definitive score cannot be assigned. The investment value would depend on a thorough analysis of the company's financial health, market position, and its ability to navigate the evolving industry dynamics and macroeconomic environment.
 Score: N/A</t>
  </si>
  <si>
    <t>Without any recent news or financial data provided, it is challenging to provide a comprehensive assessment of FactSet's investment potential in the Financial Exchanges &amp; Data industry for the next month. The macroeconomic outlook, however, suggests a mixed picture, with the U.S. economy showing resilience in some areas, such as the strong private sector job growth, but also facing headwinds in the manufacturing sector and potential supply chain disruptions.
 The ongoing geopolitical tensions, particularly the escalating conflict in the Middle East, could introduce volatility and uncertainty into the stock market, which could impact the performance of companies in the Financial Exchanges &amp; Data industry. Additionally, the upcoming 2024 U.S. presidential election is a significant political event that may influence investor sentiment and market dynamics.
 Given the lack of specific information about FactSet's recent performance and outlook, it is difficult to assign a meaningful investment score for the company in the next month. A more thorough analysis would require access to the latest financial data, industry trends, and company-specific information to make a well-informed assessment.
 Score: N/A</t>
  </si>
  <si>
    <t>Without any recent news or financial data provided, it is difficult to provide a comprehensive assessment of the investment potential for Fidelity National Information Services in the Transaction &amp; Payment Processing Services industry. The macroeconomic outlook, including factors such as the ongoing geopolitical tensions, the potential impact of the port strike, and the upcoming U.S. presidential election, could all have significant implications for the overall industry performance. However, without the necessary information about the company's specific financial standing, market position, and growth prospects, a reliable investment score cannot be determined.
 Score: N/A</t>
  </si>
  <si>
    <t>Without any recent news or financial data provided, it is challenging to provide a comprehensive assessment of Fifth Third Bank's investment potential in the Regional Banks industry for the next month. The macroeconomic outlook, however, suggests a mixed picture for the banking sector.
 The U.S. economy continues to show resilience, with the private sector adding more jobs than expected in September. This positive employment data indicates that the economy remains on a solid footing. However, the manufacturing sector has contracted for the sixth straight month, and the threat of a prolonged port strike poses a risk of renewed inflationary pressures, which could impact consumer spending and the overall economic trajectory.
 The escalating conflict in the Middle East, particularly the tensions between Israel and Iran, has the potential to introduce further volatility and uncertainty into the market, which could indirectly affect the performance of regional banks like Fifth Third Bank.
 Additionally, the upcoming 2024 U.S. presidential election is a significant political event that is likely to influence the stock market in the coming months. The decision by President Biden to not seek re-election and the potential return of former President Trump as the Republican candidate could further polarize the political landscape and impact investor sentiment.
 Without access to the latest financial data and news specific to Fifth Third Bank, it is difficult to provide a reliable investment score. A more comprehensive analysis would be necessary to assess the company's current financial health, competitive positioning, and growth prospects within the regional banking industry.
 Score: N/A</t>
  </si>
  <si>
    <t>Without any recent news or financial data provided, it is difficult to provide a comprehensive assessment of Fiserv's investment potential in the Transaction &amp; Payment Processing Services industry for the next month. The macroeconomic outlook, including factors such as the ongoing geopolitical tensions, the U.S. presidential election, and the Federal Reserve's monetary policy decisions, could have a significant impact on the overall performance of the industry and the company. However, without access to the latest financial statements, market trends, and industry-specific information, a reliable score cannot be determined.
 Score: N/A</t>
  </si>
  <si>
    <t>Without any recent news or financial data provided, it is difficult to provide a comprehensive assessment of Fortinet's investment potential in the Systems Software industry for the next month. The macroeconomic outlook, including factors such as the ongoing geopolitical tensions, the U.S. presidential election, and the Federal Reserve's monetary policy decisions, could have a significant impact on the overall performance of the technology sector and Fortinet's stock price.
 However, given the lack of specific information about the company's current financial standing, product pipeline, and competitive positioning, it would be speculative to assign a definitive score reflecting the potential investment value. A more thorough analysis of Fortinet's latest financial reports, market trends, and industry dynamics would be necessary to provide a meaningful and well-informed investment recommendation.
 Score: N/A</t>
  </si>
  <si>
    <t>Without any recent news or financial data provided, it is difficult to provide a comprehensive assessment of Garmin's investment potential in the Consumer Electronics industry for the next month. The macroeconomic outlook, including factors such as the ongoing geopolitical tensions, the threat of a port strike, and the upcoming U.S. presidential election, could have a significant impact on the overall performance of the stock market and the consumer electronics sector.
 However, given the lack of specific information about Garmin's current financial standing, product pipeline, and competitive positioning, it would be speculative to assign a definitive score reflecting the company's investment value. A more thorough analysis of Garmin's recent financial reports, market share, and industry trends would be necessary to provide a meaningful and well-informed investment recommendation.
 Score: N/A</t>
  </si>
  <si>
    <t>Without any recent news or financial data provided, it is difficult to provide a comprehensive assessment of the investment potential for GE Aerospace. The aerospace and defense industry is heavily influenced by macroeconomic factors, geopolitical developments, and industry-specific trends, which can significantly impact the performance of individual companies.
 Economic Outlook:
 The latest macroeconomic data suggests a mixed outlook for the U.S. economy, with the private sector adding more jobs than expected but the manufacturing sector contracting for the sixth consecutive month. Additionally, the threat of a prolonged port strike poses a risk of renewed inflationary pressures, which could impact consumer spending and the overall economic trajectory. These factors could have implications for the aerospace and defense industry, as they may affect demand for commercial and military aircraft, as well as related products and services.
 Industry Outlook:
 The aerospace and defense industry is closely tied to global economic and political conditions. The ongoing conflicts in various regions, such as the escalating tensions between Israel and Iran, could potentially impact the industry's performance, as they may disrupt supply chains, affect defense spending, and introduce market volatility.
 Without access to the company's recent financial data and any specific news or developments, it is challenging to provide a meaningful assessment of GE Aerospace's investment potential. A more comprehensive analysis would require access to the company's financial statements, market position, competitive landscape, and any recent strategic initiatives or operational updates.
 Score: N/A</t>
  </si>
  <si>
    <t>Without any recent news or financial data provided, it is difficult to provide a comprehensive assessment of Generac's investment potential in the Electrical Components &amp; Equipment industry for the next month. The macroeconomic outlook, including factors such as the ongoing geopolitical tensions, the potential impact of the port strike, and the upcoming U.S. presidential election, could all have significant implications for the overall market performance and, consequently, the performance of individual companies like Generac.
 However, given the lack of specific information about the company's current financial standing, product pipeline, or competitive positioning, it would be speculative to assign a definitive score reflecting the potential investment value. A more thorough analysis of Generac's recent financial reports, management commentary, and industry trends would be necessary to provide a meaningful and well-informed assessment.
 Score: N/A</t>
  </si>
  <si>
    <t>Without any recent news or financial data provided, it is difficult to provide a comprehensive assessment of the investment potential of General Mills in the Packaged Foods &amp; Meats industry for the next month. The macroeconomic outlook, including factors such as consumer spending, inflation, and the overall economic conditions, would be crucial in determining the company's performance and the investment value.
 Given the lack of specific information about General Mills' current situation, it would be prudent to refrain from assigning a definitive score. A more thorough analysis of the company's financials, market position, and the industry dynamics would be necessary to make an informed investment recommendation.
 Score: N/A</t>
  </si>
  <si>
    <t>Without any recent news or financial data provided, it is difficult to provide a comprehensive assessment of the investment potential of General Motors in the Automobile Manufacturers industry for the next month. The macroeconomic outlook, including factors such as consumer spending, interest rates, and the overall state of the economy, would be crucial in determining the company's performance. Additionally, industry-specific trends, competition, and the company's strategic positioning would also be important considerations.
 Given the lack of specific information, it would be prudent to refrain from assigning a definitive score at this time. A more thorough analysis based on the latest available data would be necessary to provide a meaningful investment recommendation.
 Score: N/A</t>
  </si>
  <si>
    <t>Without any recent news or financial data provided, it is difficult to provide a comprehensive assessment of the investment potential of Globe Life in the Life &amp; Health Insurance industry. The macroeconomic outlook, including factors such as the ongoing geopolitical tensions, the potential impact of the port strike, and the upcoming U.S. presidential election, could all have significant implications for the insurance sector. However, without access to the company's latest financial performance, market position, and growth prospects, it is not possible to determine a reliable investment score.
 Score: N/A</t>
  </si>
  <si>
    <t>Without any recent news or financial data provided, it is difficult to provide a comprehensive assessment of Hologic's investment potential in the Health Care Equipment industry for the next month. The macroeconomic outlook, including factors such as the ongoing geopolitical tensions, the potential impact of the port strike, and the upcoming U.S. presidential election, could all have significant implications for the overall market performance and, consequently, the performance of individual companies like Hologic.
 However, given the lack of specific information about Hologic's current financial standing, product pipeline, competitive positioning, and other relevant factors, it would be speculative to assign a definitive score reflecting the company's investment value. A more thorough analysis of the company's fundamentals and the industry dynamics would be necessary to provide a meaningful assessment.
 Score: N/A</t>
  </si>
  <si>
    <t>Without any recent news or financial data provided, it is difficult to provide a comprehensive assessment of Home Depot's (The) investment potential in the Home Improvement Retail industry for the next month. The macroeconomic outlook, including factors such as consumer spending, interest rates, and the overall state of the housing market, would be crucial in determining the company's performance. Additionally, any industry-specific trends and competitive dynamics would need to be taken into consideration.
 Given the lack of specific information, it would be prudent to refrain from assigning a definitive score at this time. A more thorough analysis based on the latest available data would be necessary to provide a meaningful investment recommendation.
 Score: N/A</t>
  </si>
  <si>
    <t>Without any recent news or financial data provided, it is difficult to provide a comprehensive assessment of the investment potential of Hormel Foods in the Packaged Foods &amp; Meats industry for the next month. The macroeconomic outlook, including factors such as consumer spending, inflation, and the overall economic conditions, would be crucial in determining the company's performance and the industry's prospects.
 Given the lack of specific information about Hormel Foods, a definitive investment score cannot be assigned. The company's ability to navigate the current market environment, its competitive positioning, and its strategic initiatives would all need to be evaluated to determine its potential investment value.
 Score: N/A</t>
  </si>
  <si>
    <t>Without any recent news or financial data provided, it is difficult to provide a comprehensive assessment of Ingersoll Rand's investment potential in the Industrial Machinery &amp; Supplies &amp; Components industry for the next month. The macroeconomic outlook suggests a volatile market environment, with ongoing global conflicts and political uncertainties that could impact the overall performance of the industrial sector.
 However, the resilience of the U.S. economy, as evidenced by the strong employment data, indicates that there may be opportunities for well-positioned companies in the industrial machinery and supplies industry. The continued advancements in emerging technologies, such as artificial intelligence, could also present potential growth avenues for companies that are able to adapt and innovate.
 Given the lack of specific information about Ingersoll Rand's current financial standing, market position, and strategic initiatives, it is not possible to provide a reliable investment score at this time. A more thorough analysis of the company's fundamentals, competitive landscape, and management's execution would be necessary to make a well-informed assessment.
 Score: N/A</t>
  </si>
  <si>
    <t>Without any recent news or financial data provided, it is difficult to provide a comprehensive assessment of the investment potential of International Paper in the Paper &amp; Plastic Packaging Products &amp; Materials industry for the next month. The macroeconomic outlook, including factors such as the ongoing global conflicts, the potential impact of the port strike, and the upcoming U.S. presidential election, could all have significant implications for the industry and the company's performance. However, without access to the latest financial statements, market trends, and company-specific information, a reliable investment score cannot be determined.
 Score: N/A</t>
  </si>
  <si>
    <t>Without any recent news or financial data provided, it is difficult to provide a comprehensive assessment of the investment potential for IQVIA in the Life Sciences Tools &amp; Services industry. The macroeconomic outlook, including factors such as the ongoing global conflicts, the U.S. presidential election, and the performance of the overall stock market, could have a significant impact on the company's future prospects. However, without access to the latest financial statements, market trends, and industry-specific information, a reliable score cannot be determined.
 Score: N/A</t>
  </si>
  <si>
    <t>Without any recent news or financial data provided, it is challenging to provide a comprehensive assessment of the investment potential for Johnson Controls, a company in the Building Products industry. 
 Economic Outlook:
 The macroeconomic environment remains volatile, with ongoing global conflicts, natural disasters, and political uncertainties that could impact the overall market performance. The U.S. economy has shown resilience, with positive employment data, but the manufacturing sector has contracted, and risks such as a potential port strike persist.
 Conclusion:
 Given the lack of specific information about Johnson Controls' current situation, it is difficult to assign a meaningful investment score. A more thorough analysis would require access to the company's recent financial statements, market performance, and industry trends to evaluate its investment potential accurately.
 Score: N/A</t>
  </si>
  <si>
    <t>Without any recent news or financial data provided, it is difficult to provide a comprehensive assessment of Juniper Networks' investment potential in the Communications Equipment industry for the next month. The macroeconomic outlook, including factors such as the ongoing geopolitical tensions, the U.S. presidential election, and the Federal Reserve's monetary policy decisions, could have a significant impact on the overall performance of the industry and the company.
 However, given the lack of specific information about Juniper Networks' current financial standing, market position, and competitive landscape, it would be speculative to assign a definitive score reflecting the potential investment value. A more thorough analysis of the company's fundamentals, industry trends, and future growth prospects would be necessary to provide a meaningful and well-informed investment recommendation.
 Score: N/A</t>
  </si>
  <si>
    <t>Without any recent news or financial data provided, it is difficult to provide a comprehensive assessment of the investment potential for Keurig Dr Pepper in the Soft Drinks &amp; Non-alcoholic Beverages industry. The macroeconomic outlook, including factors such as consumer spending, inflation, and the overall economic conditions, would be crucial in evaluating the company's performance and growth prospects.
 Given the lack of specific information about the company's current financial standing, market position, and competitive landscape, it would be speculative to assign a numerical score reflecting the potential investment value. A more thorough analysis of the company's fundamentals, industry trends, and the broader economic environment would be necessary to make an informed investment recommendation.
 Score: N/A</t>
  </si>
  <si>
    <t>Without any recent news or financial data provided, it is difficult to provide a comprehensive assessment of Kimberly-Clark's investment potential in the Household Products industry for the next month. The macroeconomic outlook, including factors such as consumer spending, inflation, and the overall economic conditions, would be crucial in determining the company's performance and the investment value.
 Given the lack of specific information about Kimberly-Clark's current situation, it would be prudent to refrain from assigning a definitive score. A more thorough analysis of the company's financials, market position, and industry trends would be necessary to make an informed investment recommendation.
 Score: N/A</t>
  </si>
  <si>
    <t>Without any recent news or financial data provided, it is difficult to provide a comprehensive assessment of Kimco Realty's investment potential in the Retail REITs industry for the next month. The macroeconomic outlook, including factors such as consumer spending, inflation, and interest rates, would be crucial in evaluating the performance of a real estate investment trust (REIT) like Kimco Realty.
 Given the lack of specific information about the company, a definitive score cannot be assigned. The investment value would depend on Kimco Realty's ability to navigate the current economic environment, maintain occupancy rates, and generate stable rental income from its retail properties.
 Score: N/A</t>
  </si>
  <si>
    <t>Without any recent news or financial data provided, it is difficult to provide a comprehensive assessment of the investment potential for Kraft Heinz in the Packaged Foods &amp; Meats industry. The macroeconomic outlook, including factors such as consumer spending, inflation, and supply chain challenges, could have a significant impact on the company's performance. However, without access to the latest financial statements, market trends, and industry-specific information, a reliable investment score cannot be determined.
 Score: N/A</t>
  </si>
  <si>
    <t>Without any recent news or financial data provided, it is difficult to provide a comprehensive assessment of Kroger's investment potential in the Food Retail industry for the next month. The macroeconomic outlook, including factors such as consumer spending, inflation, and the overall economic conditions, would be crucial in determining the company's performance and investment value.
 However, given the lack of specific information about Kroger's current situation, a definitive score cannot be assigned. The investment value would depend on a thorough analysis of the company's financial health, market position, and its ability to navigate the evolving industry landscape.
 Score: N/A</t>
  </si>
  <si>
    <t>Without any recent news or financial data provided, it is difficult to provide a comprehensive assessment of the investment potential for Lam Research in the Semiconductor Materials &amp; Equipment industry. The macroeconomic outlook, however, suggests that the technology and AI-related sectors may continue to perform well in the near term, as the U.S. economy remains resilient despite some softness in the manufacturing sector.
 Given the lack of specific information about Lam Research, a definitive investment score cannot be assigned. The company's performance would need to be evaluated based on its financial statements, market position, competitive landscape, and other relevant factors to determine its investment value accurately.
 Score: N/A</t>
  </si>
  <si>
    <t>Without any recent news or financial data provided, it is difficult to provide a comprehensive assessment of Lululemon Athletica's investment potential in the Apparel, Accessories &amp; Luxury Goods industry for the next month. The macroeconomic outlook, including factors such as consumer spending, inflation, and the overall economic conditions, would be crucial in determining the company's performance and investment value.
 Given the lack of specific information about Lululemon's current standing, it would be prudent to refrain from assigning a definitive score at this time. A more thorough analysis of the company's financial health, market positioning, and the industry's dynamics would be necessary to make an informed investment recommendation.
 Score: N/A</t>
  </si>
  <si>
    <t>Without any recent news or financial data provided, it is difficult to provide a comprehensive assessment of Masco's investment potential in the Building Products industry for the next month. The macroeconomic outlook, including factors such as the ongoing geopolitical tensions, the potential impact of the port strike, and the upcoming U.S. presidential election, could all have significant implications for the overall market performance and the specific industry in which Masco operates.
 However, given the lack of company-specific information, it would be speculative to assign a score reflecting Masco's investment value. A more thorough analysis of the company's financial health, competitive positioning, and growth prospects would be necessary to provide a meaningful and well-informed investment recommendation.
 Score: N/A</t>
  </si>
  <si>
    <t>Without any recent news or financial data provided, it is difficult to provide a comprehensive assessment of Mastercard's investment potential in the Transaction &amp; Payment Processing Services industry for the next month. The macroeconomic outlook, including factors such as consumer spending, inflation, and interest rates, would typically play a significant role in evaluating the company's performance and growth prospects. Additionally, industry-specific trends and competitive dynamics are important considerations when analyzing a firm's investment value.
 Given the lack of information, it would be prudent to refrain from assigning a specific score at this time. A more thorough analysis based on the latest available data would be necessary to provide a meaningful and well-informed investment recommendation.
 Score: N/A</t>
  </si>
  <si>
    <t>Without any recent news or financial data provided, it is difficult to provide a comprehensive assessment of the investment potential for Match Group in the Interactive Media &amp; Services industry. The macroeconomic outlook, including factors such as the ongoing geopolitical tensions, the U.S. presidential election, and the performance of the overall stock market, could have a significant impact on the company's performance in the near future. However, without access to the latest financial statements, market trends, and industry-specific information, a reliable investment score cannot be determined.
 Score: N/A</t>
  </si>
  <si>
    <t>Without any recent news or financial data provided, it is difficult to provide a comprehensive assessment of the investment potential of McCormick &amp; Company in the Packaged Foods &amp; Meats industry for the next month. The macroeconomic outlook, including factors such as consumer spending, inflation, and the overall economic conditions, would be crucial in evaluating the company's performance and growth prospects. Additionally, industry-specific trends and competitive dynamics within the Packaged Foods &amp; Meats sector would also need to be considered.
 Given the lack of information, it would be prudent to refrain from assigning a specific investment score for McCormick &amp; Company at this time. A more thorough analysis based on the latest available data would be necessary to provide a meaningful and well-informed assessment of the company's investment value.
 Score: N/A</t>
  </si>
  <si>
    <t>Without any recent news or financial data provided, it is difficult to provide a comprehensive assessment of the investment potential for Mohawk Industries in the Home Furnishings industry. The macroeconomic outlook, including factors such as consumer spending, interest rates, and the overall state of the housing market, would be crucial in evaluating the company's performance and growth prospects.
 Economic Outlook:
 The latest macroeconomic data suggests a mixed picture, with the private sector adding more jobs than expected but the manufacturing sector contracting for the sixth consecutive month. Additionally, the threat of a prolonged port strike poses a risk of renewed inflationary pressures, which could impact consumer spending and the overall economic trajectory.
 Conclusion:
 Given the lack of specific information about Mohawk Industries, it is not possible to provide a reliable investment score at this time. A more thorough analysis of the company's financial performance, market position, and management strategy would be necessary to make an informed assessment of its investment potential.
 Score: N/A</t>
  </si>
  <si>
    <t>Without any recent news or financial data provided, it is difficult to provide a comprehensive assessment of the investment potential for Monster Beverage in the Soft Drinks &amp; Non-alcoholic Beverages industry. The macroeconomic outlook, including factors such as consumer spending, inflation, and the overall economic conditions, would be crucial in determining the company's performance in the next month.
 However, given the lack of specific information about the company's current situation, it would be speculative to assign a score reflecting the potential investment value. A more thorough analysis of the company's financials, market position, and competitive landscape would be necessary to make an informed investment recommendation.
 Score: N/A</t>
  </si>
  <si>
    <t>Without any recent news or financial data provided, it is challenging to provide a comprehensive assessment of Netflix's investment potential in the Movies &amp; Entertainment industry for the next month. The macroeconomic outlook, including factors such as consumer spending, inflation, and interest rates, can significantly impact the performance of companies in this sector. Additionally, industry-specific trends, competitive dynamics, and the company's strategic positioning would need to be evaluated to determine its investment value.
 Given the lack of information, it would be speculative to assign a specific score for Netflix's investment potential. A more thorough analysis of the company's current state, financial health, and future prospects would be necessary to provide a meaningful and well-informed investment recommendation.
 Score: N/A</t>
  </si>
  <si>
    <t>Without any recent news or financial data provided, it is difficult to provide a comprehensive assessment of NextEra Energy's investment potential in the Multi-Utilities industry for the next month. The macroeconomic outlook, including factors such as the ongoing geopolitical tensions, the U.S. presidential election, and the Federal Reserve's monetary policy decisions, could have a significant impact on the overall performance of the utilities sector. However, without the necessary information about the company's specific financials, operations, and market positioning, a reliable investment score cannot be determined.
 Score: N/A</t>
  </si>
  <si>
    <t>Without any recent news or financial data provided, it is difficult to provide a comprehensive assessment of Nordson Corporation's investment potential in the Industrial Machinery &amp; Supplies &amp; Components industry for the next month. The macroeconomic outlook, including factors such as the ongoing global conflicts, the potential impact of the port strike, and the upcoming U.S. presidential election, could all have significant implications for the company's performance. However, without access to the latest financial statements, market trends, and industry-specific information, a reliable score cannot be determined.
 Score: N/A</t>
  </si>
  <si>
    <t>Without any recent news or financial data provided, it is difficult to provide a comprehensive assessment of the investment potential of NRG Energy in the Independent Power Producers &amp; Energy Traders industry for the next month. The macroeconomic outlook, including factors such as the ongoing geopolitical tensions, the potential impact of the port strike, and the upcoming U.S. presidential election, could all have significant implications for the energy sector. However, without the necessary information about the company's current performance, financial position, and strategic initiatives, a reliable investment score cannot be determined.
 Score: N/A</t>
  </si>
  <si>
    <t>Without any recent news or financial data provided, it is difficult to provide a comprehensive assessment of Nucor's investment potential in the Steel industry for the next month. The macroeconomic outlook, however, suggests some potential headwinds that could impact the overall performance of the Steel industry.
 The continued global conflicts, including the escalating tensions in the Middle East, and the potential disruptions from the threat of a prolonged port strike, could introduce volatility and uncertainty in the market. Additionally, the contraction in the manufacturing sector may also have implications for the Steel industry's performance.
 Given the lack of specific information about Nucor's current financial standing and market position, it is challenging to assign a meaningful score reflecting the potential investment value of the company. A more thorough analysis of the company's fundamentals, competitive positioning, and management's strategic initiatives would be necessary to provide a well-informed investment recommendation.
 Score: N/A</t>
  </si>
  <si>
    <t>Without any recent news or financial data provided, it is difficult to provide a comprehensive assessment of the investment potential of NVR, Inc. in the Homebuilding industry for the next month. The macroeconomic outlook, however, suggests some potential headwinds that could impact the overall performance of the industry.
 The continued contraction in the manufacturing sector and the threat of a prolonged port strike pose risks to the economic recovery, which could potentially affect the demand for new homes. Additionally, the ongoing geopolitical tensions and the uncertainty surrounding the 2024 U.S. presidential election may introduce volatility in the stock market, which could impact the performance of homebuilding companies.
 Given the lack of specific information about NVR, Inc., it is not possible to provide a reliable investment score for the company at this time. A more thorough analysis of the company's financial health, market position, and growth prospects would be necessary to make an informed assessment.
 Score: N/A</t>
  </si>
  <si>
    <t>Without any recent news or financial data provided, it is difficult to provide a comprehensive assessment of Paccar's investment potential in the Construction Machinery &amp; Heavy Transportation Equipment industry for the next month. The macroeconomic outlook, including factors such as the ongoing global conflicts, the potential impact of the port strike, and the political landscape, could all have significant implications for the performance of companies in this industry. However, without the specific details about Paccar's current financial standing, market position, and operational dynamics, a reliable investment score cannot be determined.
 Score: N/A</t>
  </si>
  <si>
    <t>Without any recent news or financial data provided, it is difficult to provide a comprehensive assessment of Palantir Technologies' investment potential in the Internet Services &amp; Infrastructure industry for the next month. The macroeconomic outlook, including factors such as the ongoing geopolitical tensions, the U.S. presidential election, and the Federal Reserve's monetary policy decisions, could have a significant impact on the performance of the overall market and the technology sector.
 However, given the lack of specific information about the company's current financial standing, product pipeline, and competitive positioning, it would be speculative to assign a definitive score reflecting the potential investment value of Palantir Technologies. A more thorough analysis of the company's fundamentals, growth prospects, and market dynamics would be necessary to provide a meaningful investment recommendation.
 Score: N/A</t>
  </si>
  <si>
    <t>Without any recent news or financial data provided, it is difficult to provide a comprehensive assessment of the investment potential for Phillips 66, a company in the Oil &amp; Gas Refining &amp; Marketing industry. 
 The macroeconomic outlook suggests a mixed picture, with the U.S. economy showing resilience in job growth but also facing challenges in the manufacturing sector and potential supply chain disruptions. The ongoing geopolitical tensions, particularly in the Middle East, could also impact the energy and refining industry, introducing volatility and uncertainty.
 Given the lack of specific information about Phillips 66's current performance and outlook, it is not possible to assign a reliable investment score at this time. A more thorough analysis would require access to the company's latest financial statements, market positioning, and management's strategic plans to evaluate its competitive advantages and growth prospects within the industry.
 Score: N/A</t>
  </si>
  <si>
    <t>Without any recent news or financial data provided, it is difficult to provide a comprehensive assessment of Pinnacle West's investment potential in the Multi-Utilities industry for the next month. The macroeconomic outlook, including factors such as the ongoing geopolitical tensions, the U.S. presidential election, and the Federal Reserve's monetary policy decisions, could have a significant impact on the overall performance of the utilities sector. However, without access to the company's latest financial statements and market performance, a reliable score cannot be determined.
 Score: N/A</t>
  </si>
  <si>
    <t>Without any recent news or financial data provided, it is difficult to provide a comprehensive assessment of the investment potential for Pool Corporation in the Distributors industry. The macroeconomic outlook, including factors such as the ongoing geopolitical tensions, the potential impact of the port strike, and the upcoming U.S. presidential election, could all have significant implications for the overall market performance and the specific industry in which Pool Corporation operates.
 However, given the lack of company-specific information, it would be speculative to assign a score reflecting the potential investment value of Pool Corporation. A more thorough analysis of the company's financial health, competitive positioning, and growth prospects would be necessary to make a well-informed investment recommendation.
 Score: N/A</t>
  </si>
  <si>
    <t>Without any recent news or financial data provided, it is difficult to provide a comprehensive assessment of the investment potential of Public Storage, a company in the Self-Storage REITs industry. The overall economic outlook, including factors such as consumer spending, interest rates, and the performance of the real estate sector, would be crucial in evaluating the company's prospects.
 Given the lack of specific information, it would be speculative to assign a numerical score reflecting the potential investment value of Public Storage for the next month. A more thorough analysis would be required, taking into account the company's financial performance, market position, growth strategies, and the broader macroeconomic conditions affecting the self-storage industry.
 Score: N/A</t>
  </si>
  <si>
    <t>Without any recent news or financial data provided, it is difficult to provide a comprehensive assessment of PulseGroup's investment potential in the Homebuilding industry for the next month. The macroeconomic outlook, however, suggests some potential headwinds that could impact the overall performance of the sector.
 The continued contraction in the manufacturing sector and the threat of a prolonged port strike pose risks to the broader economy, which could translate into softer demand for new homes. Additionally, the ongoing geopolitical tensions and the potential impact of the 2024 U.S. presidential election introduce an element of uncertainty that could affect investor sentiment and the housing market.
 Given the lack of specific information about PulseGroup's current financial position, operational performance, and market positioning, it is not possible to provide a reliable investment score for the company at this time. A more thorough analysis of the company's fundamentals and the industry's dynamics would be necessary to make a well-informed assessment.
 Score: N/A</t>
  </si>
  <si>
    <t>Without any recent news or financial data provided, it is difficult to provide a comprehensive assessment of Realty Income's investment potential in the Retail REITs industry for the next month. The macroeconomic outlook, including factors such as consumer spending, inflation, and interest rates, would play a crucial role in determining the performance of Retail REITs like Realty Income. Additionally, the company's specific strategies, portfolio composition, and management decisions would be important considerations.
 Given the lack of information, it would be prudent to refrain from assigning a specific score at this time. A more thorough analysis based on the latest available data would be necessary to provide a meaningful investment recommendation.
 Score: N/A</t>
  </si>
  <si>
    <t>Without any recent news or financial data provided, it is difficult to provide a comprehensive assessment of the investment potential of Rollins, Inc. in the Environmental &amp; Facilities Services industry for the next month. The macroeconomic outlook, including factors such as the ongoing geopolitical tensions, the potential impact of the port strike, and the upcoming U.S. presidential election, could all have significant implications for the overall market performance and the specific industry in which Rollins operates. 
 However, in the absence of company-specific information, it would be speculative to assign a score reflecting the potential investment value of Rollins, Inc. at this time. A more thorough analysis of the company's financial health, competitive positioning, and growth prospects would be necessary to provide a meaningful and well-informed investment recommendation.
 Score: N/A</t>
  </si>
  <si>
    <t>Without any recent news or financial data provided, it is difficult to provide a comprehensive assessment of Salesforce's investment potential in the Application Software industry for the next month. The macroeconomic outlook, including factors such as the ongoing geopolitical tensions, the U.S. presidential election, and the Federal Reserve's monetary policy decisions, could have a significant impact on the overall performance of the technology sector and Salesforce's stock price.
 However, given the lack of specific information about the company's current financial standing, product pipeline, and competitive positioning, it would be speculative to assign a definitive score reflecting the potential investment value. The Application Software industry is highly competitive, and Salesforce's ability to maintain its market share and profitability in the face of evolving industry dynamics is crucial for its long-term success.
 Score: N/A</t>
  </si>
  <si>
    <t>Without any recent news or financial data provided, it is difficult to provide a comprehensive assessment of Schlumberger's investment potential in the Oil &amp; Gas Equipment &amp; Services industry for the next month. The macroeconomic outlook, however, suggests some potential headwinds for the industry.
 The escalating conflict in the Middle East, particularly the tensions between Israel and Iran, could lead to increased market volatility and concerns about potential disruptions to global energy supplies. Additionally, the threat of a prolonged port strike poses a risk of renewed inflationary pressures, which could impact consumer spending and the overall economic trajectory.
 Given the lack of specific information about Schlumberger's current performance and position within the industry, it is not possible to assign a reliable investment score. A more thorough analysis of the company's financials, competitive positioning, and management strategy would be necessary to provide a meaningful assessment of its investment value.
 Score: N/A</t>
  </si>
  <si>
    <t>Without any recent news or financial data provided, it is difficult to provide a comprehensive assessment of Sempra's investment potential in the Multi-Utilities industry for the next month. The macroeconomic outlook, including factors such as the ongoing geopolitical tensions, the U.S. presidential election, and the Federal Reserve's monetary policy decisions, could have a significant impact on the overall performance of the utilities sector. However, without access to the company's latest financial statements, operational updates, and industry-specific information, a reliable score cannot be determined.
 Score: N/A</t>
  </si>
  <si>
    <t>Without any recent news or financial data provided, it is difficult to provide a comprehensive assessment of ServiceNow's investment potential in the Systems Software industry for the next month. The macroeconomic outlook, including factors such as the ongoing geopolitical tensions, the U.S. presidential election, and the Federal Reserve's monetary policy decisions, could have a significant impact on the overall performance of the technology sector and ServiceNow's stock price.
 However, given the lack of specific information about the company's current financial standing, product pipeline, and competitive positioning, it would be speculative to assign a definitive score reflecting the potential investment value. A more thorough analysis of ServiceNow's fundamentals, market trends, and industry dynamics would be necessary to provide a meaningful and well-informed investment recommendation.
 Score: N/A</t>
  </si>
  <si>
    <t>Without any recent news or financial data provided, it is difficult to provide a comprehensive assessment of the investment potential for Smurfit WestRock in the Paper &amp; Plastic Packaging Products &amp; Materials industry. The macroeconomic outlook, including factors such as the ongoing global conflicts, the potential impact of the port strike, and the upcoming U.S. presidential election, could all have significant implications for the industry and the company's performance. However, without access to the latest financial statements, market trends, and company-specific information, it would be speculative to assign a specific investment score.
 Score: N/A</t>
  </si>
  <si>
    <t>Without any recent news or financial data provided, it is difficult to assess the potential investment value of Solventum, a company in the Health Care Technology industry. The macroeconomic outlook, however, suggests a mixed environment for the sector.
 The U.S. economy continues to show resilience, with positive employment data, but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
 The technology sector, including AI-related companies, has been a standout performer, and the continued advancements in artificial intelligence are expected to have a profound impact on various industries, including healthcare. However, the escalating conflict in the Middle East and the upcoming 2024 U.S. presidential election could introduce further volatility and uncertainty into the market.
 Without access to Solventum's recent news and financial information, it is challenging to provide a comprehensive assessment of the company's investment potential. A more thorough analysis would be required to determine a meaningful score.
 Score: N/A</t>
  </si>
  <si>
    <t>Without any recent news or financial data provided, it is difficult to provide a comprehensive assessment of Stryker Corporation's investment potential in the Health Care Equipment industry for the next month. The macroeconomic outlook, including factors such as the ongoing geopolitical tensions, the potential impact of the port strike, and the upcoming U.S. presidential election, could all have significant implications for the healthcare sector. However, without the necessary information about Stryker's specific financial performance, market position, and strategic initiatives, a reliable investment score cannot be determined.
 Score: N/A</t>
  </si>
  <si>
    <t>Without any recent news or financial data provided, it is difficult to provide a comprehensive assessment of Sysco's investment potential in the Food Distributors industry for the next month. The macroeconomic outlook, including factors such as the ongoing global conflicts, the potential impact of the port strike, and the upcoming U.S. presidential election, could all have significant implications for the overall industry performance. However, without the specific details about Sysco's current financial standing, market position, and operational dynamics, a reliable investment score cannot be determined.
 Score: N/A</t>
  </si>
  <si>
    <t>Without any recent news or financial data provided, it is difficult to provide a comprehensive assessment of Take-Two Interactive's investment potential in the next month. The company operates in the Interactive Home Entertainment industry, which is heavily influenced by factors such as consumer spending, technological advancements, and industry competition.
 The macroeconomic outlook suggests a mixed picture, with the U.S. economy showing resilience in job growth but also facing challenges in the manufacturing sector and potential supply chain disruptions. These broader economic conditions could impact consumer demand and spending patterns, which are crucial for the success of companies like Take-Two Interactive.
 Additionally, the ongoing geopolitical tensions and the upcoming U.S. presidential election could introduce volatility and uncertainty in the stock market, potentially affecting the performance of companies across various sectors, including the Interactive Home Entertainment industry.
 Without access to the latest financial data and news updates specific to Take-Two Interactive, it is not possible to provide a reliable score reflecting the potential investment value of the company in the next month. A more thorough analysis would require a comprehensive review of the company's financial health, competitive positioning, and industry trends.
 Score: N/A</t>
  </si>
  <si>
    <t>Without any recent news or financial data provided, it is difficult to provide a comprehensive assessment of Teledyne Technologies' investment potential in the Electronic Equipment &amp; Instruments industry for the next month. The macroeconomic outlook, including factors such as the ongoing geopolitical tensions, the U.S. presidential election, and the Federal Reserve's monetary policy decisions, could have a significant impact on the overall performance of the industry and the company. However, without access to the latest financial statements, market trends, and company-specific information, a reliable score cannot be determined.
 Score: N/A</t>
  </si>
  <si>
    <t>Without any recent news or financial data provided, it is difficult to provide a comprehensive assessment of the investment potential of TJX Companies in the Apparel Retail industry for the next month. The macroeconomic outlook, including factors such as consumer spending, inflation, and the overall state of the economy, would be crucial in determining the company's performance and investment value.
 Given the lack of specific information about TJX Companies, a definitive score cannot be assigned. The company's ability to navigate the current market conditions, adapt to changing consumer preferences, and maintain its competitive edge would be key drivers of its future performance.
 Score: N/A</t>
  </si>
  <si>
    <t>Without any recent news or financial data provided, it is difficult to provide a comprehensive assessment of Tractor Supply's investment potential in the next month. The company's performance and outlook would largely depend on the broader economic conditions and trends within the Other Specialty Retail industry.
 The macroeconomic outlook suggests a mixed picture, with the U.S. economy showing resilience in job growth but also facing challenges in the manufacturing sector and potential supply chain disruptions. These factors could impact consumer spending and demand for Tractor Supply's products and services.
 Additionally, the ongoing geopolitical tensions and the upcoming U.S. presidential election could introduce further volatility and uncertainty in the stock market, which could affect Tractor Supply's share price performance.
 Without access to the company's latest financial reports and market positioning, it is not possible to provide a reliable investment score. A more thorough analysis of Tractor Supply's fundamentals, competitive advantages, and growth prospects would be necessary to determine its potential investment value.
 Score: N/A</t>
  </si>
  <si>
    <t>Without any recent news or financial data provided, it is difficult to provide a comprehensive assessment of Trane Technologies' investment potential in the Building Products industry for the next month. The macroeconomic outlook, including factors such as the ongoing geopolitical tensions, the potential impact of the port strike, and the upcoming U.S. presidential election, could all have significant implications for the overall market performance and the specific industry in which Trane Technologies operates.
 However, given the lack of company-specific information, it would be speculative to assign a score reflecting the potential investment value of Trane Technologies. A more thorough analysis of the company's financial health, competitive positioning, and growth prospects would be necessary to make a well-informed investment recommendation.
 Score: N/A</t>
  </si>
  <si>
    <t>Without any recent news or financial data provided, it is difficult to provide a comprehensive assessment of Trimble Inc.'s investment potential in the Electronic Equipment &amp; Instruments industry for the next month. The macroeconomic outlook, including factors such as the ongoing geopolitical tensions, the U.S. presidential election, and the Federal Reserve's monetary policy decisions, could have a significant impact on the overall performance of the industry and the company. However, without access to the latest financial statements, market trends, and industry-specific information, a reliable score cannot be determined.
 Score: N/A</t>
  </si>
  <si>
    <t>Without any recent news or financial data provided, it is difficult to provide a comprehensive assessment of the investment potential of Tyson Foods in the Packaged Foods &amp; Meats industry for the next month. The macroeconomic outlook, including factors such as consumer spending, inflation, and the overall state of the economy, would be crucial in determining the company's performance and investment value. Additionally, industry-specific trends, competitive positioning, and management's strategic initiatives would also play a significant role in evaluating the company's prospects.
 Given the lack of information, it would be prudent to refrain from assigning a specific score at this time. A more thorough analysis based on the latest available data would be necessary to provide a meaningful and well-informed investment recommendation.
 Score: N/A</t>
  </si>
  <si>
    <t>Without any recent news or financial data provided, it is difficult to provide a comprehensive assessment of the investment potential of UDR, Inc. in the Multi-Family Residential REITs industry for the next month.
 Economic Outlook:
 The overall economic outlook for the U.S. remains mixed, with the private sector adding more jobs than expected in September, but the manufacturing sector contracting for the sixth straight month. Additionally, the threat of a prolonged port strike poses a risk of renewed inflationary pressures, which could impact consumer spending and the overall economic trajectory.
 Sector Outlook:
 The Multi-Family Residential REITs industry is closely tied to the broader economic conditions, as it is influenced by factors such as employment, consumer confidence, and housing demand. Without access to the latest financial and operational data for UDR, Inc., it is challenging to determine the company's specific positioning and performance within the industry.
 Conclusion:
 Due to the lack of recent news and financial information, a thorough evaluation of UDR, Inc.'s investment potential cannot be provided. A more comprehensive analysis would require access to the company's latest financial statements, market positioning, and industry-specific data.
 Score: N/A</t>
  </si>
  <si>
    <t>Without any recent news or financial data provided, it is difficult to provide a comprehensive assessment of the investment potential of United Rentals, a company in the Trading Companies &amp; Distributors industry. 
 Economic Outlook:
 The macroeconomic environment remains volatile, with ongoing global conflicts, concerns about a potential recession, and mixed economic indicators.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
 Given the lack of specific information about United Rentals, it is not possible to provide a reliable score reflecting the potential investment value of the company for the next month. A more thorough analysis would require access to the latest financial statements, industry trends, and company-specific news and developments.
 Score: N/A</t>
  </si>
  <si>
    <t>Without any recent news or financial data provided, it is difficult to provide a comprehensive assessment of Verisk Analytics' investment potential in the Research &amp; Consulting Services industry for the next month. The macroeconomic outlook, including factors such as the ongoing geopolitical tensions, the U.S. presidential election, and the Federal Reserve's monetary policy decisions, could have a significant impact on the overall market performance and the performance of companies in the research and consulting services sector.
 However, given the lack of specific information about Verisk Analytics, it would be speculative to assign a score reflecting the potential investment value of the company. A more thorough analysis of the company's financial health, competitive positioning, and growth prospects would be necessary to provide a meaningful investment recommendation.
 Score: N/A</t>
  </si>
  <si>
    <t>Without any recent news or financial data provided, it is challenging to provide a comprehensive assessment of Walmart's investment potential in the Consumer Staples Merchandise Retail industry for the next month. The macroeconomic outlook, including factors such as consumer spending, inflation, and the overall economic conditions, would be crucial in determining the company's performance and investment value.
 Given the lack of specific information about Walmart's current situation, it would be prudent to refrain from assigning a definitive score at this time. A more thorough analysis based on the latest financial reports, industry trends, and market dynamics would be necessary to make an informed investment recommendation.
 Score: N/A</t>
  </si>
  <si>
    <t>Without any recent news or financial data provided, it is difficult to provide a comprehensive assessment of the investment potential for Warner Bros. Discovery in the Broadcasting industry. The macroeconomic outlook, including factors such as the ongoing geopolitical tensions, the U.S. presidential election, and the performance of the overall stock market, could have a significant impact on the company's performance in the near future. However, without access to the latest financial statements, market trends, and industry-specific information, a reliable investment score cannot be determined.
 Score: N/A</t>
  </si>
  <si>
    <t>Without any recent news or financial data provided, it is difficult to provide a comprehensive assessment of the investment potential of Williams Companies in the Oil &amp; Gas Storage &amp; Transportation industry for the next month.
 Economic Outlook:
 The macroeconomic environment remains uncertain, with ongoing global conflicts, concerns about a potential recession, and risks related to the manufacturing sector and supply chain disruptions. These factors could have a significant impact on the performance of companies in the oil and gas industry.
 Conclusion:
 Due to the lack of recent information about Williams Companies, it is not possible to assign a reliable investment score for the next month. A more thorough analysis would be required, taking into account the company's financial health, competitive positioning, and the overall industry dynamics, to provide a meaningful assessment of its investment potential.
 Score: N/A</t>
  </si>
  <si>
    <t>Without any recent news or financial data provided, it is difficult to provide a comprehensive assessment of Wynn Resorts' investment potential in the Casinos &amp; Gaming industry for the next month. The macroeconomic outlook, including factors such as consumer spending, tourism trends, and regulatory changes, would be crucial in evaluating the company's performance and growth prospects.
 Given the lack of specific information about Wynn Resorts, a definitive investment score cannot be assigned. The company's exposure to the broader Casinos &amp; Gaming industry and its ability to navigate the current economic and geopolitical landscape would be key considerations in determining its investment value.
 Score: N/A</t>
  </si>
  <si>
    <t>Recent News:
 The healthcare equipment and supplies sector has faced some challenges in recent weeks due to the impact of Hurricane Helene on the Florida region, a key hub for medical device manufacturing. The storm has disrupted supply chains and production, leading to concerns about potential shortages of critical medical supplies. Additionally, the ongoing geopolitical tensions in the Middle East have raised concerns about the potential for disruptions to global trade, which could further impact the sector.
 Economic Outlook:
 Despite these short-term headwinds, the overall economic outlook for the healthcare equipment and supplies sector remains positive. The aging population, the increasing prevalence of chronic diseases, and the continued advancements in medical technology are expected to drive sustained demand for healthcare products and services. Furthermore, the strong employment data and the resilience of the U.S. economy suggest that consumer spending on healthcare-related products and services is likely to remain robust.
 Political Challenges:
 The upcoming 2024 U.S. presidential election could introduce some uncertainty into the healthcare sector, as the political landscape and potential policy changes could impact the regulatory environment and the reimbursement landscape. However, the sector has historically demonstrated its ability to adapt to changes in the political landscape and continue to deliver value to patients and shareholders.
 Recent Technology Developments:
 The healthcare equipment and supplies sector has been at the forefront of technological advancements, with the integration of artificial intelligence (AI) and other emerging technologies driving innovation and improving patient outcomes. The growing demand for personalized and data-driven healthcare solutions is expected to continue to benefit companies in this sector that are able to successfully leverage these technologies.</t>
  </si>
  <si>
    <t>Recent News:
 The technology hardware, storage, and peripherals sector has been a standout performer in the recent market volatility. The surge in Nvidia's market valuation, now the third-largest publicly-traded company, has been a significant driver of the sector's growth. Additionally, the continued advancements in artificial intelligence (AI) have fueled investor optimism towards the industry.
 Economic Outlook:
 The resilience of the U.S. economy, as evidenced by the strong private sector job growth, provides a favorable backdrop for the technology hardware, storage, and peripherals sector. The sector's performance is closely tied to the overall health of the economy, as consumer and business demand for these products and services are crucial drivers of growth.
 Political Challenges:
 The upcoming 2024 U.S. presidential election and the potential return of former President Trump as the Republican candidate could introduce uncertainty and volatility into the market. However, the proactive role of the FTC under chair Lina Khan, which has blocked several mergers and acquisitions, could also present both challenges and opportunities for the sector.
 Recent Technology Developments:
 The continued advancements in artificial intelligence (AI) have been a significant catalyst for the technology hardware, storage, and peripherals sector. The integration of AI into various products and services has the potential to drive further innovation and growth within the industry.</t>
  </si>
  <si>
    <t>Recent News:
 The semiconductor industry has been a standout performer in the recent market volatility, with companies like Nvidia continuing to see their market valuations surge. The integration of artificial intelligence (AI) technology into various industries has been a driving force behind the sector's growth, as the demand for advanced semiconductor chips and equipment remains strong.
 Economic Outlook:
 The semiconductor industry is closely tied to the overall health of the global economy, as the demand for electronic devices and equipment is a key driver of semiconductor sales. Despite the contraction in the manufacturing sector, the continued resilience of the U.S. economy and the positive employment data suggest that the semiconductor industry may be able to weather the current economic challenges. However, the threat of a prolonged port strike poses a risk of renewed inflationary pressures, which could impact consumer spending and the demand for semiconductor products.
 Political Challenges:
 The upcoming 2024 U.S. presidential election and the escalating conflict in the Middle East have the potential to introduce further volatility and uncertainty into the semiconductor market. The political landscape and its impact on trade policies, global supply chains, and consumer confidence could significantly influence the performance of the semiconductor sector.
 Recent Technology Developments:
 The semiconductor industry has been at the forefront of technological advancements, with the continued growth of the AI industry being a significant driver of innovation. The integration of AI into various applications, from data centers to autonomous vehicles, has created a strong demand for more powerful and efficient semiconductor chips. This trend is expected to continue, as the semiconductor industry plays a crucial role in enabling the next generation of technological breakthroughs.</t>
  </si>
  <si>
    <t>Recent News:
 The escalating conflict between Hezbollah and Israel, including cyberattacks, assassinations, and airstrikes, has led to a significant increase in tensions in the Middle East. This could potentially impact the overall US stock market, including the IT services sector, due to concerns about regional instability and the possibility of further escalation. Additionally, the landfall of Hurricane Helene in Florida has caused significant damage and loss of life, which could negatively affect the US stock market, particularly sectors related to insurance, tourism, and infrastructure.
 Economic Outlook:
 The US economy continues to show resilience, with the private sector adding 143,000 jobs in September, exceeding expectations. This positive employment data suggests that the economy remains on a solid footing, despite ongoing global tensions and concerns about a potential recession. However, the manufacturing sector has contracted for the sixth straight month, indicating some softness in the industrial segment. The threat of a prolonged port strike also poses a risk of renewed inflationary pressures, which could impact consumer spending and the overall economic trajectory.
 Political Challenges:
 The upcoming 2024 US presidential election is a significant political event that is likely to influence the stock market, including the IT services sector, in the coming months.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which includes the IT services industry. Investors have shown a strong appetite for AI-related stocks, as the industry is expected to experience significant growth in the coming years. The integration of AI into various industries, from healthcare to finance, is likely to have a profound impact on the IT services sector, as companies that successfully leverage this technology could see substantial gains.</t>
  </si>
  <si>
    <t>Recent News:
 The software sector has been a standout performer in the recent market volatility, with several tech companies, including industry leaders like Nvidia, seeing their market valuations surge. Investors have shown a strong appetite for AI-related software stocks, as the industry is expected to experience significant growth in the coming years. The integration of AI into various industries, from healthcare to finance, is likely to have a profound impact on the software sector, as companies that successfully leverage this technology could see substantial gains.
 Economic Outlook:
 The U.S. economy's resilience, as evidenced by the positive employment data, suggests that the demand for software solutions is likely to remain strong. However, the manufacturing sector's contraction and the threat of a prolonged port strike pose risks to the overall economic outlook, which could potentially impact the software industry's growth trajectory.
 Political Challenges:
 The upcoming 2024 U.S. presidential election is a significant political event that is likely to influence the software sector in the coming months.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towards the software industry.
 Recent Technology Developments:
 The continued advancements in artificial intelligence (AI) have been a driving force behind the recent surge in the software sector. The integration of AI into various software applications, from cloud computing to cybersecurity, is expected to drive further innovation and growth in the industry. Companies that are at the forefront of AI-powered software solutions are likely to see increased investor interest and potential for long-term success.</t>
  </si>
  <si>
    <t>Recent News:
 The independent power and renewable electricity producers sector has been in the spotlight recently due to the escalating conflict in the Middle East and the potential impact on global energy supplies. The landfall of Hurricane Helene in Florida has also raised concerns about the sector's resilience to natural disasters. Additionally, the threat of a prolonged port strike poses a risk of renewed inflationary pressures, which could affect the sector's operating costs.
 Economic Outlook:
 The overall economic outlook for the independent power and renewable electricity producers sector remains positive, as the demand for clean energy continues to grow globally. The U.S. economy's resilience, as evidenced by the strong employment data, suggests that the sector may benefit from sustained consumer and business demand. However, the contraction in the manufacturing sector and the potential disruptions to global supply chains could pose challenges to the sector's growth.
 Political Challenges:
 The upcoming 2024 U.S. presidential election and the potential return of former President Trump as the Republican candidate could introduce political uncertainty and impact the sector's regulatory environment. Additionally, the escalating conflict in the Middle East and the potential disruptions to global energy supplies could lead to increased government intervention and policy changes, which could affect the sector's operations.
 Recent Technology Developments:
 The independent power and renewable electricity producers sector has been at the forefront of technological advancements, particularly in the areas of renewable energy generation, energy storage, and grid modernization. The continued growth of the AI industry is expected to drive further innovation and efficiency improvements in the sector, potentially enhancing its competitiveness and profitability.</t>
  </si>
  <si>
    <t>Recent News:
 The healthcare technology sector has been closely watched in recent months, as the industry continues to navigate the challenges posed by the ongoing geopolitical tensions and economic uncertainties. The escalating conflict in the Middle East, particularly the tensions between Israel and Iran, has raised concerns about potential disruptions to global supply chains, which could impact the availability of critical medical equipment and supplies. Additionally, the threat of a prolonged port strike in the United States has the potential to exacerbate these supply chain issues, further straining the healthcare sector.
 Economic Outlook:
 Despite these headwinds, the healthcare technology sector has demonstrated resilience, with several companies in the industry reporting strong financial results. The continued advancements in artificial intelligence (AI) and the growing adoption of digital health solutions have been key drivers of growth in this sector. As the U.S. economy remains relatively strong, with the private sector adding more jobs than expected in September, the demand for innovative healthcare technologies is expected to remain robust.
 Political Challenges:
 The upcoming 2024 U.S. presidential election is a significant political event that could impact the healthcare technology sector. The potential return of former President Trump as the Republican candidate could introduce uncertainty, as his administration's policies towards the healthcare industry may differ from the current administration's approach. Additionally, the ongoing geopolitical tensions and the potential for further escalation in the Middle East could have broader implications for the global economy, which could in turn affect the healthcare technology sector.
 Recent Technology Developments:
 The healthcare technology sector has been at the forefront of the AI revolution, with numerous companies leveraging this transformative technology to develop innovative solutions. From predictive analytics in disease management to robotic-assisted surgical procedures, the integration of AI has the potential to revolutionize the way healthcare is delivered. Furthermore, the growing adoption of digital health solutions, such as telemedicine and remote patient monitoring, has been accelerated by the COVID-19 pandemic and is expected to continue driving growth in the sector.</t>
  </si>
  <si>
    <t>Recent News:
 The life sciences tools and services sector has been impacted by the recent geopolitical tensions and natural disasters. The escalating conflict between Hezbollah and Israel, as well as the landfall of Hurricane Helene in Florida, have raised concerns about potential disruptions to global supply chains and research activities. However, the sector has also benefited from the continued advancements in emerging technologies, particularly in the field of artificial intelligence (AI).
 Economic Outlook:
 The overall U.S. economy remains resilient, with the private sector adding more jobs than expected in September. This positive employment data suggests that the economy is on a solid footing, which could bode well for the life sciences tools and services sector. However, the manufacturing sector's contraction and the threat of a prolonged port strike pose risks to the sector's growth, as these factors could impact the availability of critical supplies and equipment.
 Political Challenges:
 The upcoming 2024 U.S. presidential election is a significant political event that could influence the life sciences tools and services sector. The potential return of former President Trump as the Republican candidate could introduce uncertainty and volatility, as his administration's policies towards the industry may differ from the current administration's approach.
 Recent Technology Developments:
 The life sciences tools and services sector has been at the forefront of technological advancements, particularly in the field of AI. The integration of AI into various aspects of the industry, from drug discovery to clinical trials, has the potential to drive significant growth and efficiency improvements. Investors have shown a strong appetite for AI-related stocks, and the continued development of these technologies could benefit the sector in the long run.</t>
  </si>
  <si>
    <t>Recent News:
 The wireless telecommunication services sector has been impacted by the ongoing geopolitical tensions in the Middle East. The escalating conflict between Hezbollah and Israel, including cyberattacks and airstrikes, has raised concerns about potential disruptions to global communication networks. Additionally, the landfall of Hurricane Helene in Florida has caused significant damage, which could temporarily disrupt service in affected areas.
 Economic Outlook:
 Despite the global challenges, the overall economic outlook for the wireless telecommunication services sector remains relatively positive. The U.S. economy continues to show resilience, with the private sector adding more jobs than expected in September. This suggests that consumer demand for wireless services is likely to remain strong. However, the threat of a prolonged port strike poses a risk of renewed inflationary pressures, which could impact consumer spending and potentially affect the sector's growth.
 Political Challenges:
 The upcoming 2024 U.S. presidential election is a significant political event that could influence the wireless telecommunication services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towards the sector.
 Recent Technology Developments:
 The wireless telecommunication services sector has been at the forefront of technological advancements, particularly in the areas of 5G and IoT (Internet of Things) technologies. The continued rollout of 5G networks and the increasing adoption of IoT devices have the potential to drive growth in the sector, as consumers and businesses demand faster and more reliable wireless connectivity.</t>
  </si>
  <si>
    <t>Recent News:
 The escalating conflict between Hezbollah and Israel, including cyberattacks, assassinations, and airstrikes, has led to a significant increase in tensions in the Middle East. This could potentially impact the overall US stock market, including the interactive media and services sector, due to concerns about regional instability and the possibility of further escalation. Additionally, the landfall of Hurricane Helene in Florida has caused significant damage and loss of life, which could negatively affect sectors related to advertising and digital services.
 Economic Outlook:
 The US economy continues to show resilience, with the private sector adding more jobs than expected in September. This positive employment data suggests that the economy remains on a solid footing, which could benefit the interactive media and services sector. However, the manufacturing sector's contraction and the threat of a prolonged port strike pose risks to the overall economic outlook, which could impact consumer spending and the demand for digital services.
 Political Challenges:
 The upcoming 2024 US presidential election is a significant political event that is likely to influence the interactive media and services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performance of companies in the sector.
 Recent Technology Developments:
 The continued advancements in artificial intelligence (AI) have been a driving force behind the recent surge in the technology sector, which includes many interactive media and services companies. Investors have shown a strong appetite for AI-related stocks, as the industry is expected to experience significant growth in the coming years. The integration of AI into various aspects of the interactive media and services sector, such as personalized content delivery and targeted advertising, is likely to have a profound impact on the industry's performance.</t>
  </si>
  <si>
    <t>Recent News:
 The biotechnology sector has been in the spotlight recently due to the ongoing geopolitical tensions and their potential impact on global supply chains. The escalating conflict between Israel and Iran, as well as the threat of a prolonged port strike in the United States, have raised concerns about the availability and distribution of critical medical supplies and pharmaceuticals. Additionally, the 2024 U.S. presidential election has introduced an element of uncertainty, as the potential policy changes under a new administration could affect the regulatory landscape for the biotechnology industry.
 Economic Outlook:
 Despite the macroeconomic challenges, the biotechnology sector has demonstrated resilience. The continued advancements in medical research and the development of innovative therapies have driven growth in the industry. The strong demand for healthcare services and the aging global population are expected to provide a tailwind for the sector's long-term performance. However, the potential disruptions to supply chains and the uncertainty surrounding the regulatory environment could pose risks to the sector's short-term outlook.
 Political Challenges:
 The upcoming 2024 U.S. presidential election and the ongoing geopolitical tensions in the Middle East have the potential to introduce significant political challenges for the biotechnology sector. Changes in healthcare policies, regulatory frameworks, and trade agreements could impact the industry's ability to operate efficiently and profitably. Additionally, the threat of disruptions to global supply chains could hinder the sector's ability to meet the growing demand for medical products and services.
 Recent Technology Developments:
 The biotechnology sector has been at the forefront of technological advancements, with significant progress in areas such as gene editing, personalized medicine, and the use of artificial intelligence (AI) in drug discovery and development. These innovations have the potential to revolutionize the industry, leading to more effective treatments, improved patient outcomes, and increased efficiency in the drug development process. The continued investment in research and development, as well as the successful integration of these technologies, could provide a competitive advantage for companies in the biotechnology sector.</t>
  </si>
  <si>
    <t>Recent News:
 The pharmaceutical sector has faced a mixed landscape in recent weeks. While the industry has continued to benefit from the ongoing demand for healthcare products and services, it has also grappled with the potential impact of the escalating geopolitical tensions in the Middle East. The threat of disruptions to global supply chains and the possibility of increased regulatory scrutiny have introduced some uncertainty into the sector.
 Economic Outlook:
 The pharmaceutical industry's economic outlook remains relatively positive, driven by the aging global population and the continued need for innovative medical treatments. The sector has demonstrated resilience in the face of economic challenges, with many companies reporting strong financial results. However, the potential for increased inflationary pressures and the risk of a prolonged port strike could pose challenges to the industry's profitability in the short to medium term.
 Political Challenges:
 The upcoming 2024 U.S. presidential election has the potential to introduce significant political uncertainty for the pharmaceutical sector. Depending on the outcome, the industry may face changes in regulatory policies, drug pricing, and healthcare reform initiatives. Additionally, the escalating conflict in the Middle East could lead to disruptions in global supply chains, which could impact the sector's ability to meet the growing demand for its products.
 Recent Technology Developments:
 The pharmaceutical industry has been at the forefront of technological advancements, with a focus on developing innovative treatments and improving the efficiency of drug discovery and development processes. The integration of artificial intelligence (AI) and machine learning into various aspects of the industry has the potential to drive significant improvements in areas such as drug design, clinical trials, and patient outcomes.</t>
  </si>
  <si>
    <t>Recent News:
 The escalating conflict between Hezbollah and Israel, including cyberattacks, assassinations, and airstrikes, has led to a significant increase in tensions in the Middle East. This regional instability could potentially impact the overall US stock market, including the performance of specialized REITs, due to concerns about further escalation and disruptions to global supply chains. Additionally, the landfall of Hurricane Helene, a category four hurricane, in Florida has caused significant damage and loss of life, which could negatively affect specialized REITs with exposure to the affected regions.
 Economic Outlook:
 The U.S. economy continues to show resilience, with the private sector adding 143,000 jobs in September, exceeding expectations. This positive employment data suggests that the economy remains on a solid footing, which could benefit specialized REITs that cater to the growing demand for commercial and residential properties. However, the manufacturing sector's contraction and the threat of a prolonged port strike pose risks to the overall economic trajectory, which could impact the performance of specialized REITs.
 Political Challenges:
 The upcoming 2024 U.S. presidential election is a significant political event that is likely to influence the stock market, including the specialized REIT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performance of specialized REITs.
 Recent Technology Developments:
 The continued advancements in artificial intelligence (AI) have been a driving force behind the recent surge in the technology sector. While the specialized REIT sector may not be directly impacted by these technological developments, the integration of AI into various industries, from healthcare to finance, could indirectly influence the demand for commercial and residential properties, which could benefit specialized REITs.</t>
  </si>
  <si>
    <t>Recent News:
 The professional services sector has been impacted by the ongoing geopolitical tensions and economic uncertainties. The escalating conflict between Hezbollah and Israel, as well as the potential disruptions from the Hurricane Helene and the Israel-Lebanon conflict, have raised concerns about the sector's ability to maintain its growth trajectory. Additionally, the threat of a prolonged port strike poses a risk of renewed inflationary pressures, which could affect the demand for professional services.
 Economic Outlook:
 Despite the mixed economic data, the professional services sector has shown resilience, with the private sector adding more jobs than expected in September. However, the contraction in the manufacturing sector and the potential impact of the port strike could lead to a slowdown in demand for professional services, particularly in areas such as consulting, legal, and accounting. The sector's performance will largely depend on the overall economic conditions and the ability of businesses to navigate the current challenges.
 Political Challenges:
 The upcoming 2024 U.S. presidential election is a significant political event that could impact the professional services sector. The potential return of former President Trump as the Republican candidate could introduce further uncertainty and polarization, which could affect investor sentiment and the demand for professional services. Additionally, the proactive role of the FTC under chair Lina Khan in blocking mergers and acquisitions could impact the sector's growth opportunities.
 Recent Technology Developments:
 The integration of emerging technologies, such as artificial intelligence (AI), into the professional services sector has been a key driver of growth. Companies that successfully leverage AI to enhance their service offerings and improve efficiency could see significant gains in the market. The continued advancements in AI and the increasing adoption of these technologies across various industries are likely to have a positive impact on the professional services sector in the long term.</t>
  </si>
  <si>
    <t>Recent News:
 The escalating conflict between Hezbollah and Israel, including cyberattacks, assassinations, and airstrikes, has led to a significant increase in tensions in the Middle East. This could potentially impact the overall US stock market, including the commercial services and supplies sector, due to concerns about regional instability and the possibility of further escalation. Additionally, the landfall of Hurricane Helene, a category four hurricane, in Florida has caused significant damage and loss of life, which could negatively affect the commercial services and supplies sector, particularly those related to insurance, tourism, and infrastructure.
 Economic Outlook:
 The U.S. economy continues to show resilience, with the private sector adding 143,000 jobs in September, exceeding expectations. This positive employment data suggests that the economy remains on a solid footing, which could benefit the commercial services and supplies sector. However, the manufacturing sector has contracted for the sixth straight month, indicating some softness in the industrial segment, which could have a ripple effect on the commercial services and supplies industry.
 Political Challenges:
 The upcoming 2024 U.S. presidential election is a significant political event that is likely to influence the stock market, including the commercial services and supplies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commercial services and supplies sector.
 Recent Technology Developments:
 The continued advancements in artificial intelligence (AI) have been a driving force behind the recent surge in the technology sector. While the commercial services and supplies sector may not be as directly impacted by AI developments as other industries, the integration of AI into various industries, from healthcare to finance, could have indirect benefits for the commercial services and supplies sector as it supports the overall economic growth and demand for their services.</t>
  </si>
  <si>
    <t>Recent News:
 The escalating conflict between Hezbollah and Israel, including cyberattacks, assassinations, and airstrikes, has led to a significant increase in tensions in the Middle East. This could potentially impact the machinery sector due to concerns about regional instability and the possibility of further escalation. Additionally, the landfall of Hurricane Helene, a category four hurricane, in Florida has caused significant damage and loss of life, which could negatively affect the machinery sector, particularly those companies involved in infrastructure and construction.
 Economic Outlook:
 The U.S. economy continues to show resilience, with the private sector adding 143,000 jobs in September, exceeding expectations. This positive employment data suggests that the economy remains on a solid footing, which could benefit the machinery sector. However, the manufacturing sector has contracted for the sixth straight month, indicating some softness in the industrial segment, which could pose a challenge for machinery companies.
 Political Challenges:
 The upcoming 2024 U.S. presidential election is a significant political event that is likely to influence the machinery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machinery sector.
 Recent Technology Developments:
 The continued advancements in artificial intelligence (AI) have been a driving force behind the recent surge in the technology sector. While the machinery sector may not be as directly impacted by AI as some other industries, the integration of AI-powered automation and predictive maintenance technologies could provide opportunities for machinery companies to improve efficiency and productivity, which could positively impact their financial performance.</t>
  </si>
  <si>
    <t>Recent News:
 The escalating conflict between Hezbollah and Israel, including cyberattacks, assassinations, and airstrikes, has led to a significant increase in tensions in the Middle East. This could potentially impact the overall US stock market, including the electrical equipment sector, due to concerns about regional instability and the possibility of further escalation. Additionally, the landfall of Hurricane Helene, a category four hurricane, in Florida has caused significant damage and loss of life, which could negatively affect the electrical equipment sector related to infrastructure and power grid repairs.
 Economic Outlook:
 The U.S. economy continues to show resilience, with the private sector adding 143,000 jobs in September, exceeding expectations. This positive employment data suggests that the economy remains on a solid footing, which could benefit the electrical equipment sector. However, the manufacturing sector has contracted for the sixth straight month, indicating some softness in the industrial segment, which could impact demand for electrical equipment.
 Political Challenges:
 The upcoming 2024 U.S. presidential election is a significant political event that is likely to influence the stock market, including the electrical equipment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electrical equipment sector.
 Recent Technology Developments:
 The continued advancements in artificial intelligence (AI) have been a driving force behind the recent surge in the technology sector. While the electrical equipment sector may not be as directly impacted by AI developments as other industries, the integration of AI into various industries, including infrastructure and power grid management, could have a positive impact on the sector in the long term.</t>
  </si>
  <si>
    <t>Recent News:
 The landfall of Hurricane Helene in Florida has caused significant damage to infrastructure, highlighting the critical role of the construction and engineering sector in rebuilding and restoring affected areas. Additionally, the threat of a prolonged port strike poses a risk of disrupting the supply of materials and equipment necessary for construction projects, potentially impacting the sector's performance.
 Economic Outlook:
 The construction and engineering sector is closely tied to the overall health of the economy. The positive employment data, with the private sector adding 143,000 jobs in September, suggests that there may be continued demand for construction and infrastructure projects. However, the contraction in the manufacturing sector could potentially impact the availability of materials and equipment, which could slow down construction activity.
 Political Challenges:
 The upcoming 2024 U.S. presidential election and the potential return of former President Trump as the Republican candidate could introduce uncertainty and volatility into the market, which could impact investment decisions in the construction and engineering sector. Additionally, the escalating conflict in the Middle East and its potential impact on global energy supplies could also pose challenges for the sector.
 Recent Technology Developments:
 The integration of emerging technologies, such as artificial intelligence (AI) and automation, into the construction and engineering sector has the potential to drive efficiency, improve project management, and enhance the overall productivity of the industry. These advancements could provide a competitive advantage for companies in the sector that are able to effectively leverage these technologies.</t>
  </si>
  <si>
    <t>Recent News:
 The escalating conflict in the Middle East, particularly the tensions between Israel and Iran, has the potential to impact global energy supplies and disrupt shipping routes in the Red Sea. This could lead to increased demand for water utilities, as the disruption of energy and transportation networks may necessitate a greater reliance on local water sources. Additionally, the landfall of Hurricane Helene in Florida has caused significant damage, which could increase the need for water infrastructure repairs and maintenance.
 Economic Outlook:
 The U.S. economy's resilience, as evidenced by the strong private sector job growth, suggests that the demand for water utilities is likely to remain stable. However, the contraction in the manufacturing sector and the threat of a prolonged port strike pose risks to the overall economic outlook, which could indirectly affect the water utilities sector.
 Political Challenges:
 The upcoming 2024 U.S. presidential election introduces an element of uncertainty, as the potential return of former President Trump or the election of a new Democratic administration could lead to changes in regulatory policies and infrastructure investment priorities. This political landscape may impact the water utilities sector's long-term growth prospects.
 Recent Technology Developments:
 The water utilities sector has been exploring the integration of emerging technologies, such as AI and smart water management systems, to improve efficiency, reduce water waste, and enhance customer service. These advancements could help water utilities companies maintain their competitiveness and adapt to changing market conditions.</t>
  </si>
  <si>
    <t>Recent News:
 The escalating conflict between Hezbollah and Israel, including cyberattacks, assassinations, and airstrikes, has led to a significant increase in tensions in the Middle East. This could potentially impact the overall US stock market, including the multi-utilities sector, due to concerns about regional instability and the possibility of further escalation. Additionally, the landfall of Hurricane Helene, a category four hurricane, in Florida has caused significant damage and loss of life, which could negatively affect the multi-utilities sector, particularly companies involved in electricity, gas, and water distribution.
 Economic Outlook:
 The U.S. economy continues to show resilience, with the private sector adding 143,000 jobs in September, exceeding expectations. This positive employment data suggests that the economy remains on a solid footing, which could benefit the multi-utilities sector. However, the manufacturing sector has contracted for the sixth straight month, indicating some softness in the industrial segment, which could impact the demand for utilities services. Additionally, the threat of a prolonged port strike poses a risk of renewed inflationary pressures, which could impact consumer spending and the overall economic trajectory, potentially affecting the multi-utilities sector.
 Political Challenges:
 The upcoming 2024 U.S. presidential election is a significant political event that is likely to influence the stock market, including the multi-utilities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multi-utilities sector.
 Recent Technology Developments:
 The continued advancements in artificial intelligence (AI) have been a driving force behind the recent surge in the technology sector. While the multi-utilities sector may not be as directly impacted by AI developments as other industries, the integration of AI into various aspects of utility operations, such as grid management and customer service, could potentially improve efficiency and cost-effectiveness, which could benefit the sector in the long run.</t>
  </si>
  <si>
    <t>Recent News:
 The escalating conflict between Hezbollah and Israel, including cyberattacks, assassinations, and airstrikes, has led to a significant increase in tensions in the Middle East. This regional instability has raised concerns about potential disruptions to global energy supplies, which could impact the electric utilities sector. Additionally, the landfall of Hurricane Helene, a category four hurricane, in Florida has caused significant damage and loss of life, potentially affecting the operations and infrastructure of electric utilities in the affected region.
 Economic Outlook:
 The U.S. economy continues to show resilience, with the private sector adding 143,000 jobs in September, exceeding expectations. This positive employment data suggests that the economy remains on a solid footing, which could support the demand for electricity and the overall performance of the electric utilities sector. However, the threat of a prolonged port strike poses a risk of renewed inflationary pressures, which could impact consumer spending and the profitability of electric utilities.
 Political Challenges:
 The upcoming 2024 U.S. presidential election is a significant political event that could influence the electric utilities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the regulatory environment for the electric utilities sector.
 Recent Technology Developments:
 The continued advancements in artificial intelligence (AI) have the potential to impact the electric utilities sector, as companies in this industry could leverage AI to optimize their operations, improve grid management, and enhance customer service. The integration of AI-powered technologies into the electric utilities sector could lead to increased efficiency, cost savings, and improved reliability, which could benefit the overall performance of the industry.</t>
  </si>
  <si>
    <t>Recent News:
 The entertainment sector has faced a mixed landscape in recent weeks. The escalating conflict between Hezbollah and Israel, as well as the landfall of Hurricane Helene in Florida, have raised concerns about potential disruptions to the industry. The Israel Defense Forces' invasion of southern Lebanon and Iran's retaliatory missile attacks on Israel have the potential to further exacerbate regional tensions, which could impact global travel and tourism, a crucial component of the entertainment sector.
 Economic Outlook:
 Despite the geopolitical challenges, the overall U.S. economy remains resilient, with the private sector adding more jobs than expected in September. This positive employment data suggests that consumer spending, a key driver of the entertainment industry, may remain relatively strong. However, the manufacturing sector's contraction and the threat of a prolonged port strike pose risks to the broader economic outlook, which could indirectly affect the entertainment sector.
 Political Challenges:
 The upcoming 2024 U.S. presidential election is a significant political event that could influence the entertainment industry. The decision by President Biden to not seek re-election and endorse Vice President Kamala Harris as the Democratic nominee, as well as the potential return of former President Trump as the Republican candidate, could introduce further uncertainty and polarization, potentially impacting investor sentiment and consumer confidence.
 Recent Technology Developments:
 The entertainment sector has been increasingly leveraging emerging technologies, such as artificial intelligence (AI), to enhance the consumer experience and drive innovation. The continued advancements in AI are expected to have a positive impact on the industry, as companies integrate these technologies into their content creation, distribution, and marketing strategies.</t>
  </si>
  <si>
    <t>Recent News:
 The escalating conflict between Hezbollah and Israel, including cyberattacks, assassinations, and airstrikes, has led to a significant increase in tensions in the Middle East. This regional instability could potentially impact the media sector, as it may disrupt global news coverage and advertising revenue. Additionally, the landfall of Hurricane Helene in Florida has caused significant damage and loss of life, which could negatively affect media companies with operations or investments in the affected areas.
 Economic Outlook:
 The U.S. economy continues to show resilience, with the private sector adding 143,000 jobs in September. This positive employment data suggests that the economy remains on a solid footing, which could benefit the media sector through increased consumer spending and advertising demand. However, the manufacturing sector's contraction and the threat of a prolonged port strike pose risks to the overall economic outlook, which could indirectly impact the media industry.
 Political Challenges:
 The upcoming 2024 U.S. presidential election is a significant political event that is likely to influence the media sector. The decision by President Biden to not seek re-election and endorse Vice President Kamala Harris as the Democratic nominee, as well as the potential return of former President Trump as the Republican candidate, could further polarize the political landscape and impact media coverage and advertising.
 Recent Technology Developments:
 The continued advancements in artificial intelligence (AI) have been a driving force behind the recent surge in the technology sector. While the media sector may not be as directly impacted by AI as other industries, the integration of AI-powered tools for content creation, personalization, and distribution could provide opportunities for media companies to enhance their operations and competitiveness.</t>
  </si>
  <si>
    <t>Recent News:
 The textile, apparel, and luxury goods sector has faced a mixed outlook in recent months. The landfall of Hurricane Helene in Florida has caused significant damage to the region, which could negatively impact the tourism and retail industries, affecting demand for luxury and apparel products. Additionally, the threat of a prolonged port strike poses a risk of renewed inflationary pressures, which could further impact consumer spending on discretionary items.
 Economic Outlook:
 The overall economic resilience, as evidenced by the strong private sector job growth, provides a positive backdrop for the textile, apparel, and luxury goods sector. However, the contraction in the manufacturing sector and the potential disruptions to global supply chains due to the port strike could pose challenges for the industry. The sector's performance will largely depend on the ability of consumers to maintain their spending on discretionary items, particularly in the face of ongoing global tensions and economic uncertainties.
 Political Challenges:
 The upcoming 2024 U.S. presidential election could introduce additional volatility and uncertainty into the market, which may impact investor sentiment and consumer confidence. The potential return of former President Trump as the Republican candidate could further polarize the political landscape, potentially affecting the sector's performance.
 Recent Technology Developments:
 The textile, apparel, and luxury goods sector has been exploring the integration of emerging technologies, such as artificial intelligence and automation, to enhance their supply chain efficiency, product design, and customer experience. These advancements could help the industry navigate the challenges posed by the current economic and political environment.</t>
  </si>
  <si>
    <t>Recent News:
 The diversified telecommunication services sector has faced a mixed landscape in recent weeks. The escalating conflict between Hezbollah and Israel, including cyberattacks and airstrikes, has raised concerns about potential disruptions to global communication networks and infrastructure. Additionally, the landfall of Hurricane Helene in Florida has caused significant damage, which could impact telecommunication services in the affected regions.
 Economic Outlook:
 Despite the geopolitical and natural disaster-related challenges, the overall economic outlook for the diversified telecommunication services sector remains cautiously optimistic. The resilience of the U.S. economy, as evidenced by the strong private sector job growth, suggests that consumer demand for telecommunication services may remain stable. However, the contraction in the manufacturing sector and the threat of a prolonged port strike could pose risks to the sector's performance, as these factors may impact the supply chain and infrastructure necessary for seamless telecommunication services.
 Political Challenges:
 The upcoming 2024 U.S. presidential election is a significant political event that could influence the diversified telecommunication services sector. The potential change in administration and policy direction could introduce uncertainty and impact the regulatory environment, which could, in turn, affect the sector's operations and profitability.
 Recent Technology Developments:
 The diversified telecommunication services sector has been actively embracing emerging technologies, such as 5G and cloud-based communication solutions. These advancements have the potential to drive innovation and improve the efficiency of telecommunication services, which could benefit the sector's long-term growth prospects.</t>
  </si>
  <si>
    <t>Recent News:
 The escalating conflict between Hezbollah and Israel, including cyberattacks, assassinations, and airstrikes, has led to a significant increase in tensions in the Middle East. This could potentially impact the overall US stock market, including the electronic equipment, instruments, and components sector, due to concerns about regional instability and the possibility of further escalation. Additionally, the landfall of Hurricane Helene, a category four hurricane, in Florida has caused significant damage and loss of life, which could negatively affect sectors related to insurance, tourism, and infrastructure.
 Economic Outlook:
 The U.S. economy continues to show resilience, with the private sector adding 143,000 jobs in September, exceeding expectations. This positive employment data suggests that the economy remains on a solid footing, despite ongoing global tensions and concerns about a potential recession. However,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
 Political Challenges:
 The upcoming 2024 U.S. presidential election is a significant political event that is likely to influence the stock market, including the electronic equipment, instruments, and components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which includes the electronic equipment, instruments, and components industry. Investors have shown a strong appetite for AI-related stocks, as the industry is expected to experience significant growth in the coming years. The integration of AI into various industries, from healthcare to finance, is likely to have a profound impact on the stock market, as companies that successfully leverage this technology could see substantial gains.</t>
  </si>
  <si>
    <t>Recent News:
 The escalating conflict between Hezbollah and Israel, including cyberattacks, assassinations, and airstrikes, has led to a significant increase in tensions in the Middle East. This could potentially impact the communications equipment sector due to concerns about regional instability and the possibility of further escalation. Additionally, the landfall of Hurricane Helene in Florida has caused significant damage and loss of life, which could negatively affect the sector, particularly companies involved in infrastructure and disaster recovery.
 Economic Outlook:
 The U.S. economy continues to show resilience, with the private sector adding 143,000 jobs in September, exceeding expectations. This positive employment data suggests that the economy remains on a solid footing, which could benefit the communications equipment sector. However, the manufacturing sector has contracted for the sixth straight month, indicating some softness in the industrial segment, which could have a negative impact on the sector.
 Political Challenges:
 The upcoming 2024 U.S. presidential election is a significant political event that is likely to influence the communications equipment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sector.
 Recent Technology Developments:
 The continued advancements in artificial intelligence (AI) have been a driving force behind the recent surge in the technology sector, which includes the communications equipment industry. Investors have shown a strong appetite for AI-related stocks, as the industry is expected to experience significant growth in the coming years. The integration of AI into various industries, including communications, is likely to have a positive impact on the sector.</t>
  </si>
  <si>
    <t>Recent News:
 The escalating conflict between Hezbollah and Israel, including cyberattacks, assassinations, and airstrikes, has led to a significant increase in tensions in the Middle East. This could potentially impact the air freight and logistics sector due to concerns about regional instability and the possibility of further escalation. Additionally, the landfall of Hurricane Helene, a category four hurricane, in Florida has caused significant damage and loss of life, which could negatively affect the sector, particularly in areas related to transportation and infrastructure.
 Economic Outlook:
 The U.S. economy continues to show resilience, with the private sector adding 143,000 jobs in September, exceeding expectations. This positive employment data suggests that the economy remains on a solid footing, which could benefit the air freight and logistics sector. However, the manufacturing sector has contracted for the sixth straight month, indicating some softness in the industrial segment, which could impact demand for logistics services.
 Political Challenges:
 The upcoming 2024 U.S. presidential election is a significant political event that is likely to influence the air freight and logistics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sector's performance.
 Recent Technology Developments:
 The continued advancements in artificial intelligence (AI) have been a driving force behind the recent surge in the technology sector. While the air freight and logistics sector may not be at the forefront of AI adoption, the integration of this technology into various aspects of the industry, such as route optimization and supply chain management, could potentially improve efficiency and profitability in the long run.</t>
  </si>
  <si>
    <t>Recent News:
 The escalating conflict between Hezbollah and Israel, including cyberattacks, assassinations, and airstrikes, has led to a significant increase in tensions in the Middle East. This could potentially impact the ground transportation sector due to concerns about regional instability and the possibility of further escalation. Additionally, the landfall of Hurricane Helene, a category four hurricane, in Florida has caused significant damage and loss of life, which could negatively affect the ground transportation industry, particularly sectors related to logistics and infrastructure.
 Economic Outlook:
 The U.S. economy continues to show resilience, with the private sector adding 143,000 jobs in September, exceeding expectations. This positive employment data suggests that the economy remains on a solid footing, which could benefit the ground transportation sector. However, the manufacturing sector has contracted for the sixth straight month, indicating some softness in the industrial segment, which could have a ripple effect on the ground transportation industry.
 Political Challenges:
 The upcoming 2024 U.S. presidential election is a significant political event that is likely to influence the ground transportation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ground transportation industry.
 Recent Technology Developments:
 The continued advancements in artificial intelligence (AI) have been a driving force behind the recent surge in the technology sector. While the ground transportation sector may not be as directly impacted by AI as other industries, the integration of AI-powered technologies, such as autonomous vehicles and logistics optimization, could provide opportunities for growth and efficiency improvements in the ground transportation industry.</t>
  </si>
  <si>
    <t>Recent News:
 The escalating conflict between Hezbollah and Israel, as well as the landfall of Hurricane Helene in Florida, have raised concerns about the potential impact on the consumer finance sector. The Israel Defense Forces' invasion of southern Lebanon and Iran's retaliatory missile attacks on Israel have the potential to disrupt global energy supplies, which could lead to increased volatility in the financial markets and affect consumer spending.
 Economic Outlook:
 The U.S. economy continues to show resilience, with the private sector adding more jobs than expected in September. However, the manufacturing sector's contraction and the threat of a prolonged port strike pose risks to the overall economic outlook. These factors could impact consumer confidence and spending, which are crucial drivers of the consumer finance sector.
 Political Challenges:
 The upcoming 2024 U.S. presidential election is a significant political event that could influence the consumer finance sector. The decision by President Biden to not seek re-election and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While the consumer finance sector may not be directly impacted by these developments, the integration of AI into various industries could indirectly affect the sector by influencing consumer behavior and financial decision-making.</t>
  </si>
  <si>
    <t>Recent News:
 The escalating conflict between Hezbollah and Israel, including cyberattacks, assassinations, and airstrikes, has led to a significant increase in tensions in the Middle East. This could potentially impact the overall US stock market, including the financial services sector, due to concerns about regional instability and the possibility of further escalation. Additionally, the landfall of Hurricane Helene, a category four hurricane, in Florida has caused significant damage and loss of life, which could negatively affect the financial services sector, particularly in areas related to insurance.
 Economic Outlook:
 The U.S. economy continues to show resilience, with the private sector adding 143,000 jobs in September, exceeding expectations. This positive employment data suggests that the economy remains on a solid footing, which could benefit the financial services sector. However, the manufacturing sector has contracted for the sixth straight month, indicating some softness in the industrial segment, which could have a ripple effect on the financial services industry.
 Political Challenges:
 The upcoming 2024 U.S. presidential election is a significant political event that is likely to influence the financial services sector in the coming months.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financial services sector.
 Recent Technology Developments:
 The continued advancements in artificial intelligence (AI) have been a driving force behind the recent surge in the technology sector, which could have a positive impact on the financial services industry. The integration of AI into various financial services, from wealth management to risk assessment, is likely to have a profound impact on the sector, as companies that successfully leverage this technology could see substantial gains.</t>
  </si>
  <si>
    <t>Recent News:
 The escalating conflict between Hezbollah and Israel, including cyberattacks, assassinations, and airstrikes, has led to a significant increase in tensions in the Middle East. This could potentially impact the overall US stock market, including the banking sector, due to concerns about regional instability and the possibility of further escalation. Additionally, the landfall of Hurricane Helene, a category four hurricane, in Florida has caused significant damage and loss of life, which could negatively affect the banking sector, particularly in areas related to insurance, tourism, and infrastructure.
 Economic Outlook:
 The U.S. economy continues to show resilience, with the private sector adding 143,000 jobs in September, exceeding expectations. This positive employment data suggests that the economy remains on a solid footing, which could benefit the banking sector. However, the manufacturing sector has contracted for the sixth straight month, indicating some softness in the industrial segment, which could impact the lending activities of banks. Additionally, the threat of a prolonged port strike poses a risk of renewed inflationary pressures, which could impact consumer spending and the overall economic trajectory, potentially affecting the banking sector's performance.
 Political Challenges:
 The upcoming 2024 U.S. presidential election is a significant political event that is likely to influence the banking sector in the coming months.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banking sector.
 Recent Technology Developments:
 The continued advancements in artificial intelligence (AI) have been a driving force behind the recent surge in the technology sector. While the banking sector has been slower to adopt AI compared to other industries, some banks have started to integrate AI-powered solutions into their operations, such as in the areas of fraud detection, customer service, and risk management. The successful implementation of these technologies could provide a competitive advantage for banks and positively impact their financial performance.</t>
  </si>
  <si>
    <t>Recent News:
 The escalating conflict between Hezbollah and Israel, including cyberattacks, assassinations, and airstrikes, has led to a significant increase in tensions in the Middle East. This could potentially impact the overall US stock market, including the diversified consumer services sector, due to concerns about regional instability and the possibility of further escalation. Additionally, the landfall of Hurricane Helene, a category four hurricane, in Florida has caused significant damage and loss of life, which could negatively affect the diversified consumer services sector, particularly segments related to tourism and leisure activities.
 Economic Outlook:
 The U.S. economy continues to show resilience, with the private sector adding 143,000 jobs in September, exceeding expectations. This positive employment data suggests that the economy remains on a solid footing, which could benefit the diversified consumer services sector. However, the manufacturing sector has contracted for the sixth straight month, indicating some softness in the industrial segment, which could have a ripple effect on consumer spending and the overall performance of the diversified consumer services sector.
 Political Challenges:
 The upcoming 2024 U.S. presidential election is a significant political event that is likely to influence the diversified consumer services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performance of the diversified consumer services sector.
 Recent Technology Developments:
 The continued advancements in artificial intelligence (AI) have been a driving force behind the recent surge in the technology sector. While the diversified consumer services sector may not be as directly impacted by AI developments as other sectors, the integration of AI into various industries, from healthcare to finance, could have indirect effects on consumer behavior and preferences, which could influence the performance of the diversified consumer services sector.</t>
  </si>
  <si>
    <t>Recent News:
 The personal care products sector has faced some challenges in recent months due to the ongoing geopolitical tensions and natural disasters. The escalating conflict between Hezbollah and Israel, as well as the landfall of Hurricane Helene in Florida, have the potential to disrupt supply chains and impact consumer demand for personal care products. Additionally, the threat of a prolonged port strike poses a risk of renewed inflationary pressures, which could further affect the sector's performance.
 Economic Outlook:
 Despite these headwinds, the overall economic outlook for the personal care products sector remains cautiously optimistic. The U.S. economy continues to show resilience, with the private sector adding more jobs than expected in September. This positive employment data suggests that consumer spending, a key driver for the personal care products industry, could remain relatively strong. However, the contraction in the manufacturing sector and the potential impact of the port strike may pose risks to the sector's growth.
 Political Challenges:
 The upcoming 2024 U.S. presidential election is a significant political event that could influence the personal care products sector. The decision by President Biden to not seek re-election and endorse Vice President Kamala Harris as the Democratic nominee, as well as the potential return of former President Trump as the Republican candidate, could introduce further uncertainty and volatility into the market.
 Recent Technology Developments:
 The personal care products sector has been exploring the integration of emerging technologies, such as artificial intelligence (AI), to enhance product development, personalization, and customer engagement. These advancements could help companies in the sector to better understand consumer preferences and optimize their operations, potentially leading to improved financial performance.</t>
  </si>
  <si>
    <t>Recent News:
 The household products sector has faced some challenges in recent months, with the landfall of Hurricane Helene in Florida causing significant damage and disrupting supply chains. Additionally, the threat of a prolonged port strike has raised concerns about the potential for renewed inflationary pressures, which could impact consumer spending on household goods.
 Economic Outlook:
 Despite these headwinds, the overall economic outlook for the household products sector remains relatively positive. The U.S. economy continues to show resilience, with the private sector adding more jobs than expected in September. This suggests that consumer demand for household products may remain stable, as employment and income levels remain strong.
 Political Challenges:
 The upcoming 2024 U.S. presidential election could introduce some uncertainty into the household products sector, as the political landscape and potential policy changes could impact consumer sentiment and spending patterns. However, the sector's performance is typically less sensitive to political events compared to other industries.
 Recent Technology Developments:
 The household products sector has seen some advancements in the integration of emerging technologies, such as the use of AI-powered smart home devices and the development of more sustainable and eco-friendly product formulations. These technological innovations could help companies in the sector improve efficiency, reduce costs, and better cater to evolving consumer preferences.</t>
  </si>
  <si>
    <t>Recent News:
 The food products sector has faced some challenges in recent months, with the landfall of Hurricane Helene in Florida causing significant damage to agricultural production and supply chains. Additionally, the threat of a prolonged port strike has raised concerns about potential disruptions to the distribution of food products, which could lead to renewed inflationary pressures.
 Economic Outlook:
 Despite these headwinds, the overall economic outlook for the food products sector remains relatively stable. The U.S. economy continues to show resilience, with the private sector adding more jobs than expected in September. This positive employment data suggests that consumer spending, a key driver of the food products industry, is likely to remain strong. However, the contraction in the manufacturing sector and the potential impact of the Middle East conflict on global energy supplies could pose risks to the sector's performance.
 Political Challenges:
 The upcoming 2024 U.S. presidential election is a significant political event that could influence the food products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in turn affect the performance of the food products sector.
 Recent Technology Developments:
 The food products sector has been exploring the integration of emerging technologies, such as artificial intelligence (AI), to optimize production, distribution, and supply chain management. These advancements could help the industry address some of the challenges posed by natural disasters and geopolitical tensions, potentially enhancing the sector's long-term resilience and competitiveness.</t>
  </si>
  <si>
    <t>Recent News:
 The escalating conflict between Hezbollah and Israel, including cyberattacks, assassinations, and airstrikes, has led to a significant increase in tensions in the Middle East. This could potentially impact the overall US stock market due to concerns about regional instability and the possibility of further escalation. Additionally, the landfall of Hurricane Helene, a category four hurricane, in Florida has caused significant damage and loss of life, which could negatively affect the US stock market, particularly sectors related to insurance, tourism, and infrastructure.
 Economic Outlook:
 The U.S. economy continues to show resilience, with the private sector adding 143,000 jobs in September, exceeding expectations. This positive employment data suggests that the economy remains on a solid footing, despite ongoing global tensions and concerns about a potential recession. However,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
 Political Challenges:
 The upcoming 2024 U.S. presidential election is a significant political event that is likely to influence the stock market in the coming months.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Investors have shown a strong appetite for AI-related stocks, as the industry is expected to experience significant growth in the coming years. The integration of AI into various industries, from healthcare to finance, is likely to have a profound impact on the stock market, as companies that successfully leverage this technology could see substantial gains.</t>
  </si>
  <si>
    <t>Recent News:
 The healthcare sector has faced a mixed landscape in recent weeks. While the overall economy has shown resilience, with the private sector adding more jobs than expected, the healthcare industry has grappled with ongoing challenges. The threat of a prolonged port strike poses a risk of renewed inflationary pressures, which could impact healthcare costs and consumer spending on medical services.
 Economic Outlook:
 The healthcare sector's performance is closely tied to the broader economic conditions. The strong employment data suggests that consumer demand for healthcare services may remain stable, as more individuals have access to employer-sponsored insurance. However, the contraction in the manufacturing sector could have ripple effects on the healthcare supply chain, potentially leading to disruptions and higher costs.
 Political Challenges:
 The upcoming 2024 U.S. presidential election introduces an element of uncertainty for the healthcare sector. Depending on the policy platforms of the candidates, the industry may face changes in regulations, reimbursement rates, or healthcare reform initiatives. Investors will closely monitor the political landscape and its potential impact on the healthcare providers and services segment.
 Recent Technology Developments:
 The healthcare industry has been at the forefront of technological advancements, particularly in the areas of telemedicine, data analytics, and artificial intelligence (AI). The integration of these technologies has the potential to improve patient outcomes, streamline operations, and enhance the overall efficiency of healthcare providers. However, the successful adoption and implementation of these technologies will be crucial for the sector's long-term growth and competitiveness.</t>
  </si>
  <si>
    <t>Recent News:
 The escalating conflict between Hezbollah and Israel, including cyberattacks, assassinations, and airstrikes, has led to a significant increase in tensions in the Middle East. This regional instability could potentially impact the overall US stock market, including the performance of diversified REITs, due to concerns about further escalation and its impact on global economic conditions. Additionally, the landfall of Hurricane Helene, a category four hurricane, in Florida has caused significant damage and loss of life, which could negatively affect the US stock market, particularly sectors related to insurance, tourism, and infrastructure, potentially impacting diversified REITs.
 Economic Outlook:
 The U.S. economy continues to show resilience, with the private sector adding 143,000 jobs in September, exceeding expectations. This positive employment data suggests that the economy remains on a solid footing, which could be beneficial for the diversified REIT sector. However, the manufacturing sector has contracted for the sixth straight month, indicating some softness in the industrial segment, which could have implications for certain REIT sub-sectors. Additionally, the threat of a prolonged port strike poses a risk of renewed inflationary pressures, which could impact consumer spending and the overall economic trajectory, potentially affecting the performance of diversified REITs.
 Political Challenges:
 The upcoming 2024 U.S. presidential election is a significant political event that is likely to influence the stock market, including the diversified REIT sector, in the coming months.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performance of diversified REITs.
 Recent Technology Developments:
 The continued advancements in artificial intelligence (AI) have been a driving force behind the recent surge in the technology sector. While the diversified REIT sector may not be directly impacted by these technological developments, the integration of AI into various industries, from healthcare to finance, could have indirect implications for the real estate market and the performance of diversified REITs.</t>
  </si>
  <si>
    <t>Recent News:
 The healthcare real estate investment trust (REIT) sector has faced some challenges in recent months. The escalating conflict in the Middle East, particularly the tensions between Israel and Iran, has raised concerns about potential disruptions to global supply chains, which could impact the operations of healthcare facilities. Additionally, the landfall of Hurricane Helene in Florida has caused significant damage to some healthcare properties, leading to concerns about the financial impact on the affected REITs.
 Economic Outlook:
 Despite these headwinds, the overall economic outlook for the healthcare REIT sector remains relatively positive. The aging population and the increasing demand for healthcare services are expected to drive continued growth in the sector. Additionally, the resilience of the U.S. economy, as evidenced by the strong employment data, suggests that the healthcare industry may continue to see steady demand for its services.
 Political Challenges:
 The upcoming 2024 U.S. presidential election could introduce some uncertainty into the healthcare REIT sector, as the political landscape and potential policy changes could impact the industry's regulatory environment and investment climate. Investors will be closely monitoring the campaign promises and policy proposals of the candidates to assess the potential implications for the sector.
 Recent Technology Developments:
 The healthcare industry has been at the forefront of technological advancements, with the integration of artificial intelligence (AI) and other digital technologies into various aspects of healthcare delivery. This trend is expected to continue, and healthcare REITs that are able to effectively leverage these technologies may be well-positioned to capitalize on the industry's growth.</t>
  </si>
  <si>
    <t>Recent News:
 The escalating conflict between Hezbollah and Israel, including cyberattacks, assassinations, and airstrikes, has led to a significant increase in tensions in the Middle East. This could potentially impact the overall US stock market, including the retail REIT sector, due to concerns about regional instability and the possibility of further escalation. Additionally, the landfall of Hurricane Helene, a category four hurricane, in Florida has caused significant damage and loss of life, which could negatively affect the retail REIT sector, particularly in areas related to tourism and infrastructure.
 Economic Outlook:
 The U.S. economy continues to show resilience, with the private sector adding 143,000 jobs in September, exceeding expectations. This positive employment data suggests that the economy remains on a solid footing, which could benefit the retail REIT sector. However, the manufacturing sector has contracted for the sixth straight month, indicating some softness in the industrial segment, which could have a ripple effect on the retail REIT industry.
 Political Challenges:
 The upcoming 2024 U.S. presidential election is a significant political event that is likely to influence the stock market, including the retail REIT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retail REIT sector.
 Recent Technology Developments:
 The continued advancements in artificial intelligence (AI) have been a driving force behind the recent surge in the technology sector. While the retail REIT sector may not be directly impacted by these technological developments, the integration of AI into various industries, from healthcare to finance, could have an indirect effect on consumer behavior and spending patterns, which could ultimately influence the performance of retail REITs.</t>
  </si>
  <si>
    <t>Recent News:
 The escalating conflict between Hezbollah and Israel, including cyberattacks, assassinations, and airstrikes, has led to a significant increase in tensions in the Middle East. This could potentially impact the chemical sector due to concerns about regional instability and the possibility of further escalation. Additionally, the landfall of Hurricane Helene, a category four hurricane, in Florida has caused significant damage and loss of life, which could negatively affect the chemical sector, particularly segments related to petrochemicals and specialty chemicals.
 Economic Outlook:
 The U.S. economy continues to show resilience, with the private sector adding 143,000 jobs in September, exceeding expectations. This positive employment data suggests that the economy remains on a solid footing, which could benefit the chemical sector. However, the manufacturing sector has contracted for the sixth straight month, indicating some softness in the industrial segment, which could impact demand for chemical products.
 Political Challenges:
 The upcoming 2024 U.S. presidential election is a significant political event that is likely to influence the chemical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chemical sector.
 Recent Technology Developments:
 The continued advancements in artificial intelligence (AI) have been a driving force behind the recent surge in the technology sector. While the chemical sector may not be as directly impacted by AI as some other industries, the integration of AI into various aspects of chemical production, supply chain management, and research and development could provide opportunities for efficiency improvements and cost savings, which could benefit the sector.</t>
  </si>
  <si>
    <t>Recent News:
 The landfall of Hurricane Helene in Florida has caused significant damage to infrastructure, particularly in the construction and building materials sectors. This natural disaster has disrupted supply chains and increased demand for construction materials, such as lumber, cement, and steel. Additionally, the threat of a prolonged port strike poses a risk of renewed inflationary pressures, which could impact the cost of raw materials for construction companies.
 Economic Outlook:
 The construction materials sector is closely tied to the overall health of the economy. The positive employment data and resilience of the private sector suggest that the demand for construction projects may remain strong. However, the contraction in the manufacturing sector could indicate a slowdown in industrial construction, which could offset the potential gains from residential and commercial building activity.
 Political Challenges:
 The upcoming 2024 U.S. presidential election and the potential return of former President Trump as the Republican candidate could introduce uncertainty and volatility in the construction materials sector. Changes in policies related to infrastructure spending, environmental regulations, and trade agreements could significantly impact the industry's performance.
 Recent Technology Developments:
 The construction industry has been gradually adopting new technologies, such as Building Information Modeling (BIM), 3D printing, and automation, to improve efficiency and reduce costs. These advancements could benefit construction materials companies by streamlining the supply chain and enhancing the overall productivity of the sector.</t>
  </si>
  <si>
    <t>Recent News:
 The escalating conflict between Hezbollah and Israel, including cyberattacks, assassinations, and airstrikes, has led to a significant increase in tensions in the Middle East. This could potentially impact the overall US stock market due to concerns about regional instability and the possibility of further escalation. Additionally, the landfall of Hurricane Helene, a category four hurricane, in Florida has caused significant damage and loss of life, which could negatively affect the US stock market, particularly sectors related to insurance, tourism, and infrastructure.
 Economic Outlook:
 The US economy continues to show resilience, with the private sector adding 143,000 jobs in September, exceeding expectations. However,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 These factors could have a mixed impact on the Containers &amp; Packaging sector, as demand for packaging may be affected by changes in consumer spending and supply chain disruptions.
 Political Challenges:
 The upcoming 2024 US presidential election is a significant political event that is likely to influence the stock market in the coming months.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Containers &amp; Packaging sector.
 Recent Technology Developments:
 The continued advancements in artificial intelligence (AI) have been a driving force behind the recent surge in the technology sector. While the Containers &amp; Packaging sector may not be directly impacted by AI developments, the industry could benefit from the integration of AI-powered technologies in areas such as supply chain optimization, inventory management, and production efficiency.</t>
  </si>
  <si>
    <t>Recent News:
 The escalating conflict between Hezbollah and Israel, including cyberattacks, assassinations, and airstrikes, has led to a significant increase in tensions in the Middle East. This could potentially impact the overall US stock market due to concerns about regional instability and the possibility of further escalation. Additionally, the landfall of Hurricane Helene, a category four hurricane, in Florida has caused significant damage and loss of life, which could negatively affect the US stock market, particularly sectors related to insurance, tourism, and infrastructure.
 Economic Outlook:
 The US economy continues to show resilience, with the private sector adding 143,000 jobs in September, exceeding expectations. This positive employment data suggests that the economy remains on a solid footing, despite ongoing global tensions and concerns about a potential recession. However,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
 Political Challenges:
 The upcoming 2024 US presidential election is a significant political event that is likely to influence the stock market in the coming months.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Investors have shown a strong appetite for AI-related stocks, as the industry is expected to experience significant growth in the coming years. The integration of AI into various industries, from healthcare to finance, is likely to have a profound impact on the stock market, as companies that successfully leverage this technology could see substantial gains.</t>
  </si>
  <si>
    <t>Recent News:
 The escalating conflict between Hezbollah and Israel, including cyberattacks, assassinations, and airstrikes, has led to a significant increase in tensions in the Middle East. This has raised concerns about potential disruptions to global energy supplies, particularly in the oil and gas sector. Additionally, the landfall of Hurricane Helene in Florida has caused significant damage, which could negatively impact the energy infrastructure and supply chain in the region.
 Economic Outlook:
 The U.S. economy continues to show resilience, with the private sector adding more jobs than expected in September. However, the manufacturing sector has contracted for the sixth straight month, indicating some softness in the industrial segment. The threat of a prolonged port strike poses a risk of renewed inflationary pressures, which could impact consumer spending and the overall economic trajectory. These factors could have a mixed impact on the oil, gas, and consumable fuels sector.
 Political Challenges:
 The upcoming 2024 U.S. presidential election is a significant political event that is likely to influence the stock market, including the oil, gas, and consumable fuels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While this may not have a direct impact on the oil, gas, and consumable fuels sector, the integration of AI into various industries, including energy, could potentially lead to efficiency improvements and cost savings in the long run.</t>
  </si>
  <si>
    <t>Recent News:
 The paper and forest products sector has faced some challenges in recent months. The landfall of Hurricane Helene in Florida has caused significant damage to paper mills and forestry operations in the region, disrupting supply chains and production. Additionally, the threat of a prolonged port strike has raised concerns about the sector's ability to export its products, which could further impact its performance.
 Economic Outlook:
 Despite these short-term setbacks, the overall economic outlook for the paper and forest products sector remains cautiously optimistic. The continued growth in e-commerce and the demand for packaging materials have provided a steady stream of orders for the industry. Furthermore, the sector's ability to adapt to changing consumer preferences, such as the increasing demand for sustainable and eco-friendly products, could help offset some of the challenges posed by the recent natural disaster and potential supply chain disruptions.
 Political Challenges:
 The upcoming 2024 U.S. presidential election could introduce some political uncertainty that may impact the paper and forest products sector. Depending on the outcome of the election and the policy priorities of the new administration, the sector may face changes in regulations, trade agreements, or environmental policies that could affect its operations and profitability.
 Recent Technology Developments:
 The paper and forest products sector has been exploring ways to leverage emerging technologies to improve efficiency and sustainability. Advancements in areas like automation, data analytics, and renewable energy sources have the potential to enhance the sector's competitiveness and reduce its environmental footprint, which could be a significant advantage in the long run.</t>
  </si>
  <si>
    <t>Recent News:
 The landfall of Hurricane Helene in Florida has caused significant damage to infrastructure, which could negatively impact the performance of industrial REITs (Real Estate Investment Trusts) in the region. Additionally, the threat of a prolonged port strike poses a risk of renewed inflationary pressures, which could further disrupt the operations of industrial REITs that rely on efficient supply chain logistics.
 Economic Outlook:
 The U.S. economy continues to show resilience, with the private sector adding 143,000 jobs in September. This positive employment data suggests that the overall demand for industrial real estate may remain strong. However, the manufacturing sector's contraction for the sixth straight month indicates some softness in the industrial segment, which could potentially impact the performance of industrial REITs.
 Political Challenges:
 The upcoming 2024 U.S. presidential election and the potential return of former President Trump as the Republican candidate could introduce uncertainty and volatility into the market, which could impact the investment sentiment towards industrial REITs.
 Recent Technology Developments:
 The integration of emerging technologies, such as artificial intelligence (AI), into various industries could potentially enhance the operational efficiency and competitiveness of industrial REITs, leading to improved financial performance.</t>
  </si>
  <si>
    <t>Recent News:
 The landfall of Hurricane Helene in Florida has caused significant damage to infrastructure, particularly in the building and construction sectors. This natural disaster has disrupted supply chains and increased demand for building materials and repair services. Additionally, the threat of a prolonged port strike poses a risk of renewed inflationary pressures, which could impact the cost of building products and construction projects.
 Economic Outlook:
 The U.S. economy's resilience, as evidenced by the strong private sector job growth, suggests that the demand for building products may remain relatively stable. However, the contraction in the manufacturing sector could indicate some softness in the industrial segment, which could impact the construction industry. The potential for continued global tensions and the risk of a recession could also weigh on the overall economic outlook for the building products sector.
 Political Challenges:
 The upcoming 2024 U.S. presidential election and the potential return of former President Trump as the Republican candidate could introduce uncertainty and volatility into the market. Additionally, the proactive role of the FTC under chair Lina Khan in blocking mergers and acquisitions could impact the competitive landscape within the building products industry.
 Recent Technology Developments:
 The integration of emerging technologies, such as AI, into the construction and building materials industries could drive innovation and efficiency. However, the sector's ability to adapt and leverage these advancements may vary, and the impact on the overall investment potential remains to be seen.</t>
  </si>
  <si>
    <t>Recent News:
 The landfall of Hurricane Helene in Florida has caused significant damage and loss of life, negatively impacting the tourism and hospitality sectors. Additionally, the threat of a prolonged port strike poses a risk of renewed inflationary pressures, which could further impact consumer spending and the overall performance of the hotels, restaurants, and leisure industry.
 Economic Outlook:
 The U.S. economy continues to show resilience, with the private sector adding 143,000 jobs in September, exceeding expectations. This positive employment data suggests that the economy remains on a solid footing, which could provide some support to the hotels, restaurants, and leisure sector. However, the manufacturing sector's contraction and the potential disruptions to global supply chains due to the port strike may weigh on the industry's performance.
 Political Challenges:
 The upcoming 2024 U.S. presidential election is a significant political event that is likely to influence the stock market, including the hotels, restaurants, and leisure sector. The decision by President Biden to not seek re-election and endorse Vice President Kamala Harris as the Democratic nominee, as well as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While the hotels, restaurants, and leisure industry may not be at the forefront of AI adoption, the integration of this technology into various aspects of the business, such as customer service, inventory management, and marketing, could potentially improve operational efficiency and enhance the customer experience.</t>
  </si>
  <si>
    <t>Recent News:
 The residential real estate investment trust (REIT) sector has faced some challenges in recent months due to the ongoing geopolitical tensions and economic uncertainties. The escalating conflict between Hezbollah and Israel, as well as the potential impact of Hurricane Helene on the Florida housing market, have introduced additional risks for the sector. Additionally, the threat of a prolonged port strike has raised concerns about the potential for renewed inflationary pressures, which could impact consumer spending and the overall demand for residential properties.
 Economic Outlook:
 Despite these headwinds, the U.S. economy has shown resilience, with the private sector adding more jobs than expected in September. This positive employment data suggests that the underlying demand for housing remains strong, which could provide some support for the residential REIT sector. However, the contraction in the manufacturing sector and the potential for a slowdown in consumer spending due to inflationary pressures could pose risks to the sector's performance.
 Political Challenges:
 The upcoming 2024 U.S. presidential election is a significant political event that could influence the residential REIT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in turn affect the performance of the residential REIT sector.
 Recent Technology Developments:
 The residential REIT sector has been exploring the integration of emerging technologies, such as smart home automation and data analytics, to enhance the efficiency and management of their properties. These technological advancements could help REITs optimize their operations, improve tenant satisfaction, and potentially drive higher occupancy rates and rental income. However, the sector's ability to successfully implement and capitalize on these technologies will be a key factor in determining its long-term competitiveness.</t>
  </si>
  <si>
    <t>Recent News:
 The broadline retail sector has faced a mixed landscape in recent months. While the overall U.S. economy has shown resilience, with strong employment data, the manufacturing sector has contracted for the sixth straight month. This softness in the industrial segment could potentially impact consumer spending and the performance of broadline retailers. Additionally, the threat of a prolonged port strike poses a risk of renewed inflationary pressures, which could further challenge the sector.
 Economic Outlook:
 The broadline retail sector's performance is closely tied to the overall health of the U.S. economy and consumer spending patterns. The positive employment data suggests that the economy remains on a solid footing, which could support consumer confidence and spending. However, the contraction in the manufacturing sector and the potential for inflationary pressures due to the port strike could pose headwinds for the sector.
 Political Challenges:
 The upcoming 2024 U.S. presidential election is a significant political event that could influence the broadline retail sector. The uncertainty surrounding the election, as well as the potential policy changes under a new administration, could impact investor sentiment and consumer behavior, affecting the sector's performance.
 Recent Technology Developments:
 The broadline retail sector has been undergoing a digital transformation, with increased adoption of e-commerce and the integration of emerging technologies, such as artificial intelligence (AI) and data analytics. Companies that have successfully leveraged these technologies to enhance their customer experience and operational efficiency could be better positioned to navigate the current market conditions.</t>
  </si>
  <si>
    <t>Recent News:
 The automobile components sector has faced a mixed set of developments in recent weeks. The escalating conflict in the Middle East, particularly the tensions between Israel and Iran, has raised concerns about potential disruptions to global supply chains, which could impact the availability and pricing of key automotive components. Additionally, the landfall of Hurricane Helene in Florida has caused significant damage to manufacturing facilities and infrastructure, further exacerbating the supply chain challenges faced by the industry.
 Economic Outlook:
 Despite these headwinds, the overall economic outlook for the automobile components sector remains cautiously optimistic. The continued resilience of the U.S. economy, as evidenced by the strong employment data, suggests that consumer demand for vehicles may remain relatively stable. However, the contraction in the manufacturing sector and the threat of a prolonged port strike pose risks to the industry's ability to meet this demand, potentially leading to production delays and higher costs.
 Political Challenges:
 The upcoming 2024 U.S. presidential election is a significant political event that could impact the automobile components sector. The potential return of former President Trump as the Republican candidate could introduce policy uncertainty, particularly regarding trade agreements and regulations. Additionally, the ongoing geopolitical tensions in the Middle East and the potential for further escalation could have broader implications for the global economy and the automotive industry.
 Recent Technology Developments:
 The automobile components sector has been actively embracing technological advancements, particularly in the areas of electric vehicles (EVs) and autonomous driving systems. The continued growth of the EV market and the increasing adoption of advanced driver-assistance technologies (ADAS) have created new opportunities for component manufacturers to develop innovative products and solutions. However, the industry's ability to capitalize on these trends will depend on its capacity to navigate the supply chain challenges and adapt to the changing regulatory landscape.</t>
  </si>
  <si>
    <t>Recent News:
 The landfall of Hurricane Helene in Florida has caused significant damage to the state's transportation infrastructure, including roads, bridges, and ports. This natural disaster has disrupted supply chains and logistics, leading to concerns about the sector's near-term performance. Additionally, the threat of a prolonged port strike poses a risk of renewed inflationary pressures, which could further impact the transportation industry.
 Economic Outlook:
 The transportation infrastructure sector is closely tied to the overall economic performance, and the recent positive employment data suggests that the economy remains on a solid footing. However, the contraction in the manufacturing sector and the potential disruptions to global supply chains due to the Middle East conflict could negatively affect the demand for transportation services. The sector's performance will largely depend on the government's response to the infrastructure damage caused by Hurricane Helene and the resolution of the port strike negotiations.
 Political Challenges:
 The upcoming 2024 U.S. presidential election could introduce uncertainty into the transportation infrastructure sector, as the political landscape and policy priorities may shift depending on the election outcome. Additionally, the escalating conflict in the Middle East and its potential impact on global energy supplies could pose challenges for the sector, particularly in terms of fuel costs and supply chain disruptions.
 Recent Technology Developments:
 The transportation infrastructure sector has been gradually adopting new technologies, such as smart traffic management systems and autonomous vehicles, to improve efficiency and reduce environmental impact. However, the pace of technological adoption may be affected by the recent economic and political developments, as companies may prioritize short-term operational concerns over long-term investments in innovation.</t>
  </si>
  <si>
    <t>Recent News:
 The landfall of Hurricane Helene in Florida has caused significant damage and loss of life, which could negatively impact the marine transportation sector due to disruptions in port operations and infrastructure. Additionally, the threat of a prolonged port strike poses a risk of renewed inflationary pressures, which could further disrupt the supply chain and affect the marine transportation industry.
 Economic Outlook:
 The U.S. economy's resilience, as evidenced by the strong employment data, suggests that the overall demand for marine transportation services may remain stable. However, the contraction in the manufacturing sector could lead to a decrease in the volume of goods being transported, potentially impacting the revenue and profitability of marine transportation companies.
 Political Challenges:
 The escalating conflict in the Middle East, particularly the tensions between Israel and Iran, could disrupt global shipping routes and impact the marine transportation sector. The potential for further regional instability and the possibility of disruptions to global energy supplies could introduce additional challenges for the industry.
 Recent Technology Developments:
 The marine transportation sector has been exploring the integration of emerging technologies, such as autonomous shipping and blockchain-based supply chain management, to improve efficiency and reduce costs. These advancements could help the industry navigate the current challenges and position it for long-term growth.</t>
  </si>
  <si>
    <t>Recent News:
 The escalating conflict between Hezbollah and Israel, including cyberattacks, assassinations, and airstrikes, has led to a significant increase in tensions in the Middle East. This could potentially impact the overall US stock market due to concerns about regional instability and the possibility of further escalation. Additionally, the landfall of Hurricane Helene, a category four hurricane, in Florida has caused significant damage and loss of life, which could negatively affect the US stock market, particularly sectors related to insurance, tourism, and infrastructure. The Israel Defense Forces' invasion of southern Lebanon, in response to Hezbollah's activities, has further escalated the regional conflict, and Iran's retaliatory missile attacks on Israel have the potential to exacerbate the regional tensions and impact the overall US stock market.
 Economic Outlook:
 The U.S. economy continues to show resilience, with the private sector adding 143,000 jobs in September, exceeding expectations. This positive employment data suggests that the economy remains on a solid footing, despite ongoing global tensions and concerns about a potential recession. However,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
 Political Challenges:
 The upcoming 2024 U.S. presidential election is a significant political event that is likely to influence the stock market in the coming months.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Investors have shown a strong appetite for AI-related stocks, as the industry is expected to experience significant growth in the coming years. The integration of AI into various industries, from healthcare to finance, is likely to have a profound impact on the stock market, as companies that successfully leverage this technology could see substantial gains.</t>
  </si>
  <si>
    <t>Recent News:
 The beverage sector has faced some challenges in recent months, with the landfall of Hurricane Helene in Florida causing significant damage to production facilities and distribution networks. This natural disaster has disrupted the supply chain, leading to concerns about potential shortages and price increases for certain beverage products. Additionally, the ongoing port strike has the potential to further exacerbate these supply chain issues, impacting the availability and affordability of beverages.
 Economic Outlook:
 Despite these recent setbacks, the overall economic outlook for the beverage sector remains cautiously optimistic. The continued resilience of the U.S. economy, as evidenced by the strong employment data, suggests that consumer demand for beverages may remain relatively stable. However, the potential for prolonged inflationary pressures due to the port strike could put pressure on profit margins for beverage companies, as they may struggle to pass on the increased costs to consumers.
 Political Challenges:
 The upcoming 2024 U.S. presidential election could introduce some political uncertainty that may impact the beverage sector. Depending on the outcome of the election and the policy positions of the candidates, the industry may face changes in regulations, taxation, or trade agreements that could affect its operations and profitability.
 Recent Technology Developments:
 The beverage sector has been exploring the integration of emerging technologies, such as artificial intelligence (AI), to optimize production processes, enhance supply chain management, and improve customer experience. These technological advancements could help beverage companies navigate the current challenges and position themselves for long-term growth.</t>
  </si>
  <si>
    <t>Recent News:
 The recent landfall of Hurricane Helene in Florida has caused significant damage and disruption to the consumer staples distribution and retail sector. The storm's impact on infrastructure, transportation, and consumer demand is expected to weigh on the sector's performance in the short term. Additionally, the threat of a prolonged port strike poses a risk of renewed inflationary pressures, which could further impact consumer spending and the overall sector's profitability.
 Economic Outlook:
 Despite the recent economic resilience, the consumer staples distribution and retail sector faces some headwinds. The contraction in the manufacturing sector and the potential disruptions to global supply chains could lead to challenges in maintaining consistent product availability and pricing. However, the strong employment data and the continued consumer spending suggest that the sector may be able to weather these challenges in the medium to long term.
 Political Challenges:
 The upcoming 2024 U.S. presidential election introduces an element of uncertainty that could impact the consumer staples distribution and retail sector. Depending on the outcome and the policy proposals of the candidates, the sector may face changes in regulations, tax policies, or trade agreements that could affect its overall performance.
 Recent Technology Developments:
 The integration of emerging technologies, such as AI and automation, has the potential to improve efficiency and optimize supply chain management within the consumer staples distribution and retail sector. Companies that successfully leverage these technologies could gain a competitive advantage and potentially outperform their peers.</t>
  </si>
  <si>
    <t>Recent News:
 The specialty retail sector has faced a mixed landscape in recent months. While the overall U.S. economy has shown resilience, with strong employment data, the manufacturing sector has contracted for the sixth straight month. This softness in the industrial segment could potentially impact consumer spending, which is a crucial driver for specialty retailers. Additionally, the threat of a prolonged port strike poses a risk of renewed inflationary pressures, which could further challenge the sector.
 Economic Outlook:
 The continued volatility in the stock market, driven by geopolitical tensions and political uncertainty, could weigh on consumer confidence and discretionary spending. However, the technology sector's strong performance, particularly in the AI industry, may provide some support for specialty retailers that have successfully integrated digital capabilities into their business models.
 Political Challenges:
 The upcoming 2024 U.S. presidential election is a significant political event that could influence the specialty retail sector. The potential return of former President Trump as the Republican candidate could introduce further polarization and uncertainty, which could impact consumer sentiment and spending patterns.
 Recent Technology Developments:
 The integration of emerging technologies, such as AI and e-commerce platforms, has been a crucial factor in the specialty retail sector's ability to adapt to changing consumer preferences and market conditions. Companies that have successfully leveraged these technological advancements are better positioned to navigate the current economic and political landscape.</t>
  </si>
  <si>
    <t>Recent News:
 The trading companies and distributors sector has faced a mixed bag of news in recent weeks. The escalating conflict in the Middle East, particularly the tensions between Israel and Iran, has raised concerns about potential disruptions to global supply chains and energy supplies. This has led to increased volatility in the sector, as investors grapple with the potential impact on the movement of goods and commodities. Additionally, the threat of a prolonged port strike in the United States has further exacerbated the supply chain challenges, potentially leading to renewed inflationary pressures.
 Economic Outlook:
 Despite the geopolitical and supply chain headwinds, the overall economic outlook for the trading companies and distributors sector remains cautiously optimistic. The resilience of the U.S. economy, as evidenced by the stronger-than-expected private sector job growth in September, suggests that consumer demand may continue to support the sector's performance. However, the contraction in the manufacturing sector and the potential impact of the port strike could pose risks to the sector's profitability and growth prospects.
 Political Challenges:
 The upcoming 2024 U.S. presidential election is a significant political event that could have implications for the trading companies and distributors sector. The potential return of former President Trump as the Republican nominee, or the election of a new Democratic administration, could lead to changes in trade policies and regulations that could impact the sector's operations and profitability.
 Recent Technology Developments:
 The trading companies and distributors sector has been relatively slow in adopting emerging technologies, such as artificial intelligence (AI) and automation. However, some companies in the sector have started to explore the potential benefits of these technologies, particularly in areas like supply chain optimization and inventory management. As the industry continues to grapple with supply chain challenges, the adoption of these technologies could become increasingly important for maintaining a competitive edge.</t>
  </si>
  <si>
    <t>Recent News:
 The household durables sector has faced mixed signals in recent weeks. While the overall U.S. economy continues to show resilience, with strong employment data, the manufacturing sector has contracted for the sixth straight month. This softness in the industrial segment could potentially impact the demand for household durable goods. Additionally, the threat of a prolonged port strike poses a risk of renewed inflationary pressures, which could further affect consumer spending on durable items.
 Economic Outlook:
 The household durables sector's performance is closely tied to the overall health of the U.S. economy and consumer confidence. The positive employment data suggests that the economy remains on a solid footing, which could support consumer spending on durable goods. However, the contraction in the manufacturing sector and the potential for inflationary pressures due to the port strike introduce some uncertainty about the sector's near-term outlook.
 Political Challenges:
 The upcoming 2024 U.S. presidential election could have a significant impact on the household durables sector. The political landscape and the potential policy changes under a new administration could influence consumer sentiment and spending patterns, which could in turn affect the demand for household durable goods.
 Recent Technology Developments:
 The household durables sector has been gradually incorporating emerging technologies, such as smart home automation and energy-efficient appliances. These advancements could provide opportunities for companies in the sector to differentiate their products and potentially gain a competitive edge. However, the pace of technological adoption and the ability of companies to effectively integrate these innovations into their product offerings will be crucial factors in determining the sector's long-term growth prospects.</t>
  </si>
  <si>
    <t>Recent News:
 The landfall of Hurricane Helene in Florida has caused significant damage and loss of life, negatively impacting the leisure products sector, particularly those related to tourism and outdoor recreation. Additionally, the escalating conflict between Hezbollah and Israel, as well as the potential for further regional instability, could lead to decreased consumer spending on leisure activities.
 Economic Outlook:
 The U.S. economy continues to show resilience, with the private sector adding more jobs than expected in September. However, the manufacturing sector's contraction and the threat of a prolonged port strike pose risks to the overall economic outlook, which could indirectly affect the leisure products sector. Consumer spending, a crucial driver for the leisure products industry, may be impacted by these economic factors.
 Political Challenges:
 The upcoming 2024 U.S. presidential election introduces an element of uncertainty that could influence investor sentiment and consumer confidence, potentially affecting the leisure products sector. The political landscape and any policy changes could have a significant impact on the industry.
 Recent Technology Developments:
 The continued advancements in artificial intelligence (AI) have been a driving force behind the recent surge in the technology sector, but the impact on the leisure products industry is less direct. While some leisure companies may leverage AI to enhance their products or services, the sector's reliance on technology is not as pronounced as in other industries.</t>
  </si>
  <si>
    <t>Recent News:
 The landfall of Hurricane Helene in Florida has caused significant damage and loss of life, which could negatively impact the industrial conglomerates sector due to its exposure to insurance, tourism, and infrastructure-related businesses. Additionally, the threat of a prolonged port strike poses a risk of renewed inflationary pressures, which could further disrupt the operations of companies in this sector.
 Economic Outlook:
 The U.S. economy continues to show resilience, with the private sector adding 143,000 jobs in September. However, the manufacturing sector has contracted for the sixth straight month, indicating some softness in the industrial segment. This could pose challenges for industrial conglomerates, as their performance is closely tied to the health of the manufacturing industry.
 Political Challenges:
 The upcoming 2024 U.S. presidential election and the potential return of former President Trump as the Republican candidate could introduce further uncertainty and volatility into the market, which could impact the performance of industrial conglomerates.
 Recent Technology Developments:
 The continued advancements in artificial intelligence (AI) have been a driving force behind the recent surge in the technology sector. While industrial conglomerates may not be at the forefront of AI adoption, they could potentially benefit from the integration of this technology into their operations, leading to improved efficiency and cost savings.</t>
  </si>
  <si>
    <t>Recent News:
 The escalating conflict between Hezbollah and Israel, including cyberattacks, assassinations, and airstrikes, has led to a significant increase in tensions in the Middle East. This has the potential to impact the energy equipment and services sector, as the region is a crucial hub for global energy supplies. Additionally, the landfall of Hurricane Helene in Florida has caused significant damage, which could disrupt the operations of energy companies in the affected areas.
 Economic Outlook:
 The U.S. economy continues to show resilience, with the private sector adding 143,000 jobs in September. However, the manufacturing sector has contracted for the sixth straight month, indicating some softness in the industrial segment. The threat of a prolonged port strike poses a risk of renewed inflationary pressures, which could impact consumer spending and the overall economic trajectory. These factors could have a mixed impact on the energy equipment and services sector, as demand for energy-related products and services may be affected.
 Political Challenges:
 The upcoming 2024 U.S. presidential election is a significant political event that is likely to influence the stock market, including the energy equipment and services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While the energy equipment and services sector may not be at the forefront of AI adoption, the integration of this technology into various industries could have indirect implications for the sector, as it may impact the overall demand for energy-related products and services.</t>
  </si>
  <si>
    <t>Recent News:
 The escalating conflict between Hezbollah and Israel, including cyberattacks, assassinations, and airstrikes, has led to a significant increase in tensions in the Middle East. This has raised concerns about potential disruptions to global energy supplies, particularly natural gas, which could impact the gas utilities sector. Additionally, the landfall of Hurricane Helene in Florida has caused significant damage, which could further disrupt energy infrastructure and distribution.
 Economic Outlook:
 The U.S. economy continues to show resilience, with the private sector adding 143,000 jobs in September. However, the manufacturing sector has contracted for the sixth straight month, indicating some softness in the industrial segment. The threat of a prolonged port strike poses a risk of renewed inflationary pressures, which could impact consumer spending and the overall economic trajectory. These factors could potentially affect the demand for natural gas and the performance of gas utilities.
 Political Challenges:
 The upcoming 2024 U.S. presidential election is a significant political event that is likely to influence the stock market, including the gas utilities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While AI may not have a direct impact on the gas utilities sector, the integration of AI into various industries, from healthcare to finance, could indirectly affect the overall market sentiment and investor appetite for the sector.</t>
  </si>
  <si>
    <t>Recent News:
 The escalating conflict between Hezbollah and Israel, including cyberattacks, assassinations, and airstrikes, has led to a significant increase in tensions in the Middle East. This regional instability could potentially impact the real estate sector, particularly in areas with a high concentration of commercial and residential properties. Additionally, the landfall of Hurricane Helene, a category four hurricane, in Florida has caused significant damage and loss of life, which could negatively affect the real estate market in the affected regions.
 Economic Outlook:
 The U.S. economy continues to show resilience, with the private sector adding 143,000 jobs in September, exceeding expectations. This positive employment data suggests that the economy remains on a solid footing, which could support the demand for real estate. However, the manufacturing sector has contracted for the sixth straight month, indicating some softness in the industrial segment, which could impact the commercial real estate market.
 Political Challenges:
 The upcoming 2024 U.S. presidential election is a significant political event that is likely to influence the real estate sector. The decision by President Biden to not seek re-election and endorse Vice President Kamala Harris as the Democratic nominee has added an element of uncertainty to the race. Additionally, the potential return of former President Trump as the Republican candidate could further polarize the political landscape and impact investor sentiment, which could affect the real estate market.
 Recent Technology Developments:
 The continued advancements in artificial intelligence (AI) have been a driving force behind the recent surge in the technology sector. While the real estate sector has not been as directly impacted by AI as some other industries, the integration of AI-powered tools for property management, predictive analytics, and smart building technologies could potentially enhance the efficiency and profitability of real estate operations in the future.</t>
  </si>
  <si>
    <t>Recent News:
 The automobile sector has faced a mixed landscape in recent months. While the overall U.S. economy has shown resilience, with strong job growth, the manufacturing sector has contracted for the sixth straight month, indicating some softness in the industrial segment. This could potentially impact the automobile industry, which is closely tied to manufacturing and supply chain dynamics.
 Economic Outlook:
 The continued volatility in the stock market, driven by geopolitical tensions and political uncertainty, could weigh on consumer confidence and spending, which are crucial factors for the automobile industry. However, the resilience of the U.S. economy, as evidenced by the positive employment data, suggests that the underlying demand for vehicles may remain relatively stable.
 Political Challenges:
 The upcoming 2024 U.S. presidential election is a significant political event that could influence the automobile sector. Depending on the outcome and the policy proposals of the candidates, the industry may face changes in regulations, trade agreements, or incentives that could impact its performance.
 Recent Technology Developments:
 The automobile industry has been undergoing a technological transformation, with the increasing adoption of electric vehicles (EVs) and the integration of advanced driver-assistance systems (ADAS). These developments could provide growth opportunities for companies that are able to adapt and innovate in the face of changing consumer preferences and regulatory environments.</t>
  </si>
  <si>
    <t>Recent News:
 The escalating conflict between Hezbollah and Israel, as well as the landfall of Hurricane Helene in Florida, have raised concerns about the potential impact on the overall U.S. stock market. These geopolitical and natural disaster events could negatively affect sectors related to insurance, tourism, and infrastructure, which could have indirect implications for the office REIT sector.
 Economic Outlook:
 The U.S. economy continues to show resilience, with the private sector adding more jobs than expected in September. However, the manufacturing sector has contracted for the sixth straight month, indicating some softness in the industrial segment. Additionally, the threat of a prolonged port strike poses a risk of renewed inflationary pressures, which could impact consumer spending and the overall economic trajectory. These factors could potentially affect the demand for office space and the performance of office REITs.
 Political Challenges:
 The upcoming 2024 U.S. presidential election is a significant political event that is likely to influence the stock market, including the office REIT sector. The decision by President Biden to not seek re-election and endorse Vice President Kamala Harris as the Democratic nominee, as well as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While this trend may not have a direct impact on the office REIT sector, the integration of AI into various industries could indirectly affect the demand for office space and the performance of office REITs.</t>
  </si>
  <si>
    <t>Recent News:
 The latest news indicates that the distribution sector is facing significant challenges due to the ongoing geopolitical tensions and natural disasters. The escalating conflict between Hezbollah and Israel, as well as the landfall of Hurricane Helene in Florida, have disrupted global supply chains and logistics operations. This has led to concerns about potential delays and increased costs for distributors, which could impact their profitability.
 Economic Outlook:
 The U.S. economy's overall resilience, as evidenced by the strong employment data, provides some optimism for the distribution sector. However, the contraction in the manufacturing sector and the threat of a prolonged port strike pose risks to the sector's performance. Distributors may face increased pressure to adapt their operations and supply chain strategies to mitigate the impact of these challenges.
 Political Challenges:
 The upcoming 2024 U.S. presidential election introduces an element of uncertainty for the distribution sector. Depending on the outcome, the political landscape could shift, potentially leading to changes in trade policies, regulations, or infrastructure investments that could affect the sector's operations and profitability.
 Recent Technology Developments:
 The distribution sector has been exploring the integration of emerging technologies, such as AI and automation, to enhance efficiency and optimize logistics. However, the sector's ability to fully capitalize on these advancements may be hindered by the current disruptions and economic uncertainties.</t>
  </si>
  <si>
    <t>Recent News:
 The escalating conflict between Hezbollah and Israel, as well as the landfall of Hurricane Helene in Florida, have introduced significant uncertainty and volatility in the broader financial markets. These geopolitical and natural disaster events have the potential to impact the mortgage REIT sector, as they could lead to disruptions in the housing market and affect the overall economic conditions.
 Economic Outlook:
 The U.S. economy has shown resilience, with the private sector adding more jobs than expected in September. However, the manufacturing sector's contraction and the threat of a prolonged port strike pose risks to the economic outlook. These factors could have a direct impact on the mortgage REIT sector, as they may influence interest rates, housing demand, and the overall performance of the real estate market.
 Political Challenges:
 The upcoming 2024 U.S. presidential election is a significant political event that could influence the mortgage REIT sector. The potential return of former President Trump as the Republican candidate could introduce further uncertainty and volatility, as his policies may have a direct impact on the real estate and financial sectors.
 Recent Technology Developments:
 The continued advancements in artificial intelligence (AI) have been a driving force behind the recent surge in the technology sector. While the mortgage REIT sector may not be directly impacted by these technological developments, the integration of AI into various industries, including finance and real estate, could indirectly affect the sector's performance.</t>
  </si>
  <si>
    <t>Recent News:
 The landfall of Hurricane Helene, a category four hurricane, in Florida has caused significant damage and loss of life. This natural disaster could negatively affect the US stock market, particularly sectors related to insurance, as insurers may face increased claims and payouts.
 Economic Outlook:
 The insurance sector is likely to face challenges in the near term due to the potential impact of Hurricane Helene. The increased claims and payouts could put pressure on insurance companies' profitability and financial stability. Additionally, the threat of a prolonged port strike poses a risk of renewed inflationary pressures, which could further impact the insurance industry's operations and costs.
 Political Challenges:
 The upcoming 2024 U.S. presidential election could also introduce uncertainty into the insurance sector, as changes in political leadership and policy decisions could affect the regulatory environment and the industry's overall operating landscape.
 Recent Technology Developments:
 The insurance industry has been actively exploring the integration of emerging technologies, such as artificial intelligence (AI) and data analytics, to improve risk assessment, claims processing, and customer experience. These advancements could help insurance companies enhance their operational efficiency and resilience in the face of natural disasters and other challenges.</t>
  </si>
  <si>
    <t>Recent News:
 The metals and mining sector has faced significant challenges in recent months, with the escalating conflict in the Middle East and the potential disruption to global energy supplies posing a threat to the industry. The landfall of Hurricane Helene in Florida has also caused concerns about the impact on mining operations and infrastructure in the region.
 Economic Outlook:
 The overall economic outlook for the metals and mining sector is mixed. While the U.S. economy continues to show resilience, with strong employment data, the manufacturing sector has contracted for the sixth straight month, indicating some softness in the industrial segment. This could potentially impact the demand for metals and minerals, which are crucial inputs for various manufacturing processes.
 Political Challenges:
 The upcoming 2024 U.S. presidential election and the potential return of former President Trump as the Republican candidate could introduce further uncertainty and volatility into the market. Additionally, the proactive role of the FTC under chair Lina Khan in blocking several mergers and acquisitions could impact the consolidation and growth strategies of companies in the metals and mining sector.
 Recent Technology Developments:
 The metals and mining sector has been exploring the integration of emerging technologies, such as automation and data analytics, to improve operational efficiency and productivity. However, the sector's ability to adapt to these technological advancements may be challenged by the ongoing geopolitical tensions and economic uncertainties.</t>
  </si>
  <si>
    <t>Recent News:
 The landfall of Hurricane Helene in Florida has caused significant damage and loss of life, negatively impacting the hotel and resort industry in the affected regions. Additionally, the threat of a prolonged port strike poses a risk of renewed inflationary pressures, which could further strain the hospitality sector's recovery.
 Economic Outlook:
 The U.S. economy's resilience, as evidenced by the strong private sector job growth, provides a positive backdrop for the hotel and resort industry. However, the manufacturing sector's contraction and the potential disruptions to global supply chains due to the port strike could dampen consumer spending and travel demand, which are crucial drivers for the hospitality sector.
 Political Challenges:
 The upcoming 2024 U.S. presidential election introduces an element of uncertainty that could impact investor sentiment and the performance of hotel and resort REITs. The potential return of former President Trump as the Republican candidate could further polarize the political landscape and affect the industry's regulatory environment.
 Recent Technology Developments:
 The integration of emerging technologies, such as artificial intelligence (AI), into the hospitality industry could help hotel and resort operators optimize operations, enhance guest experiences, and improve overall efficiency. However, the sector's ability to effectively leverage these technological advancements will be a key factor in determining its long-term competitiveness.</t>
  </si>
  <si>
    <t>Recent News:
 The escalating conflict between Hezbollah and Israel, including cyberattacks, assassinations, and airstrikes, has led to a significant increase in tensions in the Middle East. This regional instability, coupled with the landfall of Hurricane Helene in Florida, has caused significant damage and loss of life, negatively impacting the passenger airlines sector. The Israel Defense Forces' invasion of southern Lebanon and Iran's retaliatory missile attacks on Israel have further exacerbated the regional tensions, posing a risk of disruptions to global travel and transportation.
 Economic Outlook:
 The U.S. economy continues to show resilience, with the private sector adding 143,000 jobs in September. However, the manufacturing sector has contracted for the sixth straight month, indicating some softness in the industrial segment. The threat of a prolonged port strike poses a risk of renewed inflationary pressures, which could impact consumer spending and the overall economic trajectory. These factors, combined with the geopolitical developments, could negatively affect the passenger airlines sector's performance in the near term.
 Political Challenges:
 The upcoming 2024 U.S. presidential election is a significant political event that is likely to influence the stock market, including the passenger airlines sector. The decision by President Biden to not seek re-election and endorse Vice President Kamala Harris as the Democratic nominee, as well as the potential return of former President Trump as the Republican candidate, could further polarize the political landscape and impact investor sentiment.
 Recent Technology Developments:
 The continued advancements in artificial intelligence (AI) have been a driving force behind the recent surge in the technology sector. While the passenger airlines sector may not be directly impacted by these AI developments, the industry's ability to leverage emerging technologies to improve operational efficiency and customer experience could be a key factor in its long-term competitiveness.</t>
  </si>
  <si>
    <t>Recent News:
 The tobacco industry has faced significant challenges in recent years, with increasing regulatory pressure and shifting consumer preferences towards healthier alternatives. The latest news indicates that several major tobacco companies have reported declining sales and profits, as more consumers, particularly younger generations, are turning away from traditional tobacco products.
 Economic Outlook:
 The economic outlook for the tobacco sector remains uncertain. While the industry has historically been resilient, the ongoing shift in consumer behavior and the potential for further regulatory actions could continue to weigh on the sector's performance. The economic impact of the recent geopolitical tensions and natural disasters may also have a ripple effect on the tobacco industry, as consumer spending patterns and supply chain disruptions could affect overall demand.
 Political Challenges:
 The tobacco industry has long been the target of stringent regulations and public health initiatives aimed at reducing tobacco consumption. The latest developments, including the proactive role of the FTC in blocking mergers and acquisitions, suggest that the political landscape remains unfavorable for the sector. The upcoming 2024 U.S. presidential election could also introduce additional uncertainty, as the candidates' stances on tobacco regulation may impact the industry's future.
 Recent Technology Developments:
 The tobacco industry has been exploring alternative products, such as e-cigarettes and vaping devices, in an effort to adapt to changing consumer preferences. However, the regulatory scrutiny and safety concerns surrounding these products have limited their potential to offset the decline in traditional tobacco sales. The industry's ability to innovate and develop new, less harmful products will be crucial in determining its long-term viability.</t>
  </si>
  <si>
    <t>Investment Report:
 Recent News:
 American Tower Corporation, a leading global real estate investment trust (REIT) in the telecom tower industry, has continued to demonstrate resilience amidst the evolving macroeconomic landscape. The company's diversified global portfolio of over 220,000 communications sites across 25 countries has positioned it as a key player in the growing demand for wireless infrastructure.
 Financials:
 American Tower's latest financial data showcases its strong market position. The company boasts a substantial market capitalization of $108.61 billion and an enterprise value of $153.50 billion. Its trailing P/E ratio of 43.22 and forward P/E ratio of 34.60 suggest that the stock may be trading at a premium, reflecting the market's confidence in the company's growth prospects. The PEG ratio of 1.32 indicates that the stock may be fairly valued relative to its expected earnings growth.
 Economic Outlook:
 The telecom tower industry is poised to benefit from the ongoing global 5G rollout and the increasing demand for reliable wireless connectivity. Despite the softening labor market and potential economic slowdown, the manufacturing sector, which includes the telecom equipment industry, has shown resilience. Additionally, the continued adoption of AI technologies by businesses could drive further demand for telecom infrastructure, potentially supporting American Tower's long-term growth.
 Score: 85</t>
  </si>
  <si>
    <t>Investment Report:
 Recent News:
 Apple Inc. (AAPL) has been in the spotlight for its latest product launches, including the highly anticipated iPhone 15 series and the new Apple Watch models. The company's focus on innovation and its ability to maintain its market dominance in the technology hardware industry have been key drivers of its success.
 Financials:
 Apple's financial performance remains strong, with a market capitalization of $3.36 trillion and an enterprise value of $3.40 trillion. The company's trailing P/E ratio of 33.88 and forward P/E ratio of 29.33 suggest that the stock is trading at a premium compared to the industry average. Additionally, the PEG ratio of 2.14 indicates that the stock may be slightly overvalued.
 Economic Outlook:
 The overall economic landscape remains uncertain, with concerns about a potential recession and the impact of rising interest rates. However, the technology sector, particularly the hardware and peripherals segment, has shown resilience in the face of these challenges. The continued adoption of new technologies, such as artificial intelligence and cloud computing, could provide opportunities for companies like Apple to maintain their growth trajectory.
 Score: 85</t>
  </si>
  <si>
    <t>Investment Report:
 Recent News:
 AbbVie, a leading biopharmaceutical company, has been making headlines with its robust pipeline and strategic acquisitions. The company's flagship drug, Humira, continues to maintain its dominance in the autoimmune disease treatment market, despite facing biosimilar competition. Additionally, AbbVie has expanded its portfolio through the acquisition of Allergan, strengthening its presence in the aesthetics and neuroscience segments.
 Financials:
 AbbVie's financial performance remains strong, with a market capitalization of $347.99 billion and an enterprise value of $405.46 billion. The company's trailing P/E ratio of 66.12 and forward P/E ratio of 16.42 suggest that the stock may be trading at a premium compared to its industry peers. However, the PEG ratio of 0.48 indicates that the stock may be undervalued relative to its expected growth.
 Economic Outlook:
 The overall economic landscape remains uncertain, with concerns about a potential economic slowdown and the impact of geopolitical tensions. However, the biotechnology industry, in which AbbVie operates, has historically demonstrated resilience during economic downturns, as the demand for healthcare products and services tends to be less sensitive to economic fluctuations.
 Score: 85</t>
  </si>
  <si>
    <t>Investment Report:
 Recent News:
 Alphabet Inc. (Class C), the parent company of Google, has continued to navigate the evolving digital landscape. The company's recent announcement of its AI-powered chatbot, Bard, has generated significant industry buzz, positioning Alphabet as a key player in the rapidly advancing artificial intelligence space. Additionally, the company's ongoing investments in cloud computing, YouTube, and other growth initiatives have maintained its status as a technology industry leader.
 Financials:
 Alphabet's financial performance remains strong, with a market capitalization of $1.93 trillion and an enterprise value of $1.86 trillion. The company's trailing P/E ratio of 22.76 and forward P/E ratio of 18.12 suggest that the stock is reasonably valued, while the PEG ratio of 1.07 indicates that the company's growth potential is well-reflected in its current share price.
 Economic Outlook:
 The recent macroeconomic data points to a softening labor market, with job openings declining and the yield curve inverting, signaling a potential economic slowdown. However, the manufacturing sector appears to be holding up better, and the AI sector, in which Alphabet is a key player, continues to show promise. These factors, combined with the company's strong financial position and growth initiatives, suggest that Alphabet may be well-positioned to navigate the current economic environment.
 Score: 85</t>
  </si>
  <si>
    <t>Investment Report:
 Recent News:
 Alphabet Inc. (Class A), the parent company of Google, has continued to navigate the evolving digital landscape. The company's recent announcement of its AI-powered chatbot, Bard, has generated significant industry buzz, positioning Alphabet as a key player in the rapidly advancing artificial intelligence space. Additionally, the company's ongoing investments in cloud computing, YouTube, and other growth initiatives have maintained its status as a technology industry leader.
 Financials:
 Alphabet's financial performance remains strong, with a market capitalization of $1.93 trillion and an enterprise value of $1.86 trillion. The company's trailing P/E ratio of 22.58 and forward P/E ratio of 17.95 suggest that the stock may be reasonably valued, while the PEG ratio of 1.06 indicates that the company's growth potential is well-reflected in its current share price.
 Economic Outlook:
 The recent macroeconomic data points to a softening labor market, with job openings declining and the yield curve inverting, signaling a potential economic slowdown. However, the manufacturing sector appears to be holding up better, and the AI sector, in which Alphabet is a key player, continues to show promise. These factors, combined with the company's strong financial position and growth initiatives, suggest that Alphabet may be well-positioned to navigate the current economic environment.
 Score: 85</t>
  </si>
  <si>
    <t>Investment Report:
 Recent News: Hewlett Packard Enterprise (HPE) reported strong Q3 results, with 10.1% revenue growth. The company's performance was driven by growth in AI servers, cloud core, and edge computing. Despite concerns over low gross margins in AI servers, the company expects margins to improve as the revenue mix shifts towards higher-margin services and enterprise customers. Additionally, HPE has sufficient capital for share repurchases, supported by a $2.1 billion partial sale of H3C Technologies.
 Financials: HPE's Q3 results showed robust revenue growth of 10.1%, indicating the company's ability to capitalize on the growing demand for AI, cloud, and edge computing solutions. The company's financial position remains strong, with the partial sale of H3C Technologies providing additional capital for share repurchases and investments in strategic growth areas.
 Economic Outlook: The macroeconomic environment remains challenging, with a softening labor market and concerns about a potential economic slowdown. However, the manufacturing sector, including the technology hardware and storage industry, appears to be showing resilience. The continued adoption of emerging technologies, such as AI, could provide opportunities for HPE to offset broader economic headwinds.
 Score: 85</t>
  </si>
  <si>
    <t>Investment Report:
 Recent News:
 Tesla (TSLA) shares have seen a positive movement, jumping over 4% on Wednesday despite a broader downturn in the large-cap technology sector. This suggests that the electric vehicle manufacturer may be able to jumpstart a rally in the near future. Additionally, analysts remain optimistic about Tesla's long-term prospects, with predictions that the stock will be a top performer in 2025.
 Financials:
 Tesla's financial performance has been a topic of discussion, as the company has navigated through a rough patch recently. However, the electric vehicle manufacturer has consistently proven its ability to defy the odds and exceed expectations since its initial public offering.
 Economic Outlook:
 The overall economic landscape remains uncertain, with concerns about a potential slowdown and the impact of the Federal Reserve's monetary policy. However, the emergence of new technologies, such as artificial intelligence, could provide opportunities for investors and help offset some of the broader economic challenges.
 Score: 85</t>
  </si>
  <si>
    <t>Investment Report:
 Recent News: GE Vernova (GEV) shares have risen as the company received a "buy" rating from Jefferies analysts. The analysts believe GEV is "uniquely positioned" to benefit from the surging global demand for power, particularly to power facilities like data centers.
 Financials: GEV's latest financial results have not been publicly disclosed, as the company was recently formed from the combination of GE's power, renewable energy, and digital businesses. However, the analysts' bullish call suggests they see strong growth potential for the newly formed entity.
 Economic Outlook: The global economy is facing a period of uncertainty, with concerns about a potential recession. However, the demand for power, especially to support the growing digital infrastructure, remains robust. This trend could provide a tailwind for GEV's business in the near to medium term.
 Score: 85</t>
  </si>
  <si>
    <t>Investment Report:
 Recent News: Verizon has announced a 2% increase in its annual dividend payout, further solidifying its position as the Dow Jones Industrial Average's highest dividend yielder. This move is expected to lift the stock's implied yield to an attractive 6.53%.
 Financials: Verizon's strong cash flow generation and commitment to shareholder returns have been key drivers of its consistent dividend growth. The company's financial position remains robust, with a stable balance sheet and the ability to maintain its dividend even during challenging economic conditions.
 Economic Outlook: The softening labor market and potential economic slowdown may present some headwinds for Verizon's business in the near term. However, the company's diversified revenue streams and focus on high-growth areas like 5G and fiber-optic services could help offset these challenges.
 Score: 85</t>
  </si>
  <si>
    <t>Investment Report:
 Recent News:
 Advanced Micro Devices (AMD) has been in the spotlight recently due to its strong performance in the semiconductor industry. The company's latest generation of processors, including the Ryzen and EPYC lines, have been well-received by both consumers and enterprise customers, driving strong demand for AMD's products.
 Financials:
 AMD's financial metrics paint a positive picture for the company. Its market capitalization stands at $228 billion, and its enterprise value is $224.9 billion. The company's trailing P/E ratio is 163.02, while the forward P/E ratio is 25.71, indicating that the stock may be undervalued compared to its future earnings potential. The PEG ratio, which takes into account the company's expected growth, is 0.36, suggesting that AMD's stock may be attractively priced.
 Economic Outlook:
 The overall economic landscape remains uncertain, with concerns about a potential recession and a softening labor market. However, the manufacturing sector, which includes the semiconductor industry, appears to be showing some resilience. Additionally, the continued adoption of emerging technologies, such as AI, could provide opportunities for companies like AMD to capitalize on the growing demand for advanced semiconductor solutions.
 Score: 85</t>
  </si>
  <si>
    <t>Investment Report:
 Recent News:
 APA Corporation, a leading player in the Oil &amp; Gas Exploration &amp; Production industry, has been navigating the dynamic market conditions with resilience. The company's recent financial performance has been noteworthy, with a strong balance sheet and attractive valuation metrics.
 Financials:
 APA's market capitalization stands at $9.58 billion, with an enterprise value of $16.26 billion. The company's trailing P/E ratio of 2.90 and forward P/E ratio of 5.46 suggest that the stock is currently undervalued compared to its peers. Additionally, the price-to-sales ratio of 0.96 and the enterprise value-to-revenue ratio of 1.85 indicate that the company is trading at a discount to its intrinsic value.
 Economic Outlook:
 The recent macroeconomic data points to a softening labor market, with job openings declining and the yield curve inverting, signaling a potential economic slowdown. However, the manufacturing sector, which includes the oil and gas industry, appears to be holding up better than other sectors. The ongoing geopolitical tensions and the potential for a Federal Reserve interest rate cut in September could also impact the industry's performance.
 Score: 85</t>
  </si>
  <si>
    <t>Investment Report:
 Recent News:
 Automatic Data Processing (ADP) has continued to demonstrate resilience in the face of economic headwinds. The company's diversified portfolio of human resource and employment services has allowed it to navigate the softening labor market, with job openings declining across the broader economy.
 Financials:
 ADP's financial metrics remain strong, with a market capitalization of $112.23 billion and an enterprise value of $113.03 billion. The company's trailing P/E ratio of 30.29 and forward P/E ratio of 27.47 suggest that the stock is trading at a premium, reflecting investor confidence in the company's growth prospects.
 Economic Outlook:
 The recent economic data points to a potential slowdown, with the 2-year Treasury yield closing below the 10-year counterpart, a classic recession warning signal. However, the manufacturing sector appears to be showing some resilience, which could benefit ADP's business model.
 Additionally, the continued adoption of AI technologies by smaller businesses, as evidenced by the SMBTech 50 list, could create new opportunities for ADP to expand its services and drive future growth.
 Score: 85</t>
  </si>
  <si>
    <t>Investment Report:
 Recent News:
 Arch Capital Group, a leading global provider of specialty insurance and reinsurance, has continued to demonstrate resilience in the face of ongoing economic and geopolitical challenges. The company's diversified business model and prudent risk management strategies have enabled it to navigate the volatile market environment effectively.
 Financials:
 Arch Capital's latest financial data indicates a strong market position, with a market capitalization of $42.61 billion and an enterprise value of $45.45 billion. The company's trailing P/E ratio of 7.96 and forward P/E ratio of 12.24 suggest that the stock may be undervalued compared to its peers. Additionally, the firm's price-to-sales ratio of 2.87 and price-to-book ratio of 2.15 further reinforce its attractive valuation.
 Economic Outlook:
 The recent macroeconomic data points to a softening labor market, with job openings declining and the yield curve inverting, signaling a potential economic slowdown. However, the manufacturing sector appears to be holding up better, and the AI sector continues to show promise. These factors, combined with the potential for a Federal Reserve interest rate cut in September, could provide some support for the stock market in the near term.
 Score: 85</t>
  </si>
  <si>
    <t>Investment Report:
 Recent News:
 Arthur J. Gallagher &amp; Co. (AJG), a leading insurance brokerage and risk management services firm, has continued to demonstrate strong financial performance amidst the ongoing economic challenges. The company's recent acquisition of Willis Towers Watson's reinsurance business has further strengthened its global footprint and diversified its revenue streams.
 Financials:
 AJG's financial metrics indicate a robust and well-positioned company. The firm's market capitalization stands at $65.24 billion, with an enterprise value of $72.44 billion. The company's trailing P/E ratio of 57.52 and forward P/E ratio of 25.84 suggest that the stock may be trading at a premium, reflecting the market's confidence in the firm's growth potential.
 Economic Outlook:
 The current macroeconomic environment, characterized by a softening labor market and potential economic slowdown, may present both challenges and opportunities for AJG. The insurance industry is often seen as a defensive sector, which could provide some stability during periods of market volatility. Additionally, the increasing adoption of AI and emerging technologies in the industry could benefit AJG's operations and drive future growth.
 Score: 85</t>
  </si>
  <si>
    <t>Investment Report:
 Recent News:
 Axon Enterprise, a leading provider of technology solutions for law enforcement and public safety, has been making headlines with its innovative products and services. The company recently announced the launch of its new body camera, the Axon Body 3, which features enhanced video and audio capabilities, as well as improved battery life and connectivity. This new product is expected to drive further growth for the company in the Aerospace &amp; Defense industry.
 Financials:
 Axon Enterprise's financial performance has been strong, with a market capitalization of $26.86 billion and an enterprise value of $26.50 billion. The company's trailing P/E ratio of 93.72 and forward P/E ratio of 56.82 suggest that the stock may be trading at a premium valuation. However, the company's price-to-sales ratio of 15.05 and enterprise value-to-revenue ratio of 14.63 indicate that the stock may still have room for growth.
 Economic Outlook:
 The overall economic outlook for the Aerospace &amp; Defense industry remains positive, with continued demand for advanced technology solutions in the public safety and law enforcement sectors. The recent political and geopolitical events, such as the ongoing conflicts and elections, may create some uncertainty in the market, but Axon Enterprise's focus on innovative products and services is expected to help the company navigate these challenges.
 Score: 85</t>
  </si>
  <si>
    <t>Investment Report:
 Recent News:
 Berkshire Hathaway, the conglomerate led by renowned investor Warren Buffett, continues to navigate the evolving economic landscape. The company's diverse portfolio, spanning various industries, has allowed it to weather the recent market volatility.
 Financials:
 Berkshire Hathaway's financial data reflects its strong position in the Multi-Sector Holdings industry. The company's market capitalization and enterprise value suggest its significant scale and market presence. However, the lack of recent financial data in the provided information limits a comprehensive analysis of its valuation metrics, such as P/E ratios, PEG ratio, and price-to-sales and price-to-book ratios.
 Economic Outlook:
 The latest macroeconomic data points to a softening labor market, with job openings declining and the yield curve inverting, signaling a potential economic slowdown. This economic environment may present both challenges and opportunities for Berkshire Hathaway, given its diversified business model and Buffett's renowned investment acumen.
 Score: 80</t>
  </si>
  <si>
    <t>Investment Report:
 Recent News:
 Becton Dickinson (BD), a leading global medical technology company, has been in the spotlight for its innovative products and strategic initiatives. The company recently announced the launch of its new Pyxis ES platform, a cutting-edge medication management system designed to enhance patient safety and improve workflow efficiency in healthcare settings.
 Financials:
 BD's financial performance has been solid, with a market capitalization of $68.31 billion and an enterprise value of $82.33 billion. The company's trailing P/E ratio stands at 48.53, while the forward P/E ratio is 17.42, indicating potential growth opportunities. The PEG ratio (5-year expected) of 1.12 suggests the stock may be reasonably valued.
 Economic Outlook:
 The healthcare industry, in which BD operates, has generally shown resilience during economic downturns. The recent macroeconomic data, such as the softening labor market and the yield curve inversion, may indicate a potential economic slowdown. However, the manufacturing sector, including medical equipment manufacturers like BD, has demonstrated some resilience, which could bode well for the company's performance.
 Score: 80</t>
  </si>
  <si>
    <t>Investment Report:
 Recent News:
 BNY Mellon, a leading global investment management and investment services firm, has been in the news for its strategic initiatives to enhance its digital capabilities and expand its presence in the asset management industry. The company recently announced the acquisition of Milestone Group, a leading provider of fund accounting and data management solutions, to strengthen its fund services offerings.
 Financials:
 BNY Mellon's financial performance has been relatively stable, with a trailing P/E ratio of 16.16 and a forward P/E ratio of 11.24, indicating that the stock may be undervalued compared to its earnings potential. The company's price-to-sales ratio of 2.98 and price-to-book ratio of 1.37 suggest that the stock is trading at a reasonable valuation.
 Economic Outlook:
 The current macroeconomic environment, characterized by a softening labor market and potential economic slowdown, may present both challenges and opportunities for BNY Mellon. The firm's diversified business model, which includes asset management, investment services, and wealth management, could help it navigate the changing market conditions. Additionally, the growing demand for digital solutions and the continued adoption of alternative investment strategies may benefit the company's long-term growth prospects.
 Score: 80</t>
  </si>
  <si>
    <t>Investment Report:
 Recent News:
 Bank of America (BofA) has been in the news for its efforts to expand its digital banking services. The bank recently announced the launch of a new mobile app feature that allows customers to easily manage their finances and make payments. Additionally, BofA has been actively involved in the ongoing discussions around the potential regulation of the cryptocurrency industry, as it seeks to navigate the evolving regulatory landscape.
 Financials:
 BofA's latest financial data suggests a relatively strong position in the Diversified Banks industry. The company's trailing P/E ratio of 14.28 and forward P/E ratio of 11.30 indicate that the stock may be undervalued compared to its peers. The PEG ratio of 1.85 suggests that the company's growth prospects are reasonably priced. Additionally, the firm's price-to-sales and price-to-book ratios of 3.31 and 1.18, respectively, suggest that the stock may be trading at a discount compared to the broader market.
 Economic Outlook:
 The recent macroeconomic data points to a softening labor market, with job openings declining and the yield curve inverting, signaling a potential economic slowdown. However, the manufacturing sector appears to be showing some resilience, with factory orders rising in July. The upcoming U.S. federal elections in November 2024 could also introduce some uncertainty, as investors may be cautious about the potential policy changes that could arise from a change in administration or Congress.
 Score: 80</t>
  </si>
  <si>
    <t>Investment Report:
 Recent News:
 PayPal, the digital payments giant, has seen its stock price decline significantly from its all-time high, raising concerns among investors about the company's competitive landscape. The market appears to be worried about the increasing competition in the fintech industry, which could potentially impact PayPal's market share and profitability.
 Financials:
 Despite the recent stock price decline, PayPal's financial performance remains strong. The company has reported consistent revenue growth and profitability, demonstrating its ability to navigate the competitive environment. Additionally, PayPal's large user base and established brand recognition continue to be key assets in the rapidly evolving digital payments industry.
 Economic Outlook:
 The broader economic environment remains challenging, with signs of a potential slowdown. However, the digital payments sector has shown resilience, as the shift towards e-commerce and digital transactions continues to accelerate. This trend could benefit PayPal, as the company is well-positioned to capitalize on the growing demand for seamless and secure digital payment solutions.
 Score: 80</t>
  </si>
  <si>
    <t>Investment Report:
 Recent News:
 Accenture, a leading global professional services company, has been making headlines for its strategic acquisitions and partnerships. The company recently announced the acquisition of Fluido, a Salesforce consulting partner in the Nordics, to strengthen its cloud capabilities and expand its presence in the region. Additionally, Accenture has partnered with Microsoft to develop a new cloud-based platform for the healthcare industry, aiming to improve patient outcomes and streamline operations.
 Financials:
 Accenture's financial performance has been strong, with a market capitalization of $215.47 billion and an enterprise value of $214.53 billion. The company's trailing P/E ratio of 31.31 and forward P/E ratio of 26.39 suggest that the stock may be trading at a premium compared to its industry peers. However, the PEG ratio of 2.22 indicates that the company's growth potential may justify the current valuation.
 Economic Outlook:
 The overall economic landscape remains uncertain, with concerns about a potential slowdown in the labor market and the yield curve inversion. However, the manufacturing sector has shown some resilience, and the adoption of emerging technologies, such as AI, continues to be a focus for investors. These factors could provide opportunities for Accenture, as the company is well-positioned to capitalize on the growing demand for IT consulting and other services.
 Score: 80</t>
  </si>
  <si>
    <t>Investment Report:
 Recent News:
 Ameren, a leading multi-utility company, has been making headlines for its strategic initiatives and operational performance. The company recently announced plans to invest $8.4 billion in renewable energy projects over the next five years, demonstrating its commitment to sustainability and clean energy transition. Additionally, Ameren has been recognized for its customer-centric approach, with the company receiving the J.D. Power award for customer satisfaction in the Midwest region.
 Financials:
 Ameren's financial position remains strong, with a market capitalization of $22.36 billion and an enterprise value of $40.12 billion. The company's trailing P/E ratio of 18.80 and forward P/E ratio of 17.01 suggest that the stock is reasonably valued. The PEG ratio of 2.82 indicates that the company's growth potential may be slightly above average.
 Economic Outlook:
 The recent macroeconomic data points to a softening labor market, with job openings declining and the yield curve inverting, signaling a potential economic slowdown. However, the manufacturing sector, which is a key component of Ameren's operations, appears to be showing some resilience, with factory orders rising 5% in July. Additionally, the continued adoption of AI technologies by smaller businesses could have positive implications for the utility industry, as Ameren leverages these advancements to enhance its operations and customer service.
 Score: 80</t>
  </si>
  <si>
    <t>Investment Report:
 Recent News:
 Ametek, a leading manufacturer of electronic instruments and electromechanical devices, has continued to demonstrate resilience in the face of macroeconomic challenges. The company's diversified product portfolio and strong market position have allowed it to navigate the current economic landscape effectively.
 Financials:
 Ametek's financial metrics indicate a well-managed and profitable business. The company's market capitalization of $38.78 billion and enterprise value of $41.03 billion suggest a sizable and established presence in the Electrical Components &amp; Equipment industry. The trailing P/E ratio of 29.04 and forward P/E ratio of 22.73 indicate that the stock may be reasonably valued, while the PEG ratio of 2.27 suggests potential for future growth.
 Economic Outlook:
 The recent macroeconomic data points to a softening labor market, with job openings declining and the yield curve inverting, signaling a potential economic slowdown. However, the manufacturing sector, in which Ametek operates, appears to be showing some resilience, with factory orders rising 5% in July after two consecutive monthly declines. This suggests that the company may be better positioned to weather the economic headwinds compared to other sectors.
 Score: 80</t>
  </si>
  <si>
    <t>Investment Report:
 Recent News:
 Amgen, a leading biotechnology company, has been making headlines with its recent advancements in the pharmaceutical industry. The company's pipeline of innovative therapies has been a key focus, with several promising drug candidates in various stages of development. Additionally, Amgen's recent acquisition of a smaller biotech firm has expanded its product portfolio and strengthened its position in the market.
 Financials:
 Amgen's financial performance has been solid, with a market capitalization of $177.66 billion and an enterprise value of $231.01 billion. The company's trailing P/E ratio of 57.02 and forward P/E ratio of 16.10 suggest that the stock may be trading at a premium compared to its industry peers. However, the PEG ratio of 2.28 indicates that the company's growth potential may justify the current valuation.
 Economic Outlook:
 The overall economic landscape remains uncertain, with concerns about a potential recession and a softening labor market. However, the biotechnology industry has historically demonstrated resilience during economic downturns, as the demand for healthcare products and services tends to be less sensitive to economic fluctuations.
 Furthermore, the continued advancements in the AI sector and the growing adoption of AI technologies by smaller businesses could have a positive impact on the biotechnology industry, as these technologies can be leveraged to enhance drug discovery, clinical trials, and other aspects of the drug development process.
 Score: 80</t>
  </si>
  <si>
    <t>Investment Report:
 Recent News:
 Amphenol, a leading manufacturer of electronic components, has been making headlines with its strong financial performance. The company's market capitalization stands at $73.82 billion, and its enterprise value is $77.96 billion, indicating its strong market position.
 Financials:
 Amphenol's financial metrics suggest a robust and profitable business. The company's trailing P/E ratio of 36.96 and forward P/E ratio of 30.77 indicate that the stock is trading at a premium compared to the industry average. The PEG ratio of 2.68 suggests that the stock may be slightly overvalued, but the company's strong growth potential could justify the premium.
 Economic Outlook:
 The recent macroeconomic data points to a softening labor market, with job openings declining and the yield curve inverting, signaling a potential economic slowdown. However, the manufacturing sector, in which Amphenol operates, appears to be holding up better than other sectors. Additionally, the continued growth in the adoption of AI technologies could provide opportunities for Amphenol, as the company's products are essential components in various electronic devices.
 Score: 80</t>
  </si>
  <si>
    <t>Investment Report:
 Recent News:
 Analog Devices, Inc. (ADI) has been making significant strides in the semiconductor industry. The company recently announced the acquisition of Maxim Integrated Products, Inc., a move that is expected to strengthen its position in the analog and mixed-signal semiconductor market. Additionally, Analog Devices has been at the forefront of developing innovative technologies, such as its latest high-performance data converter solutions, which have garnered positive industry attention.
 Financials:
 Analog Devices' financial performance has been robust, with a market capitalization of $110.12 billion and an enterprise value of $115.68 billion. The company's trailing P/E ratio of 65.89 and forward P/E ratio of 27.17 suggest that the stock may be trading at a premium compared to its peers. However, the PEG ratio of 2.26 indicates that the company's growth potential may justify the current valuation.
 Economic Outlook:
 The semiconductor industry has been impacted by the recent macroeconomic conditions, including the softening labor market and the yield curve inversion. However, the manufacturing sector, in which Analog Devices operates, has shown resilience, with factory orders rising 5% in July. Additionally, the growing adoption of AI technologies by smaller businesses could create new opportunities for Analog Devices, as the company is well-positioned to capitalize on this trend.
 Score: 80</t>
  </si>
  <si>
    <t>Investment Report:
 Recent News:
 Ansys, a leading provider of engineering simulation software, has been making headlines in the Application Software industry. The company recently announced the acquisition of Zemax, a provider of optical and illumination design software, further expanding its portfolio of simulation solutions. This strategic move is expected to enhance Ansys' capabilities in the growing field of photonics and optics, which are crucial for the development of advanced technologies such as autonomous vehicles, augmented reality, and 5G communications.
 Financials:
 Ansys' financial performance has been strong, with a market capitalization of $26.99 billion and an enterprise value of $26.71 billion. The company's trailing P/E ratio of 54.63 and forward P/E ratio of 28.99 suggest that the stock may be trading at a premium compared to its industry peers. However, the PEG ratio of 1.80 indicates that the company's growth potential may justify the current valuation.
 Economic Outlook:
 The overall economic landscape remains uncertain, with concerns about a potential slowdown in the labor market and the yield curve inversion signaling a possible recession. However, the manufacturing sector appears to be showing resilience, and the emergence of new technologies, such as AI, could provide opportunities for companies like Ansys to capitalize on the growing demand for simulation and engineering software.
 Score: 80</t>
  </si>
  <si>
    <t>Investment Report:
 Recent News:
 Aon, a leading global professional services firm, has been making headlines with its strategic moves in the insurance broking industry. The company recently announced the completion of its acquisition of Willis Towers Watson, a major competitor, in a deal valued at $30 billion. This acquisition is expected to strengthen Aon's market position and enhance its ability to provide comprehensive risk management solutions to its clients.
 Financials:
 Aon's financial performance has been robust, with a market capitalization of $75.72 billion and an enterprise value of $93.08 billion. The company's trailing P/E ratio of 27.84 and forward P/E ratio of 19.92 suggest that the stock may be trading at a premium compared to its industry peers. However, the PEG ratio of 1.59 indicates that the company's growth potential may justify the current valuation.
 Economic Outlook:
 The overall economic landscape remains uncertain, with concerns about a potential economic slowdown and the impact of geopolitical tensions. However, the insurance broking industry has historically demonstrated resilience during economic downturns, as businesses and individuals continue to seek risk management solutions.
 Furthermore, the growing demand for specialized insurance products and the increasing adoption of digital technologies in the industry could provide Aon with opportunities for growth and expansion.
 Score: 80</t>
  </si>
  <si>
    <t>Investment Report:
 Recent News:
 The semiconductor industry has faced a series of challenges, including supply chain disruptions and a slowdown in demand. However, Applied Materials, a leading provider of semiconductor manufacturing equipment, has continued to demonstrate resilience. The company's recent financial results have been relatively strong, with revenue and earnings growth exceeding market expectations.
 Financials:
 Applied Materials' financial position remains solid, with a market capitalization of $150.35 billion and an enterprise value of $147.92 billion. The company's trailing P/E ratio of 20.60 and forward P/E ratio of 18.76 suggest that the stock is reasonably valued compared to its peers. Additionally, the PEG ratio of 1.69 indicates that the company's growth potential is not fully reflected in its current stock price.
 Economic Outlook:
 The latest macroeconomic data points to a softening labor market, with job openings declining and the yield curve inverting, signaling a potential economic slowdown. However, the manufacturing sector, which includes the semiconductor industry, appears to be showing some resilience, with factory orders rising in recent months. The emergence of new technologies, such as AI, could also provide opportunities for companies like Applied Materials.
 Score: 80</t>
  </si>
  <si>
    <t>Investment Report:
 Recent News:
 Aptiv PLC, a leading global technology company that designs and manufactures vehicle components and systems, has faced a mix of positive and negative developments in the recent past. On the positive side, the company's partnership with Hyundai to develop autonomous driving technologies has been progressing well, showcasing Aptiv's capabilities in the rapidly evolving automotive technology landscape. However, the company has also been impacted by the ongoing global supply chain challenges, which have affected its ability to meet customer demand.
 Financials:
 Aptiv's financial performance has been relatively strong, with a market capitalization of $16.32 billion and an enterprise value of $21.70 billion. The company's trailing P/E ratio of 5.29 and forward P/E ratio of 9.43 suggest that the stock may be undervalued compared to its peers. Additionally, the PEG ratio of 0.75 indicates that the company's growth potential may not be fully reflected in its current valuation.
 Economic Outlook:
 The latest macroeconomic data points to a softening labor market, with job openings declining and the yield curve inverting, signaling a potential economic slowdown. However, the manufacturing sector, which Aptiv is a part of, appears to be showing some resilience, with factory orders rising 5% in July after two consecutive monthly declines. This suggests that the automotive industry may be weathering the economic headwinds better than other sectors.
 Score: 80</t>
  </si>
  <si>
    <t>Investment Report:
 Recent News:
 Archer Daniels Midland (ADM), a leading global agricultural products and services company, has been navigating the evolving macroeconomic landscape. The company's operations span the agricultural value chain, from sourcing and processing to distribution and transportation.
 Financials:
 ADM's latest financial data indicates a market capitalization of $29.37 billion and an enterprise value of $40.48 billion. The company's trailing P/E ratio stands at 12.08, while the forward P/E ratio is 11.53, suggesting potential growth opportunities. The price-to-sales ratio of 0.35 and the price-to-book ratio of 1.31 suggest the stock may be undervalued compared to its peers.
 Economic Outlook:
 The recent macroeconomic data points to a softening labor market, with job openings declining and the yield curve inverting, signaling a potential economic slowdown. However, the manufacturing sector, which includes the agricultural industry, appears to be holding up better than other sectors. Additionally, the emergence of new technologies, such as AI, could provide opportunities for companies like ADM to enhance their operations and competitiveness.
 Score: 80</t>
  </si>
  <si>
    <t>Investment Report:
 Recent News:
 Arista Networks, a leading provider of cloud networking solutions, has been making headlines in the industry. The company recently announced the launch of its new 400G Ethernet switches, which are designed to meet the growing demand for high-speed data transmission in cloud and data center environments. This move is expected to strengthen Arista's position in the rapidly evolving communications equipment market.
 Financials:
 Arista Networks' financial performance has been impressive, with a market capitalization of $102.43 billion and an enterprise value of $98.02 billion. The company's trailing P/E ratio of 42.38 and forward P/E ratio of 35.21 suggest that the stock may be trading at a premium compared to its industry peers. However, the PEG ratio of 1.86 indicates that the company's growth potential may justify the current valuation.
 Economic Outlook:
 The overall economic landscape remains uncertain, with concerns about a potential slowdown in the labor market and the yield curve inversion. However, the manufacturing sector appears to be showing resilience, which could bode well for Arista Networks as a provider of cloud networking solutions. Additionally, the continued adoption of AI technologies by smaller businesses could create new opportunities for the company.
 Score: 80</t>
  </si>
  <si>
    <t>Investment Report:
 Recent News:
 Assurant, a leading provider of risk management solutions, has been navigating the evolving economic landscape with resilience. The company's diversified business model, which spans various insurance and lifestyle services, has helped it weather the recent market volatility.
 Financials:
 Assurant's financial performance remains solid, with a market capitalization of $10.21 billion and an enterprise value of $10.58 billion. The company's trailing P/E ratio of 13.13 and forward P/E ratio of 10.80 suggest that the stock may be undervalued compared to its peers. Additionally, the company's price-to-sales ratio of 0.91 and price-to-book ratio of 2.04 indicate that the stock is trading at a reasonable valuation.
 Economic Outlook:
 The latest macroeconomic data points to a softening labor market, with job openings declining and the yield curve inverting, signaling a potential economic slowdown. However, the manufacturing sector appears to be holding up better, and the AI sector continues to show promise. These factors could have a mixed impact on Assurant's performance, as the company's diversified business model may help it navigate the economic challenges.
 Score: 80</t>
  </si>
  <si>
    <t>Investment Report:
 Recent News:
 Autodesk, a leading provider of design and engineering software, has been making headlines in the industry. The company recently announced the acquisition of a smaller rival, solidifying its position in the market. Additionally, Autodesk has been investing heavily in research and development, focusing on enhancing its cloud-based offerings and expanding its presence in the growing field of generative design.
 Financials:
 Autodesk's financial performance has been strong, with the company reporting steady revenue growth and improving profitability. The latest financial data shows a market capitalization of $55.12 billion and an enterprise value of $55.85 billion. The company's trailing P/E ratio stands at 52.82, while the forward P/E ratio is 31.55, indicating that the stock may be trading at a premium compared to its peers.
 Economic Outlook:
 The overall economic landscape remains uncertain, with concerns about a potential slowdown in the labor market and the yield curve inversion. However, the manufacturing sector appears to be showing resilience, which could benefit Autodesk's business, as the company serves a significant number of clients in the manufacturing and engineering industries.
 Additionally, the growing adoption of AI technologies by smaller businesses, as evidenced by the SMBTech 50 list, could present new opportunities for Autodesk to expand its customer base and drive further growth.
 Score: 80</t>
  </si>
  <si>
    <t>Investment Report:
 Recent News:
 Adobe Inc. (ADBE) has been in the news for its strong financial performance and strategic acquisitions. The company recently announced the acquisition of Figma, a leading collaborative design platform, for $20 billion, which is expected to strengthen Adobe's position in the digital design and collaboration space.
 Financials:
 Adobe's latest financial data shows a strong financial position. The company has a market capitalization of $255.07 billion and an enterprise value of $253.09 billion. Its trailing P/E ratio is 51.40, and the forward P/E ratio is 27.78, indicating that the stock may be trading at a premium compared to its peers. The PEG ratio (5-year expected) is 1.85, suggesting that the stock may be fairly valued.
 Economic Outlook:
 The overall economic outlook remains uncertain, with concerns about a potential recession and a softening labor market. However, the manufacturing sector appears to be showing some resilience, which could benefit companies like Adobe that serve the technology and design industries.
 The AI sector, in particular, continues to be a focus for investors, and Adobe's recent acquisition of Figma could position the company to capitalize on the growing demand for collaborative design tools and AI-powered solutions.
 Score: 80</t>
  </si>
  <si>
    <t>Investment Report:
 Recent News:
 Agilent Technologies, a leading provider of life sciences tools and services, has continued to demonstrate strong financial performance amidst the evolving macroeconomic landscape. The company's recent earnings report highlighted its ability to navigate the challenges, with solid revenue growth and profitability.
 Financials:
 Agilent's market capitalization stands at $39.70 billion, with an enterprise value of $40.85 billion. The company's trailing P/E ratio of 28.89 and forward P/E ratio of 24.27 suggest that the stock may be trading at a premium compared to its industry peers. However, the PEG ratio of 3.00 indicates that the company's growth potential may justify the valuation.
 Economic Outlook:
 The recent macroeconomic data points to a softening labor market, with job openings declining and the yield curve inverting, signaling a potential economic slowdown. However, the manufacturing sector, which Agilent is a part of, appears to be holding up better than other sectors. Additionally, the continued adoption of emerging technologies, such as AI, could provide opportunities for Agilent to capitalize on the growing demand for its products and services.
 Score: 80</t>
  </si>
  <si>
    <t>Investment Report:
 Recent News:
 Air Products and Chemicals, Inc. (Air Products) is a leading global industrial gases company that provides atmospheric, process, and specialty gases, as well as related equipment and services. The company has been actively expanding its operations globally, with a focus on emerging markets.
 Financials:
 Air Products' latest financial data shows a strong market capitalization of $61.06 billion and an enterprise value of $73.30 billion. The company's trailing P/E ratio stands at 23.91, while the forward P/E ratio is 20.45, indicating a potential for future growth. The PEG ratio (5-year expected) is 1.47, suggesting the stock may be reasonably valued. Additionally, the company's price-to-sales and price-to-book ratios are 5.06 and 4.05, respectively, indicating a premium valuation compared to the industry.
 Economic Outlook:
 The recent macroeconomic data points to a softening labor market, with job openings declining and the yield curve inverting, signaling a potential economic slowdown. However, the manufacturing sector appears to be holding up better, which could benefit Air Products as an industrial gases provider. Additionally, the continued development and adoption of new technologies, such as AI, could create opportunities for the company in the medium to long term.
 Score: 80</t>
  </si>
  <si>
    <t>Investment Report:
 Recent News:
 Albemarle Corporation, a leading specialty chemicals company, has been in the spotlight due to its strategic positioning in the lithium market. The company's lithium production facilities have been operating at full capacity to meet the growing demand for electric vehicles (EVs) and energy storage solutions. This trend is expected to continue as the global transition to clean energy accelerates.
 Financials:
 Albemarle's financial performance has been strong, with a market capitalization of $9.96 billion and an enterprise value of $13.89 billion. The company's trailing P/E ratio of 35.46 and forward P/E ratio of 17.39 suggest that the stock may be trading at a premium, but its PEG ratio of 0.93 indicates that the valuation is reasonable considering the company's growth prospects.
 Economic Outlook:
 The recent macroeconomic data points to a softening labor market, with job openings declining and the yield curve inverting, signaling a potential economic slowdown. However, the manufacturing sector, which includes the specialty chemicals industry, appears to be holding up better than other sectors. Additionally, the continued growth in the EV and energy storage markets is expected to drive demand for Albemarle's lithium products, providing a tailwind for the company's performance.
 Score: 80</t>
  </si>
  <si>
    <t>Investment Report:
 Recent News:
 AutoZone, the leading automotive parts and accessories retailer, has continued to navigate the challenging economic landscape with resilience. The company's recent financial results have been relatively strong, with the company reporting solid revenue growth and maintaining profitability despite the headwinds facing the broader retail sector.
 Financials:
 AutoZone's latest financial data suggests the company is in a stable financial position. The firm's market capitalization stands at $54.10 billion, with an enterprise value of $66.08 billion. The company's trailing P/E ratio of 21.75 and forward P/E ratio of 18.94 indicate that the stock is trading at a reasonable valuation compared to its peers. Additionally, the PEG ratio of 1.49 suggests that the stock may be slightly overvalued, but not significantly so.
 Economic Outlook:
 The recent macroeconomic data points to a softening labor market, with job openings declining and the yield curve inverting, signaling a potential economic slowdown. However, the manufacturing sector, which includes the automotive industry, appears to be showing some resilience, with factory orders rising in July. This suggests that AutoZone may be able to weather the economic headwinds better than some other sectors.
 Furthermore, the emergence of new technologies, such as AI, could provide opportunities for AutoZone to enhance its operations and potentially offset some of the broader economic challenges.
 Score: 80</t>
  </si>
  <si>
    <t>Investment Report:
 Recent News:
 American Electric Power (AEP) has been making strides in its renewable energy initiatives, with plans to add 16.6 gigawatts of new wind and solar generation by 2030. This aligns with the company's goal of achieving an 80% reduction in carbon emissions by 2030 and net-zero emissions by 2050. Additionally, AEP recently announced a $37 billion capital investment plan to modernize its transmission and distribution infrastructure, which is expected to enhance grid reliability and support the growing demand for clean energy.
 Financials:
 AEP's financial performance has been relatively stable, with a trailing P/E ratio of 20.32 and a forward P/E ratio of 17.09, indicating that the stock may be reasonably valued. The company's PEG ratio of 2.00 suggests that the stock is trading at a premium compared to its expected earnings growth. AEP's price-to-sales and price-to-book ratios of 2.74 and 2.07, respectively, are in line with industry averages, indicating that the stock is not significantly overvalued.
 Economic Outlook:
 The recent macroeconomic data points to a softening labor market, with job openings declining and the yield curve inverting, signaling a potential economic slowdown. However, the manufacturing sector appears to be showing some resilience, with factory orders rising in July. The upcoming U.S. federal elections in November 2024 could introduce some uncertainty, as investors may be cautious about the potential policy changes that could arise from a change in administration or Congress.
 Score: 75</t>
  </si>
  <si>
    <t>Investment Report:
 Recent News:
 American Water Works, the largest publicly traded water and wastewater utility company in the United States, has been making headlines for its steady growth and strategic investments. The company recently announced plans to acquire the assets of the City of Allentown, Pennsylvania's water and wastewater systems, further expanding its footprint in the Northeast region.
 Financials:
 American Water Works' financial performance has been robust, with a market capitalization of $28.09 billion and an enterprise value of $41.25 billion. The company's trailing P/E ratio of 29.28 and forward P/E ratio of 25.38 suggest that the stock is trading at a premium compared to the industry average. The PEG ratio of 3.37 indicates that the stock may be overvalued relative to its expected growth rate.
 Economic Outlook:
 The water utilities industry is generally considered a defensive sector, as the demand for water services is relatively inelastic. However, the recent macroeconomic data points to a softening labor market, which could potentially impact the overall economic outlook and consumer spending. Additionally, the ongoing geopolitical tensions and potential disruptions in global supply chains may pose challenges for the industry.
 Score: 75</t>
  </si>
  <si>
    <t>Investment Report:
 Recent News:
 Ameriprise Financial, a leading asset management and custody bank, has seen its stock price fluctuate in recent months amid the broader market volatility. The company's recent financial results have been mixed, with some positive indicators balanced by concerns about the economic outlook.
 Financials:
 Ameriprise Financial's market capitalization stands at $43.49 billion, with an enterprise value of $41.60 billion. The company's trailing P/E ratio is 15.12, while the forward P/E ratio is 11.78, suggesting potential undervaluation. The PEG ratio, which takes into account the company's expected growth, is 1.03, indicating a fair valuation.
 Economic Outlook:
 The recent macroeconomic data points to a softening labor market, with job openings declining and the yield curve inverting, signaling a potential economic slowdown. This could have a moderate impact on Ameriprise Financial's business, as a slowdown in economic activity may affect the demand for its asset management and custody services.
 However, the manufacturing sector appears to be showing some resilience, which could provide some support for the company's performance. Additionally, the continued growth of the AI sector and the adoption of AI technologies by smaller businesses may present opportunities for Ameriprise Financial to expand its offerings and capture new market share.
 Score: 75</t>
  </si>
  <si>
    <t>Investment Report:
 Recent News:
 Baker Hughes, a leading provider of oilfield services and equipment, has been navigating the challenges posed by the ongoing geopolitical tensions and economic uncertainties. The company's operations have been impacted by the continuation of major armed conflicts globally, including the Russian invasion of Ukraine and the instability in regions like the Sahel.
 Financials:
 Baker Hughes' financial performance has shown resilience amidst the market volatility. The company's market capitalization stands at $33.84 billion, with an enterprise value of $37.45 billion. The trailing P/E ratio of 17.25 and the forward P/E ratio of 12.59 suggest that the stock may be reasonably valued. The PEG ratio of 0.69 indicates that the company's growth potential may be underappreciated by the market.
 Economic Outlook:
 The macroeconomic environment remains uncertain, with concerns about a potential economic slowdown and the impact of the yield curve inversion. However, the manufacturing sector, which includes the oil and gas equipment and services industry, has shown some resilience, with factory orders rising in recent months.
 The ongoing geopolitical tensions and the potential for disruptions in global energy supply chains could create opportunities for companies like Baker Hughes to provide critical services and equipment. Additionally, the continued focus on renewable energy and the transition to cleaner energy sources may present new avenues for growth for the company.
 Score: 75</t>
  </si>
  <si>
    <t>Investment Report:
 Recent News:
 Avery Dennison, a leading manufacturer of labeling and packaging materials, has seen its stock price fluctuate in recent months amid broader market volatility. The company's recent financial performance has been mixed, with some positive indicators balanced by concerns about the broader economic outlook.
 Financials:
 Avery Dennison's latest financial data shows a market capitalization of $17.63 billion and an enterprise value of $20.64 billion. The company's trailing P/E ratio stands at 28.27, while the forward P/E ratio is 20.92, suggesting potential growth opportunities. The PEG ratio, which takes into account the company's expected future growth, is 1.34, indicating that the stock may be reasonably valued.
 Economic Outlook:
 The overall economic landscape remains uncertain, with signs of a softening labor market and a potential economic slowdown. However, the manufacturing sector, in which Avery Dennison operates, has shown some resilience, with factory orders rising in recent months. Additionally, the continued adoption of emerging technologies, such as AI, could provide opportunities for companies like Avery Dennison to capitalize on new market trends.
 Score: 75</t>
  </si>
  <si>
    <t>Investment Report:
 Recent News:
 American Express (Amex) has been navigating the evolving economic landscape, with the company's recent earnings report highlighting both challenges and opportunities. The softening labor market, as evidenced by the decline in job openings, could potentially impact consumer spending and demand for Amex's credit card and payment services. Additionally, the yield curve inversion, a classic recession warning signal, suggests that the economic outlook may be clouded by uncertainty.
 Financials:
 Despite the macroeconomic headwinds, Amex's financial metrics remain relatively strong. The company's trailing P/E ratio of 18.98 and forward P/E ratio of 17.12 suggest that the stock may be reasonably valued, while the PEG ratio of 1.92 indicates that the company's growth potential may be priced in. The price-to-sales and price-to-book ratios of 2.92 and 6.12, respectively, suggest that the stock is trading at a premium compared to its peers.
 Economic Outlook:
 The manufacturing sector's resilience, as evidenced by the recent increase in factory orders, could provide some support for Amex's business, as the company's services are often utilized by businesses. Additionally, the continued adoption of AI technologies by smaller businesses, as highlighted by the SMBTech 50 list, may present opportunities for Amex to expand its offerings and capture a larger share of the market.
 However, the upcoming U.S. federal elections in November 2024 could introduce some uncertainty, as investors may be cautious about the potential policy changes that could arise from a change in administration or Congress.
 Score: 75</t>
  </si>
  <si>
    <t>Investment Report:
 Recent News:
 Aflac, the leading provider of supplemental insurance in the United States, has been navigating the evolving economic landscape. The company's recent financial results have shown resilience, with a focus on diversifying its product offerings and expanding its digital capabilities to meet the changing needs of its customers.
 Financials:
 Aflac's market capitalization stands at $61.88 billion, with an enterprise value of $67.74 billion. The company's trailing P/E ratio is 11.49, while the forward P/E ratio is 15.38, indicating potential growth opportunities. The price-to-sales ratio of 3.26 and the price-to-book ratio of 2.35 suggest that the stock may be reasonably valued.
 Economic Outlook:
 The recent macroeconomic data points to a softening labor market, with job openings declining and the yield curve inverting, signaling a potential economic slowdown. However, the manufacturing sector appears to be holding up better, and the AI sector continues to show promise. These factors could have a mixed impact on Aflac's performance in the near term.
 Score: 75</t>
  </si>
  <si>
    <t>Investment Report:
 Recent News:
 [2024 American–Russian Prisoner Exchange]: The largest prisoner exchange between the United States and Russia since the Cold War, with 26 individuals released from Ankara Esenboğa Airport. This event may have a positive impact on the overall US stock market by reducing geopolitical tensions between the two countries. (August 1)
 [Resignation of Bangladesh Prime Minister]: Prime Minister of Bangladesh Sheikh Hasina announces her resignation and flees to India following nationwide protests. This political instability in Bangladesh may have a minor negative impact on the US stock market due to potential economic disruptions in the region. (August 5)
 Financials:
 AES Corporation, an independent power producer and energy trader, has a market capitalization of $12.04 billion and an enterprise value of $38.76 billion. The company's trailing P/E ratio is 15.95, while the forward P/E ratio is 8.03, indicating a potential undervaluation. The PEG ratio, which considers the company's growth prospects, is 0.97, suggesting the stock may be reasonably priced.
 Economic Outlook:
 The recent economic data points to a softening labor market, with job openings falling to the lowest level since January 2021. This decline in job openings suggests that it is becoming more challenging for workers to find employment, indicating a potential slowdown in the economy. Additionally, the 2-year Treasury yield closing below the 10-year counterpart is a classic recession warning signal, further reinforcing the view of an economic slowdown.
 However, the manufacturing sector appears to be showing some resilience, with factory orders rising 5% in July after two consecutive monthly declines. This suggests that the manufacturing industry may be weathering the economic headwinds better than other sectors.
 Score: 75</t>
  </si>
  <si>
    <t>Investment Report:
 Recent News:
 Atmos Energy, a leading natural gas utility company, has been making headlines for its strategic investments in infrastructure and renewable energy initiatives. The company recently announced plans to expand its pipeline network and upgrade its distribution systems, which are expected to enhance its operational efficiency and reliability.
 Financials:
 Atmos Energy's financial performance has been relatively stable, with a market capitalization of $20.52 billion and an enterprise value of $27.72 billion. The company's trailing P/E ratio of 19.48 and forward P/E ratio of 18.59 suggest that the stock is trading at a reasonable valuation. Additionally, the PEG ratio of 3.32 indicates that the company's growth potential may be slightly higher than the industry average.
 Economic Outlook:
 The overall economic landscape remains uncertain, with concerns about a potential economic slowdown and the impact of geopolitical tensions. However, the natural gas industry is expected to continue playing a crucial role in the energy transition, as it is seen as a cleaner alternative to other fossil fuels. Atmos Energy's focus on infrastructure upgrades and renewable energy initiatives could position the company well to capitalize on these industry trends.
 Score: 75</t>
  </si>
  <si>
    <t>Investment Report:
 Recent News:
 AT&amp;T Inc. (AT&amp;T) has been making strategic moves to streamline its business and focus on its core telecommunications operations. The company recently completed the spin-off of its WarnerMedia division, which was merged with Discovery Inc. to form the new media company Warner Bros. Discovery. This divestiture has allowed AT&amp;T to reduce its debt burden and concentrate on its wireless, broadband, and business services segments.
 Financials:
 AT&amp;T's latest financial data suggests a mixed picture. The company's market capitalization stands at $147.49 billion, with an enterprise value of $292.18 billion. The trailing price-to-earnings (P/E) ratio is 11.74, while the forward P/E ratio is 8.94, indicating that the stock may be undervalued compared to its future earnings potential. The PEG ratio (5-year expected) is 1.82, suggesting that the stock may be fairly valued relative to its growth prospects.
 Economic Outlook:
 The recent macroeconomic data points to a softening labor market, with job openings declining and the yield curve inverting, signaling a potential economic slowdown. However, the manufacturing sector appears to be showing some resilience, with factory orders rising. The upcoming U.S. federal elections in November 2024 could also introduce some uncertainty, as investors may be cautious about potential policy changes.
 Score: 75</t>
  </si>
  <si>
    <t>Investment Report:
 Recent News:
 Akamai Technologies, a leading provider of cloud computing and content delivery network services, has been making headlines in the technology industry. The company recently announced the launch of its new Edge Cloud platform, which aims to enhance the delivery of cloud-based applications and services. This move aligns with the growing demand for edge computing solutions, as businesses seek to optimize performance and reduce latency.
 Financials:
 Akamai's financial performance has been relatively strong, with a market capitalization of $15.17 billion and an enterprise value of $18.15 billion. The company's trailing P/E ratio of 24.80 and forward P/E ratio of 14.58 suggest that the stock may be reasonably valued. Additionally, the PEG ratio of 1.23 indicates that the company's growth potential is being priced in at a moderate level.
 Economic Outlook:
 The broader economic landscape is characterized by a softening labor market, with job openings declining and the yield curve inverting, signaling a potential economic slowdown. However, the manufacturing sector appears to be holding up better, and the AI sector continues to show promise. These factors may have a mixed impact on Akamai's performance, as the company's services are essential for businesses across various industries.
 Score: 75</t>
  </si>
  <si>
    <t>Investment Report:
 Recent News:
 Alexandria Real Estate Equities, a leading office REIT, has continued to demonstrate resilience in the face of economic headwinds. The company's focus on life science and technology-related tenants has helped it navigate the challenges posed by the softening labor market and broader economic slowdown.
 Financials:
 Alexandria's financial metrics suggest a mixed picture. While the company's trailing P/E ratio of 146.21 may raise some concerns, its forward P/E of 16.69 indicates that the market expects improved performance in the future. Additionally, the company's price-to-sales ratio of 6.75 and enterprise value-to-revenue ratio of 10.96 suggest that the stock may be trading at a premium compared to its peers.
 Economic Outlook:
 The recent economic data points to a potential slowdown, with job openings declining and the yield curve inverting. However, the manufacturing sector appears to be holding up better, and the AI sector continues to show promise. These factors could provide some support for Alexandria's business, as the company's focus on life science and technology-related tenants may be less affected by broader economic headwinds.
 Score: 75</t>
  </si>
  <si>
    <t>Investment Report:
 Recent News:
 Alliant Energy, a leading electric utility company, has been making strides in its renewable energy initiatives. The company recently announced plans to invest $2 billion in new wind and solar projects, further solidifying its commitment to clean energy. This move aligns with the broader industry trend of transitioning towards more sustainable power generation.
 Financials:
 Alliant Energy's financial performance has been relatively stable, with a market capitalization of $15.17 billion and an enterprise value of $24.83 billion. The company's trailing P/E ratio of 24.00 and forward P/E ratio of 18.08 suggest that the stock may be reasonably valued. Additionally, the PEG ratio of 2.48 indicates that the company's growth potential may be slightly above average.
 Economic Outlook:
 The recent macroeconomic data points to a softening labor market, with job openings declining and the yield curve inverting, signaling a potential economic slowdown. However, the manufacturing sector, which includes the utilities industry, appears to be holding up better than other sectors. This resilience in the manufacturing industry could bode well for Alliant Energy's performance in the near term.
 Score: 75</t>
  </si>
  <si>
    <t>Investment Report:
 Recent News:
 American International Group (AIG) has been making headlines with its strategic initiatives to streamline its operations and enhance its financial performance. The company recently announced the sale of its Fortitude Re business, a move that is expected to strengthen its balance sheet and provide additional financial flexibility.
 Financials:
 AIG's latest financial data suggests a mixed picture. The company's market capitalization stands at $49.38 billion, with an enterprise value of $57.94 billion. The trailing P/E ratio of 14.48 and the forward P/E ratio of 10.37 indicate that the stock may be undervalued compared to its peers. Additionally, the PEG ratio of 0.88 suggests that the company's growth potential may be underappreciated by the market.
 Economic Outlook:
 The overall economic landscape remains uncertain, with concerns about a potential recession looming. The softening labor market and the yield curve inversion are signals that the economy may be slowing down. However, the manufacturing sector has shown some resilience, which could benefit companies like AIG that have exposure to this industry.
 The upcoming U.S. federal elections in November 2024 may also introduce some uncertainty, as investors may be cautious about the potential policy changes that could arise from a change in administration or Congress.
 Score: 75</t>
  </si>
  <si>
    <t>Investment Report:
 Recent News:
 Nvidia's latest financial results revealed several notable developments. The company is expanding its reach beyond its core AI chip business, tapping into various AI-related growth opportunities. However, the market sentiment has been cautious, with the S&amp;P 500 and Nasdaq experiencing back-to-back declines, partly driven by Nvidia's share price drop. Analysts have also raised concerns about the high concentration of Nvidia's revenue, with four customers accounting for nearly half of the company's $30 billion in the second quarter, which is considered unusual for a company of Nvidia's size.
 Financials:
 Nvidia's financial performance has been strong, with the company reporting $30 billion in revenue for the second quarter. However, the high concentration of revenue from a small number of customers could be a potential risk factor, as it makes the company more vulnerable to changes in the customer base or industry dynamics.
 Economic Outlook:
 The broader economic landscape is characterized by a softening labor market, with job openings declining and the yield curve inverting, signaling a potential economic slowdown. This could have implications for Nvidia's business, as a slowdown in economic activity may impact the demand for its products and services.
 Score: 75</t>
  </si>
  <si>
    <t>Investment Report:
 Recent News:
 Amazon's stock has experienced volatility in the past month, with the company's shares declining amid broader market concerns over the economic outlook. The tech sector, in particular, has been hit hard, with Nvidia's recent share drop leading to a global decline in chip-related stocks.
 Financials:
 Amazon's financial metrics suggest a mixed picture. The company's trailing and forward P/E ratios of 42.08 and 29.85, respectively, indicate that the stock may be trading at a premium compared to the industry average. However, the PEG ratio of 1.67 suggests that the stock may be fairly valued based on its expected growth.
 Economic Outlook:
 The recent economic data points to a softening labor market, with job openings falling to the lowest level since January 2021. This decline in job openings suggests that it is becoming more challenging for workers to find employment, indicating a potential slowdown in the economy. Additionally, the 2-year Treasury yield closing below the 10-year counterpart is a classic recession warning signal, further reinforcing the view of an economic slowdown.
 Score: 70</t>
  </si>
  <si>
    <t>Investment Report:
 Recent News:
 Amcor, a leading global packaging company, has been making headlines with its strategic initiatives and financial performance. The company recently announced the acquisition of Bemis, a major player in the flexible packaging industry, which is expected to strengthen Amcor's market position and enhance its product portfolio.
 Financials:
 Amcor's financial data suggests a mixed picture. The company's market capitalization stands at $16.38 billion, with an enterprise value of $22.97 billion. The trailing P/E ratio of 22.40 and the forward P/E ratio of 14.99 indicate that the stock may be reasonably valued. However, the PEG ratio of 4.10 suggests that the stock may be overvalued relative to its expected growth.
 Economic Outlook:
 The overall economic landscape presents both opportunities and challenges for Amcor. The softening labor market and the yield curve inversion signal a potential economic slowdown, which could impact the demand for packaging products. However, the resilience of the manufacturing sector and the continued growth in the adoption of AI technologies may provide some support for the company's performance.
 Score: 70</t>
  </si>
  <si>
    <t>Investment Report:
 Recent News:
 Align Technology, the leading manufacturer of clear aligners and intraoral scanners, has faced a series of challenges in the recent months. The company reported a decline in its second-quarter earnings, citing lower demand for its products due to the ongoing economic uncertainty and inflationary pressures. Additionally, the company has been impacted by the global supply chain disruptions, which have affected its ability to meet customer demand.
 Financials:
 Despite the recent headwinds, Align Technology's financial position remains relatively strong. The company's market capitalization stands at $16.61 billion, with an enterprise value of $15.96 billion. The company's trailing P/E ratio of 38.46 and forward P/E ratio of 21.69 suggest that the stock may be trading at a premium compared to its industry peers. The PEG ratio of 1.28 indicates that the stock may be fairly valued, considering the company's expected growth over the next five years.
 Economic Outlook:
 The overall economic outlook remains uncertain, with concerns about a potential recession looming. The softening labor market, as evidenced by the decline in job openings, and the yield curve inversion suggest that the economy may be slowing down. However, the manufacturing sector, which includes Align Technology's operations, has shown some resilience, with factory orders rising in July.
 The upcoming U.S. federal elections in November 2024 could also introduce some uncertainty, as investors may be cautious about the potential policy changes that could arise from a change in administration or Congress.
 Score: 70</t>
  </si>
  <si>
    <t>Investment Report:
 Recent News:
 A. O. Smith, a leading manufacturer of water heating and water treatment products, has seen its stock price fluctuate in recent months amid broader market volatility. The company's recent financial performance has been mixed, with some positive indicators balanced by concerns about the economic outlook.
 Financials:
 A. O. Smith's market capitalization stands at $11.72 billion, with an enterprise value of $11.65 billion. The company's trailing P/E ratio is 21.00, while the forward P/E ratio is 18.69, suggesting that the stock may be reasonably valued. The PEG ratio, which takes into account the company's expected growth, is 1.87, indicating that the stock may be slightly overvalued.
 Economic Outlook:
 The latest macroeconomic data points to a softening labor market, with job openings declining and the yield curve inverting, signaling a potential economic slowdown. This could have a moderate impact on A. O. Smith's business, as a slowdown in construction and housing activity could affect demand for the company's products.
 However, the manufacturing sector appears to be showing some resilience, with factory orders rising in recent months. Additionally, the continued adoption of AI technologies by smaller businesses could create new opportunities for A. O. Smith, as the company's products and services may be in demand for these emerging applications.
 Score: 70</t>
  </si>
  <si>
    <t>Investment Report:
 Recent News:
 Ball Corporation, a leading global provider of metal and plastic packaging solutions, has faced a mix of positive and negative developments in the recent period. On the positive side, the company's focus on sustainability and its innovative packaging solutions have been well-received by customers, particularly in the beverage and food industries. However, the company has also grappled with supply chain disruptions and inflationary pressures, which have impacted its financial performance.
 Financials:
 Ball Corporation's financial metrics present a mixed picture. The company's market capitalization stands at $19.69 billion, with an enterprise value of $24.14 billion. The trailing P/E ratio of 29.18 and the forward P/E ratio of 18.48 suggest that the stock may be trading at a premium compared to its industry peers. The PEG ratio of 1.29 indicates that the stock may be fairly valued relative to its expected growth rate.
 Economic Outlook:
 The broader economic environment has been challenging, with concerns about a potential economic slowdown and the impact of rising interest rates. However, the manufacturing sector, in which Ball Corporation operates, has shown some resilience, with factory orders rising in recent months. Additionally, the growing demand for sustainable packaging solutions could provide a tailwind for the company's business.
 Score: 70</t>
  </si>
  <si>
    <t>Investment Report:
 Recent News:
 Abbott Laboratories, a leading global healthcare company, has been making headlines in the industry. The company recently announced the successful completion of its acquisition of Cardiovascular Systems, Inc., a medical device company focused on treating peripheral and coronary artery diseases. This strategic move is expected to strengthen Abbott's position in the cardiovascular market and provide synergies that will benefit the company's overall performance.
 Financials:
 Abbott Laboratories' financial metrics suggest a mixed picture. The company's trailing P/E ratio of 36.17 and forward P/E ratio of 22.17 indicate that the stock may be trading at a premium compared to its industry peers. However, the PEG ratio of 4.19 suggests that the stock may be overvalued relative to its expected earnings growth. On the other hand, the company's price-to-sales and price-to-book ratios of 4.92 and 5.07, respectively, suggest that the stock may be reasonably valued.
 Economic Outlook:
 The recent macroeconomic data points to a softening labor market, with job openings declining and the yield curve inverting, signaling a potential economic slowdown. This could have a moderate impact on the healthcare industry, as a slowdown in economic activity may lead to reduced healthcare spending. However, the manufacturing sector, which includes medical equipment and devices, appears to be showing some resilience, which could benefit Abbott Laboratories.
 Score: 70</t>
  </si>
  <si>
    <t>Investment Report:
 Recent News:
 Allegion, a leading provider of security products and solutions, has faced a mixed landscape in the recent months. The company's performance has been impacted by the ongoing global supply chain challenges and inflationary pressures, which have affected the broader building products industry.
 Financials:
 Allegion's financial metrics present a mixed picture. The company's market capitalization stands at $11.97 billion, with an enterprise value of $13.62 billion. The trailing P/E ratio of 21.78 and the forward P/E ratio of 17.57 suggest that the stock may be reasonably valued, although the PEG ratio of 1.76 indicates that the company's growth prospects may not be fully reflected in the current stock price.
 Economic Outlook:
 The macroeconomic environment remains challenging, with concerns about a potential economic slowdown and the impact of rising interest rates. The softening labor market and the yield curve inversion are signals that the economy may be facing headwinds, which could have implications for the building products industry.
 However, the resilience of the manufacturing sector and the continued growth in the adoption of emerging technologies, such as AI, provide some positive signals for the industry. Additionally, the political landscape remains relatively stable, with no major new events that would significantly impact the stock market.
 Score: 70</t>
  </si>
  <si>
    <t>Investment Report:
 Recent News:
 Baxter International, a leading global medical device and pharmaceutical company, has faced a series of challenges in recent months. The company recently announced a recall of certain infusion pumps due to potential software issues, raising concerns about product safety and quality control. Additionally, Baxter has been impacted by the ongoing global supply chain disruptions, which have affected the availability and pricing of key raw materials.
 Financials:
 Baxter's financial performance has been mixed. The company's market capitalization stands at $19.15 billion, with an enterprise value of $30.39 billion. The forward P/E ratio of 12.02 suggests that the stock may be reasonably valued, but the lack of a trailing P/E ratio indicates potential profitability concerns. The price-to-sales and price-to-book ratios of 1.28 and 2.53, respectively, suggest that the stock may be trading at a discount compared to its peers.
 Economic Outlook:
 The broader economic environment remains uncertain, with signs of a potential slowdown in the labor market and concerns about a possible recession. The manufacturing sector, however, has shown some resilience, which could benefit Baxter's medical device business. Additionally, the continued adoption of AI technologies in the healthcare industry may present opportunities for Baxter to enhance its product offerings and operational efficiency.
 Score: 70</t>
  </si>
  <si>
    <t>Investment Report:
 Recent News:
 Merck's stock performance has been relatively muted this year, despite the company's overall business growth. The pharmaceutical giant remains heavily dependent on its blockbuster cancer drug Keytruda, which accounts for nearly 50% of its total revenue. This heavy reliance on a single product poses a risk, as any setbacks or competition for Keytruda could significantly impact Merck's financial performance.
 Financials:
 Merck's financial results have been solid, with the company reporting strong revenue and earnings growth in recent quarters. However, the company's profit margins have been under pressure due to increased competition and pricing pressures in the pharmaceutical industry. Additionally, Merck's research and development expenses have been rising as the company invests in its pipeline of new drug candidates.
 Economic Outlook:
 The broader economic environment remains challenging, with concerns about a potential recession and the impact of rising interest rates. These macroeconomic factors could affect the pharmaceutical industry, as they may impact consumer spending and healthcare budgets. Additionally, the ongoing geopolitical tensions and supply chain disruptions could also pose risks to Merck's operations and financial performance.
 Score: 70</t>
  </si>
  <si>
    <t>Investment Report:
 Recent News:
 Best Buy, the leading consumer electronics retailer, has faced a challenging environment in the past year. The company has grappled with supply chain disruptions, inflationary pressures, and a softening consumer demand. However, the company's recent efforts to streamline its operations and focus on its core business segments have shown some promising signs.
 Financials:
 Best Buy's financial performance has been mixed. The company's revenue has remained relatively stable, with a trailing 12-month revenue of $47.3 billion. However, its profitability has been under pressure, with a trailing 12-month net income of $1.2 billion and a trailing P/E ratio of 17.43. The company's forward P/E ratio of 16.78 suggests that the market expects a slight improvement in its earnings in the coming year.
 Economic Outlook:
 The overall economic outlook remains uncertain, with concerns about a potential recession looming. The softening labor market and the yield curve inversion are signals of a potential economic slowdown. However, the manufacturing sector has shown some resilience, which could benefit companies like Best Buy that rely on the production and distribution of consumer electronics.
 Additionally, the emergence of new technologies, such as AI, could create opportunities for companies like Best Buy to enhance their operations and customer experience, potentially offsetting some of the broader economic challenges.
 Score: 70</t>
  </si>
  <si>
    <t>Investment Report:
 Recent News:
 Altria Group, the leading tobacco company in the United States, has faced several challenges in the recent past. The company's core cigarette business has been under pressure due to declining smoking rates and increasing regulatory scrutiny. Additionally, Altria's investment in e-cigarette maker Juul has been a source of concern, as the vaping industry has faced its own set of regulatory hurdles and public health issues.
 Financials:
 Despite these headwinds, Altria's financial performance has remained relatively stable. The company's market capitalization stands at $93.35 billion, with an enterprise value of $116.57 billion. Altria's trailing P/E ratio of 9.32 and forward P/E ratio of 10.33 suggest that the stock may be undervalued compared to its peers. However, the company's PEG ratio of 4.32 indicates that its growth prospects may be limited.
 Economic Outlook:
 The overall economic outlook for the tobacco industry remains uncertain. The recent macroeconomic data points to a softening labor market, which could impact consumer spending and potentially affect Altria's sales. Additionally, the ongoing political and geopolitical tensions may introduce further volatility in the stock market, which could impact Altria's share price.
 Score: 65</t>
  </si>
  <si>
    <t>AAL</t>
  </si>
  <si>
    <t>Investment Report:
 Recent News:
 [Voepass Linhas Aéreas Flight 2323 Crash]: A tragic event that may have a minor, temporary negative impact on the US stock market due to concerns about air travel safety.
 [Israel's Preemptive Strikes in Lebanon]: This regional conflict may have a minor negative impact on the US stock market due to increased geopolitical tensions.
 Financials:
 American Airlines Group's financial data suggests a mixed outlook. The company's market capitalization of $6.98 billion and enterprise value of $37.98 billion indicate a relatively large and established player in the Passenger Airlines industry. The trailing P/E ratio of 15.04 and forward P/E ratio of 4.48 suggest the stock may be undervalued, while the PEG ratio of 0.12 indicates potential for future growth. However, the high Enterprise Value/EBITDA ratio of 19.00 raises concerns about the company's debt levels and profitability.
 Economic Outlook:
 The recent macroeconomic data points to a softening labor market, with job openings falling and the yield curve inverting, signaling a potential economic slowdown. This could have a negative impact on the Passenger Airlines industry, as a slowdown in economic activity may lead to reduced travel demand.
 Score: 65</t>
  </si>
  <si>
    <t>Investment Report:
 Without any recent news or financial data provided, it is difficult to make a comprehensive assessment of Morgan Stanley's investment potential in the Investment Banking &amp; Brokerage industry for the next month. The macroeconomic outlook, as described, suggests a softening labor market and potential economic slowdown, which could impact the overall performance of the financial sector.
 However, the resilience of the manufacturing sector and the continued growth of emerging technologies, such as AI, may provide some opportunities for firms like Morgan Stanley to navigate the challenging environment. Additionally, the potential for a Federal Reserve interest rate cut in September could offer some support to the market.
 Given the limited information available, a cautious approach is warranted. Morgan Stanley's performance in the next month will likely depend on its ability to adapt to the evolving economic conditions and capitalize on any emerging trends within the industry.
 Score: 65</t>
  </si>
  <si>
    <t>BBWI</t>
  </si>
  <si>
    <t>Investment Report:
 Recent News:
 Bath &amp; Body Works, Inc. has faced some challenges in the recent past. The company reported a decline in sales and earnings in its latest quarterly results, citing macroeconomic headwinds and changing consumer preferences. However, the company has been taking steps to adapt to the changing market conditions, including expanding its e-commerce presence and focusing on its core product categories.
 Financials:
 Bath &amp; Body Works' financial metrics present a mixed picture. The company's trailing P/E ratio of 7.40 and forward P/E ratio of 9.44 suggest that the stock may be undervalued compared to its peers. However, the company's Enterprise Value/EBITDA ratio of 6.93 is relatively high, indicating that the stock may not be as attractively priced as it appears.
 Economic Outlook:
 The overall economic outlook remains uncertain, with concerns about a potential recession and the impact of ongoing geopolitical tensions. This could have a negative impact on consumer spending, which could in turn affect Bath &amp; Body Works' performance. However, the company's focus on e-commerce and its core product categories may help it weather the economic challenges better than some of its competitors.
 Score: 65</t>
  </si>
  <si>
    <t>Investment Report:
 Recent News:
 AvalonBay Communities, a leading real estate investment trust (REIT) in the multi-family residential sector, has been navigating the evolving economic landscape. The company's recent financial performance and industry outlook suggest both opportunities and challenges.
 Financials:
 AvalonBay's market capitalization stands at $32.31 billion, with an enterprise value of $40.29 billion. The company's trailing P/E ratio is 38.43, and the forward P/E ratio is 40.16, indicating a relatively high valuation. The PEG ratio, which considers the company's growth prospects, is 6.28, suggesting the stock may be overvalued compared to its expected earnings growth. Additionally, the company's price-to-sales and price-to-book ratios are 11.37 and 2.75, respectively, further highlighting its premium valuation.
 Economic Outlook:
 The latest macroeconomic data points to a softening labor market, with job openings declining and the yield curve inverting, signaling a potential economic slowdown. This could have implications for the multi-family residential sector, as a weaker job market may impact rental demand and occupancy rates. However, the manufacturing sector appears to be showing some resilience, which could provide some support for the broader economy.
 Emerging Technologies:
 The growing adoption of AI technologies by smaller businesses, as evidenced by the SMBTech 50 list, could have positive implications for the real estate industry, including AvalonBay. The development of new AI-powered processors and their potential to disrupt the traditional semiconductor industry may also create opportunities for investors in the sector.
 Score: 65</t>
  </si>
  <si>
    <t>Investment Report:
 Recent News:
 Airbnb, the leading online platform for vacation rentals and experiences, has been navigating a dynamic hospitality landscape amidst the ongoing economic uncertainties. The company's recent financial performance has been a mixed bag, with some positive signs but also areas of concern.
 Financials:
 Airbnb's market capitalization stands at $72.86 billion, with an enterprise value of $63.88 billion. The company's trailing P/E ratio is 15.65, while the forward P/E ratio is 22.88, indicating that the stock may be trading at a premium compared to its expected future earnings. The PEG ratio, which takes into account the company's growth prospects, is relatively high at 21.99, suggesting that the stock may be overvalued.
 Economic Outlook:
 The overall economic outlook remains cautious, with signs of a potential slowdown in the labor market and concerns about a possible recession. However, the manufacturing sector has shown some resilience, which could bode well for Airbnb's business, as it relies on a healthy travel and tourism industry.
 The upcoming U.S. federal elections in November 2024 could introduce some uncertainty, as investors may be cautious about the potential policy changes that could arise from a change in administration or Congress. Additionally, the ongoing geopolitical tensions and regional conflicts may have a minor negative impact on the stock market, including Airbnb's performance.
 Score: 65</t>
  </si>
  <si>
    <t>Investment Report:
 Recent News:
 Allstate, a leading property and casualty insurance provider, has faced a series of challenges in the recent months. The company reported a net loss of $1.06 billion in the second quarter of 2024, primarily due to higher catastrophe losses and increased claims costs. This has led to a decline in the company's stock price, which has underperformed the broader market.
 Financials:
 Allstate's financial metrics present a mixed picture. The company's trailing P/E ratio of 17.25 and forward P/E ratio of 10.94 suggest that the stock may be undervalued compared to its peers. However, the lack of a PEG ratio and the high Enterprise Value/EBITDA ratio indicate that the company's growth prospects may be uncertain.
 Economic Outlook:
 The overall economic environment remains uncertain, with concerns about a potential recession looming. The softening labor market and the yield curve inversion suggest that the economy may be slowing down, which could have a negative impact on the insurance industry. Additionally, the upcoming U.S. federal elections in November 2024 could introduce further uncertainty, as investors may be cautious about potential policy changes.
 Score: 65</t>
  </si>
  <si>
    <t>Investment Report:
 Without any recent news or financial data provided, it is difficult to make a comprehensive assessment of the investment potential of Coca-Cola Company (The) in the Soft Drinks &amp; Non-alcoholic Beverages industry for the next month.
 The macroeconomic outlook suggests a softening labor market and potential economic slowdown, which could impact consumer spending and demand for Coca-Cola's products. However, the manufacturing sector's resilience and the continued growth of emerging technologies, such as AI, may provide some support for the overall market.
 Given the limited information available, it would be prudent to closely monitor the company's financial performance, industry trends, and the broader economic conditions before making an informed investment decision.
 Score: 60</t>
  </si>
  <si>
    <t>Investment Report:
 Without any recent news or financial data provided, it is difficult to make a comprehensive assessment of Intuit's investment potential in the Application Software industry for the next month. The macroeconomic outlook, however, suggests a softening labor market and potential economic slowdown, which could have a mixed impact on the software industry.
 The AI sector's continued growth and adoption by smaller businesses may present opportunities for Intuit, as the company's products and services could benefit from this trend. However, the overall market volatility and uncertainty around the economic trajectory could pose challenges for the firm.
 Given the lack of specific information about Intuit's current performance and position, a cautious approach is warranted. Further research and analysis of the company's financials, competitive landscape, and management strategy would be necessary to provide a more informed investment recommendation.
 Score: 60</t>
  </si>
  <si>
    <t>Investment Report:
 Without any recent news or financial data provided, it is difficult to make a comprehensive assessment of Lockheed Martin's investment potential in the Aerospace &amp; Defense industry for the next month. The macroeconomic outlook suggests a softening labor market and potential economic slowdown, which could impact the overall industry performance. However, the manufacturing sector appears to be showing some resilience, and the emergence of new technologies like AI may provide opportunities for companies in the Aerospace &amp; Defense space.
 Given the lack of specific information about Lockheed Martin's current situation, it would be prudent to exercise caution when evaluating the company's investment value. A more thorough analysis of the company's financials, market position, and strategic initiatives would be necessary to provide a more accurate assessment.
 Score: 60</t>
  </si>
  <si>
    <t>Investment Report:
 Without any recent news or financial data provided, it is difficult to make a comprehensive assessment of Caterpillar Inc.'s investment potential in the Construction Machinery &amp; Heavy Transportation Equipment industry for the next month.
 The macroeconomic outlook suggests a softening labor market and potential economic slowdown, which could impact the overall demand for construction equipment and machinery. However, the resilience of the manufacturing sector may provide some support for companies like Caterpillar.
 Additionally, the development of new technologies, such as AI-powered processors, could create opportunities for companies in the industry to adapt and potentially offset the broader economic challenges.
 Given the limited information available, a cautious approach is warranted when evaluating Caterpillar's investment value in the short term.
 Score: 60</t>
  </si>
  <si>
    <t>Investment Report:
 Without any recent news or financial data provided, it is difficult to make a comprehensive assessment of the investment potential of NXP Semiconductors. The semiconductor industry is heavily influenced by macroeconomic factors, such as the overall economic outlook, consumer demand, and technological advancements.
 The latest macroeconomic data suggests a softening labor market, with job openings declining and the yield curve inverting, which could signal a potential economic slowdown. However, the manufacturing sector, including the semiconductor industry, appears to be showing some resilience.
 Additionally, the continued development and adoption of emerging technologies, such as artificial intelligence, could create new opportunities for semiconductor companies like NXP Semiconductors. However, without access to the company's recent financial performance and market positioning, it is challenging to determine the specific investment value of NXP Semiconductors in the current environment.
 Score: 60</t>
  </si>
  <si>
    <t>Investment Report:
 Without any recent news or financial data provided, it is difficult to make a comprehensive assessment of the investment potential of Raymond James in the Investment Banking &amp; Brokerage industry for the next month. The macroeconomic outlook, as described, suggests a softening labor market and potential economic slowdown, which could have a mixed impact on the performance of financial services firms like Raymond James.
 However, the continued growth and adoption of emerging technologies, such as AI, may present opportunities for firms that can adapt and capitalize on these trends. Additionally, the political landscape, while relatively stable, could introduce some uncertainty depending on the outcome of the upcoming U.S. federal elections.
 Given the limited information available, it would be prudent to further research and analyze the company's financial health, competitive positioning, and ability to navigate the current economic and market conditions before making any investment decisions.
 Score: 60</t>
  </si>
  <si>
    <t>Investment Report:
 Without any recent news or financial data provided, it is difficult to make a comprehensive assessment of Honeywell's investment potential in the Industrial Conglomerates industry for the next month. The macroeconomic outlook suggests a softening labor market and potential economic slowdown, which could impact the overall performance of industrial conglomerates. However, the resilience of the manufacturing sector and the emergence of new technologies, such as AI, may provide some opportunities for companies like Honeywell.
 Given the limited information available, a cautious approach is warranted. The company's ability to navigate the current economic landscape and capitalize on emerging trends will be crucial in determining its investment value in the short term.
 Score: 60</t>
  </si>
  <si>
    <t>Investment Report:
 Without any recent news or financial data provided, it is difficult to make a comprehensive assessment of Qualcomm's investment potential in the Semiconductors industry for the next month. The macroeconomic outlook suggests a softening labor market and potential economic slowdown, which could impact the overall semiconductor industry. However, the development of new AI-powered processors by Qualcomm could present opportunities for the company to disrupt the traditional semiconductor landscape.
 Given the lack of specific information about Qualcomm's current performance and position, a cautious approach is warranted. The company's ability to navigate the evolving economic and technological landscape will be crucial in determining its investment value in the near term.
 Score: 60</t>
  </si>
  <si>
    <t>Investment Report:
 Without any recent news or financial data provided, it is difficult to make a comprehensive assessment of Visa Inc.'s investment potential in the Transaction &amp; Payment Processing Services industry for the next month. The macroeconomic outlook suggests a softening labor market and potential economic slowdown, which could impact the overall industry performance. However, the resilience of the manufacturing sector and the continued growth of emerging technologies, such as AI, may provide some support.
 Given the limited information available, a cautious approach is warranted. The company's ability to navigate the evolving economic landscape and adapt to industry trends will be crucial factors in determining its investment value.
 Score: 60</t>
  </si>
  <si>
    <t>Investment Report:
 Without any recent news or financial data provided, it is difficult to provide a comprehensive assessment of the investment potential of State Street Corporation in the Asset Management &amp; Custody Banks industry for the next month.
 Economic Outlook:
 The macroeconomic environment appears to be softening, with a decline in job openings and an inverted yield curve, which could signal a potential economic slowdown. However, the manufacturing sector has shown some resilience, and the AI sector continues to present opportunities for investors.
 Given the limited information available, it is challenging to determine the specific impact on State Street Corporation and its industry. The company's performance would likely depend on its ability to navigate the evolving economic conditions and capitalize on any emerging trends in the asset management and custody banking sectors.
 Score: 60</t>
  </si>
  <si>
    <t>Investment Report:
 Without any recent news or financial data provided, it is difficult to make a comprehensive assessment of Procter &amp; Gamble's investment potential in the Personal Care Products industry for the next month. The macroeconomic outlook suggests a softening labor market and potential economic slowdown, which could impact consumer spending and demand for personal care products. However, the manufacturing sector's resilience and the continued growth of emerging technologies, such as AI, may provide some support for the industry.
 Given the limited information available, a cautious approach is warranted. The company's performance and outlook will largely depend on its ability to navigate the evolving economic conditions and adapt to changing consumer preferences. Further research and analysis of the company's financials, competitive positioning, and management strategies would be necessary to provide a more informed investment recommendation.
 Score: 60</t>
  </si>
  <si>
    <t>Investment Report:
 Without any recent news or financial data provided, it is difficult to make a comprehensive assessment of Northrop Grumman's investment potential in the Aerospace &amp; Defense industry for the next month. The macroeconomic outlook suggests a softening labor market and potential economic slowdown, which could impact the overall industry. However, the manufacturing sector appears to be showing some resilience, and the development of new technologies, such as AI, may create opportunities for companies in the Aerospace &amp; Defense space.
 Given the lack of specific information about Northrop Grumman's current performance and outlook, it would be prudent to exercise caution when evaluating the company's investment value. A more thorough analysis of the company's financials, market position, and growth prospects would be necessary to provide a more informed assessment.
 Score: 60</t>
  </si>
  <si>
    <t>Investment Report:
 Without any recent news or financial data provided, it is difficult to make a comprehensive assessment of Nasdaq, Inc.'s investment potential in the Financial Exchanges &amp; Data industry for the next month. The macroeconomic outlook suggests a softening labor market and potential economic slowdown, which could impact the overall financial sector. However, the resilience of the manufacturing sector and the continued growth of emerging technologies, such as AI, may provide some support for the industry.
 Given the limited information available, a cautious approach is warranted. The stock market's performance in the near term is likely to remain volatile, and investors should closely monitor the economic data and policy decisions that could affect the financial industry.
 Score: 60</t>
  </si>
  <si>
    <t>Investment Report:
 Without any recent news or financial data provided, it is difficult to make a comprehensive assessment of Colgate-Palmolive's investment potential in the Household Products industry for the next month. The macroeconomic outlook suggests a softening labor market and potential economic slowdown, which could impact consumer spending and demand for household products. However, the manufacturing sector appears to be showing some resilience, and the emergence of new technologies like AI may present opportunities for the industry.
 Given the lack of specific information about Colgate-Palmolive's current performance and position, a cautious approach is warranted. The company's ability to navigate the evolving economic conditions and adapt to changing consumer preferences will be crucial factors in determining its investment value in the near term.
 Score: 60</t>
  </si>
  <si>
    <t>Investment Report:
 Without any recent news or financial data provided, it is difficult to make a comprehensive assessment of General Dynamics' investment potential in the Aerospace &amp; Defense industry for the next month. The macroeconomic outlook suggests a softening labor market and potential economic slowdown, which could impact the overall industry. However, the manufacturing sector appears to be showing some resilience, and the development of new technologies, such as AI, may create opportunities for companies in the Aerospace &amp; Defense space.
 Given the lack of specific information about General Dynamics' current performance and position, it is prudent to take a cautious approach when evaluating the company's investment value. The stock market is likely to remain volatile in the near term, and the company's performance will depend on its ability to navigate the evolving economic and industry landscape.
 Score: 60</t>
  </si>
  <si>
    <t>Investment Report:
 Without any recent news or financial data provided, it is difficult to assess the current situation and investment potential of Republic Services, a company in the Environmental &amp; Facilities Services industry. 
 The macroeconomic outlook suggests a softening labor market and potential economic slowdown, which could impact demand for the services provided by Republic Services. However, the manufacturing sector appears to be showing some resilience, which may benefit companies in the environmental and facilities services industry.
 Additionally, the emergence of new technologies, such as AI, could present opportunities for companies like Republic Services to improve operational efficiency and adapt to changing market conditions.
 Overall, the lack of recent information makes it challenging to provide a comprehensive investment analysis. A more thorough review of the company's financials, competitive positioning, and management strategy would be necessary to determine the appropriate investment value.
 Score: 60</t>
  </si>
  <si>
    <t>Investment Report:
 Without any recent news or financial data provided, it is difficult to provide a comprehensive assessment of Emerson Electric's investment potential in the Electrical Components &amp; Equipment industry for the next month. 
 The macroeconomic outlook suggests a softening labor market and potential economic slowdown, which could impact the overall industry performance. However, the manufacturing sector appears to be showing some resilience, which may bode well for Emerson Electric.
 Additionally, the continued advancements in emerging technologies, such as AI, could present opportunities for companies in the Electrical Components &amp; Equipment industry, including Emerson Electric.
 Given the limited information available, a cautious approach is warranted. Further research and analysis of the company's financials, competitive positioning, and management strategy would be necessary to provide a more informed investment recommendation.
 Score: 60</t>
  </si>
  <si>
    <t>Investment Report:
 Without any recent news or financial data provided, it is difficult to make a comprehensive assessment of the investment potential of PNC Financial Services in the Regional Banks industry for the next month. The macroeconomic outlook, as described, suggests a softening labor market and potential economic slowdown, which could have a mixed impact on the banking sector.
 However, the manufacturing sector's resilience and the continued growth of emerging technologies, such as AI, may provide some offsetting factors. Additionally, the potential for a Federal Reserve interest rate cut in September could be a positive catalyst for the industry.
 Given the limited information available, a cautious approach is warranted. Further research and analysis of the company's specific financial performance, market positioning, and management strategies would be necessary to provide a more informed investment recommendation.
 Score: 60</t>
  </si>
  <si>
    <t>Investment Report:
 Without any recent news or financial data provided, it is difficult to make a comprehensive assessment of Broadridge Financial Solutions' investment potential in the Data Processing &amp; Outsourced Services industry for the next month. 
 The macroeconomic outlook suggests a softening labor market and potential economic slowdown, which could impact the overall industry performance. However, the manufacturing sector appears to be showing resilience, and the emergence of new technologies like AI may present opportunities for companies in the data processing and outsourcing space.
 Given the lack of specific information about Broadridge Financial Solutions, it is prudent to take a cautious approach when evaluating the company's investment value in the current market environment. Further research and analysis of the company's financials, competitive positioning, and growth strategies would be necessary to provide a more informed assessment.
 Score: 60</t>
  </si>
  <si>
    <t>Investment Report:
 Without any recent news or financial data provided, it is difficult to provide a comprehensive assessment of Microsoft's investment potential in the Systems Software industry for the next month. The macroeconomic outlook, however, suggests a potentially volatile period ahead for the stock market, with concerns about a softening labor market and a potential economic slowdown.
 The AI sector, in which Microsoft is a key player, continues to show promise, with the adoption of AI technologies by smaller businesses accelerating. This could present opportunities for Microsoft, but the overall market conditions may pose challenges.
 Given the lack of specific information about Microsoft's current performance and outlook, a cautious approach is warranted. The company's long-term fundamentals and its position in the growing AI market may provide some support, but the short-term investment potential remains uncertain.
 Score: 60</t>
  </si>
  <si>
    <t>Investment Report:
 Without any recent news or financial data provided, it is difficult to make a comprehensive assessment of BlackRock's investment potential in the Asset Management &amp; Custody Banks industry for the next month. The macroeconomic outlook, which indicates a softening labor market and potential economic slowdown, could have a mixed impact on the asset management sector. However, the continued growth and adoption of emerging technologies, such as AI, may present opportunities for firms like BlackRock to capitalize on.
 Given the limited information available, a cautious approach is warranted. The company's performance and outlook would need to be evaluated in the context of the broader industry and economic trends to determine its investment value accurately.
 Score: 60</t>
  </si>
  <si>
    <t>Investment Report:
 Without any recent news or financial data provided, it is difficult to provide a comprehensive assessment of the investment potential of Estée Lauder Companies (The) in the Personal Care Products industry for the next month. The macroeconomic outlook suggests a softening labor market and potential economic slowdown, which could impact consumer spending and demand for personal care products. However, the manufacturing sector appears to be showing some resilience, and the emergence of new technologies, such as AI, may create opportunities for companies in this industry.
 Given the lack of specific information about Estée Lauder's current performance and outlook, it is prudent to take a cautious approach when evaluating the investment potential of the company. Further research and analysis of the company's financials, market position, and competitive landscape would be necessary to provide a more informed assessment.
 Score: 60</t>
  </si>
  <si>
    <t>Investment Report:
 Recent News:
 3M, the industrial conglomerate, has faced a series of challenges in recent months. The company has been embroiled in legal battles related to its earplugs used by the U.S. military, which has led to significant liabilities and potential payouts. Additionally, 3M has been impacted by the ongoing global supply chain disruptions and inflationary pressures, which have affected its manufacturing operations and profitability.
 Financials:
 The latest financial data for 3M paints a mixed picture. The company's market capitalization stands at $72.60 billion, with an enterprise value of $75.95 billion. The trailing P/E ratio is relatively high at 50.91, while the forward P/E ratio is more reasonable at 16.69. The PEG ratio, which takes into account the company's expected growth, is 1.90, suggesting the stock may be overvalued. The price-to-sales and price-to-book ratios are also elevated, indicating the stock may be trading at a premium.
 Economic Outlook:
 The broader economic landscape is characterized by a softening labor market, with job openings declining and the yield curve inverting, signaling a potential economic slowdown. However, the manufacturing sector, in which 3M operates, appears to be holding up better than other sectors. The emergence of new technologies, such as AI, could also provide opportunities for 3M and the industrial conglomerate industry.
 Score: 60</t>
  </si>
  <si>
    <t>Investment Report:
 Without any recent news or financial data provided, it is difficult to make a comprehensive assessment of Sherwin-Williams' investment potential in the Specialty Chemicals industry for the next month. The macroeconomic outlook suggests a softening labor market and potential economic slowdown, which could impact the overall industry performance. However, the manufacturing sector appears to be showing some resilience, which may benefit Sherwin-Williams as a player in the Specialty Chemicals industry.
 Given the limited information available, a cautious approach is warranted. The company's ability to navigate the current economic environment and maintain its competitive edge will be crucial factors in determining its investment value. Further research and analysis of the company's financials, market position, and management strategies would be necessary to provide a more informed assessment.
 Score: 60</t>
  </si>
  <si>
    <t>Investment Report:
 Without any recent news or financial data provided, it is difficult to assess the potential investment value of News Corp (Class A) in the Publishing industry for the next month. The macroeconomic outlook suggests a softening labor market and potential economic slowdown, which could have a mixed impact on the publishing industry. However, the emergence of new technologies, such as AI, may present opportunities for companies in this sector to adapt and potentially offset some of the broader economic challenges.
 Given the lack of specific information about News Corp's current performance and outlook, it is not possible to provide a well-informed investment score. A more comprehensive analysis would require access to the company's latest financial statements, industry trends, and management's strategic initiatives.
 Score: 50</t>
  </si>
  <si>
    <t>Investment Report:
 Without any recent news or financial data provided, it is difficult to make a comprehensive assessment of Mondelez International's investment potential in the Packaged Foods &amp; Meats industry for the next month. 
 The overall economic outlook, as mentioned in the macroeconomic context, suggests a softening labor market and potential economic slowdown. This could have implications for consumer spending and demand for packaged food products. However, the resilience of the manufacturing sector may provide some support for companies like Mondelez International.
 Without access to the company's latest financial performance, market position, and strategic initiatives, it is challenging to determine the specific factors that could impact Mondelez International's short-term investment value. A more thorough analysis of the company's fundamentals and industry dynamics would be necessary to provide a meaningful investment score.
 Score: 50</t>
  </si>
  <si>
    <t>Investment Report:
 Without any recent news or financial data provided, it is difficult to assess the potential investment value of Netflix in the Movies &amp; Entertainment industry for the next month. The macroeconomic outlook suggests a softening labor market and potential economic slowdown, which could impact consumer spending and demand for entertainment services. However, the resilience of the manufacturing sector and the continued growth of emerging technologies, such as AI, may provide some support for the industry.
 Given the lack of specific information about Netflix's current performance and outlook, it is not possible to provide a well-informed investment score. Any assessment would be highly speculative and subject to significant uncertainty.
 Score: 50</t>
  </si>
  <si>
    <t>Investment Report:
 Without any recent news or financial data provided, it is difficult to provide a comprehensive assessment of Moody's Corporation's investment potential in the Financial Exchanges &amp; Data industry for the next month. The macroeconomic outlook, as described, suggests a softening labor market and potential economic slowdown, which could have implications for the financial sector. However, the manufacturing sector's resilience and the continued growth of emerging technologies, such as AI, may offer some counterbalancing factors.
 Given the lack of company-specific information, it would be speculative to assign a precise investment score. The overall market volatility and economic uncertainty warrant a cautious approach, and a more thorough analysis of Moody's Corporation's financial performance, competitive positioning, and growth prospects would be necessary to provide a meaningful investment recommendation.
 Score: 50</t>
  </si>
  <si>
    <t>Investment Report:
 Without any recent news or financial data provided, it is difficult to make a comprehensive assessment of the investment potential of The Mosaic Company in the Fertilizers &amp; Agricultural Chemicals industry for the next month.
 The macroeconomic outlook suggests a softening labor market and potential economic slowdown, which could impact the overall demand for fertilizers and agricultural chemicals. However, the resilience of the manufacturing sector and the continued growth of emerging technologies, such as AI, may provide some support for the industry.
 Given the lack of specific information about The Mosaic Company's current performance and outlook, it is not possible to provide a reliable investment score at this time. A more thorough analysis would be required, taking into account the company's financial statements, market position, competitive landscape, and management's strategic initiatives.
 Score: 50</t>
  </si>
  <si>
    <t>Investment Report:
 Without any recent news or financial data provided, it is difficult to make a comprehensive assessment of Motorola Solutions' investment potential in the Communications Equipment industry for the next month. The macroeconomic outlook, however, suggests a potentially challenging environment for the broader market, with concerns about a softening labor market and a potential economic slowdown.
 The ongoing volatility in the stock market, particularly in the tech sector, could also have implications for Motorola Solutions, as it operates in the communications equipment space. Additionally, the political landscape, including the upcoming U.S. federal elections, may introduce some uncertainty that could impact the company's performance.
 Given the limited information available, it would be prudent to exercise caution and closely monitor any new developments or financial data that may emerge in the coming weeks before making an informed investment decision.
 Score: 50</t>
  </si>
  <si>
    <t>Investment Report:
 Without any recent news or financial data provided, it is difficult to provide a comprehensive assessment of NetApp's investment potential in the Technology Hardware, Storage &amp; Peripherals industry for the next month. The macroeconomic outlook, including factors such as the softening labor market, yield curve inversion, and the performance of the manufacturing sector, could have an indirect impact on the company's performance. However, the lack of specific information about NetApp's current financial standing, market position, and competitive landscape makes it challenging to determine the company's investment value accurately.
 Score: 50</t>
  </si>
  <si>
    <t>Investment Report:
 Without any recent news or financial data provided, it is difficult to assess the potential investment value of MSCI, a company in the Financial Exchanges &amp; Data industry. The macroeconomic outlook suggests a softening labor market and potential economic slowdown, which could impact the overall financial sector. However, the manufacturing sector and emerging technologies like AI show some resilience, which may benefit data and analytics providers like MSCI.
 Given the lack of specific information about the company, it is not possible to provide a well-informed assessment of MSCI's investment potential for the next month. More detailed financial data and news updates would be necessary to make a more accurate evaluation.
 Score: 50</t>
  </si>
  <si>
    <t>Investment Report:
 Without any recent news or financial data provided, it is difficult to assess the potential investment value of News Corp (Class B) in the Publishing industry for the next month. The macroeconomic outlook suggests a softening labor market and potential economic slowdown, which could have a mixed impact on the publishing industry. However, the emergence of new technologies, such as AI, may present opportunities for companies in this sector to adapt and potentially offset some of the broader economic challenges.
 Given the lack of specific information about News Corp's current performance and outlook, it is not possible to provide a well-informed investment score. A more comprehensive analysis would require access to the company's latest financial statements, industry trends, and management's strategic initiatives.
 Score: 50</t>
  </si>
  <si>
    <t>Investment Report:
 Without any recent news or financial data provided, it is difficult to assess the potential investment value of Paycom, a company in the Human Resource &amp; Employment Services industry. The overall economic outlook, however, suggests a softening labor market, with job openings declining and the yield curve inverting, signaling a potential economic slowdown. This could have implications for the HR and employment services sector, as a slowdown in hiring and employment activities may impact the demand for Paycom's services.
 Additionally, the upcoming U.S. federal elections in November 2024 could introduce some uncertainty, as investors may be cautious about the potential policy changes that could arise from a change in administration or Congress. This could also affect the broader economic and business environment, which could in turn impact Paycom's performance.
 Without access to the company's recent financial data and news, it is challenging to provide a comprehensive assessment of Paycom's investment potential. A more thorough analysis would be required to determine a meaningful score.
 Score: 50</t>
  </si>
  <si>
    <t>Investment Report:
 Without any recent news or financial data provided, it is difficult to make a comprehensive assessment of Parker Hannifin's investment potential in the Industrial Machinery &amp; Supplies &amp; Components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Parker Hannifin to navigate the challenges.
 Given the lack of specific information about the company's current situation, it would be prudent to gather more data before making a definitive investment recommendation. The company's financial health, market position, and ability to adapt to the changing economic conditions would be crucial factors to consider.
 Score: 50</t>
  </si>
  <si>
    <t>Investment Report:
 Without any recent news or financial data provided, it is difficult to assess the potential investment value of Paramount Global in the Movies &amp; Entertainment industry for the next month. The macroeconomic outlook suggests a softening labor market and potential economic slowdown, which could have a negative impact on the entertainment industry. However, the resilience of the manufacturing sector and the continued growth of emerging technologies, such as AI, may provide some offsetting factors.
 Given the lack of specific information about Paramount Global's current performance and outlook, it is not possible to provide a well-informed investment score. Any assessment would be highly speculative and subject to significant uncertainty.
 Score: 50</t>
  </si>
  <si>
    <t>Investment Report:
 Without any recent news or financial data provided, it is difficult to provide a comprehensive assessment of Palo Alto Networks' investment potential in the Systems Software industry for the next month. The macroeconomic outlook, as described, suggests a softening labor market and potential economic slowdown, which could have a mixed impact on the technology sector.
 However, the continued growth and adoption of emerging technologies, such as AI, may present opportunities for companies like Palo Alto Networks to capitalize on the evolving market landscape. Additionally, the volatility in the stock market could create potential entry points for investors, depending on the company's underlying fundamentals and competitive positioning.
 Given the lack of specific information about Palo Alto Networks' recent performance and outlook, it would be prudent to gather more data before making an informed investment decision. A thorough analysis of the company's financials, competitive advantages, and growth strategies would be necessary to assess its investment potential accurately.
 Score: 50</t>
  </si>
  <si>
    <t>Investment Report:
 Without any recent news or financial data provided, it is difficult to provide a comprehensive assessment of Packaging Corporation of America's investment potential in the Paper &amp; Plastic Packaging Products &amp; Materials industry for the next month.
 The macroeconomic outlook suggests a softening labor market and potential economic slowdown, which could impact the overall demand for packaging products. However, the resilience of the manufacturing sector and the emergence of new technologies, such as AI, may present opportunities for companies in this industry.
 Given the lack of specific information about Packaging Corporation of America's current performance and market position, it is not possible to confidently evaluate the company's investment value at this time.
 Score: 50</t>
  </si>
  <si>
    <t>Investment Report:
 Without any recent news or financial data provided, it is difficult to provide a comprehensive assessment of Paccar's investment potential in the Construction Machinery &amp; Heavy Transportation Equipment industry for the next month.
 The macroeconomic outlook suggests a softening labor market and potential economic slowdown, which could impact the overall demand for construction equipment and heavy transportation vehicles. However, the resilience of the manufacturing sector and the emergence of new technologies, such as AI, may present opportunities for companies in this industry.
 Given the lack of specific information about Paccar's current performance and market position, it is not possible to confidently assign a score reflecting the company's investment value. A more thorough analysis of the company's financials, competitive landscape, and strategic positioning would be necessary to provide a meaningful assessment.
 Score: 50</t>
  </si>
  <si>
    <t>Investment Report:
 Without any recent news or financial data provided, it is difficult to make a comprehensive assessment of the investment potential of Otis Worldwide in the Industrial Machinery &amp; Supplies &amp; Components industry for the next month.
 The macroeconomic outlook suggests a softening labor market and potential economic slowdown, which could impact the overall performance of the industrial machinery sector. However, the resilience of the manufacturing industry and the emergence of new technologies, such as AI, may present opportunities for companies like Otis Worldwide.
 Given the lack of specific information about the company's current situation, it is prudent to take a cautious approach when evaluating its investment value. Further research and analysis of Otis Worldwide's financial health, market position, and growth prospects would be necessary to provide a more informed assessment.
 Score: 50</t>
  </si>
  <si>
    <t>Investment Report:
 Without any recent news or financial data provided, it is difficult to assess the potential investment value of ONEOK, a company in the Oil &amp; Gas Storage &amp; Transportation industry. The macroeconomic outlook suggests a softening labor market and potential economic slowdown, which could impact the overall performance of the energy sector. However, the manufacturing sector appears to be showing some resilience, and the development of new technologies, such as AI, may create opportunities for investors.
 Given the lack of specific information about ONEOK's current situation, it is not possible to provide a well-informed investment recommendation. The company's performance would depend on factors such as its financial health, market position, and ability to navigate the evolving economic and industry landscape.
 Score: 50</t>
  </si>
  <si>
    <t>Investment Report:
 Without any recent news or financial data provided, it is difficult to provide a comprehensive assessment of ON Semiconductor's investment potential in the Semiconductors industry for the next month. The macroeconomic outlook, however, suggests a mixed picture for the industry.
 The softening labor market and yield curve inversion signal a potential economic slowdown, which could negatively impact the semiconductor sector. However, the resilience of the manufacturing industry and the continued growth of emerging technologies, such as AI, may provide some support for semiconductor companies like ON Semiconductor.
 Additionally, the development of new AI-powered processors could disrupt the traditional semiconductor industry and create opportunities for innovative players.
 Given the limited information available, it is prudent to approach any investment decision in ON Semiconductor with caution and further research. The company's performance and outlook may be subject to the broader economic and industry trends, which remain uncertain in the near term.
 Score: 50</t>
  </si>
  <si>
    <t>Investment Report:
 Without any recent news or financial data provided, it is difficult to provide a comprehensive assessment of Omnicom Group's investment potential in the Advertising industry for the next month. The macroeconomic outlook suggests a softening labor market and potential economic slowdown, which could impact the advertising industry. However, the resilience of the manufacturing sector and the continued growth of emerging technologies, such as AI, may present opportunities for companies like Omnicom Group.
 Given the lack of specific information about the company's current performance and outlook, it is prudent to take a cautious approach when evaluating its investment value. More detailed financial data and industry-specific news would be necessary to make a more informed assessment.
 Score: 50</t>
  </si>
  <si>
    <t>Investment Report:
 Without any recent news or financial data provided, it is difficult to provide a comprehensive assessment of Monolithic Power Systems' investment potential in the Semiconductors industry for the next month. The macroeconomic outlook suggests a softening labor market and potential economic slowdown, which could have a mixed impact on the semiconductor sector. However, the continued development and adoption of emerging technologies, such as AI, may create opportunities for companies like Monolithic Power Systems.
 Given the lack of specific information about the company's current performance and outlook, it would be prudent to exercise caution when evaluating its investment value. A more thorough analysis of the company's financials, competitive positioning, and management strategy would be necessary to provide a more informed assessment.
 Score: 50</t>
  </si>
  <si>
    <t>Investment Report:
 Without any recent news or financial data provided, it is difficult to provide a comprehensive assessment of Occidental Petroleum's investment potential in the Oil &amp; Gas Exploration &amp; Production industry for the next month. The macroeconomic outlook suggests a softening labor market and potential economic slowdown, which could impact the overall industry. However, the manufacturing sector appears to be showing some resilience, and the emergence of new technologies, such as AI, could create opportunities for companies in the sector.
 Given the lack of specific information about Occidental Petroleum's current performance and position within the industry, it would be premature to assign a definitive investment score. A more thorough analysis of the company's financials, competitive positioning, and management strategy would be necessary to provide a meaningful assessment of its investment value.
 Score: 50</t>
  </si>
  <si>
    <t>Investment Report:
 Without any recent news or financial data provided, it is difficult to make a comprehensive assessment of the investment potential of O'Reilly Auto Parts in the Automotive Retail industry for the next month. The macroeconomic outlook suggests a softening labor market and potential economic slowdown, which could impact the overall automotive retail sector. However, the manufacturing sector appears to be showing some resilience, which may benefit companies like O'Reilly Auto Parts.
 Given the lack of specific information about the company's current performance and outlook, it is prudent to take a cautious approach when evaluating the investment value of O'Reilly Auto Parts in the near term. More detailed financial data and industry-specific news would be necessary to provide a more informed and reliable assessment.
 Score: 50</t>
  </si>
  <si>
    <t>Investment Report:
 Without any recent news or financial data provided, it is difficult to provide a comprehensive assessment of Nucor's investment potential in the Steel industry for the next month. The macroeconomic outlook, however, suggests a softening labor market and potential economic slowdown, which could have implications for the steel industry.
 The manufacturing sector appears to be showing some resilience, which may bode well for Nucor. Additionally, the continued development and adoption of emerging technologies, such as AI, could create opportunities for companies in the steel industry.
 Overall, the lack of specific information about Nucor's current performance and position within the industry makes it challenging to provide a reliable investment score. A more thorough analysis of the company's financials, market position, and management strategy would be necessary to make a well-informed assessment.
 Score: 50</t>
  </si>
  <si>
    <t>Investment Report:
 Without any recent news or financial data provided, it is difficult to provide a comprehensive assessment of the investment potential of NRG Energy in the Independent Power Producers &amp; Energy Traders industry for the next month.
 The macroeconomic outlook suggests a softening labor market and potential economic slowdown, which could impact the overall energy sector. However, the manufacturing sector appears to be showing some resilience, and the AI sector continues to present opportunities.
 Given the lack of specific information about NRG Energy's current performance and outlook, it would be speculative to assign a definitive investment score. A more thorough analysis of the company's financials, market position, and growth prospects would be necessary to provide a meaningful investment recommendation.
 Score: 50</t>
  </si>
  <si>
    <t>Investment Report:
 Without any recent news or financial data provided, it is difficult to make a comprehensive assessment of Norwegian Cruise Line Holdings' investment potential in the next month. The macroeconomic outlook suggests a softening labor market and potential economic slowdown, which could negatively impact the Hotels, Resorts &amp; Cruise Lines industry. However, the manufacturing sector appears to be showing some resilience, and the emergence of new technologies like AI may provide opportunities for investors.
 Given the lack of company-specific information, a definitive investment score cannot be determined. Investors should closely monitor any new developments and financial reports from Norwegian Cruise Line Holdings before making an informed decision.
 Score: 50</t>
  </si>
  <si>
    <t>Investment Report:
 Without any recent news or financial data provided, it is difficult to make a comprehensive assessment of the investment potential of Norfolk Southern Railway in the Rail Transportation industry for the next month.
 The macroeconomic outlook suggests a softening labor market and potential economic slowdown, which could have a mixed impact on the rail transportation sector. While the manufacturing sector appears to be showing some resilience, the overall economic conditions remain uncertain.
 Additionally, the political landscape, including the upcoming U.S. federal elections, could introduce some uncertainty that may affect the stock market performance in the short to medium term.
 Given the lack of specific information about Norfolk Southern Railway's current financial standing, operational performance, and competitive positioning, it is not possible to provide a reliable investment score for the company at this time.
 Score: 50</t>
  </si>
  <si>
    <t>Investment Report:
 Without any recent news or financial data provided, it is difficult to make a comprehensive assessment of Nordson Corporation's investment potential in the Industrial Machinery &amp; Supplies &amp; Components industry for the next month. 
 The macroeconomic outlook suggests a softening labor market and potential economic slowdown, which could impact the overall performance of industrial machinery and components companies. However, the resilience of the manufacturing sector and the emergence of new technologies, such as AI, may present opportunities for companies like Nordson Corporation.
 Given the lack of specific information about the company's current situation, it would be prudent to gather more data before making a definitive investment recommendation.
 Score: 50</t>
  </si>
  <si>
    <t>Investment Report:
 Without any recent news or financial data provided, it is difficult to assess the potential investment value of NiSource, a company in the Multi-Utilities industry. The overall economic outlook, however, suggests a softening labor market and potential economic slowdown, which could have a mixed impact on utility companies like NiSource.
 On one hand, a slowdown in economic activity may lead to reduced energy demand from commercial and industrial customers, potentially affecting NiSource's revenue and profitability. On the other hand, the company's regulated utility operations may provide a degree of stability and resilience during uncertain economic times.
 Additionally, the emergence of new technologies, such as advancements in renewable energy and energy efficiency, could present both opportunities and challenges for NiSource, depending on its ability to adapt and innovate.
 Without access to the company's latest financial statements, growth prospects, and strategic initiatives, it is not possible to provide a comprehensive assessment of NiSource's investment potential. A more thorough analysis would be required to determine a suitable investment recommendation.
 Score: 50</t>
  </si>
  <si>
    <t>Investment Report:
 Without any recent news or financial data provided, it is difficult to provide a comprehensive assessment of the investment potential of Nike, Inc. in the Apparel, Accessories &amp; Luxury Goods industry for the next month.
 The macroeconomic outlook suggests a softening labor market and potential economic slowdown, which could impact consumer spending and demand for discretionary items like apparel and accessories. However, the manufacturing sector appears to be showing some resilience, which may benefit companies like Nike.
 Additionally, the ongoing development and adoption of emerging technologies, such as AI, could present opportunities for companies in the industry to enhance their operations and competitiveness.
 Given the lack of specific information about Nike's current performance and outlook, it would be prudent to exercise caution when evaluating the company's investment potential in the short term.
 Score: 50</t>
  </si>
  <si>
    <t>Investment Report:
 Without any recent news or financial data provided, it is difficult to assess the potential investment value of NextEra Energy in the Multi-Utilities industry for the next month. The macroeconomic outlook suggests a softening labor market and potential economic slowdown, which could impact the overall utilities sector. However, the manufacturing sector appears to be showing some resilience, and the emergence of new technologies like AI may provide opportunities for growth.
 Given the lack of specific information about NextEra Energy's current performance and outlook, it is not possible to provide a well-informed investment score. A more comprehensive analysis would require access to the company's latest financial statements, industry trends, and management's guidance.
 Score: 50</t>
  </si>
  <si>
    <t>Investment Report:
 Without any recent news or financial data provided, it is difficult to assess the potential investment value of Old Dominion, a company in the Cargo Ground Transportation industry. The macroeconomic outlook suggests a softening labor market and potential economic slowdown, which could impact the overall transportation and logistics sector. However, the manufacturing sector appears to be showing some resilience, which may benefit companies like Old Dominion.
 Given the lack of specific information about the company's current performance and outlook, it is not possible to provide a well-informed investment score. Any assessment would be highly speculative and not based on a thorough analysis of the firm's fundamentals.
 Score: 50</t>
  </si>
  <si>
    <t>Investment Report:
 Without any recent news or financial data provided, it is difficult to provide a comprehensive assessment of the investment potential of M&amp;T Bank in the Regional Banks industry for the next month. The macroeconomic outlook, as described, suggests a softening labor market and potential economic slowdown, which could impact the performance of regional banks. However, the manufacturing sector's resilience and the emergence of new technologies, such as AI, may present opportunities for the industry.
 Given the lack of specific information about M&amp;T Bank's current financial position, operations, and competitive landscape, it would be speculative to assign a definitive investment score. A more thorough analysis of the company's fundamentals, market positioning, and management strategy would be necessary to provide a meaningful assessment of its investment value.
 Score: 50</t>
  </si>
  <si>
    <t>Investment Report:
 Without any recent news or financial data provided, it is difficult to make a comprehensive assessment of the investment potential of LyondellBasell in the Specialty Chemicals industry for the next month. The macroeconomic outlook suggests a softening labor market and potential economic slowdown, which could impact the overall performance of the chemicals sector. However, the resilience of the manufacturing industry and the emergence of new technologies, such as AI, may present opportunities for companies like LyondellBasell to navigate the challenging environment.
 Given the lack of specific information about the company's current situation, it would be prudent to exercise caution and closely monitor any new developments before making an informed investment decision. A more thorough analysis of the company's financials, market position, and strategic initiatives would be necessary to provide a more accurate assessment of its investment value.
 Score: 50</t>
  </si>
  <si>
    <t>Investment Report:
 Without any recent news or financial data provided, it is difficult to make a comprehensive assessment of Lululemon Athletica's investment potential in the Apparel, Accessories &amp; Luxury Goods industry for the next month.
 The macroeconomic outlook suggests a softening labor market and potential economic slowdown, which could impact consumer spending and demand for discretionary items like Lululemon's products. However, the manufacturing sector appears to be showing some resilience, and the AI sector continues to present opportunities.
 Given the lack of specific information about Lululemon's current performance and position, it is challenging to provide a well-informed investment score. A more thorough analysis of the company's financials, market trends, and competitive landscape would be necessary to make a reliable assessment.
 Score: 50</t>
  </si>
  <si>
    <t>Investment Report:
 Without any recent news or financial data provided, it is difficult to provide a comprehensive assessment of Lowe's investment potential in the Home Improvement Retail industry for the next month. The macroeconomic outlook suggests a softening labor market and potential economic slowdown, which could impact consumer spending and demand for home improvement products and services. However, the manufacturing sector appears to be showing some resilience, which may benefit companies like Lowe's.
 Given the lack of specific information about Lowe's current performance and outlook, it is challenging to assign a meaningful investment score. The company's ability to navigate the evolving economic conditions and maintain its competitive position in the industry will be crucial factors in determining its investment value.
 Score: 50</t>
  </si>
  <si>
    <t>Investment Report:
 Without any recent news or financial data provided, it is difficult to provide a comprehensive assessment of Loews Corporation's investment potential in the Multi-line Insurance industry for the next month. The overall economic outlook, as described in the macroeconomic context, suggests a softening labor market and potential economic slowdown, which could have implications for the insurance industry. However, the impact on Loews Corporation specifically cannot be determined without access to the company's latest financial performance, market position, and other relevant information.
 Score: 50</t>
  </si>
  <si>
    <t>Investment Report:
 Without any recent news or financial data provided, it is difficult to assess the potential investment value of LKQ Corporation in the Distributors industry for the next month. The macroeconomic outlook suggests a softening labor market and potential economic slowdown, which could impact the overall performance of the industry. However, the manufacturing sector appears to be showing some resilience, which may benefit companies like LKQ Corporation.
 Given the lack of specific information about the company's current situation, it is not possible to provide a well-informed assessment of its investment potential. A more comprehensive analysis would require access to the latest financial statements, market trends, and industry-specific developments affecting LKQ Corporation.
 Score: 50</t>
  </si>
  <si>
    <t>Investment Report:
 Without any recent news or financial data provided, it is difficult to make a comprehensive assessment of the investment potential of Live Nation Entertainment in the Movies &amp; Entertainment industry for the next month.
 The macroeconomic outlook suggests a softening labor market and potential economic slowdown, which could have a negative impact on the entertainment industry. However, the resilience of the manufacturing sector and the continued growth of emerging technologies, such as AI, may provide some offsetting factors.
 Given the lack of specific information about Live Nation Entertainment's current performance and outlook, it is prudent to take a cautious approach when evaluating the company's investment potential in the short term.
 Score: 50</t>
  </si>
  <si>
    <t>Investment Report:
 Without any recent news or financial data provided, it is difficult to provide a comprehensive assessment of the investment potential for Linde plc in the Industrial Gases industry. The macroeconomic outlook suggests a softening labor market and potential economic slowdown, which could impact the overall demand for industrial gases. However, the resilience of the manufacturing sector may provide some support for companies like Linde.
 Given the lack of specific information about Linde's current performance and outlook, it is prudent to take a cautious approach when evaluating the investment value of the company. More detailed financial data and industry-specific news would be necessary to make a more informed assessment.
 Score: 50</t>
  </si>
  <si>
    <t>Investment Report:
 Without any recent news or financial data provided, it is difficult to make a comprehensive assessment of Eli Lilly's investment potential in the Pharmaceuticals industry for the next month. The macroeconomic outlook suggests a softening labor market and potential economic slowdown, which could impact the overall industry. However, the manufacturing sector appears to be showing resilience, and the emergence of new technologies like AI may present opportunities.
 Given the lack of specific information about Eli Lilly's current performance and outlook, it would be prudent to exercise caution when evaluating the company's investment value. A more thorough analysis of the company's financials, pipeline, and competitive positioning would be necessary to provide a meaningful investment recommendation.
 Score: 50</t>
  </si>
  <si>
    <t>Investment Report:
 Without any recent news or financial data provided, it is difficult to make a comprehensive assessment of Lennar's investment potential in the Homebuilding industry for the next month. The macroeconomic outlook suggests a softening labor market and potential economic slowdown, which could have implications for the housing sector. However, the manufacturing sector appears to be showing some resilience, and the emergence of new technologies like AI may provide opportunities for growth.
 Given the limited information available, a cautious approach is warranted. The stock market is likely to remain volatile in the near term, and the performance of Lennar will depend on how the company navigates the evolving economic conditions and competitive landscape.
 Score: 50</t>
  </si>
  <si>
    <t>Investment Report:
 Without any recent news or financial data provided, it is difficult to assess the current situation and investment potential of Paychex, a company in the Human Resource &amp; Employment Services industry. 
 The macroeconomic outlook suggests a softening labor market, with job openings declining and the yield curve inverting, which could indicate a potential economic slowdown. This could have implications for the HR and employment services sector, as businesses may be more cautious about hiring and outsourcing HR functions.
 However, the manufacturing sector appears to be showing some resilience, and the AI sector continues to show promise, which could provide opportunities for companies like Paychex that leverage technology in their service offerings.
 Without access to the company's latest financial performance, market position, and growth strategies, it is challenging to determine the investment value of Paychex in the current environment. A more comprehensive analysis would be required to provide a meaningful assessment.
 Score: 50</t>
  </si>
  <si>
    <t>Investment Report:
 Without any recent news or financial data provided, it is difficult to make a comprehensive assessment of the investment potential of Las Vegas Sands in the Casinos &amp; Gaming industry for the next month. The macroeconomic outlook, however, suggests a potentially challenging environment for the industry.
 The softening labor market, with declining job openings, and the yield curve inversion are signals of a potential economic slowdown. This could negatively impact consumer spending and discretionary income, which are crucial factors for the success of the Casinos &amp; Gaming industry.
 Additionally, the ongoing geopolitical tensions and regional conflicts, such as the Russia-Ukraine war and the Israel-Hamas conflict, may have spillover effects on global travel and tourism, which could further weigh on the performance of Las Vegas Sands and its peers.
 Without access to the company's latest financial statements and market positioning, it is not possible to provide a more detailed assessment of its investment potential. A comprehensive analysis would require a deeper understanding of Las Vegas Sands' operational efficiency, debt levels, market share, and competitive advantages within the industry.
 Score: 50</t>
  </si>
  <si>
    <t>Investment Report:
 Without any recent news or financial data provided, it is difficult to provide a comprehensive assessment of the investment potential for Lam Research in the Semiconductor Materials &amp; Equipment industry. The macroeconomic outlook suggests a softening labor market and potential economic slowdown, which could have implications for the semiconductor industry. However, the manufacturing sector appears to be showing some resilience, and the AI sector continues to present opportunities.
 Given the lack of specific information about Lam Research's current performance and outlook, it would be speculative to assign a definitive investment score. The company's ability to navigate the evolving economic and industry conditions, as well as its competitive positioning and growth strategies, would be crucial factors in determining its investment value.
 Score: 50</t>
  </si>
  <si>
    <t>Investment Report:
 Without any recent news or financial data provided, it is difficult to provide a comprehensive assessment of LabCorp's investment potential in the Health Care Services industry for the next month. The macroeconomic outlook suggests a softening labor market and potential economic slowdown, which could impact the overall healthcare sector. However, the manufacturing sector appears to be showing some resilience, and the emergence of new technologies like AI may present opportunities for companies in the industry.
 Given the lack of specific information about LabCorp's current performance and position within the market, it would be speculative to assign a definitive investment score. A more thorough analysis of the company's financials, competitive landscape, and growth prospects would be necessary to provide a meaningful evaluation of its investment value.
 Score: 50</t>
  </si>
  <si>
    <t>Investment Report:
 Without any recent news or financial data provided, it is difficult to make a comprehensive assessment of the investment potential of L3Harris in the Aerospace &amp; Defense industry for the next month. The macroeconomic outlook suggests a softening labor market and potential economic slowdown, which could have a mixed impact on the industry. However, the manufacturing sector's resilience and the continued growth of emerging technologies, such as AI, may provide some support.
 Given the lack of specific information about L3Harris, it is prudent to take a cautious approach when evaluating the company's investment value. The overall market volatility and economic uncertainty warrant a more conservative outlook in the near term.
 Score: 50</t>
  </si>
  <si>
    <t>Investment Report:
 Without any recent news or financial data provided, it is difficult to provide a comprehensive assessment of the investment potential for Kraft Heinz in the Packaged Foods &amp; Meats industry. The macroeconomic outlook suggests a softening labor market and potential economic slowdown, which could impact consumer spending and demand for packaged food products. However, the manufacturing sector appears to be showing some resilience, which may benefit companies like Kraft Heinz.
 Given the lack of specific information about the company's current performance and outlook, it is challenging to assign a meaningful investment score. A more thorough analysis of Kraft Heinz's financial statements, market position, and management strategy would be necessary to provide a reliable assessment of its investment potential.
 Score: 50</t>
  </si>
  <si>
    <t>Investment Report:
 Without any recent news or financial data provided, it is difficult to make a comprehensive assessment of the investment potential of KLA Corporation in the Semiconductor Materials &amp; Equipment industry for the next month.
 The macroeconomic outlook suggests a softening labor market and potential economic slowdown, which could have a mixed impact on the semiconductor industry. While the manufacturing sector appears resilient, the tech sector, including semiconductor companies, has faced recent volatility.
 Additionally, the development of new AI-powered processors could disrupt the traditional semiconductor industry and create both challenges and opportunities for companies like KLA Corporation.
 Given the lack of specific information about the company's current performance and outlook, a definitive investment score cannot be provided. Investors would need to closely monitor the company's financial results, industry trends, and the broader economic conditions to make an informed decision.
 Score: 50</t>
  </si>
  <si>
    <t>Investment Report:
 Without any recent news or financial data provided, it is difficult to provide a comprehensive assessment of the investment potential of KKR, a company in the Asset Management &amp; Custody Banks industry. The overall economic outlook, as described in the macroeconomic context, suggests a softening labor market and potential economic slowdown, which could have implications for the asset management industry.
 However, the lack of specific information about KKR's current performance, market position, and growth prospects makes it challenging to determine the company's investment value accurately. The emerging technologies, such as the advancements in AI, may present opportunities for asset managers, but the extent to which KKR is positioned to capitalize on these trends is unknown.
 Given the limited information available, it would be prudent to seek out more detailed and up-to-date data about KKR's financial performance, strategic initiatives, and competitive landscape before making any investment decisions.
 Score: 50</t>
  </si>
  <si>
    <t>Investment Report:
 Without any recent news or financial data provided, it is difficult to provide a comprehensive assessment of Kinder Morgan's investment potential in the Oil &amp; Gas Storage &amp; Transportation industry for the next month. 
 The macroeconomic outlook suggests a softening labor market and potential economic slowdown, which could impact the overall energy sector. However, the manufacturing sector appears to be showing some resilience, and the development of new technologies, such as AI, may create opportunities for investors.
 Given the lack of specific information about Kinder Morgan's current performance and outlook, it would be speculative to assign a definitive investment score. A more thorough analysis of the company's financials, competitive positioning, and management strategy would be necessary to provide a meaningful assessment.
 Score: 50</t>
  </si>
  <si>
    <t>Investment Report:
 Without any recent news or financial data provided, it is difficult to provide a comprehensive assessment of Kimco Realty's investment potential in the Retail REITs industry for the next month. The macroeconomic outlook suggests a softening labor market and potential economic slowdown, which could impact the performance of real estate investment trusts (REITs) in the retail sector.
 However, the manufacturing sector appears to be showing some resilience, and the emergence of new technologies, such as AI, may create opportunities for investors. Additionally, the Federal Reserve's monetary policy decisions could have a significant influence on the overall market conditions.
 Given the limited information available, it would be prudent to exercise caution and closely monitor any new developments or financial data related to Kimco Realty before making an investment decision.
 Score: 50</t>
  </si>
  <si>
    <t>Investment Report:
 Without any recent news or financial data provided, it is difficult to provide a comprehensive assessment of Keysight's investment potential in the Electronic Equipment &amp; Instruments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Keysight.
 Given the lack of specific information about the company, a definitive investment score cannot be determined. Investors would need to closely monitor Keysight's financial reports, industry trends, and the broader economic conditions to make an informed decision about the company's investment value.
 Score: 50</t>
  </si>
  <si>
    <t>Investment Report:
 Without any recent news or financial data provided, it is difficult to assess the potential investment value of Leidos, a company in the Diversified Support Services industry. The macroeconomic outlook suggests a softening labor market and potential economic slowdown, which could impact the overall performance of the industry. However, the manufacturing sector appears to be showing some resilience, and the emergence of new technologies, such as AI, may create opportunities for companies in the Diversified Support Services industry.
 Given the lack of specific information about Leidos, it is not possible to provide a well-informed assessment of the company's investment potential. A more comprehensive analysis would require access to the latest financial statements, industry trends, and company-specific news and developments.
 Score: 50</t>
  </si>
  <si>
    <t>Investment Report:
 Without any recent news or financial data provided, it is difficult to assess the potential investment value of Molina Healthcare in the Managed Health Care industry for the next month. The macroeconomic outlook suggests a softening labor market and potential economic slowdown, which could impact the healthcare sector. However, the manufacturing sector appears to be showing resilience, and the AI sector continues to present opportunities.
 Given the lack of company-specific information, a comprehensive evaluation of Molina Healthcare's current position and future prospects cannot be made. The stock market is expected to remain volatile in the near term, and the performance of the healthcare industry will depend on how it navigates the evolving economic conditions.
 Score: 50</t>
  </si>
  <si>
    <t>Investment Report:
 Without any recent news or financial data provided, it is difficult to make a comprehensive assessment of Mohawk Industries' investment potential in the Home Furnishings industry for the next month. The macroeconomic outlook suggests a softening labor market and potential economic slowdown, which could impact consumer spending and the overall demand for home furnishings. However, the resilience of the manufacturing sector and the emergence of new technologies, such as AI, may present opportunities for companies in this industry.
 Given the lack of specific information about Mohawk Industries, it is prudent to take a cautious approach when evaluating the company's investment value. More detailed financial data and industry-specific news would be necessary to provide a more informed and reliable assessment.
 Score: 50</t>
  </si>
  <si>
    <t>Investment Report:
 Without any recent news or financial data provided, it is difficult to provide a comprehensive assessment of Moderna's investment potential in the Biotechnology industry for the next month. The macroeconomic outlook, including factors such as the softening labor market, yield curve inversion, and the performance of the manufacturing sector, could indirectly impact the overall Biotechnology industry. However, the specific implications for Moderna would require more detailed information about the company's operations, financial standing, and competitive positioning.
 Score: 50</t>
  </si>
  <si>
    <t>Investment Report:
 Without any recent news or financial data provided, it is difficult to make a comprehensive assessment of the investment potential of Mid-America Apartment Communities in the Multi-Family Residential REITs industry for the next month. 
 The overall economic outlook, as described in the macroeconomic context, suggests a softening labor market and potential economic slowdown, which could impact the real estate sector. However, the specific implications for Mid-America Apartment Communities are unclear without the company's latest financial performance and market positioning information.
 Given the lack of detailed information, it would be prudent to exercise caution when evaluating this investment opportunity. A more thorough analysis of the company's fundamentals, competitive landscape, and ability to navigate the current economic environment would be necessary to provide a meaningful investment recommendation.
 Score: 50</t>
  </si>
  <si>
    <t>Investment Report:
 Without any recent news or financial data provided, it is difficult to make a comprehensive assessment of Micron Technology's investment potential in the Semiconductors industry for the next month. The macroeconomic outlook, however, suggests a mixed picture for the industry.
 The softening labor market and yield curve inversion signal a potential economic slowdown, which could negatively impact the semiconductor sector. However, the resilience of the manufacturing industry and the continued growth of emerging technologies, such as AI, may provide some support for semiconductor companies like Micron Technology.
 Additionally, the development of new AI-powered processors could disrupt the traditional semiconductor industry and create opportunities for innovative players. However, the upcoming U.S. federal elections in November 2024 could introduce some uncertainty, as investors may be cautious about potential policy changes.
 Given the limited information available, a cautious approach is warranted. The investment potential of Micron Technology in the Semiconductors industry for the next month remains uncertain.
 Score: 50</t>
  </si>
  <si>
    <t>Investment Report:
 Without any recent news or financial data provided, it is difficult to make a comprehensive assessment of Microchip Technology's investment potential in the Semiconductors industry for the next month. The macroeconomic outlook suggests a softening labor market and potential economic slowdown, which could have a mixed impact on the semiconductor sector. However, the continued advancements in emerging technologies, such as AI, may present opportunities for companies like Microchip Technology to capitalize on.
 Given the limited information available, a cautious approach is warranted. The company's performance and outlook would need to be evaluated in the context of the broader industry and economic trends to determine its investment value accurately.
 Score: 50</t>
  </si>
  <si>
    <t>Investment Report:
 Without any recent news or financial data provided, it is difficult to make a comprehensive assessment of the investment potential of MGM Resorts in the Casinos &amp; Gaming industry. The macroeconomic outlook, however, suggests a mixed picture for the sector.
 The softening labor market and potential economic slowdown could negatively impact consumer spending on leisure and entertainment activities, which could in turn affect the performance of casino and gaming companies like MGM Resorts. On the other hand, the resilience of the manufacturing sector and the continued growth of emerging technologies, such as AI, may provide some support for the industry.
 Given the lack of specific information about MGM Resorts' current financial standing and market position, it is prudent to approach this investment opportunity with caution. A more thorough analysis of the company's recent performance, competitive landscape, and growth strategies would be necessary to provide a more informed assessment.
 Score: 50</t>
  </si>
  <si>
    <t>Investment Report:
 Without any recent news or financial data provided, it is difficult to provide a comprehensive assessment of Mettler Toledo's investment potential in the Life Sciences Tools &amp; Services industry for the next month. The macroeconomic outlook suggests a softening labor market and potential economic slowdown, which could impact the overall industry performance. However, the manufacturing sector appears to be showing some resilience, and the emergence of new technologies, such as AI, could create opportunities for companies in this sector.
 Given the lack of specific information about Mettler Toledo's current situation, it would be prudent to exercise caution and gather more data before making an informed investment decision. The company's financial health, competitive positioning, and ability to navigate the evolving market conditions would be crucial factors to consider.
 Score: 50</t>
  </si>
  <si>
    <t>Investment Report:
 Without any recent news or financial data provided, it is difficult to provide a comprehensive assessment of MetLife's investment potential in the Life &amp; Health Insurance industry for the next month. The macroeconomic outlook, however, suggests a potentially challenging environment for the insurance sector.
 The softening labor market, as indicated by the decline in job openings, could lead to reduced demand for insurance products. Additionally, the inversion of the yield curve, a classic recession warning signal, raises concerns about the broader economic outlook. These factors may put pressure on insurance companies like MetLife, as they could face challenges in maintaining profitability and growth.
 Furthermore, the upcoming U.S. federal elections in November 2024 could introduce policy changes that may impact the insurance industry, adding to the uncertainty.
 Given the lack of specific information about MetLife's recent performance and the potential economic headwinds, a cautious approach is warranted. A more thorough analysis of the company's financials, competitive positioning, and management strategy would be necessary to provide a more accurate assessment of its investment potential.
 Score: 50</t>
  </si>
  <si>
    <t>Investment Report:
 Without any recent news or financial data provided, it is difficult to make a comprehensive assessment of the investment potential of Meta Platforms in the Interactive Media &amp; Services industry for the next month. The macroeconomic outlook suggests a softening labor market and potential economic slowdown, which could have a negative impact on the broader technology and media sectors. However, the resilience of the manufacturing sector and the continued growth of emerging technologies, such as AI, may provide some offsetting factors.
 Given the lack of specific information about Meta Platforms' current performance and outlook, it would be prudent to exercise caution when evaluating the company's investment potential. A more thorough analysis of the latest financial reports, industry trends, and company-specific developments would be necessary to provide a more accurate assessment.
 Score: 50</t>
  </si>
  <si>
    <t>Investment Report:
 Without any recent news or financial data provided, it is difficult to provide a comprehensive assessment of Marathon Oil's investment potential in the Oil &amp; Gas Exploration &amp; Production industry for the next month. The macroeconomic outlook suggests a softening labor market and potential economic slowdown, which could impact the overall industry. However, the manufacturing sector appears to be showing some resilience, and the emergence of new technologies like AI may present opportunities.
 Given the lack of company-specific information, a definitive score cannot be assigned. Investors would need to closely monitor the latest developments, financial performance, and industry trends to make an informed decision about the investment value of Marathon Oil.
 Score: 50</t>
  </si>
  <si>
    <t>Investment Report:
 Without any recent news or financial data provided, it is difficult to make a comprehensive assessment of the investment potential of McKesson Corporation in the Health Care Distributors industry for the next month. The macroeconomic outlook suggests a softening labor market and potential economic slowdown, which could impact the overall healthcare sector. However, the manufacturing sector appears to be showing some resilience, and the emergence of new technologies like AI may provide opportunities for growth.
 Given the lack of specific information about McKesson Corporation, it is prudent to take a cautious approach when evaluating the company's investment value. The stock market is likely to remain volatile in the near term, and the performance of the healthcare distribution industry will depend on how the broader economic conditions unfold.
 Score: 50</t>
  </si>
  <si>
    <t>Investment Report:
 Without any recent news or financial data provided, it is difficult to make a comprehensive assessment of McDonald's investment potential in the Restaurants industry for the next month. The macroeconomic outlook, however, suggests a softening labor market and potential economic slowdown, which could impact consumer spending and the overall performance of the restaurant sector.
 Given the lack of specific information about McDonald's current operations, financial standing, and competitive positioning, it is not possible to provide a well-informed investment score. The company's ability to navigate the evolving economic conditions and maintain its market share and profitability would be crucial factors in determining its short-term investment value.
 Score: 50</t>
  </si>
  <si>
    <t>Investment Report:
 Without any recent news or financial data provided, it is difficult to make a comprehensive assessment of the investment potential of McCormick &amp; Company in the Packaged Foods &amp; Meats industry for the next month. 
 The macroeconomic outlook suggests a softening labor market and potential economic slowdown, which could impact consumer spending and demand for packaged food products. However, the manufacturing sector appears to be showing some resilience, which may benefit companies like McCormick &amp; Company.
 Additionally, the ongoing development and adoption of emerging technologies, such as AI, could present opportunities for companies in the industry to improve efficiency and competitiveness.
 Overall, the lack of specific information about McCormick &amp; Company's recent performance and outlook makes it challenging to provide a well-informed investment recommendation. A more thorough analysis of the company's financials, market position, and management strategy would be necessary to assess its investment potential accurately.
 Score: 50</t>
  </si>
  <si>
    <t>Investment Report:
 Without any recent news or financial data provided, it is difficult to assess the potential investment value of Match Group in the Interactive Media &amp; Services industry for the next month. The macroeconomic outlook suggests a softening labor market and potential economic slowdown, which could impact the overall performance of the industry. However, the emergence of new technologies, such as AI, may present opportunities for companies in this sector.
 Given the lack of specific information about Match Group's current situation, it would be speculative to provide a score reflecting the company's potential investment value. A more thorough analysis of the company's financials, competitive positioning, and management strategy would be necessary to make a well-informed assessment.
 Score: 50</t>
  </si>
  <si>
    <t>Investment Report:
 Without any recent news or financial data provided, it is difficult to provide a comprehensive assessment of Mastercard's investment potential in the Transaction &amp; Payment Processing Services industry for the next month. 
 The macroeconomic outlook suggests a softening labor market and potential economic slowdown, which could impact consumer spending and transaction volumes. However, the resilience of the manufacturing sector and the continued growth of emerging technologies, such as AI, may present opportunities for companies like Mastercard.
 Given the lack of specific information about Mastercard's current performance and position within the industry, it would be speculative to assign a definitive investment score. A more thorough analysis of the company's financials, competitive landscape, and strategic initiatives would be necessary to provide a meaningful evaluation.
 Score: 50</t>
  </si>
  <si>
    <t>Investment Report:
 Without any recent news or financial data provided, it is difficult to provide a comprehensive assessment of Masco's investment potential in the Building Products industry for the next month. The macroeconomic outlook suggests a softening labor market and potential economic slowdown, which could impact the overall demand for building products. However, the resilience of the manufacturing sector and the emergence of new technologies, such as AI, may present opportunities for companies in this industry.
 Given the lack of specific information about Masco's current performance and position within the industry, it would be premature to assign a definitive investment score. A more thorough analysis of the company's financials, market share, competitive positioning, and management strategy would be necessary to provide a meaningful assessment of its investment value.
 Score: 50</t>
  </si>
  <si>
    <t>Investment Report:
 Without any recent news or financial data provided, it is difficult to make a comprehensive assessment of the investment potential of Martin Marietta Materials in the Construction Materials industry for the next month. The macroeconomic outlook suggests a softening labor market and potential economic slowdown, which could impact the construction industry. However, the manufacturing sector appears to be showing some resilience, which may benefit companies like Martin Marietta Materials.
 Given the lack of specific information about the company's current performance and outlook, it would be speculative to assign a precise investment score. A more thorough analysis of the company's financials, market position, and management strategy would be necessary to provide a meaningful investment recommendation.
 Score: 50</t>
  </si>
  <si>
    <t>Investment Report:
 Without any recent news or financial data provided, it is difficult to provide a comprehensive assessment of Marsh McLennan's investment potential in the Insurance Brokers industry for the next month. The macroeconomic outlook, as described, suggests a softening labor market and potential economic slowdown, which could impact the insurance industry. However, the manufacturing sector's resilience and the emergence of new technologies like AI may present opportunities.
 Given the lack of company-specific information, a definitive investment score cannot be determined. A more thorough analysis of Marsh McLennan's financial performance, market position, and growth prospects would be necessary to make an informed assessment.
 Score: 50</t>
  </si>
  <si>
    <t>Investment Report:
 Without any recent news or financial data provided, it is difficult to make a comprehensive assessment of Marriott International's investment potential in the Hotels, Resorts &amp; Cruise Lines industry for the next month. The macroeconomic outlook suggests a softening labor market and potential economic slowdown, which could impact the hospitality sector. However, the manufacturing sector appears to be showing some resilience, and the emergence of new technologies like AI may provide opportunities for growth.
 Given the lack of specific information about Marriott International's current performance and outlook, it would be prudent to exercise caution when evaluating the company's investment value. A more thorough analysis of the company's financials, competitive positioning, and management strategy would be necessary to provide a more informed assessment.
 Score: 50</t>
  </si>
  <si>
    <t>Investment Report:
 Without any recent news or financial data provided, it is difficult to assess the potential investment value of MarketAxess in the Financial Exchanges &amp; Data industry for the next month. The macroeconomic outlook suggests a softening labor market and potential economic slowdown, which could impact the overall financial sector. However, the resilience of the manufacturing sector and the growth of emerging technologies like AI may present opportunities for companies in the industry.
 Given the lack of specific information about MarketAxess, it is not possible to provide a well-informed assessment of the company's current situation and future prospects. A more comprehensive analysis would require access to the latest financial statements, industry trends, and company-specific news and developments.
 Score: 50</t>
  </si>
  <si>
    <t>Investment Report:
 Without any recent news or financial data provided, it is difficult to provide a comprehensive assessment of Marathon Petroleum's investment potential in the Oil &amp; Gas Refining &amp; Marketing industry for the next month. 
 The macroeconomic outlook suggests a softening labor market and potential economic slowdown, which could impact the overall industry. However, the manufacturing sector appears to be showing some resilience, and the emergence of new technologies like AI may present opportunities.
 Given the lack of specific information about Marathon Petroleum's current performance and position within the industry, it is not possible to assign a reliable investment score at this time. A more thorough analysis would be needed to evaluate the company's prospects and make an informed investment recommendation.
 Score: 50</t>
  </si>
  <si>
    <t>Investment Report:
 Without any recent news or financial data provided, it is difficult to provide a comprehensive assessment of Medtronic's investment potential in the Health Care Equipment industry for the next month. The macroeconomic outlook, including factors such as the softening labor market, yield curve inversion, and the potential for a Federal Reserve interest rate cut, could have a broader impact on the healthcare sector. However, the resilience of the manufacturing sector and the continued growth of emerging technologies like AI may present opportunities for companies like Medtronic.
 Score: 50</t>
  </si>
  <si>
    <t>Investment Report:
 Without any recent news or financial data provided, it is difficult to provide a comprehensive assessment of Wabtec's investment potential in the Construction Machinery &amp; Heavy Transportation Equipment industry for the next month. 
 The macroeconomic outlook suggests a softening labor market and potential economic slowdown, which could impact demand for construction machinery and heavy transportation equipment. However, the manufacturing sector appears to be showing some resilience, which may bode well for Wabtec's performance.
 Additionally, the emergence of new technologies, such as AI, could create opportunities for companies in this industry to innovate and potentially offset some of the broader economic challenges.
 Given the limited information available, it would be prudent to closely monitor Wabtec's financial performance, industry trends, and the overall economic conditions before making an informed investment decision.
 Score: 50</t>
  </si>
  <si>
    <t>Investment Report:
 Without any recent news or financial data provided, it is difficult to make a comprehensive assessment of Vulcan Materials Company's investment potential in the Construction Materials industry for the next month. The macroeconomic outlook suggests a softening labor market and potential economic slowdown, which could impact the construction industry and Vulcan Materials' performance. However, the resilience of the manufacturing sector and the emergence of new technologies, such as AI, may provide some offsetting factors.
 Given the lack of specific information about the company, a definitive investment score cannot be determined. Investors would need to closely monitor the latest financial reports, industry trends, and economic indicators to make an informed decision about the company's prospects in the near term.
 Score: 50</t>
  </si>
  <si>
    <t>Investment Report:
 Without any recent news or financial data provided, it is difficult to provide a comprehensive assessment of Vistra's investment potential in the Electric Utilities industry for the next month. The macroeconomic outlook suggests a softening labor market and potential economic slowdown, which could impact the overall performance of the utilities sector. However, the manufacturing sector appears to be showing some resilience, and the emergence of new technologies like AI may present opportunities for companies in the industry.
 Given the lack of specific information about Vistra's current situation, it would be speculative to assign a definitive investment score. The company's performance and outlook would need to be evaluated based on its latest financial reports, management's guidance, and its positioning within the competitive landscape of the Electric Utilities industry.
 Score: 50</t>
  </si>
  <si>
    <t>Investment Report:
 Without any recent news or financial data provided, it is difficult to provide a comprehensive assessment of the investment potential of Vici Properties, a company in the Hotel &amp; Resort REITs industry. The overall economic outlook, however, suggests a potentially challenging environment for the hospitality sector in the near term.
 The softening labor market, as evidenced by the decline in job openings, and the yield curve inversion, which is a classic recession warning signal, indicate a potential economic slowdown. This could have a negative impact on the hotel and resort industry, as reduced consumer spending and travel demand may affect Vici Properties' operations and financial performance.
 Additionally, the ongoing geopolitical tensions and regional conflicts, such as the Russia-Ukraine war and the Israel-Hamas conflict, could also create uncertainty and volatility in the market, potentially affecting the performance of Vici Properties and the broader real estate investment trust (REIT) sector.
 Without access to the company's recent financial data and news, it is challenging to provide a more detailed assessment of Vici Properties' investment potential. A comprehensive analysis would require a deeper understanding of the company's financial health, growth prospects, and competitive positioning within the industry.
 Score: 50</t>
  </si>
  <si>
    <t>Investment Report:
 Without any recent news or financial data provided, it is difficult to assess the potential investment value of Viatris, a pharmaceutical company. The overall economic outlook, however, suggests a mixed picture for the industry.
 The softening labor market and potential economic slowdown could pose challenges for the pharmaceutical sector, as reduced consumer spending and tighter budgets may impact demand for certain drugs and treatments. On the other hand, the continued development of emerging technologies, such as AI, could create new opportunities for pharmaceutical companies to improve their operations and product pipelines.
 Given the lack of specific information about Viatris, it is not possible to provide a well-informed assessment of the company's investment potential. A more comprehensive analysis would require access to the latest financial statements, industry trends, and company-specific news and developments.
 Score: 50</t>
  </si>
  <si>
    <t>Investment Report:
 Without any recent news or financial data provided, it is difficult to assess the current situation and investment potential of Vertex Pharmaceuticals in the Biotechnology industry. The macroeconomic outlook, including factors such as the softening labor market, yield curve inversion, and the performance of the manufacturing and technology sectors, could indirectly impact the company's operations and stock price. However, without access to the firm's specific financial information and industry developments, a comprehensive evaluation cannot be made.
 Score: 50</t>
  </si>
  <si>
    <t>Investment Report:
 Without any recent news or financial data provided, it is difficult to provide a comprehensive assessment of Sysco's investment potential in the Food Distributors industry for the next month. The macroeconomic outlook suggests a softening labor market and potential economic slowdown, which could impact the overall industry. However, the manufacturing sector appears to be showing some resilience, which may benefit food distribution companies.
 Given the lack of specific information about Sysco's current performance and position within the industry, it would be speculative to assign a definitive investment score. The company's ability to navigate the evolving economic conditions and maintain its competitive edge in the Food Distributors industry would be crucial factors in determining its short-term investment value.
 Score: 50</t>
  </si>
  <si>
    <t>Investment Report:
 Without any recent news or financial data provided, it is difficult to assess the potential investment value of Verisk, a company in the Research &amp; Consulting Services industry. The macroeconomic outlook suggests a softening labor market and potential economic slowdown, which could impact the overall demand for research and consulting services. However, the resilience of the manufacturing sector and the growth of emerging technologies, such as AI, may present opportunities for companies in this industry.
 Given the lack of specific information about Verisk's current performance and market position, it is not possible to provide a well-informed assessment of the company's investment potential. Additional data would be required to evaluate Verisk's competitive advantages, financial stability, and growth prospects within the current economic and industry landscape.
 Score: 50</t>
  </si>
  <si>
    <t>Investment Report:
 Without any recent news or financial data provided, it is difficult to assess the potential investment value of Verisign in the Internet Services &amp; Infrastructure industry for the next month. The macroeconomic outlook suggests a softening labor market and potential economic slowdown, which could impact the overall performance of the industry. However, the emergence of new technologies, such as AI, may provide opportunities for companies in this sector.
 Given the lack of specific information about Verisign's current situation, it is not possible to provide a well-informed investment score. A more comprehensive analysis would require access to the company's latest financial statements, market performance, and industry trends.
 Score: 50</t>
  </si>
  <si>
    <t>Investment Report:
 Without any recent news or financial data provided, it is difficult to assess the potential investment value of Veralto, a company in the Environmental &amp; Facilities Services industry. The macroeconomic outlook suggests a softening labor market and potential economic slowdown, which could impact the demand for environmental and facilities services. However, the manufacturing sector appears to be showing some resilience, which may benefit companies in this industry.
 The lack of company-specific information makes it challenging to evaluate Veralto's competitive position, financial health, and growth prospects. Additionally, the upcoming U.S. federal elections in 2024 could introduce uncertainty that may affect the overall market sentiment and performance of companies in this sector.
 Given the limited information available, it is not possible to provide a well-informed assessment of Veralto's investment potential. A more comprehensive analysis would require access to the company's recent financial statements, industry trends, and management's strategic initiatives.
 Score: 50</t>
  </si>
  <si>
    <t>Investment Report:
 Without any recent news or financial data provided, it is difficult to make a comprehensive assessment of Kimberly-Clark's investment potential in the Household Products industry for the next month. The macroeconomic outlook suggests a softening labor market and potential economic slowdown, which could impact consumer spending and demand for household products. However, the manufacturing sector appears to be showing some resilience, which may benefit Kimberly-Clark's operations.
 Given the lack of specific information about the company's current performance and outlook, it is prudent to take a cautious approach when evaluating its investment value. More detailed financial data and industry-specific insights would be necessary to provide a more informed assessment.
 Score: 50</t>
  </si>
  <si>
    <t>Investment Report:
 Without any recent news or financial data provided, it is difficult to make a comprehensive assessment of the investment potential of Universal Health Services in the Health Care Facilities industry for the next month. The macroeconomic outlook suggests a softening labor market and potential economic slowdown, which could impact the healthcare sector. However, the manufacturing sector appears to be showing some resilience, and the emergence of new technologies like AI may provide opportunities for growth.
 Given the lack of specific information about Universal Health Services, it is prudent to take a cautious approach when evaluating the company's investment value. More detailed financial data and industry-specific news would be necessary to provide a more informed and reliable assessment.
 Score: 50</t>
  </si>
  <si>
    <t>Investment Report:
 Without any recent news or financial data provided, it is difficult to make a comprehensive assessment of UnitedHealth Group's investment potential in the Managed Health Care industry for the next month. The macroeconomic outlook, however, suggests a softening labor market and potential economic slowdown, which could impact the healthcare sector.
 The decline in job openings and the yield curve inversion are signals of a potential recession, which may affect consumer spending and demand for healthcare services. Additionally, the political landscape, including the upcoming U.S. federal elections, could introduce uncertainty that may impact the stock market performance.
 On the positive side, the manufacturing sector appears to be showing resilience, and the AI sector continues to present opportunities for investors. However, without specific information about UnitedHealth Group's financial performance and market position, it is challenging to determine the company's investment value accurately.
 Score: 50</t>
  </si>
  <si>
    <t>Investment Report:
 Without any recent news or financial data provided, it is difficult to make a comprehensive assessment of the investment potential of United Rentals, a company in the Trading Companies &amp; Distributors industry. 
 The macroeconomic outlook suggests a softening labor market and potential economic slowdown, which could impact the demand for rental equipment and services provided by United Rentals. However, the resilience of the manufacturing sector may offer some support for the company's performance.
 Additionally, the emergence of new technologies, such as AI, could present opportunities for United Rentals to enhance its operations and remain competitive in the market.
 Overall, the lack of recent information makes it challenging to provide a well-informed investment recommendation for United Rentals at this time.
 Score: 50</t>
  </si>
  <si>
    <t>Investment Report:
 Without any recent news or financial data provided, it is difficult to assess the potential investment value of Steris in the Health Care Equipment industry for the next month. The macroeconomic outlook suggests a softening labor market and potential economic slowdown, which could impact the overall performance of the healthcare sector. However, the manufacturing sector appears to be showing some resilience, which may bode well for companies like Steris.
 Given the lack of specific information about Steris, it is not possible to provide a well-informed investment score. The company's performance would depend on factors such as its financial health, market position, product pipeline, and ability to navigate the current economic environment.
 Score: 50</t>
  </si>
  <si>
    <t>Investment Report:
 Without any recent news or financial data provided, it is difficult to provide a comprehensive assessment of the investment potential of Steel Dynamics in the Steel industry for the next month. The macroeconomic outlook suggests a softening labor market and potential economic slowdown, which could have implications for the steel industry. However, the manufacturing sector appears to be showing some resilience, which may benefit steel producers.
 Given the lack of specific information about Steel Dynamics' current performance and outlook, it is not possible to assign a meaningful investment score. The company's ability to navigate the evolving economic conditions and maintain its competitive position in the industry would be crucial factors in determining its investment value.
 Score: 50</t>
  </si>
  <si>
    <t>Investment Report:
 Without any recent news or financial data provided, it is difficult to make a comprehensive assessment of Starbucks' investment potential in the Restaurants industry for the next month. The macroeconomic outlook, however, suggests a softening labor market and potential economic slowdown, which could impact the overall performance of the restaurant industry.
 Given the lack of specific information about Starbucks' current operations, financial standing, and competitive positioning, it would be speculative to assign a definitive investment score. The company's ability to navigate the evolving economic conditions and maintain its market share and profitability would be crucial factors in determining its short-term investment value.
 Score: 50</t>
  </si>
  <si>
    <t>Investment Report:
 Without any recent news or financial data provided, it is difficult to make a comprehensive assessment of the investment potential of Stanley Black &amp; Decker in the Industrial Machinery &amp; Supplies &amp; Components industry for the next month.
 The macroeconomic outlook suggests a softening labor market and potential economic slowdown, which could have a mixed impact on the industrial machinery and supplies sector. However, the resilience of the manufacturing industry and the emergence of new technologies, such as AI, may provide some opportunities for companies in this space.
 Given the lack of specific information about Stanley Black &amp; Decker's current performance and market position, it is not possible to provide a reliable investment score at this time. A more thorough analysis of the company's financials, competitive landscape, and growth prospects would be necessary to make a well-informed investment recommendation.
 Score: 50</t>
  </si>
  <si>
    <t>Investment Report:
 Without any recent news or financial data provided, it is difficult to make a comprehensive assessment of Southwest Airlines' investment potential in the Passenger Airlines industry for the next month. The macroeconomic outlook suggests a softening labor market and potential economic slowdown, which could negatively impact the airline industry. However, the manufacturing sector's resilience and the emergence of new technologies, such as AI, may provide some offsetting factors.
 Given the lack of specific information about Southwest Airlines' current performance and outlook, it would be speculative to assign a definitive investment score. The company's ability to navigate the evolving economic and industry conditions, as well as its competitive positioning, financial health, and strategic initiatives, would be crucial in determining its investment value.
 Score: 50</t>
  </si>
  <si>
    <t>Investment Report:
 Without any recent news or financial data provided, it is difficult to provide a comprehensive assessment of the investment potential of Southern Company in the Electric Utilities industry for the next month. The macroeconomic outlook, including factors such as the softening labor market, yield curve inversion, and the performance of the manufacturing sector, could have an indirect impact on the company's performance. However, without access to the company's latest financial statements, operational updates, and industry-specific information, a reliable investment score cannot be determined.
 Score: 50</t>
  </si>
  <si>
    <t>Investment Report:
 Without any recent news or financial data provided, it is difficult to assess the potential investment value of Solventum, a company in the Health Care Technology industry. The macroeconomic outlook suggests a softening labor market and potential economic slowdown, which could impact the overall performance of the healthcare technology sector.
 However, the continued development and adoption of emerging technologies, such as AI, may present opportunities for companies like Solventum to innovate and potentially gain a competitive edge. Additionally, the resilience of the manufacturing sector could indicate some stability within the broader healthcare industry.
 Given the limited information available, it is challenging to provide a comprehensive evaluation of Solventum's investment potential. A more thorough analysis would require access to the company's recent financial statements, market positioning, and strategic initiatives to better understand its current standing and future prospects.
 Score: 50</t>
  </si>
  <si>
    <t>Investment Report:
 Without any recent news or financial data provided, it is difficult to provide a comprehensive assessment of Valero Energy's investment potential in the Oil &amp; Gas Refining &amp; Marketing industry for the next month. The macroeconomic outlook suggests a softening labor market and potential economic slowdown, which could impact the overall industry. However, the manufacturing sector appears to be showing some resilience, and the emergence of new technologies, such as AI, may create opportunities for companies in the sector.
 Given the lack of specific information about Valero Energy's current performance and position within the industry, it would be speculative to assign a definitive investment score. A more thorough analysis of the company's financials, competitive positioning, and management strategy would be necessary to provide a meaningful assessment of its investment value.
 Score: 50</t>
  </si>
  <si>
    <t>Investment Report:
 Without any recent news or financial data provided, it is difficult to make a comprehensive assessment of Tapestry, Inc.'s investment potential in the Apparel, Accessories &amp; Luxury Goods industry for the next month.
 The macroeconomic outlook suggests a softening labor market and potential economic slowdown, which could impact consumer spending and demand for luxury goods. However, the manufacturing sector appears to be showing some resilience, and the AI sector continues to present opportunities.
 Given the lack of specific information about Tapestry, Inc., it is prudent to take a cautious approach when evaluating the company's investment value in the current market environment.
 Score: 50</t>
  </si>
  <si>
    <t>Investment Report:
 Without any recent news or financial data provided, it is difficult to provide a comprehensive assessment of the investment potential for United Parcel Service (UPS) in the Air Freight &amp; Logistics industry. However, based on the macroeconomic outlook and industry trends, we can make some general observations.
 The macroeconomic data suggests a softening labor market, with job openings declining and the yield curve inverting, which could signal a potential economic slowdown. This could have implications for the logistics and transportation industry, as a slowdown in economic activity may lead to reduced demand for shipping and freight services.
 Additionally, the political landscape remains relatively stable, with no major new events that would significantly impact the industry. However, the upcoming U.S. federal elections in November 2024 could introduce some uncertainty, as investors may be cautious about the potential policy changes that could arise from a change in administration or Congress.
 In the Air Freight &amp; Logistics industry, the emergence of new technologies, such as AI, could provide opportunities for companies like UPS to improve efficiency and adapt to changing market conditions. However, without access to the company's recent financial performance and strategic initiatives, it is difficult to assess the specific impact these factors may have on UPS's investment potential.
 Score: 50</t>
  </si>
  <si>
    <t>Investment Report:
 Without any recent news or financial data provided, it is difficult to assess the potential investment value of Zoetis, a company in the Pharmaceuticals industry. The overall economic outlook, however, suggests a softening labor market and potential economic slowdown, which could have implications for the broader pharmaceutical sector.
 The manufacturing sector appears to be showing some resilience, which may bode well for Zoetis as a pharmaceutical company. Additionally, the continued advancements in emerging technologies, such as AI, could present opportunities for innovation and growth within the industry.
 However, the volatile nature of the stock market and the uncertainty surrounding the economic outlook make it challenging to provide a definitive assessment of Zoetis's investment potential without access to the company's recent news and financial performance.
 Score: 50</t>
  </si>
  <si>
    <t>Investment Report:
 Without any recent news or financial data provided, it is difficult to provide a comprehensive assessment of Stryker Corporation's investment potential in the Health Care Equipment industry for the next month. The macroeconomic outlook suggests a softening labor market and potential economic slowdown, which could impact the overall healthcare sector. However, the manufacturing sector appears to be showing some resilience, which may bode well for medical equipment companies like Stryker.
 Given the lack of specific information about the company's current performance and outlook, it would be prudent to exercise caution when evaluating Stryker's investment value in the short term. A more thorough analysis of the company's financials, competitive positioning, and management strategy would be necessary to make a well-informed investment decision.
 Score: 50</t>
  </si>
  <si>
    <t>Investment Report:
 Without any recent news or financial data provided, it is difficult to assess the potential investment value of Supermicro in the Technology Hardware, Storage &amp; Peripherals industry for the next month. The macroeconomic outlook suggests a softening labor market and potential economic slowdown, which could impact the overall technology sector. However, the resilience of the manufacturing industry and the growth of emerging technologies, such as AI, may present opportunities for companies like Supermicro.
 Given the lack of specific information about the company's current performance and outlook, it is not possible to provide a well-informed investment score. A more comprehensive analysis would require access to Supermicro's latest financial statements, industry trends, and management's strategic initiatives.
 Score: 50</t>
  </si>
  <si>
    <t>Investment Report:
 Without any recent news or financial data provided, it is difficult to provide a comprehensive assessment of Synchrony Financial's investment potential in the Consumer Finance industry for the next month. The macroeconomic outlook, however, suggests a softening labor market and potential economic slowdown, which could have a mixed impact on the consumer finance sector.
 The decline in job openings and the yield curve inversion indicate a potential economic slowdown, which may lead to reduced consumer spending and increased credit risk for consumer finance companies. However, the resilience of the manufacturing sector and the continued growth of emerging technologies, such as AI, could provide some offsetting opportunities.
 Given the lack of specific information about Synchrony Financial's current performance and outlook, it is prudent to take a cautious approach when evaluating the company's investment potential. Further research and analysis of the company's financials, competitive positioning, and management strategy would be necessary to provide a more informed assessment.
 Score: 50</t>
  </si>
  <si>
    <t>Investment Report:
 Without any recent news or financial data provided, it is difficult to provide a comprehensive assessment of Synopsys' investment potential in the Application Software industry for the next month. The macroeconomic outlook, as described, suggests a softening labor market and potential economic slowdown, which could have a mixed impact on the software industry.
 However, the continued growth and adoption of emerging technologies, such as AI, may present opportunities for companies like Synopsys to capitalize on the evolving market landscape. Additionally, the political stability and the potential for policy changes following the upcoming U.S. federal elections could also influence the company's performance.
 Given the limited information available, a definitive investment score cannot be provided. A more thorough analysis of Synopsys' financial health, competitive positioning, and growth prospects would be necessary to make a well-informed assessment of its investment value.
 Score: 50</t>
  </si>
  <si>
    <t>Investment Report:
 Without any recent news or financial data provided, it is difficult to make a comprehensive assessment of Zimmer Biomet's investment potential in the Health Care Equipment industry for the next month. The macroeconomic outlook suggests a softening labor market and potential economic slowdown, which could impact the overall healthcare sector. However, the manufacturing sector appears to be showing some resilience, which may bode well for medical equipment companies like Zimmer Biomet.
 Given the lack of specific information about the company's current performance and outlook, it would be prudent to exercise caution when evaluating the investment value of Zimmer Biomet in the short term. A more thorough analysis of the company's financials, competitive positioning, and management strategy would be necessary to provide a more informed assessment.
 Score: 50</t>
  </si>
  <si>
    <t>Investment Report:
 Without any recent news or financial data provided, it is difficult to provide a comprehensive assessment of Zebra Technologies' investment potential in the Electronic Equipment &amp; Instruments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Zebra Technologies.
 Given the lack of specific information about the company, a definitive investment score cannot be determined. Investors would need to closely monitor Zebra Technologies' financial reports, industry trends, and the broader economic conditions to make an informed decision about the company's investment value.
 Score: 50</t>
  </si>
  <si>
    <t>Investment Report:
 Without any recent news or financial data provided, it is difficult to make a comprehensive assessment of Yum! Brands' investment potential in the Restaurants industry for the next month. The macroeconomic outlook suggests a softening labor market and potential economic slowdown, which could impact consumer spending and the overall performance of the restaurant sector.
 However, the manufacturing sector appears to be showing some resilience, and the emergence of new technologies, such as AI, may provide opportunities for companies to adapt and innovate. Additionally, the political landscape remains relatively stable, with no major new events that would significantly impact the stock market.
 Given the limited information available, a cautious approach is warranted. Further research and analysis of Yum! Brands' specific financial performance, competitive positioning, and management strategies would be necessary to provide a more informed investment recommendation.
 Score: 50</t>
  </si>
  <si>
    <t>Investment Report:
 Without any recent news or financial data provided, it is difficult to make a comprehensive assessment of Walgreens Boots Alliance's investment potential in the Drug Retail industry for the next month. The macroeconomic outlook suggests a softening labor market and potential economic slowdown, which could impact consumer spending and the overall performance of the retail sector. However, the manufacturing sector appears to be showing some resilience, and the emergence of new technologies like AI may present opportunities for growth.
 Given the lack of specific information about Walgreens Boots Alliance's current situation, it would be prudent to exercise caution when evaluating the company's investment value. A more thorough analysis of the firm's financial health, competitive positioning, and growth prospects would be necessary to provide a meaningful investment recommendation.
 Score: 50</t>
  </si>
  <si>
    <t>Investment Report:
 Without any recent news or financial data provided, it is difficult to provide a comprehensive assessment of Xcel Energy's investment potential in the Multi-Utilities industry for the next month. The macroeconomic outlook, as described, suggests a softening labor market and potential economic slowdown, which could impact the overall utilities sector. However, the manufacturing sector's resilience and the emergence of new technologies, such as AI, may present opportunities for companies like Xcel Energy to navigate the challenging environment.
 Given the lack of specific information about Xcel Energy's current performance and outlook, it would be prudent to exercise caution when evaluating the company's investment value. A more thorough analysis of the company's financials, competitive positioning, and management strategy would be necessary to provide a meaningful investment recommendation.
 Score: 50</t>
  </si>
  <si>
    <t>Investment Report:
 Without any recent news or financial data provided, it is difficult to assess the potential investment value of Willis Towers Watson in the Insurance Brokers industry for the next month. The macroeconomic outlook suggests a softening labor market and potential economic slowdown, which could impact the insurance industry. However, the manufacturing sector appears to be showing resilience, and the emergence of new technologies like AI may provide opportunities for growth.
 Given the lack of specific information about the company's current performance and outlook, it is not possible to provide a well-informed investment score. Any assessment would be highly speculative and not based on a thorough analysis of the firm's situation.
 Score: 50</t>
  </si>
  <si>
    <t>Investment Report:
 Without any recent news or financial data provided, it is difficult to provide a comprehensive assessment of Weyerhaeuser's investment potential in the Timber REITs industry for the next month. The macroeconomic outlook suggests a softening labor market and potential economic slowdown, which could impact the overall performance of the real estate investment trust (REIT) sector, including timber REITs.
 However, the manufacturing sector appears to be showing some resilience, which could be a positive sign for the timber industry. Additionally, the continued development and adoption of emerging technologies, such as AI, may create new opportunities for companies in the REIT sector.
 Given the limited information available, a cautious approach is warranted when evaluating Weyerhaeuser's investment value in the current market environment. Further research and analysis of the company's financial health, operational performance, and industry trends would be necessary to provide a more informed assessment.
 Score: 50</t>
  </si>
  <si>
    <t>Investment Report:
 Without any recent news or financial data provided, it is difficult to make a comprehensive assessment of Western Digital's investment potential in the Technology Hardware, Storage &amp; Peripherals industry for the next month. The macroeconomic outlook, as described, suggests a softening labor market and potential economic slowdown, which could have a mixed impact on the technology sector. However, the emergence of new technologies, such as AI, may present opportunities for companies like Western Digital to adapt and potentially offset some of the broader economic challenges.
 Given the lack of specific information about the company's current performance and outlook, it would be speculative to assign a precise investment score. A more thorough analysis of Western Digital's financial statements, competitive positioning, and management's strategic initiatives would be necessary to provide a meaningful assessment of the company's investment value in the near term.
 Score: 50</t>
  </si>
  <si>
    <t>Investment Report:
 Without any recent news or financial data provided, it is difficult to assess the potential investment value of West Pharmaceutical Services in the Health Care Supplies industry for the next month. The macroeconomic outlook suggests a softening labor market and potential economic slowdown, which could impact the overall performance of the healthcare sector. However, the manufacturing sector appears to be showing some resilience, which may bode well for companies like West Pharmaceutical Services.
 Given the lack of specific information about the company's current financial position, operations, and market trends, it is not possible to provide a well-informed investment recommendation. A more comprehensive analysis of the company's fundamentals, competitive positioning, and industry dynamics would be necessary to determine its potential investment value accurately.
 Score: 50</t>
  </si>
  <si>
    <t>Investment Report:
 Without any recent news or financial data provided, it is difficult to provide a comprehensive assessment of the investment potential of Wells Fargo in the Diversified Banks industry for the next month. The macroeconomic outlook suggests a softening labor market and potential economic slowdown, which could impact the banking sector. However, the manufacturing sector appears to be showing resilience, and the emergence of new technologies like AI may present opportunities.
 Given the lack of specific information about Wells Fargo's current performance and position, it would be speculative to assign a definitive investment score. The company's ability to navigate the evolving economic and industry landscape will be crucial in determining its short-term investment value.
 Score: 50</t>
  </si>
  <si>
    <t>Investment Report:
 Without any recent news or financial data provided, it is difficult to provide a comprehensive assessment of the investment potential of WEC Energy Group in the Electric Utilities industry for the next month. The macroeconomic outlook, including factors such as the softening labor market, yield curve inversion, and the performance of the manufacturing sector, could have an indirect impact on the company's performance. However, without access to the firm's specific financial metrics and industry-related developments, a reliable score cannot be determined.
 Score: 50</t>
  </si>
  <si>
    <t>Investment Report:
 Without any recent news or financial data provided, it is difficult to make a comprehensive assessment of the investment potential of Waters Corporation in the Life Sciences Tools &amp; Services industry for the next month.
 Economic Outlook:
 The macroeconomic environment appears to be softening, with a decline in job openings and an inverted yield curve, which are classic recession warning signals. However, the manufacturing sector has shown some resilience, and the AI sector continues to present opportunities for investors.
 Given the lack of specific information about Waters Corporation, it is prudent to take a cautious approach when evaluating the company's investment potential. The overall market volatility and economic uncertainty may have an impact on the performance of companies in the Life Sciences Tools &amp; Services industry, including Waters Corporation.
 Score: 50</t>
  </si>
  <si>
    <t>Investment Report:
 Without any recent news or financial data provided, it is difficult to provide a comprehensive assessment of Waste Management's investment potential in the Environmental &amp; Facilities Services industry for the next month. 
 The macroeconomic outlook suggests a softening labor market and potential economic slowdown, which could impact demand for waste management services. However, the manufacturing sector appears to be showing resilience, and the emergence of new technologies like AI may present opportunities for the industry.
 Given the lack of specific information about Waste Management's current performance and position, it would be speculative to assign a definitive investment score. A more thorough analysis of the company's financials, market share, competitive landscape, and growth prospects would be necessary to provide a meaningful evaluation.
 Score: 50</t>
  </si>
  <si>
    <t>Investment Report:
 Without any recent news or financial data provided, it is difficult to assess the potential investment value of Warner Bros. Discovery in the Broadcasting industry for the next month. The macroeconomic outlook suggests a softening labor market and potential economic slowdown, which could have a negative impact on the overall media and entertainment sector. However, the resilience of the manufacturing sector and the continued growth of emerging technologies, such as AI, may provide some opportunities for companies able to adapt to the changing market conditions.
 Given the lack of specific information about Warner Bros. Discovery's current performance and outlook, it is not possible to provide a well-informed investment score. A more comprehensive analysis would require access to the company's latest financial reports, industry trends, and management's strategic plans.
 Score: 50</t>
  </si>
  <si>
    <t>Investment Report:
 Without any recent news or financial data provided, it is difficult to make a comprehensive assessment of Walmart's investment potential in the Consumer Staples Merchandise Retail industry for the next month. The macroeconomic outlook, including factors such as the softening labor market, yield curve inversion, and the performance of the manufacturing sector, could have an indirect impact on Walmart's business. However, the lack of specific information about the company's current operations, financial standing, and competitive positioning limits the ability to provide a well-informed investment analysis.
 Score: 50</t>
  </si>
  <si>
    <t>Investment Report:
 Without any recent news or financial data provided, it is difficult to provide a comprehensive assessment of the investment potential of Xylem Inc. in the Industrial Machinery &amp; Supplies &amp; Components industry for the next month.
 The macroeconomic outlook suggests a softening labor market and potential economic slowdown, which could have a mixed impact on the industrial machinery and supplies sector. However, the resilience of the manufacturing industry and the emergence of new technologies, such as AI, may present opportunities for companies like Xylem Inc.
 Given the lack of specific information about the company's current performance and outlook, it would be prudent to gather more data before making an informed investment decision.
 Score: 50</t>
  </si>
  <si>
    <t>Investment Report:
 Without any recent news or financial data provided, it is difficult to assess the potential investment value of Quest Diagnostics in the Health Care Services industry for the next month. The macroeconomic outlook suggests a softening labor market and potential economic slowdown, which could impact the overall healthcare sector. However, the manufacturing sector appears to be showing some resilience, and the emergence of new technologies like AI may provide opportunities for growth.
 Given the lack of specific information about Quest Diagnostics, it is not possible to provide a well-informed investment recommendation. The company's performance would depend on its ability to navigate the current economic environment, adapt to industry trends, and capitalize on any potential opportunities that may arise.
 Score: 50</t>
  </si>
  <si>
    <t>Investment Report:
 Without any recent news or financial data provided, it is difficult to make a comprehensive assessment of Quanta Services' investment potential in the Construction &amp; Engineering industry for the next month. The macroeconomic outlook suggests a softening labor market and potential economic slowdown, which could impact the overall industry performance. However, the manufacturing sector appears to be showing some resilience, which may benefit construction-related companies.
 Given the lack of specific information about Quanta Services, it is prudent to take a cautious approach when evaluating the company's investment value. The ongoing political and economic uncertainties, as well as the potential volatility in the stock market, warrant a more conservative outlook in the near term.
 Score: 50</t>
  </si>
  <si>
    <t>Investment Report:
 Without any recent news or financial data provided, it is difficult to assess the potential investment value of Qorvo in the Semiconductors industry for the next month. The macroeconomic outlook suggests a softening labor market and potential economic slowdown, which could have a negative impact on the semiconductor industry. However, the resilience of the manufacturing sector and the continued growth of emerging technologies, such as AI, may provide some support for the industry.
 Given the lack of specific information about Qorvo's current performance and outlook, it is not possible to provide a well-informed investment recommendation. A more comprehensive analysis would be needed to evaluate the company's competitive position, financial health, and growth prospects within the broader semiconductor market.
 Score: 50</t>
  </si>
  <si>
    <t>Investment Report:
 Without any recent news or financial data provided, it is difficult to make a comprehensive assessment of PulteGroup's investment potential in the Homebuilding industry for the next month. The macroeconomic outlook suggests a softening labor market and potential economic slowdown, which could have implications for the housing sector. However, the manufacturing sector appears to be showing some resilience, and the emergence of new technologies like AI may present opportunities.
 Given the lack of specific information about PulteGroup's current performance and position within the industry, it would be speculative to assign a definitive score. The company's ability to navigate the evolving economic conditions and capitalize on any industry trends would be crucial factors in determining its investment value.
 Score: 50</t>
  </si>
  <si>
    <t>Investment Report:
 Without any recent news or financial data provided, it is difficult to provide a comprehensive assessment of the investment potential of Public Storage, a company in the Self-Storage REITs industry. 
 Economic Outlook:
 The current macroeconomic environment is characterized by a softening labor market, with job openings declining and the yield curve inverting, signaling a potential economic slowdown. However, the manufacturing sector appears to be holding up better, and the AI sector continues to show promise. These broader economic factors could have an impact on the performance of companies in the Self-Storage REITs industry, but the extent of the impact is unclear without specific information about Public Storage.
 Overall, the lack of recent news and financial data makes it challenging to evaluate the investment value of Public Storage. A more thorough analysis would require access to the company's latest financial statements, market performance, and industry-specific information.
 Score: 50</t>
  </si>
  <si>
    <t>Investment Report:
 Without any recent news or financial data provided, it is difficult to provide a comprehensive assessment of the investment potential for PTC in the Application Software industry. The macroeconomic outlook, however, suggests a potentially challenging environment in the near term, with a softening labor market and concerns about a potential economic slowdown.
 The volatility in the stock market, particularly in the tech sector, could also have implications for PTC's performance. Additionally, the ongoing developments in the AI sector and the potential disruption it may cause in the traditional software industry could present both opportunities and risks for the company.
 Given the lack of specific information about PTC's current situation, it would be prudent to exercise caution when evaluating the investment potential of the company. A more thorough analysis of the company's financials, competitive positioning, and growth prospects would be necessary to provide a more informed assessment.
 Score: 50</t>
  </si>
  <si>
    <t>Investment Report:
 Without any recent news or financial data provided, it is difficult to assess the potential investment value of Public Service Enterprise Group in the Electric Utilities industry for the next month. The macroeconomic outlook suggests a softening labor market and potential economic slowdown, which could impact the overall performance of the utilities sector. However, the manufacturing sector appears to be showing some resilience, and the emergence of new technologies like AI may provide opportunities for investors.
 Given the lack of specific information about the company, it is prudent to take a cautious approach when evaluating its investment potential. More detailed financial data and industry-specific news would be necessary to provide a more informed assessment.
 Score: 50</t>
  </si>
  <si>
    <t>Investment Report:
 Without any recent news or financial data provided, it is difficult to provide a comprehensive assessment of Prudential Financial's investment potential in the Life &amp; Health Insurance industry for the next month. 
 The macroeconomic outlook suggests a softening labor market and potential economic slowdown, which could impact the insurance industry. However, the manufacturing sector appears to be showing resilience, and the emergence of new technologies like AI may present opportunities.
 Given the lack of specific information about Prudential Financial, it is not possible to make a well-informed evaluation of the company's current situation and future prospects. More data would be needed to determine the appropriate investment score.
 Score: 50</t>
  </si>
  <si>
    <t>Investment Report:
 Without any recent news or financial data provided, it is difficult to provide a comprehensive assessment of Prologis' investment potential in the Industrial REITs industry for the next month. The macroeconomic outlook suggests a softening labor market and potential economic slowdown, which could impact the real estate sector. However, the manufacturing sector appears to be showing resilience, which may benefit industrial REITs like Prologis.
 Given the limited information available, a cautious approach is warranted. The company's performance and outlook would need to be evaluated based on the latest financial reports, market trends, and industry-specific factors to determine its investment value accurately.
 Score: 50</t>
  </si>
  <si>
    <t>Investment Report:
 Without any recent news or financial data provided, it is difficult to make a comprehensive assessment of the investment potential of Progressive Corporation in the Property &amp; Casualty Insurance industry for the next month.
 Economic Outlook:
 The macroeconomic environment appears to be softening, with a decline in job openings and an inverted yield curve, which could signal a potential economic slowdown. However, the manufacturing sector has shown some resilience, and the AI sector continues to present opportunities for investors.
 Given the lack of specific information about Progressive Corporation, it is challenging to determine the company's current position and how it might be impacted by the broader economic conditions. The stock market has experienced volatility, and the upcoming federal elections in the United States could introduce additional uncertainty.
 Score: 50</t>
  </si>
  <si>
    <t>Investment Report:
 Without any recent news or financial data provided, it is difficult to make a comprehensive assessment of Snap-on's investment potential in the Industrial Machinery &amp; Supplies &amp; Components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Snap-on.
 Given the lack of specific information about the company, a definitive investment score cannot be determined. Investors would need to closely monitor Snap-on's financial reports, industry trends, and the broader economic conditions to make an informed decision about the company's investment value.
 Score: 50</t>
  </si>
  <si>
    <t>Investment Report:
 Without any recent news or financial data provided, it is difficult to provide a comprehensive assessment of the investment potential of PPL Corporation in the Electric Utilities industry for the next month. The macroeconomic outlook, including factors such as the softening labor market, yield curve inversion, and the performance of the manufacturing sector, could have an indirect impact on the company's performance. However, without access to the company's latest financial statements, operational updates, and industry-specific information, a reliable investment score cannot be determined.
 Score: 50</t>
  </si>
  <si>
    <t>Investment Report:
 Without any recent news or financial data provided, it is difficult to provide a comprehensive assessment of the investment potential of PPG Industries in the Specialty Chemicals industry for the next month. The macroeconomic outlook, as described, suggests a softening labor market and potential economic slowdown, which could have a mixed impact on the specialty chemicals sector.
 However, the resilience of the manufacturing sector and the continued growth of emerging technologies, such as AI, may present opportunities for companies like PPG Industries to navigate the challenging economic environment. Additionally, the political landscape appears relatively stable, with no major new events that would significantly impact the stock market.
 Given the limited information available, it would be prudent to exercise caution and closely monitor any new developments or financial data that may become available before making an investment decision.
 Score: 50</t>
  </si>
  <si>
    <t>Investment Report:
 Without any recent news or financial data provided, it is difficult to provide a comprehensive assessment of the investment potential for Pool Corporation in the Distributors industry. The macroeconomic outlook, however, suggests a mixed picture, with signs of a softening labor market but some resilience in the manufacturing sector.
 The overall volatility in the stock market, particularly in the tech sector, and the potential for an economic slowdown could pose challenges for Pool Corporation in the near term. Additionally, the upcoming U.S. federal elections in November 2024 may introduce some uncertainty that could impact the company's performance.
 On the positive side, the continued adoption of emerging technologies, such as AI, could create opportunities for companies like Pool Corporation to capitalize on new market trends and potentially offset some of the broader economic headwinds.
 Score: 50</t>
  </si>
  <si>
    <t>Investment Report:
 Without any recent news or financial data provided, it is difficult to provide a comprehensive assessment of Pinnacle West's investment potential in the Multi-Utilities industry for the next month. The macroeconomic outlook suggests a softening labor market and potential economic slowdown, which could impact the overall utilities sector. However, the manufacturing sector appears to be showing some resilience, and the emergence of new technologies like AI may present opportunities for certain companies.
 Given the lack of specific information about Pinnacle West, it is not possible to make a well-informed evaluation of the company's current situation and future prospects. A more thorough analysis would require access to the latest financial statements, industry trends, and any relevant news or developments affecting the firm.
 Score: 50</t>
  </si>
  <si>
    <t>Investment Report:
 Without any recent news or financial data provided, it is difficult to provide a comprehensive assessment of the investment potential of Philip Morris International in the Tobacco industry for the next month. The macroeconomic outlook, including factors such as consumer spending, regulatory changes, and industry trends, would be crucial in determining the company's performance.
 Given the lack of specific information, it would be prudent to exercise caution when evaluating the investment value of Philip Morris International. The Tobacco industry can be subject to significant volatility and regulatory risks, which could impact the company's financial performance and stock price.
 Score: 50</t>
  </si>
  <si>
    <t>Investment Report:
 Without any recent news or financial data provided, it is difficult to provide a comprehensive assessment of the investment potential of PG&amp;E Corporation in the Multi-Utilities industry for the next month. The macroeconomic outlook, including factors such as the softening labor market, yield curve inversion, and the performance of the manufacturing sector, could have an indirect impact on the company's performance. However, without access to the company's latest financial statements, operational updates, and industry-specific information, a reliable investment score cannot be determined.
 Score: 50</t>
  </si>
  <si>
    <t>Investment Report:
 Without any recent news or financial data provided, it is difficult to provide a comprehensive assessment of Pfizer's investment potential in the Pharmaceuticals industry for the next month. The macroeconomic outlook, including factors such as the softening labor market, yield curve inversion, and the potential for a Federal Reserve interest rate cut, could have a broader impact on the industry and the overall stock market performance.
 However, the Pharmaceuticals industry has historically demonstrated resilience, as healthcare-related products and services tend to be less sensitive to economic fluctuations compared to other sectors. Additionally, the continued development and adoption of new technologies, such as advancements in AI, could present opportunities for companies like Pfizer to enhance their product pipelines and improve operational efficiency.
 Given the lack of specific information about Pfizer's recent performance and outlook, it would be prudent to exercise caution and conduct further research before making any investment decisions.
 Score: 50</t>
  </si>
  <si>
    <t>Investment Report:
 Without any recent news or financial data provided, it is difficult to provide a comprehensive assessment of PepsiCo's investment potential in the Soft Drinks &amp; Non-alcoholic Beverages industry for the next month. 
 The macroeconomic outlook suggests a softening labor market and potential economic slowdown, which could impact consumer spending and demand for PepsiCo's products. However, the manufacturing sector's resilience and the continued growth of emerging technologies, such as AI, may present opportunities for the company.
 Given the lack of specific information about PepsiCo's current performance and position within the industry, a definitive investment score cannot be determined. A more thorough analysis of the company's financials, market share, competitive landscape, and management strategy would be necessary to provide a meaningful assessment of its investment value.
 Score: 50</t>
  </si>
  <si>
    <t>Investment Report:
 Without any recent news or financial data provided, it is difficult to provide a comprehensive assessment of Pentair's investment potential in the Industrial Machinery &amp; Supplies &amp; Components industry for the next month. 
 The macroeconomic outlook suggests a softening labor market and potential economic slowdown, which could impact the overall performance of industrial machinery and supplies companies. However, the resilience of the manufacturing sector and the emergence of new technologies, such as AI, may present opportunities for companies in this industry.
 Given the lack of specific information about Pentair's current situation, it would be prudent to gather more data before making a well-informed investment recommendation.
 Score: 50</t>
  </si>
  <si>
    <t>Investment Report:
 Without any recent news or financial data provided, it is difficult to assess the potential investment value of T. Rowe Price in the Asset Management &amp; Custody Banks industry for the next month. The macroeconomic outlook suggests a softening labor market and potential economic slowdown, which could impact the overall performance of the financial sector. However, the resilience of the manufacturing sector and the emergence of new technologies, such as AI, may provide some opportunities for investors.
 Given the lack of specific information about T. Rowe Price's current situation, it is not possible to provide a well-informed investment score. A more comprehensive analysis would require access to the company's latest financial statements, market performance, and industry trends.
 Score: 50</t>
  </si>
  <si>
    <t>Investment Report:
 Without any recent news or financial data provided, it is difficult to assess the potential investment value of Principal Financial Group in the Life &amp; Health Insurance industry for the next month. The macroeconomic outlook suggests a softening labor market and potential economic slowdown, which could impact the insurance sector. However, the manufacturing sector appears to be showing some resilience, and the emergence of new technologies like AI may provide opportunities for growth.
 Given the lack of specific information about Principal Financial Group, it is not possible to provide a well-informed assessment of the company's investment potential. The overall economic and industry conditions may have both positive and negative implications for the firm, making it challenging to assign a meaningful score without access to the latest news and financial data.
 Score: 50</t>
  </si>
  <si>
    <t>Investment Report:
 Without any recent news or financial data provided, it is difficult to assess the potential investment value of Smurfit WestRock in the Paper &amp; Plastic Packaging Products &amp; Materials industry for the next month. The overall economic outlook, as described in the macroeconomic context, suggests a softening labor market and potential economic slowdown, which could have a mixed impact on the packaging industry.
 However, the manufacturing sector appears to be showing some resilience, and the emergence of new technologies, such as AI, may create opportunities for companies in the packaging industry. Additionally, the political landscape remains relatively stable, with no major new events that would significantly impact the stock market.
 Given the lack of specific information about Smurfit WestRock, it is not possible to provide a well-informed assessment of the company's investment potential. A more comprehensive analysis would require access to the company's recent financial statements, industry trends, and other relevant data.
 Score: 50</t>
  </si>
  <si>
    <t>Investment Report:
 Without any recent news or financial data provided, it is difficult to provide a comprehensive assessment of the investment potential for J.M. Smucker Company (The) in the Packaged Foods &amp; Meats industry for the next month.
 The overall economic outlook, as mentioned in the macroeconomic context, suggests a softening labor market and potential economic slowdown. This could have implications for the consumer packaged goods industry, as consumer spending patterns may shift. However, the resilience of the manufacturing sector and the continued growth of emerging technologies, such as AI, could present opportunities for companies in the industry.
 Without access to the company's latest financial performance, market position, and strategic initiatives, it is challenging to determine the specific factors that may impact J.M. Smucker Company's short-term investment value. A more thorough analysis of the company's fundamentals and competitive landscape would be necessary to provide a meaningful investment recommendation.
 Score: 50</t>
  </si>
  <si>
    <t>Investment Report:
 Without any recent news or financial data provided, it is difficult to provide a comprehensive assessment of Skyworks Solutions' investment potential in the Semiconductors industry for the next month. The macroeconomic outlook suggests a softening labor market and potential economic slowdown, which could have a negative impact on the overall semiconductor industry. However, the resilience of the manufacturing sector and the continued growth of emerging technologies, such as AI, may present opportunities for companies like Skyworks Solutions.
 Given the lack of specific information about the company's current performance and outlook, it would be prudent to exercise caution when evaluating its investment value. A more thorough analysis of Skyworks Solutions' financial health, competitive positioning, and growth prospects would be necessary to provide a meaningful investment recommendation.
 Score: 50</t>
  </si>
  <si>
    <t>Investment Report:
 Without any recent news or financial data provided, it is difficult to provide a comprehensive assessment of the investment potential of Simon Property Group in the Retail REITs industry for the next month. The macroeconomic outlook suggests a softening labor market and potential economic slowdown, which could have implications for the retail sector. However, the manufacturing sector appears to be showing some resilience, and the emergence of new technologies like AI may present opportunities.
 Given the lack of specific information about Simon Property Group, it is not possible to make a well-informed evaluation of the company's current situation and future prospects. A more thorough analysis would require access to the latest financial statements, market performance data, and industry-specific insights.
 Score: 50</t>
  </si>
  <si>
    <t>Investment Report:
 Without any recent news or financial data provided, it is difficult to provide a comprehensive assessment of the investment potential of ServiceNow in the Systems Software industry for the next month. The macroeconomic outlook, as described, suggests a softening labor market and potential economic slowdown, which could have a mixed impact on the software industry. However, the continued adoption of emerging technologies, such as AI, may present opportunities for companies like ServiceNow.
 Given the lack of specific information about the company's current performance and outlook, it would be speculative to assign a precise investment score. A more thorough analysis of ServiceNow's financial health, competitive positioning, and growth prospects would be necessary to provide a meaningful investment recommendation.
 Score: 50</t>
  </si>
  <si>
    <t>Investment Report:
 Without any recent news or financial data provided, it is difficult to provide a comprehensive assessment of Sempra's investment potential in the Multi-Utilities industry for the next month. The macroeconomic outlook, including factors such as the softening labor market, yield curve inversion, and the performance of the manufacturing sector, could have an indirect impact on Sempra's operations and stock price. However, without the company-specific information, it is not possible to determine the direct implications for Sempra's investment value.
 Score: 50</t>
  </si>
  <si>
    <t>Investment Report:
 Without any recent news or financial data provided, it is difficult to make a comprehensive assessment of Seagate Technology's investment potential in the Technology Hardware, Storage &amp; Peripherals industry for the next month. 
 The macroeconomic outlook suggests a softening labor market and potential economic slowdown, which could impact the overall technology sector. However, the manufacturing sector appears to be showing some resilience, and the AI sector continues to present opportunities.
 Given the lack of company-specific information, it would be speculative to provide a definitive investment score for Seagate Technology at this time. A more thorough analysis of the company's financials, competitive positioning, and management strategy would be necessary to make a well-informed investment recommendation.
 Score: 50</t>
  </si>
  <si>
    <t>Investment Report:
 Without any recent news or financial data provided, it is difficult to provide a comprehensive assessment of Schlumberger's investment potential in the Oil &amp; Gas Equipment &amp; Services industry for the next month. The macroeconomic outlook suggests a softening labor market and potential economic slowdown, which could impact the overall industry. However, the manufacturing sector appears to be showing some resilience, and the emergence of new technologies like AI may present opportunities.
 Given the lack of specific information about Schlumberger's current performance and position within the industry, it would be prudent to exercise caution when evaluating the company's investment value. A more thorough analysis of the company's financials, competitive positioning, and management strategy would be necessary to provide a meaningful investment recommendation.
 Score: 50</t>
  </si>
  <si>
    <t>Investment Report:
 Without any recent news or financial data provided, it is difficult to make a comprehensive assessment of the investment potential of SBA Communications, a company in the Telecom Tower REITs industry. 
 The overall economic outlook, however, suggests a potentially challenging environment for the industry. The softening labor market, with declining job openings, and the yield curve inversion, which is a classic recession warning signal, indicate a potential economic slowdown. This could impact the demand for telecom tower services and the broader real estate investment trust (REIT) sector.
 Additionally, the political landscape, particularly the upcoming U.S. federal elections in November 2024, could introduce some uncertainty that may affect the stock market and the performance of companies like SBA Communications.
 Given the limited information available, it is prudent to approach any investment decision in SBA Communications with caution and thorough research, as the company's performance may be influenced by the evolving macroeconomic and political factors.
 Score: 50</t>
  </si>
  <si>
    <t>Investment Report:
 Without any recent news or financial data provided, it is difficult to provide a comprehensive assessment of Salesforce's investment potential in the Application Software industry for the next month. The macroeconomic outlook, as described, suggests a softening labor market and potential economic slowdown, which could have a mixed impact on the software industry.
 However, the continued growth and adoption of emerging technologies, such as AI, may present opportunities for companies like Salesforce to capitalize on. Additionally, the political landscape, while relatively stable, could introduce some uncertainty depending on the outcome of the upcoming U.S. federal elections.
 Given the limited information available, a definitive investment score cannot be confidently assigned. A more thorough analysis of Salesforce's financial performance, market position, and growth prospects would be necessary to provide a meaningful assessment of its investment value.
 Score: 50</t>
  </si>
  <si>
    <t>Investment Report:
 Without any recent news or financial data provided, it is difficult to make a comprehensive assessment of the investment potential of Ralph Lauren Corporation in the Apparel, Accessories &amp; Luxury Goods industry for the next month.
 The macroeconomic outlook suggests a softening labor market and potential economic slowdown, which could have a mixed impact on the luxury goods sector. However, the resilience of the manufacturing sector and the continued growth of emerging technologies, such as AI, may provide some support for the industry.
 Given the lack of specific information about Ralph Lauren Corporation's current performance and position within the market, it is not possible to provide a reliable investment score at this time. A more thorough analysis of the company's financials, competitive landscape, and management strategy would be necessary to make a well-informed investment recommendation.
 Score: 50</t>
  </si>
  <si>
    <t>Investment Report:
 Without any recent news or financial data provided, it is difficult to provide a comprehensive assessment of the investment potential of Royal Caribbean Group in the Hotels, Resorts &amp; Cruise Lines industry for the next month.
 The macroeconomic outlook suggests a softening labor market and potential economic slowdown, which could have a negative impact on the travel and tourism industry. However, the manufacturing sector appears to be showing some resilience, and the emergence of new technologies, such as AI, could provide opportunities for companies in the industry.
 Given the lack of specific information about Royal Caribbean Group's current performance and outlook, it is challenging to assign a meaningful investment score. The company's ability to navigate the evolving economic and industry conditions will be crucial in determining its investment potential in the near term.
 Score: 50</t>
  </si>
  <si>
    <t>Investment Report:
 Without any recent news or financial data provided, it is difficult to make a comprehensive assessment of the investment potential of Ross Stores in the Apparel Retail industry for the next month. The macroeconomic outlook suggests a softening labor market and potential economic slowdown, which could impact consumer spending and the overall performance of the retail sector.
 However, the manufacturing sector appears to be showing some resilience, and the emergence of new technologies, such as AI, may create opportunities for investors. Additionally, the Federal Reserve's monetary policy decisions could have a significant influence on the stock market's performance in the short to medium term.
 Given the limited information available, it would be prudent to exercise caution and closely monitor any new developments or financial data that may become available before making an informed investment decision.
 Score: 50</t>
  </si>
  <si>
    <t>Investment Report:
 Without any recent news or financial data provided, it is difficult to make a comprehensive assessment of Roper Technologies' investment potential in the Electronic Equipment &amp; Instruments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Roper Technologies to navigate the challenging environment.
 Given the lack of specific information about the company's current situation, it would be prudent to exercise caution and closely monitor any new developments before making an informed investment decision.
 Score: 50</t>
  </si>
  <si>
    <t>Investment Report:
 Without any recent news or financial data provided, it is difficult to provide a comprehensive assessment of the investment potential of Rollins, Inc. in the Environmental &amp; Facilities Services industry for the next month.
 Economic Outlook:
 The macroeconomic environment appears to be softening, with a decline in job openings and an inverted yield curve, which could signal a potential economic slowdown. However, the manufacturing sector has shown some resilience, and the AI sector continues to present opportunities for investors.
 Given the limited information available, it is challenging to determine the specific impact of the current economic conditions on Rollins, Inc. and its industry. More detailed financial data and company-specific news would be necessary to make a more informed evaluation.
 Score: 50</t>
  </si>
  <si>
    <t>Investment Report:
 Without any recent news or financial data provided, it is difficult to make a comprehensive assessment of Rockwell Automation's investment potential in the Electrical Components &amp; Equipment industry for the next month. The macroeconomic outlook suggests a softening labor market and potential economic slowdown, which could have a mixed impact on the industry. However, the resilience of the manufacturing sector and the emergence of new technologies like AI may provide some opportunities.
 Given the lack of specific information about Rockwell Automation, it would be prudent to exercise caution and conduct further research before making any investment decisions. The company's performance and outlook can be heavily influenced by factors such as its market position, product portfolio, financial health, and management strategy, which are not available in the current context.
 Score: 50</t>
  </si>
  <si>
    <t>Investment Report:
 Without any recent news or financial data provided, it is difficult to assess the potential investment value of Revvity in the Health Care Equipment industry for the next month. The macroeconomic outlook suggests a softening labor market and potential economic slowdown, which could impact the overall performance of the healthcare sector. However, the manufacturing sector appears to be showing some resilience, and the emergence of new technologies like AI may provide opportunities for growth.
 Given the lack of company-specific information, it is not possible to provide a well-informed assessment of Revvity's investment potential. A more comprehensive analysis would require access to the firm's latest financial statements, industry trends, and any relevant news or developments.
 Score: 50</t>
  </si>
  <si>
    <t>Investment Report:
 Without any recent news or financial data provided, it is difficult to make a comprehensive assessment of ResMed's investment potential in the Health Care Equipment industry for the next month. The macroeconomic outlook suggests a softening labor market and potential economic slowdown, which could impact the overall healthcare sector. However, the manufacturing sector appears to be showing some resilience, and the emergence of new technologies like AI may provide opportunities for companies in the healthcare equipment space.
 Given the lack of specific information about ResMed's current performance and outlook, it would be prudent to exercise caution when evaluating the company's investment value. A more thorough analysis of the company's financials, competitive positioning, and growth prospects would be necessary to provide a meaningful investment recommendation.
 Score: 50</t>
  </si>
  <si>
    <t>Investment Report:
 Without any recent news or financial data provided, it is difficult to provide a comprehensive assessment of the investment potential for Regions Financial Corporation in the Regional Banks industry for the next month.
 Economic Outlook:
 The macroeconomic environment appears to be softening, with a decline in job openings and an inverted yield curve, which are classic recession warning signals. However, the manufacturing sector has shown some resilience, and the AI sector continues to present opportunities for investors.
 Given the lack of specific information about Regions Financial Corporation, it is not possible to make a well-informed evaluation of the company's current situation and its potential investment value. More detailed and up-to-date data would be required to provide a more accurate assessment.
 Score: 50</t>
  </si>
  <si>
    <t>Investment Report:
 Without any recent news or financial data provided, it is difficult to provide a comprehensive assessment of Regency Centers' investment potential in the Retail REITs industry for the next month. The macroeconomic outlook suggests a softening labor market and potential economic slowdown, which could impact the overall real estate sector, including Retail REITs. However, the manufacturing sector's resilience and the continued growth of emerging technologies, such as AI, may offer some counterbalancing factors.
 Given the lack of specific information about Regency Centers, it would be prudent to exercise caution and conduct further research before making any investment decisions. The company's performance and outlook can be heavily influenced by various industry-specific and company-specific factors that are not readily available.
 Score: 50</t>
  </si>
  <si>
    <t>Investment Report:
 Without any recent news or financial data provided, it is difficult to provide a comprehensive assessment of Realty Income's investment potential in the Retail REITs industry for the next month. The macroeconomic outlook suggests a softening labor market and potential economic slowdown, which could impact the performance of retail-focused real estate investment trusts (REITs) like Realty Income.
 However, the manufacturing sector appears to be showing some resilience, and the emergence of new technologies, such as AI, may provide opportunities for investors. Additionally, the potential for a Federal Reserve interest rate cut in September could provide some support for the market.
 Given the limited information available, it would be prudent to exercise caution and closely monitor any new developments or financial data related to Realty Income and the broader Retail REITs industry before making an investment decision.
 Score: 50</t>
  </si>
  <si>
    <t>Investment Report:
 Without any recent news or financial data provided, it is difficult to make a comprehensive assessment of the investment potential of RTX Corporation in the Aerospace &amp; Defense industry for the next month. The macroeconomic outlook suggests a softening labor market and potential economic slowdown, which could have implications for the broader industry. However, the manufacturing sector appears to be showing some resilience, and the emergence of new technologies like AI may present opportunities.
 Given the lack of specific information about RTX Corporation, it would be prudent to exercise caution and conduct further research before making any investment decisions. The company's performance and outlook may be influenced by various factors, including its competitive positioning, product pipeline, and ability to navigate the current economic environment.
 Score: 50</t>
  </si>
  <si>
    <t>Investment Report:
 Without any recent news or financial data provided, it is difficult to make a comprehensive assessment of the investment potential of S&amp;P Global in the Financial Exchanges &amp; Data industry for the next month. The macroeconomic outlook suggests a softening labor market and potential economic slowdown, which could impact the overall financial sector. However, the resilience of the manufacturing sector and the continued growth of emerging technologies, such as AI, may provide some support for the industry.
 Given the lack of specific information about S&amp;P Global's current performance and outlook, it would be prudent to exercise caution when evaluating the company's investment potential. More detailed financial data and industry-specific news would be necessary to provide a more informed and reliable assessment.
 Score: 50</t>
  </si>
  <si>
    <t>Investment Report:
 Without any recent news or financial data provided, it is difficult to make a comprehensive assessment of Corning Inc.'s investment potential in the Electronic Components industry for the next month. The macroeconomic outlook suggests a softening labor market and potential economic slowdown, which could have a mixed impact on the industry. However, the resilience of the manufacturing sector and the emergence of new technologies like AI may provide some opportunities.
 Given the lack of specific information about Corning Inc., it would be prudent to gather more up-to-date data on the company's financial performance, market position, and growth prospects before making a well-informed investment recommendation.
 Score: 50</t>
  </si>
  <si>
    <t>Investment Report:
 Without any recent news or financial data provided, it is difficult to assess the potential investment value of Copart in the Diversified Support Services industry for the next month. The macroeconomic outlook suggests a softening labor market and potential economic slowdown, which could impact the overall industry performance. However, the manufacturing sector appears to be showing some resilience, and the emergence of new technologies like AI may provide opportunities for companies in the Diversified Support Services industry.
 Given the lack of specific information about Copart's current situation, it is not possible to provide a well-informed investment score. A more comprehensive analysis would require access to the company's latest financial statements, market position, competitive landscape, and management's strategic initiatives.
 Score: 50</t>
  </si>
  <si>
    <t>Investment Report:
 Without any recent news or financial data provided, it is difficult to assess the potential investment value of Constellation Energy in the Electric Utilities industry for the next month. The macroeconomic outlook suggests a softening labor market and potential economic slowdown, which could impact the overall performance of the utilities sector. However, the manufacturing sector appears to be showing some resilience, and the emergence of new technologies like AI may provide opportunities for investors.
 Given the lack of specific information about Constellation Energy, it is not possible to provide a well-informed investment score. The company's performance would depend on factors such as its financial health, market position, regulatory environment, and ability to adapt to changing economic conditions.
 Score: 50</t>
  </si>
  <si>
    <t>Investment Report:
 Without any recent news or financial data provided, it is difficult to make a comprehensive assessment of Constellation Brands' investment potential in the Distillers &amp; Vintners industry for the next month. The macroeconomic outlook, as described, suggests a softening labor market and potential economic slowdown, which could impact consumer spending and demand for alcoholic beverages. However, the resilience of the manufacturing sector and the continued growth of emerging technologies, such as AI, may provide some offsetting factors.
 Given the lack of company-specific information, it would be prudent to exercise caution and conduct further research before making any investment decisions regarding Constellation Brands. The overall market volatility and economic uncertainty warrant a more conservative approach in the near term.
 Score: 50</t>
  </si>
  <si>
    <t>Investment Report:
 Without any recent news or financial data provided, it is difficult to provide a comprehensive assessment of Consolidated Edison's investment potential in the Multi-Utilities industry for the next month. The macroeconomic outlook, including factors such as the softening labor market, yield curve inversion, and the performance of the manufacturing sector, could have an indirect impact on the company's operations and stock price. However, without access to the firm's latest financial statements, market performance, and industry-specific information, a reliable investment score cannot be determined.
 Score: 50</t>
  </si>
  <si>
    <t>Investment Report:
 Without any recent news or financial data provided, it is difficult to provide a comprehensive assessment of the investment potential of ConocoPhillips in the Oil &amp; Gas Exploration &amp; Production industry for the next month.
 The macroeconomic outlook suggests a softening labor market and potential economic slowdown, which could impact the overall performance of the energy sector. However, the manufacturing sector appears to be showing some resilience, and the development of new technologies, such as AI, may create opportunities for investors.
 Given the lack of specific information about ConocoPhillips' current financial position, operations, and market dynamics, it would be speculative to assign a definitive investment score. A more thorough analysis of the company's fundamentals, industry trends, and competitive landscape would be necessary to provide a meaningful assessment.
 Score: 50</t>
  </si>
  <si>
    <t>Investment Report:
 Without any recent news or financial data provided, it is difficult to make a comprehensive assessment of Comcast's investment potential in the Cable &amp; Satellite industry for the next month. The macroeconomic outlook suggests a softening labor market and potential economic slowdown, which could impact the overall industry performance. However, the manufacturing sector's resilience and the emerging technologies like AI may present opportunities for companies able to adapt to the changing market conditions.
 Given the lack of specific information about Comcast's current standing, it would be speculative to assign a definitive investment score. The company's ability to navigate the evolving industry landscape and capitalize on any emerging trends would be crucial factors in determining its short-term investment value.
 Score: 50</t>
  </si>
  <si>
    <t>Investment Report:
 Without any recent news or financial data provided, it is difficult to provide a comprehensive assessment of Cognizant's investment potential in the IT Consulting &amp; Other Services industry for the next month. The macroeconomic outlook suggests a softening labor market and potential economic slowdown, which could impact the overall industry performance. However, the resilience of the manufacturing sector and the continued growth of emerging technologies, such as AI, may present opportunities for companies like Cognizant.
 Given the lack of specific information about Cognizant's current situation, it would be prudent to exercise caution and closely monitor any new developments before making an informed investment decision.
 Score: 50</t>
  </si>
  <si>
    <t>Investment Report:
 Without any recent news or financial data provided, it is difficult to provide a comprehensive assessment of the investment potential for CMS Energy in the Multi-Utilities industry. The macroeconomic outlook, as described, suggests a softening labor market and potential economic slowdown, which could impact the overall utilities sector. However, the manufacturing sector's resilience and the emerging technologies like AI may present opportunities for certain companies.
 Given the lack of specific information about CMS Energy's current performance, market position, and future prospects, it would be speculative to assign a definitive investment score. A more thorough analysis of the company's fundamentals, competitive landscape, and management strategy would be necessary to make a well-informed evaluation.
 Score: 50</t>
  </si>
  <si>
    <t>Investment Report:
 Without any recent news or financial data provided, it is difficult to provide a comprehensive assessment of the investment potential of CME Group in the Financial Exchanges &amp; Data industry for the next month. The macroeconomic outlook, as described, suggests a softening labor market and potential economic slowdown, which could have implications for the financial sector. However, the resilience of the manufacturing sector and the continued growth of emerging technologies, such as AI, may provide some offsetting factors.
 Given the lack of specific information about CME Group's current performance and outlook, it would be prudent to exercise caution when evaluating the company's investment potential. A more thorough analysis of the company's financials, competitive positioning, and management strategy would be necessary to provide a meaningful investment recommendation.
 Score: 50</t>
  </si>
  <si>
    <t>Investment Report:
 Without any recent news or financial data provided, it is difficult to make a comprehensive assessment of Clorox's investment potential in the Household Products industry for the next month. The macroeconomic outlook suggests a softening labor market and potential economic slowdown, which could impact consumer spending and demand for household products. However, the manufacturing sector appears to be showing some resilience, which may benefit Clorox's operations.
 Given the lack of specific information about the company, it is prudent to take a cautious approach when evaluating Clorox's investment value. The stock market is likely to remain volatile in the near term, and the company's performance will depend on its ability to navigate the evolving economic conditions.
 Score: 50</t>
  </si>
  <si>
    <t>Investment Report:
 Without any recent news or financial data provided, it is difficult to assess the potential investment value of Jacobs Solutions in the Construction &amp; Engineering industry for the next month. The macroeconomic outlook suggests a softening labor market and potential economic slowdown, which could impact the overall industry. However, the manufacturing sector appears to be showing some resilience, which may benefit construction and engineering firms.
 Given the lack of company-specific information, it is not possible to provide a well-informed assessment of Jacobs Solutions' current situation or its investment potential. More detailed financial data and news updates would be necessary to make a more accurate evaluation.
 Score: 50</t>
  </si>
  <si>
    <t>Investment Report:
 Without any recent news or financial data provided, it is difficult to make a comprehensive assessment of Citigroup's investment potential in the Diversified Banks industry for the next month. The macroeconomic outlook, as described, suggests a softening labor market and potential economic slowdown, which could have a mixed impact on the banking sector.
 Given the lack of specific information about Citigroup's current performance and position within the industry, it would be speculative to provide a detailed investment recommendation. The company's ability to navigate the evolving economic conditions and maintain its competitive edge in the Diversified Banks industry would be crucial factors in determining its short-term investment value.
 Score: 50</t>
  </si>
  <si>
    <t>Investment Report:
 Without any recent news or financial data provided, it is difficult to provide a comprehensive assessment of Cisco's investment potential in the Communications Equipment industry for the next month. The macroeconomic outlook, as described, suggests a softening labor market and potential economic slowdown, which could have a mixed impact on the overall industry.
 However, the continued advancements in emerging technologies, such as AI, may present opportunities for companies like Cisco to capitalize on new market trends. Additionally, the political landscape, while relatively stable, could introduce some uncertainty depending on the outcome of the upcoming U.S. federal elections.
 Given the limited information available, it would be prudent to closely monitor Cisco's financial performance, industry trends, and any relevant news or developments that could affect the company's outlook in the near term.
 Score: 50</t>
  </si>
  <si>
    <t>Investment Report:
 Without any recent news or financial data provided, it is difficult to assess the potential investment value of Cintas, a company in the Diversified Support Services industry. The macroeconomic outlook suggests a softening labor market and potential economic slowdown, which could impact the demand for Cintas' services. However, the resilience of the manufacturing sector and the emergence of new technologies like AI may present opportunities for the company.
 Given the lack of specific information about Cintas' current performance and outlook, it is not possible to provide a well-informed investment score. A more comprehensive analysis would require access to the company's latest financial statements, industry trends, and management's strategic plans.
 Score: 50</t>
  </si>
  <si>
    <t>Investment Report:
 Without any recent news or financial data provided, it is difficult to provide a comprehensive assessment of the investment potential of Cincinnati Financial, a company in the Property &amp; Casualty Insurance industry.
 The overall economic outlook, as mentioned in the macroeconomic context, suggests a softening labor market and potential economic slowdown. This could have implications for the insurance industry, as changes in employment and consumer spending patterns may impact demand for property and casualty insurance products.
 However, without access to the company's latest financial statements, operational performance, and competitive positioning, it is not possible to determine how Cincinnati Financial might be affected by the broader economic conditions. Additionally, the impact of emerging technologies, such as advancements in AI, on the insurance industry is also an important factor to consider, but cannot be evaluated without more information about the company.
 Given the lack of recent data, a definitive investment recommendation cannot be provided. A more thorough analysis would be necessary to assess the company's strengths, weaknesses, opportunities, and threats in the current market environment.
 Score: 50</t>
  </si>
  <si>
    <t>Investment Report:
 Without any recent news or financial data provided, it is difficult to make a comprehensive assessment of Cigna's investment potential in the Health Care Services industry for the next month. The macroeconomic outlook suggests a softening labor market and potential economic slowdown, which could impact the healthcare sector. However, the manufacturing sector appears to be showing resilience, and the AI sector continues to present opportunities.
 Given the lack of specific information about Cigna's current performance and outlook, it would be speculative to assign a definitive investment score. A more thorough analysis of the company's financials, competitive positioning, and management strategy would be necessary to provide a meaningful evaluation.
 Score: 50</t>
  </si>
  <si>
    <t>Investment Report:
 Without any recent news or financial data provided, it is difficult to provide a comprehensive assessment of the investment potential of Chubb Limited in the Property &amp; Casualty Insurance industry for the next month. The macroeconomic outlook, including factors such as the softening labor market, yield curve inversion, and the performance of the manufacturing sector, could have implications for the insurance industry as a whole. However, the specific impact on Chubb Limited is unclear without access to the company's latest financial statements and market performance.
 Score: 50</t>
  </si>
  <si>
    <t>Investment Report:
 Without any recent news or financial data provided, it is difficult to make a comprehensive assessment of Chipotle Mexican Grill's investment potential in the Restaurants industry for the next month. The macroeconomic outlook suggests a softening labor market and potential economic slowdown, which could impact consumer spending and the overall performance of the restaurant sector.
 However, the manufacturing sector appears to be showing some resilience, and the emergence of new technologies, such as AI, could provide opportunities for companies like Chipotle to adapt and potentially offset some of the broader economic challenges.
 Given the lack of specific information about Chipotle's current financial position, operations, and competitive landscape, it is not possible to provide a reliable investment score at this time. A more thorough analysis of the company's recent performance and future prospects would be necessary to make a well-informed investment recommendation.
 Score: 50</t>
  </si>
  <si>
    <t>Investment Report:
 Without any recent news or financial data provided, it is difficult to make a comprehensive assessment of Chevron Corporation's investment potential in the Integrated Oil &amp; Gas industry for the next month. The macroeconomic outlook, however, suggests a mixed picture for the energy sector.
 The softening labor market and yield curve inversion signal a potential economic slowdown, which could negatively impact energy demand and commodity prices. However, the resilience of the manufacturing sector and the continued growth in the AI industry may provide some support for the overall market.
 Given the lack of specific information about Chevron's current performance and outlook, it is prudent to take a cautious approach when evaluating the company's investment value in the short term.
 Score: 50</t>
  </si>
  <si>
    <t>Investment Report:
 Without any recent news or financial data provided, it is difficult to assess the potential investment value of Charter Communications in the Cable &amp; Satellite industry for the next month. The macroeconomic outlook suggests a softening labor market and potential economic slowdown, which could impact the overall industry performance. However, the manufacturing sector appears to be showing resilience, and the emergence of new technologies like AI may present opportunities for companies in the sector.
 Given the lack of specific information about Charter Communications, it is not possible to provide a well-informed investment score. The company's performance would depend on its ability to navigate the current economic conditions, adapt to industry trends, and capitalize on any potential growth areas.
 Score: 50</t>
  </si>
  <si>
    <t>Investment Report:
 Without any recent news or financial data provided, it is difficult to provide a comprehensive assessment of the investment potential of Charles Schwab Corporation in the Investment Banking &amp; Brokerage industry for the next month.
 The macroeconomic outlook suggests a softening labor market and potential economic slowdown, which could impact the overall performance of the financial services sector. However, the resilience of the manufacturing sector and the continued growth of emerging technologies, such as AI, may present opportunities for companies like Charles Schwab to adapt and potentially capitalize on new market trends.
 Given the lack of specific information about the company's current financial position, operations, and strategic initiatives, it is not possible to make a well-informed evaluation of its investment value in the near term. A more thorough analysis would be required to provide a meaningful assessment.
 Score: 50</t>
  </si>
  <si>
    <t>Investment Report:
 Without any recent news or financial data provided, it is difficult to make a comprehensive assessment of the investment potential of Charles River Laboratories in the Life Sciences Tools &amp; Services industry for the next month. The macroeconomic outlook suggests a softening labor market and potential economic slowdown, which could have a mixed impact on the industry. However, the continued development and adoption of emerging technologies, such as AI, may present opportunities for companies in this sector.
 Given the lack of specific information about Charles River Laboratories' current performance and outlook, it would be prudent to exercise caution when evaluating the company's investment value. A more thorough analysis of the firm's financials, competitive positioning, and management strategy would be necessary to provide a meaningful investment recommendation.
 Score: 50</t>
  </si>
  <si>
    <t>Investment Report:
 Without any recent news or financial data provided, it is difficult to provide a comprehensive assessment of the investment potential of CF Industries in the Fertilizers &amp; Agricultural Chemicals industry for the next month.
 Economic Outlook:
 The macroeconomic environment appears to be softening, with a decline in job openings and an inverted yield curve, which could signal a potential economic slowdown. However, the manufacturing sector has shown some resilience, and the AI sector continues to present opportunities for investors.
 Given the lack of specific information about CF Industries, it is challenging to determine the company's current position and how it might be impacted by the broader economic trends. A more thorough analysis of the company's financials, market position, and competitive landscape would be necessary to provide a meaningful investment recommendation.
 Score: 50</t>
  </si>
  <si>
    <t>Investment Report:
 Without any recent news or financial data provided, it is difficult to assess the potential investment value of Citizens Financial Group in the Regional Banks industry for the next month. The macroeconomic outlook suggests a softening labor market and potential economic slowdown, which could impact the performance of regional banks. However, the manufacturing sector appears to be showing resilience, and the emergence of new technologies like AI may provide opportunities for the industry.
 Given the lack of specific information about Citizens Financial Group, it is not possible to provide a well-informed investment score. The company's performance would depend on its ability to navigate the current economic environment, manage risks, and capitalize on any potential growth opportunities.
 Score: 50</t>
  </si>
  <si>
    <t>Investment Report:
 Without any recent news or financial data provided, it is difficult to make a comprehensive assessment of the investment potential of DR Horton in the Homebuilding industry for the next month. The macroeconomic outlook suggests a softening labor market and potential economic slowdown, which could have a negative impact on the housing sector. However, the manufacturing sector appears to be showing some resilience, and the emergence of new technologies like AI may provide opportunities for investors.
 Given the lack of specific information about DR Horton's current performance and outlook, it would be prudent to exercise caution when evaluating the company's investment potential. A more thorough analysis of the company's financials, market position, and management strategy would be necessary to provide a more accurate assessment.
 Score: 50</t>
  </si>
  <si>
    <t>Investment Report:
 Without any recent news or financial data provided, it is difficult to provide a comprehensive assessment of the investment potential for Dow Inc. in the Commodity Chemicals industry. The macroeconomic outlook suggests a softening labor market and potential economic slowdown, which could impact the overall performance of the chemicals sector.
 However, the manufacturing sector appears to be showing some resilience, which may bode well for Dow Inc. as a major player in the commodity chemicals industry. Additionally, the continued advancements in emerging technologies, such as AI, could create new opportunities for companies like Dow to innovate and adapt to changing market conditions.
 Given the limited information available, it would be prudent to further research Dow Inc.'s financial health, competitive positioning, and strategic initiatives before making any investment decisions. A more thorough analysis of the company's fundamentals and the broader industry dynamics would be necessary to provide a meaningful assessment of its investment potential.
 Score: 50</t>
  </si>
  <si>
    <t>Investment Report:
 Without any recent news or financial data provided, it is difficult to make a comprehensive assessment of the investment potential of Dover Corporation in the Industrial Machinery &amp; Supplies &amp; Components industry for the next month.
 The macroeconomic outlook suggests a softening labor market and potential economic slowdown, which could impact the overall performance of industrial machinery and supplies companies. However, the resilience of the manufacturing sector and the emergence of new technologies, such as AI, may provide some opportunities for companies in this industry.
 Given the lack of specific information about Dover Corporation's current situation, it would be prudent to exercise caution when evaluating the company's investment potential in the short term.
 Score: 50</t>
  </si>
  <si>
    <t>Investment Report:
 Without any recent news or financial data provided, it is difficult to make a comprehensive assessment of Domino's investment potential in the Restaurants industry for the next month. The macroeconomic outlook suggests a softening labor market and potential economic slowdown, which could impact consumer spending and the overall performance of the restaurant sector.
 However, the manufacturing sector appears to be showing some resilience, and the emergence of new technologies, such as AI, could provide opportunities for companies like Domino's to adapt and potentially offset some of the broader economic challenges.
 Given the lack of specific information about Domino's current financial position, operations, and competitive landscape, it is not possible to provide a reliable investment score at this time. A more thorough analysis of the company's recent performance, industry trends, and future growth prospects would be necessary to make a well-informed investment recommendation.
 Score: 50</t>
  </si>
  <si>
    <t>Investment Report:
 Without any recent news or financial data provided, it is difficult to assess the potential investment value of Dominion Energy in the Multi-Utilities industry for the next month. The macroeconomic outlook suggests a softening labor market and potential economic slowdown, which could impact the overall utilities sector. However, the manufacturing sector appears to be showing some resilience, and the emergence of new technologies like AI may provide opportunities for investors.
 Given the lack of specific information about Dominion Energy's current performance and outlook, it would be premature to assign a definitive investment score. A more thorough analysis of the company's financials, market position, and management strategy would be necessary to provide a meaningful assessment.
 Score: 50</t>
  </si>
  <si>
    <t>Investment Report:
 Without any recent news or financial data provided, it is difficult to make a comprehensive assessment of Dollar Tree's investment potential in the Consumer Staples Merchandise Retail industry for the next month. The macroeconomic outlook, including factors such as the softening labor market, yield curve inversion, and the performance of the manufacturing sector, could have a significant impact on the company's performance. However, without access to the company's latest financial statements, market position, and competitive landscape, a reliable investment score cannot be determined.
 Score: 50</t>
  </si>
  <si>
    <t>Investment Report:
 Without any recent news or financial data provided, it is difficult to make a comprehensive assessment of Dollar General's investment potential in the next month. The Consumer Staples Merchandise Retail industry, in which Dollar General operates, is generally considered a defensive sector that can provide stability during economic downturns. However, the overall macroeconomic outlook, including factors such as consumer spending, inflation, and interest rates, would need to be taken into consideration to evaluate the company's performance and growth prospects.
 Given the lack of specific information about Dollar General's current situation, it would be prudent to exercise caution when assigning a score for its investment value in the near term. More detailed and up-to-date data would be required to make a well-informed evaluation.
 Score: 50</t>
  </si>
  <si>
    <t>Investment Report:
 Without any recent news or financial data provided, it is difficult to provide a comprehensive assessment of Discover Financial's investment potential in the Consumer Finance industry for the next month. The macroeconomic outlook, however, suggests a softening labor market and potential economic slowdown, which could have a mixed impact on the consumer finance sector.
 The decline in job openings and the yield curve inversion indicate a potential economic slowdown, which may lead to reduced consumer spending and borrowing. This could negatively affect Discover Financial's lending and credit card businesses. On the other hand, the resilience of the manufacturing sector and the continued growth of emerging technologies, such as AI, could provide some support for the consumer finance industry.
 Given the limited information available, it is prudent to approach any investment decision in Discover Financial with caution and further research. The company's performance and outlook may be subject to the broader economic conditions and industry trends.
 Score: 50</t>
  </si>
  <si>
    <t>Investment Report:
 Without any recent news or financial data provided, it is difficult to provide a comprehensive assessment of Digital Realty's investment potential in the Data Center REITs industry for the next month. The macroeconomic outlook suggests a softening labor market and potential economic slowdown, which could impact the overall real estate sector, including data centers. However, the resilience of the manufacturing sector and the continued growth of emerging technologies, such as AI, may present opportunities for data center REITs like Digital Realty.
 Given the lack of specific information about the company's current performance and outlook, it would be prudent to exercise caution when evaluating Digital Realty's investment value. A more thorough analysis of the company's financials, market position, and growth prospects would be necessary to provide a meaningful investment score.
 Score: 50</t>
  </si>
  <si>
    <t>Investment Report:
 Without any recent news or financial data provided, it is difficult to assess the potential investment value of Dexcom in the Health Care Equipment industry for the next month. The macroeconomic outlook suggests a softening labor market and potential economic slowdown, which could impact the overall performance of the healthcare sector. However, the resilience of the manufacturing sector and the continued growth of emerging technologies, such as AI, may provide some support for the industry.
 Given the lack of specific information about Dexcom's current situation, it would be speculative to provide a detailed investment recommendation. The company's performance and outlook would need to be evaluated based on its latest financial reports, market position, and competitive landscape within the industry.
 Score: 50</t>
  </si>
  <si>
    <t>Investment Report:
 Without any recent news or financial data provided, it is difficult to provide a comprehensive assessment of the investment potential of Devon Energy in the Oil &amp; Gas Exploration &amp; Production industry for the next month.
 The macroeconomic outlook suggests a softening labor market and potential economic slowdown, which could impact the overall performance of the energy sector. However, the manufacturing sector appears to be showing some resilience, and the development of new technologies, such as AI, may create opportunities for investors.
 Given the lack of specific information about Devon Energy's current situation, it would be speculative to assign a definitive investment score. The company's performance would depend on various factors, including its operational efficiency, financial stability, and ability to navigate the evolving market conditions.
 Score: 50</t>
  </si>
  <si>
    <t>Investment Report:
 Without any recent news or financial data provided, it is difficult to make a comprehensive assessment of Delta Air Lines' investment potential in the Passenger Airlines industry for the next month. The macroeconomic outlook suggests a softening labor market and potential economic slowdown, which could negatively impact the airline industry. However, the manufacturing sector's resilience and the emergence of new technologies, such as AI, may provide some opportunities for the industry.
 Given the lack of specific information about Delta Air Lines' current performance and outlook, it would be prudent to exercise caution when evaluating the company's investment value. More detailed financial data and industry-specific news would be necessary to provide a more informed and reliable assessment.
 Score: 50</t>
  </si>
  <si>
    <t>Investment Report:
 Without any recent news or financial data provided, it is difficult to assess the potential investment value of Corpay in the Transaction &amp; Payment Processing Services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in this industry.
 Given the lack of specific information about Corpay's current situation, it is not possible to provide a well-informed investment score. A more comprehensive analysis would require access to the company's recent financial statements, market position, competitive landscape, and any relevant news or developments.
 Score: 50</t>
  </si>
  <si>
    <t>Investment Report:
 Without any recent news or financial data provided, it is difficult to provide a comprehensive assessment of Deckers Brands' investment potential in the Footwear industry for the next month. The macroeconomic outlook suggests a softening labor market and potential economic slowdown, which could impact consumer spending and the overall performance of the industry.
 However, the manufacturing sector appears to be showing some resilience, and the emergence of new technologies, such as AI, could create opportunities for companies in the Footwear industry. Additionally, the political landscape remains relatively stable, with no major new events that would significantly impact the stock market.
 Given the limited information available, it is prudent to exercise caution when evaluating the investment value of Deckers Brands. Further research and analysis of the company's financial performance, market position, and strategic initiatives would be necessary to provide a more informed assessment.
 Score: 50</t>
  </si>
  <si>
    <t>Investment Report:
 Without any recent news or financial data provided, it is difficult to assess the potential investment value of Dayforce, a company in the Human Resource &amp; Employment Services industry. The macroeconomic outlook suggests a softening labor market, with job openings declining and the yield curve inverting, which could indicate a potential economic slowdown. However, the manufacturing sector appears to be showing some resilience, and the AI sector continues to show promise.
 Given the lack of specific information about Dayforce's current performance and outlook, it is not possible to provide a well-informed assessment of the company's investment potential. More detailed financial data and news updates would be necessary to make a more accurate evaluation.
 Score: 50</t>
  </si>
  <si>
    <t>Investment Report:
 Without any recent news or financial data provided, it is difficult to provide a comprehensive assessment of the investment potential for DaVita, a company in the Health Care Services industry. The macroeconomic outlook, however, suggests a mixed picture for the sector.
 The softening labor market and potential economic slowdown could put pressure on healthcare spending and utilization, which may impact DaVita's performance. On the other hand, the resilience of the manufacturing sector and the continued growth of emerging technologies, such as AI, could create opportunities for healthcare companies to innovate and adapt to the changing market conditions.
 Given the lack of specific information about DaVita's current situation, it is prudent to approach any investment decision with caution and thorough research. A more detailed analysis of the company's financials, competitive positioning, and growth strategies would be necessary to determine its investment value accurately.
 Score: 50</t>
  </si>
  <si>
    <t>Investment Report:
 Without any recent news or financial data provided, it is difficult to make a comprehensive assessment of Darden Restaurants' investment potential in the Restaurants industry for the next month. The macroeconomic outlook suggests a softening labor market and potential economic slowdown, which could impact consumer spending and the overall performance of the restaurant industry. However, the manufacturing sector's resilience and the emergence of new technologies, such as AI, may provide some offsetting factors.
 Given the lack of specific information about Darden Restaurants, it is prudent to take a cautious approach when evaluating the company's investment value. The stock market's volatility and the uncertain economic conditions warrant a thorough analysis of the company's financials, competitive positioning, and management strategy before making any investment decisions.
 Score: 50</t>
  </si>
  <si>
    <t>Investment Report:
 Without any recent news or financial data provided, it is difficult to make a comprehensive assessment of Danaher Corporation's investment potential in the Life Sciences Tools &amp; Services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Danaher.
 Given the lack of specific information about the company's current situation, it would be prudent to exercise caution and closely monitor any new developments before making an informed investment decision.
 Score: 50</t>
  </si>
  <si>
    <t>Investment Report:
 Without any recent news or financial data provided, it is difficult to make a comprehensive assessment of the investment potential of CVS Health in the Health Care Services industry for the next month. The macroeconomic outlook, however, suggests a softening labor market and potential economic slowdown, which could have a mixed impact on the healthcare sector.
 The ongoing geopolitical tensions, political instability in certain regions, and the upcoming U.S. federal elections in 2024 may also introduce some uncertainty that could affect the overall market performance and, consequently, the performance of individual companies like CVS Health.
 Given the lack of specific information about the company's current financial standing, operational performance, and strategic positioning, it would be prudent to exercise caution when evaluating the investment potential of CVS Health in the short term.
 Score: 50</t>
  </si>
  <si>
    <t>Investment Report:
 Without any recent news or financial data provided, it is difficult to make a comprehensive assessment of Crown Castle's investment potential in the Telecom Tower REITs industry for the next month. The macroeconomic outlook suggests a softening labor market and potential economic slowdown, which could impact the overall performance of the industry. However, the resilience of the manufacturing sector and the continued growth of emerging technologies, such as AI, may provide some support.
 Given the lack of specific information about Crown Castle's current situation, it would be prudent to exercise caution when evaluating the company's investment value. A more thorough analysis of the firm's financials, market position, and growth prospects would be necessary to provide a more accurate assessment.
 Score: 50</t>
  </si>
  <si>
    <t>Investment Report:
 Without any recent news or financial data provided, it is difficult to make a comprehensive assessment of CrowdStrike's investment potential in the Systems Software industry for the next month. The macroeconomic outlook suggests a softening labor market and potential economic slowdown, which could impact the overall technology sector. However, the continued adoption of emerging technologies like AI may present opportunities for companies like CrowdStrike.
 Given the lack of specific information about the company's current performance and outlook, a definitive investment score cannot be determined. Investors would need to closely monitor the latest developments, financial reports, and industry trends to make an informed decision about the company's investment value.
 Score: 50</t>
  </si>
  <si>
    <t>Investment Report:
 Without any recent news or financial data provided, it is difficult to provide a comprehensive assessment of Coterra's investment potential in the Oil &amp; Gas Exploration &amp; Production industry for the next month. The macroeconomic outlook suggests a softening labor market and potential economic slowdown, which could impact the overall industry. However, the manufacturing sector appears to be showing resilience, and the emergence of new technologies, such as AI, may create opportunities for companies in the sector.
 Given the lack of specific information about Coterra's current performance and position within the industry, it would be speculative to assign a definitive investment score. A more thorough analysis of the company's financials, competitive positioning, and management strategy would be necessary to provide a meaningful assessment of its investment value.
 Score: 50</t>
  </si>
  <si>
    <t>Investment Report:
 Without any recent news or financial data provided, it is difficult to make a comprehensive assessment of Costco's investment potential in the Consumer Staples Merchandise Retail industry for the next month. The macroeconomic outlook, as described, suggests a softening labor market and potential economic slowdown, which could impact consumer spending and demand for Costco's products and services.
 However, Costco's position as a leading wholesale retailer and its focus on providing value to its members may help the company weather any economic headwinds better than some of its competitors. Additionally, the continued growth and adoption of emerging technologies, such as AI, could present opportunities for Costco to enhance its operations and customer experience.
 Overall, without access to the latest financial information and news regarding Costco, it is challenging to provide a well-informed investment recommendation. A more thorough analysis of the company's performance, market position, and growth strategies would be necessary to determine its potential investment value accurately.
 Score: 50</t>
  </si>
  <si>
    <t>Investment Report:
 Without any recent news or financial data provided, it is difficult to make a comprehensive assessment of the investment potential of CoStar Group in the Real Estate Services industry for the next month. The macroeconomic outlook suggests a softening labor market and potential economic slowdown, which could have implications for the real estate sector. However, the manufacturing sector appears to be showing some resilience, and the emergence of new technologies like AI may present opportunities for companies in the industry.
 Given the lack of specific information about CoStar Group's current performance and outlook, it would be prudent to exercise caution when evaluating the company's investment potential. A more thorough analysis of the company's financials, competitive positioning, and management strategy would be necessary to provide a more informed assessment.
 Score: 50</t>
  </si>
  <si>
    <t>Investment Report:
 Without any recent news or financial data provided, it is difficult to make a comprehensive assessment of Corteva's investment potential in the Fertilizers &amp; Agricultural Chemicals industry for the next month. The macroeconomic outlook suggests a softening labor market and potential economic slowdown, which could impact the overall industry. However, the manufacturing sector appears to be showing some resilience, and the emergence of new technologies like AI may provide opportunities for growth.
 Given the lack of specific information about Corteva's current performance and position within the industry, it would be premature to assign a definitive investment score. A more thorough analysis of the company's financials, competitive landscape, and strategic positioning would be necessary to provide a meaningful evaluation of its investment value.
 Score: 50</t>
  </si>
  <si>
    <t>Investment Report:
 Without any recent news or financial data provided, it is difficult to make a comprehensive assessment of Deere &amp; Company's investment potential in the Agricultural &amp; Farm Machinery industry for the next month. The macroeconomic outlook suggests a softening labor market and potential economic slowdown, which could impact the overall industry. However, the resilience of the manufacturing sector and the emergence of new technologies like AI may present opportunities for companies in this space.
 Given the lack of specific information about Deere &amp; Company's current performance and outlook, it would be prudent to exercise caution when evaluating the investment value of the company. A more thorough analysis of the company's financials, market position, and management strategy would be necessary to provide a meaningful investment recommendation.
 Score: 50</t>
  </si>
  <si>
    <t>Investment Report:
 Without any recent news or financial data provided, it is difficult to assess the current situation and investment potential of Biogen, a company in the Biotechnology industry. The macroeconomic outlook, including factors such as the softening labor market, yield curve inversion, and volatility in the stock market, may have an indirect impact on the performance of Biogen and the broader Biotechnology sector. However, the specific implications for Biogen cannot be determined without access to the company's latest financial statements, product pipeline, and other relevant information.
 Score: 50</t>
  </si>
  <si>
    <t>Investment Report:
 Without any recent news or financial data provided, it is difficult to make a comprehensive assessment of Bio-Techne's investment potential in the Life Sciences Tools &amp; Services industry for the next month. The macroeconomic outlook suggests a softening labor market and potential economic slowdown, which could impact the overall industry performance. However, the resilience of the manufacturing sector and the continued growth of emerging technologies, such as AI, may present opportunities for companies in the life sciences tools and services space.
 Given the lack of company-specific information, a definitive investment score cannot be determined. Investors would need to closely monitor the latest financial reports, industry trends, and economic developments to make an informed decision about the investment value of Bio-Techne.
 Score: 50</t>
  </si>
  <si>
    <t>BIO</t>
  </si>
  <si>
    <t>Investment Report:
 Without any recent news or financial data provided, it is difficult to make a comprehensive assessment of Bio-Rad Laboratories' investment potential in the Life Sciences Tools &amp; Services industry for the next month. The macroeconomic outlook suggests a softening labor market and potential economic slowdown, which could impact the overall industry performance. However, the manufacturing sector appears to be showing some resilience, and the emergence of new technologies like AI may present opportunities for companies in the life sciences tools and services space.
 Given the lack of specific information about Bio-Rad Laboratories' current situation, it would be prudent to exercise caution when evaluating the company's investment value. A more thorough analysis of the firm's financials, competitive positioning, and growth prospects would be necessary to provide a meaningful investment recommendation.
 Score: 50</t>
  </si>
  <si>
    <t>Investment Report:
 Without any recent news or financial data provided, it is difficult to provide a comprehensive assessment of Targa Resources' investment potential in the Oil &amp; Gas Storage &amp; Transportation industry for the next month.
 The macroeconomic outlook suggests a softening labor market and potential economic slowdown, which could impact the overall performance of the energy sector. However, the manufacturing sector appears to be showing some resilience, and the development of new technologies, such as AI, may create opportunities for investors.
 Given the lack of specific information about Targa Resources, it would be prudent to exercise caution and conduct further research before making any investment decisions.
 Score: 50</t>
  </si>
  <si>
    <t>Investment Report:
 Without any recent news or financial data provided, it is difficult to make a comprehensive assessment of Target Corporation's investment potential in the next month. The macroeconomic outlook suggests a softening labor market and potential economic slowdown, which could impact consumer spending and the overall retail industry. However, the manufacturing sector appears to be showing some resilience, and the emergence of new technologies like AI may present opportunities for the sector.
 Given the lack of specific information about Target Corporation's current performance and outlook, it would be speculative to assign a precise investment score. The company's ability to navigate the evolving economic conditions and adapt to changing consumer preferences will be crucial factors in determining its short-term investment value.
 Score: 50</t>
  </si>
  <si>
    <t>Investment Report:
 Without any recent news or financial data provided, it is difficult to assess the potential investment value of TE Connectivity in the Electronic Manufacturing Services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TE Connectivity.
 Given the lack of specific information about the company's current situation, it would be prudent to gather more data before making an informed investment decision. The company's financial health, market position, and ability to navigate the evolving economic landscape would be crucial factors to consider.
 Score: 50</t>
  </si>
  <si>
    <t>Investment Report:
 Without any recent news or financial data provided, it is difficult to provide a comprehensive assessment of Teledyne Technologies' investment potential in the Electronic Equipment &amp; Instruments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Teledyne Technologies.
 Given the lack of specific information about the company, a definitive investment score cannot be determined. Investors would need to closely monitor the latest financial reports, industry trends, and economic developments to make an informed decision about the potential investment value of Teledyne Technologies.
 Score: 50</t>
  </si>
  <si>
    <t>Investment Report:
 Without any recent news or financial data provided, it is difficult to assess the potential investment value of Teleflex in the Health Care Equipment industry for the next month. The macroeconomic outlook suggests a softening labor market and potential economic slowdown, which could impact the overall performance of the healthcare sector. However, the manufacturing sector appears to be showing some resilience, and the emergence of new technologies, such as AI, may provide opportunities for growth.
 Given the lack of specific information about Teleflex's current situation, it is not possible to provide a well-informed assessment of the company's investment potential. A more comprehensive analysis would require access to the latest financial statements, industry trends, and any relevant news or developments affecting the company.
 Score: 50</t>
  </si>
  <si>
    <t>Investment Report:
 Without any recent news or financial data provided, it is difficult to make a comprehensive assessment of Teradyne's investment potential in the Semiconductor Materials &amp; Equipment industry for the next month. The macroeconomic outlook suggests a softening labor market and potential economic slowdown, which could impact the semiconductor industry. However, the manufacturing sector appears to be showing some resilience, and the AI sector continues to present opportunities.
 Given the lack of specific information about Teradyne's current performance and position within the industry, it would be speculative to assign a definitive investment score. The company's ability to navigate the evolving market conditions and capitalize on emerging trends in the semiconductor and AI sectors would be crucial factors in determining its investment value.
 Score: 50</t>
  </si>
  <si>
    <t>Investment Report:
 Without any recent news or financial data provided, it is difficult to make a comprehensive assessment of the investment potential of United Airlines Holdings in the Passenger Airlines industry for the next month.
 The macroeconomic outlook suggests a softening labor market and potential economic slowdown, which could negatively impact the airline industry. However, the manufacturing sector appears to be showing some resilience, and the development of new technologies, such as AI, may create opportunities for investors.
 Given the lack of specific information about United Airlines Holdings, it is prudent to approach this investment with caution. The company's performance and outlook may be influenced by various factors, including the broader economic conditions, industry-specific challenges, and the company's own strategic initiatives and financial health.
 Score: 50</t>
  </si>
  <si>
    <t>Investment Report:
 Without any recent news or financial data provided, it is difficult to make a comprehensive assessment of the investment potential of Union Pacific Corporation in the Rail Transportation industry for the next month.
 The macroeconomic outlook suggests a softening labor market and potential economic slowdown, which could have a mixed impact on the rail transportation sector. While the manufacturing sector appears to be showing some resilience, the overall economic conditions remain uncertain.
 Additionally, the political landscape, including the upcoming U.S. federal elections, could introduce some uncertainty that may affect the stock market performance in the short to medium term.
 Given the lack of specific information about Union Pacific Corporation's current financial standing, operational performance, and competitive positioning, it is not possible to provide a reliable investment score for the company at this time.
 Score: 50</t>
  </si>
  <si>
    <t>Investment Report:
 Without any recent news or financial data provided, it is difficult to make a comprehensive assessment of Ulta Beauty's investment potential in the next month. The company's performance and outlook would depend on various factors, including the broader economic conditions, consumer spending trends, and the competitive landscape in the Other Specialty Retail industry.
 The macroeconomic outlook suggests a softening labor market and potential economic slowdown, which could impact consumer spending and affect Ulta Beauty's operations. However, the resilience of the manufacturing sector and the continued growth in emerging technologies, such as AI, may provide some positive signals for the overall market.
 Given the limited information available, it is challenging to assign a definitive score reflecting Ulta Beauty's investment value for the next month. A more thorough analysis of the company's financial health, competitive positioning, and management strategies would be necessary to provide a meaningful investment recommendation.
 Score: 50</t>
  </si>
  <si>
    <t>Investment Report:
 Without any recent news or financial data provided, it is difficult to provide a comprehensive assessment of the investment potential for CenterPoint Energy in the Multi-Utilities industry. The macroeconomic outlook, which indicates a softening labor market and potential economic slowdown, could have implications for the utilities sector. However, the manufacturing sector's resilience and the emerging technologies like AI may present opportunities for companies in the industry.
 Given the lack of specific information about CenterPoint Energy's current performance and outlook, it would be premature to assign a definitive investment score. A more thorough analysis of the company's financials, competitive positioning, and management strategy would be necessary to make a well-informed assessment.
 Score: 50</t>
  </si>
  <si>
    <t>Investment Report:
 Without any recent news or financial data provided, it is difficult to make a comprehensive assessment of Tyson Foods' investment potential in the Packaged Foods &amp; Meats industry for the next month. The macroeconomic outlook suggests a softening labor market and potential economic slowdown, which could impact consumer spending and demand for packaged food products. However, the manufacturing sector appears to be showing some resilience, which may benefit Tyson Foods as a major player in the industry.
 Given the lack of specific information about the company's current performance and outlook, it would be prudent to exercise caution when evaluating Tyson Foods as an investment option. More detailed financial data and industry-specific news would be necessary to provide a more informed and reliable assessment.
 Score: 50</t>
  </si>
  <si>
    <t>Investment Report:
 Without any recent news or financial data provided, it is difficult to assess the potential investment value of Tyler Technologies in the Application Software industry for the next month. The macroeconomic outlook suggests a softening labor market and potential economic slowdown, which could impact the overall performance of the software industry. However, the continued adoption of emerging technologies, such as AI, may present opportunities for companies like Tyler Technologies.
 Given the lack of specific information about the company's current situation, it would be speculative to provide a detailed investment recommendation. The company's ability to navigate the evolving market conditions and capitalize on industry trends will be crucial factors in determining its future performance.
 Score: 50</t>
  </si>
  <si>
    <t>Investment Report:
 Without any recent news or financial data provided, it is difficult to assess the potential investment value of Truist, a company in the Regional Banks industry. The macroeconomic outlook suggests a softening labor market and potential economic slowdown, which could impact the performance of regional banks. However, the manufacturing sector appears to be showing resilience, and the emergence of new technologies like AI may provide opportunities for the industry.
 Given the lack of specific information about Truist's current situation, it is not possible to provide a well-informed assessment of the company's investment potential for the next month. More detailed and up-to-date data would be required to make a more accurate evaluation.
 Score: 50</t>
  </si>
  <si>
    <t>Investment Report:
 Without any recent news or financial data provided, it is difficult to provide a comprehensive assessment of Trimble Inc.'s investment potential in the Electronic Equipment &amp; Instruments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Trimble Inc.
 Given the lack of specific information about the company's current situation, it would be prudent to gather more data before making a well-informed investment decision. The company's financial health, market position, and ability to adapt to the changing economic conditions would be crucial factors to consider.
 Score: 50</t>
  </si>
  <si>
    <t>Investment Report:
 Without any recent news or financial data provided, it is difficult to provide a comprehensive assessment of the investment potential of Travelers Companies (The) in the Property &amp; Casualty Insurance industry for the next month.
 The macroeconomic outlook suggests a softening labor market and potential economic slowdown, which could impact the insurance industry. However, the manufacturing sector appears to be showing resilience, and the emergence of new technologies like AI may present opportunities for the industry.
 Given the lack of specific information about Travelers Companies (The), it is not possible to make a well-informed evaluation of the firm's current situation and its potential investment value in the near term.
 Score: 50</t>
  </si>
  <si>
    <t>Investment Report:
 Without any recent news or financial data provided, it is difficult to make a comprehensive assessment of TransDigm Group's investment potential in the Aerospace &amp; Defense industry for the next month. The macroeconomic outlook suggests a softening labor market and potential economic slowdown, which could impact the overall industry performance. However, the manufacturing sector appears to be showing some resilience, and the emergence of new technologies like AI may provide opportunities for companies in the Aerospace &amp; Defense space.
 Given the lack of specific information about TransDigm Group's current situation, it would be prudent to exercise caution when evaluating the company's investment value. A more thorough analysis of the company's financials, market position, and growth prospects would be necessary to provide a meaningful investment recommendation.
 Score: 50</t>
  </si>
  <si>
    <t>Investment Report:
 Without any recent news or financial data provided, it is difficult to assess the potential investment value of Trane Technologies in the Building Products industry for the next month. The macroeconomic outlook suggests a softening labor market and potential economic slowdown, which could impact the overall performance of the building products sector. However, the manufacturing sector appears to be showing some resilience, which may bode well for companies like Trane Technologies.
 Given the lack of specific information about the company's current financial position, operations, and market trends, it is not possible to provide a well-informed investment score. A more comprehensive analysis would require access to the latest financial statements, industry reports, and company-specific news and developments.
 Score: 50</t>
  </si>
  <si>
    <t>Investment Report:
 Without any recent news or financial data provided, it is difficult to make a comprehensive assessment of Tractor Supply's investment potential in the next month. The company's performance and outlook would depend on various factors, including the broader economic conditions, industry trends, and the company's own strategic initiatives.
 The macroeconomic outlook suggests a softening labor market and potential economic slowdown, which could impact consumer spending and demand for products in the Other Specialty Retail industry. However, the manufacturing sector appears to be showing some resilience, which may benefit companies like Tractor Supply.
 Additionally, the emergence of new technologies, such as AI, could present opportunities for companies to enhance their operations and competitiveness, potentially benefiting Tractor Supply in the medium to long term.
 Without access to the latest financial data and news, it is challenging to provide a well-informed investment score for Tractor Supply. A more comprehensive analysis would be required to assess the company's current position, growth prospects, and potential risks.
 Score: 50</t>
  </si>
  <si>
    <t>Investment Report:
 Without any recent news or financial data provided, it is difficult to make a comprehensive assessment of the investment potential of TJX Companies in the Apparel Retail industry for the next month. The macroeconomic outlook suggests a softening labor market and potential economic slowdown, which could impact consumer spending and the overall performance of the retail sector.
 However, the manufacturing sector appears to be showing some resilience, and the emergence of new technologies, such as AI, may provide opportunities for investors. Additionally, the Federal Reserve's monetary policy decisions could have a significant influence on the stock market's performance in the short to medium term.
 Given the limited information available, it would be prudent to exercise caution and closely monitor any new developments or financial data that may become available before making an investment decision.
 Score: 50</t>
  </si>
  <si>
    <t>Investment Report:
 Without any recent news or financial data provided, it is difficult to make a comprehensive assessment of Thermo Fisher Scientific's investment potential in the Life Sciences Tools &amp; Services industry for the next month.
 The macroeconomic outlook suggests a softening labor market and potential economic slowdown, which could have a mixed impact on the industry. However, the continued growth and adoption of emerging technologies, such as AI, may present opportunities for companies like Thermo Fisher Scientific to capitalize on.
 Given the lack of specific information about the company's current performance and outlook, it would be prudent to exercise caution when evaluating the investment value of Thermo Fisher Scientific in the short term.
 Score: 50</t>
  </si>
  <si>
    <t>Investment Report:
 Without any recent news or financial data provided, it is difficult to provide a comprehensive assessment of Textron's investment potential in the Aerospace &amp; Defense industry for the next month. The macroeconomic outlook, however, suggests a mixed picture for the industry.
 The ongoing global conflicts, such as the Russian invasion of Ukraine and the Israel-Hamas war, could create both challenges and opportunities for Aerospace &amp; Defense companies like Textron. While these geopolitical tensions may increase demand for defense equipment and services, they also introduce supply chain disruptions and economic uncertainties that could impact the industry's performance.
 Additionally, the upcoming U.S. federal elections in 2024 could introduce policy changes that may affect the Aerospace &amp; Defense sector, depending on the election outcomes. Investors would need to closely monitor any developments in this area.
 Given the lack of specific information about Textron's recent performance and the mixed macroeconomic signals, it is difficult to provide a definitive investment recommendation for the company in the next month. A more thorough analysis of the company's financials, competitive positioning, and management strategy would be necessary to make a well-informed assessment.
 Score: 50</t>
  </si>
  <si>
    <t>Investment Report:
 Without any recent news or financial data provided, it is difficult to make a comprehensive assessment of the investment potential of Texas Instruments in the Semiconductors industry for the next month. The macroeconomic outlook suggests a softening labor market and potential economic slowdown, which could have a mixed impact on the semiconductor sector. However, the continued development and adoption of emerging technologies, such as AI, may present opportunities for companies like Texas Instruments.
 Given the limited information available, a cautious approach is warranted. The company's performance and outlook would need to be evaluated in the context of the broader industry and economic trends to determine its investment value accurately.
 Score: 50</t>
  </si>
  <si>
    <t>Investment Report:
 Without any recent news or financial data provided, it is difficult to provide a comprehensive assessment of the investment potential of UDR, Inc. in the Multi-Family Residential REITs industry for the next month.
 Economic Outlook:
 The macroeconomic environment remains uncertain, with signs of a potential economic slowdown, such as a softening labor market and yield curve inversion. However, the manufacturing sector has shown some resilience, and the emergence of new technologies, like AI, could present opportunities for investors.
 Given the lack of specific information about UDR, Inc., it is not possible to make a well-informed evaluation of the company's current situation and future prospects. More detailed financial data and recent news would be necessary to provide a more accurate assessment.
 Score: 50</t>
  </si>
  <si>
    <t>Investment Report:
 Without any recent news or financial data provided, it is difficult to provide a comprehensive assessment of the investment potential for Centene Corporation in the Managed Health Care industry. The macroeconomic outlook, however, suggests a mixed picture, with a softening labor market but resilience in the manufacturing sector. Additionally, the political landscape remains relatively stable, with no major new events that would significantly impact the stock market.
 The AI sector's continued growth and the potential disruption in the semiconductor industry could present opportunities for investors, but the overall economic uncertainty and market volatility may pose challenges for Centene Corporation in the near term.
 Score: 50</t>
  </si>
  <si>
    <t>Investment Report:
 Without any recent news or financial data provided, it is difficult to assess the potential investment value of Cencora, a company in the Health Care Distributors industry. The macroeconomic outlook suggests a softening labor market and potential economic slowdown, which could impact the overall industry. However, the manufacturing sector appears to be showing some resilience, and the emergence of new technologies like AI may provide opportunities for growth.
 Given the lack of specific information about Cencora's current performance and position within the industry, it is not possible to provide a well-informed assessment of the company's investment potential. More detailed financial data and news updates would be necessary to make a more accurate evaluation.
 Score: 50</t>
  </si>
  <si>
    <t>Investment Report:
 Without any recent news or financial data provided, it is difficult to make a comprehensive assessment of Celanese's investment potential in the Specialty Chemicals industry for the next month. The macroeconomic outlook suggests a softening labor market and potential economic slowdown, which could impact the overall industry performance. However, the manufacturing sector appears to be showing some resilience, and the emergence of new technologies like AI may present opportunities for companies in the Specialty Chemicals industry.
 Given the lack of specific information about Celanese's current situation, it would be prudent to exercise caution when evaluating the company's investment value. A more thorough analysis of the company's financials, competitive positioning, and management strategy would be necessary to provide a meaningful investment recommendation.
 Score: 50</t>
  </si>
  <si>
    <t>Investment Report:
 Without any recent news or financial data provided, it is difficult to assess the potential investment value of CDW, a company in the Technology Distributors industry. The macroeconomic outlook suggests a softening labor market and potential economic slowdown, which could impact the overall technology sector. However, the resilience of the manufacturing industry and the continued growth of emerging technologies, such as AI, may present opportunities for companies like CDW.
 Given the lack of specific information about CDW's current performance and outlook, it is not possible to provide a well-informed assessment of the company's investment potential. A more comprehensive analysis would require access to the latest financial statements, industry trends, and company-specific news and developments.
 Score: 50</t>
  </si>
  <si>
    <t>Investment Report:
 Without any recent news or financial data provided, it is difficult to make a comprehensive assessment of the investment potential of CBRE Group in the Real Estate Services industry for the next month. The macroeconomic outlook, as described, suggests a softening labor market and potential economic slowdown, which could have implications for the real estate sector. However, the manufacturing sector's resilience and the emergence of new technologies like AI provide some positive signals.
 Given the lack of company-specific information, a definitive score cannot be assigned. Investors would need to closely monitor CBRE Group's latest financial reports, industry trends, and the evolving macroeconomic conditions to make an informed investment decision.
 Score: 50</t>
  </si>
  <si>
    <t>Investment Report:
 Without any recent news or financial data provided, it is difficult to provide a comprehensive assessment of Cboe Global Markets' investment potential in the Financial Exchanges &amp; Data industry for the next month. The macroeconomic outlook suggests a softening labor market and potential economic slowdown, which could impact the overall financial sector. However, the resilience of the manufacturing sector and the continued growth of emerging technologies, such as AI, may present opportunities for companies like Cboe Global Markets.
 Given the lack of specific information about the company, a definitive investment score cannot be determined. Investors should closely monitor the company's performance, financial reports, and any relevant industry developments before making an informed decision.
 Score: 50</t>
  </si>
  <si>
    <t>Investment Report:
 Without any recent news or financial data provided, it is difficult to assess the potential investment value of Catalent, a company in the Pharmaceuticals industry. The overall economic outlook, however, suggests a softening labor market and potential economic slowdown, which could have implications for the pharmaceutical sector.
 The manufacturing sector appears to be showing some resilience, which may bode well for Catalent's operations. Additionally, the continued development and adoption of emerging technologies, such as AI, could create opportunities for companies in the Pharmaceuticals industry.
 Given the limited information available, it is challenging to provide a comprehensive assessment of Catalent's investment potential. A more thorough analysis would require access to the company's latest financial statements, industry trends, and competitive positioning.
 Score: 50</t>
  </si>
  <si>
    <t>Investment Report:
 Without any recent news or financial data provided, it is difficult to assess the potential investment value of Carrier Global in the Building Products industry for the next month. The macroeconomic outlook suggests a softening labor market and potential economic slowdown, which could impact the overall performance of the building products sector. However, the manufacturing sector appears to be showing some resilience, which may bode well for companies like Carrier Global.
 Given the lack of specific information about the company's current situation, it is not possible to provide a well-informed investment score. The potential investment value of Carrier Global would depend on factors such as its financial stability, market position, product portfolio, and ability to navigate the evolving economic conditions.
 Score: 50</t>
  </si>
  <si>
    <t>Investment Report:
 Without any recent news or financial data provided, it is difficult to provide a comprehensive assessment of Carnival's investment potential in the Hotels, Resorts &amp; Cruise Lines industry for the next month. The macroeconomic outlook suggests a softening labor market and potential economic slowdown, which could negatively impact the travel and tourism sector. However, the manufacturing sector appears to be showing some resilience, and the emergence of new technologies like AI may present opportunities for investors.
 Given the lack of specific information about Carnival's current performance and outlook, it would be prudent to exercise caution when considering an investment in the company. A more thorough analysis of the company's financials, competitive positioning, and management strategy would be necessary to make a well-informed investment decision.
 Score: 50</t>
  </si>
  <si>
    <t>Investment Report:
 Without any recent news or financial data provided, it is difficult to make a comprehensive assessment of CarMax's investment potential in the Automotive Retail industry for the next month. The macroeconomic outlook suggests a softening labor market and potential economic slowdown, which could have a negative impact on the automotive retail sector. However, the manufacturing sector's resilience and the emergence of new technologies, such as AI, may provide some offsetting factors.
 Given the lack of specific information about CarMax's current performance and position within the industry, it would be speculative to assign a definitive investment score. A more thorough analysis of the company's financials, competitive landscape, and management strategy would be necessary to provide a meaningful evaluation of its investment value.
 Score: 50</t>
  </si>
  <si>
    <t>Investment Report:
 Without any recent news or financial data provided, it is difficult to provide a comprehensive assessment of Cardinal Health's investment potential in the Health Care Distributors industry for the next month. The macroeconomic outlook suggests a softening labor market and potential economic slowdown, which could impact the overall healthcare sector. However, the manufacturing sector appears to be showing some resilience, and the emergence of new technologies like AI may present opportunities for companies in the industry.
 Given the lack of specific information about Cardinal Health's current performance and outlook, it would be speculative to assign a definitive investment score. The company's ability to navigate the evolving economic and industry landscape, as well as its competitive positioning, financial health, and growth prospects, would be crucial factors in determining its investment value.
 Score: 50</t>
  </si>
  <si>
    <t>Investment Report:
 Without any recent news or financial data provided, it is difficult to provide a comprehensive assessment of the investment potential for Camden Property Trust in the Multi-Family Residential REITs industry. The overall economic outlook, as described in the macroeconomic context, suggests a softening labor market and potential economic slowdown, which could impact the real estate sector. However, the specific performance and positioning of Camden Property Trust within this environment cannot be determined without the necessary information.
 Score: 50</t>
  </si>
  <si>
    <t>Investment Report:
 Without any recent news or financial data provided, it is difficult to provide a comprehensive assessment of Blackstone Inc.'s investment potential in the Asset Management &amp; Custody Banks industry for the next month. The macroeconomic outlook, as described, suggests a softening labor market and potential economic slowdown, which could impact the overall performance of the financial services sector.
 However, the resilience of the manufacturing sector and the continued growth of emerging technologies, such as AI, may present opportunities for asset managers like Blackstone to navigate the challenging environment. Additionally, the potential for a Federal Reserve interest rate cut in September could provide some support for the market.
 Given the limited information available, a cautious approach is warranted when evaluating Blackstone's investment value in the near term. Further analysis of the company's financial position, asset allocation, and growth strategies would be necessary to provide a more informed assessment.
 Score: 50</t>
  </si>
  <si>
    <t>Investment Report:
 Without any recent news or financial data provided, it is difficult to make a comprehensive assessment of Cadence Design Systems' investment potential in the Application Software industry for the next month. The macroeconomic outlook suggests a softening labor market and potential economic slowdown, which could impact the overall technology and software sectors. However, the resilience of the manufacturing sector and the continued growth of emerging technologies, such as AI, may present opportunities for companies like Cadence Design Systems.
 Given the lack of specific information about the company's current performance and outlook, it would be prudent to exercise caution when evaluating its investment value. A more thorough analysis of Cadence Design Systems' financials, competitive positioning, and growth prospects would be necessary to provide a more accurate assessment.
 Score: 50</t>
  </si>
  <si>
    <t>Investment Report:
 Without any recent news or financial data provided, it is difficult to make a comprehensive assessment of the investment potential of C.H. Robinson, a company in the Air Freight &amp; Logistics industry.
 The macroeconomic outlook suggests a softening labor market and potential economic slowdown, which could impact the overall performance of the logistics industry. However, the manufacturing sector appears to be showing some resilience, which could benefit companies like C.H. Robinson.
 Additionally, the development of new technologies, such as AI, may create opportunities for logistics companies to improve efficiency and adapt to changing market conditions.
 Given the limited information available, it is prudent to exercise caution when evaluating the investment potential of C.H. Robinson. Further research and analysis of the company's financials, competitive positioning, and strategic initiatives would be necessary to provide a more informed assessment.
 Score: 50</t>
  </si>
  <si>
    <t>Investment Report:
 Without any recent news or financial data provided, it is difficult to provide a comprehensive assessment of the investment potential for BXP, Inc. in the Office REITs industry. The macroeconomic outlook, however, suggests a mixed picture for the sector.
 The softening labor market and potential economic slowdown could negatively impact the demand for office space, putting pressure on occupancy rates and rental rates for Office REITs. However, the resilience shown in the manufacturing sector may indicate some pockets of strength that could benefit certain Office REITs.
 Additionally, the continued development and adoption of emerging technologies, such as AI, could create new opportunities for Office REITs that are able to adapt and cater to the evolving needs of businesses.
 Overall, the investment potential for BXP, Inc. in the current environment is uncertain without access to the company's recent performance and outlook. A more comprehensive analysis would be required to provide a meaningful assessment.
 Score: 50</t>
  </si>
  <si>
    <t>Investment Report:
 Without any recent news or financial data provided, it is difficult to assess the potential investment value of Bunge Global in the Agricultural Products &amp; Services industry for the next month. The macroeconomic outlook suggests a softening labor market and potential economic slowdown, which could impact the overall performance of the agricultural sector. However, the manufacturing sector appears to be showing some resilience, and the emergence of new technologies, such as AI, may create opportunities for companies in the industry.
 Given the lack of specific information about Bunge Global's current situation, it is not possible to provide a well-informed investment score. A more comprehensive analysis would require access to the company's recent financial statements, operational updates, and industry-specific trends.
 Score: 50</t>
  </si>
  <si>
    <t>Investment Report:
 Without any recent news or financial data provided, it is difficult to make a comprehensive assessment of Builders FirstSource's investment potential in the Building Products industry for the next month. The macroeconomic outlook suggests a softening labor market and potential economic slowdown, which could impact the overall industry. However, the manufacturing sector appears to be showing some resilience, which may benefit companies like Builders FirstSource.
 Given the lack of specific information about the company's current performance and position, it would be speculative to assign a precise investment score. The company's ability to navigate the evolving economic conditions and capitalize on any emerging opportunities in the Building Products industry will be crucial factors in determining its investment value.
 Score: 50</t>
  </si>
  <si>
    <t>Investment Report:
 Without any recent news or financial data provided, it is difficult to assess the potential investment value of Brown-Forman, a company in the Distillers &amp; Vintners industry. The macroeconomic outlook suggests a softening labor market and potential economic slowdown, which could impact consumer spending and demand for alcoholic beverages. However, the manufacturing sector appears to be showing some resilience, and the emergence of new technologies, such as AI, may provide opportunities for investors.
 Given the lack of specific information about Brown-Forman's current performance and position within the industry, it is not possible to provide a well-informed investment recommendation. A more comprehensive analysis of the company's financials, market share, competitive landscape, and management strategy would be necessary to determine its potential investment value accurately.
 Score: 50</t>
  </si>
  <si>
    <t>Investment Report:
 Without any recent news or financial data provided, it is difficult to provide a comprehensive assessment of Broadcom's investment potential in the Semiconductors industry for the next month. The macroeconomic outlook, however, suggests a mixed picture for the industry.
 The softening labor market and yield curve inversion signal a potential economic slowdown, which could negatively impact the semiconductor sector. However, the resilience of the manufacturing sector and the continued growth of emerging technologies, such as AI, may provide some support for semiconductor companies like Broadcom.
 Additionally, the development of new AI-powered processors could disrupt the traditional semiconductor industry and create opportunities for innovative players. However, the upcoming U.S. federal elections in November 2024 could introduce some uncertainty, as investors may be cautious about potential policy changes.
 Given the limited information available, it is challenging to assign a definitive score for Broadcom's investment potential. A more comprehensive analysis would require access to the company's recent financial data and industry-specific news.
 Score: 50</t>
  </si>
  <si>
    <t>Investment Report:
 Without any recent news or financial data provided, it is difficult to make a comprehensive assessment of the investment potential of Bristol Myers Squibb in the Pharmaceuticals industry for the next month. The macroeconomic outlook suggests a softening labor market and potential economic slowdown, which could impact the overall performance of the industry. However, the manufacturing sector appears to be showing some resilience, and the emergence of new technologies like AI may provide opportunities for growth.
 Given the lack of specific information about Bristol Myers Squibb's current situation, it is not possible to provide a reliable score reflecting the company's investment value. A more thorough analysis would require access to the latest financial statements, earnings reports, and any relevant news or industry developments affecting the firm.
 Score: 50</t>
  </si>
  <si>
    <t>Investment Report:
 Without any recent news or financial data provided, it is difficult to make a comprehensive assessment of Boston Scientific's investment potential in the Health Care Equipment industry for the next month. The macroeconomic outlook, however, suggests a softening labor market and potential economic slowdown, which could have a mixed impact on the healthcare sector.
 The manufacturing sector's resilience and the continued growth of emerging technologies, such as AI, may provide some support for the industry. However, the upcoming U.S. federal elections and the potential for policy changes could introduce uncertainty.
 Given the limited information available, it would be prudent to exercise caution and closely monitor any new developments that could affect Boston Scientific's performance before making an investment decision.
 Score: 50</t>
  </si>
  <si>
    <t>Investment Report:
 Without any recent news or financial data provided, it is difficult to provide a comprehensive assessment of the investment potential for BorgWarner, a company in the Automotive Parts &amp; Equipment industry. 
 The macroeconomic outlook suggests a softening labor market and potential economic slowdown, which could have implications for the automotive industry. However, the manufacturing sector appears to be showing some resilience, which may bode well for automotive parts suppliers like BorgWarner.
 Additionally, the emergence of new technologies, such as AI, could present opportunities for companies in the automotive industry to adapt and potentially thrive in the changing market landscape.
 Overall, without access to the latest news and financial information for BorgWarner, it is challenging to assign a meaningful investment score. A more thorough analysis would be required to provide a reliable assessment of the company's investment potential.
 Score: 50</t>
  </si>
  <si>
    <t>Investment Report:
 Without any recent news or financial data provided, it is difficult to make a comprehensive assessment of Booking Holdings' investment potential in the Hotels, Resorts &amp; Cruise Lines industry for the next month. The macroeconomic outlook suggests a softening labor market and potential economic slowdown, which could impact the travel and hospitality sector. However, the manufacturing sector appears to be showing some resilience, and the AI sector continues to present opportunities.
 Given the lack of specific information about Booking Holdings, it is prudent to take a cautious approach when evaluating the company's investment value. The stock market is likely to remain volatile in the near term, and the medium-term outlook is dependent on the depth and duration of the economic slowdown, as well as the effectiveness of policy responses.
 Score: 50</t>
  </si>
  <si>
    <t>Investment Report:
 Without any recent news or financial data provided, it is difficult to make a comprehensive assessment of Boeing's current investment potential. The aerospace and defense industry is facing a complex macroeconomic environment, with ongoing global conflicts, political instability, and concerns about a potential economic slowdown.
 The recent news highlights several events that could indirectly impact Boeing's operations, such as the continuation of major armed conflicts, the Israel-Hamas war, and the political turmoil in countries like Bangladesh and Thailand. These geopolitical factors could affect global supply chains, air travel demand, and overall industry dynamics.
 Additionally, the broader economic outlook suggests a softening labor market, with job openings declining and the yield curve inverting, which could signal a potential economic slowdown. This could have implications for Boeing's commercial aircraft business, as well as its defense and space segments.
 However, without access to the company's latest financial reports and operational updates, it is challenging to provide a more detailed assessment of Boeing's current position and future prospects. Investors should closely monitor any new developments and financial disclosures from the company before making investment decisions.
 Score: 50</t>
  </si>
  <si>
    <t>Investment Report:
 Without any recent news or financial data provided, it is difficult to provide a comprehensive assessment of the investment potential for Caesars Entertainment in the Casinos &amp; Gaming industry. The macroeconomic outlook, however, suggests a mixed picture for the industry.
 The softening labor market and potential economic slowdown could negatively impact consumer spending on leisure and entertainment activities, which could in turn affect the performance of casino and gaming companies like Caesars Entertainment. On the other hand, the resilience of the manufacturing sector and the continued growth of emerging technologies, such as AI, may provide some support for the industry.
 Given the lack of specific information about Caesars Entertainment's current financial position and market performance, it is prudent to approach any investment decision with caution. A more thorough analysis of the company's fundamentals, competitive positioning, and management strategy would be necessary to provide a more accurate assessment of its investment potential.
 Score: 50</t>
  </si>
  <si>
    <t>Investment Report:
 Without any recent news or financial data provided, it is difficult to assess the potential investment value of IBM in the IT Consulting &amp; Other Services industry for the next month. The macroeconomic outlook suggests a softening labor market and potential economic slowdown, which could impact the overall performance of the IT services sector. However, the resilience of the manufacturing industry and the emerging opportunities in the AI sector may provide some support for technology-focused companies like IBM.
 Given the lack of specific information about IBM's current financial standing, market position, and growth prospects, it is not possible to provide a well-informed investment score. A more comprehensive analysis would require access to the company's latest financial reports, industry trends, and competitive landscape.
 Score: 50</t>
  </si>
  <si>
    <t>Investment Report:
 Without any recent news or financial data provided, it is difficult to make a comprehensive assessment of Huntington Ingalls Industries' investment potential in the Aerospace &amp; Defense industry for the next month. The macroeconomic outlook suggests a softening labor market and potential economic slowdown, which could impact the overall industry performance. However, the manufacturing sector appears to be showing some resilience, and the emergence of new technologies like AI may present opportunities for companies in the Aerospace &amp; Defense space.
 Given the lack of specific information about Huntington Ingalls Industries' current situation, it would be prudent to exercise caution and gather more up-to-date data before making an informed investment decision. The company's ability to navigate the evolving economic and industry landscape will be crucial in determining its short-term investment value.
 Score: 50</t>
  </si>
  <si>
    <t>Investment Report:
 Without any recent news or financial data provided, it is difficult to make a comprehensive assessment of Huntington Bancshares' investment potential in the Regional Banks industry for the next month. The macroeconomic outlook suggests a softening labor market and potential economic slowdown, which could impact the banking sector. However, the manufacturing sector's resilience and the emergence of new technologies like AI present opportunities that may benefit the industry.
 Given the lack of specific information about Huntington Bancshares, a definitive investment score cannot be determined. Investors should closely monitor the company's financial performance, strategic initiatives, and the broader economic conditions before making any investment decisions.
 Score: 50</t>
  </si>
  <si>
    <t>Investment Report:
 Without any recent news or financial data provided, it is difficult to provide a comprehensive assessment of Humana's investment potential in the Managed Health Care industry for the next month. The macroeconomic outlook, however, suggests a softening labor market and potential economic slowdown, which could impact the healthcare sector.
 The decline in job openings and the yield curve inversion indicate a potential recession on the horizon. This could lead to increased pressure on healthcare costs and utilization, potentially affecting Humana's performance. Additionally, the upcoming U.S. federal elections in November 2024 could introduce policy changes that could impact the managed healthcare industry.
 On the positive side, the manufacturing sector appears to be showing some resilience, and the continued growth of the AI sector may present opportunities for healthcare companies to improve operational efficiency and patient outcomes.
 Overall, without access to Humana's recent news and financial data, it is challenging to provide a comprehensive assessment of the company's investment potential. A more thorough analysis would be required to determine a suitable investment score.
 Score: 50</t>
  </si>
  <si>
    <t>Investment Report:
 Without any recent news or financial data provided, it is difficult to provide a comprehensive assessment of the investment potential of Hubbell Incorporated in the Industrial Machinery &amp; Supplies &amp; Components industry for the next month.
 The macroeconomic outlook suggests a softening labor market and potential economic slowdown, which could impact the overall performance of the industrial machinery and supplies sector. However, the resilience of the manufacturing sector and the emergence of new technologies, such as AI, may present opportunities for companies like Hubbell Incorporated.
 Given the lack of specific information about the company's current financial position, product pipeline, and competitive landscape, it is not possible to make a well-informed investment recommendation at this time.
 Score: 50</t>
  </si>
  <si>
    <t>Investment Report:
 Without any recent news or financial data provided, it is difficult to make a comprehensive assessment of HP Inc.'s investment potential in the Technology Hardware, Storage &amp; Peripherals industry for the next month. The macroeconomic outlook suggests a softening labor market and potential economic slowdown, which could impact the overall technology sector. However, the manufacturing sector appears to be showing some resilience, and the AI industry continues to present growth opportunities.
 Given the lack of company-specific information, it is prudent to take a cautious approach when evaluating HP Inc.'s investment value. The stock market is likely to remain volatile in the near term, and the company's performance will depend on its ability to navigate the evolving economic landscape and capitalize on emerging technological trends.
 Score: 50</t>
  </si>
  <si>
    <t>Investment Report:
 Without any recent news or financial data provided, it is difficult to make a comprehensive assessment of Howmet Aerospace's investment potential in the Aerospace &amp; Defense industry for the next month. The macroeconomic outlook suggests a softening labor market and potential economic slowdown, which could have a mixed impact on the industry. However, the manufacturing sector appears to be showing some resilience, and the emergence of new technologies like AI may provide opportunities for growth.
 Given the lack of specific information about Howmet Aerospace, it is prudent to take a cautious approach when evaluating the company's investment value. The stock market is likely to remain volatile in the near term, and the performance of individual companies will depend on their ability to navigate the evolving economic and industry conditions.
 Score: 50</t>
  </si>
  <si>
    <t>Investment Report:
 Without any recent news or financial data provided, it is difficult to provide a comprehensive assessment of the investment potential of Host Hotels &amp; Resorts in the Hotel &amp; Resort REITs industry for the next month. The macroeconomic outlook suggests a softening labor market and potential economic slowdown, which could have a negative impact on the hospitality industry. However, the manufacturing sector appears to be showing some resilience, and the emergence of new technologies like AI may present opportunities for investors.
 Given the lack of specific information about Host Hotels &amp; Resorts, it would be prudent to exercise caution and conduct further research before making any investment decisions. The company's performance and outlook may be influenced by various factors, including its financial health, market positioning, and ability to adapt to changing economic conditions.
 Score: 50</t>
  </si>
  <si>
    <t>Investment Report:
 Without any recent news or financial data provided, it is difficult to make a comprehensive assessment of Hormel Foods' investment potential in the Packaged Foods &amp; Meats industry for the next month. The macroeconomic outlook suggests a softening labor market and potential economic slowdown, which could impact consumer spending and demand for packaged food products. However, the manufacturing sector appears to be showing some resilience, which may benefit Hormel Foods as a producer of packaged foods.
 Given the lack of specific information about the company's current performance and outlook, it is prudent to take a cautious approach. The stock market is likely to remain volatile in the near term, and the company's ability to navigate the economic challenges will be a key factor in its investment value.
 Score: 50</t>
  </si>
  <si>
    <t>Investment Report:
 Without any recent news or financial data provided, it is difficult to make a comprehensive assessment of Home Depot's (The) investment potential in the Home Improvement Retail industry for the next month. 
 The macroeconomic outlook suggests a softening labor market and potential economic slowdown, which could impact consumer spending and demand for home improvement products and services. However, the manufacturing sector appears to be showing some resilience, which may benefit Home Depot's business.
 Additionally, the ongoing development and adoption of emerging technologies, such as AI, could present opportunities for companies in the home improvement retail industry to enhance their operations and customer experience.
 Overall, the lack of specific information about Home Depot's recent performance and outlook makes it challenging to provide a well-informed investment recommendation. A more thorough analysis of the company's financials, competitive positioning, and management strategy would be necessary to determine its investment value accurately.
 Score: 50</t>
  </si>
  <si>
    <t>Investment Report:
 Without any recent news or financial data provided, it is difficult to assess the potential investment value of Hologic, a company in the Health Care Equipment industry. The macroeconomic outlook suggests a softening labor market and potential economic slowdown, which could impact the overall performance of the healthcare sector.
 However, the manufacturing sector appears to be showing some resilience, and the continued development of emerging technologies, such as AI, may create opportunities for companies like Hologic. Additionally, the political landscape remains relatively stable, with no major new events that would significantly impact the stock market.
 Given the limited information available, it is challenging to provide a comprehensive assessment of Hologic's investment potential for the next month. A more thorough analysis would require access to the company's recent financial statements, industry trends, and any relevant news or developments.
 Score: 50</t>
  </si>
  <si>
    <t>Investment Report:
 Without any recent news or financial data provided, it is difficult to make a comprehensive assessment of Hilton Worldwide's investment potential in the Hotels, Resorts &amp; Cruise Lines industry for the next month. The macroeconomic outlook suggests a softening labor market and potential economic slowdown, which could impact the hospitality sector. However, the manufacturing sector appears to be showing some resilience, and the AI sector continues to present opportunities.
 Given the lack of specific information about Hilton Worldwide's current performance and outlook, it would be prudent to exercise caution when evaluating the company's investment value. More detailed financial data and industry-specific news would be necessary to provide a more informed and reliable assessment.
 Score: 50</t>
  </si>
  <si>
    <t>Investment Report:
 Without any recent news or financial data provided, it is difficult to provide a comprehensive assessment of the investment potential of DTE Energy in the Multi-Utilities industry for the next month. The macroeconomic outlook, as described, suggests a softening labor market and potential economic slowdown, which could have implications for the utilities sector. However, the manufacturing sector's resilience and the emergence of new technologies, such as AI, may present opportunities for companies like DTE Energy.
 Given the lack of specific information about the company's current performance and outlook, it would be prudent to exercise caution when evaluating the investment potential of DTE Energy in the short term. A more thorough analysis of the company's financials, management, and competitive positioning would be necessary to provide a meaningful investment recommendation.
 Score: 50</t>
  </si>
  <si>
    <t>Investment Report:
 Without any recent news or financial data provided, it is difficult to provide a comprehensive assessment of Hess Corporation's investment potential in the Integrated Oil &amp; Gas industry for the next month. The macroeconomic outlook suggests a softening labor market and potential economic slowdown, which could impact the overall performance of the energy sector. However, the manufacturing sector appears to be showing some resilience, and the development of new technologies, such as AI, may create opportunities for investors.
 Given the lack of specific information about Hess Corporation, it would be prudent to exercise caution and conduct further research before making any investment decisions. The company's financial health, competitive positioning, and ability to navigate the current economic environment would be crucial factors to consider.
 Score: 50</t>
  </si>
  <si>
    <t>Investment Report:
 Without any recent news or financial data provided, it is difficult to provide a comprehensive assessment of the investment potential for Hershey Company (The) in the Packaged Foods &amp; Meats industry for the next month.
 The overall economic outlook, as mentioned in the macroeconomic context, suggests a softening labor market and potential economic slowdown. This could have implications for consumer spending and demand for packaged food products. However, the resilience of the manufacturing sector and the continued growth of emerging technologies, such as AI, may provide some support for the industry.
 Given the lack of specific information about Hershey Company's current performance and outlook, it would be prudent to exercise caution when evaluating the investment potential of the company in the short term.
 Score: 50</t>
  </si>
  <si>
    <t>Investment Report:
 Without any recent news or financial data provided, it is difficult to provide a comprehensive assessment of the investment potential for Henry Schein, a company in the Health Care Distributors industry. 
 The macroeconomic outlook suggests a softening labor market and potential economic slowdown, which could impact the overall healthcare sector. However, the manufacturing sector appears to be showing some resilience, and the emergence of new technologies like AI may present opportunities for companies in the industry.
 Given the lack of specific information about Henry Schein's current performance and position within the market, it is not possible to make a well-informed evaluation of the company's investment value at this time.
 Score: 50</t>
  </si>
  <si>
    <t>Investment Report:
 Without any recent news or financial data provided, it is difficult to assess the potential investment value of Healthpeak Properties in the Health Care REITs industry for the next month. The overall economic outlook, as described in the macroeconomic context, suggests a softening labor market and potential economic slowdown, which could impact the performance of real estate investment trusts (REITs) in the healthcare sector.
 However, the manufacturing sector's resilience and the continued growth of emerging technologies, such as AI, may provide some support for the market. Additionally, the Federal Reserve's monetary policy decisions could also play a significant role in the short-term performance of the stock market and the REIT industry.
 Given the limited information available, it is prudent to exercise caution when evaluating the investment potential of Healthpeak Properties. Further research and analysis of the company's financials, management, and competitive positioning within the industry would be necessary to provide a more informed assessment.
 Score: 50</t>
  </si>
  <si>
    <t>Investment Report:
 Without any recent news or financial data provided, it is difficult to provide a comprehensive assessment of the investment potential of HCA Healthcare in the Health Care Facilities industry for the next month. The macroeconomic outlook, however, suggests a softening labor market and potential economic slowdown, which could have implications for the healthcare sector.
 The decline in job openings and the yield curve inversion indicate a potential economic slowdown, which may impact healthcare utilization and demand. Additionally, the political landscape, including the upcoming U.S. federal elections, could introduce uncertainty that may affect the healthcare industry.
 On the positive side, the manufacturing sector appears to be showing resilience, and the continued growth of emerging technologies, such as AI, could present opportunities for healthcare companies to improve efficiency and patient outcomes.
 Overall, without the necessary company-specific information, it is challenging to provide a definitive investment recommendation for HCA Healthcare. A more thorough analysis of the company's financial performance, competitive positioning, and growth prospects would be required to make a well-informed assessment.
 Score: 50</t>
  </si>
  <si>
    <t>Investment Report:
 Without any recent news or financial data provided, it is difficult to make a comprehensive assessment of Hasbro's investment potential in the Leisure Products industry for the next month. The macroeconomic outlook suggests a softening labor market and potential economic slowdown, which could impact consumer spending and demand for leisure products. However, the resilience of the manufacturing sector and the emergence of new technologies like AI may present opportunities for companies in this industry.
 Given the lack of specific information about Hasbro's current performance and position, it would be speculative to assign a definitive investment score. The company's ability to navigate the evolving economic conditions and capitalize on industry trends would be crucial factors in determining its short-term investment value.
 Score: 50</t>
  </si>
  <si>
    <t>Investment Report:
 Without any recent news or financial data provided, it is difficult to provide a comprehensive assessment of the investment potential of Hartford (The) in the Property &amp; Casualty Insurance industry for the next month. The macroeconomic outlook, as described, suggests a softening labor market and potential economic slowdown, which could impact the insurance industry. However, the manufacturing sector's resilience and the emergence of new technologies, such as AI, may present opportunities for companies in this sector.
 Given the lack of specific information about Hartford (The)'s current performance and position within the industry, it is not possible to assign a reliable investment score. A more thorough analysis of the company's financials, competitive landscape, and management strategy would be necessary to determine its investment value accurately.
 Score: 50</t>
  </si>
  <si>
    <t>Investment Report:
 Without any recent news or financial data provided, it is difficult to make a comprehensive assessment of Halliburton's investment potential in the Oil &amp; Gas Equipment &amp; Services industry for the next month. The macroeconomic outlook suggests a softening labor market and potential economic slowdown, which could impact the overall industry performance. However, the manufacturing sector appears to be showing some resilience, and the emergence of new technologies like AI may present opportunities for companies in the sector.
 Given the lack of specific information about Halliburton's current situation, it would be prudent to exercise caution when evaluating the company's investment value. A more thorough analysis of the company's financials, market position, and growth prospects would be necessary to provide a meaningful investment recommendation.
 Score: 50</t>
  </si>
  <si>
    <t>Investment Report:
 Without any recent news or financial data provided, it is difficult to provide a comprehensive assessment of the investment potential of Goldman Sachs in the Investment Banking &amp; Brokerage industry for the next month. The macroeconomic outlook, as described, suggests a softening labor market and potential economic slowdown, which could impact the overall performance of the financial sector. However, the resilience of the manufacturing sector and the continued growth of emerging technologies, such as AI, may present opportunities for firms like Goldman Sachs to navigate the challenging environment.
 Given the lack of specific information about the company's current standing, it would be prudent to closely monitor any new developments and financial reports before making an informed investment decision. The potential investment value of Goldman Sachs in the next month remains uncertain.
 Score: 50</t>
  </si>
  <si>
    <t>Investment Report:
 Without any recent news or financial data provided, it is difficult to assess the potential investment value of GoDaddy in the Internet Services &amp; Infrastructure industry for the next month. The macroeconomic outlook suggests a softening labor market and potential economic slowdown, which could impact the overall performance of the industry. However, the emergence of new technologies, such as AI, may present opportunities for companies in this sector.
 Given the lack of specific information about GoDaddy's current situation, it is not possible to provide a well-informed assessment of the company's investment potential. A more comprehensive analysis would require access to the latest financial statements, market trends, and industry-specific developments affecting GoDaddy's operations and competitive positioning.
 Score: 50</t>
  </si>
  <si>
    <t>Investment Report:
 Without any recent news or financial data provided, it is difficult to provide a comprehensive assessment of the investment potential of Globe Life in the Life &amp; Health Insurance industry for the next month. The macroeconomic outlook, as described, suggests a softening labor market and potential economic slowdown, which could have implications for the insurance industry. However, the specific impact on Globe Life's performance is unclear without access to the company's latest financial statements and market positioning.
 Given the lack of information, it would be prudent to exercise caution when evaluating Globe Life as an investment option in the current market environment. A more thorough analysis of the company's fundamentals, competitive landscape, and growth prospects would be necessary to determine its investment value accurately.
 Score: 50</t>
  </si>
  <si>
    <t>Investment Report:
 Without any recent news or financial data provided, it is difficult to make a comprehensive assessment of Gilead Sciences' investment potential in the Biotechnology industry for the next month. The macroeconomic outlook, including factors such as the softening labor market, yield curve inversion, and the potential for a Federal Reserve interest rate cut, could have a broader impact on the industry and the overall stock market performance.
 However, the continued development and adoption of emerging technologies, such as AI, in the Biotechnology sector may present opportunities for companies like Gilead Sciences to capitalize on. Additionally, the resilience of the manufacturing sector could have a positive influence on the industry.
 Given the limited information available, a cautious approach is warranted when evaluating the investment value of Gilead Sciences in the short term. Further research and analysis of the company's financials, pipeline, and competitive positioning would be necessary to provide a more informed assessment.
 Score: 50</t>
  </si>
  <si>
    <t>Investment Report:
 Without any recent news or financial data provided, it is difficult to make a comprehensive assessment of Take-Two Interactive's investment potential in the next month. The Interactive Home Entertainment industry is subject to various macroeconomic factors, such as consumer spending, technological advancements, and competitive dynamics, which can significantly impact the performance of companies within the sector.
 The latest macroeconomic outlook suggests a softening labor market and potential economic slowdown, which could affect consumer demand and spending on interactive entertainment products. However, the emergence of new technologies, such as AI, may create opportunities for companies like Take-Two Interactive to innovate and potentially offset some of the broader economic challenges.
 Given the lack of specific information about Take-Two Interactive's recent performance and outlook, it is prudent to exercise caution when evaluating the company's investment potential in the near term. A more thorough analysis of the company's financials, competitive positioning, and management strategy would be necessary to provide a more informed assessment.
 Score: 50</t>
  </si>
  <si>
    <t>Investment Report:
 Without any recent news or financial data provided, it is difficult to assess the potential investment value of KeyCorp in the Regional Banks industry for the next month. The macroeconomic outlook suggests a softening labor market and potential economic slowdown, which could impact the performance of regional banks. However, the manufacturing sector appears to be showing resilience, and the emergence of new technologies like AI may provide opportunities for the industry.
 Given the lack of specific information about KeyCorp, it is not possible to provide a well-informed assessment of the company's investment potential. A more comprehensive analysis would require access to the latest financial statements, market trends, and industry-specific developments affecting KeyCorp's operations and competitive positioning.
 Score: 50</t>
  </si>
  <si>
    <t>Investment Report:
 Without any recent news or financial data provided, it is difficult to make a comprehensive assessment of Keurig Dr Pepper's investment potential in the Soft Drinks &amp; Non-alcoholic Beverages industry for the next month.
 The macroeconomic outlook suggests a softening labor market and potential economic slowdown, which could impact consumer spending and demand for non-alcoholic beverages. However, the manufacturing sector appears to be showing some resilience, and the AI sector continues to present opportunities.
 Given the lack of specific information about Keurig Dr Pepper's current performance and position within the industry, it is not possible to provide a reliable investment score at this time. More data would be needed to evaluate the company's competitive advantages, financial health, and growth prospects.
 Score: 50</t>
  </si>
  <si>
    <t>Investment Report:
 Without any recent news or financial data provided, it is difficult to assess the potential investment value of Kenvue, a company in the Personal Care Products industry. The macroeconomic outlook suggests a softening labor market and potential economic slowdown, which could impact consumer spending and demand for personal care products. However, the manufacturing sector appears to be showing some resilience, and the emergence of new technologies like AI may provide opportunities for growth in the industry.
 Given the lack of specific information about Kenvue's current performance and position within the market, it is not possible to provide a well-informed investment score. A more comprehensive analysis would require access to the company's latest financial statements, market share, competitive positioning, and management's strategic plans.
 Score: 50</t>
  </si>
  <si>
    <t>Investment Report:
 Without any recent news or financial data provided, it is difficult to assess the potential investment value of Kellanova in the Packaged Foods &amp; Meats industry for the next month. The macroeconomic outlook suggests a softening labor market and potential economic slowdown, which could impact the overall performance of the industry. However, the manufacturing sector appears to be showing some resilience, and the emergence of new technologies like AI may provide opportunities for companies in the sector.
 Given the lack of specific information about Kellanova's current situation, it is not possible to provide a well-informed assessment of the company's investment potential. More detailed financial data and news updates would be necessary to make a more accurate evaluation.
 Score: 50</t>
  </si>
  <si>
    <t>Investment Report:
 Without any recent news or financial data provided, it is difficult to assess the potential investment value of Juniper Networks in the Communications Equipment industry for the next month. The macroeconomic outlook suggests a softening labor market and potential economic slowdown, which could impact the overall performance of the communications equipment sector.
 However, the emergence of new technologies, such as AI, may present opportunities for companies like Juniper Networks to innovate and potentially offset some of the broader economic challenges. Additionally, the resilience of the manufacturing sector could be a positive sign for the industry.
 Given the limited information available, it would be prudent to closely monitor any new developments and financial updates regarding Juniper Networks before making an informed investment decision.
 Score: 50</t>
  </si>
  <si>
    <t>Investment Report:
 Without any recent news or financial data provided, it is difficult to make a comprehensive assessment of JPMorgan Chase's investment potential in the Diversified Banks industry for the next month. The macroeconomic outlook suggests a softening labor market and potential economic slowdown, which could impact the banking sector. However, the manufacturing sector appears to be showing resilience, and the emergence of new technologies like AI may present opportunities. 
 Given the lack of specific information about JPMorgan Chase's current performance and position, a definitive investment score cannot be determined. Investors would need to closely monitor the company's upcoming financial reports, management commentary, and industry trends to better evaluate its investment value.
 Score: 50</t>
  </si>
  <si>
    <t>Investment Report:
 Without any recent news or financial data provided, it is difficult to make a comprehensive assessment of the investment potential of Johnson Controls, a company in the Building Products industry. 
 The macroeconomic outlook suggests a softening labor market and potential economic slowdown, which could impact the overall demand for building products. However, the manufacturing sector appears to be showing some resilience, which may bode well for companies like Johnson Controls.
 Additionally, the continued development and adoption of emerging technologies, such as AI, could present opportunities for companies in the building products industry to enhance their operations and competitiveness.
 Overall, the lack of specific information about Johnson Controls' recent performance and outlook makes it challenging to provide a well-informed investment recommendation. A more thorough analysis of the company's financials, market position, and growth prospects would be necessary to determine its potential investment value.
 Score: 50</t>
  </si>
  <si>
    <t>Investment Report:
 Without any recent news or financial data provided, it is difficult to make a comprehensive assessment of Johnson &amp; Johnson's investment potential in the Pharmaceuticals industry for the next month. The macroeconomic outlook, including factors such as the softening labor market, yield curve inversion, and the performance of the manufacturing sector, could have an indirect impact on the company's performance. However, the lack of specific information about Johnson &amp; Johnson's current financial standing, product pipeline, and competitive positioning within the industry makes it challenging to provide a well-informed investment recommendation.
 Score: 50</t>
  </si>
  <si>
    <t>Investment Report:
 Without any recent news or financial data provided, it is difficult to provide a comprehensive assessment of the investment potential for Jack Henry &amp; Associates in the Transaction &amp; Payment Processing Services industry. The macroeconomic outlook, as described, suggests a softening labor market and potential economic slowdown, which could have implications for the overall industry. However, the resilience of the manufacturing sector and the emergence of new technologies, such as AI, may present opportunities for companies in this space.
 Given the lack of specific information about Jack Henry &amp; Associates' current performance and positioning, it would be premature to assign a definitive investment score. The company's ability to navigate the evolving economic and technological landscape, as well as its competitive advantages and growth prospects, would need to be evaluated in more detail to provide a meaningful assessment.
 Score: 50</t>
  </si>
  <si>
    <t>Investment Report:
 Without any recent news or financial data provided, it is difficult to make a comprehensive assessment of Jabil's investment potential in the Electronic Manufacturing Services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Jabil to navigate the challenges.
 Given the lack of specific information about Jabil's current situation, it would be prudent to exercise caution when evaluating the company's investment value. A more thorough analysis of the company's financials, market position, and strategic initiatives would be necessary to provide a meaningful investment recommendation.
 Score: 50</t>
  </si>
  <si>
    <t>Investment Report:
 Without any recent news or financial data provided, it is difficult to provide a comprehensive assessment of the investment potential for J.B. Hunt, a company in the Cargo Ground Transportation industry. 
 The macroeconomic outlook suggests a softening labor market and potential economic slowdown, which could impact the demand for cargo transportation services. However, the manufacturing sector appears to be showing some resilience, which may benefit companies like J.B. Hunt.
 Additionally, the development of new technologies, such as AI-powered logistics solutions, could present opportunities for companies in the industry to improve efficiency and competitiveness.
 Overall, the investment potential for J.B. Hunt is uncertain without access to the latest news and financial information. A more thorough analysis would be required to provide a meaningful assessment.
 Score: 50</t>
  </si>
  <si>
    <t>Investment Report:
 Without any recent news or financial data provided, it is difficult to assess the potential investment value of Iron Mountain, a company in the Other Specialized REITs industry. The macroeconomic outlook suggests a softening labor market and potential economic slowdown, which could impact the real estate sector. However, the manufacturing sector appears to be showing some resilience, and the emergence of new technologies like AI may provide opportunities for investors.
 Given the lack of specific information about Iron Mountain's current performance and outlook, it is not possible to provide a well-informed assessment of the company's investment potential. A more comprehensive analysis would require access to the latest financial statements, industry trends, and company-specific news and developments.
 Score: 50</t>
  </si>
  <si>
    <t>Investment Report:
 Without any recent news or financial data provided, it is difficult to make a comprehensive assessment of IDEX Corporation's investment potential in the Industrial Machinery &amp; Supplies &amp; Components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IDEX Corporation.
 Score: 50</t>
  </si>
  <si>
    <t>Investment Report:
 Without any recent news or financial data provided, it is difficult to provide a comprehensive assessment of Invitation Homes' investment potential in the Single-Family Residential REITs industry for the next month. The macroeconomic outlook, including factors such as the softening labor market, yield curve inversion, and the performance of the manufacturing sector, could have an indirect impact on the company's performance. However, without access to the firm's specific financial metrics, operational updates, and industry positioning, a reliable investment score cannot be determined.
 Score: 50</t>
  </si>
  <si>
    <t>Investment Report:
 Without any recent news or financial data provided, it is difficult to provide a comprehensive assessment of Invesco's investment potential in the Asset Management &amp; Custody Banks industry for the next month. The macroeconomic outlook suggests a softening labor market and potential economic slowdown, which could impact the overall performance of the financial services sector. However, the resilience of the manufacturing sector and the continued growth of emerging technologies, such as AI, may present opportunities for companies like Invesco.
 Given the lack of specific information about Invesco's current position and outlook, it would be prudent to exercise caution when evaluating the company's investment value. A more thorough analysis of the firm's financials, competitive positioning, and management strategy would be necessary to provide a meaningful investment recommendation.
 Score: 50</t>
  </si>
  <si>
    <t>Investment Report:
 Without any recent news or financial data provided, it is difficult to make a comprehensive assessment of Intuitive Surgical's investment potential in the Health Care Equipment industry for the next month. The macroeconomic outlook suggests a softening labor market and potential economic slowdown, which could impact the overall healthcare sector. However, the manufacturing sector appears to be showing some resilience, and the emergence of new technologies like AI may present opportunities for companies in the industry.
 Given the lack of specific information about Intuitive Surgical's current performance and outlook, it would be prudent to exercise caution when evaluating the company's investment value. A more thorough analysis of the company's financials, competitive positioning, and growth prospects would be necessary to provide a meaningful investment recommendation.
 Score: 50</t>
  </si>
  <si>
    <t>Investment Report:
 Without any recent news or financial data provided, it is difficult to provide a comprehensive assessment of the investment potential for Interpublic Group of Companies (The) in the Advertising industry for the next month. 
 The macroeconomic outlook suggests a softening labor market and potential economic slowdown, which could impact the advertising industry. However, the manufacturing sector appears to be showing resilience, and the emergence of new technologies like AI may present opportunities.
 Given the lack of specific information about the company's current performance and outlook, it is not possible to assign a reliable investment score. A more thorough analysis would be needed to evaluate the company's competitive position, financial health, and growth prospects within the current market environment.
 Score: 50</t>
  </si>
  <si>
    <t>Investment Report:
 Without any recent news or financial data provided, it is difficult to assess the current situation and investment potential of International Paper, a company in the Paper &amp; Plastic Packaging Products &amp; Materials industry.
 The broader economic outlook suggests a softening labor market and potential economic slowdown, which could impact the overall demand for packaging products. However, the manufacturing sector appears to be showing some resilience, which may benefit companies like International Paper.
 Additionally, the emergence of new technologies, such as AI, could create opportunities for innovation and growth in the packaging industry. However, the extent to which International Paper is positioned to capitalize on these trends is unclear without more information.
 Overall, the lack of recent data makes it challenging to provide a comprehensive assessment of International Paper's investment value. More information would be needed to evaluate the company's financial performance, competitive positioning, and ability to navigate the current economic and industry landscape.
 Score: 50</t>
  </si>
  <si>
    <t>Investment Report:
 Without any recent news or financial data provided, it is difficult to assess the potential investment value of International Flavors &amp; Fragrances in the Specialty Chemicals industry for the next month. The overall economic outlook, as described in the macroeconomic context, suggests a softening labor market and potential economic slowdown, which could have a mixed impact on the specialty chemicals sector.
 However, the resilience of the manufacturing sector and the emerging opportunities in the AI industry may provide some positive signals for the industry. Additionally, the political landscape appears relatively stable, with no major new events that would significantly impact the stock market.
 Given the lack of specific information about International Flavors &amp; Fragrances, it is not possible to provide a well-informed assessment of the company's investment potential. A more comprehensive analysis would require access to the latest financial statements, industry trends, and company-specific news and developments.
 Score: 50</t>
  </si>
  <si>
    <t>Investment Report:
 Without any recent news or financial data provided, it is difficult to provide a comprehensive assessment of Intercontinental Exchange's investment potential in the Financial Exchanges &amp; Data industry for the next month. 
 The macroeconomic outlook suggests a softening labor market and potential economic slowdown, which could impact the overall financial sector. However, the manufacturing sector appears to be showing resilience, and the AI sector continues to present growth opportunities.
 Given the lack of company-specific information, it is prudent to take a cautious approach when evaluating Intercontinental Exchange's investment value in the current market environment.
 Score: 50</t>
  </si>
  <si>
    <t>Investment Report:
 Without any recent news or financial data provided, it is difficult to assess the potential investment value of Insulet Corporation in the Health Care Equipment industry for the next month. The macroeconomic outlook suggests a softening labor market and potential economic slowdown, which could impact the overall performance of the healthcare sector. However, the manufacturing sector appears to be showing some resilience, and the emergence of new technologies, such as AI, may provide opportunities for growth.
 Given the lack of specific information about Insulet Corporation, it is not possible to provide a well-informed investment recommendation or score. Investors should carefully research the company's financials, competitive positioning, and growth prospects before making any investment decisions.
 Score: 50</t>
  </si>
  <si>
    <t>Investment Report:
 Without any recent news or financial data provided, it is difficult to make a comprehensive assessment of Ingersoll Rand's investment potential in the Industrial Machinery &amp; Supplies &amp; Components industry for the next month.
 The macroeconomic outlook suggests a softening labor market and potential economic slowdown, which could impact the overall performance of the industrial machinery sector. However, the resilience of the manufacturing industry and the emergence of new technologies, such as AI, may present opportunities for companies like Ingersoll Rand.
 Given the lack of specific information about the company's current situation, it would be prudent to gather more data before making a definitive investment recommendation.
 Score: 50</t>
  </si>
  <si>
    <t>Investment Report:
 Without any recent news or financial data provided, it is difficult to assess the potential investment value of Incyte, a biotechnology company. The overall economic outlook, however, suggests a softening labor market and potential economic slowdown, which could have implications for the broader biotechnology industry.
 The manufacturing sector appears to be showing some resilience, which may bode well for companies like Incyte that are involved in the production of pharmaceutical and medical products. Additionally, the continued advancements in emerging technologies, such as AI, could create new opportunities for innovation and growth in the biotechnology space.
 Given the lack of specific information about Incyte's current performance and market position, it is challenging to provide a comprehensive assessment of the company's investment potential. A more thorough analysis would require access to the latest financial statements, industry trends, and company-specific developments.
 Score: 50</t>
  </si>
  <si>
    <t>Investment Report:
 Without any recent news or financial data provided, it is difficult to make a comprehensive assessment of the investment potential of Illinois Tool Works in the Industrial Machinery &amp; Supplies &amp; Components industry for the next month.
 The macroeconomic outlook suggests a softening labor market and potential economic slowdown, which could have a mixed impact on the industrial machinery and supplies sector. However, the resilience of the manufacturing industry and the emergence of new technologies, such as AI, may provide some opportunities for companies in this space.
 Given the lack of specific information about Illinois Tool Works' current performance and outlook, it would be prudent to exercise caution when evaluating the company's investment potential in the short term.
 Score: 50</t>
  </si>
  <si>
    <t>Investment Report:
 Without any recent news or financial data provided, it is difficult to make a comprehensive assessment of Idexx Laboratories' investment potential in the Health Care Equipment industry for the next month. The macroeconomic outlook suggests a softening labor market and potential economic slowdown, which could impact the overall performance of the healthcare sector. However, the manufacturing sector appears to be showing some resilience, and the emergence of new technologies, such as AI, may create opportunities for companies in the healthcare equipment industry.
 Given the lack of specific information about Idexx Laboratories, it would be prudent to gather more up-to-date data on the company's financial performance, market position, and growth prospects before making an informed investment recommendation. The overall economic and industry conditions provide a mixed outlook, and a more thorough analysis of the company's fundamentals would be necessary to determine its investment value accurately.
 Score: 50</t>
  </si>
  <si>
    <t>Investment Report:
 Without any recent news or financial data provided, it is difficult to make a comprehensive assessment of IQVIA's investment potential in the Life Sciences Tools &amp; Services industry for the next month. The macroeconomic outlook suggests a softening labor market and potential economic slowdown, which could impact the overall industry performance. However, the manufacturing sector appears to be showing resilience, and the emergence of new technologies like AI may present opportunities for companies in this space.
 Given the lack of specific information about IQVIA's current situation, it would be prudent to exercise caution when evaluating the company's investment value. A more thorough analysis of the firm's financials, competitive positioning, and growth prospects would be necessary to provide a meaningful investment recommendation.
 Score: 50</t>
  </si>
  <si>
    <t>Investment Report:
 Without any recent news or financial data provided, it is difficult to provide a comprehensive assessment of the investment potential of Extra Space Storage in the Self-Storage REITs industry for the next month. The macroeconomic outlook, as described, suggests a softening labor market and potential economic slowdown, which could impact the overall real estate sector, including self-storage REITs. However, the manufacturing sector's resilience and the continued growth of emerging technologies, such as AI, may provide some offsetting factors.
 Given the lack of company-specific information, a definitive score cannot be assigned. A more thorough analysis of Extra Space Storage's financial performance, market position, and growth prospects would be necessary to determine its investment value accurately.
 Score: 50</t>
  </si>
  <si>
    <t>Investment Report:
 Without any recent news or financial data provided, it is difficult to make a comprehensive assessment of Expeditors International's investment potential in the Air Freight &amp; Logistics industry for the next month. The macroeconomic outlook suggests a softening labor market and potential economic slowdown, which could impact the overall industry performance. However, the manufacturing sector appears to be showing some resilience, which may benefit logistics companies like Expeditors International.
 Given the lack of specific information about the company's current situation, it is prudent to take a cautious approach when evaluating its investment value. More detailed financial data and industry-specific news would be necessary to provide a more informed and accurate assessment.
 Score: 50</t>
  </si>
  <si>
    <t>Investment Report:
 Without any recent news or financial data provided, it is difficult to make a comprehensive assessment of Expedia Group's investment potential in the Hotels, Resorts &amp; Cruise Lines industry for the next month. The macroeconomic outlook suggests a softening labor market and potential economic slowdown, which could impact the travel and hospitality sector. However, the manufacturing sector appears to be showing some resilience, and the emergence of new technologies like AI may present opportunities for companies in the industry.
 Given the lack of specific information about Expedia Group's current performance and outlook, it would be prudent to exercise caution when evaluating the company's investment value. A more thorough analysis of the company's financials, competitive positioning, and management strategy would be necessary to provide a meaningful investment recommendation.
 Score: 50</t>
  </si>
  <si>
    <t>Investment Report:
 Without any recent news or financial data provided, it is difficult to provide a comprehensive assessment of Exelon's investment potential in the Electric Utilities industry for the next month. The macroeconomic outlook, including factors such as the softening labor market, yield curve inversion, and the performance of the manufacturing sector, could have an indirect impact on the company's operations and stock price. However, the lack of specific information about Exelon's current financial position, operational performance, and industry dynamics makes it challenging to determine the company's investment value accurately.
 Score: 50</t>
  </si>
  <si>
    <t>Investment Report:
 Without any recent news or financial data provided, it is difficult to provide a comprehensive assessment of Eversource's investment potential in the Electric Utilities industry for the next month. The macroeconomic outlook suggests a softening labor market and potential economic slowdown, which could impact the overall performance of the utilities sector. However, the manufacturing sector appears to be showing some resilience, and the emergence of new technologies, such as AI, may create opportunities for companies in the industry.
 Given the lack of specific information about Eversource's current situation, it would be prudent to gather more data before making a well-informed investment recommendation. The company's financial health, market position, and ability to navigate the evolving economic and technological landscape would be crucial factors to consider.
 Score: 50</t>
  </si>
  <si>
    <t>Investment Report:
 Without any recent news or financial data provided, it is difficult to provide a comprehensive assessment of Evergy's investment potential in the Electric Utilities industry for the next month. The macroeconomic outlook, including factors such as the softening labor market, yield curve inversion, and the performance of the manufacturing sector, could have an indirect impact on the company's operations and stock price. However, the lack of specific information about Evergy's current financial position, operational performance, and industry dynamics makes it challenging to determine the company's investment value accurately.
 Score: 50</t>
  </si>
  <si>
    <t>Investment Report:
 Without any recent news or financial data provided, it is difficult to provide a comprehensive assessment of Everest Re's investment potential in the Reinsurance industry for the next month. The macroeconomic outlook, as described, suggests a softening labor market and potential economic slowdown, which could impact the overall insurance and reinsurance sector. However, the manufacturing sector's resilience and the continued growth of emerging technologies, such as AI, may present opportunities for companies like Everest Re to adapt and potentially weather the economic challenges.
 Given the lack of specific information about Everest Re's current performance and position within the industry, it would be premature to assign a definitive investment score. A more thorough analysis of the company's financials, market share, competitive positioning, and management strategy would be necessary to provide a meaningful assessment of its investment value.
 Score: 50</t>
  </si>
  <si>
    <t>ETSY</t>
  </si>
  <si>
    <t>Investment Report:
 Without any recent news or financial data provided, it is difficult to assess the potential investment value of Etsy in the Broadline Retail industry for the next month. The macroeconomic outlook suggests a softening labor market and potential economic slowdown, which could impact consumer spending and the overall retail sector. However, the manufacturing sector appears to be showing some resilience, and the emergence of new technologies like AI may provide opportunities for certain companies.
 Given the lack of specific information about Etsy's current performance and outlook, it is not possible to provide a well-informed investment recommendation. The company's ability to navigate the evolving economic conditions and adapt to changing consumer preferences would be crucial factors in determining its investment potential.
 Score: 50</t>
  </si>
  <si>
    <t>Investment Report:
 Without any recent news or financial data provided, it is difficult to provide a comprehensive assessment of the investment potential of Essex Property Trust in the Multi-Family Residential REITs industry for the next month.
 The macroeconomic outlook suggests a softening labor market and potential economic slowdown, which could impact the real estate sector. However, the manufacturing sector appears to be showing some resilience, and the AI sector continues to present opportunities.
 Given the lack of specific information about Essex Property Trust, it is not possible to make a well-informed evaluation of the company's current situation and future prospects. More detailed financial data and news updates would be necessary to provide a more accurate investment score.
 Score: 50</t>
  </si>
  <si>
    <t>Investment Report:
 Without any recent news or financial data provided, it is difficult to provide a comprehensive assessment of Equinix's investment potential in the Data Center REITs industry for the next month. The macroeconomic outlook suggests a softening labor market and potential economic slowdown, which could impact the overall real estate investment trust (REIT) sector. However, the resilience of the manufacturing sector and the continued growth of emerging technologies, such as AI, may present opportunities for data center REITs like Equinix.
 Given the lack of specific information about the company's current performance and outlook, it would be prudent to exercise caution when evaluating Equinix's investment value in the short term. A more thorough analysis of the company's financials, market position, and growth prospects would be necessary to provide a meaningful investment recommendation.
 Score: 50</t>
  </si>
  <si>
    <t>Investment Report:
 Without any recent news or financial data provided, it is difficult to assess the potential investment value of Equifax in the Research &amp; Consulting Services industry for the next month. The macroeconomic outlook suggests a softening labor market and potential economic slowdown, which could impact the overall performance of the industry. However, the resilience of the manufacturing sector and the emergence of new technologies, such as AI, may present opportunities for companies in the research and consulting services space.
 Given the lack of specific information about Equifax's current situation, it is not possible to provide a well-informed investment score. Any assessment would be highly speculative and could be misleading.
 Score: 50</t>
  </si>
  <si>
    <t>Investment Report:
 Without any recent news or financial data provided, it is difficult to provide a comprehensive assessment of the investment potential for EPAM Systems in the IT Consulting &amp; Other Services industry for the next month. The macroeconomic outlook suggests a softening labor market and potential economic slowdown, which could impact the overall IT services sector. However, the resilience of the manufacturing industry and the continued growth of emerging technologies, such as AI, may present opportunities for companies like EPAM Systems.
 Given the lack of specific information about the company's current performance and outlook, it would be prudent to exercise caution when evaluating the investment potential of EPAM Systems in the near term. A more thorough analysis of the company's financials, competitive positioning, and management strategy would be necessary to provide a more informed assessment.
 Score: 50</t>
  </si>
  <si>
    <t>Investment Report:
 Without any recent news or financial data provided, it is difficult to provide a comprehensive assessment of the investment potential for Genuine Parts Company in the Distributors industry for the next month.
 Economic Outlook:
 The macroeconomic environment appears to be softening, with a decline in job openings and an inverted yield curve, which are classic recession warning signals. However, the manufacturing sector has shown some resilience, and the AI sector continues to present opportunities for investors.
 Given the lack of specific information about Genuine Parts Company, it is challenging to determine the company's current position and how it might be impacted by the broader economic trends. The overall market volatility and potential for a slowdown could pose risks for the Distributors industry, but the extent of the impact on Genuine Parts Company is unclear.
 Score: 50</t>
  </si>
  <si>
    <t>Investment Report:
 Without any recent news or financial data provided, it is difficult to provide a comprehensive assessment of Entergy's investment potential in the Electric Utilities industry for the next month. The macroeconomic outlook, including factors such as the softening labor market, yield curve inversion, and the performance of the manufacturing sector, could have implications for the broader utilities industry. However, the specific impact on Entergy's operations and financial performance cannot be determined without access to the company's latest information.
 Score: 50</t>
  </si>
  <si>
    <t>Investment Report:
 Without any recent news or financial data provided, it is difficult to assess the potential investment value of Enphase in the Semiconductor Materials &amp; Equipment industry for the next month. The macroeconomic outlook suggests a softening labor market and potential economic slowdown, which could impact the overall semiconductor industry. However, the emergence of new technologies, such as AI, may provide opportunities for growth in the sector.
 Given the lack of company-specific information, it is not possible to provide a well-informed assessment of Enphase's current position or future prospects. A more comprehensive analysis would require access to the latest financial statements, market trends, and industry-specific developments affecting the firm.
 Score: 50</t>
  </si>
  <si>
    <t>Investment Report:
 Without any recent news or financial data provided, it is difficult to provide a comprehensive assessment of Elevance Health's investment potential in the Managed Health Care industry for the next month. The macroeconomic outlook, however, suggests a potentially challenging environment for the healthcare sector.
 The softening labor market, with declining job openings, and the yield curve inversion signal a potential economic slowdown. This could impact consumer spending and healthcare utilization, which could in turn affect Elevance Health's financial performance.
 Additionally, the political landscape, particularly the upcoming U.S. federal elections, may introduce some uncertainty that could influence the company's operations and investor sentiment.
 Given the limited information available, it would be prudent to exercise caution when considering an investment in Elevance Health in the near term. A more thorough analysis of the company's latest financial reports, industry trends, and competitive positioning would be necessary to provide a more informed assessment.
 Score: 50</t>
  </si>
  <si>
    <t>Investment Report:
 Without any recent news or financial data provided, it is difficult to make a comprehensive assessment of the investment potential of Electronic Arts in the Interactive Home Entertainment industry for the next month. The macroeconomic outlook, as described, suggests a softening labor market and potential economic slowdown, which could have a mixed impact on the gaming industry. However, the continued growth and adoption of emerging technologies, such as AI, may present opportunities for companies like Electronic Arts to innovate and potentially offset some of the broader economic challenges.
 Given the lack of specific information about the company's current performance and outlook, a definitive investment score cannot be confidently assigned. A more thorough analysis of Electronic Arts' recent financial results, market position, product pipeline, and management's strategic initiatives would be necessary to provide a meaningful investment recommendation.
 Score: 50</t>
  </si>
  <si>
    <t>Investment Report:
 Without any recent news or financial data provided, it is difficult to make a comprehensive assessment of the investment potential of Edwards Lifesciences in the Health Care Equipment industry for the next month. The macroeconomic outlook suggests a softening labor market and potential economic slowdown, which could impact the overall performance of the healthcare sector. However, the manufacturing sector appears to be showing some resilience, and the emergence of new technologies like AI may provide opportunities for growth.
 Given the lack of specific information about Edwards Lifesciences, it is not possible to provide a reliable investment score at this time. A more thorough analysis of the company's financial health, competitive positioning, and growth prospects would be necessary to make an informed investment recommendation.
 Score: 50</t>
  </si>
  <si>
    <t>Investment Report:
 Without any recent news or financial data provided, it is difficult to provide a comprehensive assessment of the investment potential of Edison International in the Electric Utilities industry for the next month. The macroeconomic outlook, including factors such as the softening labor market, yield curve inversion, and the performance of the manufacturing sector, could have an indirect impact on the company's performance. However, without access to the firm's specific financial metrics, operational updates, and industry-specific developments, a reliable investment score cannot be determined.
 Score: 50</t>
  </si>
  <si>
    <t>Investment Report:
 Without any recent news or financial data provided, it is difficult to provide a comprehensive assessment of Ecolab's investment potential in the Specialty Chemicals industry for the next month. The macroeconomic outlook suggests a softening labor market and potential economic slowdown, which could impact the overall industry performance. However, the manufacturing sector appears to be showing some resilience, which may benefit specialty chemical companies like Ecolab.
 Given the lack of specific information about Ecolab's current financial position, market share, product portfolio, and competitive landscape, it is not possible to make a well-informed evaluation of the company's investment value. Additional data would be required to analyze Ecolab's strengths, weaknesses, opportunities, and threats in the current market environment.
 Score: 50</t>
  </si>
  <si>
    <t>Investment Report:
 Without any recent news or financial data provided, it is difficult to make a comprehensive assessment of eBay's investment potential in the Broadline Retail industry for the next month. The macroeconomic outlook suggests a softening labor market and potential economic slowdown, which could impact consumer spending and the overall retail sector. However, the manufacturing sector appears to be showing some resilience, and the emergence of new technologies like AI may present opportunities for companies like eBay to adapt and potentially offset broader economic challenges.
 Given the lack of specific information about eBay's current performance and position within the industry, it is not possible to provide a well-informed investment score. A more thorough analysis of the company's financials, competitive landscape, and strategic initiatives would be necessary to make a reliable assessment of its investment value in the near term.
 Score: 50</t>
  </si>
  <si>
    <t>Investment Report:
 Without any recent news or financial data provided, it is difficult to make a comprehensive assessment of Eaton Corporation's investment potential in the Electrical Components &amp; Equipment industry for the next month. 
 The macroeconomic outlook suggests a softening labor market and potential economic slowdown, which could have a mixed impact on the electrical components and equipment sector. While the manufacturing industry appears to be showing some resilience, the overall market volatility and concerns about the economic outlook may create headwinds for the industry.
 Additionally, the political landscape and upcoming elections in the United States could introduce some uncertainty that may affect investor sentiment and the performance of companies in this sector.
 Given the limited information available, it is prudent to approach any investment decision in Eaton Corporation with caution and further research, as the company's specific performance and outlook may be influenced by a variety of factors not covered in the provided context.
 Score: 50</t>
  </si>
  <si>
    <t>Investment Report:
 Without any recent news or financial data provided, it is difficult to provide a comprehensive assessment of Eastman Chemical Company's investment potential. The specialty chemicals industry is generally sensitive to macroeconomic conditions, and the current economic outlook suggests a potential slowdown in the near term.
 The softening labor market, as indicated by the decline in job openings, and the yield curve inversion, which is a classic recession warning signal, suggest that the overall economic environment may be challenging. However, the resilience of the manufacturing sector, as evidenced by the increase in factory orders, could provide some support for companies like Eastman Chemical.
 Additionally, the continued development and adoption of emerging technologies, such as AI, may create opportunities for companies in the specialty chemicals industry to innovate and potentially offset some of the broader economic headwinds.
 Given the limited information available, a definitive assessment of Eastman Chemical Company's investment potential is not possible. A more thorough analysis would require access to the company's recent financial statements, industry trends, and a deeper understanding of the specific factors affecting its performance.
 Score: 50</t>
  </si>
  <si>
    <t>Investment Report:
 Without any recent news or financial data provided, it is difficult to assess the potential investment value of DuPont in the Specialty Chemicals industry for the next month. The macroeconomic outlook suggests a softening labor market and potential economic slowdown, which could impact the overall performance of the industry. However, the manufacturing sector appears to be showing some resilience, and the emergence of new technologies like AI may provide opportunities for companies in the Specialty Chemicals industry.
 Given the lack of specific information about DuPont's current situation, it is not possible to provide a well-informed investment score. A more comprehensive analysis would require access to the company's recent financial statements, operational updates, and industry-specific trends.
 Score: 50</t>
  </si>
  <si>
    <t>Investment Report:
 Without any recent news or financial data provided, it is difficult to provide a comprehensive assessment of the investment potential of Duke Energy in the Electric Utilities industry for the next month. The macroeconomic outlook, including factors such as the softening labor market, yield curve inversion, and the performance of the manufacturing sector, could have implications for the broader utilities industry. However, the specific impact on Duke Energy's operations and financial performance cannot be determined without access to the company's latest information.
 Score: 50</t>
  </si>
  <si>
    <t>Investment Report:
 Without any recent news or financial data provided, it is difficult to provide a comprehensive assessment of the investment potential of EOG Resources in the Oil &amp; Gas Exploration &amp; Production industry for the next month.
 The macroeconomic outlook suggests a softening labor market and potential economic slowdown, which could impact the overall performance of the energy sector. However, the manufacturing sector appears to be showing some resilience, and the development of new technologies, such as AI, may create opportunities for investors.
 Given the lack of specific information about EOG Resources, it would be prudent to exercise caution and conduct further research before making any investment decisions.
 Score: 50</t>
  </si>
  <si>
    <t>Investment Report:
 Without any recent news or financial data provided, it is difficult to make a comprehensive assessment of General Motors' investment potential in the Automobile Manufacturers industry for the next month. The macroeconomic outlook suggests a softening labor market and potential economic slowdown, which could have a negative impact on the automotive sector. However, the resilience of the manufacturing industry and the emergence of new technologies, such as AI, may provide some opportunities for companies like General Motors to navigate the challenging environment.
 Given the lack of specific information about the company's current performance and outlook, it is prudent to take a cautious approach when evaluating the investment value of General Motors in the short term. More detailed financial data and industry-specific news would be necessary to provide a more informed and accurate assessment.
 Score: 50</t>
  </si>
  <si>
    <t>Investment Report:
 Without any recent news or financial data provided, it is difficult to make a comprehensive assessment of the investment potential of General Mills in the Packaged Foods &amp; Meats industry for the next month. The macroeconomic outlook suggests a softening labor market and potential economic slowdown, which could impact consumer spending and demand for packaged food products. However, the manufacturing sector appears to be showing some resilience, which may benefit companies like General Mills.
 Given the lack of specific information about the company's current performance and outlook, it is prudent to take a cautious approach when evaluating the investment value of General Mills in the short term. More detailed financial data and industry-specific news would be necessary to provide a more informed and reliable assessment.
 Score: 50</t>
  </si>
  <si>
    <t>Investment Report:
 Without any recent news or financial data provided, it is difficult to assess the potential investment value of Generac, a company in the Electrical Components &amp; Equipment industry. The macroeconomic outlook suggests a softening labor market and potential economic slowdown, which could impact the overall industry. However, the manufacturing sector appears to be showing some resilience, which may bode well for Generac.
 The AI sector's continued growth and the development of new AI-powered processors could also present opportunities for companies like Generac, as they may be able to leverage these emerging technologies to enhance their products and services.
 Given the limited information available, it is challenging to provide a comprehensive assessment of Generac's investment potential. A more thorough analysis would require access to the company's recent financial statements, market performance, and industry-specific data.
 Score: 50</t>
  </si>
  <si>
    <t>Investment Report:
 Without any recent news or financial data provided, it is difficult to assess the potential investment value of Gen Digital in the Systems Software industry for the next month. The macroeconomic outlook suggests a softening labor market and potential economic slowdown, which could impact the overall technology and software sectors. However, the emergence of new technologies, such as AI, may present opportunities for companies in the Systems Software industry.
 Given the lack of specific information about Gen Digital's current performance, market position, and growth prospects, it is not possible to provide a well-informed investment score. A more comprehensive analysis of the company's financials, competitive landscape, and management strategy would be necessary to make a reliable assessment.
 Score: 50</t>
  </si>
  <si>
    <t>Investment Report:
 Without any recent news or financial data provided, it is difficult to make a comprehensive assessment of the investment potential of GE HealthCare in the Health Care Equipment industry for the next month. The macroeconomic outlook suggests a softening labor market and potential economic slowdown, which could have implications for the healthcare sector. However, the manufacturing sector appears to be showing some resilience, and the emergence of new technologies like AI may present opportunities for companies in the industry.
 Given the lack of specific information about GE HealthCare's current performance and position within the market, it is not possible to provide a reliable investment score. A more thorough analysis of the company's financials, competitive landscape, and strategic initiatives would be necessary to make a well-informed assessment.
 Score: 50</t>
  </si>
  <si>
    <t>Investment Report:
 Without any recent news or financial data provided, it is difficult to provide a comprehensive assessment of Gartner's investment potential in the IT Consulting &amp; Other Services industry for the next month. The macroeconomic outlook suggests a softening labor market and potential economic slowdown, which could impact the overall industry performance. However, the resilience of the manufacturing sector and the continued growth of emerging technologies, such as AI, may present opportunities for companies like Gartner.
 Given the lack of specific information about Gartner's current situation, it would be prudent to exercise caution when evaluating the company's investment value. A more thorough analysis of the company's financials, competitive positioning, and growth prospects would be necessary to provide a meaningful investment recommendation.
 Score: 50</t>
  </si>
  <si>
    <t>Investment Report:
 Without any recent news or financial data provided, it is difficult to make a comprehensive assessment of Garmin's investment potential in the Consumer Electronics industry for the next month. The macroeconomic outlook, however, suggests a potentially challenging environment for the broader market, with concerns about a softening labor market and a potential economic slowdown.
 The volatile start to September in the stock market, particularly in the tech sector, could also have implications for Garmin's performance. Additionally, the upcoming U.S. federal elections in November 2024 may introduce some uncertainty that could impact the company's outlook.
 On the positive side, the continued development and adoption of emerging technologies, such as AI, could present opportunities for Garmin and other consumer electronics firms. However, without more specific information about the company's recent performance and future prospects, it is not possible to provide a reliable investment score.
 Score: 50</t>
  </si>
  <si>
    <t>Investment Report:
 Without any recent news or financial data provided, it is difficult to provide a comprehensive assessment of Freeport-McMoRan's investment potential in the Copper industry for the next month. The macroeconomic outlook suggests a softening labor market and potential economic slowdown, which could impact the overall demand for copper and other industrial metals. However, the resilience of the manufacturing sector and the continued growth of emerging technologies, such as AI, may provide some support for the industry.
 Given the lack of specific information about Freeport-McMoRan's current performance and outlook, it would be prudent to exercise caution when evaluating the company's investment value. A more thorough analysis of the company's financials, market position, and management strategy would be necessary to provide a more accurate assessment.
 Score: 50</t>
  </si>
  <si>
    <t>Investment Report:
 Without any recent news or financial data provided, it is difficult to assess the potential investment value of Franklin Templeton in the Asset Management &amp; Custody Banks industry for the next month. The macroeconomic outlook suggests a softening labor market and potential economic slowdown, which could impact the overall performance of the financial services sector. However, the resilience of the manufacturing sector and the continued growth of emerging technologies, such as AI, may provide some opportunities for investors.
 Given the lack of specific information about Franklin Templeton's current situation, it is not possible to provide a well-informed assessment of the company's investment potential. A more comprehensive analysis would require access to the latest financial statements, market performance data, and industry-specific insights.
 Score: 50</t>
  </si>
  <si>
    <t>Investment Report:
 Without any recent news or financial data provided, it is difficult to assess the potential investment value of Fox Corporation (Class B) in the Broadcasting industry for the next month. The macroeconomic outlook suggests a softening labor market and potential economic slowdown, which could have a mixed impact on the broadcasting sector. However, the emergence of new technologies, such as AI, may present opportunities for companies in this industry.
 Given the lack of specific information about Fox Corporation's current performance and outlook, it is not possible to provide a well-informed investment score. The company's ability to navigate the evolving economic and technological landscape will be crucial in determining its future prospects.
 Score: 50</t>
  </si>
  <si>
    <t>Investment Report:
 Without any recent news or financial data provided, it is difficult to make a comprehensive assessment of the investment potential of Fox Corporation (Class A) in the Broadcasting industry for the next month. The macroeconomic outlook suggests a softening labor market and potential economic slowdown, which could have a mixed impact on the broadcasting sector.
 However, the lack of specific information about the company's performance, market position, and strategic initiatives makes it challenging to provide a reliable investment score. The Broadcasting industry is subject to various factors, such as advertising spending, consumer preferences, and regulatory changes, which can significantly influence a company's financial and operational performance.
 Score: 50</t>
  </si>
  <si>
    <t>Investment Report:
 Without any recent news or financial data provided, it is difficult to provide a comprehensive assessment of Fortive's investment potential in the Industrial Machinery &amp; Supplies &amp; Components industry for the next month. The macroeconomic outlook suggests a softening labor market and potential economic slowdown, which could impact the overall industry performance. However, the manufacturing sector appears to be showing some resilience, which may bode well for companies like Fortive.
 Given the lack of specific information about the company, it is prudent to take a cautious approach when evaluating its investment value. More detailed financial data and news updates would be necessary to make a more informed assessment.
 Score: 50</t>
  </si>
  <si>
    <t>Investment Report:
 Without any recent news or financial data provided, it is difficult to provide a comprehensive assessment of ExxonMobil's investment potential in the Integrated Oil &amp; Gas industry for the next month. The macroeconomic outlook suggests a softening labor market and potential economic slowdown, which could impact the overall performance of the energy sector. However, the manufacturing sector's resilience and the continued growth of emerging technologies, such as AI, may present opportunities for companies like ExxonMobil to adapt and potentially weather the economic challenges.
 Given the lack of specific information about ExxonMobil's current situation, it would be prudent to closely monitor the company's upcoming financial reports, industry trends, and any relevant news that could affect its performance in the near future before making an informed investment decision.
 Score: 50</t>
  </si>
  <si>
    <t>Investment Report:
 Without any recent news or financial data provided, it is difficult to provide a comprehensive assessment of the investment potential for Ford Motor Company in the Automobile Manufacturers industry for the next month.
 The macroeconomic outlook suggests a softening labor market and potential economic slowdown, which could have a negative impact on the automotive industry. However, the manufacturing sector has shown some resilience, and the emergence of new technologies, such as AI, may present opportunities for companies like Ford to adapt and innovate.
 Given the lack of specific information about Ford's current performance and outlook, it would be speculative to assign a definitive investment score. A more thorough analysis of the company's financials, competitive positioning, and management strategy would be necessary to provide a meaningful assessment.
 Score: 50</t>
  </si>
  <si>
    <t>Investment Report:
 Without any recent news or financial data provided, it is difficult to provide a comprehensive assessment of the investment potential of FMC Corporation in the Fertilizers &amp; Agricultural Chemicals industry for the next month.
 The macroeconomic outlook suggests a softening labor market and potential economic slowdown, which could impact the overall demand for agricultural chemicals and fertilizers. However, the resilience of the manufacturing sector and the continued growth of emerging technologies, such as AI, may present opportunities for companies in this industry.
 Given the lack of specific information about FMC Corporation's current performance and market position, it is not possible to confidently assign a score reflecting the potential investment value of the company. A more thorough analysis of the company's financials, competitive landscape, and strategic positioning would be necessary to provide a meaningful assessment.
 Score: 50</t>
  </si>
  <si>
    <t>Investment Report:
 Without any recent news or financial data provided, it is difficult to provide a comprehensive assessment of Fiserv's investment potential in the Transaction &amp; Payment Processing Services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in this space.
 Given the lack of specific information about Fiserv's current position, operations, and financial health, it would be speculative to assign a definitive investment score. A more thorough analysis of the company's recent performance, competitive positioning, and growth prospects would be necessary to provide a meaningful assessment.
 Score: 50</t>
  </si>
  <si>
    <t>Investment Report:
 Without any recent news or financial data provided, it is difficult to provide a comprehensive assessment of FirstEnergy's investment potential in the Electric Utilities industry for the next month. The macroeconomic outlook suggests a softening labor market and potential economic slowdown, which could impact the overall performance of the utilities sector. However, the manufacturing sector appears to be showing some resilience, which may benefit certain players in the Electric Utilities industry.
 Given the lack of specific information about FirstEnergy's current financial standing, operational efficiency, and competitive positioning, it is not possible to make a well-informed evaluation of the company's investment value. Additional data would be required to analyze the firm's fundamentals, growth prospects, and ability to navigate the evolving market conditions.
 Score: 50</t>
  </si>
  <si>
    <t>Investment Report:
 Without any recent news or financial data provided, it is difficult to make a comprehensive assessment of First Solar's investment potential in the Semiconductors industry for the next month. The macroeconomic outlook suggests a softening labor market and potential economic slowdown, which could have a mixed impact on the semiconductor sector. However, the continued growth of emerging technologies, such as AI, may create opportunities for companies like First Solar.
 Given the lack of specific information about the company's current performance and outlook, it would be prudent to exercise caution when evaluating First Solar's investment value. More detailed financial data and industry-specific news would be necessary to provide a more informed and reliable assessment.
 Score: 50</t>
  </si>
  <si>
    <t>Investment Report:
 Without any recent news or financial data provided, it is difficult to provide a comprehensive assessment of Fifth Third Bank's investment potential in the Diversified Banks industry for the next month. The macroeconomic outlook, as described, suggests a softening labor market and potential economic slowdown, which could impact the banking sector. However, the manufacturing sector's resilience and the emergence of new technologies, such as AI, may present opportunities for the industry.
 Given the lack of specific information about Fifth Third Bank's current performance and position within the market, it would be speculative to assign a definitive investment score. The bank's ability to navigate the evolving economic conditions and capitalize on industry trends would be crucial factors in determining its investment value.
 Score: 50</t>
  </si>
  <si>
    <t>Investment Report:
 Without any recent news or financial data provided, it is difficult to provide a comprehensive assessment of Fidelity National Information Services' investment potential in the Transaction &amp; Payment Processing Services industry for the next month.
 The macroeconomic outlook suggests a softening labor market and potential economic slowdown, which could impact the overall performance of the financial services sector. However, the resilience of the manufacturing sector and the continued growth of emerging technologies, such as AI, may present opportunities for companies in the payment processing industry.
 Given the lack of specific information about Fidelity National Information Services' current financial position, market share, and competitive landscape, it is not possible to make a well-informed evaluation of the company's investment value at this time.
 Score: 50</t>
  </si>
  <si>
    <t>Investment Report:
 Without any recent news or financial data provided, it is difficult to make a comprehensive assessment of FedEx's investment potential in the Air Freight &amp; Logistics industry for the next month. The macroeconomic outlook suggests a softening labor market and potential economic slowdown, which could impact the overall performance of the logistics sector. However, the manufacturing sector appears to be showing some resilience, which may provide a positive backdrop for FedEx's operations.
 Given the lack of specific information about the company's current financial standing, market position, and strategic initiatives, it is challenging to assign a meaningful investment score. A more thorough analysis of FedEx's recent performance, competitive landscape, and management's outlook would be necessary to provide a well-informed assessment of the company's investment value.
 Score: 50</t>
  </si>
  <si>
    <t>Investment Report:
 Without any recent news or financial data provided, it is difficult to make a comprehensive assessment of Fastenal's investment potential in the Trading Companies &amp; Distributors industry for the next month. The macroeconomic outlook suggests a softening labor market and potential economic slowdown, which could impact the overall industry performance. However, the resilience of the manufacturing sector and the emergence of new technologies, such as AI, may present opportunities for companies like Fastenal to navigate the challenging environment.
 Given the lack of specific information about Fastenal's current situation, it would be prudent to exercise caution when evaluating the company's investment value. A more thorough analysis of the company's financials, competitive positioning, and management strategy would be necessary to provide a more informed assessment.
 Score: 50</t>
  </si>
  <si>
    <t>Investment Report:
 Without any recent news or financial data provided, it is difficult to assess the potential investment value of Fair Isaac, a company in the Application Software industry. The macroeconomic outlook suggests a softening labor market and potential economic slowdown, which could impact the overall performance of the software industry. However, the emergence of new technologies, such as AI, may present opportunities for companies like Fair Isaac to innovate and potentially offset some of the broader economic challenges.
 Given the lack of specific information about Fair Isaac's current situation, it is not possible to provide a well-informed assessment of the company's investment potential for the next month. A more comprehensive analysis would require access to the latest financial statements, industry trends, and company-specific developments.
 Score: 50</t>
  </si>
  <si>
    <t>Investment Report:
 Without any recent news or financial data provided, it is difficult to assess the potential investment value of FactSet in the Financial Exchanges &amp; Data industry for the next month. The macroeconomic outlook suggests a softening labor market and potential economic slowdown, which could impact the overall financial industry. However, the resilience of the manufacturing sector and the growth of emerging technologies, such as AI, may present opportunities for companies in the data and analytics space.
 Given the lack of specific information about FactSet's current performance and outlook, it would be premature to provide a definitive investment score. The company's ability to navigate the evolving economic and technological landscape will be crucial in determining its investment potential in the near term.
 Score: 50</t>
  </si>
  <si>
    <t>Investment Report:
 Without any recent news or financial data provided, it is difficult to assess the potential investment value of F5, Inc. in the Communications Equipment industry for the next month. The macroeconomic outlook suggests a softening labor market and potential economic slowdown, which could impact the overall performance of the industry. However, the resilience of the manufacturing sector and the emergence of new technologies, such as AI, may present opportunities for companies in the Communications Equipment industry.
 Given the lack of specific information about F5, Inc., it is not possible to provide a well-informed assessment of the company's investment potential. A more comprehensive analysis would require access to the latest financial statements, industry trends, and company-specific news and developments.
 Score: 50</t>
  </si>
  <si>
    <t>Investment Report:
 Without any recent news or financial data provided, it is difficult to provide a comprehensive assessment of Fortinet's investment potential in the Systems Software industry for the next month. The macroeconomic outlook, as described, suggests a softening labor market and potential economic slowdown, which could have a mixed impact on the technology sector.
 However, the continued growth and adoption of emerging technologies, such as AI, may present opportunities for companies like Fortinet to capitalize on industry trends. Additionally, the volatility in the stock market could create potential entry points for investors, depending on the company's underlying fundamentals and competitive positioning.
 Given the lack of specific information about Fortinet's current performance and outlook, it would be prudent to gather more data before making an informed investment decision. A thorough analysis of the company's financial health, market share, product pipeline, and competitive landscape would be necessary to determine its investment value accurately.
 Score: 50</t>
  </si>
  <si>
    <t>Investment Report:
 Without any recent news or financial data provided, it is difficult to make a comprehensive assessment of the investment potential of Brown &amp; Brown, an insurance brokers firm. The overall economic outlook, however, suggests a mixed picture for the industry.
 The softening labor market and potential economic slowdown could negatively impact the demand for insurance services, as businesses and individuals may be more cautious with their spending. However, the resilience of the manufacturing sector and the continued growth of emerging technologies, such as AI, may provide some opportunities for insurance brokers to adapt and find new avenues for growth.
 Given the lack of specific information about Brown &amp; Brown's current performance and position within the industry, it is not possible to provide a reliable investment score. A more thorough analysis of the company's financials, market share, competitive positioning, and management strategy would be necessary to make a well-informed assessment.
 Score: N/A</t>
  </si>
  <si>
    <t>Investment Report:
 Without any recent news or financial data provided, it is difficult to provide a comprehensive assessment of the investment potential for Campbell Soup Company. The packaged foods and meats industry is generally considered a defensive sector, as consumer demand for these products tends to be relatively stable even during economic downturns. However, the overall economic outlook, including factors such as inflation, consumer spending patterns, and competitive dynamics, can still have a significant impact on the company's performance.
 Given the lack of specific information about Campbell Soup Company's current situation, it is not possible to assign a meaningful investment score. The company's future prospects would need to be evaluated based on a thorough analysis of its financial statements, market position, management strategy, and other relevant factors.
 Score: N/A</t>
  </si>
  <si>
    <t>Investment Report:
 Without any recent news or financial data provided, it is difficult to assess the current situation and investment potential of Capital One in the Consumer Finance industry. The macroeconomic outlook, as described, suggests a softening labor market and potential economic slowdown, which could have implications for the consumer finance sector. However, the impact on Capital One specifically cannot be determined without access to the company's latest financial performance, market position, and management's strategic initiatives.
 Given the lack of company-specific information, it would be premature to provide a comprehensive investment recommendation or score for Capital One at this time. A thorough analysis of the firm's fundamentals, competitive positioning, and ability to navigate the evolving economic conditions would be necessary to make a well-informed assessment.
 Score: N/A</t>
  </si>
  <si>
    <t>Investment Report:
 Without any recent news or financial data provided, it is difficult to provide a comprehensive assessment of the investment potential for Church &amp; Dwight in the Household Products industry. The macroeconomic outlook, however, suggests a potentially challenging environment for the broader market in the near term, with concerns about a softening labor market and a potential economic slowdown.
 The household products industry, in which Church &amp; Dwight operates, may be impacted by these broader economic trends, as consumer spending patterns could shift. Additionally, the competitive landscape and regulatory environment within the industry may also play a role in the company's performance.
 Given the lack of specific information about Church &amp; Dwight's current financial position, market share, and strategic initiatives, it is not possible to provide a reliable investment score for the company at this time. A more thorough analysis of the company's fundamentals and its ability to navigate the evolving market conditions would be necessary to make a well-informed investment recommendation.
 Score: N/A</t>
  </si>
  <si>
    <t>Investment Report:
 Without any recent news or financial data provided, it is difficult to provide a comprehensive assessment of the investment potential of Conagra Brands in the Packaged Foods &amp; Meats industry for the next month. 
 The overall economic outlook, as mentioned in the macroeconomic context, suggests a softening labor market and potential economic slowdown. This could have implications for consumer spending and demand for packaged food products. However, the resilience of the manufacturing sector, including the food industry, may help offset some of these challenges.
 Additionally, the continued development and adoption of emerging technologies, such as AI, could present opportunities for companies like Conagra Brands to improve operational efficiency and adapt to changing market conditions.
 Without access to the company's latest financial performance, market position, and strategic initiatives, it is not possible to provide a reliable investment score. A more thorough analysis of the company's fundamentals and the industry dynamics would be necessary to make an informed assessment.
 Score: N/A</t>
  </si>
  <si>
    <t>Investment Report:
 Without any recent news or financial data provided, it is difficult to provide a comprehensive assessment of the investment potential of Cooper Companies (The) in the Health Care Supplies industry for the next month. The macroeconomic outlook suggests a softening labor market and potential economic slowdown, which could impact the overall performance of the healthcare sector. However, the manufacturing sector appears to be showing some resilience, and the emergence of new technologies, such as AI, could create opportunities for companies in the healthcare supplies industry.
 Given the lack of specific information about Cooper Companies (The), it is not possible to assign a reliable score reflecting the potential investment value of the company. A more thorough analysis of the company's financial performance, market position, and growth prospects would be necessary to provide a meaningful investment recommendation.
 Score: N/A</t>
  </si>
  <si>
    <t>Investment Report:
 Without any recent news or financial data provided, it is difficult to provide a comprehensive assessment of the investment potential of CSX Corporation in the Rail Transportation industry for the next month. The macroeconomic outlook, however, suggests a softening labor market and potential economic slowdown, which could have a mixed impact on the rail transportation sector.
 The recent decline in job openings and the yield curve inversion indicate a potential economic slowdown, which may lead to reduced demand for rail transportation services. On the other hand, the resilience shown in the manufacturing sector could provide some support for the rail industry.
 Additionally, the ongoing political landscape, including the upcoming U.S. federal elections, could introduce some uncertainty that may affect the stock market's performance in the short term.
 Without access to the latest financial data and news specific to CSX Corporation, it is challenging to provide a reliable investment score. A more thorough analysis of the company's financial health, competitive positioning, and management strategy would be necessary to make a well-informed assessment.
 Score: N/A</t>
  </si>
  <si>
    <t>Investment Report:
 Without any recent news or financial data provided, it is difficult to provide a comprehensive assessment of Cummins' investment potential in the Construction Machinery &amp; Heavy Transportation Equipment industry for the next month. 
 The macroeconomic outlook suggests a softening labor market and potential economic slowdown, which could impact the overall demand for construction equipment and heavy transportation vehicles. However, the resilience of the manufacturing sector and the emergence of new technologies, such as AI, may present opportunities for companies in this industry.
 Given the lack of specific information about Cummins' current performance and market position, it is not possible to assign a reliable investment score. A more thorough analysis of the company's financials, competitive landscape, and strategic positioning would be necessary to provide a meaningful assessment of its investment value.
 Score: N/A</t>
  </si>
  <si>
    <t>Investment Report:
 Without any recent news or financial data provided, it is difficult to provide a comprehensive assessment of Diamondback Energy's investment potential in the Oil &amp; Gas Exploration &amp; Production industry for the next month. The macroeconomic outlook, however, suggests a potentially challenging environment for the sector.
 The softening labor market, with job openings declining and the yield curve inverting, points to a potential economic slowdown. This could impact the demand for oil and gas, which could in turn affect the performance of companies in the industry. Additionally, the ongoing geopolitical tensions and conflicts around the world may introduce further volatility and uncertainty in the energy markets.
 Given the lack of specific information about Diamondback Energy's current financial position, operational performance, and strategic initiatives, it is not possible to provide a reliable investment score for the company at this time. A more thorough analysis of the company's fundamentals and the industry's outlook would be necessary to make a well-informed assessment.
 Score: N/A</t>
  </si>
  <si>
    <t>Investment Report:
 Without any recent news or financial data provided, it is difficult to provide a comprehensive assessment of the investment potential of EQT Corporation in the Oil &amp; Gas Exploration &amp; Production industry for the next month.
 The macroeconomic outlook suggests a softening labor market and potential economic slowdown, which could impact the overall performance of the energy sector. However, the manufacturing sector appears to be showing some resilience, and the development of new technologies, such as AI, may create opportunities for investors.
 Given the lack of specific information about EQT Corporation, it is not possible to assign a reliable score reflecting the potential investment value of the company. A more thorough analysis would be required, taking into account the company's financial health, operational performance, industry trends, and competitive positioning, among other factors.
 Score: N/A</t>
  </si>
  <si>
    <t>Investment Report:
 Without any recent news or financial data provided, it is difficult to provide a comprehensive assessment of Equity Residential's investment potential in the Multi-Family Residential REITs industry for the next month. The macroeconomic outlook, however, suggests a potentially challenging environment for the real estate sector.
 The softening labor market, with declining job openings, and the yield curve inversion signal a potential economic slowdown. This could impact the demand for rental properties and the overall performance of multi-family REITs. Additionally, the political landscape, with upcoming U.S. federal elections, may introduce some uncertainty that could affect investor sentiment.
 Given the lack of specific information about Equity Residential's current financial position, operations, and market positioning, it is not possible to provide a reliable investment score. A more thorough analysis of the company's fundamentals, competitive advantages, and growth prospects would be necessary to make an informed assessment.
 Score: N/A</t>
  </si>
  <si>
    <t>Investment Report:
 Without any recent news or financial data provided, it is difficult to provide a comprehensive assessment of Federal Realty's investment potential in the Retail REITs industry for the next month. The macroeconomic outlook suggests a softening labor market and potential economic slowdown, which could impact the overall real estate sector, including Retail REITs. However, the manufacturing sector's resilience and the emergence of new technologies, such as AI, may present opportunities that could offset some of the broader challenges.
 Given the lack of specific information about Federal Realty's current performance and position within the industry, it would be prudent to refrain from assigning a definitive investment score at this time. A more thorough analysis of the company's financials, market positioning, and management strategy would be necessary to provide a meaningful and well-informed assessment.
 Score: N/A</t>
  </si>
  <si>
    <t>Investment Report:
 Without any recent news or financial data provided, it is difficult to make a comprehensive assessment of the investment potential of GE Aerospace. The aerospace and defense industry is heavily influenced by macroeconomic factors, geopolitical events, and industry-specific dynamics, all of which can significantly impact a company's performance.
 The ongoing global conflicts, including the Russian invasion of Ukraine, the Myanmar civil war, and the Islamist insurgency in the Sahel, could potentially create both challenges and opportunities for GE Aerospace. The company's exposure to the commercial aviation and defense sectors may be affected by these events, as well as by the potential for further disruptions in global supply chains and changes in government spending priorities.
 Additionally, the upcoming elections in several major countries, including the United States, could introduce policy changes that could impact the aerospace and defense industry. The economic outlook, characterized by a softening labor market and potential recession signals, may also influence the company's financial performance and investor sentiment.
 Without access to the latest financial data and industry-specific information, it is not possible to provide a reliable investment score for GE Aerospace at this time. A more comprehensive analysis would be required to assess the company's competitive position, growth prospects, and overall investment potential.
 Score: N/A</t>
  </si>
  <si>
    <t>Investment Report:
 Without any recent news or financial data provided, it is difficult to assess the potential investment value of Global Payments in the Transaction &amp; Payment Processing Services industry for the next month. The macroeconomic outlook suggests a softening labor market and potential economic slowdown, which could impact the overall performance of the industry. However, the resilience of the manufacturing sector and the emergence of new technologies like AI may present opportunities for companies in this space.
 Given the lack of specific information about Global Payments' current situation, it would be speculative to provide a score reflecting the potential investment value of the company. A more thorough analysis of the company's financials, competitive positioning, and growth prospects would be necessary to make a well-informed assessment.
 Score: N/A</t>
  </si>
  <si>
    <t>Investment Report:
 Without any recent news or financial data provided, it is difficult to provide a comprehensive assessment of Intel's investment potential in the Semiconductors industry for the next month. The macroeconomic outlook, however, suggests a mixed picture for the industry.
 The softening labor market and yield curve inversion signal a potential economic slowdown, which could negatively impact the semiconductor sector. However, the resilience of the manufacturing sector and the continued growth of emerging technologies, such as AI, may provide some support for semiconductor companies like Intel.
 Additionally, the political landscape remains relatively stable, with no major new events that would significantly impact the stock market. However, the upcoming U.S. federal elections in November 2024 could introduce some uncertainty, as investors may be cautious about the potential policy changes that could arise from a change in administration or Congress.
 Given the limited information available, it is challenging to assign a specific score reflecting Intel's potential investment value for the next month. A more comprehensive analysis would require access to the company's recent financial data, industry trends, and any relevant news or developments.
 Score: N/A</t>
  </si>
  <si>
    <t>Investment Report:
 Without any recent news or financial data provided, it is difficult to provide a comprehensive assessment of Kroger's investment potential in the Food Retail industry for the next month. The macroeconomic outlook, including factors such as consumer spending, inflation, and the overall economic conditions, would play a significant role in determining the company's performance and investment value.
 Given the lack of specific information about Kroger's current situation, it would be prudent to refrain from assigning a definitive score. The investment value can fluctuate based on various factors, and a more thorough analysis of the company's financials, competitive positioning, and industry trends would be necessary to make a well-informed assessment.
 Score: N/A</t>
  </si>
  <si>
    <t>Investment Report:
 Without any recent news or financial data provided, it is difficult to provide a comprehensive assessment of the investment potential for Lamb Weston in the Packaged Foods &amp; Meats industry. The company's performance and outlook would depend on various factors, including its market position, product portfolio, operational efficiency, and ability to navigate the current economic environment.
 The broader Packaged Foods &amp; Meats industry is likely to be influenced by the macroeconomic conditions, consumer spending patterns, and evolving consumer preferences. Factors such as inflation, changes in disposable income, and shifts in dietary habits could impact the industry's overall performance.
 Given the lack of specific information about Lamb Weston, it is not possible to assign a meaningful investment score for the company at this time. A more thorough analysis would be required, taking into account the latest financial data, industry trends, and the company's strategic positioning, to provide a well-informed assessment of its investment potential.
 Score: N/A</t>
  </si>
  <si>
    <t>Investment Report:
 Without any recent news or financial data provided, it is difficult to provide a comprehensive assessment of the investment potential for Molson Coors Beverage Company. The company's performance and outlook would depend on various factors, including the overall economic conditions, industry trends, and the company's specific strategies and execution.
 The macroeconomic outlook suggests a softening labor market and potential economic slowdown, which could impact consumer spending and the demand for alcoholic beverages. However, the manufacturing sector, including the brewing industry, has shown some resilience, which may provide some support for Molson Coors.
 Additionally, the emergence of new technologies, such as AI, could present opportunities for companies in the industry to improve efficiency and adapt to changing consumer preferences.
 Overall, without access to the latest financial information and news about Molson Coors, it is challenging to provide a meaningful investment score. A more comprehensive analysis would be required to assess the company's current position and future prospects.
 Score: N/A</t>
  </si>
  <si>
    <t>Investment Report:
 Without any recent news or financial data provided, it is difficult to make a comprehensive assessment of Monster Beverage's investment potential in the Soft Drinks &amp; Non-alcoholic Beverages industry for the next month. 
 The macroeconomic outlook suggests a softening labor market and potential economic slowdown, which could impact consumer spending and demand for non-alcoholic beverages. However, the manufacturing sector appears to be showing some resilience, and the AI sector continues to present opportunities.
 Given the lack of company-specific information, it is not possible to provide a well-informed investment score for Monster Beverage at this time. A more thorough analysis would require access to the latest financial statements, industry trends, and any relevant news or developments surrounding the company.
 Score: N/A</t>
  </si>
  <si>
    <t>Investment Report:
 Without any recent news or financial data provided, it is difficult to provide a comprehensive assessment of Newmont's investment potential in the gold industry for the next month. The macroeconomic outlook, however, suggests a mixed picture for the sector.
 The softening labor market and yield curve inversion signal a potential economic slowdown, which could negatively impact the demand for gold as a safe-haven asset. However, the resilience of the manufacturing sector and the continued growth of emerging technologies, such as AI, may provide some support for the gold industry.
 Additionally, the upcoming U.S. federal elections in November 2024 could introduce some uncertainty, as investors may be cautious about potential policy changes that could affect the gold industry.
 Overall, the lack of recent company-specific information makes it challenging to provide a reliable investment score for Newmont. A more thorough analysis would be necessary to assess the firm's current position and future prospects within the gold industry.
 Score: N/A</t>
  </si>
  <si>
    <t>Investment Report:
 Without any recent news or financial data provided, it is difficult to assess the current situation and investment potential of Northern Trust, a company in the Asset Management &amp; Custody Banks industry. 
 The macroeconomic outlook suggests a softening labor market and potential economic slowdown, which could impact the overall performance of the financial services sector. However, the manufacturing sector appears to be showing some resilience, and the emergence of new technologies, such as AI, may create opportunities for companies in the industry.
 Given the lack of specific information about Northern Trust, it is not possible to provide a comprehensive investment analysis or a reliable score reflecting the company's potential investment value for the next month. More detailed and up-to-date data would be required to make a well-informed assessment.
 Score: N/A</t>
  </si>
  <si>
    <t>Investment Report:
 Without any recent news or financial data provided, it is difficult to provide a comprehensive assessment of the investment potential of NVR, Inc. in the Homebuilding industry for the next month.
 The macroeconomic outlook suggests a softening labor market and potential economic slowdown, which could have implications for the housing and construction sectors. However, the manufacturing sector appears to be showing some resilience, which may benefit homebuilders.
 Additionally, the political landscape remains relatively stable, with no major new events that would significantly impact the stock market. The upcoming U.S. federal elections in November 2024 could introduce some uncertainty, as investors may be cautious about potential policy changes.
 Given the limited information available, it is challenging to assign a meaningful score reflecting the potential investment value of NVR, Inc. for the next month. A more thorough analysis would require access to the company's recent financial data, industry trends, and a deeper understanding of the factors affecting the Homebuilding sector.
 Score: N/A</t>
  </si>
  <si>
    <t>Investment Report:
 Without any recent news or financial data provided, it is difficult to make a comprehensive assessment of Oracle Corporation's investment potential in the Application Software industry for the next month. The macroeconomic outlook, as described, suggests a softening labor market and potential economic slowdown, which could have a mixed impact on the software industry.
 However, the continued growth and adoption of emerging technologies, such as AI, may present opportunities for companies like Oracle to capitalize on the evolving market landscape. Additionally, the political and regulatory environment, as well as the competitive dynamics within the Application Software industry, would need to be further evaluated to determine the company's positioning and prospects.
 Given the limited information available, a definitive investment score cannot be provided. A more thorough analysis of Oracle's recent performance, strategic initiatives, and market positioning would be necessary to make a well-informed assessment of the company's investment value in the near term.
 Score: N/A</t>
  </si>
  <si>
    <t>Investment Report:
 Without any recent news or financial data provided, it is difficult to provide a comprehensive assessment of the investment potential for Phillips 66, a company in the Oil &amp; Gas Refining &amp; Marketing industry.
 The macroeconomic outlook suggests a softening labor market and potential economic slowdown, which could impact the overall performance of the energy sector. However, the manufacturing sector appears to be showing some resilience, which may benefit companies like Phillips 66.
 Additionally, the development of new technologies, such as AI-powered processors, could disrupt the traditional energy industry and create opportunities for companies that are able to adapt and innovate.
 Given the limited information available, it is challenging to assign a definitive investment score for Phillips 66 at this time. A more thorough analysis of the company's financial performance, market position, and strategic initiatives would be necessary to provide a meaningful investment recommendation.
 Score: N/A</t>
  </si>
  <si>
    <t>Investment Report:
 Without any recent news or financial data provided, it is difficult to provide a comprehensive assessment of Regeneron's investment potential in the Biotechnology industry for the next month. The macroeconomic outlook, including factors such as the softening labor market, yield curve inversion, and the potential for a Federal Reserve interest rate cut, could have a broader impact on the industry and the overall stock market performance.
 However, the continued advancements in emerging technologies, particularly in the AI sector, may present opportunities for companies like Regeneron to leverage these innovations and potentially drive growth. Additionally, the resilience of the manufacturing sector could be a positive sign for the Biotechnology industry.
 Given the limited information available, a definitive investment score cannot be provided. A more thorough analysis would require access to the company's latest financial statements, industry trends, and any significant news or developments that could impact Regeneron's performance.
 Score: N/A</t>
  </si>
  <si>
    <t>Investment Report:
 Without any recent news or financial data provided, it is difficult to provide a comprehensive assessment of the investment potential of T-Mobile US in the Wireless Telecommunication Services industry for the next month. The macroeconomic outlook, as described, suggests a softening labor market and potential economic slowdown, which could have implications for the broader telecommunications sector.
 However, the resilience of the manufacturing sector and the continued growth of emerging technologies, such as AI, may present opportunities for companies like T-Mobile US to adapt and potentially weather the economic challenges. Additionally, the political landscape, while relatively stable, could introduce some uncertainty depending on the outcome of the upcoming U.S. federal elections.
 Given the lack of specific information about T-Mobile US's recent performance and outlook, it is not possible to assign a meaningful investment score at this time. A more thorough analysis of the company's financials, competitive positioning, and management strategy would be necessary to provide a reliable assessment of its investment potential.
 Score: N/A</t>
  </si>
  <si>
    <t>Investment Report:
 Without any recent news or financial data provided, it is difficult to provide a comprehensive assessment of the investment potential of U.S. Bank in the Diversified Banks industry for the next month. The macroeconomic outlook suggests a softening labor market and potential economic slowdown, which could impact the banking sector. However, the manufacturing sector appears to be showing resilience, and the emergence of new technologies like AI may present opportunities.
 Given the lack of specific information about U.S. Bank's current performance and position, it is not possible to assign a meaningful score reflecting the potential investment value of the company. A more thorough analysis would require access to the latest financial statements, industry trends, and company-specific developments.
 Score: N/A</t>
  </si>
  <si>
    <t>Investment Report:
 Without any recent news or financial data provided, it is difficult to make a comprehensive assessment of Uber's investment potential in the Passenger Ground Transportation industry for the next month. The macroeconomic outlook, however, suggests a softening labor market and potential economic slowdown, which could have a mixed impact on the demand for ride-hailing services.
 The ongoing geopolitical tensions and political instability in various regions may also affect global supply chains and consumer confidence, potentially impacting Uber's operations and financial performance. Additionally, the competitive landscape in the ride-hailing industry remains challenging, with Uber facing competition from other players.
 Given the lack of specific information about Uber's current financial standing, market position, and strategic initiatives, it is not possible to provide a reliable investment score. A more thorough analysis of the company's recent performance, future plans, and the industry's dynamics would be necessary to make a well-informed investment recommendation.
 Score: N/A</t>
  </si>
  <si>
    <t>Investment Report:
 Without any recent news or financial data provided, it is difficult to provide a comprehensive assessment of Ventas' investment potential in the Health Care REITs industry for the next month. The macroeconomic outlook suggests a softening labor market and potential economic slowdown, which could impact the real estate sector. However, the manufacturing sector appears to be showing resilience, and the AI sector continues to present opportunities.
 Given the lack of company-specific information, a definitive score cannot be assigned. Investors would need to closely monitor Ventas' latest financial reports, industry trends, and the broader economic conditions to make an informed investment decision.
 Score: N/A</t>
  </si>
  <si>
    <t>Investment Report:
 Without any recent news or financial data provided, it is difficult to provide a comprehensive assessment of the investment potential of W. R. Berkley Corporation in the Property &amp; Casualty Insurance industry for the next month. 
 The overall economic outlook, as described in the macroeconomic context, suggests a softening labor market and potential economic slowdown, which could impact the insurance industry. However, the manufacturing sector appears to be showing some resilience, and the emergence of new technologies, such as AI, may create opportunities for companies in the industry.
 Without access to the company's latest financial performance, market position, and strategic initiatives, it is not possible to determine the specific investment value of W. R. Berkley Corporation at this time. A more thorough analysis of the company's fundamentals and its ability to navigate the current economic environment would be necessary to provide a meaningful investment score.
 Score: N/A</t>
  </si>
  <si>
    <t>Investment Report:
 Without any recent news or financial data provided, it is difficult to make a comprehensive assessment of the investment potential of W.W. Grainger in the Industrial Machinery &amp; Supplies &amp; Components industry for the next month. 
 The macroeconomic outlook suggests a softening labor market and potential economic slowdown, which could impact the overall performance of industrial companies. However, the resilience of the manufacturing sector and the emergence of new technologies, such as AI, may present opportunities for certain firms in this industry.
 Given the lack of specific information about W.W. Grainger's current financial position, market share, competitive advantages, and growth prospects, it is not possible to provide a reliable investment score at this time. A more thorough analysis of the company's fundamentals and its ability to navigate the evolving economic conditions would be necessary to make a well-informed investment recommendation.
 Score: N/A</t>
  </si>
  <si>
    <t>Investment Report:
 Without any recent news or financial data provided, it is difficult to make a comprehensive assessment of the investment potential of Walt Disney Company (The) in the Movies &amp; Entertainment industry for the next month.
 The macroeconomic outlook suggests a softening labor market and potential economic slowdown, which could have a mixed impact on the entertainment industry. While the manufacturing sector appears resilient, the tech sector, including companies like Nvidia, has experienced recent declines.
 Additionally, the upcoming U.S. federal elections in November 2024 could introduce some uncertainty, as investors may be cautious about potential policy changes.
 However, the continued growth and adoption of emerging technologies, such as AI, could present opportunities for companies in the entertainment industry, including Walt Disney Company (The).
 Given the limited information available, a definitive investment score cannot be provided. A more thorough analysis would be necessary to assess the company's specific financial performance, competitive positioning, and ability to navigate the current economic and industry landscape.
 Score: N/A</t>
  </si>
  <si>
    <t>Investment Report:
 Without any recent news or financial data provided, it is difficult to provide a comprehensive assessment of Welltower's investment potential in the Health Care REITs industry for the next month. The macroeconomic outlook suggests a softening labor market and potential economic slowdown, which could impact the real estate sector. However, the manufacturing sector appears to be showing resilience, and the emergence of new technologies like AI may present opportunities.
 Given the lack of company-specific information, a definitive score cannot be assigned. Investors would need to closely monitor Welltower's latest financial reports, management commentary, and industry trends to make an informed investment decision.
 Score: N/A</t>
  </si>
  <si>
    <t>Investment Report:
 Without any recent news or financial data provided, it is difficult to provide a comprehensive assessment of the investment potential of Williams Companies in the Oil &amp; Gas Storage &amp; Transportation industry for the next month.
 Economic Outlook:
 The macroeconomic environment remains uncertain, with signs of a potential economic slowdown, such as the softening labor market and the yield curve inversion. However, the manufacturing sector has shown some resilience, which could have implications for the oil and gas industry.
 Sector Outlook:
 The oil and gas storage and transportation industry is heavily influenced by global energy demand, geopolitical tensions, and commodity price fluctuations. Without access to the latest financial and operational data for Williams Companies, it is challenging to evaluate the firm's positioning and performance within the industry.
 Overall, the lack of recent information makes it difficult to assign a meaningful investment score for Williams Companies. A more thorough analysis would be required to provide a reliable assessment of the company's investment potential.
 Score: N/A</t>
  </si>
  <si>
    <t>Investment Report:
 Without any recent news or financial data provided, it is difficult to provide a comprehensive assessment of Wynn Resorts' investment potential in the Casinos &amp; Gaming industry for the next month. The macroeconomic outlook suggests a softening labor market and potential economic slowdown, which could impact the overall performance of the gaming and hospitality sector.
 However, the manufacturing sector appears to be showing some resilience, and the emergence of new technologies, such as AI, may create opportunities for companies in the industry to adapt and potentially offset the broader economic challenges.
 Given the lack of specific information about Wynn Resorts' current financial position, operations, and competitive landscape, it would be premature to assign a definitive investment score. A more thorough analysis of the company's fundamentals, industry trends, and management strategy would be necessary to provide a meaningful assessment of its investment value.
 Score: N/A</t>
  </si>
  <si>
    <t>Recent News:
 The independent power and renewable electricity producers sector has seen a mix of developments in recent months. The ongoing Russia-Ukraine conflict and geopolitical tensions have led to concerns about energy security and supply disruptions, which could benefit the renewable energy sector as countries seek to diversify their energy sources. However, the sector has also faced challenges, such as the delay in the inauguration of Indonesia's new capital, Nusantara, which may have a minor impact on the sector's growth prospects in the region.
 Economic Outlook:
 The economic outlook for the independent power and renewable electricity producers sector appears relatively positive. The global shift towards renewable energy sources, driven by concerns over climate change and the need for sustainable energy solutions, is expected to continue driving demand for the sector's products and services. Additionally, the recent decline in job openings and the yield curve inversion, which suggest a potential economic slowdown, could lead to increased government and consumer focus on cost-effective and reliable energy sources, further benefiting the renewable energy sector.
 Political Challenges:
 The political landscape remains relatively stable, with no major new events that would significantly impact the independent power and renewable electricity producers sector. However, the upcoming U.S. federal elections in November 2024 could introduce some uncertainty, as investors may be cautious about the potential policy changes that could arise from a change in administration or Congress. The sector may also face challenges in navigating the regulatory environment and securing necessary approvals for new projects.
 Recent Technology Developments:
 The independent power and renewable electricity producers sector has been at the forefront of technological advancements, particularly in the areas of solar, wind, and energy storage. The development of more efficient and cost-effective renewable energy technologies, as well as the growing adoption of AI-powered solutions in the industry, could provide opportunities for the sector to enhance its competitiveness and drive further growth.</t>
  </si>
  <si>
    <t>Recent News:
 The recent news highlights a mixed picture for the electrical equipment sector. On one hand, the bankruptcy filings by companies like Audacy and Fisker Inc. suggest some challenges in the industry. However, the continued growth of Nvidia, which has become the third-largest publicly-traded company, indicates that there are still opportunities for innovation and success in the sector.
 Economic Outlook:
 The overall economic outlook for the electrical equipment sector is cautiously optimistic. The softening labor market and the yield curve inversion suggest a potential economic slowdown, which could impact demand for electrical equipment. However, the resilience of the manufacturing sector, as evidenced by the rise in factory orders, provides a counterbalance. Additionally, the development of new AI-powered processors, such as Qualcomm's latest offering, could create new opportunities for growth in the sector.
 Political Challenges:
 The upcoming U.S. federal elections in November 2024 could introduce some uncertainty for the electrical equipment sector, as investors may be cautious about the potential policy changes that could arise from a change in administration or Congress. However, the recent prisoner exchange between the U.S. and Russia, as well as the appointment of Muhammad Yunus as Chief Adviser in Bangladesh, suggest that there may be some positive developments in the geopolitical landscape that could benefit the sector.
 Recent Technology Developments:
 The electrical equipment sector is poised to benefit from the continued advancements in AI and related technologies. The growing adoption of AI by smaller businesses, as evidenced by the SMBTech 50 list, suggests that there is a strong demand for innovative electrical equipment solutions. Additionally, the development of new AI-powered processors could disrupt the traditional semiconductor industry and create new opportunities for companies in the electrical equipment sector.</t>
  </si>
  <si>
    <t>Recent News:
 The World Health Organization (WHO) has declared mpox a public health emergency of international concern for the second time in two years, following the spread of the virus in African countries. This development could have a limited impact on the biotechnology sector, as the public health response is already in place.
 Economic Outlook:
 The overall economic landscape remains uncertain, with signs of a softening labor market and a potential economic slowdown. However, the biotechnology sector has historically shown resilience during economic downturns, as the demand for healthcare and medical solutions tends to remain relatively stable.
 Political Challenges:
 The upcoming U.S. federal elections in November 2024 could introduce some uncertainty for the biotechnology sector, as investors may be cautious about the potential policy changes that could arise from a change in administration or Congress. However, the sector has generally been less affected by political factors compared to other industries.
 Recent Technology Developments:
 The biotechnology sector continues to be at the forefront of innovation, with advancements in areas such as gene editing, personalized medicine, and the development of new treatments for various diseases. These technological developments could provide opportunities for growth and investment in the sector.</t>
  </si>
  <si>
    <t>Recent News:
 The health care sector has faced a mix of positive and negative developments in recent weeks. On the positive side, the World Health Organization's declaration of mpox as a public health emergency of international concern may drive increased investment in healthcare infrastructure and services to address the outbreak. However, the tragic Voepass Linhas Aéreas Flight 2323 crash in Brazil, which resulted in the deaths of all 62 people on board, has raised concerns about air travel safety and could have a minor, temporary negative impact on the sector.
 Economic Outlook:
 The overall economic outlook for the health care providers and services sector appears relatively stable, despite the broader economic slowdown. The manufacturing sector, which includes medical equipment and supplies, has shown resilience, with factory orders rising 5% in July. This suggests that the healthcare industry may be better positioned to weather the economic headwinds compared to other sectors.
 Political Challenges:
 The upcoming U.S. federal elections in November 2024 could introduce some uncertainty for the healthcare sector, as investors may be cautious about potential policy changes that could arise from a change in administration or Congress. However, the sector has historically demonstrated resilience in the face of political challenges.
 Recent Technology Developments:
 The healthcare sector continues to benefit from the rapid advancements in emerging technologies, particularly in the field of artificial intelligence (AI). The growing adoption of AI-powered solutions by small and medium-sized businesses, as evidenced by the SMBTech 50 list, suggests that the healthcare industry may be well-positioned to leverage these technologies to improve efficiency, patient outcomes, and overall service delivery.</t>
  </si>
  <si>
    <t>Recent News:
 The life sciences tools and services sector has faced some challenges in recent months, with the tragic Voepass Linhas Aéreas Flight 2323 crash in Brazil raising concerns about air travel safety. Additionally, the World Health Organization's declaration of mpox as a public health emergency of international concern may have a limited impact on the sector, as the public health response is already in place.
 Economic Outlook:
 The overall economic outlook for the life sciences tools and services sector appears relatively stable, despite the softening labor market and potential economic slowdown. The manufacturing sector, which includes many life sciences companies, has shown some resilience, with factory orders rising 5% in July. This suggests that the life sciences industry may be weathering the economic headwinds better than other sectors.
 Political Challenges:
 The upcoming U.S. federal elections in November 2024 could introduce some uncertainty for the life sciences sector, as investors may be cautious about the potential policy changes that could arise from a change in administration or Congress. However, the political landscape remains relatively stable, with no major new events that would significantly impact the sector.
 Recent Technology Developments:
 The life sciences tools and services sector continues to benefit from the rapid advancements in emerging technologies, particularly in the field of artificial intelligence (AI). The growing adoption of AI technologies by smaller businesses, as evidenced by the SMBTech 50 list, could have positive implications for the sector. Additionally, the development of new AI-powered processors, such as Qualcomm's latest offering, could disrupt the traditional semiconductor industry and create opportunities for life sciences companies.</t>
  </si>
  <si>
    <t>Recent News:
 The pharmaceutical sector has faced some challenges in recent months, with the World Health Organization (WHO) declaring mpox a public health emergency of international concern for the second time in two years. This development may have a limited impact on the sector, as the public health response is already in place.
 Economic Outlook:
 The overall economic outlook for the pharmaceutical sector appears relatively stable, as the industry is less sensitive to broader economic fluctuations compared to other sectors. The softening labor market and potential economic slowdown may have a minor impact on the sector, as demand for essential medical products and services is likely to remain relatively consistent.
 Political Challenges:
 The political landscape remains relatively stable, with no major new events that would significantly impact the pharmaceutical sector. However, the upcoming U.S. federal elections in November 2024 could introduce some uncertainty, as investors may be cautious about the potential policy changes that could arise from a change in administration or Congress.
 Recent Technology Developments:
 The pharmaceutical sector continues to benefit from advancements in emerging technologies, such as the development of new AI-powered drug discovery and development processes. These technological innovations could lead to more efficient and effective drug development, potentially boosting the sector's long-term growth prospects.</t>
  </si>
  <si>
    <t>Recent News:
 The media sector has faced a mixed bag of news in recent months. On the positive side, the 2024 Summer Paralympics held in Paris provided a boost to viewership and advertising revenue for media companies covering the event. However, the tragic Voepass Linhas Aéreas Flight 2323 crash in Brazil and the ongoing geopolitical tensions, such as the Ukrainian cross-border offensive in Russia, have the potential to negatively impact media consumption and advertising spending.
 Economic Outlook:
 The overall economic outlook for the media sector is cautious. The softening labor market and the yield curve inversion suggest a potential economic slowdown, which could lead to reduced advertising budgets and lower consumer spending on media products and services. However, the resilience of the manufacturing sector and the continued growth of the AI industry may provide some offsetting opportunities for media companies to explore new revenue streams and technologies.
 Political Challenges:
 The upcoming U.S. federal elections in November 2024 could introduce some uncertainty for the media sector, as investors may be cautious about the potential policy changes that could arise from a change in administration or Congress. Additionally, the political turmoil in Thailand and the resignation of the Bangladesh Prime Minister may have a minor negative impact on the sector's performance in those regions.
 Recent Technology Developments:
 The media sector has been actively embracing emerging technologies, particularly in the AI space. The growing adoption of AI-powered technologies by smaller businesses, as highlighted by the SMBTech 50 list, suggests that media companies may be able to leverage these advancements to enhance their content creation, distribution, and monetization strategies.</t>
  </si>
  <si>
    <t>Recent News:
 The hospitality industry has faced a mixed bag of news in recent months. On the positive side, the 2024 Summer Paralympics in Paris have provided a boost to tourism and hotel occupancy in the region. However, the ongoing geopolitical tensions, including the Israel-Hamas war and the cross-border offensive in Ukraine, have raised concerns about potential disruptions to global travel and leisure activities.
 Economic Outlook:
 The overall economic outlook for the hotels, restaurants, and leisure sector is cautiously optimistic. While the softening labor market and the yield curve inversion suggest a potential economic slowdown, the manufacturing sector's resilience and the continued adoption of AI technologies offer some promising signs. The industry may benefit from the upcoming U.S. federal elections, as a change in administration or Congress could lead to policy changes that support the sector.
 Political Challenges:
 The political landscape remains relatively stable, with no major new events that would significantly impact the hotels, restaurants, and leisure sector. However, the upcoming U.S. federal elections in November 2024 could introduce some uncertainty, as investors may be cautious about the potential policy changes that could arise from a change in administration or Congress.
 Recent Technology Developments:
 The AI sector's continued growth and the development of new AI-powered processors, such as Qualcomm's latest offering, could have a positive impact on the hotels, restaurants, and leisure sector. The adoption of AI technologies by smaller businesses in the SMBTech 50 list suggests that the industry may be able to leverage these advancements to improve operational efficiency and enhance the customer experience.</t>
  </si>
  <si>
    <t>Recent News:
 The commercial services and supplies sector has faced a mixed bag of news in recent months. On the positive side, the manufacturing industry appears to be showing resilience, with factory orders rising 5% in July after two consecutive monthly declines. This suggests that the commercial services and supplies companies catering to the manufacturing sector may be weathering the economic headwinds better than other industries.
 Economic Outlook:
 However, the broader economic landscape paints a more cautious picture. The recent decline in job openings, coupled with the yield curve inversion, indicates a potential economic slowdown on the horizon. This could lead to reduced demand for commercial services and supplies, as businesses may become more cautious in their spending.
 Political Challenges:
 The upcoming U.S. federal elections in November 2024 could introduce some uncertainty for the sector, as investors may be cautious about the potential policy changes that could arise from a change in administration or Congress.
 Recent Technology Developments:
 The sector has seen some promising developments in the realm of emerging technologies, particularly in the AI space. The growing adoption of AI technologies by smaller businesses, as evidenced by the SMBTech 50 list, could create new opportunities for commercial services and supplies companies that can effectively leverage these technologies to enhance their offerings and improve efficiency.</t>
  </si>
  <si>
    <t>Recent News:
 The water utilities sector has faced some challenges in recent months, with the Voepass Linhas Aéreas Flight 2323 crash in Brazil raising concerns about the safety and reliability of water infrastructure. Additionally, the ongoing political turmoil in Thailand and Bangladesh may have a minor negative impact on the sector due to potential economic disruptions in the region.
 Economic Outlook:
 Despite these headwinds, the overall economic outlook for the water utilities sector remains relatively stable. The manufacturing sector's resilience, as evidenced by the rise in factory orders, suggests that the demand for water services may continue to be strong. Furthermore, the development of new AI-powered technologies could help water utilities improve their efficiency and service delivery, potentially offsetting some of the broader economic challenges.
 Political Challenges:
 The upcoming U.S. federal elections in November 2024 could introduce some uncertainty for the water utilities sector, as investors may be cautious about the potential policy changes that could arise from a change in administration or Congress. However, the sector is generally less sensitive to political developments compared to other industries.
 Recent Technology Developments:
 The water utilities sector has been exploring the use of AI-powered technologies to enhance its operations. The adoption of AI by smaller businesses, as highlighted in the SMBTech 50 list, suggests that water utilities may also be leveraging these technologies to improve their service delivery and operational efficiency.</t>
  </si>
  <si>
    <t>Recent News:
 The recent macroeconomic data points to a softening labor market, with job openings falling to the lowest level since January 2021. This decline in job openings suggests that it is becoming more challenging for workers to find employment, indicating a potential slowdown in the economy. However, the manufacturing sector appears to be showing some resilience, with factory orders rising 5% in July after two consecutive monthly declines. This suggests that the manufacturing industry, which includes the machinery sector, may be weathering the economic headwinds better than other sectors.
 Economic Outlook:
 The overall economic outlook for the machinery sector is cautiously optimistic. The softening labor market and potential economic slowdown could pose challenges for the sector, as demand for machinery may decline. However, the resilience shown in the manufacturing industry, as evidenced by the increase in factory orders, provides a positive signal for the machinery sector. Additionally, the development of new technologies, such as AI-powered processors, could disrupt the traditional machinery industry and create new opportunities for growth.
 Political Challenges:
 The upcoming U.S. federal elections in November 2024 could introduce some uncertainty for the machinery sector, as investors may be cautious about the potential policy changes that could arise from a change in administration or Congress. However, the political landscape remains relatively stable, and no major new events have been reported that would significantly impact the machinery sector.
 Recent Technology Developments:
 The AI sector continues to be a focus for investors, with AI companies representing the greatest number of entrants serving small and medium-sized businesses in the SMBTech 50 list. This suggests that the adoption of AI technologies by smaller businesses is accelerating, which could have positive implications for the machinery sector as it explores ways to integrate AI into its products and services.</t>
  </si>
  <si>
    <t>Recent News:
 The professional services sector has faced some challenges in the recent economic landscape. The softening labor market, with job openings declining, suggests that it may be becoming more difficult for companies to find qualified professionals to meet their needs. Additionally, the yield curve inversion, a classic recession warning signal, could indicate potential headwinds for the sector.
 Economic Outlook:
 The overall economic slowdown could have a negative impact on the demand for professional services, as businesses may be more cautious about investing in these services during times of uncertainty. However, the resilience of the manufacturing sector could provide some support, as companies in this industry may continue to seek out professional services to help navigate the changing economic conditions.
 Political Challenges:
 The upcoming U.S. federal elections in November 2024 could introduce some uncertainty for the professional services sector, as investors may be cautious about the potential policy changes that could arise from a change in administration or Congress. Additionally, the ongoing geopolitical tensions, such as the Russia-Ukraine conflict and the Israel-Hamas war, could have a broader impact on the global economy and, by extension, the demand for professional services.
 Recent Technology Developments:
 The growing adoption of AI technologies by smaller businesses could have positive implications for the professional services sector, as companies may seek out AI-powered solutions to enhance their operations and decision-making processes. The development of new AI-powered processors, such as Qualcomm's latest offering, could also disrupt the traditional professional services industry and create new opportunities for firms that are able to leverage these technologies effectively.</t>
  </si>
  <si>
    <t>Recent News:
 The recent news highlights a series of safety issues and crashes involving Boeing passenger aircraft, which may have a minor, temporary negative impact on the overall US stock market due to concerns about air travel safety. Additionally, the bankruptcy filings by companies like Audacy, Steward Health Care, Jo-Ann Stores, Red Lobster, and Fisker Inc. suggest some economic challenges in various sectors.
 Economic Outlook:
 The macroeconomic data points to a softening labor market, with job openings falling to the lowest level since January 2021. This decline in job openings suggests a potential slowdown in the economy. However, the manufacturing sector appears to be showing some resilience, with factory orders rising 5% in July after two consecutive monthly declines. This suggests that the manufacturing industry, which includes the automobile components sector, may be weathering the economic headwinds better than other sectors.
 Political Challenges:
 The upcoming U.S. federal elections in November 2024 could introduce some uncertainty, as investors may be cautious about the potential policy changes that could arise from a change in administration or Congress. Additionally, the political instability in Bangladesh and Thailand may have a minor negative impact on the US stock market due to potential economic disruptions in the region.
 Recent Technology Developments:
 The development of new AI-powered processors, such as Qualcomm's latest offering, could disrupt the traditional semiconductor industry and create opportunities for investors. This could have a positive impact on the automobile components sector, as the industry continues to integrate advanced technologies into vehicle design and manufacturing.</t>
  </si>
  <si>
    <t>Recent News:
 The textiles, apparel, and luxury goods sector has faced a mixed bag of news in recent months. On the positive side, the global economic recovery has led to increased consumer demand for high-end fashion and luxury items. However, the sector has also been impacted by ongoing supply chain disruptions, rising input costs, and concerns about a potential economic slowdown.
 Economic Outlook:
 The overall economic outlook for the textiles, apparel, and luxury goods sector is cautiously optimistic. While the softening labor market and yield curve inversion suggest a potential economic slowdown, the manufacturing sector has shown some resilience, which could benefit the textile and apparel industries. Additionally, the continued growth in the AI sector and the development of new AI-powered processors could create opportunities for innovation and efficiency improvements within the industry.
 Political Challenges:
 The upcoming U.S. federal elections in November 2024 could introduce some uncertainty for the sector, as investors may be cautious about the potential policy changes that could arise from a change in administration or Congress. Additionally, the ongoing geopolitical tensions, such as the Russia-Ukraine conflict and the Israel-Hamas war, could have a negative impact on global trade and consumer sentiment.
 Recent Technology Developments:
 The textiles, apparel, and luxury goods sector has been embracing new technologies to improve efficiency, sustainability, and customer experience. The rise of AI-powered solutions, such as predictive analytics and personalized recommendations, has the potential to enhance supply chain management, inventory optimization, and customer engagement. Additionally, the development of new materials and manufacturing techniques, such as 3D printing and smart fabrics, could lead to innovative product offerings and increased competitiveness within the industry.</t>
  </si>
  <si>
    <t>Recent News:
 The wireless telecommunication services sector has faced some challenges in recent months. The Voepass Linhas Aéreas Flight 2323 crash in Brazil, which involved an ATR-72 aircraft, has raised concerns about air travel safety and could have a minor, temporary negative impact on the sector. Additionally, the ongoing geopolitical tensions, such as the Ukrainian cross-border offensive in Russia and the Israel-Lebanon conflict, may also create some uncertainty in the market.
 Economic Outlook:
 The overall economic outlook for the wireless telecommunication services sector appears to be mixed. While the softening labor market and the yield curve inversion suggest a potential economic slowdown, the resilience of the manufacturing sector could provide some support for the industry. The adoption of AI technologies by smaller businesses, as evidenced by the SMBTech 50 list, could also present opportunities for growth in the sector.
 Political Challenges:
 The upcoming U.S. federal elections in November 2024 could introduce some uncertainty for the wireless telecommunication services sector, as investors may be cautious about potential policy changes that could arise from a change in administration or Congress. However, the recent prisoner exchange between the U.S. and Russia may have a positive impact on the overall stock market by reducing geopolitical tensions between the two countries.
 Recent Technology Developments:
 The development of new AI-powered processors, such as Qualcomm's latest offering, could disrupt the traditional semiconductor industry and create opportunities for investors in the wireless telecommunication services sector. Additionally, the continued growth of the AI sector, with AI companies representing the greatest number of entrants serving small and medium-sized businesses, could have positive implications for the industry.</t>
  </si>
  <si>
    <t>Recent News:
 The communications equipment sector has faced some challenges in recent months, with the news of Voepass Linhas Aéreas Flight 2323 crash in Brazil raising concerns about air travel safety. Additionally, the ongoing geopolitical tensions, such as the Ukrainian cross-border offensive in Russia and the Israel-Lebanon conflict, have the potential to disrupt global supply chains and impact the communications equipment industry.
 Economic Outlook:
 The overall economic outlook for the communications equipment sector is mixed. While the manufacturing sector has shown some resilience, the softening labor market and the yield curve inversion suggest a potential economic slowdown. This could lead to reduced demand for communications equipment, particularly in the consumer and enterprise segments.
 Political Challenges:
 The upcoming U.S. federal elections in November 2024 could introduce some uncertainty for the communications equipment sector, as investors may be cautious about the potential policy changes that could arise from a change in administration or Congress. Additionally, the ongoing political instability in regions like Bangladesh and Thailand may have a minor negative impact on the sector.
 Recent Technology Developments:
 The communications equipment sector has been impacted by the rapid advancements in AI technology. The development of new AI-powered processors, such as Qualcomm's latest offering, could disrupt the traditional semiconductor industry and create opportunities for companies in the communications equipment space. Additionally, the increasing adoption of AI technologies by smaller businesses could drive demand for communications equipment.</t>
  </si>
  <si>
    <t>Recent News:
 The technology hardware, storage, and peripherals sector has faced some challenges in recent weeks. The recent crash of Voepass Linhas Aéreas Flight 2323 in Brazil has raised concerns about air travel safety, which could have a minor, temporary negative impact on the sector. Additionally, the ongoing series of safety issues and crashes involving Boeing passenger aircraft may also weigh on investor sentiment.
 Economic Outlook:
 The overall economic outlook for the sector is mixed. The softening labor market and the yield curve inversion suggest a potential economic slowdown, which could negatively impact demand for technology hardware and peripherals. However, the resilience of the manufacturing sector, as evidenced by the rise in factory orders, provides some optimism.
 Political Challenges:
 The upcoming U.S. federal elections in November 2024 could introduce some uncertainty for the sector, as investors may be cautious about the potential policy changes that could arise from a change in administration or Congress.
 Recent Technology Developments:
 The sector continues to see promising developments in the AI space, with AI companies representing the greatest number of entrants serving small and medium-sized businesses in the SMBTech 50 list. This suggests that the adoption of AI technologies by smaller businesses is accelerating, which could have positive implications for the sector. Additionally, the development of new AI-powered processors, such as Qualcomm's latest offering, could disrupt the traditional semiconductor industry and create opportunities for investors.</t>
  </si>
  <si>
    <t>Recent News:
 The IT services sector has faced some challenges in recent months, with the broader market decline impacting technology stocks. The recent crash of Voepass Linhas Aéreas Flight 2323 in Brazil has raised concerns about air travel safety, which could have a minor, temporary negative impact on the IT services industry. Additionally, the ongoing political turmoil in Thailand and Bangladesh may create some economic disruptions in the region, potentially affecting IT service providers with operations in those countries.
 Economic Outlook:
 The softening labor market and the yield curve inversion are signs of a potential economic slowdown, which could negatively impact the IT services sector. However, the resilience of the manufacturing sector and the continued adoption of AI technologies by smaller businesses may provide some opportunities for IT service providers. The sector's performance will likely depend on the depth and duration of the economic slowdown, as well as the effectiveness of the Federal Reserve's and the government's policies in addressing the challenges.
 Political Challenges:
 The upcoming U.S. federal elections in November 2024 could introduce some uncertainty for the IT services sector, as investors may be cautious about the potential policy changes that could arise from a change in administration or Congress. Additionally, the ongoing geopolitical tensions, such as the Russia-Ukraine conflict and the Israel-Hamas war, may create some challenges for IT service providers with global operations.
 Recent Technology Developments:
 The IT services sector continues to benefit from the growing adoption of AI technologies by smaller businesses. The development of new AI-powered processors, such as Qualcomm's latest offering, could also disrupt the traditional semiconductor industry and create opportunities for IT service providers. The sector's ability to leverage these emerging technologies will be crucial in navigating the current economic and political landscape.</t>
  </si>
  <si>
    <t>Recent News:
 The beverage industry has faced some challenges in recent months, with the Voepass Linhas Aéreas Flight 2323 crash in Brazil raising concerns about air travel safety and potentially impacting the global supply chain for certain beverage products. Additionally, the ongoing political instability in Bangladesh and Thailand could have minor negative effects on the industry, as these regions are important producers and consumers of various beverages.
 Economic Outlook:
 The overall economic outlook for the beverage sector appears relatively stable, despite the broader economic slowdown. The manufacturing sector, which includes beverage production, has shown some resilience, with factory orders rising 5% in July. This suggests that the beverage industry may be weathering the economic headwinds better than some other sectors.
 Political Challenges:
 The political landscape remains relatively stable, with no major new events that would significantly impact the beverage industry. However, the upcoming U.S. federal elections in November 2024 could introduce some uncertainty, as investors may be cautious about the potential policy changes that could arise from a change in administration or Congress.
 Recent Technology Developments:
 The beverage industry has been exploring the use of AI and other emerging technologies to optimize production, supply chain management, and customer experience. The growing adoption of AI by smaller businesses, as evidenced by the SMBTech 50 list, could benefit the beverage sector by improving efficiency and responsiveness to changing consumer preferences.</t>
  </si>
  <si>
    <t>Recent News:
 The electric utilities sector has faced a mixed bag of news in recent months. On the positive side, the sector has benefited from the continued growth in renewable energy adoption, with several major utilities announcing new investments in solar, wind, and energy storage projects. However, the sector has also been impacted by the ongoing supply chain challenges and rising interest rates, which have put pressure on profit margins.
 Economic Outlook:
 The economic outlook for the electric utilities sector is cautiously optimistic. While the broader economic slowdown may lead to a decline in overall energy demand, the sector's focus on renewable energy and grid modernization efforts could help offset some of these challenges. Additionally, the potential for increased government investment in infrastructure and clean energy initiatives could provide a boost to the sector.
 Political Challenges:
 The electric utilities sector faces some political challenges, particularly around the ongoing debate over the role of fossil fuels and the transition to renewable energy. While many policymakers are pushing for a faster transition to clean energy, there is still resistance from some stakeholders who are concerned about the potential impact on energy prices and reliability.
 Recent Technology Developments:
 The electric utilities sector has been at the forefront of technological advancements, with a focus on grid modernization, energy storage, and the integration of renewable energy sources. The recent development of advanced battery technologies and the increasing adoption of smart grid technologies have the potential to improve the efficiency and reliability of the electric grid, which could benefit the sector in the long run.</t>
  </si>
  <si>
    <t>Recent News:
 The recent news highlights a mixed picture for the multi-utilities sector. On the one hand, the bankruptcy filings by companies like Steward Health Care and Red Lobster suggest some economic challenges. However, the overall US economy is in a bull market, with Nvidia becoming the third-largest publicly-traded company, indicating potential opportunities for the multi-utilities sector.
 Economic Outlook:
 The macroeconomic data points to a softening labor market, with job openings falling to the lowest level since January 2021. This decline in job openings suggests a potential slowdown in the economy, which could impact the demand for utilities services. However, the manufacturing sector appears to be showing some resilience, with factory orders rising 5% in July, which could provide some support for the multi-utilities sector.
 Political Challenges:
 The upcoming U.S. federal elections in November 2024 could introduce some uncertainty for the multi-utilities sector, as investors may be cautious about the potential policy changes that could arise from a change in administration or Congress. Additionally, the ongoing geopolitical tensions, such as the Russian invasion of Ukraine and the Israel-Hamas war, could have indirect impacts on the sector.
 Recent Technology Developments:
 The development of new AI-powered processors, such as Qualcomm's latest offering, could disrupt the traditional utility industry and create opportunities for investors. The increasing adoption of AI technologies by smaller businesses, as evidenced by the SMBTech 50 list, may also benefit the multi-utilities sector by improving operational efficiency and customer service.</t>
  </si>
  <si>
    <t>Recent News:
 The recent news highlights a mixed picture for the interactive media and services sector. On one hand, the continued global conflicts and political instability in regions like Bangladesh and Thailand could create some headwinds for companies in this sector, as they may face challenges in maintaining operations and reaching new markets. On the other hand, the growing adoption of AI technologies by smaller businesses, as evidenced by the SMBTech 50 list, suggests that there may be opportunities for innovative companies in the interactive media and services space to capitalize on this trend.
 Economic Outlook:
 The overall economic outlook for the interactive media and services sector is cautiously optimistic. While the softening labor market and potential economic slowdown could impact consumer spending and advertising budgets, the resilience of the manufacturing sector and the continued growth of the AI industry may provide some support. Additionally, the development of new AI-powered processors could disrupt the traditional semiconductor industry and create new opportunities for companies in the interactive media and services space.
 Political Challenges:
 The upcoming U.S. federal elections in November 2024 could introduce some uncertainty for the interactive media and services sector, as investors may be cautious about the potential policy changes that could arise from a change in administration or Congress. However, the recent prisoner exchange between the U.S. and Russia, as well as the appointment of Muhammad Yunus as Chief Adviser in Bangladesh, suggest that there may be some positive developments in the geopolitical landscape that could benefit the sector.
 Recent Technology Developments:
 The AI sector continues to be a focus for investors, with AI companies representing the greatest number of entrants serving small and medium-sized businesses in the SMBTech 50 list. This suggests that the adoption of AI technologies by smaller businesses is accelerating, which could have positive implications for the interactive media and services sector. Additionally, the development of new AI-powered processors, such as Qualcomm's latest offering, could disrupt the traditional semiconductor industry and create opportunities for innovative companies in the interactive media and services space.</t>
  </si>
  <si>
    <t>Recent News:
 The entertainment sector has faced a mix of challenges and opportunities in recent months. The bankruptcy filings of companies like Audacy and Red Lobster have raised concerns about the overall health of the industry. However, the continued success of major tech companies like Nvidia, which has become the third-largest publicly-traded company, suggests that the entertainment sector may be able to capitalize on emerging technologies and trends.
 Economic Outlook:
 The softening labor market and potential economic slowdown could have a negative impact on the entertainment sector, as consumers may be more cautious about spending on discretionary items like entertainment. However, the resilience of the manufacturing sector and the ongoing adoption of AI technologies could provide some support for the industry.
 Political Challenges:
 The upcoming U.S. federal elections in November 2024 could introduce some uncertainty for the entertainment sector, as investors may be cautious about the potential policy changes that could arise from a change in administration or Congress. Additionally, the ongoing geopolitical tensions, such as the Russia-Ukraine conflict and the Israel-Hamas war, could have a spillover effect on the global entertainment industry.
 Recent Technology Developments:
 The entertainment sector has been at the forefront of technological advancements, with the continued growth of the AI sector and the development of new AI-powered processors. These technological innovations could create new opportunities for entertainment companies to enhance their offerings and reach new audiences.</t>
  </si>
  <si>
    <t>Recent News:
 The recent news highlights a mixed picture for the containers and packaging sector. On the one hand, the bankruptcy filings by companies like Jo-Ann Stores and Red Lobster suggest some challenges in the broader retail and consumer-facing industries, which could impact demand for packaging products. On the other hand, the continued growth of the e-commerce industry and the need for durable and sustainable packaging solutions may provide opportunities for companies in this sector.
 Economic Outlook:
 The softening labor market and the potential economic slowdown could pose risks for the containers and packaging sector. As consumer spending and business investment potentially decline, the demand for packaging products may also be affected. However, the resilience of the manufacturing sector, as evidenced by the rise in factory orders, could provide some support for the packaging industry.
 Political Challenges:
 The upcoming U.S. federal elections in November 2024 could introduce some uncertainty for the sector, as investors may be cautious about potential policy changes that could impact the industry. Additionally, the ongoing geopolitical tensions, such as the Russia-Ukraine conflict and the Israel-Hamas war, may have indirect effects on the global supply chain and logistics, which could affect the containers and packaging sector.
 Recent Technology Developments:
 The growing adoption of AI technologies by smaller businesses, as highlighted by the SMBTech 50 list, could present opportunities for packaging companies to optimize their operations and improve efficiency. Additionally, the development of new AI-powered processors, such as Qualcomm's latest offering, may enable the creation of more advanced and intelligent packaging solutions.</t>
  </si>
  <si>
    <t>Recent News:
 The aerospace and defense sector has faced some challenges in recent months, with news of a series of safety issues and crashes involving Boeing passenger aircraft. Additionally, the ongoing geopolitical tensions, including the Russian invasion of Ukraine and the Israel-Hamas war, have the potential to impact global supply chains and disrupt the industry.
 Economic Outlook:
 The overall economic outlook for the aerospace and defense sector appears mixed. While the US economy remains in a bull market, with Nvidia becoming the third-largest publicly-traded company, there have been several high-profile bankruptcy filings by companies in the broader economy, including Audacy, Steward Health Care, and Jo-Ann Stores. This suggests that the economic environment may be becoming more challenging, which could potentially affect the aerospace and defense sector.
 Political Challenges:
 The upcoming US federal elections in November 2024 could introduce some uncertainty for the sector, as investors may be cautious about the potential policy changes that could arise from a change in administration or Congress. Additionally, the ongoing geopolitical conflicts, such as the Russia-Ukraine war and the Israel-Hamas conflict, could continue to create challenges for the industry.
 Recent Technology Developments:
 The aerospace and defense sector has been at the forefront of technological advancements, with the development of new AI-powered processors and the increasing adoption of AI technologies by smaller businesses. These technological developments could create opportunities for companies in the sector to improve their operations and gain a competitive edge.</t>
  </si>
  <si>
    <t>Recent News:
 The semiconductor industry has faced some challenges in recent months, with Nvidia's shares falling 9.5% and leading to a global decline in chip-related stocks. This decline can be attributed to the broader market volatility and concerns about the economic outlook, as evidenced by the drop in job openings and the yield curve inversion.
 Economic Outlook:
 The recent economic data points to a softening labor market, which could lead to a potential economic slowdown. However, the manufacturing sector, which includes the semiconductor industry, appears to be showing some resilience, with factory orders rising 5% in July after two consecutive monthly declines. This suggests that the semiconductor industry may be weathering the economic headwinds better than other sectors.
 Political Challenges:
 The upcoming U.S. federal elections in November 2024 could introduce some uncertainty, as investors may be cautious about the potential policy changes that could arise from a change in administration or Congress. However, the political landscape remains relatively stable, with no major new events that would significantly impact the semiconductor industry.
 Recent Technology Developments:
 The development of new AI-powered processors, such as Qualcomm's latest offering, could disrupt the traditional semiconductor industry and create opportunities for investors. Additionally, the AI sector continues to be a focus for investors, with AI companies representing the greatest number of entrants serving small and medium-sized businesses in the SMBTech 50 list. This suggests that the adoption of AI technologies by smaller businesses is accelerating, which could have positive implications for the semiconductor industry in the near future.</t>
  </si>
  <si>
    <t>Recent News:
 The recent news highlights a mixed picture for the electronic equipment, instruments, and components sector. On one hand, the sector has been impacted by the broader market volatility, with Nvidia's shares falling 9.5% and leading to a global decline in chip-related stocks. This decline can be attributed to concerns about the economic outlook, as evidenced by the drop in job openings and the yield curve inversion. On the other hand, the development of new AI-powered processors, such as Qualcomm's latest offering, could disrupt the traditional semiconductor industry and create opportunities for investors.
 Economic Outlook:
 The macroeconomic data suggests a softening labor market, with job openings falling to the lowest level since January 2021. This decline in job openings indicates a potential slowdown in the economy, which could have a negative impact on the electronic equipment, instruments, and components sector. However, the manufacturing sector appears to be showing some resilience, with factory orders rising 5% in July after two consecutive monthly declines. This suggests that the manufacturing industry, which is a key part of the electronic equipment, instruments, and components sector, may be weathering the economic headwinds better than other sectors.
 Political Challenges:
 The upcoming U.S. federal elections in November 2024 could introduce some uncertainty for the sector, as investors may be cautious about the potential policy changes that could arise from a change in administration or Congress. However, the recent political landscape remains relatively stable, with no major new events that would significantly impact the stock market.
 Recent Technology Developments:
 The AI sector continues to be a focus for investors, with AI companies representing the greatest number of entrants serving small and medium-sized businesses in the SMBTech 50 list. This suggests that the adoption of AI technologies by smaller businesses is accelerating, which could have positive implications for the electronic equipment, instruments, and components sector in the near future.</t>
  </si>
  <si>
    <t>Recent News:
 The health care technology sector has faced some challenges in recent months, with the World Health Organization declaring mpox a public health emergency of international concern for the second time in two years. This development may have a limited impact on the sector, as the public health response is already in place. Additionally, the bankruptcy filings of companies like Steward Health Care could signal broader challenges in the industry.
 Economic Outlook:
 The overall economic slowdown, as evidenced by the decline in job openings and the yield curve inversion, may have a moderate impact on the health care technology sector. However, the sector's resilience is demonstrated by the continued adoption of AI technologies by smaller businesses, which could create new opportunities for growth.
 Political Challenges:
 The upcoming U.S. federal elections in November 2024 could introduce some uncertainty for the health care technology sector, as investors may be cautious about the potential policy changes that could arise from a change in administration or Congress.
 Recent Technology Developments:
 The development of new AI-powered processors, such as Qualcomm's latest offering, could disrupt the traditional semiconductor industry and create opportunities for health care technology companies to leverage these advancements. Additionally, the continued growth of the AI sector, with AI companies representing the greatest number of entrants serving small and medium-sized businesses, suggests that the adoption of AI technologies in the health care industry may accelerate.</t>
  </si>
  <si>
    <t>Recent News:
 The hotel and resort industry has faced significant challenges in recent years, with the COVID-19 pandemic leading to a sharp decline in travel and tourism. However, the latest data suggests that the sector is starting to recover, with hotel occupancy rates and revenue per available room (RevPAR) showing signs of improvement.
 Economic Outlook:
 The overall economic outlook for the hotel and resort REIT sector is cautiously optimistic. While the labor market is softening, with job openings declining, the manufacturing sector appears to be holding up better. This could indicate that consumer spending on travel and leisure activities may continue to rebound, supporting the hotel and resort industry.
 Political Challenges:
 The upcoming U.S. federal elections in November 2024 could introduce some uncertainty for the hotel and resort REIT sector, as investors may be cautious about the potential policy changes that could arise from a change in administration or Congress. However, the sector is not expected to face any significant political challenges in the near term.
 Recent Technology Developments:
 The hotel and resort industry has been exploring various technological advancements to enhance the guest experience and improve operational efficiency. This includes the adoption of AI-powered chatbots, contactless check-in/check-out, and the integration of smart home technologies in hotel rooms. These developments could help the sector adapt to changing consumer preferences and improve its competitiveness.</t>
  </si>
  <si>
    <t>Recent News:
 The recent macroeconomic data points to a softening labor market, with job openings declining and the yield curve inverting, signaling a potential economic slowdown. However, the manufacturing sector appears to be holding up better, and the AI sector continues to show promise. The stock market has experienced a volatile start to September, with the tech sector bearing the brunt of the decline.
 Economic Outlook:
 The softening labor market and the yield curve inversion suggest that the economy may be heading towards a slowdown. This could have a negative impact on the real estate sector, as a weaker economy may lead to lower demand for commercial and residential properties. However, the resilience of the manufacturing sector and the growth of the AI industry could provide some support for the diversified REIT sector.
 Political Challenges:
 The upcoming U.S. federal elections in November 2024 could introduce some uncertainty, as investors may be cautious about the potential policy changes that could arise from a change in administration or Congress. This could impact the real estate sector, as changes in tax policies or regulations could affect the profitability of REITs.
 Recent Technology Developments:
 The development of new AI-powered processors and the accelerating adoption of AI technologies by smaller businesses could have positive implications for the diversified REIT sector. As businesses continue to adapt to new technologies, the demand for commercial and industrial real estate may increase, providing opportunities for REITs.</t>
  </si>
  <si>
    <t>Recent News:
 The insurance sector has faced some challenges in recent months, with the Voepass Linhas Aéreas Flight 2323 crash in Brazil and the ongoing Israel-Hamas war leading to spillover effects in the Red Sea, which could impact global shipping and potentially increase insurance claims. Additionally, the WHO's declaration of mpox as a public health emergency of international concern may lead to increased insurance costs related to the outbreak.
 Economic Outlook:
 The overall economic slowdown, as evidenced by the decline in job openings and the yield curve inversion, could have a mixed impact on the insurance sector. On one hand, a softening labor market may lead to lower demand for certain insurance products, such as employer-sponsored health insurance. On the other hand, the potential for increased claims related to natural disasters or other events could drive up demand for property and casualty insurance.
 Political Challenges:
 The upcoming U.S. federal elections in November 2024 could introduce some uncertainty for the insurance sector, as changes in administration or Congress could lead to policy shifts that impact the industry. Additionally, the political turmoil in Thailand and the resignation of the Bangladesh Prime Minister may have limited regional effects on the insurance market.
 Recent Technology Developments:
 The insurance sector has been embracing technological advancements, such as the use of AI-powered processors for risk assessment and claims processing. The growing adoption of AI technologies by smaller businesses, as highlighted by the SMBTech 50 list, could present opportunities for insurers to expand their customer base and improve operational efficiency.</t>
  </si>
  <si>
    <t>Recent News:
 The recent news highlights a series of safety issues and crashes involving Boeing passenger aircraft, which may have a minor, temporary negative impact on the overall US stock market due to concerns about air travel safety. Additionally, the World Health Organization (WHO) has declared mpox a public health emergency of international concern for the second time in two years, following the spread of the virus in African countries. This development may have a limited impact on the US stock market, as the public health response is already in place.
 Economic Outlook:
 The macroeconomic data suggests a softening labor market, with job openings falling to the lowest level since January 2021. This decline in job openings indicates a potential slowdown in the economy, which could have a negative impact on the healthcare equipment and supplies sector. However, the manufacturing sector appears to be showing some resilience, with factory orders rising 5% in July after two consecutive monthly declines. This suggests that the manufacturing industry, which includes healthcare equipment and supplies, may be weathering the economic headwinds better than other sectors.
 Political Challenges:
 The upcoming U.S. federal elections in November 2024 could introduce some uncertainty for the healthcare equipment and supplies sector, as investors may be cautious about the potential policy changes that could arise from a change in administration or Congress. Additionally, the ongoing geopolitical tensions, such as the Russian invasion of Ukraine and the Israel-Hamas war, may have a negative impact on the global supply chain and logistics, which could affect the healthcare equipment and supplies sector.
 Recent Technology Developments:
 The AI sector continues to be a focus for investors, with AI companies representing the greatest number of entrants serving small and medium-sized businesses in the SMBTech 50 list. This suggests that the adoption of AI technologies by smaller businesses, including those in the healthcare equipment and supplies sector, is accelerating. The development of new AI-powered processors, such as Qualcomm's latest offering, could also disrupt the traditional semiconductor industry and create opportunities for investors in the healthcare equipment and supplies sector.</t>
  </si>
  <si>
    <t>Recent News:
 The recent macroeconomic data points to a softening labor market, with job openings declining and the yield curve inverting, signaling a potential economic slowdown. However, the manufacturing sector appears to be holding up better, and the AI sector continues to show promise. The stock market has experienced a volatile start to September, with the tech sector bearing the brunt of the decline.
 Economic Outlook:
 The softening labor market and the yield curve inversion suggest that the economy may be heading towards a slowdown. This could have a negative impact on the real estate sector, including specialized REITs, as a weaker economy may lead to lower demand for commercial and residential properties. However, the resilience of the manufacturing sector and the growth of the AI industry could provide some support for the overall real estate market.
 Political Challenges:
 The upcoming U.S. federal elections in November 2024 could introduce some uncertainty, as investors may be cautious about the potential policy changes that could arise from a change in administration or Congress. This could impact the real estate sector, including specialized REITs, as changes in policies related to taxation, zoning, or infrastructure development could affect the industry's performance.
 Recent Technology Developments:
 The development of new AI-powered processors and the accelerating adoption of AI technologies by smaller businesses could have positive implications for the real estate sector, including specialized REITs. Advancements in technology, such as smart building management systems and predictive maintenance, could help improve the efficiency and profitability of real estate investments.</t>
  </si>
  <si>
    <t>Recent News:
 The ground transportation sector has faced some challenges in recent months. The bankruptcy filings of companies like Fisker Inc. and the ongoing safety issues with Boeing passenger aircraft have raised concerns about the overall health of the transportation industry. Additionally, the Federal Trade Commission's (FTC) blocking of the JetBlue-Spirit merger may have implications for the competitive landscape in the sector.
 Economic Outlook:
 The softening labor market and potential economic slowdown could have a negative impact on the ground transportation sector, as consumer spending on travel and transportation may decline. However, the resilience of the manufacturing sector, particularly the rise in factory orders, could provide some support for the industry.
 Political Challenges:
 The upcoming U.S. federal elections in November 2024 could introduce uncertainty, as investors may be cautious about potential policy changes that could affect the ground transportation sector. Additionally, the ongoing geopolitical tensions, such as the Russia-Ukraine conflict and the Israel-Hamas war, may have spillover effects on global supply chains and transportation networks.
 Recent Technology Developments:
 The development of new AI-powered processors, such as Qualcomm's latest offering, could disrupt the traditional transportation industry and create opportunities for investors. The increasing adoption of AI technologies by smaller businesses in the SMBTech 50 list also suggests that the ground transportation sector may benefit from technological advancements.</t>
  </si>
  <si>
    <t>Recent News:
 The recent news highlights a series of events that could impact the transportation infrastructure sector. The tragic Voepass Linhas Aéreas Flight 2323 crash in Brazil may temporarily raise concerns about air travel safety, while the ongoing Israel-Hamas war and the Ukrainian cross-border offensive in Russia could disrupt global shipping in the Red Sea region. These geopolitical tensions may create challenges for the transportation industry.
 Economic Outlook:
 The overall economic outlook for the transportation infrastructure sector appears mixed. The softening labor market and potential economic slowdown could lead to reduced demand for transportation services. However, the resilience of the manufacturing sector, as evidenced by the rise in factory orders, may provide some support for the transportation industry. Additionally, the development of new technologies, such as AI-powered processors, could disrupt the traditional transportation landscape and create new opportunities.
 Political Challenges:
 The upcoming U.S. federal elections in November 2024 could introduce some uncertainty for the transportation infrastructure sector, as investors may be cautious about potential policy changes that could arise from a change in administration or Congress. The political instability in countries like Bangladesh and Thailand may also have a minor negative impact on the sector.
 Recent Technology Developments:
 The transportation infrastructure sector is witnessing the emergence of new technologies, such as AI-powered processors, which could disrupt the traditional industry. The increasing adoption of AI technologies by smaller businesses, as evidenced by the SMBTech 50 list, suggests that the transportation industry may benefit from these technological advancements in the near future.</t>
  </si>
  <si>
    <t>Recent News:
 The recent Voepass Linhas Aéreas Flight 2323 crash in Brazil has raised concerns about air travel safety, which could have a minor, temporary negative impact on the marine transportation sector. Additionally, the ongoing Israel–Hamas war and the potential for spillover into the Red Sea region may impact global shipping, affecting the marine transportation industry.
 Economic Outlook:
 The overall economic outlook for the marine transportation sector appears mixed. While the softening labor market and potential economic slowdown may negatively impact demand for shipping services, the resilience of the manufacturing sector could provide some support. The recent increase in factory orders suggests that the marine transportation industry may be able to weather the economic headwinds better than other sectors.
 Political Challenges:
 The political instability in Bangladesh and Thailand, as well as the ongoing armed conflicts globally, could introduce uncertainty and disrupt supply chains, potentially impacting the marine transportation sector. However, the recent prisoner exchange between the United States and Russia may have a positive impact by reducing geopolitical tensions between the two countries.
 Recent Technology Developments:
 The marine transportation industry has been exploring the use of AI-powered technologies to optimize operations and improve efficiency. The development of new AI-powered processors, such as Qualcomm's latest offering, could disrupt the traditional shipping industry and create opportunities for investors.</t>
  </si>
  <si>
    <t>Recent News:
 The recent news highlights a series of challenges facing the air freight and logistics sector. The tragic Voepass Linhas Aéreas Flight 2323 crash in Brazil, which killed all 62 people on board, has raised concerns about air travel safety and may have a minor, temporary negative impact on the US stock market. Additionally, the ongoing geopolitical tensions, such as the Ukrainian cross-border offensive in Russia and the Israel-Lebanon conflict, could disrupt global supply chains and impact the operations of air freight and logistics companies.
 Economic Outlook:
 The overall economic outlook for the air freight and logistics sector is mixed. While the manufacturing sector appears to be showing some resilience, the softening labor market and the yield curve inversion suggest a potential economic slowdown. This could lead to a decline in demand for air freight and logistics services, as businesses may reduce their shipping and transportation needs.
 Political Challenges:
 The upcoming U.S. federal elections in November 2024 could introduce some uncertainty for the air freight and logistics sector, as investors may be cautious about the potential policy changes that could arise from a change in administration or Congress. Additionally, the political instability in regions like Bangladesh and Thailand may have a minor negative impact on the sector's operations.
 Recent Technology Developments:
 The air freight and logistics sector has been exploring the potential of emerging technologies, such as AI-powered logistics optimization and autonomous delivery solutions. The development of new AI-powered processors, like Qualcomm's latest offering, could disrupt the traditional logistics industry and create opportunities for innovative companies in the sector.</t>
  </si>
  <si>
    <t>Recent News:
 The recent news highlights a mixed picture for the industrial conglomerates sector. On the positive side, the manufacturing sector appears to be showing resilience, with factory orders rising 5% in July after two consecutive monthly declines. This suggests that the manufacturing industry may be weathering the economic headwinds better than other sectors. However, the broader market decline, particularly in the tech sector, has had a negative impact on industrial conglomerates, with Nvidia's shares falling 9.5% and leading to a global decline in chip-related stocks.
 Economic Outlook:
 The overall economic outlook for the industrial conglomerates sector is cautious. The softening labor market, with job openings falling to the lowest level since January 2021, indicates a potential slowdown in the economy. Additionally, the inversion of the yield curve, a classic recession warning signal, further reinforces the view of an economic slowdown. While the manufacturing sector appears to be showing resilience, the broader economic challenges may still pose risks for industrial conglomerates.
 Political Challenges:
 The upcoming U.S. federal elections in November 2024 could introduce some uncertainty for the industrial conglomerates sector, as investors may be cautious about the potential policy changes that could arise from a change in administration or Congress. However, the recent political landscape remains relatively stable, and there are no major new events that would significantly impact the sector.
 Recent Technology Developments:
 The development of new AI-powered processors, such as Qualcomm's latest offering, could disrupt the traditional semiconductor industry and create opportunities for industrial conglomerates. Additionally, the continued adoption of AI technologies by smaller businesses, as evidenced by the SMBTech 50 list, suggests that the industrial conglomerates sector may benefit from the growing demand for these technologies.</t>
  </si>
  <si>
    <t>Recent News:
 The real estate sector has faced some challenges in 2024, with several high-profile bankruptcies and mergers and acquisitions being blocked by the FTC. The ongoing geopolitical tensions and political instability in various regions, such as the resignation of the Bangladeshi Prime Minister and the political turmoil in Thailand, may have a minor negative impact on the sector due to potential economic disruptions.
 Economic Outlook:
 The softening labor market and the yield curve inversion are signs of a potential economic slowdown, which could have a negative impact on the real estate sector. However, the resilience of the manufacturing sector and the continued adoption of AI technologies may provide some support for the industry.
 Political Challenges:
 The upcoming U.S. federal elections in November 2024 could introduce some uncertainty, as investors may be cautious about the potential policy changes that could arise from a change in administration or Congress. Additionally, the ongoing geopolitical tensions and regional conflicts, such as the Israel-Hamas war and the Ukrainian cross-border offensive in Russia, may have a negative impact on the sector.
 Recent Technology Developments:
 The real estate sector has been slow to adopt new technologies, but the increasing use of AI-powered tools and platforms could provide opportunities for the industry to improve efficiency and decision-making processes. The development of new AI-powered processors, such as Qualcomm's latest offering, could also have a positive impact on the sector by enabling the use of more advanced analytics and automation.</t>
  </si>
  <si>
    <t>Recent News:
 The broadline retail sector has faced a mixed bag of news in recent months. On the positive side, the manufacturing sector appears to be showing resilience, with factory orders rising 5% in July after two consecutive monthly declines. This suggests that the retail industry may be weathering the economic headwinds better than other sectors. However, the broader market decline can be attributed to concerns about the economic outlook, as evidenced by the drop in job openings and the yield curve inversion, which could negatively impact consumer spending.
 Economic Outlook:
 The recent economic data points to a softening labor market, with job openings falling to the lowest level since January 2021. This decline in job openings suggests that it is becoming more challenging for workers to find employment, indicating a potential slowdown in the economy. Additionally, the 2-year Treasury yield closing below the 10-year counterpart is a classic recession warning signal, further reinforcing the view of an economic slowdown. These factors could put pressure on the broadline retail sector, as consumers may become more cautious with their spending.
 Political Challenges:
 The upcoming U.S. federal elections in November 2024 could introduce some uncertainty for the broadline retail sector, as investors may be cautious about the potential policy changes that could arise from a change in administration or Congress. However, the political landscape remains relatively stable, with no major new events that would significantly impact the sector.
 Recent Technology Developments:
 The AI sector continues to be a focus for investors, with AI companies representing the greatest number of entrants serving small and medium-sized businesses in the SMBTech 50 list. This suggests that the adoption of AI technologies by smaller businesses is accelerating, which could have positive implications for the broadline retail sector in the near future, as these technologies could help improve operational efficiency and customer experience.</t>
  </si>
  <si>
    <t>Recent News:
 The automobile sector has faced a series of challenges in recent months. The bankruptcy filings of companies like Fisker Inc. have raised concerns about the industry's stability. Additionally, the ongoing safety issues and crashes involving Boeing passenger aircraft have sparked broader worries about the safety and reliability of transportation technologies.
 Economic Outlook:
 The softening labor market and potential economic slowdown could have a negative impact on the automobile sector, as consumer demand for new vehicles may decline. However, the resilience of the manufacturing sector, as evidenced by the recent increase in factory orders, suggests that the automobile industry may be able to weather the economic headwinds better than other sectors.
 Political Challenges:
 The upcoming U.S. federal elections in November 2024 could introduce some uncertainty for the automobile sector, as investors may be cautious about the potential policy changes that could arise from a change in administration or Congress. Additionally, the ongoing geopolitical tensions, such as the Russia-Ukraine conflict and the Israel-Hamas war, could disrupt global supply chains and impact the industry.
 Recent Technology Developments:
 The development of new AI-powered processors, such as Qualcomm's latest offering, could disrupt the traditional automobile industry and create opportunities for investors. The increasing adoption of AI technologies by smaller businesses, as evidenced by the SMBTech 50 list, also suggests that the automobile sector may benefit from the integration of these emerging technologies.</t>
  </si>
  <si>
    <t>Recent News:
 The software sector has been impacted by the broader market volatility, with tech stocks like Nvidia experiencing significant declines. The ongoing geopolitical tensions and economic slowdown have contributed to the sector's recent performance.
 Economic Outlook:
 The softening labor market and yield curve inversion suggest a potential economic slowdown, which could negatively impact the software sector. However, the resilience of the manufacturing sector and the continued adoption of emerging technologies, such as AI, may provide some support for software companies.
 Political Challenges:
 The upcoming U.S. federal elections in November 2024 could introduce uncertainty, as investors may be cautious about potential policy changes that could affect the software industry.
 Recent Technology Developments:
 The AI sector continues to be a focus for investors, with AI companies representing a significant portion of the SMBTech 50 list. This suggests that the adoption of AI technologies by smaller businesses is accelerating, which could have positive implications for the software sector.</t>
  </si>
  <si>
    <t>Recent News:
 The food products sector has faced some challenges in recent months, with the bankruptcy filings of major companies like Red Lobster. This suggests that the industry is experiencing some financial pressures, potentially due to factors such as rising costs, supply chain disruptions, or changing consumer preferences.
 Economic Outlook:
 The overall economic slowdown, as indicated by the decline in job openings and the yield curve inversion, could have a negative impact on the food products sector. Consumers may become more cautious with their spending, which could lead to reduced demand for certain food products. However, the resilience of the manufacturing sector, including the food processing industry, may help offset some of these challenges.
 Political Challenges:
 The upcoming U.S. federal elections in November 2024 could introduce some uncertainty for the food products sector, as potential policy changes could affect regulations, trade agreements, or government support programs. Additionally, the ongoing geopolitical tensions, such as the Russia-Ukraine conflict and the Israel-Hamas war, may disrupt global supply chains and impact the availability and pricing of certain food commodities.
 Recent Technology Developments:
 The food products sector has been exploring the use of emerging technologies, such as AI-powered supply chain optimization and precision agriculture. These advancements could help companies in the sector improve efficiency, reduce costs, and better respond to changing consumer demands. However, the adoption of these technologies may require significant investment and could take time to yield tangible benefits.</t>
  </si>
  <si>
    <t>Recent News:
 The diversified telecommunication services sector has faced some challenges in recent months. The bankruptcy filing by Audacy, a major radio and digital media company, has raised concerns about the overall health of the industry. Additionally, the series of safety issues and crashes involving Boeing passenger aircraft, which are heavily reliant on telecommunication services for navigation and communication, could have a negative impact on the sector.
 Economic Outlook:
 The softening labor market and potential economic slowdown could put pressure on consumer spending, which could in turn impact the demand for telecommunication services. However, the resilience of the manufacturing sector, as evidenced by the rise in factory orders, may provide some support for the industry, as manufacturers rely heavily on telecommunication infrastructure for their operations.
 Political Challenges:
 The upcoming U.S. federal elections in November 2024 could introduce some uncertainty for the sector, as investors may be cautious about the potential policy changes that could arise from a change in administration or Congress. Additionally, the ongoing geopolitical tensions, such as the Russia-Ukraine conflict and the Israel-Hamas war, could have a negative impact on the global telecommunication infrastructure and disrupt service delivery.
 Recent Technology Developments:
 The emergence of new AI-powered processors, such as Qualcomm's latest offering, could disrupt the traditional telecommunication equipment market and create opportunities for innovative companies in the sector. Additionally, the accelerating adoption of AI technologies by smaller businesses could drive increased demand for telecommunication services, particularly in the areas of cloud computing and data transmission.</t>
  </si>
  <si>
    <t>Recent News:
 The financial services sector has faced a mixed bag of news in recent weeks. On the positive side, the resignation of Bangladesh's Prime Minister and the subsequent appointment of Nobel laureate Muhammad Yunus as Chief Adviser of an interim government may have a neutral impact on the sector. However, the political turmoil in Thailand, with the dismissal of Prime Minister Srettha Thavisin, could have a minor negative impact on the sector due to increased regional instability.
 Economic Outlook:
 The overall economic outlook for the financial services sector is cautious. The softening labor market, as evidenced by the decline in job openings, and the yield curve inversion, which is a classic recession warning signal, suggest a potential economic slowdown. This could lead to reduced demand for financial services and increased credit risk. However, the resilience of the manufacturing sector may provide some support for the financial industry.
 Political Challenges:
 The upcoming U.S. federal elections in November 2024 could introduce some uncertainty for the financial services sector, as investors may be cautious about the potential policy changes that could arise from a change in administration or Congress. Additionally, the ongoing geopolitical tensions, such as the Israel-Hamas war and the Ukrainian cross-border offensive in Russia, could have a negative impact on the sector due to increased market volatility.
 Recent Technology Developments:
 The financial services sector has been embracing the advancements in artificial intelligence (AI) technology. The growing adoption of AI by small and medium-sized businesses, as evidenced by the SMBTech 50 list, could present opportunities for financial institutions to develop new products and services tailored to this market segment. Additionally, the development of new AI-powered processors, such as Qualcomm's latest offering, could disrupt the traditional financial technology landscape and create investment opportunities.</t>
  </si>
  <si>
    <t>Recent News:
 The recent macroeconomic data points to a softening labor market, with job openings falling to the lowest level since January 2021. This decline in job openings suggests that it is becoming more challenging for workers to find employment, indicating a potential slowdown in the economy. Additionally, the 2-year Treasury yield closing below the 10-year counterpart is a classic recession warning signal, further reinforcing the view of an economic slowdown.
 Economic Outlook:
 However, the manufacturing sector appears to be showing some resilience, with factory orders rising 5% in July after two consecutive monthly declines. This suggests that the manufacturing industry may be weathering the economic headwinds better than other sectors.
 Political Challenges:
 The upcoming U.S. federal elections in November 2024 could introduce some uncertainty, as investors may be cautious about the potential policy changes that could arise from a change in administration or Congress.
 Recent Technology Developments:
 The AI sector continues to be a focus for investors, with AI companies representing the greatest number of entrants serving small and medium-sized businesses in the SMBTech 50 list. This suggests that the adoption of AI technologies by smaller businesses is accelerating, which could have positive implications for the stock market in the near future.</t>
  </si>
  <si>
    <t>Recent News:
 The banking sector has faced a mixed set of developments in recent weeks. On the positive side, the recent prisoner exchange between the US and Russia has helped reduce geopolitical tensions, which could have a favorable impact on the overall financial markets. However, the resignation of the Bangladesh Prime Minister and the resulting political instability in the country may have a minor negative effect on the banking sector due to potential economic disruptions in the region.
 Economic Outlook:
 The softening labor market, as evidenced by the decline in job openings, suggests a potential economic slowdown. This could lead to reduced lending activity and increased loan defaults, which could put pressure on the banking sector's profitability. However, the resilience of the manufacturing sector, as indicated by the rise in factory orders, may provide some support for the banking industry.
 Political Challenges:
 The upcoming U.S. federal elections in November 2024 could introduce some uncertainty for the banking sector, as investors may be cautious about the potential policy changes that could arise from a change in administration or Congress. Additionally, the ongoing geopolitical tensions, such as the Israel-Hamas war and the Ukraine-Russia conflict, could have a negative impact on the sector.
 Recent Technology Developments:
 The banking sector has been actively embracing emerging technologies, such as artificial intelligence (AI). The growing adoption of AI by smaller businesses, as evidenced by the SMBTech 50 list, could create new opportunities for banks to develop innovative products and services, potentially boosting their competitiveness and profitability.</t>
  </si>
  <si>
    <t>Recent News:
 The recent macroeconomic data points to a softening labor market, with job openings declining to the lowest level since January 2021. This suggests a potential economic slowdown, which could impact the industrial real estate sector. However, the manufacturing sector appears to be showing some resilience, with factory orders rising 5% in July after two consecutive monthly declines.
 Economic Outlook:
 The softening labor market and the yield curve inversion, a classic recession warning signal, indicate that the overall economic outlook is cautious. This could lead to a slowdown in industrial activity and potentially impact the demand for industrial real estate. However, the resilience of the manufacturing sector may provide some support for the industrial REIT sector.
 Political Challenges:
 The upcoming U.S. federal elections in November 2024 could introduce some uncertainty, as investors may be cautious about the potential policy changes that could arise from a change in administration or Congress. This could impact the overall investment climate and affect the industrial REIT sector.
 Recent Technology Developments:
 The development of new AI-powered processors and the accelerating adoption of AI technologies by smaller businesses could have positive implications for the industrial REIT sector, as it may drive demand for modern, technology-enabled industrial spaces.</t>
  </si>
  <si>
    <t>Recent News:
 The residential real estate market has faced some headwinds in recent months, with the Federal Reserve's interest rate hikes leading to higher mortgage rates and cooling demand for new homes. This has resulted in a slowdown in housing starts and a decline in home sales. However, the rental market remains relatively strong, with rents continuing to rise in many parts of the country.
 Economic Outlook:
 The softening labor market and potential economic slowdown could put pressure on the residential REIT sector, as job losses and reduced consumer spending may lead to lower occupancy rates and rental income. However, the ongoing housing shortage and strong demand for rental properties could help offset some of these challenges.
 Political Challenges:
 The upcoming U.S. federal elections in November 2024 could introduce some uncertainty, as potential policy changes could impact the residential REIT sector. For example, changes to tax policies or regulations around rental properties could affect the profitability of REITs.
 Recent Technology Developments:
 The residential REIT sector has been exploring the use of technology to improve operational efficiency and enhance the tenant experience. This includes the adoption of smart home technologies, online rental platforms, and data analytics to optimize property management.</t>
  </si>
  <si>
    <t>Recent News:
 The retail sector has faced significant challenges in recent years, with the ongoing shift towards e-commerce and the impact of the COVID-19 pandemic. However, the latest news suggests that the retail real estate investment trust (REIT) industry may be showing signs of resilience. The bankruptcy filings by companies like Jo-Ann Stores and Red Lobster indicate that some traditional brick-and-mortar retailers are still struggling, but the overall sector appears to be adapting to the changing landscape.
 Economic Outlook:
 The softening labor market and the yield curve inversion are concerning macroeconomic signals that could potentially impact the retail REIT sector. As consumer spending is closely tied to employment and economic conditions, a slowdown in the economy could lead to reduced demand for retail space and lower occupancy rates for REITs. However, the resilience of the manufacturing sector may provide some support for the broader economy, which could benefit the retail REIT industry.
 Political Challenges:
 The upcoming U.S. federal elections in November 2024 could introduce some uncertainty for the retail REIT sector, as changes in administration or Congress could lead to policy shifts that impact the industry. Additionally, the ongoing geopolitical tensions and regional conflicts, such as the Israel-Hamas war and the cross-border offensive in Russia, may have indirect effects on consumer confidence and spending, which could affect the performance of retail REITs.
 Recent Technology Developments:
 The growing adoption of AI technologies by smaller businesses, as evidenced by the SMBTech 50 list, could have positive implications for the retail REIT sector. As more businesses leverage AI to optimize their operations and enhance the customer experience, the demand for retail space may increase, benefiting the REITs that own and manage these properties.</t>
  </si>
  <si>
    <t>Recent News:
 The chemical sector has faced some challenges in recent months, with the bankruptcy filing of major player Audacy and ongoing safety issues with Boeing passenger aircraft, which rely heavily on chemical components. However, the broader manufacturing sector has shown resilience, with factory orders rising 5% in July, suggesting the chemical industry may be weathering the economic headwinds better than some other sectors.
 Economic Outlook:
 The overall economic outlook for the chemical sector is mixed. The softening labor market and yield curve inversion indicate a potential economic slowdown, which could impact demand for chemical products. However, the continued strength in the manufacturing sector provides some optimism for the chemical industry.
 Political Challenges:
 The upcoming U.S. federal elections in November 2024 could introduce some uncertainty for the chemical sector, as investors may be cautious about potential policy changes that could arise from a change in administration or Congress. Additionally, the ongoing geopolitical tensions, such as the Russia-Ukraine conflict and the Israel-Hamas war, could have a negative impact on the global supply chain and demand for chemical products.
 Recent Technology Developments:
 The chemical sector has been exploring the use of AI and advanced analytics to optimize production processes and improve efficiency. The development of new AI-powered processors, such as Qualcomm's latest offering, could also disrupt the traditional chemical industry and create opportunities for innovative companies in the sector.</t>
  </si>
  <si>
    <t>Recent News:
 The recent news highlights a mixed picture for the oil, gas, and consumable fuels sector. On the one hand, the ongoing geopolitical tensions, such as the escalation of the Russia-Ukraine conflict and the Israel-Hamas war, have the potential to disrupt global energy supply chains and impact the sector's performance. On the other hand, the bankruptcy filings of companies like Red Lobster, which operates in the restaurant industry, may have a limited impact on the overall sector.
 Economic Outlook:
 The macroeconomic data suggests a softening labor market, with job openings declining and the yield curve inverting, indicating a potential economic slowdown. However, the manufacturing sector, which includes some energy-intensive industries, appears to be showing resilience, with factory orders rising in July. This mixed economic outlook could have a moderate impact on the oil, gas, and consumable fuels sector.
 Political Challenges:
 The upcoming U.S. federal elections in November 2024 could introduce some uncertainty for the sector, as investors may be cautious about the potential policy changes that could arise from a change in administration or Congress. Additionally, the political instability in countries like Bangladesh and Thailand may have a minor negative impact on the sector due to potential economic disruptions in the region.
 Recent Technology Developments:
 The development of new AI-powered processors, such as Qualcomm's latest offering, could disrupt the traditional semiconductor industry and create opportunities for investors in the energy sector, as these technologies may improve efficiency and productivity in energy production and distribution.</t>
  </si>
  <si>
    <t>Recent News:
 The metals and mining sector has faced some challenges in recent months, with the Voepass Linhas Aéreas Flight 2323 crash in Brazil raising concerns about air travel safety and potentially impacting the transportation of raw materials. Additionally, the ongoing political turmoil in Thailand and Bangladesh may have a minor negative impact on the sector due to potential economic disruptions in the region.
 Economic Outlook:
 The overall economic outlook for the metals and mining sector appears mixed. While the manufacturing sector has shown some resilience, the softening labor market and the yield curve inversion suggest a potential economic slowdown. This could lead to reduced demand for metals and minerals, putting pressure on the sector.
 Political Challenges:
 The political landscape remains relatively stable, with no major new events that would significantly impact the metals and mining sector. However, the upcoming U.S. federal elections in November 2024 could introduce some uncertainty, as investors may be cautious about the potential policy changes that could arise from a change in administration or Congress.
 Recent Technology Developments:
 The development of new AI-powered processors, such as Qualcomm's latest offering, could disrupt the traditional semiconductor industry and create opportunities for investors in the metals and mining sector. The increased adoption of AI technologies by smaller businesses may also drive demand for certain metals and minerals used in these technologies.</t>
  </si>
  <si>
    <t>Recent News:
 The recent news highlights a mixed picture for the building products sector. On one hand, the manufacturing sector appears to be showing some resilience, with factory orders rising 5% in July after two consecutive monthly declines. This suggests that the manufacturing industry, which includes building products, may be weathering the economic headwinds better than other sectors. However, the broader economic slowdown, as evidenced by the decline in job openings and the yield curve inversion, could potentially impact the demand for building products in the near term.
 Economic Outlook:
 The softening labor market and the potential for a recession are key factors that could weigh on the building products sector. As the economy slows, consumers and businesses may become more cautious about making large investments, such as new construction or home renovations, which could dampen the demand for building products. Additionally, the rising interest rates could make it more expensive for consumers and businesses to finance these projects, further impacting the sector.
 Political Challenges:
 The upcoming U.S. federal elections in November 2024 could introduce some uncertainty for the building products sector, as investors may be cautious about the potential policy changes that could arise from a change in administration or Congress. However, the political landscape remains relatively stable, and there are no major new events that would significantly impact the sector.
 Recent Technology Developments:
 The building products sector has been relatively slow in adopting new technologies compared to other industries. However, the increasing adoption of AI technologies by smaller businesses, as evidenced by the SMBTech 50 list, could potentially benefit the sector by improving efficiency, reducing costs, and enhancing the development of new building products.</t>
  </si>
  <si>
    <t>Recent News:
 The construction materials sector has faced some challenges in recent months, with the Voepass Linhas Aéreas Flight 2323 crash in Brazil raising concerns about air travel safety and potentially impacting the demand for construction materials. Additionally, the ongoing political turmoil in Thailand and Bangladesh may have a minor negative impact on the sector due to potential economic disruptions in the region.
 Economic Outlook:
 The overall economic outlook for the construction materials sector is mixed. While the manufacturing sector appears to be showing some resilience, the softening labor market and the yield curve inversion suggest a potential economic slowdown. This could lead to a decline in construction activity and, consequently, a reduced demand for construction materials.
 Political Challenges:
 The upcoming U.S. federal elections in November 2024 could introduce some uncertainty for the construction materials sector, as investors may be cautious about the potential policy changes that could arise from a change in administration or Congress.
 Recent Technology Developments:
 The construction materials sector has not seen any significant technological advancements in the recent news. However, the continued development of AI-powered technologies, such as Qualcomm's latest AI processors, could potentially disrupt the traditional construction industry and create new opportunities for the sector.</t>
  </si>
  <si>
    <t>Recent News:
 The paper and forest products sector has faced some challenges in recent months. The bankruptcy filing by major retailer Jo-Ann Stores has raised concerns about the demand for paper products, as the closure of physical stores could impact the overall consumption of paper-based materials. Additionally, the series of safety issues and crashes involving Boeing passenger aircraft has led to a temporary slowdown in the demand for specialized paper products used in the aviation industry.
 Economic Outlook:
 The softening labor market and potential economic slowdown could have a mixed impact on the paper and forest products sector. On one hand, a decline in consumer spending may lead to reduced demand for paper-based products. However, the resilience of the manufacturing sector, as evidenced by the recent increase in factory orders, could provide some support for the demand for industrial paper and packaging materials.
 Political Challenges:
 The upcoming U.S. federal elections in November 2024 could introduce some uncertainty for the paper and forest products sector, as potential policy changes could impact the industry's regulatory environment or trade agreements. Additionally, the ongoing geopolitical tensions, such as the Russia-Ukraine conflict and the Israel-Hamas war, may have indirect effects on the global supply chain and logistics, which could affect the sector.
 Recent Technology Developments:
 The paper and forest products sector has been exploring ways to incorporate emerging technologies, such as automation and data analytics, to improve efficiency and sustainability. The development of new, eco-friendly paper products and packaging solutions could also provide opportunities for growth in the sector.</t>
  </si>
  <si>
    <t>Recent News:
 The construction and engineering sector has faced a mixed bag of news in recent months. On the positive side, factory orders in the manufacturing industry, which includes construction-related products, rose 5% in July after two consecutive monthly declines. This suggests that the manufacturing sector, and by extension the construction industry, may be weathering the economic headwinds better than other sectors. However, the broader economic slowdown, as evidenced by the decline in job openings and the yield curve inversion, could still pose challenges for the construction and engineering sector.
 Economic Outlook:
 The softening labor market and potential economic slowdown could have a negative impact on the construction and engineering sector. As the economy slows, demand for new construction projects and infrastructure development may decline, putting pressure on companies in this sector. Additionally, rising interest rates could make financing for construction projects more expensive, further dampening the sector's growth prospects.
 Political Challenges:
 The upcoming U.S. federal elections in November 2024 could introduce some uncertainty for the construction and engineering sector, as investors may be cautious about the potential policy changes that could arise from a change in administration or Congress. However, the sector may benefit from continued government investment in infrastructure projects, depending on the policy priorities of the incoming administration.
 Recent Technology Developments:
 The construction and engineering sector has been embracing new technologies, such as Building Information Modeling (BIM), drones, and automation, to improve efficiency and productivity. The increasing adoption of these technologies could help the sector navigate the current economic challenges and maintain its competitiveness.</t>
  </si>
  <si>
    <t>Recent News:
 The health care real estate investment trust (REIT) sector has faced some challenges in recent months. The bankruptcy filings of companies like Steward Health Care have raised concerns about the financial stability of some healthcare providers, which could impact the performance of healthcare REITs that own properties leased to these providers.
 Economic Outlook:
 The overall economic slowdown and potential recession could put pressure on healthcare REITs, as healthcare providers may face financial difficulties and struggle to pay rent. However, the aging population and growing demand for healthcare services could provide some support for the sector in the long run.
 Political Challenges:
 The upcoming U.S. federal elections in November 2024 could introduce some uncertainty, as potential policy changes could impact the healthcare industry and, by extension, healthcare REITs. Investors will be closely watching the political landscape for any developments that could affect the sector.
 Recent Technology Developments:
 The healthcare industry has been undergoing a digital transformation, with the increased adoption of technologies like telemedicine and AI-powered diagnostics. While these developments may not have a direct impact on healthcare REITs, they could influence the long-term demand for healthcare real estate and the performance of the sector.</t>
  </si>
  <si>
    <t>Recent News:
 The recent news highlights a mixed outlook for the gas utilities sector. While the manufacturing sector appears to be showing some resilience, the overall economic landscape is characterized by a softening labor market and concerns about a potential recession. The delay in the inauguration of Indonesia's new capital, Nusantara, may have a negligible impact on the sector.
 Economic Outlook:
 The decline in job openings and the yield curve inversion suggest a potential economic slowdown, which could negatively impact the demand for gas utilities services. However, the resilience of the manufacturing sector may provide some support for the gas utilities industry.
 Political Challenges:
 The upcoming U.S. federal elections in November 2024 could introduce some uncertainty, as investors may be cautious about the potential policy changes that could arise from a change in administration or Congress. Additionally, the ongoing geopolitical tensions, such as the Israel-Hamas war and the Russian invasion of Ukraine, may have a minor negative impact on the sector.
 Recent Technology Developments:
 The gas utilities sector has not seen any significant technological advancements that would substantially impact its investment value in the recent period.</t>
  </si>
  <si>
    <t>Recent News:
 The consumer finance sector has faced a mixed bag of news in recent months. On the positive side, the resignation of Bangladesh's Prime Minister Sheikh Hasina and the subsequent appointment of Nobel laureate Muhammad Yunus as Chief Adviser of an interim government may have a neutral impact on the sector, as it suggests political stability in the region. However, the bankruptcy filings by companies like Red Lobster and Fisker Inc. indicate ongoing challenges in the consumer finance landscape.
 Economic Outlook:
 The overall economic outlook for the consumer finance sector is cautious. The softening labor market, as evidenced by the decline in job openings, could lead to reduced consumer spending and potentially higher default rates on loans and credit cards. Additionally, the yield curve inversion, a classic recession warning signal, suggests that the sector may face headwinds in the near future.
 Political Challenges:
 The upcoming U.S. federal elections in November 2024 could introduce some uncertainty for the consumer finance sector, as investors may be cautious about the potential policy changes that could arise from a change in administration or Congress. Additionally, the ongoing geopolitical tensions, such as the Russia-Ukraine conflict and the Israel-Hamas war, could have indirect impacts on consumer confidence and spending.
 Recent Technology Developments:
 The consumer finance sector has been embracing technological advancements, particularly in the area of AI. The growing adoption of AI-powered solutions by small and medium-sized businesses, as evidenced by the SMBTech 50 list, suggests that the sector may benefit from increased efficiency and improved decision-making capabilities. However, the potential disruption caused by new AI-powered processors, such as Qualcomm's latest offering, could also pose challenges for traditional consumer finance companies.</t>
  </si>
  <si>
    <t>Recent News:
 The tobacco industry has faced a series of challenges in recent months. The World Health Organization's declaration of mpox as a public health emergency of international concern could potentially impact tobacco consumption, as public health measures may disrupt supply chains and consumer behavior. Additionally, the bankruptcy filings of companies like Red Lobster, which could reduce tobacco sales in their establishments, may have a minor negative impact on the industry.
 Economic Outlook:
 The overall economic slowdown, as evidenced by the decline in job openings and the yield curve inversion, could lead to a reduction in consumer spending, including on tobacco products. However, the resilience of the manufacturing sector, which includes tobacco production, may provide some support for the industry.
 Political Challenges:
 The upcoming U.S. federal elections in November 2024 could introduce policy changes that may impact the tobacco industry, such as increased regulation or taxation. Additionally, the political instability in countries like Bangladesh and Thailand may have a limited impact on the global tobacco supply chain.
 Recent Technology Developments:
 The tobacco industry has been exploring the use of AI-powered technologies to optimize production, supply chain management, and consumer targeting. The development of new AI-powered processors, such as Qualcomm's latest offering, could potentially enhance the industry's efficiency and competitiveness.</t>
  </si>
  <si>
    <t>Recent News:
 The personal care products sector has faced some challenges in recent months. The bankruptcy filings of companies like Jo-Ann Stores and Red Lobster suggest that consumer spending in this sector may be slowing down. Additionally, the ongoing geopolitical tensions and protests around the world could potentially impact the supply chain and distribution of personal care products.
 Economic Outlook:
 The softening labor market and the yield curve inversion are signs of a potential economic slowdown, which could negatively impact consumer spending on personal care products. However, the resilience of the manufacturing sector may provide some support for the industry. The sector's performance will likely depend on the depth and duration of the economic slowdown, as well as the effectiveness of the government's policies in addressing the challenges.
 Political Challenges:
 The upcoming U.S. federal elections in November 2024 could introduce some uncertainty, as investors may be cautious about the potential policy changes that could arise from a change in administration or Congress. Additionally, the ongoing geopolitical tensions, such as the Russia-Ukraine conflict and the Israel-Hamas war, could have a spillover effect on the personal care products sector.
 Recent Technology Developments:
 The personal care products sector has not seen any significant technological advancements that would substantially impact the industry in the near future. The focus on AI adoption by smaller businesses may have limited relevance for this sector.</t>
  </si>
  <si>
    <t>Recent News:
 The distributors sector has faced some challenges in recent months, with the bankruptcy filings of companies like Jo-Ann Stores and Red Lobster. This suggests that the economic slowdown is impacting the distribution industry, as consumers may be cutting back on discretionary spending. Additionally, the series of safety issues and crashes involving Boeing passenger aircraft could have a ripple effect on the distribution of aircraft parts and components.
 Economic Outlook:
 The overall economic outlook for the distributors sector is mixed. The softening labor market and the yield curve inversion indicate a potential economic slowdown, which could negatively impact the demand for distribution services. However, the resilience of the manufacturing sector, as evidenced by the rise in factory orders, may provide some support for the distributors industry.
 Political Challenges:
 The upcoming U.S. federal elections in November 2024 could introduce some uncertainty for the distributors sector, as investors may be cautious about the potential policy changes that could arise from a change in administration or Congress. Additionally, the ongoing geopolitical tensions, such as the Russia-Ukraine conflict and the Israel-Hamas war, could disrupt global supply chains and impact the distribution of goods.
 Recent Technology Developments:
 The distributors sector has not seen any significant technological advancements that would directly impact its performance. However, the continued adoption of AI technologies by smaller businesses could indirectly benefit the distributors industry, as it may lead to increased demand for distribution services.</t>
  </si>
  <si>
    <t>Recent News:
 The diversified consumer services sector has faced a mixed bag of news in recent months. While some companies like Voepass Linhas Aéreas have experienced tragic incidents like the Flight 2323 crash, others have filed for bankruptcy, such as Audacy, Steward Health Care, Jo-Ann Stores, Red Lobster, and Fisker Inc. These events have raised concerns about the overall stability and resilience of the sector.
 Economic Outlook:
 The softening labor market and potential economic slowdown could have a negative impact on the diversified consumer services sector, as consumers may become more cautious with their spending. However, the resilience of the manufacturing sector and the continued adoption of emerging technologies, such as AI, could provide some offsetting opportunities for companies in this space.
 Political Challenges:
 The upcoming U.S. federal elections in November 2024 could introduce some uncertainty for the diversified consumer services sector, as investors may be cautious about potential policy changes that could arise from a change in administration or Congress. Additionally, the ongoing geopolitical tensions, such as the Russia-Ukraine conflict and the Israel-Hamas war, could have spillover effects on the global economy and impact the sector.
 Recent Technology Developments:
 The diversified consumer services sector has not seen any significant technology developments that would substantially impact its investment potential. However, the continued adoption of AI technologies by smaller businesses, as evidenced by the SMBTech 50 list, could provide opportunities for companies in this sector to enhance their operational efficiency and customer experience.</t>
  </si>
  <si>
    <t>Recent News:
 The household durables sector has faced some challenges in recent months, with the bankruptcy filings of companies like Jo-Ann Stores and Red Lobster. This suggests that consumer spending on discretionary items may be slowing down, potentially due to the softening labor market and economic uncertainty.
 Economic Outlook:
 The decline in job openings and the yield curve inversion are concerning signs for the overall economy, which could have a negative impact on the household durables sector. Consumers may become more cautious with their spending, leading to reduced demand for durable goods. However, the resilience of the manufacturing sector could provide some support for the industry.
 Political Challenges:
 The upcoming U.S. federal elections in November 2024 could introduce some uncertainty for the household durables sector, as investors may be cautious about potential policy changes that could affect consumer spending or the broader economic environment.
 Recent Technology Developments:
 The growing adoption of AI technologies by smaller businesses, as evidenced by the SMBTech 50 list, could have positive implications for the household durables sector. Improved efficiency and productivity enabled by AI-powered solutions may help companies in this sector navigate the economic challenges more effectively.</t>
  </si>
  <si>
    <t>Recent News:
 The consumer staples distribution and retail sector has faced some challenges in recent months. The bankruptcy filings of companies like Red Lobster and Jo-Ann Stores suggest that the sector is experiencing headwinds. Additionally, the ongoing geopolitical tensions and economic slowdown may have a negative impact on consumer spending, which could further affect the performance of companies in this sector.
 Economic Outlook:
 The softening labor market and the yield curve inversion are indicators of a potential economic slowdown, which could lead to a decline in consumer spending. However, the resilience of the manufacturing sector may provide some support for the consumer staples distribution and retail industry. The sector's performance will likely depend on the depth and duration of the economic slowdown, as well as the effectiveness of the government's fiscal policy in addressing the challenges.
 Political Challenges:
 The upcoming U.S. federal elections in November 2024 could introduce some uncertainty for the sector, as investors may be cautious about the potential policy changes that could arise from a change in administration or Congress. Additionally, the ongoing geopolitical tensions, such as the Russia-Ukraine conflict and the Israel-Hamas war, may have a negative impact on global trade and supply chains, which could affect the performance of companies in this sector.
 Recent Technology Developments:
 The rise of e-commerce and the increasing adoption of AI technologies by smaller businesses could present both opportunities and challenges for the consumer staples distribution and retail sector. Companies that are able to adapt to these technological changes and provide a seamless omnichannel experience for their customers may be better positioned to weather the current economic headwinds.</t>
  </si>
  <si>
    <t>Recent News:
 The recent news highlights a series of challenges facing the energy equipment and services sector. The ongoing armed conflicts globally, including the Russian invasion of Ukraine, have disrupted global energy supply chains and impacted the operations of energy companies. Additionally, the Israel-Hamas war and the resulting protests have further exacerbated the geopolitical tensions in the region, which could have spillover effects on the energy industry.
 Economic Outlook:
 The macroeconomic data suggests a softening labor market, with job openings declining and the yield curve inverting, indicating a potential economic slowdown. This could lead to reduced demand for energy equipment and services, as businesses and consumers may cut back on their energy-related investments and consumption. However, the resilience of the manufacturing sector, as evidenced by the rise in factory orders, may provide some support for the energy equipment and services industry.
 Political Challenges:
 The upcoming U.S. federal elections in November 2024 could introduce uncertainty for the energy sector, as investors may be cautious about potential policy changes that could arise from a change in administration or Congress. Additionally, the political instability in countries like Bangladesh and Thailand may have a minor negative impact on the overall U.S. stock market, which could also affect the energy equipment and services sector.
 Recent Technology Developments:
 The energy equipment and services sector has been impacted by the ongoing development of new technologies, such as the emergence of AI-powered processors. These technological advancements could disrupt the traditional energy industry and create both opportunities and challenges for companies in the sector.</t>
  </si>
  <si>
    <t>Recent News:
 The recent news highlights several challenges facing the passenger airline industry. The tragic Voepass Linhas Aéreas Flight 2323 crash in Brazil has raised concerns about air travel safety, which could temporarily impact passenger confidence and demand. Additionally, the ongoing series of safety issues and crashes involving Boeing passenger aircraft is a cause for concern.
 Economic Outlook:
 The softening labor market, as evidenced by the decline in job openings, suggests a potential economic slowdown. This could negatively impact the passenger airline industry, as a slowdown in economic activity typically leads to reduced travel demand. However, the resilience of the manufacturing sector, including the aerospace industry, provides some optimism.
 Political Challenges:
 The upcoming U.S. federal elections in November 2024 could introduce uncertainty, as investors may be cautious about potential policy changes that could affect the passenger airline industry. Additionally, the ongoing geopolitical tensions, such as the Russia-Ukraine conflict and the Israel-Hamas war, could have spillover effects on global travel and disrupt the industry.
 Recent Technology Developments:
 The development of new AI-powered processors, such as Qualcomm's latest offering, could potentially disrupt the traditional semiconductor industry and create opportunities for the passenger airline industry to improve operational efficiency and customer experience through the adoption of advanced technologies.</t>
  </si>
  <si>
    <t>Recent News:
 The leisure products sector has faced some challenges in recent months, with the Voepass Linhas Aéreas Flight 2323 crash in Brazil raising concerns about air travel safety. Additionally, the ongoing geopolitical tensions, including the Russian invasion of Ukraine and the Israel-Hamas war, have the potential to impact global tourism and leisure activities.
 Economic Outlook:
 The overall economic outlook for the leisure products sector is mixed. While the US economy remains in a bull market, with Nvidia becoming the third-largest publicly-traded company, there have been several high-profile bankruptcy filings by companies in the sector, such as Red Lobster. The softening labor market and potential economic slowdown could also weigh on consumer spending on leisure activities.
 Political Challenges:
 The upcoming US federal elections in November 2024 could introduce some uncertainty for the leisure products sector, as investors may be cautious about potential policy changes that could arise from a change in administration or Congress. Additionally, the political instability in countries like Bangladesh and Thailand may have a minor negative impact on the sector.
 Recent Technology Developments:
 The leisure products sector has not seen any significant technological advancements that would substantially impact its investment potential. However, the continued development of AI-powered technologies, such as Qualcomm's latest AI processors, could potentially create new opportunities for innovation and growth in the sector.</t>
  </si>
  <si>
    <t>Recent News:
 The trading companies and distributors sector has faced some challenges in recent months, with the bankruptcy filings of companies like Audacy and Jo-Ann Stores. Additionally, the ongoing geopolitical tensions, such as the Russian invasion of Ukraine and the Israel-Hamas war, have the potential to disrupt global supply chains and impact the performance of companies in this sector.
 Economic Outlook:
 The softening labor market and the yield curve inversion are signs of a potential economic slowdown, which could negatively impact the trading companies and distributors sector. However, the resilience of the manufacturing sector may provide some support for this industry. The sector's performance will likely depend on the depth and duration of the economic slowdown, as well as the effectiveness of the Federal Reserve's monetary policy and the government's fiscal policy in addressing the challenges.
 Political Challenges:
 The upcoming U.S. federal elections in November 2024 could introduce some uncertainty for the trading companies and distributors sector, as investors may be cautious about the potential policy changes that could arise from a change in administration or Congress.
 Recent Technology Developments:
 The emergence of new technologies, such as AI-powered supply chain management solutions, could provide opportunities for companies in the trading companies and distributors sector to improve their efficiency and competitiveness. However, the sector may need to adapt quickly to these technological advancements to remain relevant.</t>
  </si>
  <si>
    <t>Recent News:
 The household products sector has faced some challenges in recent months, with several major companies in the industry filing for bankruptcy, including Jo-Ann Stores and Red Lobster. This suggests that consumer spending on discretionary items may be slowing, which could impact the performance of household product manufacturers.
 Economic Outlook:
 The overall economic outlook for the household products sector is mixed. While the manufacturing sector has shown some resilience, the softening labor market and potential recession signals, such as the yield curve inversion, could lead to a decline in consumer spending on household items. This could put pressure on the profitability of companies in the sector.
 Political Challenges:
 The upcoming U.S. federal elections in November 2024 could introduce some uncertainty for the household products sector, as changes in administration or Congress could lead to policy shifts that impact the industry. However, the political landscape remains relatively stable, and no major new events have been reported that would significantly impact the sector.
 Recent Technology Developments:
 The household products sector has not seen any major technological advancements that would significantly impact the industry. The focus on AI adoption by smaller businesses is more relevant to the tech sector and may not have a direct bearing on the household products industry.</t>
  </si>
  <si>
    <t>Recent News:
 The mortgage REIT sector has faced some headwinds in recent months, with the ongoing economic slowdown and rising interest rates putting pressure on the industry. The decline in job openings and the yield curve inversion have raised concerns about a potential recession, which could negatively impact the performance of mortgage REITs.
 Economic Outlook:
 The softening labor market and the yield curve inversion suggest that the economy may be slowing down, which could lead to a decline in mortgage originations and refinancing activity. This, in turn, could put pressure on the revenue and profitability of mortgage REITs. Additionally, the rising interest rates could make it more challenging for mortgage REITs to generate attractive returns on their investments.
 Political Challenges:
 The upcoming U.S. federal elections in November 2024 could introduce some uncertainty for the mortgage REIT sector, as investors may be cautious about the potential policy changes that could arise from a change in administration or Congress. Any changes to housing or financial regulations could have a significant impact on the performance of mortgage REITs.
 Recent Technology Developments:
 The mortgage REIT sector has not seen any significant technological advancements in recent months that would directly impact its performance. The industry remains largely dependent on traditional mortgage lending and investment strategies, with limited exposure to emerging technologies.</t>
  </si>
  <si>
    <t>Recent News:
 The recent bankruptcy filings of major retail chains like Audacy, Steward Health Care, and Jo-Ann Stores have raised concerns about the future of commercial real estate, particularly office spaces. The ongoing shift towards remote and hybrid work models has led to a decline in demand for traditional office spaces, putting pressure on Office REITs (Real Estate Investment Trusts).
 Economic Outlook:
 The softening labor market, as evidenced by the drop in job openings, suggests that the economy may be slowing down. This could further impact the demand for office spaces, as companies may be hesitant to expand or renew their leases. Additionally, the yield curve inversion, a classic recession warning signal, adds to the uncertainty surrounding the economic outlook.
 Political Challenges:
 The upcoming U.S. federal elections in November 2024 could introduce policy changes that may impact the commercial real estate sector. Investors may be cautious about the potential implications of a change in administration or Congress on the regulatory environment and tax policies affecting Office REITs.
 Recent Technology Developments:
 The rise of AI-powered technologies and the increasing adoption of these solutions by small and medium-sized businesses could have a mixed impact on the Office REIT sector. While the demand for office spaces may decline due to remote work, the need for specialized and technologically-advanced office spaces may increase, presenting opportunities for Office REITs that can adapt to these changes.</t>
  </si>
  <si>
    <t>Recent News:
 The specialty retail sector has faced a series of challenges, with several major companies filing for bankruptcy, including Jo-Ann Stores, Red Lobster, and Fisker Inc. This trend suggests that the sector is struggling to adapt to changing consumer preferences and economic conditions. Additionally, the Federal Trade Commission's (FTC) increased scrutiny of mergers and acquisitions, such as the blocked JetBlue-Spirit deal, may further impact the sector's ability to consolidate and streamline operations.
 Economic Outlook:
 The softening labor market and potential economic slowdown could have a significant impact on the specialty retail sector, as consumers may become more cautious with their spending. The decline in job openings and the yield curve inversion are concerning indicators that point to a potential recession, which could lead to reduced consumer demand and further challenges for specialty retailers.
 Political Challenges:
 The upcoming U.S. federal elections in November 2024 could introduce uncertainty for the specialty retail sector, as investors may be cautious about potential policy changes that could affect the industry. Additionally, the ongoing geopolitical tensions, such as the Russia-Ukraine conflict and the Israel-Hamas war, may have indirect impacts on the sector through disruptions to global supply chains and consumer confidence.
 Recent Technology Developments:
 The specialty retail sector has not seen any significant technological advancements that could provide a competitive advantage. While the adoption of AI technologies by smaller businesses is accelerating, the impact on the specialty retail sector is likely to be limited in the near term.</t>
  </si>
  <si>
    <t>Investment Report:
 Amazon, one of the largest and most well-known companies in the world, has recently faced a significant decline in its stock price due to a combination of earnings disappointment and overall market pullback. However, despite these challenges, there are indications that the stock may be significantly undervalued.
 According to recent financial data, Amazon's market cap stands at 1.75 trillion and its enterprise value at 1.80 trillion. Its trailing P/E ratio is 39.84, while its forward P/E ratio is 36.36. The PEG ratio, which takes into account the company's expected growth, is at 2.04. Additionally, Amazon's price/sales ratio is 2.94 and its price/book ratio is 7.41. Its enterprise value/revenue ratio is 2.97 and its enterprise value/EBITDA ratio is 16.86.
 These metrics indicate that Amazon's stock is currently trading at its cheapest level in the past 10 years. Despite the challenges ahead, the company's strong financials and potential for growth make it an attractive investment opportunity.
 Score: 90</t>
  </si>
  <si>
    <t>85 Score</t>
  </si>
  <si>
    <t>Investment Report:
 Dexcom is a leading company in the Health Care Equipment industry, specializing in continuous glucose monitoring systems for people with diabetes. The company has a strong track record of innovation and growth, with its latest product, the Dexcom G6, receiving positive reviews from users and healthcare professionals.
 In the past month, Dexcom's stock has seen some volatility, with a slight dip in early June followed by a rebound in the latter half of the month. This can be attributed to the overall market uncertainty and concerns about rising inflation. However, the company's financials remain strong, with a steady increase in revenue and a positive outlook for the future.
 Dexcom's recent partnership with Verily, a subsidiary of Alphabet Inc., to develop a next-generation continuous glucose monitoring system is a promising development that could further solidify the company's position in the market. Additionally, the increasing prevalence of diabetes and the growing demand for advanced glucose monitoring systems bode well for Dexcom's future growth.
 Overall, Dexcom appears to be in a strong position in the Health Care Equipment industry, with a solid product portfolio and a positive outlook. While short-term market volatility may impact the stock's performance, the company's long-term prospects remain promising.
 Score: 85</t>
  </si>
  <si>
    <t>Investment Report:
 Devon Energy is a leading player in the U.S. oil industry, with a strong track record of free cash flow generation and a focus on shareholder returns. The recent geopolitical tensions in the Middle East have highlighted the importance of diversifying energy investments away from the region, making Devon an attractive option for investors looking to hedge against potential supply shocks.
 The company's solid production in key basins and strategic acquisitions have positioned it for continued growth, while its low breakeven prices and manageable debts provide stability and flexibility. Additionally, Devon's commitment to returning capital to shareholders through dividends and share buybacks is a testament to its strong financial position.
 Despite recent underperformance, Devon's attractive valuation and potential for significant gains in the event of a global supply shock make it a compelling investment opportunity. With a strong history of positive free cash flow and a focus on shareholder returns, Devon Energy is well-positioned to weather any short-term market volatility and deliver long-term value for investors.
 Score: 85</t>
  </si>
  <si>
    <t>Investment Report:
 Marsh McLennan is a leading global professional services firm in the insurance brokers industry. The company provides risk management, insurance brokerage, and consulting services to clients worldwide. With a strong track record of growth and a diverse portfolio of services, Marsh McLennan is well-positioned to capitalize on the current market conditions.
 The recent events, including the COVID-19 pandemic and geopolitical tensions, have highlighted the importance of risk management and insurance services. As the world continues to navigate through these challenges, the demand for Marsh McLennan's services is expected to remain strong.
 In terms of financial performance, the company has consistently delivered solid results, with a strong balance sheet and healthy cash flow. In its latest earnings report, Marsh McLennan reported a 7% increase in revenue and a 10% increase in adjusted earnings per share compared to the same period last year.
 Furthermore, the company has a strong competitive advantage in the industry, with a global network of experts and a strong reputation for delivering high-quality services to its clients. This positions Marsh McLennan well for future growth and expansion opportunities.
 Overall, Marsh McLennan is a solid company with a strong market position and a track record of delivering value to its shareholders. While short-term market volatility may impact the stock price, the company's long-term prospects remain positive.
 Score: 85</t>
  </si>
  <si>
    <t>Investment Report:
 LyondellBasell is a leading company in the specialty chemicals industry, with a strong track record of performance and a diverse portfolio of products. The company has a global presence and serves a wide range of industries, including automotive, construction, and consumer goods.
 In the latest quarter, LyondellBasell reported solid financial results, with revenues of $9.2 billion and adjusted earnings per share of $3.18. The company's performance was driven by strong demand for its products and improved margins. Additionally, LyondellBasell has a strong balance sheet, with a healthy cash position and manageable debt levels.
 Looking ahead, the company is well-positioned to benefit from the global economic recovery and increasing demand for its products. LyondellBasell's focus on innovation and sustainability also positions it for long-term success in a rapidly evolving industry.
 Score: 85</t>
  </si>
  <si>
    <t>Investment Report:
 Expeditors International is a global logistics company that provides air and ocean freight forwarding, customs brokerage, and other supply chain management services. The company has a strong track record of profitability and has consistently delivered solid financial results.
 In the latest quarter, Expeditors International reported a 17% increase in net earnings compared to the same period last year. This growth was driven by strong demand for air freight services, which saw a 30% increase in volumes. The company also saw a 10% increase in ocean freight volumes, indicating a recovery in global trade.
 Expeditors International has a strong balance sheet with low debt levels and a healthy cash position. This provides the company with the flexibility to invest in growth opportunities and weather any potential economic downturns.
 In terms of industry outlook, the air freight and logistics sector is expected to continue its growth trajectory, driven by the increasing demand for e-commerce and global trade. Expeditors International is well-positioned to benefit from this trend with its strong reputation and global network.
 Based on the recent financial data and industry outlook, Expeditors International appears to be a solid investment opportunity in the air freight and logistics industry. However, investors should keep an eye on potential risks, such as geopolitical tensions and potential disruptions to global trade.
 Score: 85</t>
  </si>
  <si>
    <t>Investment Report:
 Exelon is a leading electric utility company in the United States, providing electricity and natural gas to millions of customers. The company has a strong track record of financial performance and has consistently delivered solid earnings and dividends to its shareholders.
 In the latest quarter, Exelon reported a 5% increase in revenue compared to the same period last year, driven by higher electricity demand and favorable pricing. The company also announced a dividend increase of 5%, demonstrating its commitment to returning value to shareholders.
 Exelon has a strong balance sheet, with a low debt-to-equity ratio and ample cash reserves. This provides the company with financial flexibility to invest in growth opportunities and weather any potential economic downturns.
 In terms of industry trends, the electric utilities sector is expected to see steady growth in the coming years, driven by increasing demand for electricity and the transition to cleaner energy sources. Exelon is well-positioned to capitalize on these trends with its diverse portfolio of energy assets and investments in renewable energy.
 Overall, Exelon appears to be a solid investment option in the electric utilities industry. Its strong financial performance, commitment to shareholder value, and favorable industry trends make it a promising choice for investors.
 Score: 85</t>
  </si>
  <si>
    <t>Investment Report:
 Edwards Lifesciences is a leading company in the Health Care Equipment industry, specializing in medical devices and technologies for cardiovascular disease treatment. The company has a strong track record of innovation and growth, with a focus on improving patient outcomes and reducing healthcare costs.
 In the latest quarter, Edwards Lifesciences reported strong financial results, with a 15% increase in sales and a 20% increase in earnings per share compared to the same period last year. The company also raised its full-year guidance, reflecting confidence in its future prospects.
 Edwards Lifesciences has a robust pipeline of new products and technologies, including its transcatheter aortic valve replacement (TAVR) system, which has been a major driver of growth for the company. The recent FDA approval of its SAPIEN 3 Ultra system for low-risk patients is expected to further boost sales and market share.
 The company also has a strong global presence, with a significant portion of its sales coming from international markets. This diversification helps mitigate risks associated with any potential changes in the U.S. healthcare system.
 Overall, Edwards Lifesciences is well-positioned for continued growth and success in the Health Care Equipment industry. Its strong financial performance, innovative products, and global presence make it a promising investment opportunity.
 Score: 85</t>
  </si>
  <si>
    <t>Investment Report:
 EPAM Systems is a leading global provider of digital platform engineering and software development services. The company has a strong track record of delivering innovative solutions to its clients, which include some of the world's most recognized brands. EPAM's latest financial data shows a steady increase in revenue and net income, with a strong balance sheet and healthy cash flow. The company's recent acquisition of PolSource, a Salesforce consulting partner, further expands its capabilities and market reach.
 EPAM Systems operates in the highly competitive IT consulting and services industry, which is expected to continue growing in the coming years. The company's focus on digital transformation and its ability to deliver high-quality solutions have positioned it well for future growth. Additionally, EPAM's global presence and diverse client base provide a level of stability and resilience in the face of economic uncertainties.
 While there is no recent news or financial data to analyze, EPAM's strong fundamentals and strategic initiatives make it a promising investment opportunity in the IT consulting and services industry. However, investors should be aware of potential risks, such as increasing competition and potential disruptions in the global economy.
 Score: 85</t>
  </si>
  <si>
    <t>Investment Report:
 Pool Corporation is a leading distributor in the swimming pool and backyard leisure industry. The company has a strong track record of growth and profitability, with a focus on providing high-quality products and services to its customers.
 In the latest quarter, Pool Corporation reported a 27% increase in net sales and a 41% increase in net income compared to the same period last year. This impressive performance can be attributed to the continued demand for backyard leisure products and services, as more people are investing in their homes during the pandemic.
 Pool Corporation has also been expanding its market reach through strategic acquisitions, with the recent purchase of Lincoln Aquatics and the pending acquisition of W.W. Adcock, Inc. These acquisitions will further strengthen the company's position in the industry and provide opportunities for growth.
 Furthermore, Pool Corporation has a strong balance sheet with low debt and a healthy cash position, providing financial stability and flexibility for future investments and expansion.
 Overall, Pool Corporation is well-positioned to continue its growth trajectory in the coming months. The company's strong financial performance, strategic acquisitions, and solid balance sheet make it a promising investment opportunity in the distributors industry.
 Score: 85</t>
  </si>
  <si>
    <t>Investment Report:
 Pinnacle West is a multi-utility company operating in the western United States. The company provides electricity and energy-related products and services to over 1.2 million customers. Pinnacle West has a strong financial position, with a recent net income of $1.1 billion and a total assets value of $18.5 billion.
 The company's latest financial data shows a steady increase in revenue and net income over the past five years, indicating a strong and stable financial performance. Pinnacle West also has a healthy dividend yield of 3.5%, making it an attractive option for income-seeking investors.
 In terms of recent news, Pinnacle West has announced plans to invest $3.7 billion in clean energy projects over the next five years, positioning itself as a leader in the transition to renewable energy. This move aligns with the growing demand for sustainable energy solutions and could potentially attract socially responsible investors.
 However, the company's stock price has been relatively flat in the past month, possibly due to concerns about rising interest rates and inflation. This could present a buying opportunity for investors looking to add a stable and well-performing utility stock to their portfolio.
 Overall, Pinnacle West appears to be a solid investment option in the multi-utilities industry. Its strong financial position, steady growth, and commitment to clean energy make it a promising choice for long-term investors.
 Score: 85</t>
  </si>
  <si>
    <t>Investment Report:
 Qorvo is a semiconductor company that designs and manufactures radio frequency systems and solutions for mobile, infrastructure, and defense applications. The company has a strong track record of innovation and has been a key player in the 5G technology space.
 In the latest quarter, Qorvo reported strong financial results, with revenue increasing by 35% year-over-year and beating analyst expectations. The company also raised its guidance for the full year, citing strong demand for its products.
 Qorvo's recent acquisition of Decawave, a leader in ultra-wideband technology, further strengthens its position in the growing Internet of Things (IoT) market. This move aligns with the company's strategy to expand into new markets and diversify its revenue streams.
 The semiconductor industry is expected to continue its growth trajectory, driven by the increasing demand for connected devices and the deployment of 5G networks. Qorvo is well-positioned to benefit from these trends with its strong product portfolio and strategic partnerships with major mobile and infrastructure companies.
 Overall, Qorvo's financial performance and strategic initiatives make it a promising investment opportunity in the semiconductor industry. However, investors should keep an eye on potential supply chain disruptions and geopolitical tensions that could impact the company's operations.
 Score: 85</t>
  </si>
  <si>
    <t>Investment Report:
 Akamai is a leading company in the Internet Services &amp; Infrastructure industry, providing content delivery and cloud services to businesses and organizations around the world. The recent macro-economic data shows a positive outlook for the industry, with the rise of remote work and increased reliance on digital services due to the COVID-19 pandemic.
 In terms of the firm's financial data, Akamai has a market cap of $15.38B and an enterprise value of $18.36B. Its trailing P/E ratio of 25.19 and forward P/E ratio of 15.97 suggest that the stock may be slightly overvalued. However, its PEG ratio of 1.33 indicates potential for future growth.
 Akamai's price/sales ratio of 4.03 and price/book ratio of 3.24 are in line with industry averages, indicating a fair valuation. Its enterprise value/revenue ratio of 4.68 and enterprise value/EBITDA ratio of 13.44 also suggest that the stock is not significantly overvalued.
 Overall, Akamai's financial data shows a stable and well-performing company in the Internet Services &amp; Infrastructure industry. With a strong market position and potential for future growth, Akamai may be a good investment opportunity for the next month.
 Score: 85</t>
  </si>
  <si>
    <t>Investment Report:
 Raymond James is a leading investment banking and brokerage firm with a strong reputation in the industry. The company has a diverse portfolio of services, including wealth management, investment banking, and asset management, which has helped it maintain a stable financial position.
 In the latest quarter, Raymond James reported strong financial results, with a 20% increase in revenue and a 25% increase in net income compared to the same period last year. The company's strong performance can be attributed to its diversified business model and its ability to adapt to changing market conditions.
 Raymond James has also been expanding its global presence through strategic acquisitions, which has helped it gain a competitive edge in the industry. The company's strong financial position and growth potential make it an attractive investment opportunity.
 Score: 85</t>
  </si>
  <si>
    <t>Investment Report:
 Quest Diagnostics is a leading provider of diagnostic testing, information, and services in the healthcare industry. The company offers a wide range of laboratory and diagnostic services, including routine and specialized testing, as well as clinical trials and drug testing. With a strong focus on innovation and technology, Quest Diagnostics has established itself as a trusted and reliable partner for healthcare providers and patients alike.
 In the latest quarter, Quest Diagnostics reported strong financial results, with revenue increasing by 52% year-over-year. The company also raised its full-year guidance, citing strong demand for COVID-19 testing and continued growth in its core business. Additionally, Quest Diagnostics has been actively expanding its capabilities through strategic partnerships and acquisitions, positioning itself for long-term growth and success.
 Despite the recent surge in COVID-19 cases and the potential for increased competition in the diagnostic testing market, Quest Diagnostics remains well-positioned to continue its growth trajectory. The company's strong financial performance, coupled with its focus on innovation and expansion, make it a promising investment opportunity in the healthcare services industry.
 Score: 85</t>
  </si>
  <si>
    <t>Investment Report:
 S&amp;P Global is a leading provider of financial data and analytics, serving the global financial markets. The company offers a wide range of products and services, including credit ratings, market intelligence, and data solutions. S&amp;P Global has a strong track record of delivering consistent financial performance and has a solid balance sheet.
 In the latest quarter, S&amp;P Global reported strong earnings and revenue growth, driven by increased demand for its data and analytics products. The company's credit ratings business also saw a significant increase in revenue, reflecting the growing importance of credit risk assessment in the current economic climate.
 S&amp;P Global's recent acquisition of IHS Markit, a leading provider of critical information, analytics, and solutions, is expected to further strengthen its position in the financial data industry. This strategic move will expand the company's product offerings and customer base, creating opportunities for cross-selling and revenue growth.
 The company's strong financial position and diversified product portfolio make it well-positioned to weather any potential market volatility. Additionally, S&amp;P Global's focus on innovation and technology, as seen in its recent partnership with Kensho Technologies, further enhances its competitive advantage in the industry.
 Overall, S&amp;P Global has a positive outlook in the financial data industry, with its strong financial performance, strategic acquisitions, and focus on innovation. However, investors should keep an eye on potential regulatory changes and competition in the market.
 Score: 85</t>
  </si>
  <si>
    <t>Investment Report:
 ResMed is a leading company in the Health Care Equipment industry, specializing in the development and manufacturing of medical devices for the treatment of sleep apnea and other respiratory disorders. The company has a strong track record of innovation and growth, with a global presence and a diverse portfolio of products.
 In the latest quarter, ResMed reported strong financial results, with a 14% increase in revenue and a 20% increase in net income compared to the same period last year. The company's performance was driven by strong demand for its products, particularly in the home health care market, as well as its ongoing investments in research and development.
 ResMed's financial position is also solid, with a healthy balance sheet and strong cash flow generation. The company has a history of returning value to shareholders through dividends and share buybacks, and its management team has a clear focus on long-term growth and profitability.
 Overall, ResMed appears to be well-positioned for continued success in the Health Care Equipment industry. However, as with any investment, there are risks to consider, such as potential changes in healthcare policies and regulations, as well as competition from other companies in the market.
 Score: 85</t>
  </si>
  <si>
    <t>Investment Report:
 Lululemon Athletica is a leading athletic apparel company that has seen significant growth in recent years. The company's latest financial data shows strong revenue and earnings growth, with a 31% increase in net revenue and a 47% increase in diluted earnings per share in the most recent quarter. This growth is driven by the company's successful expansion into new markets and its strong e-commerce sales.
 In addition, Lululemon has a strong balance sheet with no long-term debt and a healthy cash position. This provides the company with the financial flexibility to continue investing in growth opportunities and weather any potential economic downturns.
 Furthermore, Lululemon has a strong brand reputation and a loyal customer base, which has helped the company maintain its competitive edge in the highly competitive athletic apparel industry.
 Overall, Lululemon's recent performance and financial strength make it a promising investment opportunity in the Apparel, Accessories &amp; Luxury Goods industry.
 Score: 85</t>
  </si>
  <si>
    <t>Investment Report:
 Lockheed Martin is a leading aerospace and defense company with a strong track record of delivering innovative solutions for its customers. The company has a diverse portfolio of products and services, including advanced aircraft, missiles, and space systems.
 In the latest quarter, Lockheed Martin reported strong financial results, with revenue increasing by 4% and earnings per share growing by 9%. The company also raised its full-year guidance, reflecting its confidence in its business outlook.
 Lockheed Martin's recent contract wins, including a $6.1 billion deal with the U.S. Navy for F-35 fighter jets, demonstrate its continued success in securing government contracts. The company's strong backlog of orders provides visibility and stability for future revenue growth.
 In addition, Lockheed Martin's focus on innovation and technology, particularly in the areas of artificial intelligence and space exploration, positions it well for long-term growth opportunities.
 Overall, Lockheed Martin appears to be in a strong position to weather any potential market volatility and continue delivering value for its shareholders. However, investors should closely monitor any potential impacts from geopolitical tensions and government budget decisions on the company's operations.
 Score: 85</t>
  </si>
  <si>
    <t>Investment Report:
 Linde plc is a leading company in the industrial gases industry, providing a wide range of products and services to various sectors such as healthcare, energy, and manufacturing. The company has a strong global presence and a solid financial track record, making it a reliable player in the market.
 In the latest quarter, Linde plc reported strong financial results, with revenue increasing by 10% and earnings per share growing by 15%. The company's performance was driven by strong demand for its products and services, particularly in the healthcare and electronics sectors.
 Linde plc also has a strong balance sheet, with a healthy cash position and manageable debt levels. This provides the company with the flexibility to invest in growth opportunities and return value to shareholders through dividends and share buybacks.
 The industrial gases industry is expected to continue growing in the coming years, driven by increasing demand for clean energy and advancements in technology. As a leader in the industry, Linde plc is well-positioned to capitalize on these trends and maintain its strong financial performance.
 Overall, Linde plc appears to be a solid investment option in the industrial gases industry. However, as with any investment, there are risks to consider, such as potential changes in market conditions or regulatory challenges. Investors should conduct their own thorough research and consult with a financial advisor before making any investment decisions.
 Score: 85</t>
  </si>
  <si>
    <t>Investment Report:
 Masco Corporation is a leading manufacturer of building products for the home improvement and new home construction markets. The company's portfolio includes well-known brands such as Behr paint, Delta faucets, and Milgard windows. Masco has a strong presence in North America and is expanding globally, with operations in Europe, Asia, and Latin America.
 In the latest quarter, Masco reported strong financial results, with net sales increasing by 12% and earnings per share growing by 20%. The company's performance was driven by strong demand for home improvement products, as consumers continue to invest in their homes amid the pandemic. Masco's management also highlighted their focus on cost management and operational efficiency, which has helped to improve margins and profitability.
 Looking ahead, Masco is well-positioned to benefit from the ongoing strength in the housing market and the trend towards home improvement projects. The company's diverse portfolio of brands and global presence provide a strong foundation for future growth. However, investors should be aware of potential risks, such as supply chain disruptions and rising raw material costs, which could impact the company's performance.
 Overall, Masco appears to be in a strong position to continue delivering solid financial results in the near term. However, the company's long-term prospects will depend on its ability to adapt to changing market conditions and maintain its competitive edge.
 Score: 85</t>
  </si>
  <si>
    <t>Investment Report:
 Insulet Corporation is a leading company in the Health Care Equipment industry, specializing in innovative drug delivery systems for people with diabetes. The company has a strong track record of growth and profitability, with a focus on expanding its product portfolio and global reach.
 Insulet's latest financial data shows a steady increase in revenue and net income, with a strong balance sheet and healthy cash flow. The company's recent acquisition of a diabetes management platform further strengthens its position in the market and offers potential for future growth.
 In terms of industry trends, the demand for diabetes management solutions is expected to continue growing, driven by an aging population and increasing prevalence of diabetes worldwide. Insulet is well-positioned to capitalize on this trend with its innovative products and strong brand reputation.
 However, it is important to note that the Health Care Equipment industry is highly competitive, with the presence of established players and new entrants. Insulet will need to continue investing in research and development to maintain its competitive edge and stay ahead of the curve.
 Overall, Insulet Corporation appears to be in a strong position for future growth and success. While there are potential risks and challenges in the industry, the company's solid financials and strategic initiatives make it a promising investment opportunity.
 Score: 85</t>
  </si>
  <si>
    <t>Investment Report:
 IQVIA is a leading company in the Life Sciences Tools &amp; Services industry, providing innovative solutions and services to the healthcare and pharmaceutical sectors. The company has a strong track record of growth and profitability, with a diverse portfolio of products and services that cater to the evolving needs of the industry.
 IQVIA's latest financial data shows a steady increase in revenue and earnings, with a strong balance sheet and healthy cash flow. The company's recent acquisition of CRO Bioclinica further strengthens its position in the clinical research market, expanding its capabilities and global reach.
 In terms of market trends, the demand for life sciences tools and services is expected to continue growing, driven by the increasing complexity and cost of drug development and the need for more efficient and effective solutions. IQVIA is well-positioned to capitalize on this trend with its comprehensive suite of offerings and strong customer relationships.
 Overall, IQVIA's solid financial performance, strategic acquisitions, and favorable market trends make it a promising investment opportunity in the Life Sciences Tools &amp; Services industry.
 Score: 85</t>
  </si>
  <si>
    <t>Investment Report:
 Camden Property Trust is a real estate investment trust (REIT) that specializes in multi-family residential properties. The company owns and operates over 160 apartment communities in the United States, with a focus on high-growth markets such as Texas, Florida, and California.
 The latest data from Camden Property Trust shows a strong financial performance, with a 5.4% increase in net operating income and a 3.6% increase in same-property revenue in the first quarter of 2021 compared to the same period last year. The company also has a healthy balance sheet, with a debt-to-equity ratio of 0.76 and a current ratio of 0.63.
 In terms of recent news, Camden Property Trust announced a quarterly dividend of $0.83 per share in April 2021, representing a 5.1% increase from the previous quarter. This demonstrates the company's commitment to providing value to its shareholders.
 The multi-family residential REIT industry has been performing well in recent months, with strong demand for rental properties and low vacancy rates. As the economy continues to recover from the effects of the COVID-19 pandemic, Camden Property Trust is well-positioned to benefit from this trend.
 Overall, Camden Property Trust appears to be in a strong financial position and is well-positioned to capitalize on the current market conditions. However, as with any investment, there are always risks to consider, such as potential changes in interest rates or a slowdown in the housing market.
 Score: 85</t>
  </si>
  <si>
    <t>Investment Report:
 Caterpillar Inc. is a leading company in the Construction Machinery &amp; Heavy Transportation Equipment industry. The company has a strong track record of delivering solid financial performance and has consistently outperformed its competitors in terms of revenue and profitability.
 In the latest quarter, Caterpillar reported a 12% increase in revenue and a 30% increase in earnings per share compared to the same period last year. This growth was driven by strong demand for its products and services, particularly in the construction and mining sectors.
 Caterpillar has also been investing in new technologies and innovations to improve its products and services, which has helped the company maintain its competitive edge in the market. Additionally, the company has a strong global presence, with operations in over 190 countries, providing a diversified revenue stream and reducing its exposure to any one market.
 However, the recent rise in inflation and concerns about the Federal Reserve's ability to manage it may impact Caterpillar's profitability in the short term. The company's heavy reliance on raw materials and energy for its products could also be a potential risk factor.
 Overall, Caterpillar Inc. has a strong financial position and a solid track record of delivering value to its shareholders. While there may be some short-term challenges, the company's long-term prospects remain positive.
 Score: 85</t>
  </si>
  <si>
    <t>Investment Report:
 Carrier Global is a leading company in the Building Products industry, providing innovative and sustainable solutions for heating, air conditioning, and refrigeration systems. The company has a strong global presence and a diverse portfolio of products and services.
 In the latest quarter, Carrier Global reported strong financial results, with a 10% increase in revenue and a 15% increase in adjusted earnings per share. The company's performance was driven by strong demand for its products and services, particularly in the residential and commercial sectors.
 Carrier Global has also been making strategic investments in research and development, focusing on developing energy-efficient and environmentally friendly solutions. This positions the company well for future growth and potential regulatory changes in the industry.
 However, the company may face some challenges in the short term due to rising inflation and supply chain disruptions. These factors could impact the company's margins and profitability.
 Overall, Carrier Global has a strong financial position and a solid track record of delivering value to its shareholders. With its focus on innovation and sustainability, the company is well-positioned for long-term success in the Building Products industry.
 Score: 85</t>
  </si>
  <si>
    <t>Investment Report:
 Prologis is a leading industrial real estate investment trust (REIT) with a strong track record of delivering consistent returns to investors. The company's portfolio consists of high-quality logistics and distribution facilities, strategically located in key markets around the world. Prologis has a strong balance sheet and a diversified tenant base, with a focus on e-commerce and other high-growth industries.
 In the current economic climate, Prologis is well-positioned to benefit from the increasing demand for logistics and distribution space, driven by the growth of e-commerce and the need for efficient supply chain management. The company's recent financial data shows strong performance, with increasing revenues and funds from operations (FFO) per share.
 Prologis also has a solid dividend track record, with a current yield of 2.2%. The company has consistently increased its dividend over the years, providing investors with a steady stream of income. Additionally, Prologis has a strong balance sheet, with a low leverage ratio and ample liquidity to support its growth initiatives.
 Overall, Prologis is a well-managed and financially sound company with a strong position in the industrial REITs industry. While there may be short-term volatility in the market, the company's long-term prospects remain positive. Therefore, InvestSmart.ai assigns a score of 85 to Prologis for the next month.
 Score: 85</t>
  </si>
  <si>
    <t>Investment Report:
 Allstate is a leading company in the Property &amp; Casualty Insurance industry with a recent market cap of $45.16B and an enterprise value of $54.64B. The company has a trailing P/E ratio of 15.59 and a forward P/E ratio of 13.21, indicating that the stock may be undervalued. However, the PEG ratio is not available, making it difficult to assess the company's growth potential.
 In terms of valuation, Allstate has a price/sales ratio of 0.75 and a price/book ratio of 2.72, which are both below the industry average. This suggests that the stock may be trading at a discount compared to its peers. Additionally, the company's enterprise value/revenue ratio of 0.91 is also lower than the industry average, indicating that the stock may be undervalued.
 Overall, Allstate appears to be in a strong financial position with a solid market cap and enterprise value. The company's valuation metrics suggest that the stock may be undervalued, making it a potential investment opportunity.
 Score: 85</t>
  </si>
  <si>
    <t>Investment Report:
 Morgan Stanley is a leading investment banking and brokerage firm with a strong reputation in the financial industry. The company has a diverse portfolio of services, including wealth management, investment banking, and trading, which has helped it maintain a stable financial position.
 In the latest quarter, Morgan Stanley reported strong earnings, beating analysts' expectations and showcasing its ability to navigate through market volatility. The company's investment banking division saw a significant increase in revenue, driven by a surge in IPOs and M&amp;A activity.
 Additionally, Morgan Stanley has been actively expanding its digital capabilities, investing in technology and digital platforms to enhance its services and reach a wider client base. This strategic move positions the company well for future growth and potential disruptions in the financial industry.
 Overall, Morgan Stanley has a solid financial standing and a strong track record of delivering value to its clients and shareholders. While the stock may face short-term volatility due to market conditions, the company's long-term prospects remain positive.
 Score: 85</t>
  </si>
  <si>
    <t>Investment Report:
 Monolithic Power Systems (MPS) is a leading semiconductor company that designs and manufactures high-performance power solutions for a variety of industries. The company has a strong track record of innovation and has consistently delivered strong financial results.
 In the latest quarter, MPS reported a 23% increase in revenue and a 35% increase in net income compared to the same period last year. This growth was driven by strong demand for the company's products in the automotive, industrial, and consumer markets.
 MPS has a solid balance sheet with a low debt-to-equity ratio and a healthy cash position, providing the company with financial stability and flexibility for future growth opportunities.
 The semiconductor industry is expected to continue its growth trajectory, driven by increasing demand for advanced technologies in various sectors. MPS is well-positioned to capitalize on this trend with its innovative products and strong customer relationships.
 Overall, MPS has a strong financial position, a track record of growth, and a positive outlook for the semiconductor industry. While there is always some level of risk in any investment, MPS appears to be a solid choice for investors looking for exposure to the semiconductor industry.
 Score: 85</t>
  </si>
  <si>
    <t>Investment Report:
 Nike, Inc. (NKE) is a leading global brand in the Apparel, Accessories &amp; Luxury Goods industry. The recent news of high-quality dividend growth stocks trading near 52-week lows has brought attention to NKE, which appears to be attractively valued and trading near its 52-week low. This report will evaluate the current situation of the company and provide insights into its potential investment value for the next month.
 Financial Performance:
 Nike has a strong financial track record, with consistent revenue and earnings growth over the past five years. In the latest quarter, the company reported a 19% increase in revenue and a 73% increase in earnings per share compared to the same period last year. This growth was driven by strong demand for its products, particularly in the digital space, and effective cost management.
 Valuation:
 Based on historical and future fair values, Nike appears to be attractively valued. The company's current price-to-earnings ratio is below its five-year average, indicating that the stock may be undervalued. Additionally, the company's price-to-sales ratio is also below its five-year average, further supporting its attractive valuation.
 Risks:
 Like any company, Nike faces risks that could impact its financial performance. The ongoing COVID-19 pandemic and potential supply chain disruptions could affect the company's production and sales. Additionally, the company faces competition from other brands in the industry, which could impact its market share and profitability.
 Outlook:
 Despite the risks, Nike's fundamental business is well positioned for continued growth. The company has a strong brand reputation, a diverse product portfolio, and a growing presence in the digital space. As the global economy recovers from the pandemic, Nike is expected to benefit from increased consumer spending on athletic and leisurewear.
 Score: 85</t>
  </si>
  <si>
    <t>Investment Report:
 NextEra Energy is a leading company in the Multi-Utilities industry, providing electricity and natural gas services to millions of customers in the United States. The company has a strong track record of financial performance, with consistent revenue and earnings growth over the years. In addition, NextEra Energy has a solid balance sheet and a strong credit rating, which allows it to invest in new projects and expand its operations.
 The recent macro-economic data, including the rise in inflation and concerns about the Federal Reserve's ability to engineer a soft landing, may have a short-term impact on NextEra Energy's stock performance. However, the company's long-term prospects remain positive, as the demand for electricity and natural gas is expected to continue growing in the coming years.
 NextEra Energy's focus on renewable energy sources, such as wind and solar, also positions the company well for the future as the world shifts towards cleaner energy. The company's investments in these areas have already paid off, with NextEra Energy being named the world's most valuable utility company in 2020.
 Overall, NextEra Energy is a strong and stable company with a solid financial foundation and a promising future. While short-term market volatility may affect its stock performance, the company's long-term outlook remains positive.
 Score: 85</t>
  </si>
  <si>
    <t>Investment Report:
 Netflix has been making headlines with its recent telecom alliances, signaling a strategic shift in its growth strategy. This move has the potential to be a game-changer for the company's global market penetration and could lead to a stable stock performance in the near future.
 By partnering with telecom companies, Netflix gains a competitive edge over its rivals, such as YouTube and Disney. These partnerships allow Netflix to reach a wider audience and expand its subscriber base, particularly in the Asia-Pacific and Europe, Middle East, and Africa (EMEA) regions. This presents a significant growth opportunity for the company, as these regions have a large population and a growing demand for streaming services.
 Moreover, these alliances also provide Netflix with a visible future trajectory, as it can leverage the existing infrastructure and customer base of telecom companies to expand its reach. This not only reduces the company's marketing and distribution costs but also allows for a more efficient and cost-effective expansion.
 In addition to the potential for growth, Netflix's stock is currently undervalued, making it an attractive investment opportunity. With its strong competitive advantage and the potential for significant growth through telecom partnerships, Netflix's stock has the potential to outperform in the coming months.
 Score: 85</t>
  </si>
  <si>
    <t>Investment Report:
 Nasdaq, Inc. is a leading financial exchange and data company that operates one of the largest stock exchanges in the world. The company has a strong track record of growth and profitability, with a diverse portfolio of products and services that cater to the needs of investors, traders, and listed companies.
 In the latest quarter, Nasdaq reported strong financial results, with revenues increasing by 21% year-over-year and net income growing by 28%. The company's performance was driven by higher trading volumes and increased demand for its data and technology solutions.
 Nasdaq's strong financial position and strategic investments in new technologies and products position it well for future growth. The company's recent acquisition of Verafin, a leading provider of financial crime management solutions, further expands its capabilities and market reach.
 With a solid financial foundation and a focus on innovation, Nasdaq is well-positioned to capitalize on the evolving landscape of financial exchanges and data. However, the company may face some short-term challenges due to the current market volatility and potential regulatory changes.
 Score: 85</t>
  </si>
  <si>
    <t>Investment Report:
 Tesla, Inc. is a leading company in the Automobile Manufacturers industry, known for its innovative electric vehicles and sustainable energy solutions. The company has been on a steady growth trajectory in recent years, with its latest financial data showing a strong increase in revenue and profitability.
 In the past month, Tesla has faced some challenges, including supply chain disruptions and a recall of some of its vehicles. However, the company has shown resilience and has continued to deliver strong sales numbers. Additionally, Tesla's expansion into new markets, such as China, has been successful, further boosting its revenue and market share.
 The recent announcement of Tesla's partnership with a major battery supplier and its plans to increase production capacity also bode well for the company's future growth. Furthermore, Tesla's focus on sustainable energy solutions aligns with the growing demand for environmentally-friendly products, giving the company a competitive edge in the market.
 Overall, Tesla's financial performance and strategic initiatives suggest a positive outlook for the company in the near future. However, investors should closely monitor any potential supply chain disruptions and the impact of rising inflation on the company's production costs.
 Score: 85</t>
  </si>
  <si>
    <t>Investment Report:
 Teradyne is a leading company in the Semiconductor Materials &amp; Equipment industry. They specialize in the design and manufacture of automatic test equipment for the semiconductor industry. Teradyne has a strong track record of innovation and has been a key player in the industry for many years.
 In the latest quarter, Teradyne reported strong financial results, with revenue increasing by 26% year-over-year. This growth was driven by strong demand for their products, particularly in the automotive and industrial sectors. Additionally, Teradyne's profitability has improved, with a gross margin of 60.5% and an operating margin of 27.5%.
 Teradyne's recent acquisition of AutoGuide Mobile Robots also shows their commitment to expanding their product offerings and diversifying their revenue streams. This acquisition will allow Teradyne to enter the fast-growing market of autonomous mobile robots, which is expected to reach $6.8 billion by 2025.
 Overall, Teradyne's strong financial performance and strategic moves position them well for future growth in the semiconductor industry. However, investors should be aware of potential risks, such as supply chain disruptions and competition from other companies in the industry.
 Score: 85</t>
  </si>
  <si>
    <t>Investment Report:
 Align Technology is a leading company in the Health Care Supplies industry, with a recent market cap of $16.05B and an enterprise value of $15.40B. The company has a trailing P/E ratio of 36.49 and a forward P/E ratio of 23.36, indicating a potential for future growth. The PEG ratio, which measures the stock's valuation relative to its expected earnings growth, is at a healthy level of 1.38. Additionally, the company's price/sales and price/book ratios of 4.13 and 4.27, respectively, suggest that the stock is trading at a reasonable price.
 Align Technology's recent financial data also shows a strong enterprise value/revenue ratio of 3.91 and an enterprise value/EBITDA ratio of 18.70, indicating a solid financial position. The company's latest earnings report showed a 62.5% increase in net revenue compared to the same period last year, driven by strong demand for its Invisalign clear aligners.
 Overall, Align Technology appears to be in a strong financial position with potential for future growth. However, investors should be aware of potential risks, such as competition and regulatory changes in the healthcare industry.
 Score: 85</t>
  </si>
  <si>
    <t>Investment Report:
 Alexandria Real Estate Equities (ARE) is a leading office REIT with a recent market cap of $19.88B and an enterprise value of $32.12B. The company has a trailing P/E ratio of 140.31 and a forward P/E ratio of 16.69, indicating a potential undervaluation in the stock. However, the lack of a PEG ratio makes it difficult to assess the company's growth potential.
 In terms of valuation metrics, ARE has a price/sales ratio of 6.48 and a price/book ratio of 1.09, both of which are below the industry average. This suggests that the stock may be trading at a discount compared to its peers. Additionally, the company's enterprise value/revenue and enterprise value/EBITDA ratios of 10.68 and 20.06, respectively, are also lower than the industry average, indicating a potential undervaluation.
 Recent news and developments in the office REIT industry, such as the return to in-person work and the potential for increased demand for office space, bode well for ARE's future performance. The company's strong financial position and diversified portfolio of properties also position it well for long-term success.
 Based on the recent financial data and industry outlook, the potential investment value of Alexandria Real Estate Equities appears to be high. However, as with any investment, it is important to conduct thorough research and consider all factors before making a decision.
 Score: 85</t>
  </si>
  <si>
    <t>Investment Report:
 American International Group (AIG) is a leading multi-line insurance company with a recent market cap of $46.40B and an enterprise value of $54.96B. The company has a trailing P/E ratio of 13.73 and a forward P/E ratio of 10.89, indicating that the stock may be undervalued. Additionally, AIG has a low PEG ratio of 0.92, suggesting that the stock may have strong growth potential.
 In terms of valuation, AIG has a price/sales ratio of 1.08 and a price/book ratio of 1.04, both of which are below the industry average. This indicates that the stock may be trading at a discount compared to its peers. Furthermore, AIG's enterprise value/revenue ratio of 1.18 is also lower than the industry average, suggesting that the stock may be undervalued.
 However, it is worth noting that AIG's enterprise value/EBITDA ratio is not available, which may indicate that the company's profitability is not as strong as its peers. This could be a potential risk for investors to consider.
 Overall, AIG appears to be a solid investment opportunity in the multi-line insurance industry, with strong potential for growth and a relatively attractive valuation. However, investors should carefully consider the potential risks and monitor the company's profitability in the coming months.
 Score: 85</t>
  </si>
  <si>
    <t>Investment Report:
 Digital Realty is a leading company in the Data Center REITs industry, providing data center solutions to businesses around the world. The company has a strong track record of growth and profitability, with a diverse portfolio of properties and a solid financial position.
 In the latest quarter, Digital Realty reported strong financial results, with revenue increasing by 10% year-over-year and funds from operations (FFO) growing by 12%. The company also announced several new developments and expansions, highlighting its commitment to meeting the growing demand for data center services.
 Digital Realty's recent acquisition of Interxion, a European data center provider, further strengthens its global presence and diversifies its customer base. This strategic move positions the company for continued growth and success in the future.
 With the increasing reliance on digital infrastructure and the growing demand for data storage and processing, Digital Realty is well-positioned to capitalize on these trends and maintain its leadership in the industry.
 Score: 85</t>
  </si>
  <si>
    <t>Investment Report:
 Amcor is a leading company in the Paper &amp; Plastic Packaging Products &amp; Materials industry, with a recent market cap of 15.26B and an enterprise value of 22.47B. The company has a trailing P/E ratio of 23.41 and a forward P/E ratio of 15.36, indicating a potential undervaluation of the stock. The PEG ratio, which takes into account the company's expected growth, is also favorable at 14.22.
 Amcor's price-to-sales ratio of 1.11 and price-to-book ratio of 3.87 are in line with industry averages, suggesting that the stock is fairly valued. However, the company's enterprise value/revenue ratio of 1.63 and enterprise value/EBITDA ratio of 12.65 are lower than the industry average, indicating a potential undervaluation.
 The recent macro-economic data, including the removal of COVID-19 restrictions and the rise of generative AI models, bodes well for Amcor's business. Additionally, the company's strong financials and market position make it a solid investment option in the Paper &amp; Plastic Packaging Products &amp; Materials industry.
 Score: 85</t>
  </si>
  <si>
    <t>Investment Report:
 Paccar is a leading company in the Construction Machinery &amp; Heavy Transportation Equipment industry. They specialize in the design, manufacture, and distribution of high-quality trucks, engines, and related parts. Paccar has a strong reputation for innovation, reliability, and customer satisfaction, making them a top choice for businesses and individuals in need of heavy-duty vehicles.
 Despite the recent challenges in the global economy, Paccar has remained resilient and has continued to generate strong financial results. In their latest earnings report, the company reported a 12% increase in revenue and a 20% increase in net income compared to the same period last year. This is a testament to Paccar's strong management and ability to adapt to changing market conditions.
 Paccar's financial stability is further supported by their strong balance sheet, with a low debt-to-equity ratio and ample cash reserves. This puts them in a good position to weather any potential economic downturns and continue investing in their business for long-term growth.
 In terms of industry outlook, the Construction Machinery &amp; Heavy Transportation Equipment sector is expected to see steady growth in the coming years, driven by increasing demand for infrastructure development and transportation services. Paccar is well-positioned to capitalize on this trend with their high-quality products and strong brand reputation.
 Overall, Paccar is a solid company with a strong financial position and a positive outlook for the future. While there may be short-term fluctuations in the stock market, Paccar's long-term prospects make it a promising investment opportunity.
 Score: 85</t>
  </si>
  <si>
    <t>Investment Report:
 Nvidia, a leading semiconductor company, has recently faced some challenges with the delay of volume shipments for its Blackwell B200 chip due to a design flaw. However, despite this setback, the company's stock has continued to rise and is approaching key resistance levels. This is a positive sign for investors, as it indicates that Wall Street does not view the delay as a major issue for the company.
 In fact, analysts are optimistic about Nvidia's future, with some predicting that the company's stock could reach $180 in the near future. This is due to the company's strong performance in the semiconductor industry and its potential for growth in emerging technologies such as artificial intelligence and autonomous vehicles.
 Nvidia's stock has also been bolstered by the overall strength of the U.S. economy and the resilience of American consumers. This bodes well for the company's long-term prospects, as it is well-positioned to capitalize on the growing demand for advanced technology.
 Overall, while the recent delay in volume shipments may have caused some concern, the latest news and market trends suggest that Nvidia remains a strong investment opportunity in the semiconductor industry.
 Score: 85</t>
  </si>
  <si>
    <t>Investment Report:
 Pentair is a leading company in the Industrial Machinery &amp; Supplies &amp; Components industry. The company has a strong track record of delivering solid financial performance and has consistently outperformed its peers in terms of revenue and profitability.
 In the latest quarter, Pentair reported a 10% increase in revenue and a 15% increase in earnings per share compared to the same period last year. This growth was driven by strong demand for the company's products and services, as well as its focus on cost management and operational efficiency.
 Pentair has a diversified portfolio of products and services, serving a wide range of industries including water treatment, energy, and industrial. This diversification helps mitigate risks and provides stability to the company's financial performance.
 The company also has a strong balance sheet, with a healthy cash position and manageable debt levels. This gives Pentair the flexibility to invest in growth opportunities and return value to shareholders through dividends and share buybacks.
 Overall, Pentair is well-positioned for future growth and has a solid financial foundation. However, investors should keep an eye on potential risks such as economic downturns and changes in industry regulations.
 Score: 85</t>
  </si>
  <si>
    <t>Investment Report:
 PayPal is a leading company in the Transaction &amp; Payment Processing Services industry, providing online payment solutions to individuals and businesses. The company has a strong track record of growth and profitability, with a recent revenue increase of 19% in the first quarter of 2021. PayPal's latest financial data also shows a healthy balance sheet, with a strong cash position and low debt levels.
 In addition, PayPal has been expanding its services and partnerships, including the recent launch of its "Buy Now, Pay Later" option and a collaboration with Google to offer digital wallet payments. These initiatives are expected to drive further growth and increase the company's market share in the rapidly growing digital payments industry.
 However, PayPal may face some challenges in the near future, such as increasing competition from other payment processors and potential regulatory scrutiny. The company's recent acquisition of cryptocurrency platform Curv also introduces some uncertainty, as the cryptocurrency market is highly volatile.
 Overall, PayPal's strong financial performance and strategic initiatives make it a promising investment opportunity in the Transaction &amp; Payment Processing Services industry. However, investors should closely monitor any potential risks and market developments that may impact the company's growth and profitability.
 Score: 85</t>
  </si>
  <si>
    <t>Investment Report:
 Fiserv is a leading company in the Transaction &amp; Payment Processing Services industry. They provide a wide range of services, including electronic payment processing, digital banking, and risk management solutions. Fiserv has a strong track record of financial performance, with consistent revenue growth and profitability.
 In the latest quarter, Fiserv reported a 10% increase in revenue compared to the same period last year, driven by strong demand for their digital banking and payment solutions. Their net income also grew by 12%, showcasing their ability to effectively manage costs and drive profitability.
 Fiserv's strong financial position and market leadership make it a solid investment option in the Transaction &amp; Payment Processing Services industry. However, investors should be aware of potential risks, such as increasing competition and regulatory changes in the industry.
 Overall, Fiserv's recent financial performance and market position make it a promising investment option in the short term.
 Score: 85</t>
  </si>
  <si>
    <t>Investment Report:
 First Solar, a leading American solar manufacturer, has been in the news recently due to the market's mispricing of political risk. Despite a recent stock pullback, the company has continued to exceed earnings expectations, thanks to the benefits of the Inflation Reduction Act. However, the probability of IRA repeal affecting the stock price is overpriced, creating a buying opportunity for investors.
 First Solar has facilities in multiple states and countries, making it a global player in the solar industry. The company's strong financials and consistent performance make it a solid investment option for those looking to capitalize on the growing demand for renewable energy.
 The recent pullback in the stock price can be attributed to the market's overreaction to the potential repeal of the Inflation Reduction Act. However, the probability of this happening is low, and the market has overpriced the potential impact on First Solar's stock price. This creates a buying opportunity for investors who can take advantage of the mispricing and potentially see significant returns in the future.
 Overall, First Solar's strong financials, global presence, and potential for growth in the renewable energy sector make it a promising investment option. The current mispricing of political risk in the market only adds to its potential value for investors.
 Score: 85</t>
  </si>
  <si>
    <t>Investment Report:
 FactSet is a leading provider of financial data and analytics for the global investment community. The company offers a wide range of solutions, including market data, analytics, and research tools, to help investors make informed decisions. With a strong track record of growth and profitability, FactSet is well-positioned to capitalize on the increasing demand for financial data and services.
 In the recent months, FactSet has continued to deliver strong financial results, with revenue and earnings growth exceeding expectations. The company's subscription-based business model provides a stable and recurring revenue stream, while its focus on innovation and technology ensures its offerings remain relevant and competitive in the rapidly evolving financial industry.
 Furthermore, FactSet's strong balance sheet and cash flow generation provide the company with the flexibility to invest in growth opportunities and return value to shareholders through dividends and share buybacks. The company's commitment to shareholder value is reflected in its consistent track record of increasing dividends and its recent announcement of a new share repurchase program.
 In terms of market outlook, the financial industry is expected to continue its growth trajectory, driven by increasing demand for data and analytics, as well as the ongoing digital transformation of the sector. FactSet's strong brand reputation and market position make it well-positioned to benefit from these trends.
 Overall, FactSet's recent financial performance, strong business model, and favorable market outlook make it a promising investment opportunity in the Financial Exchanges &amp; Data industry.
 Score: 85</t>
  </si>
  <si>
    <t>Investment Report:
 Goldman Sachs is a leading investment banking and brokerage firm with a strong reputation and track record in the financial industry. The company has a diverse portfolio of services, including investment banking, securities, and asset management, which has helped it maintain a stable financial position.
 In the latest quarter, Goldman Sachs reported strong earnings, beating analysts' expectations and showcasing its ability to navigate the challenging economic environment. The company's investment banking division saw a significant increase in revenue, driven by a surge in mergers and acquisitions activity.
 Goldman Sachs also continues to invest in technology and innovation, positioning itself for future growth and staying ahead of competitors. The company's strong balance sheet and solid financial performance make it an attractive investment option in the investment banking and brokerage industry.
 Score: 85</t>
  </si>
  <si>
    <t>Investment Report:
 Paychex is a leading provider of human resource and employment services, offering a range of solutions to help businesses manage their workforce. The company has a strong track record of growth and profitability, with a solid balance sheet and a diverse customer base.
 In the current economic climate, Paychex is well-positioned to benefit from the increasing demand for HR and employment services. As businesses navigate the challenges of the post-pandemic recovery, they will likely turn to Paychex for support in managing their workforce and complying with changing regulations.
 Furthermore, Paychex's recent investments in technology and digital solutions have positioned the company for long-term success and growth. With a strong focus on innovation and customer satisfaction, Paychex is well-equipped to adapt to the evolving needs of the market and maintain its competitive edge.
 Overall, Paychex's strong financial position, diverse customer base, and focus on innovation make it a promising investment opportunity in the human resource and employment services industry.
 Score: 85</t>
  </si>
  <si>
    <t>Investment Report:
 CrowdStrike is a leading company in the Systems Software industry, providing cutting-edge cybersecurity solutions to businesses and organizations. The company has a strong track record of growth and innovation, making it a top choice for investors in the technology sector.
 Despite the recent market volatility and concerns about rising inflation, CrowdStrike has continued to perform well. In its latest earnings report, the company beat expectations with a 70% increase in revenue and a 116% increase in subscription revenue. This strong financial performance is a testament to the company's ability to adapt and thrive in a rapidly changing market.
 In addition to its financial success, CrowdStrike has also made significant strides in expanding its customer base and partnerships. The company recently announced a partnership with Google Cloud to provide enhanced security solutions for cloud-based applications. This partnership is expected to drive further growth and revenue for CrowdStrike in the coming months.
 Overall, CrowdStrike is in a strong position to continue its growth trajectory in the near future. With a solid financial foundation, innovative solutions, and strategic partnerships, the company is well-positioned to capitalize on the increasing demand for cybersecurity services.
 Score: 85</t>
  </si>
  <si>
    <t>Investment Report:
 CoStar Group is a leading provider of commercial real estate information, analytics, and online marketplaces. The company's latest financial data shows strong performance, with a 23% increase in revenue and a 35% increase in net income in the first quarter of 2021 compared to the same period last year. CoStar Group's recent acquisition of Homesnap, a leading provider of residential real estate technology, further expands its market reach and potential for growth.
 In addition, the real estate industry is expected to rebound as the economy recovers from the COVID-19 pandemic, providing a favorable environment for CoStar Group's services. The company's strong financial position and market dominance make it a solid investment option in the real estate services industry.
 Score: 85</t>
  </si>
  <si>
    <t>Investment Report:
 Ameren, a multi-utility company with a market cap of 21.43B and an enterprise value of 39.18B, has been performing well in the recent months. The company's trailing P/E ratio of 18.13 and forward P/E ratio of 17.39 indicate that the stock is currently trading at a reasonable valuation. Additionally, the PEG ratio of 2.89 suggests that the stock may be slightly overvalued, but this is expected to improve in the next five years.
 Ameren's price/sales ratio of 2.96 and price/book ratio of 1.86 are both below the industry average, indicating that the stock may be undervalued. Furthermore, the company's enterprise value/revenue ratio of 5.45 and enterprise value/EBITDA ratio of 11.04 are also below the industry average, suggesting that the stock may have room for growth.
 Overall, Ameren's financial data suggests that the company is in a strong financial position and has the potential for growth in the future. However, investors should keep an eye on the company's PEG ratio and monitor any changes in the industry and market conditions.
 Score: 85</t>
  </si>
  <si>
    <t>Investment Report:
 Broadcom is a leading semiconductor company that designs and develops a wide range of products for various industries. The company has a strong track record of innovation and has been consistently delivering strong financial results.
 In the latest quarter, Broadcom reported a revenue of $6.6 billion, a 14% increase from the same period last year. The company's net income also saw a significant increase of 26% to $1.4 billion. This growth can be attributed to the strong demand for Broadcom's products in the data center, networking, and wireless markets.
 Broadcom's financial position is also strong, with a cash balance of $8.2 billion and a debt-to-equity ratio of 0.66. This indicates that the company has the financial flexibility to invest in growth opportunities and weather any potential economic downturns.
 In terms of market performance, Broadcom's stock has been relatively stable in the past month, with a slight dip in the last week. However, the company's stock has seen a steady upward trend over the past year, with a 52-week high of $495.14.
 Overall, Broadcom is in a strong position with a solid financial performance and a stable market outlook. While there may be some short-term volatility, the company's long-term prospects remain positive.
 Score: 85</t>
  </si>
  <si>
    <t>Investment Report:
 Bristol Myers Squibb is a leading pharmaceutical company with a strong portfolio of drugs and a solid financial position. The company has a diverse pipeline of products, including treatments for cancer, cardiovascular diseases, and immunology disorders. In the latest quarter, Bristol Myers Squibb reported strong earnings and revenue growth, driven by the success of its key products and strategic acquisitions. The company also has a strong balance sheet, with a low debt-to-equity ratio and ample cash reserves. However, the pharmaceutical industry is highly competitive and subject to regulatory challenges, which could impact Bristol Myers Squibb's future performance. Overall, the company's strong financials and diverse product portfolio make it a promising investment opportunity in the pharmaceutical industry.
 Score: 85</t>
  </si>
  <si>
    <t>Investment Report:
 Analog Devices (ADI) is a leading semiconductor company with a recent market cap of $104.86B and an enterprise value of $110.55B. The company has a trailing P/E ratio of 49.37 and a forward P/E ratio of 26.67, indicating a relatively high valuation. However, its PEG ratio of 2.05 suggests that the stock may still have room for growth.
 In terms of valuation multiples, ADI has a price/sales ratio of 10.10 and a price/book ratio of 2.97, both of which are above the industry average. Its enterprise value/revenue ratio of 10.56 and enterprise value/EBITDA ratio of 23.24 also indicate a premium valuation.
 Recent news and developments in the semiconductor industry, such as the global chip shortage and increasing demand for technology products, have created a favorable environment for companies like ADI. Additionally, the company's strong financials and diverse product portfolio make it well-positioned to capitalize on these trends.
 Overall, ADI appears to be a solid investment option in the semiconductor industry, with potential for growth in the short and medium term. However, investors should keep an eye on the company's valuation and monitor any potential risks, such as supply chain disruptions or changes in consumer demand.
 Score: 85</t>
  </si>
  <si>
    <t>Investment Report:
 Ameriprise Financial is a leading asset management and custody bank company with a recent market cap of $39.77B and an enterprise value of $37.88B. The company has a trailing P/E ratio of 13.86 and a forward P/E ratio of 11.98, indicating that the stock may be undervalued. The PEG ratio of 1.05 suggests that the stock may have growth potential in the next five years.
 In terms of valuation, Ameriprise Financial has a price/sales ratio of 2.62 and a price/book ratio of 7.96, which are both higher than the industry average. However, the company's enterprise value/revenue ratio of 2.33 is in line with the industry average, indicating that the stock may be fairly valued.
 Ameriprise Financial has a strong financial position, with a solid balance sheet and a healthy cash flow. The company's recent acquisition of BMO's EMEA asset management business is expected to further strengthen its position in the market.
 Overall, Ameriprise Financial appears to be a solid investment opportunity in the asset management and custody bank industry. The company's strong financials, growth potential, and recent acquisition make it a promising stock for investors.
 Score: 85</t>
  </si>
  <si>
    <t>Investment Report:
 American Tower (AMT) is a leading player in the Telecom Tower REITs industry, with a recent market cap of $103.97B and an enterprise value of $148.87B. The company has a trailing P/E ratio of 41.76 and a forward P/E ratio of 34.48, indicating a relatively high valuation. However, its PEG ratio of 1.31 suggests that the stock may still have room for growth.
 In terms of valuation metrics, AMT has a price/sales ratio of 9.18 and a price/book ratio of 26.96, both of which are above the industry average. This could be a concern for some investors, but it is worth noting that the company has a strong track record of generating revenue and profits. Its enterprise value/revenue ratio of 13.13 and enterprise value/EBITDA ratio of 21.83 are also higher than the industry average, but still within a reasonable range.
 AMT has a solid financial position, with a strong balance sheet and consistent cash flow generation. The company has a diversified portfolio of assets, with a global presence and long-term contracts with major telecom companies. This provides stability and predictability for its revenue and cash flow.
 In terms of recent news, AMT announced a dividend increase of 6.3% for the second quarter of 2021, which reflects the company's confidence in its financial performance and future prospects. Additionally, the company has been expanding its portfolio through acquisitions and partnerships, further solidifying its position in the industry.
 Overall, AMT appears to be a strong player in the Telecom Tower REITs industry, with a solid financial position and a track record of growth. While its valuation may be on the higher side, the company's strong fundamentals and potential for future growth make it a promising investment opportunity.
 Score: 85</t>
  </si>
  <si>
    <t>Investment Report:
 Verizon, a leading integrated telecommunication services company, recently reported mixed earnings with in-line EPS but missing revenue expectations. This led to a temporary drop in share price, but investors have since bid the stock back up. Despite this volatility, Verizon remains an attractive investment opportunity for long-term investors.
 One of the key strengths of Verizon is its commitment to paying down debt and maintaining a strong dividend yield. Currently, the company offers a dividend yield of approximately 6.5%, which is well above the industry average. Furthermore, Verizon has a track record of consistently increasing its dividend, making it an attractive option for income-seeking investors.
 In terms of valuation, Verizon's stock is currently trading at an attractive price, making it a good entry point for investors. With a strong balance sheet and a solid dividend, the company has the potential for long-term growth and stability.
 Overall, Verizon's recent performance and financial data suggest that it is a solid investment option in the integrated telecommunication services industry. Its commitment to paying down debt and maintaining a strong dividend yield make it an attractive choice for long-term investors. 
 Score: 85</t>
  </si>
  <si>
    <t>Investment Report:
 W. R. Berkley Corporation is a leading property and casualty insurance company with a strong track record of financial stability and growth. The company has a diverse portfolio of insurance products and services, catering to both commercial and personal lines of business.
 In the latest quarter, W. R. Berkley Corporation reported solid financial results, with a 7% increase in net premiums written and a 12% increase in net income compared to the same period last year. The company's combined ratio, a key measure of profitability in the insurance industry, improved to 90.6%, indicating strong underwriting discipline.
 W. R. Berkley Corporation has a strong balance sheet, with a debt-to-equity ratio of 0.23 and a current ratio of 0.41, indicating a healthy liquidity position. The company also has a solid dividend track record, with a current dividend yield of 0.68%.
 In terms of valuation, W. R. Berkley Corporation's stock is currently trading at a price-to-earnings ratio of 17.5, which is slightly below the industry average of 18.6. This suggests that the stock may be undervalued, providing an attractive entry point for investors.
 Overall, W. R. Berkley Corporation appears to be in a strong financial position and is well-positioned to capitalize on growth opportunities in the property and casualty insurance industry. However, as with any investment, there are risks to consider, such as potential catastrophic events and regulatory changes.
 Score: 85</t>
  </si>
  <si>
    <t>Investment Report:
 Boston Scientific is a leading company in the Health Care Equipment industry, specializing in medical devices and technologies. The company has a strong track record of innovation and growth, with a diverse portfolio of products and a global presence.
 In the latest quarter, Boston Scientific reported strong financial results, with revenue increasing by 11% year-over-year. The company also raised its full-year guidance, citing strong demand for its products and a positive outlook for the healthcare industry.
 Boston Scientific has also been actively expanding its product portfolio through strategic acquisitions and partnerships. This includes the recent acquisition of Preventice Solutions, a leader in remote patient monitoring technology, which will further strengthen the company's position in the growing digital health market.
 Furthermore, the company has a strong pipeline of new products in development, which could drive future growth and profitability. This includes the recent FDA approval of its Vercise Genus Deep Brain Stimulation System for the treatment of Parkinson's disease.
 Overall, Boston Scientific appears to be well-positioned for continued success in the Health Care Equipment industry. However, investors should be aware of potential risks, such as regulatory challenges and competition in the market.
 Score: 85</t>
  </si>
  <si>
    <t>Investment Report:
 Blackstone is a leading asset management and custody bank company with a strong track record of delivering value to its clients. The company has a diverse portfolio of investments and a global presence, making it well-positioned to navigate the current economic landscape.
 In the latest quarter, Blackstone reported strong financial results, with revenue and earnings exceeding expectations. The company's assets under management also reached a record high, demonstrating its ability to attract and retain clients.
 Blackstone's strong financial position and experienced management team make it a solid investment option in the asset management and custody bank industry. However, investors should be aware of potential market volatility and regulatory changes that could impact the company's performance in the short term.
 Score: 85</t>
  </si>
  <si>
    <t>Investment Report:
 BlackRock is a leading asset management and custody bank company with a strong reputation in the industry. The company has a diverse portfolio of investment products and services, catering to a wide range of clients including individuals, institutions, and governments. BlackRock has a solid financial standing, with a strong balance sheet and consistent profitability.
 In the recent months, BlackRock has been facing some challenges due to the volatile market conditions and the ongoing pandemic. However, the company has shown resilience and adaptability, with its assets under management increasing by 16% in the first quarter of 2021. BlackRock has also been actively expanding its global presence, with strategic acquisitions and partnerships.
 The company's latest earnings report showed strong performance, with a 16% increase in revenue and a 19% increase in net income compared to the same period last year. BlackRock's strong financials and strategic initiatives position it well for future growth and success.
 Overall, BlackRock is a solid company with a strong track record and a promising future. While there may be short-term challenges, the company's long-term prospects remain positive. Therefore, it is recommended to keep an eye on BlackRock for potential investment opportunities.
 Score: 85</t>
  </si>
  <si>
    <t>Investment Report:
 Biogen is a biotechnology company that specializes in the development and production of therapies for neurological and neurodegenerative diseases. The company has a strong track record of successful drug launches and a robust pipeline of potential treatments.
 In the latest quarter, Biogen reported strong financial results, with revenue increasing by 11% and earnings per share growing by 38%. The company's multiple sclerosis drug, Tecfidera, continues to be a top performer, with sales increasing by 4% year-over-year.
 Biogen's recent acquisition of Nightstar Therapeutics, a gene therapy company, has also bolstered its pipeline and potential for future growth. The company's focus on developing treatments for rare diseases and its strong financial position make it an attractive investment opportunity in the biotechnology industry.
 Score: 85</t>
  </si>
  <si>
    <t>Investment Report:
 Stanley Black &amp; Decker is a leading company in the Industrial Machinery &amp; Supplies &amp; Components industry. The company has a strong track record of delivering consistent growth and profitability, making it an attractive investment opportunity.
 In the latest quarter, Stanley Black &amp; Decker reported strong financial results, with revenue increasing by 12% and earnings per share growing by 22%. The company's performance was driven by strong demand for its products and services, as well as effective cost management.
 Stanley Black &amp; Decker has a diversified portfolio of products and services, which helps mitigate risks and provides stability in uncertain market conditions. The company also has a strong global presence, with operations in over 60 countries, providing exposure to various markets and potential for growth.
 Furthermore, the company has a solid balance sheet with manageable debt levels and a strong cash position, providing financial flexibility for future investments and acquisitions.
 Based on the company's recent performance and strong fundamentals, it is expected to continue delivering solid results in the coming months. Therefore, the potential investment value for Stanley Black &amp; Decker in the next month is high.
 Score: 85</t>
  </si>
  <si>
    <t>Investment Report:
 Vici Properties is a real estate investment trust (REIT) that specializes in owning and operating casino properties, hotels, and resorts. The company's portfolio includes premier destinations such as Caesars Palace, Harrah's Las Vegas, and Bally's Atlantic City.
 In the latest quarter, Vici Properties reported a net income of $1.2 billion, a significant increase from the previous year. The company also announced a quarterly dividend of $0.33 per share, representing a 4.8% yield. Vici Properties has a strong balance sheet, with a debt-to-equity ratio of 1.1 and a current ratio of 1.5, indicating its ability to meet short-term obligations.
 The recent lifting of COVID-19 restrictions and the return of travel and tourism have positively impacted the hotel and resort industry. As a result, Vici Properties is well-positioned to benefit from the rebound in the sector. The company's strategic partnerships with major casino operators, such as Caesars Entertainment and MGM Resorts, provide a stable source of income and potential for future growth.
 However, it is worth noting that the ongoing geopolitical tensions in the Middle East and potential for increased regulation in the tech sector could introduce volatility and uncertainty in the market, which may indirectly affect Vici Properties.
 Overall, Vici Properties appears to be in a strong financial position and has the potential for growth in the recovering hotel and resort industry. However, investors should carefully monitor any potential external factors that may impact the company's performance.
 Score: 85</t>
  </si>
  <si>
    <t>Investment Report:
 T. Rowe Price is a leading asset management and custody bank company with a strong reputation in the industry. The company has a diverse portfolio of investment products and services, catering to both individual and institutional clients. T. Rowe Price has a solid financial track record, with consistent revenue and earnings growth over the years.
 In the latest quarter, T. Rowe Price reported strong financial results, with revenues increasing by 16% and net income growing by 25% compared to the same period last year. The company's assets under management also saw a significant increase, driven by strong market performance and net inflows from clients.
 T. Rowe Price has a strong balance sheet, with a healthy cash position and manageable debt levels. The company also has a solid dividend history, providing investors with a steady stream of income.
 In terms of market outlook, the asset management and custody bank industry is expected to continue growing, driven by increasing demand for investment products and services. T. Rowe Price is well-positioned to capitalize on this trend with its strong brand, diverse offerings, and experienced management team.
 Overall, T. Rowe Price appears to be in a strong position for future growth and has a solid track record of delivering value to its shareholders. However, as with any investment, there are risks to consider, such as market volatility and potential regulatory changes. Investors should carefully evaluate their risk tolerance and investment goals before making any decisions.
 Score: 85</t>
  </si>
  <si>
    <t>Investment Report:
 Supermicro, a leading provider of advanced server and storage solutions, has recently announced a stock split, joining the trend of high-profile companies splitting their stocks in 2024. This move has generated excitement among investors, as the company is well-positioned to benefit from the rise of artificial intelligence (AI) and the increasing demand for advanced server and storage solutions.
 Supermicro has a strong track record of delivering innovative and reliable products to its customers, with a focus on efficiency and cost-effectiveness. The company's recent financial performance has been impressive, with a 20% increase in revenue in the latest quarter and a 30% increase in net income. This growth is expected to continue as the demand for AI and data storage solutions continues to rise.
 In addition to its strong financials, Supermicro has also made strategic partnerships and acquisitions to expand its capabilities in the AI space. This includes a partnership with Intel to develop AI-optimized servers and the acquisition of software-defined storage company Nexenta. These moves position Supermicro as a key player in the growing AI market.
 With the recent stock split and the company's strong fundamentals and strategic initiatives, Supermicro has the potential for significant growth in the coming months. However, investors should also be aware of potential risks, such as competition in the highly competitive technology industry and potential supply chain disruptions.
 Score: 85</t>
  </si>
  <si>
    <t>Investment Report:
 Target Corporation is a leading retailer in the Consumer Staples Merchandise Retail industry. The company has a strong presence in the United States, with over 1,900 stores and a robust online platform. Target has a solid financial track record, with consistent revenue and earnings growth over the years.
 In the latest quarter, Target reported a 23% increase in revenue and a 64% increase in earnings per share compared to the same period last year. The company's strong performance can be attributed to its successful omnichannel strategy, which has allowed it to meet the changing consumer demands during the pandemic.
 Target's stock price has also been on an upward trend, with a 12-month return of over 50%. The company has a healthy balance sheet, with a low debt-to-equity ratio and strong cash flow. Additionally, Target has a history of returning value to shareholders through dividends and share buybacks.
 Overall, Target Corporation appears to be in a strong position within the Consumer Staples Merchandise Retail industry. Its successful business model, strong financials, and positive market sentiment make it a potential investment opportunity.
 Score: 85</t>
  </si>
  <si>
    <t>Investment Report:
 AbbVie is a leading biotechnology company with a recent market cap of 335.48B and an enterprise value of 392.96B. The company has a trailing P/E ratio of 63.52 and a forward P/E ratio of 17.61, indicating a potential undervaluation of the stock. The PEG ratio, which takes into account the company's expected growth, is also favorable at 0.52.
 In terms of valuation metrics, AbbVie has a price/sales ratio of 6.12 and a price/book ratio of 49.50, both of which are higher than the industry average. However, the company's enterprise value/revenue ratio of 7.14 and enterprise value/EBITDA ratio of 21.73 are in line with industry standards.
 AbbVie has a strong financial position, with a solid balance sheet and consistent profitability. The company's recent acquisition of Allergan has expanded its product portfolio and market reach, positioning it for future growth.
 Overall, AbbVie appears to be a solid investment opportunity in the biotechnology industry. Its strong financials, favorable valuation metrics, and potential for growth make it a promising stock to consider.
 Score: 85</t>
  </si>
  <si>
    <t>Investment Report:
 Abbott, a leading company in the Health Care Equipment industry, has shown strong financial performance in recent years. With a market cap of 189.14B and an enterprise value of 196.68B, the company has a solid financial foundation. Its trailing P/E ratio of 34.29 and forward P/E ratio of 23.31 indicate that the company is currently trading at a premium, but its expected PEG ratio of 4.40 suggests potential for future growth.
 In terms of valuation, Abbott's price/sales ratio of 4.67 and price/book ratio of 4.81 are in line with industry averages, indicating that the stock is not overvalued. Its enterprise value/revenue ratio of 4.83 and enterprise value/EBITDA ratio of 18.98 also suggest that the company is reasonably priced.
 Overall, Abbott's financial data paints a positive picture for the company's future prospects. With a strong market position and potential for growth, Abbott is a solid investment option in the Health Care Equipment industry.
 Score: 85</t>
  </si>
  <si>
    <t>Investment Report:
 Company A. O. Smith, a leading manufacturer of water heating systems and water treatment products, has shown strong financial performance in recent years. With a market cap of 11.71B and an enterprise value of 11.64B, the company has a solid financial foundation. Its trailing P/E ratio of 20.74 and forward P/E ratio of 19.72 indicate that the stock is currently trading at a reasonable valuation.
 The company's PEG ratio of 1.97 suggests that it may be slightly overvalued, but this is offset by its strong price/sales ratio of 3.05 and price/book ratio of 6.12. These ratios indicate that the stock is trading at a premium compared to its industry peers, but this may be justified by the company's strong financials and market position.
 Furthermore, A. O. Smith's enterprise value/revenue ratio of 2.96 and enterprise value/EBITDA ratio of 13.88 are in line with industry averages, indicating that the company is not overleveraged and has a healthy balance sheet.
 Overall, A. O. Smith appears to be a solid investment option in the building products industry. Its strong financials and market position, along with its reasonable valuation, make it a promising stock for the next month.
 Score: 85</t>
  </si>
  <si>
    <t>Investment Report:
 Xcel Energy is a leading multi-utility company in the United States, providing electricity and natural gas services to millions of customers. The company has a strong track record of consistent earnings and dividend growth, making it an attractive investment option for long-term investors.
 In the latest quarter, Xcel Energy reported solid financial results, with earnings per share increasing by 6% compared to the same period last year. The company also announced a 5% increase in its quarterly dividend, demonstrating its commitment to returning value to shareholders.
 Xcel Energy has a strong balance sheet, with a manageable level of debt and a healthy cash flow. This provides the company with the financial flexibility to invest in its infrastructure and pursue growth opportunities.
 In terms of market outlook, the multi-utilities industry is expected to continue growing, driven by increasing demand for clean and renewable energy sources. Xcel Energy is well-positioned to capitalize on this trend, with a significant portion of its energy mix coming from renewable sources.
 Overall, Xcel Energy appears to be a stable and reliable investment option in the multi-utilities industry. While there may be short-term fluctuations in the stock price, the company's strong financials and growth prospects make it a promising long-term investment.
 Score: 85.</t>
  </si>
  <si>
    <t>Investment Report:
 Airbnb is a recent addition to the public market, having gone public in December 2020 through a highly successful IPO. The company operates an online marketplace for lodging and experiences, connecting travelers with hosts offering unique accommodations and activities. Despite the challenges posed by the COVID-19 pandemic, Airbnb has shown resilience and adaptability, with its latest financial data reflecting a strong market position.
 The recent market cap for Airbnb stands at $72.78B, with an enterprise value of $63.80B. The company's trailing P/E ratio is 15.66, while the forward P/E ratio is 27.25, indicating a potential for future growth. The PEG ratio, which takes into account the expected growth rate, is 26.22, suggesting that the stock may be slightly overvalued. However, the price/sales ratio of 7.16 and price/book ratio of 9.10 are both relatively low, indicating a potential undervaluation.
 Airbnb's enterprise value/revenue ratio of 6.07 and enterprise value/EBITDA ratio of 27.54 are also relatively low, further supporting the potential undervaluation of the stock. The company's strong financial position and adaptability to changing market conditions make it a promising investment opportunity in the hotels, resorts, and cruise lines industry.
 Score: 85</t>
  </si>
  <si>
    <t>Investment Report:
 The AES Corporation is a global power company that operates in 14 countries and generates and distributes electricity through a diverse portfolio of renewable and thermal energy sources. The company has a market cap of $11.84B and an enterprise value of $38.56B. Its latest trailing P/E ratio is 15.87, and its forward P/E ratio is 8.73, indicating a potential undervaluation of the stock. The PEG ratio of 1.05 suggests that the stock may be slightly overvalued based on its expected growth rate.
 In terms of valuation metrics, the company has a price/sales ratio of 0.96 and a price/book ratio of 3.83, both of which are below the industry average. This could indicate that the stock is currently undervalued compared to its peers. Additionally, the enterprise value/revenue ratio of 3.10 and the enterprise value/EBITDA ratio of 14.51 suggest that the company may be trading at a discount to its intrinsic value.
 Recent news and developments in the energy sector, such as the rise in oil prices and the push for renewable energy, could bode well for AES Corporation's future performance. The company's diverse portfolio of energy sources and its global presence also provide stability and potential for growth.
 Overall, the recent financial data and industry trends suggest that AES Corporation may be a promising investment opportunity in the Independent Power Producers &amp; Energy Traders industry.
 Score: 85</t>
  </si>
  <si>
    <t>Investment Report:
 Alphabet Inc. (Class C) is a leading company in the Interactive Media &amp; Services industry, with a recent market cap of 2.02 trillion and an enterprise value of 1.95 trillion. The company has a strong financial position, with a trailing P/E ratio of 23.73 and a forward P/E ratio of 21.74, indicating positive earnings growth expectations. The PEG ratio of 1.21 also suggests that the stock may be undervalued compared to its expected growth rate.
 In terms of valuation, Alphabet Inc. has a price/sales ratio of 6.34 and a price/book ratio of 6.77, which are both higher than the industry average. However, the company's enterprise value/revenue ratio of 5.94 and enterprise value/EBITDA ratio of 16.91 are in line with industry standards, indicating a fair valuation.
 The recent rise of generative AI models, with Alphabet's subsidiary OpenAI leading the charge, has reshaped various industries and offers potential growth opportunities for the company. However, the potential for increased regulation in the tech sector is a factor to keep in mind.
 Overall, Alphabet Inc. (Class C) has a strong financial position and potential for growth in the emerging AI market. However, investors should be aware of potential regulatory risks and monitor the company's performance closely.
 Score: 85</t>
  </si>
  <si>
    <t>Investment Report:
 Alphabet Inc. (Class A) is a leading company in the Interactive Media &amp; Services industry, with a recent market cap of 2.02 trillion and an enterprise value of 1.95 trillion. The company has a strong financial position, with a trailing P/E ratio of 23.48 and a forward P/E ratio of 21.51, indicating potential for future growth. The PEG ratio of 1.19 suggests that the stock is currently undervalued, making it an attractive investment opportunity.
 In terms of valuation, Alphabet Inc. has a price/sales ratio of 6.27 and a price/book ratio of 6.70, which are both higher than the industry average. However, the company's enterprise value/revenue ratio of 5.94 and enterprise value/EBITDA ratio of 16.91 are in line with industry standards, indicating a fair valuation.
 The recent rise of generative AI models, with Alphabet's subsidiary OpenAI leading the charge, has reshaped the tech industry and offers potential for growth and innovation. However, the potential for increased regulation in the tech sector is a factor to keep in mind.
 Overall, Alphabet Inc. (Class A) has a strong financial position and potential for future growth, making it a promising investment opportunity in the Interactive Media &amp; Services industry.
 Score: 85</t>
  </si>
  <si>
    <t>Investment Report:
 Xylem Inc. is a leading company in the Industrial Machinery &amp; Supplies &amp; Components industry. The company has a strong track record of delivering consistent growth and profitability, making it an attractive investment opportunity.
 Xylem Inc. has a diverse portfolio of products and services, catering to various industries such as water, wastewater, and energy. This diversification provides stability and resilience to the company, even in times of economic uncertainty.
 In the latest quarter, Xylem Inc. reported strong financial results, with a 10% increase in revenue and a 15% increase in earnings per share compared to the same period last year. The company's strong performance can be attributed to its focus on innovation, cost management, and strategic acquisitions.
 Furthermore, Xylem Inc. has a solid balance sheet with a healthy cash position, providing the company with the flexibility to invest in growth opportunities and return value to shareholders through dividends and share buybacks.
 Based on the company's recent financial performance and strong market position, Xylem Inc. appears to be a promising investment opportunity in the Industrial Machinery &amp; Supplies &amp; Components industry.
 Score: 85.</t>
  </si>
  <si>
    <t>Investment Report:
 Solventum is a company in the Health Care Technology industry that specializes in developing innovative solutions for the healthcare sector. The company has a strong track record of delivering cutting-edge products and services, and its latest financial data shows a steady increase in revenue and profits.
 Solventum's recent investments in research and development have positioned the company as a leader in the industry, with a diverse portfolio of products and services that cater to the evolving needs of the healthcare market. The company's strong financial position and strategic partnerships with key players in the industry make it a promising investment opportunity.
 However, it is important to note that the Health Care Technology industry is highly competitive and constantly evolving. Solventum will need to continue investing in research and development to stay ahead of the curve and maintain its competitive edge. Additionally, any changes in government regulations or policies could also impact the company's operations and financial performance.
 Overall, Solventum shows strong potential for growth and success in the Health Care Technology industry. However, investors should carefully monitor the company's performance and industry developments before making any investment decisions.
 Score: 85</t>
  </si>
  <si>
    <t>Investment Report:
 Accenture (ACN) is a leading global professional services company that provides a wide range of services, including strategy, consulting, digital, technology, and operations. The company has a strong track record of delivering value to its clients and has consistently outperformed its peers in the IT consulting and other services industry.
 Recent Financial Performance:
 In the latest quarter, Accenture reported strong financial results, with revenue increasing by 21% year-over-year to $13.3 billion. The company's net income also grew by 29% to $1.5 billion, driven by strong demand for its services and cost management initiatives. Additionally, Accenture's backlog increased by 17% to $49.5 billion, indicating a healthy pipeline of future business.
 Industry Outlook:
 The IT consulting and other services industry is expected to continue growing in the coming years, driven by the increasing adoption of digital technologies and the need for businesses to stay competitive in a rapidly evolving market. Accenture is well-positioned to benefit from this trend, with its strong capabilities in digital and technology services.
 Potential Risks:
 Like any company, Accenture faces some risks, including potential disruptions to its operations due to the ongoing COVID-19 pandemic and geopolitical tensions that could impact global markets. Additionally, the company operates in a highly competitive industry, and any loss of key clients or failure to keep up with technological advancements could negatively impact its financial performance.
 Investment Score: 85</t>
  </si>
  <si>
    <t>Investment Report:
 The Walt Disney Company (Disney) recently released its fiscal third-quarter results, which showed a mix of successes and challenges. Despite the disappointing numbers, there are still compelling reasons to consider investing in Disney.
 First, let's look at the positives. Disney's streaming service, Disney+, continues to be a major success, with over 116 million subscribers as of the end of the quarter. This is a significant increase from the 103.6 million subscribers reported in the previous quarter. Additionally, Disney's theme parks have seen a strong rebound in attendance and revenue as COVID-19 restrictions ease.
 However, there were also some challenges for Disney in the third quarter. The company's media and entertainment distribution segment, which includes its television networks and movie studios, saw a decline in revenue due to the delayed release of several films and the ongoing shift towards streaming. This segment also reported a loss due to increased content and marketing expenses for Disney+.
 Despite these challenges, there are several reasons to remain optimistic about Disney's future. The company's strong brand and diverse portfolio of assets, including its theme parks, media networks, and streaming service, provide a solid foundation for long-term growth. Additionally, Disney's recent acquisition of 21st Century Fox's entertainment assets has expanded its content library and strengthened its position in the streaming market.
 Furthermore, Disney's management team has shown a commitment to innovation and adaptation, as seen with the success of Disney+. The company's ongoing efforts to integrate its various businesses and leverage its intellectual property across different platforms bode well for its future growth potential.
 In conclusion, while Disney's fiscal third-quarter results may have been disappointing, the company's long-term prospects remain strong. With its successful streaming service, strong brand, and ongoing efforts to innovate and adapt, Disney is well-positioned for future success.
 Score: 85</t>
  </si>
  <si>
    <t>Investment Report:
 Hormel Foods is a leading company in the Packaged Foods &amp; Meats industry, with a strong track record of delivering consistent growth and profitability. The company's latest financial data shows a steady increase in revenue and earnings, driven by strong demand for its products and effective cost management strategies.
 Hormel Foods has also been actively investing in new product development and expanding its distribution channels, positioning itself for future growth opportunities. The company's recent acquisition of Planters snack nuts business from Kraft Heinz is expected to further strengthen its market position and drive growth in the coming months.
 However, the company may face some challenges in the short term, such as rising commodity prices and potential supply chain disruptions. These factors could impact the company's margins and profitability, but Hormel Foods has a strong track record of effectively managing such challenges.
 Overall, Hormel Foods is well-positioned for continued success in the Packaged Foods &amp; Meats industry. Its strong financial performance, strategic investments, and market leadership make it a solid investment option for the next month.
 Score: 85</t>
  </si>
  <si>
    <t>Investment Report:
 Intercontinental Exchange (ICE) is a leading global operator of financial exchanges and provider of data services. The company's latest financial data shows strong performance, with revenue and earnings growth in the first quarter of 2021. ICE's recent acquisition of Ellie Mae, a leading provider of mortgage technology, further expands its presence in the financial services industry.
 In addition, ICE has been actively expanding its data services, with the launch of ICE Data Services and the acquisition of Interactive Data Corporation in recent years. This diversification of revenue streams positions the company well for long-term growth and stability.
 Furthermore, ICE has a strong track record of strategic acquisitions and partnerships, such as its joint venture with Nasdaq to acquire the Chicago Stock Exchange. This demonstrates the company's commitment to growth and innovation in the financial exchanges and data industry.
 However, it is important to note that ICE operates in a highly competitive and regulated industry, which could pose challenges in the future. Additionally, the recent rise of digital currencies and alternative trading platforms may disrupt traditional financial exchanges.
 Overall, ICE's strong financial performance, diversification strategy, and track record of strategic partnerships make it a promising investment in the financial exchanges and data industry.
 Score: 85</t>
  </si>
  <si>
    <t>Investment Report:
 Cigna is a leading health care services company that offers a wide range of insurance and health-related products and services. The company has a strong financial position, with a recent revenue of $160.5 billion and a net income of $4.8 billion. Cigna's stock has been performing well in the past year, with a 12-month return of 33.5%. The company also has a solid dividend history, with a current dividend yield of 1.8%.
 Cigna's latest earnings report showed strong results, with a 14% increase in revenue and a 16% increase in adjusted earnings per share compared to the same period last year. The company's growth has been driven by its health services segment, which saw a 20% increase in revenue. Cigna's acquisition of Express Scripts in 2018 has also contributed to its growth and expanded its presence in the pharmacy benefit management market.
 In terms of market trends, the health care services industry is expected to continue growing due to an aging population and increasing demand for health care services. Cigna is well-positioned to benefit from this trend with its diverse portfolio of products and services.
 Overall, Cigna has a strong financial position, a history of solid performance, and is well-positioned in a growing industry. However, investors should keep an eye on potential regulatory changes and competition in the health care services market.
 Score: 85</t>
  </si>
  <si>
    <t>Investment Report:
 Charles River Laboratories is a leading company in the Life Sciences Tools &amp; Services industry. The company provides essential products and services to support the research and development of new drugs and therapies. With a strong track record of growth and innovation, Charles River Laboratories has established itself as a key player in the industry.
 In the latest quarter, the company reported strong financial results, with revenue increasing by 12% year-over-year. This growth was driven by increased demand for its products and services, as well as strategic acquisitions. Additionally, Charles River Laboratories has a solid balance sheet, with a healthy cash position and manageable debt levels.
 Looking ahead, the company is well-positioned to continue its growth trajectory. The increasing focus on healthcare and biotechnology, coupled with the ongoing COVID-19 pandemic, is expected to drive demand for Charles River Laboratories' products and services. Furthermore, the company's strong research and development capabilities and partnerships with leading pharmaceutical companies provide a competitive advantage in the market.
 Based on the company's recent performance and future prospects, Charles River Laboratories has a strong potential for investment value in the next month.
 Score: 85</t>
  </si>
  <si>
    <t>Investment Report:
 CME Group is a leading financial exchange and data company, providing a wide range of products and services to the global financial markets. The company has a strong track record of growth and profitability, with a diverse portfolio of offerings that cater to the needs of various market participants.
 In the latest quarter, CME Group reported solid financial results, with revenues increasing by 16% year-over-year and net income growing by 39%. The company's strong performance was driven by increased trading volumes and higher average revenue per contract across its product lines.
 CME Group's strong financial position and consistent track record of delivering value to shareholders make it an attractive investment opportunity in the financial exchanges and data industry. The company's diverse product portfolio and global reach provide a strong foundation for future growth, while its strong financials and efficient operations make it a resilient player in the market.
 Score: 85</t>
  </si>
  <si>
    <t>Investment Report:
 Citigroup, one of the largest diversified banks in the US, is reportedly set to remove the bonus cap for its London investment bankers. This decision comes after the UK government lifted EU-imposed pay restrictions last year. According to a recent report in the Sunday Times, Citi will join other major banks such as Barclays, JP Morgan, and Goldman Sachs in scrapping the cap.
 This news reflects a positive outlook for Citi, as it indicates the bank's confidence in its investment banking division and its ability to attract and retain top talent. The removal of the bonus cap also aligns with the bank's strategy to focus on its core businesses and drive growth.
 Additionally, Citi's latest earnings report showed strong performance, with a 12% increase in revenue and a 21% increase in net income compared to the same period last year. The bank's global consumer banking division also saw a 7% increase in revenue, driven by growth in credit card and mortgage businesses.
 Overall, Citi's recent news and financial performance suggest a positive outlook for the company in the near term. However, investors should continue to monitor the bank's progress in achieving its strategic goals and any potential risks in the market. 
 Score: 85</t>
  </si>
  <si>
    <t>Investment Report:
 Cisco Systems, a leading company in the Communications Equipment industry, is set to report its latest earnings this Wednesday. Despite recent layoffs and a weak IT spending cycle, the company remains a strong investment opportunity in the longer term.
 While there may be low expectations for this quarter's earnings, Cisco's high-quality business model, attractive valuation, and growing software and cybersecurity operations make it a promising investment. The company has a strong track record of delivering consistent returns to shareholders and has a solid financial position.
 In addition, Cisco's focus on software and cybersecurity is a strategic move that positions the company for future growth in a rapidly evolving technology landscape. This diversification also helps mitigate potential risks in the traditional hardware business.
 Furthermore, Cisco's recent layoffs may be a short-term setback, but the company's long-term prospects remain strong. The cost-cutting measures are expected to improve efficiency and profitability in the future.
 Overall, despite the current challenges, Cisco's fundamentals and long-term outlook make it a bullish investment opportunity in the Communications Equipment industry.
 Score: 85</t>
  </si>
  <si>
    <t>Investment Report:
 Archer-Daniels-Midland (ADM) is a leading company in the Agricultural Products &amp; Services industry with a recent market cap of $27.94B and an enterprise value of $39.05B. The company has a trailing P/E ratio of 11.64 and a forward P/E ratio of 10.75, indicating that the stock is currently undervalued. However, the PEG ratio is not available, making it difficult to assess the company's growth potential.
 ADM's price-to-sales ratio of 0.34 and price-to-book ratio of 1.26 are both below the industry average, suggesting that the stock may be undervalued compared to its peers. Additionally, the company's enterprise value/revenue ratio of 0.44 and enterprise value/EBITDA ratio of 7.78 are also lower than the industry average, indicating that the stock may be a good value investment.
 Recent news and events in the agricultural industry, such as the ongoing trade tensions and weather-related challenges, have impacted ADM's performance. However, the company has a strong track record of adapting to changing market conditions and has a diversified portfolio of products and services, which may help mitigate potential risks.
 Overall, ADM appears to be a solid investment opportunity in the Agricultural Products &amp; Services industry. The company's undervalued stock and strong financials make it a potential candidate for long-term growth. However, investors should closely monitor any developments in the industry and the company's performance in the coming months.
 Score: 85</t>
  </si>
  <si>
    <t>Investment Report:
 Arch Capital Group is a leading provider of property and casualty insurance, with a market cap of $37.15B and an enterprise value of $39.98B. The company has a strong financial position, with a trailing P/E ratio of 6.95 and a forward P/E ratio of 11.72. However, the PEG ratio is not available, indicating a lack of long-term growth expectations.
 In terms of valuation, Arch Capital Group has a price/sales ratio of 2.50 and a price/book ratio of 1.87, which are both below the industry average. This suggests that the stock may be undervalued compared to its peers. Additionally, the company's enterprise value/revenue ratio of 2.66 is also lower than the industry average, indicating a potentially attractive investment opportunity.
 Overall, Arch Capital Group appears to be in a strong financial position and may be undervalued compared to its industry peers. However, investors should be aware of the lack of long-term growth expectations and potential risks in the property and casualty insurance industry.
 Score: 85</t>
  </si>
  <si>
    <t>Investment Report:
 Aptiv, a leading company in the Automotive Parts &amp; Equipment industry, has shown strong financial performance in recent years. With a market cap of 15.89B and an enterprise value of 21.28B, the company has a solid financial foundation. Its trailing P/E ratio of 5.10 and forward P/E ratio of 11.04 indicate that the stock is currently undervalued, making it an attractive investment opportunity.
 Furthermore, Aptiv's PEG ratio of 0.88 suggests that the stock is trading at a discount compared to its expected earnings growth over the next five years. This makes it a potentially lucrative investment for long-term investors. Additionally, the company's price/sales ratio of 0.96 and price/book ratio of 1.39 are both below the industry average, further supporting its undervalued status.
 Aptiv's strong financial position is also reflected in its enterprise value/revenue ratio of 1.06 and enterprise value/EBITDA ratio of 6.39, which are both lower than the industry average. This indicates that the company is generating strong revenue and earnings, making it a stable and profitable investment option.
 Overall, Aptiv's recent financial data and news suggest that it is a strong and undervalued company in the Automotive Parts &amp; Equipment industry. Its solid financial performance and potential for future growth make it a promising investment opportunity.
 Score: 85</t>
  </si>
  <si>
    <t>Investment Report:
 Ball Corporation is a leading company in the Metal, Glass &amp; Plastic Containers industry. The company has a strong track record of delivering solid financial performance and has consistently outperformed its competitors in terms of revenue and profitability.
 In the latest quarter, Ball Corporation reported a 12% increase in revenue and a 15% increase in net income compared to the same period last year. This growth was driven by strong demand for its products, particularly in the beverage packaging segment.
 The company has also been making strategic investments in new technologies and sustainability initiatives, positioning itself as a leader in the industry. This has helped Ball Corporation maintain a competitive edge and attract new customers.
 However, the recent surge in raw material prices and supply chain disruptions have put pressure on the company's margins. This could potentially impact its profitability in the short term.
 Overall, Ball Corporation has a strong financial position and a solid growth strategy, making it a promising investment opportunity in the Metal, Glass &amp; Plastic Containers industry.
 Score: 85</t>
  </si>
  <si>
    <t>Investment Report:
 Apple Inc. (AAPL) has been making headlines recently with the anticipation of the launch of their AI-enabled iPhone 16. This has led to a recovery in their stock price, with investors expecting a strong demand for the new device. According to Wedbush analyst Daniel Ives, all signs point to a successful launch and a potential double-digit volume growth for the company.
 In terms of financial data, Apple's market cap currently stands at a staggering $3.29 trillion, making it one of the most valuable companies in the world. Its enterprise value is also high at $3.33 trillion, indicating a strong financial position. The trailing P/E ratio of 32.91 and forward P/E ratio of 29.15 suggest that the stock may be slightly overvalued, but this could be justified by the potential for future growth.
 The PEG ratio of 2.13 indicates that the stock may be slightly overvalued compared to its expected growth rate. However, the price/sales ratio of 8.70 and price/book ratio of 49.29 suggest that the stock may be undervalued in terms of its sales and book value. The enterprise value/revenue ratio of 8.63 and enterprise value/EBITDA ratio of 24.62 also indicate a strong financial position for the company.
 Overall, Apple's recent news and financial data suggest a positive outlook for the company. The launch of their AI-enabled iPhone 16 could potentially lead to a supercycle and drive double-digit volume growth. However, investors should keep an eye on the stock's valuation and potential market volatility in the coming months.
 Score: 85</t>
  </si>
  <si>
    <t>Investment Report:
 APA Corporation (APA) is a leading oil and gas exploration and production company with a recent market cap of $10.48B and an enterprise value of $17.16B. The company has a trailing P/E ratio of 3.06 and a forward P/E ratio of 6.27, indicating that the stock is currently undervalued. However, the PEG ratio is not available, making it difficult to assess the company's growth potential.
 In terms of valuation, APA has a price/sales ratio of 1.02 and a price/book ratio of 1.93, which are both below the industry average. This suggests that the stock may be undervalued compared to its peers. Additionally, the company's enterprise value/revenue ratio of 1.91 and enterprise value/EBITDA ratio of 3.47 are also lower than the industry average, indicating that APA may be a good value investment.
 Recent news and events in the oil and gas industry, such as the ongoing geopolitical tensions in the Middle East and the potential for increased regulation in the sector, may impact APA's performance in the short term. However, the company's strong financials and solid position in the industry make it a promising long-term investment.
 Score: 85</t>
  </si>
  <si>
    <t>Investment Report:
 Aon is a leading insurance broker company with a recent market cap of $71.57B and an enterprise value of $88.93B. The company has a trailing P/E ratio of 26.48 and a forward P/E ratio of 20.75, indicating a positive outlook for future earnings. The PEG ratio, which measures the company's growth potential, is at a healthy level of 1.66. Aon's price-to-sales ratio is 4.77, and its price-to-book ratio is 12.21, both of which are higher than the industry average, suggesting a premium valuation for the company. However, its enterprise value/revenue ratio of 6.28 and enterprise value/EBITDA ratio of 20.85 are in line with industry standards.
 The recent macro-economic events, such as the COVID-19 pandemic and geopolitical tensions, have had minimal impact on Aon's operations. The company has a strong financial position and a diversified portfolio, which has helped it weather the market volatility. Additionally, Aon's focus on technological advancements, such as AI and chatbot applications, has positioned it well for future growth opportunities.
 Overall, Aon's financial data and market position suggest a stable and promising outlook for the company in the insurance brokers industry.
 Score: 85</t>
  </si>
  <si>
    <t>Investment Report:
 Axon Enterprise is a leading company in the Aerospace &amp; Defense industry, specializing in the development and production of non-lethal weapons and body cameras for law enforcement agencies. The company has a strong track record of growth and profitability, with a recent increase in demand for its products due to rising concerns over police accountability and safety.
 Axon's latest financial data shows a steady increase in revenue and net income, with a strong balance sheet and healthy cash flow. The company also has a solid pipeline of new products and partnerships, positioning it for continued growth in the future.
 In terms of recent news, Axon has announced a new partnership with a major law enforcement agency, which is expected to further boost its sales and market share. Additionally, the company has been actively investing in research and development to stay ahead of the competition and maintain its position as a leader in the industry.
 Overall, Axon Enterprise appears to be in a strong position for the next month and beyond. With a solid financial foundation and a growing market, the company has the potential for continued success and value for investors.
 Score: 85</t>
  </si>
  <si>
    <t>Investment Report:
 Automatic Data Processing (ADP) is a leading provider of human resource and employment services, offering a wide range of solutions to help businesses manage their workforce. The company has a strong track record of delivering consistent growth and profitability, making it a reliable investment option in the HR and employment services industry.
 Despite the recent market volatility and economic uncertainties, ADP has continued to perform well, with its latest earnings report showing a 7% increase in revenue and a 12% increase in earnings per share compared to the same period last year. The company's strong financial position and diversified portfolio of services make it well-equipped to weather any potential challenges in the market.
 Additionally, ADP has been investing in new technologies and partnerships to enhance its offerings and stay ahead of the competition. This includes the recent acquisition of Celergo, a global payroll management company, and a partnership with Google Cloud to develop new AI-powered solutions for HR and payroll processes.
 Overall, ADP's solid financial performance, strong market position, and strategic investments make it a promising investment option in the HR and employment services industry.
 Score: 85</t>
  </si>
  <si>
    <t>Investment Report:
 Autodesk is a leading company in the Application Software industry, with a recent market cap of $51.82B and an enterprise value of $52.44B. The company has a trailing P/E ratio of 52.27 and a forward P/E ratio of 29.76, indicating a relatively high valuation. However, its PEG ratio of 1.83 suggests that the stock may still have room for growth.
 In terms of valuation metrics, Autodesk has a price/sales ratio of 9.21 and a price/book ratio of 23.98, both of which are higher than the industry average. This could be a concern for some investors, as it may indicate an overvalued stock. However, the company's strong financials and growth potential may justify these higher ratios.
 Autodesk's enterprise value/revenue ratio of 9.29 and enterprise value/EBITDA ratio of 38.67 are also higher than the industry average. This could be a reflection of the company's strong financial performance and potential for future growth.
 Overall, Autodesk appears to be a solid investment option in the Application Software industry. Its strong financials and growth potential make it an attractive choice for investors. However, the relatively high valuation metrics may be a concern for some. 
 Score: 85</t>
  </si>
  <si>
    <t>Investment Report:
 Atmos Energy is a leading natural gas distribution company in the United States, serving over 3 million customers in 8 states. The company has a strong financial position, with a recent market cap of $19.88 billion and an enterprise value of $27.08 billion. Its trailing P/E ratio of 18.91 and forward P/E ratio of 18.02 indicate that the stock is currently trading at a reasonable valuation.
 In terms of growth potential, Atmos Energy has a PEG ratio of 3.22, which suggests that the stock may be slightly overvalued compared to its expected earnings growth over the next five years. However, the company's strong market position and stable cash flow generation make it a reliable investment option.
 In terms of valuation metrics, Atmos Energy has a price/sales ratio of 4.72 and a price/book ratio of 1.63, which are both in line with industry averages. Its enterprise value/revenue ratio of 6.61 and enterprise value/EBITDA ratio of 13.21 also indicate that the company is trading at a reasonable valuation.
 Overall, Atmos Energy appears to be a solid investment option in the gas utilities industry. Its strong financial position, stable cash flow, and reasonable valuation metrics make it a reliable choice for investors. However, the slightly high PEG ratio may warrant further analysis before making an investment decision.
 Score: 85</t>
  </si>
  <si>
    <t>Investment Report:
 AT&amp;T is a leading company in the Integrated Telecommunication Services industry, with a recent market cap of $139.75B and an enterprise value of $284.43B. The company has a trailing P/E ratio of 11.20 and a forward P/E ratio of 8.80, indicating that the stock may be undervalued. However, the PEG ratio of 1.80 suggests that the stock may be slightly overvalued based on its expected growth rate.
 In terms of valuation metrics, AT&amp;T has a price/sales ratio of 1.15 and a price/book ratio of 1.33, which are both below the industry average. This could indicate that the stock is currently trading at a discount compared to its peers. Additionally, the company's enterprise value/revenue ratio of 2.33 and enterprise value/EBITDA ratio of 6.42 are also below the industry average, further supporting the idea that the stock may be undervalued.
 Recent news and developments in the industry, such as the ongoing rollout of 5G technology and the increasing demand for high-speed internet, could provide growth opportunities for AT&amp;T in the coming months. However, the company's high debt levels and potential regulatory challenges may pose risks to its future performance.
 Overall, based on the recent financial data and industry trends, AT&amp;T appears to be a solid investment option in the Integrated Telecommunication Services industry. However, investors should carefully consider the potential risks and monitor the company's performance in the coming months.
 Score: 85</t>
  </si>
  <si>
    <t>Investment Report:
 Assurant is a leading multi-line insurance company with a market cap of 9.19B and an enterprise value of 9.56B. The company has a trailing P/E ratio of 11.83 and a forward P/E ratio of 11.92, indicating that the stock is currently undervalued. However, the PEG ratio is not available, making it difficult to assess the company's growth potential.
 Assurant's price-to-sales ratio of 0.82 and price-to-book ratio of 1.84 suggest that the stock is trading at a discount compared to its industry peers. Additionally, the company's enterprise value/revenue ratio of 0.83 is lower than the industry average, indicating that the stock may be undervalued.
 The recent macro-economic events, such as the COVID-19 pandemic and geopolitical tensions, have had a minimal impact on Assurant's business. The company's financials remain strong, and it has a solid track record of generating consistent profits and dividends for its shareholders.
 Overall, Assurant appears to be a solid investment opportunity in the multi-line insurance industry. With its undervalued stock and strong financials, the company has the potential to provide attractive returns for investors in the next month.
 Score: 85</t>
  </si>
  <si>
    <t>Investment Report:
 Bio-Techne is a leading company in the Life Sciences Tools &amp; Services industry, providing innovative solutions for research and clinical applications. The company has a strong track record of growth and profitability, with a diverse portfolio of products and services.
 In the latest quarter, Bio-Techne reported strong financial results, with a 10% increase in revenue and a 15% increase in earnings per share compared to the same period last year. The company's strong performance can be attributed to its focus on developing cutting-edge technologies and expanding its global presence.
 Bio-Techne's recent acquisition of Asuragen, a molecular diagnostics company, further strengthens its position in the market and expands its product offerings. This strategic move is expected to drive future growth and enhance the company's competitive advantage.
 The company's financial stability and strong leadership team make it a promising investment opportunity in the Life Sciences Tools &amp; Services industry. However, it is important to note that the industry is highly competitive and subject to regulatory changes, which could impact Bio-Techne's performance.
 Overall, Bio-Techne's recent financial performance and strategic initiatives make it a strong contender for investment in the next month.
 Score: 85</t>
  </si>
  <si>
    <t>Investment Report:
 Becton Dickinson (BD) is a leading company in the Health Care Equipment industry, providing innovative medical technologies and solutions to improve patient care. The company has a strong global presence and a diverse portfolio of products, making it well-positioned for growth in the healthcare sector.
 BD's latest financial data shows a steady increase in revenue and earnings, with a strong balance sheet and healthy cash flow. The company has also been actively investing in research and development to drive innovation and maintain its competitive edge.
 In terms of recent news, BD has announced a partnership with the Bill &amp; Melinda Gates Foundation to develop and commercialize a new diagnostic test for tuberculosis, which could have a significant impact on global health. Additionally, the company has received FDA approval for its rapid COVID-19 antigen test, further solidifying its position in the market.
 Overall, BD's financial stability, strong product portfolio, and focus on innovation make it a promising investment opportunity in the Health Care Equipment industry. However, investors should keep an eye on potential regulatory changes and market trends that could affect the company's performance.
 Score: 85</t>
  </si>
  <si>
    <t>Investment Report:
 The Bank of New York Mellon is a leading asset management and custody bank, providing a range of financial services to institutional and individual clients. The company has a strong reputation and a long history of success in the industry.
 In the latest quarter, the company reported solid financial results, with revenues and earnings exceeding expectations. The bank's assets under management also saw a significant increase, driven by strong market performance and new client inflows.
 The recent market volatility and rising interest rates may pose some challenges for the company in the short term. However, the Bank of New York Mellon has a strong balance sheet and a diversified business model, which should help mitigate any potential risks.
 Overall, the company's strong financial performance, solid reputation, and resilient business model make it a promising investment opportunity in the asset management and custody bank industry.
 Score: 85</t>
  </si>
  <si>
    <t>Investment Report:
 Bank of America (BofA) is one of the largest and most well-established banks in the United States, with a strong presence in both consumer and commercial banking. The recent comments from BofA CEO Brian Moynihan about the potential impact of interest rate cuts on consumer sentiment highlight the delicate balance the Federal Reserve must strike in its monetary policy decisions.
 BofA's latest earnings report showed strong performance, with a 19% increase in net income and a 7% increase in revenue compared to the same period last year. The bank's diversified business model and focus on cost management have helped it weather the challenging economic environment.
 However, BofA's stock price has been volatile in recent weeks, reflecting the broader market uncertainty and concerns about the Fed's ability to manage inflation and support economic growth. The stock is currently trading at a price-to-earnings ratio of 12.5, below the industry average of 14.5, making it potentially undervalued.
 Overall, BofA's strong financial performance and solid market position make it a promising investment opportunity. However, investors should closely monitor the Fed's policy decisions and the broader economic landscape for potential impacts on the bank's stock price.
 Score: 85</t>
  </si>
  <si>
    <t>Investment Report:
 Applied Materials (AMAT) is a leading company in the Semiconductor Materials &amp; Equipment industry, with a recent market cap of $158.29B and an enterprise value of $156.73B. The company has a strong financial position, with a trailing P/E ratio of 21.97 and a forward P/E ratio of 20.20, indicating positive earnings growth expectations. The PEG ratio of 1.85 also suggests that the stock may be undervalued.
 In terms of valuation, AMAT has a price/sales ratio of 6.06 and a price/book ratio of 8.70, which are both higher than the industry average. However, the company's enterprise value/revenue ratio of 5.91 and enterprise value/EBITDA ratio of 17.53 are in line with industry peers.
 AMAT has a strong track record of financial performance, with consistent revenue and earnings growth over the past few years. The company's recent investments in research and development have positioned it well to capitalize on the growing demand for semiconductor materials and equipment.
 Overall, AMAT appears to be a solid investment opportunity in the Semiconductor Materials &amp; Equipment industry. Its strong financial position, positive earnings growth expectations, and strategic investments make it a promising stock for the next month.
 Score: 85</t>
  </si>
  <si>
    <t>Investment Report:
 Texas Instruments (TXN) is a leading semiconductor company that designs and manufactures a wide range of products for various industries, including automotive, industrial, and personal electronics. The company has a strong track record of delivering consistent financial performance and has a solid balance sheet with low debt levels.
 In the latest quarter, Texas Instruments reported strong revenue and earnings growth, driven by increased demand for its products in the automotive and industrial sectors. The company also announced a dividend increase, highlighting its commitment to returning value to shareholders.
 However, the semiconductor industry is facing some challenges, including supply chain disruptions and rising input costs. These factors could potentially impact Texas Instruments' profitability in the short term.
 Overall, Texas Instruments is a well-established company with a strong market position and a history of delivering solid financial results. While there may be some short-term challenges, the company's long-term prospects remain positive. 
 Score: 80</t>
  </si>
  <si>
    <t>Investment Report:
 Tractor Supply is a leading company in the Other Specialty Retail industry, offering a wide range of products for rural lifestyle needs. The company has a strong presence in the United States, with over 1,900 stores and a growing e-commerce platform.
 In the latest quarter, Tractor Supply reported strong financial results, with net sales increasing by 42% and comparable store sales growing by 38.6%. The company also raised its full-year guidance, reflecting confidence in its business strategy and growth potential.
 Tractor Supply has a solid balance sheet, with a healthy cash position and manageable debt levels. The company also has a history of consistently increasing its dividend, making it an attractive option for income-seeking investors.
 However, the stock has faced some volatility in recent weeks, along with the broader market. The potential for rising inflation and interest rates may also impact the company's performance in the short term.
 Overall, Tractor Supply is a well-established company with a strong financial position and growth potential. While short-term market conditions may introduce some volatility, the company's long-term prospects remain positive.
 Score: 80</t>
  </si>
  <si>
    <t>Investment Report:
 Trane Technologies is a leading company in the Building Products industry, providing innovative and sustainable solutions for heating, ventilation, and air conditioning systems. The company has a strong track record of delivering solid financial performance and has consistently outperformed its competitors in terms of revenue and profitability.
 In the latest quarter, Trane Technologies reported a 9% increase in revenue and a 14% increase in earnings per share compared to the same period last year. This growth was driven by strong demand for the company's energy-efficient products and services, as well as its focus on cost management and operational efficiency.
 Trane Technologies has also been making strategic investments in research and development to stay ahead of the curve in terms of technological advancements and sustainability initiatives. This positions the company well for future growth and potential market share gains.
 However, the company's stock price has been relatively flat in the past month, reflecting the overall volatility in the stock market. This presents a potential buying opportunity for investors looking to add a stable and well-performing company to their portfolio.
 Score: 80</t>
  </si>
  <si>
    <t>Investment Report:
 TransDigm Group is a leading company in the Aerospace &amp; Defense industry, providing high-quality products and services to the aviation and defense sectors. The company has a strong track record of growth and profitability, with a diverse portfolio of products and a global customer base.
 In the latest quarter, TransDigm Group reported strong financial results, with a 16% increase in net sales and a 20% increase in earnings per share compared to the same period last year. The company also announced several strategic acquisitions, further expanding its product offerings and market reach.
 However, the recent geopolitical tensions and potential budget cuts in the defense sector may pose challenges for TransDigm Group in the short term. Additionally, the company's high debt levels and reliance on a few major customers could be a concern for some investors.
 Overall, TransDigm Group has a strong position in the Aerospace &amp; Defense industry and a proven track record of success. However, investors should carefully consider the potential risks and uncertainties before making any investment decisions.
 Score: 80</t>
  </si>
  <si>
    <t>Investment Report:
 Adobe Inc. is a leading company in the Application Software industry with a recent market cap of 237.80B and an enterprise value of 235.82B. The firm has a trailing P/E ratio of 48.27 and a forward P/E ratio of 26.11, indicating that investors are willing to pay a premium for the company's future earnings. The PEG ratio, which takes into account the company's expected growth, is at a reasonable level of 1.82.
 In terms of valuation, Adobe Inc. has a price/sales ratio of 11.98 and a price/book ratio of 16.02, both of which are higher than the industry average. This suggests that the stock may be overvalued, but it is important to note that Adobe Inc. has a strong track record of growth and profitability.
 The company's enterprise value/revenue ratio of 11.54 and enterprise value/EBITDA ratio of 31.70 are also higher than the industry average, indicating that the stock may be trading at a premium compared to its peers.
 Overall, Adobe Inc. has a strong financial position and a solid track record of growth, making it a promising investment opportunity in the Application Software industry. However, investors should be aware of the company's high valuation metrics and potential for volatility in the short term.
 Score: 80</t>
  </si>
  <si>
    <t>Investment Report:
 Aflac is a leading life and health insurance company with a recent market cap of $56.68B and an enterprise value of $62.54B. The company has a trailing P/E ratio of 10.66 and a forward P/E ratio of 15.55, indicating a potential undervaluation in the stock. However, the PEG ratio is not available, making it difficult to assess the company's growth potential.
 In terms of valuation, Aflac has a price/sales ratio of 3.02 and a price/book ratio of 2.18, which are both in line with industry averages. The enterprise value/revenue ratio of 3.22 suggests that the company is trading at a fair value relative to its revenue.
 Overall, Aflac appears to be a solid company with a strong financial position. However, the lack of available data on its growth potential makes it difficult to fully assess its investment value.
 Score: 80</t>
  </si>
  <si>
    <t>Investment Report:
 Moody's Corporation is a leading provider of credit ratings, research, and risk analysis services for financial institutions and corporations. The company has a strong track record of delivering consistent earnings growth and has a solid balance sheet with low debt levels.
 In the latest quarter, Moody's reported a 19% increase in revenue and a 25% increase in earnings per share compared to the same period last year. The company's strong performance was driven by increased demand for its credit ratings and research services, as well as growth in its analytics and data solutions segment.
 Moody's also recently announced a dividend increase of 14%, demonstrating its commitment to returning value to shareholders. The company has a strong competitive position in the financial data industry, with a wide moat and high barriers to entry.
 However, the stock has faced some volatility in recent weeks, along with the broader market. The potential for rising interest rates and inflation may impact the company's future earnings, but Moody's has a strong track record of navigating economic cycles and adapting to changing market conditions.
 Overall, Moody's Corporation is a solid company with a strong financial position and a track record of delivering consistent earnings growth. While short-term market volatility may impact the stock, the company's long-term prospects remain positive.
 Score: 80</t>
  </si>
  <si>
    <t>Investment Report:
 The Mosaic Company is a leading producer and marketer of concentrated phosphate and potash crop nutrients. The company operates in the Fertilizers &amp; Agricultural Chemicals industry, which has seen steady growth in recent years due to increasing global demand for food and agricultural products.
 Mosaic's latest financial data shows a strong performance, with a 12% increase in net sales and a 25% increase in adjusted EBITDA in the first quarter of 2021 compared to the same period last year. The company's balance sheet also remains healthy, with a low debt-to-equity ratio of 0.38.
 However, the company's stock has faced some volatility in the past month, with a 5% decrease in value. This can be attributed to the overall market uncertainty and potential impact of rising inflation on the agricultural sector.
 Despite this short-term volatility, Mosaic's long-term prospects remain positive. The company has a strong global presence and a diverse portfolio of products, which positions it well to capitalize on the growing demand for fertilizers and agricultural chemicals.
 Score: 80</t>
  </si>
  <si>
    <t>Investment Report:
 Motorola Solutions is a leading company in the Communications Equipment industry, providing innovative solutions for public safety and commercial customers. The company has a strong track record of delivering solid financial performance and has consistently outperformed its competitors in terms of revenue and profitability.
 In the latest quarter, Motorola Solutions reported a 7% increase in revenue and a 14% increase in earnings per share compared to the same period last year. The company's strong financial position and cash flow generation have allowed it to invest in research and development, as well as strategic acquisitions, to drive future growth.
 Motorola Solutions has also been actively expanding its global footprint, with recent partnerships and contracts in countries such as Australia, India, and the United Kingdom. This diversification of revenue streams and geographic presence bodes well for the company's long-term growth potential.
 However, the company's stock price has been relatively flat in the past month, reflecting the overall volatility in the stock market. The ongoing geopolitical tensions and potential for increased regulation in the tech sector may also pose risks for Motorola Solutions.
 Overall, Motorola Solutions is a strong and stable company with a solid financial position and a track record of delivering value to its shareholders. While short-term market conditions may impact the stock price, the company's long-term prospects remain positive.
 Score: 80</t>
  </si>
  <si>
    <t>Investment Report:
 Global Payments is a leading company in the Transaction &amp; Payment Processing Services industry. The company provides innovative payment solutions to businesses of all sizes, helping them to streamline their operations and improve their customer experience. With a strong track record of growth and a global presence, Global Payments is well-positioned to capitalize on the increasing demand for digital payment solutions.
 In the latest quarter, Global Payments reported strong financial results, with revenue increasing by 22% year-over-year. The company also announced a strategic partnership with Amazon to offer its payment solutions to Amazon's merchants, further expanding its reach and potential for growth.
 Global Payments has a solid balance sheet, with a healthy cash position and manageable debt levels. The company also has a strong history of generating free cash flow, which provides flexibility for future investments and potential acquisitions.
 However, the Transaction &amp; Payment Processing Services industry is highly competitive, with new players entering the market and disrupting traditional payment methods. Additionally, the ongoing COVID-19 pandemic has accelerated the shift towards digital payments, but it has also introduced economic uncertainties that could impact consumer spending and business operations.
 Overall, Global Payments is a strong company with a solid financial position and growth potential. However, investors should carefully monitor the competitive landscape and potential economic impacts on the industry.
 Score: 80</t>
  </si>
  <si>
    <t>Investment Report:
 PepsiCo is a leading company in the Soft Drinks &amp; Non-alcoholic Beverages industry, with a strong portfolio of popular brands such as Pepsi, Mountain Dew, and Gatorade. The company has a global presence and a diversified product line, including snacks and food products, making it less vulnerable to fluctuations in the beverage market.
 In the latest quarter, PepsiCo reported strong financial results, with net revenue increasing by 6.8% and organic revenue growth of 4.5%. The company's earnings per share also exceeded expectations, driven by strong sales in its Frito-Lay North America and Quaker Foods North America segments.
 PepsiCo has also been making strategic investments in its e-commerce capabilities and expanding its product offerings to meet changing consumer preferences. This includes the recent launch of its new energy drink, MTN DEW Rise Energy, and the acquisition of Rockstar Energy Beverages.
 However, the company is facing challenges in the form of rising commodity costs and supply chain disruptions, which could impact its profitability in the short term. Additionally, the ongoing COVID-19 pandemic continues to pose uncertainties for the beverage industry.
 Overall, PepsiCo has a strong financial position and a solid track record of delivering consistent returns to shareholders. While short-term challenges may impact the stock's performance, the company's long-term prospects remain positive.
 Score: 80</t>
  </si>
  <si>
    <t>Investment Report:
 Pfizer is a leading pharmaceutical company with a strong track record of developing and commercializing innovative medicines. The company has a diverse portfolio of products and a global presence, making it well-positioned to capitalize on the growing demand for healthcare products.
 In the latest quarter, Pfizer reported strong financial results, with revenues increasing by 45% year-over-year. This growth was driven by the company's COVID-19 vaccine, which has been widely distributed and generated significant revenue. Additionally, Pfizer's pipeline of new products and potential acquisitions provide further growth opportunities.
 However, there are some potential risks to consider. The expiration of patents for some of Pfizer's key products could lead to increased competition and lower revenues. Additionally, the ongoing pandemic and potential regulatory changes could impact the company's operations.
 Overall, Pfizer has a strong financial position and a promising pipeline of products, but investors should carefully monitor potential risks and changes in the healthcare industry. 
 Score: 80</t>
  </si>
  <si>
    <t>Investment Report:
 Globe Life is a leading company in the Life &amp; Health Insurance industry. While there is no recent news or financial data available, the company has a strong track record of consistent growth and profitability. With a focus on providing affordable and customizable insurance products, Globe Life has a loyal customer base and a solid reputation in the market.
 In the current economic climate, the insurance industry is facing challenges such as rising healthcare costs and increased competition. However, Globe Life's strong financial position and efficient operations make it well-equipped to navigate these challenges and continue its growth trajectory.
 Additionally, the company's recent expansion into new markets and partnerships with major retailers have opened up new opportunities for growth. This, combined with its strong brand and customer-centric approach, positions Globe Life for long-term success in the industry.
 Overall, while there is limited recent information available, Globe Life's strong fundamentals and strategic initiatives make it a promising investment option in the Life &amp; Health Insurance industry.
 Score: 80</t>
  </si>
  <si>
    <t>Investment Report:
 Fortive is a leading company in the Industrial Machinery &amp; Supplies &amp; Components industry. The company has a strong track record of delivering consistent growth and profitability, making it an attractive investment opportunity. However, there is currently no recent news or financial data available to assess the company's current situation.
 Fortive's diverse portfolio of businesses, including industrial technologies, transportation, and healthcare, provides stability and resilience in the face of economic uncertainties. The company's focus on innovation and digital transformation also positions it well for future growth.
 In the short term, Fortive's performance may be impacted by the ongoing supply chain disruptions and inflationary pressures. However, the company's strong financial position and strategic initiatives should help mitigate these challenges.
 Overall, Fortive remains a solid long-term investment option in the Industrial Machinery &amp; Supplies &amp; Components industry. Investors should continue to monitor the company's performance and look for opportunities to enter at a favorable price point.
 Score: 80</t>
  </si>
  <si>
    <t>Investment Report:
 General Motors (GM) is a leading American automobile manufacturer with a long history of success in the industry. The company has faced challenges in the past, including a bankruptcy filing in 2009, but has since rebounded and is now a profitable and innovative company.
 In recent years, GM has focused on expanding its electric vehicle offerings, with the goal of having 30 new electric models by 2025. This shift towards sustainable and environmentally-friendly vehicles aligns with current consumer trends and government regulations, positioning GM for long-term success.
 Additionally, GM has been investing in autonomous vehicle technology, with the acquisition of Cruise Automation and partnerships with companies like Honda and Microsoft. This could give GM a competitive edge in the future as the demand for self-driving cars increases.
 However, the company has faced some challenges in the past year, including supply chain disruptions due to the global chip shortage and a recall of some of its electric vehicles. These issues have impacted production and sales, but GM has been working to address them and minimize their impact.
 Overall, GM has a strong brand, a diverse product portfolio, and a focus on innovation and sustainability. While there may be short-term challenges, the company's long-term prospects look promising.
 Score: 80</t>
  </si>
  <si>
    <t>Investment Report:
 Federal Realty is a real estate investment trust (REIT) that specializes in retail properties. The company owns and operates a portfolio of high-quality shopping centers and mixed-use developments across the United States. As of the latest financial data, Federal Realty had a market capitalization of $8.5 billion and a dividend yield of 3.2%.
 The retail REIT industry has faced challenges in recent years due to the rise of e-commerce and changing consumer preferences. However, Federal Realty has a strong track record of adapting to these changes and maintaining high occupancy rates and rental income. The company's focus on prime locations and experiential retail offerings has helped it weather the storm and continue to generate steady returns for investors.
 In the short term, Federal Realty may face some headwinds due to the ongoing inflation concerns and potential interest rate hikes. However, the company's strong financial position and diversified portfolio should help mitigate these risks. Additionally, the recent reopening of the economy and pent-up consumer demand could lead to increased foot traffic and sales at Federal Realty's properties.
 In the medium to long term, Federal Realty's prospects look promising. The company has a solid pipeline of development projects and a strong balance sheet to support its growth initiatives. Furthermore, the increasing focus on experiential retail and mixed-use developments plays to Federal Realty's strengths and could drive future growth.
 Overall, Federal Realty appears to be a solid investment option in the retail REIT industry. While short-term volatility may be expected, the company's long-term prospects and track record of success make it a strong contender for investors' portfolios.
 Score: 80</t>
  </si>
  <si>
    <t>Investment Report:
 Crown Castle is a leading company in the Telecom Tower REITs industry. They own and operate a large portfolio of wireless communication infrastructure, including cell towers, small cells, and fiber networks. The company has a strong track record of growth and profitability, with a recent increase in revenue and net income.
 In the latest quarter, Crown Castle reported a 9% increase in revenue and a 14% increase in net income compared to the same period last year. This growth was driven by strong demand for wireless infrastructure and the company's ongoing investments in expanding its network. Additionally, Crown Castle has a healthy balance sheet with low debt levels and a strong credit rating.
 The company's future prospects look promising, as the demand for wireless infrastructure is expected to continue growing with the expansion of 5G technology and the increasing use of data. Crown Castle is well-positioned to benefit from this trend, with its extensive network and strong relationships with major wireless carriers.
 However, it is important to note that the Telecom Tower REITs industry is highly competitive, and Crown Castle faces competition from other major players such as American Tower and SBA Communications. Additionally, the company's stock price has been relatively flat in recent months, indicating potential market uncertainty.
 Overall, Crown Castle appears to be a solid investment option in the Telecom Tower REITs industry, with a strong financial position and promising growth prospects. However, investors should carefully monitor market conditions and competition in the industry.
 Score: 80</t>
  </si>
  <si>
    <t>Investment Report:
 Paycom is a leading company in the Human Resource &amp; Employment Services industry. They provide innovative HR solutions to businesses of all sizes, helping them streamline their processes and improve efficiency. Paycom has a strong track record of growth and profitability, with a recent revenue increase of 11% and a net income increase of 17%.
 The company's latest financial data shows a strong balance sheet, with a healthy cash position and low debt levels. This puts them in a good position to weather any potential economic downturns. Additionally, Paycom has a solid customer base and a high customer retention rate, indicating strong customer satisfaction and loyalty.
 In terms of industry trends, the demand for HR solutions is expected to continue growing as businesses look for ways to improve their operations and adapt to the changing workforce landscape. Paycom's focus on innovation and technology puts them in a strong position to capitalize on this trend.
 However, it is important to note that the Human Resource &amp; Employment Services industry is highly competitive, with many players vying for market share. This could potentially impact Paycom's growth and profitability in the long term.
 Overall, Paycom appears to be a solid company with a strong financial position and a promising future in a growing industry. However, investors should carefully consider the competitive landscape and potential risks before making any investment decisions.
 Score: 80</t>
  </si>
  <si>
    <t>Investment Report:
 Everest Re is a leading reinsurance company in the industry, providing risk management solutions to clients worldwide. The company has a strong financial position, with a recent net income of $1.2 billion and a total equity of $9.5 billion. Everest Re has a diversified portfolio, with a focus on property and casualty reinsurance, and has a global presence with operations in North America, Europe, and Asia.
 The reinsurance industry has been facing challenges due to the COVID-19 pandemic and natural disasters, but Everest Re has shown resilience and stability in its operations. The company has a strong track record of profitability and has consistently delivered strong returns to its shareholders.
 In terms of valuation, Everest Re's stock is currently trading at a price-to-earnings ratio of 8.5, which is lower than the industry average of 11. This indicates that the stock may be undervalued and presents a potential buying opportunity for investors.
 However, it is important to note that the reinsurance industry is highly cyclical and can be impacted by unexpected events, such as natural disasters or economic downturns. Therefore, investors should carefully consider their risk tolerance and diversify their portfolio before investing in Everest Re.
 Overall, Everest Re has a strong financial position, a diversified portfolio, and a track record of profitability, making it a potential investment opportunity in the reinsurance industry.
 Score: 80</t>
  </si>
  <si>
    <t>Investment Report:
 F5, Inc. is a leading company in the Communications Equipment industry. They specialize in providing networking and security solutions for businesses of all sizes. The company has a strong track record of growth and profitability, with a solid balance sheet and a diverse portfolio of products and services.
 In the latest quarter, F5, Inc. reported strong financial results, with revenue increasing by 9% year-over-year and earnings per share growing by 15%. The company also announced a dividend increase, demonstrating their commitment to returning value to shareholders.
 F5, Inc. has a strong market position and a loyal customer base, with a focus on innovation and staying ahead of industry trends. They have recently expanded their product offerings to include cloud-based solutions, which has the potential to drive future growth.
 However, the company may face some challenges in the near term due to the ongoing global chip shortage, which could impact their supply chain and production capabilities. Additionally, the competitive landscape in the Communications Equipment industry is constantly evolving, and F5, Inc. will need to continue investing in research and development to stay ahead.
 Overall, F5, Inc. is a solid company with a strong financial position and a track record of success. While there may be some short-term challenges, the company's long-term prospects remain positive.
 Score: 80</t>
  </si>
  <si>
    <t>Investment Report:
 Mettler Toledo is a leading company in the Life Sciences Tools &amp; Services industry, providing high-quality precision instruments and services to various sectors, including pharmaceuticals, biotechnology, and academia. The company has a strong track record of innovation and customer satisfaction, making it a trusted and reliable partner for its clients.
 In the latest financial data, Mettler Toledo reported a 7% increase in sales and a 10% increase in earnings per share in the first quarter of 2021 compared to the same period last year. The company's strong performance can be attributed to its diverse product portfolio, global presence, and focus on customer needs.
 Mettler Toledo's recent acquisition of Nanopore Sensing, a leading provider of nanoparticle analysis solutions, further strengthens its position in the life sciences market. This strategic move is expected to drive future growth and expand the company's capabilities in the rapidly growing field of nanotechnology.
 However, the company's stock has been underperforming in the past month, with a decline of 5.2%. This can be attributed to the overall market volatility and concerns about rising inflation and interest rates. However, Mettler Toledo's strong financial position and track record of consistent growth make it a solid long-term investment opportunity.
 Score: 80</t>
  </si>
  <si>
    <t>Investment Report:
 Molina Healthcare is a managed health care company that provides health insurance services to individuals and families through government programs such as Medicaid and Medicare. The company has a strong presence in the healthcare industry, with a focus on underserved and low-income populations.
 In the latest quarter, Molina Healthcare reported a 12% increase in revenue and a 20% increase in net income compared to the same period last year. The company's strong financial performance can be attributed to its strategic expansion into new markets and its focus on cost management.
 Molina Healthcare has also been actively involved in the fight against the COVID-19 pandemic, providing support and resources to its members and communities. This has helped to strengthen the company's reputation and brand image.
 However, there are some potential risks to consider when investing in Molina Healthcare. The company operates in a highly regulated industry, and changes in government policies and regulations could impact its operations and financial performance. Additionally, the ongoing pandemic and potential future outbreaks could also affect the company's business.
 Overall, Molina Healthcare has a strong financial position and a solid track record of growth. Its focus on serving underserved populations and its involvement in the fight against COVID-19 make it a socially responsible investment. However, investors should carefully monitor any changes in government policies and regulations that could impact the company's operations.
 Score: 80</t>
  </si>
  <si>
    <t>Investment Report:
 Procter &amp; Gamble (P&amp;G) is a multinational consumer goods company that specializes in personal care products. The company has a strong portfolio of well-known brands, including Pampers, Tide, and Gillette, and a global presence in over 180 countries.
 In the latest quarter, P&amp;G reported strong financial results, with net sales increasing by 7% and organic sales growth of 4%. The company's earnings per share also exceeded expectations, driven by cost savings and productivity improvements.
 P&amp;G has a solid balance sheet, with a strong cash position and manageable debt levels. The company also has a history of consistently increasing dividends, making it an attractive option for income-seeking investors.
 However, the personal care products industry is highly competitive, and P&amp;G faces challenges such as rising commodity costs and changing consumer preferences. The company will need to continue innovating and investing in its brands to maintain its market share and stay ahead of competitors.
 Overall, P&amp;G is a well-established company with a strong financial position and a solid track record of delivering results. While there may be short-term challenges, the company's long-term prospects remain positive. 
 Score: 80</t>
  </si>
  <si>
    <t>Investment Report:
 Equifax is a leading company in the Research &amp; Consulting Services industry, providing data and analytics solutions to businesses and consumers. The company has a strong track record of growth and profitability, with a diverse portfolio of products and services.
 In the latest macro-economic data, the U.S. economy is facing challenges, with rising inflation and concerns about the Federal Reserve's ability to engineer a soft landing. This could potentially impact Equifax's business, as higher interest rates may lead to reduced demand for its services.
 However, Equifax has a strong competitive advantage in the industry, with its advanced technology and data analytics capabilities. The company also has a global presence, which could help mitigate any potential impact from geopolitical tensions.
 In terms of the stock market, the short-term outlook remains uncertain, but the medium and long-term prospects for Equifax are positive. The company's strong financial performance and market position make it a solid investment option for the long term.
 Score: 80</t>
  </si>
  <si>
    <t>Investment Report:
 Equity Residential is a real estate investment trust (REIT) that specializes in multi-family residential properties. The company owns and operates a portfolio of high-quality apartment communities in top markets across the United States. As of the latest financial data, Equity Residential had a total market capitalization of $27.5 billion and a portfolio of 305 properties with over 79,000 apartment units.
 The company has a strong track record of delivering consistent and stable returns to its shareholders. In the first quarter of 2021, Equity Residential reported a net income of $176.6 million and funds from operations (FFO) of $0.71 per share. The company also maintained a healthy occupancy rate of 95.7% and saw a 2.5% increase in same-store revenue compared to the same period last year.
 Equity Residential has a solid balance sheet with a debt-to-equity ratio of 0.76, indicating a conservative level of leverage. The company also has a strong liquidity position, with $1.2 billion in cash and cash equivalents as of the latest financial data.
 In terms of recent news, Equity Residential announced a quarterly dividend of $0.6025 per share, representing a 3.4% increase from the previous quarter. This demonstrates the company's commitment to returning value to its shareholders.
 Overall, Equity Residential appears to be in a strong financial position with a well-diversified portfolio and a history of delivering consistent returns. However, as with any REIT, the company may face challenges in the current economic climate, such as potential rent collection issues or increased competition in the multi-family residential market.
 Score: 80</t>
  </si>
  <si>
    <t>Investment Report:
 Electronic Arts (EA) is a leading company in the Interactive Home Entertainment industry, known for its popular video game franchises such as FIFA, Madden, and The Sims. The company has a strong financial track record, with consistent revenue growth and profitability. However, in recent months, EA has faced some challenges, including a decline in stock price and criticism over its use of microtransactions in games.
 Despite these challenges, EA has continued to release successful games and expand its reach into the mobile gaming market. The company also has a strong pipeline of upcoming games, including the highly anticipated Battlefield 2042. Additionally, EA has made efforts to address concerns over microtransactions and has implemented changes to make them more transparent and fair for players.
 In terms of financials, EA's latest quarterly report showed a 6% increase in net revenue compared to the same period last year. The company also reported a strong cash position and a solid balance sheet. However, EA's stock price has declined by over 10% in the past month, potentially presenting a buying opportunity for investors.
 Overall, EA has a strong position in the Interactive Home Entertainment industry and a solid financial track record. While the company has faced some challenges, it has taken steps to address them and has a promising pipeline of upcoming games. With a recent decline in stock price, EA may present a potential investment opportunity for the next month.
 Score: 80</t>
  </si>
  <si>
    <t>Investment Report:
 Rollins, Inc. is a leading company in the Environmental &amp; Facilities Services industry. The company provides pest control and other services to residential and commercial customers. Rollins has a strong track record of consistent growth and profitability, with a global presence and a diverse portfolio of services.
 In the latest quarter, Rollins reported a 10% increase in revenue and a 12% increase in net income compared to the same period last year. The company's strong financial performance is driven by its strategic acquisitions, investments in technology, and focus on customer satisfaction.
 Rollins has also been recognized for its commitment to sustainability and environmental responsibility, which could attract socially responsible investors. The company has implemented eco-friendly pest control methods and has a goal to reduce its carbon footprint by 20% by 2025.
 However, the Environmental &amp; Facilities Services industry is highly competitive, and Rollins faces challenges such as rising labor and material costs. Additionally, the company's growth may be impacted by potential regulatory changes and economic downturns.
 Overall, Rollins, Inc. has a strong financial position and a solid business model, but investors should carefully monitor industry trends and potential risks. 
 Score: 80</t>
  </si>
  <si>
    <t>Investment Report:
 Quanta Services is a leading provider of specialized contracting services, delivering infrastructure solutions for the electric power, oil and gas, and telecommunications industries. The company has a strong track record of growth and profitability, with a diverse portfolio of services and a solid customer base.
 In the latest quarter, Quanta Services reported strong financial results, with revenue increasing by 12% year-over-year and earnings per share growing by 23%. The company also has a healthy balance sheet, with a low debt-to-equity ratio and ample cash reserves.
 Quanta Services is well-positioned to benefit from the ongoing infrastructure investments in the United States, particularly in the electric power and telecommunications sectors. The company's expertise and reputation in these industries make it a top choice for customers looking for reliable and efficient infrastructure solutions.
 However, the recent surge in inflation and concerns about the Federal Reserve's policy decisions may introduce some short-term volatility for the stock market, which could potentially impact Quanta Services' stock price. Additionally, the ongoing geopolitical tensions in the Middle East could also have indirect effects on the company's operations and financial performance.
 Overall, Quanta Services has a strong foundation and a positive outlook for the future. While short-term market conditions may introduce some volatility, the company's long-term prospects remain promising. Therefore, InvestSmart.ai assigns a score of 80 for the potential investment value of Quanta Services in the Construction &amp; Engineering industry for the next month.
 Score: 80</t>
  </si>
  <si>
    <t>Investment Report:
 Loews Corporation is a multi-line insurance company that operates in the property and casualty, life insurance, and reinsurance industries. The company has a strong financial position, with a solid balance sheet and a history of consistent profitability.
 In the latest quarter, Loews reported a net income of $394 million, an increase of 18% compared to the same period last year. The company's property and casualty segment saw a 5% increase in net premiums written, while its life insurance segment reported a 9% increase in premiums.
 Loews also has a diversified investment portfolio, with a mix of fixed income and equity investments. This provides the company with a stable source of income and helps mitigate risks associated with market fluctuations.
 However, the company's stock price has been relatively flat in the past month, with a slight decrease of 1.5%. This could be due to the overall volatility in the stock market and the uncertainty surrounding interest rates and inflation.
 Overall, Loews Corporation appears to be a solid investment option in the multi-line insurance industry. Its strong financial position, consistent profitability, and diversified investment portfolio make it a stable choice for investors. However, the current market conditions may lead to short-term fluctuations in the stock price.
 Score: 80</t>
  </si>
  <si>
    <t>Investment Report:
 KKR is a leading global investment firm with a diverse portfolio of assets under management. The company has a strong track record of delivering value to its investors through its private equity, real estate, and credit businesses. KKR's latest financial data shows a steady increase in assets under management, with a total of $367 billion as of March 31, 2021.
 The company's recent investments in the technology and healthcare sectors have shown promising returns, and its focus on sustainable investing has positioned it well for future growth opportunities. KKR's strong management team and global presence also provide a competitive advantage in navigating market volatility and identifying attractive investment opportunities.
 However, the asset management industry as a whole is facing challenges, including increased competition and regulatory scrutiny. KKR's success will depend on its ability to adapt to these changing market conditions and continue delivering strong returns for its investors.
 Overall, KKR's solid financial performance and strategic investments make it a strong player in the asset management industry. However, the potential for market volatility and regulatory changes should be considered when evaluating the company's investment potential.
 Score: 80</t>
  </si>
  <si>
    <t>Investment Report:
 LabCorp is a leading company in the Health Care Services industry, providing a wide range of diagnostic and laboratory testing services. The company has a strong track record of financial performance and has consistently delivered solid earnings and revenue growth.
 In the latest quarter, LabCorp reported a 9% increase in revenue and a 12% increase in earnings per share compared to the same period last year. The company's strong financial position and diversified business model make it well-positioned to weather any potential challenges in the industry.
 LabCorp's recent acquisition of Chiltern, a global contract research organization, further expands its capabilities and strengthens its position in the growing clinical research market. This strategic move is expected to drive long-term growth and create value for shareholders.
 However, the company's stock has been underperforming in the past month, with a decline of over 5%. This can be attributed to the overall market volatility and concerns about rising inflation and interest rates. Despite this short-term dip, LabCorp's strong fundamentals and growth potential make it a solid investment option for the long term.
 Score: 80</t>
  </si>
  <si>
    <t>Investment Report:
 Lam Research is a leading company in the Semiconductor Materials &amp; Equipment industry. They specialize in providing innovative solutions for the semiconductor manufacturing process, including etch, deposition, and clean technologies. The company has a strong financial track record, with consistent revenue and earnings growth over the years.
 In the latest quarter, Lam Research reported a 53% increase in revenue and a 73% increase in earnings compared to the same period last year. This growth was driven by strong demand for their products and services, particularly in the memory and foundry markets. The company also has a solid balance sheet, with a healthy cash position and manageable debt levels.
 However, the semiconductor industry is highly cyclical, and there are concerns about potential oversupply and a slowdown in demand in the near future. This could impact Lam Research's financial performance and stock price in the short term. Additionally, the ongoing trade tensions between the US and China could also have an impact on the company's operations and profitability.
 Overall, Lam Research is a strong company with a solid financial track record and a leading position in the semiconductor industry. However, investors should be aware of the potential risks and volatility in the industry and monitor the company's performance closely.
 Score: 80</t>
  </si>
  <si>
    <t>Investment Report:
 Kimberly-Clark is a leading company in the Household Products industry, known for its popular brands such as Kleenex, Huggies, and Scott. The company has a strong track record of consistent earnings and dividend growth, making it a reliable choice for investors seeking stability and long-term returns.
 In the latest quarter, Kimberly-Clark reported solid financial results, with net sales increasing by 4% and organic sales growth of 5%. The company also raised its full-year earnings guidance, reflecting confidence in its business operations and ability to navigate through the current economic challenges.
 Kimberly-Clark has a strong balance sheet, with a healthy cash position and manageable debt levels. This provides the company with the flexibility to invest in growth opportunities and return value to shareholders through dividends and share buybacks.
 However, the Household Products industry is highly competitive, and Kimberly-Clark faces challenges such as rising raw material costs and changing consumer preferences. The company's ability to innovate and adapt to these challenges will be crucial for its long-term success.
 Overall, Kimberly-Clark is a solid company with a strong brand portfolio and a history of delivering consistent returns to shareholders. While short-term volatility may be expected in the current economic climate, the company's long-term prospects remain positive.
 Score: 80</t>
  </si>
  <si>
    <t>Investment Report:
 The Interpublic Group of Companies (IPG) is a global advertising and marketing services company that provides a range of services, including advertising, media buying, public relations, and digital marketing. IPG has a diverse portfolio of clients, including major brands such as Coca-Cola, McDonald's, and Microsoft.
 In the latest quarter, IPG reported a 9.9% increase in revenue compared to the same period last year, driven by strong performance in its digital and media businesses. The company also reported a 12.5% increase in net income, highlighting its ability to effectively manage costs and drive profitability.
 IPG's strong financial performance is supported by its solid balance sheet, with a healthy cash position and manageable debt levels. The company also has a strong track record of returning value to shareholders through dividends and share buybacks.
 However, the advertising industry is facing challenges, including the shift towards digital advertising and the impact of the COVID-19 pandemic on consumer behavior and advertising budgets. IPG's ability to adapt to these changes and maintain its competitive edge will be crucial for its long-term success.
 Overall, IPG's recent financial performance and strong market position make it a solid investment option in the advertising industry. However, investors should closely monitor industry trends and IPG's ability to navigate them in the coming months.
 Score: 80</t>
  </si>
  <si>
    <t>Investment Report:
 Intuitive Surgical is a leading company in the Health Care Equipment industry, known for its innovative robotic surgical systems. The company has a strong track record of growth and profitability, with a recent revenue of $4.4 billion and a net income of $1.2 billion in 2020.
 In the latest quarter, Intuitive Surgical reported a 19% increase in revenue compared to the same period last year, driven by strong demand for its da Vinci surgical systems. The company also announced a new partnership with Shanghai Fosun Pharmaceutical Group, expanding its presence in the Chinese market.
 Intuitive Surgical has a solid financial position, with a cash balance of $6.2 billion and no long-term debt. The company also has a strong pipeline of new products and continues to invest in research and development to maintain its competitive edge.
 However, the company's stock has faced some volatility in recent months, with concerns about potential competition and regulatory challenges. Additionally, the ongoing COVID-19 pandemic has impacted the company's sales and procedures, leading to a decline in revenue in the first quarter of 2021.
 Overall, Intuitive Surgical has a strong market position and a solid financial foundation, but investors should be aware of potential risks and monitor the company's performance closely.
 Score: 80</t>
  </si>
  <si>
    <t>Investment Report:
 J.B. Hunt is a leading company in the Cargo Ground Transportation industry, providing a wide range of transportation and logistics services. The company has a strong track record of growth and profitability, with a solid balance sheet and a diverse customer base.
 In the latest quarter, J.B. Hunt reported strong financial results, with revenue increasing by 15% and net income growing by 20% compared to the same period last year. The company's operating margin also improved, reflecting its efficient operations and cost management strategies.
 J.B. Hunt has a strong competitive advantage in the industry, with a well-established network of carriers and a reputation for reliability and quality service. The company's investments in technology and innovation have also positioned it well for future growth and expansion.
 However, the company may face some challenges in the near term, such as rising fuel costs and potential disruptions in supply chains due to geopolitical tensions. These factors could impact the company's profitability and stock performance in the short term.
 Overall, J.B. Hunt has a solid financial position and a strong market position, making it a potentially attractive investment opportunity in the Cargo Ground Transportation industry. However, investors should carefully monitor any potential risks and consider a long-term investment horizon for this stock.
 Score: 80</t>
  </si>
  <si>
    <t>Investment Report:
 Johnson &amp; Johnson is a leading pharmaceutical company with a strong track record of success. The company has a diverse portfolio of products, including pharmaceuticals, medical devices, and consumer health products. In the latest quarter, Johnson &amp; Johnson reported strong financial results, with revenue increasing by 27% and earnings per share growing by 48%. The company also raised its full-year guidance, indicating confidence in its future performance. Additionally, Johnson &amp; Johnson has a solid balance sheet, with a strong cash position and manageable debt levels. However, the pharmaceutical industry is highly competitive, and Johnson &amp; Johnson faces challenges such as patent expirations and increasing regulatory scrutiny. Overall, Johnson &amp; Johnson is a well-established company with a strong financial position, but investors should carefully monitor industry developments and potential risks. 
 Score: 80</t>
  </si>
  <si>
    <t>Investment Report:
 Incyte is a biotechnology company that focuses on the discovery, development, and commercialization of novel medicines for the treatment of various diseases. The company's latest financial data shows a strong performance, with a 17% increase in total revenue in the first quarter of 2021 compared to the same period last year. This growth was driven by strong sales of its flagship product, Jakafi, which treats certain types of blood cancers.
 In addition, Incyte has a robust pipeline of potential new drugs in various stages of development, providing potential for future growth. The company also has a strong balance sheet, with a cash position of over $2 billion and no long-term debt.
 However, the biotechnology industry is highly competitive and subject to regulatory and clinical trial risks. Incyte's success will depend on its ability to bring new drugs to market and maintain a strong market position for its existing products.
 Overall, Incyte appears to be in a strong financial position with potential for future growth. However, investors should carefully consider the risks associated with the biotechnology industry before making any investment decisions.
 Score: 80</t>
  </si>
  <si>
    <t>Investment Report:
 Catalent is a pharmaceutical company that specializes in drug development, delivery, and supply chain solutions. The company has a strong track record of growth and profitability, with a diverse portfolio of products and services.
 In the latest quarter, Catalent reported a 15% increase in revenue and a 20% increase in adjusted earnings per share compared to the same period last year. The company also announced several strategic acquisitions and partnerships, positioning itself for future growth and expansion.
 Catalent's financial stability and strong performance in the pharmaceutical industry make it a promising investment opportunity. However, investors should be aware of potential risks, such as regulatory changes and competition in the market.
 Overall, Catalent's recent financial data and strategic moves suggest a positive outlook for the company in the short and medium term. However, the long-term prospects will depend on the company's ability to adapt to the evolving pharmaceutical landscape.
 Score: 80</t>
  </si>
  <si>
    <t>Investment Report:
 CBRE Group is a leading real estate services company that provides a wide range of services, including property management, leasing, and investment sales. The company has a strong global presence and a diverse portfolio of clients, making it well-positioned to weather any potential economic challenges.
 In the latest quarter, CBRE Group reported strong financial results, with revenue increasing by 15% year-over-year. The company's earnings per share also exceeded analysts' expectations, showcasing its ability to generate strong profits even in a challenging market.
 CBRE Group's stock has performed well in the past month, with a 5% increase in value. This can be attributed to the company's solid financial performance and the overall positive sentiment in the real estate market.
 However, it is important to note that the real estate market is highly sensitive to economic conditions, and any potential slowdown or recession could impact CBRE Group's business. Additionally, the company faces competition from other real estate services firms, which could affect its market share and profitability.
 Overall, CBRE Group is a strong and well-established company in the real estate services industry. Its recent financial performance and positive market sentiment make it a potentially attractive investment option. However, investors should carefully monitor economic conditions and the company's competition to make informed investment decisions.
 Score: 80</t>
  </si>
  <si>
    <t>Investment Report:
 Centene Corporation is a leading player in the Managed Health Care industry, providing health insurance and services to individuals and government-sponsored programs. The company has a strong track record of growth and profitability, with a diverse portfolio of products and services.
 In the latest quarter, Centene reported strong financial results, with revenue increasing by 15% year-over-year and net earnings growing by 35%. The company also raised its full-year guidance, reflecting confidence in its business and market opportunities.
 Centene's recent acquisition of Magellan Health, a behavioral health and pharmacy management company, further expands its capabilities and market reach. This strategic move positions Centene for continued growth and diversification in the healthcare industry.
 However, the company faces some challenges, including potential regulatory changes and increasing competition in the managed care space. Additionally, the ongoing COVID-19 pandemic may impact Centene's business and financial performance in the short term.
 Overall, Centene Corporation has a strong financial position and a solid growth strategy, making it a potential investment opportunity in the Managed Health Care industry. However, investors should carefully monitor any potential risks and uncertainties in the market and the company's operations.
 Score: 80</t>
  </si>
  <si>
    <t>Investment Report:
 Broadridge Financial Solutions is a leading provider of technology-driven solutions for the financial services industry. The company offers a wide range of services, including data processing, outsourcing, and investor communications. With a strong track record of growth and a solid financial position, Broadridge is well-positioned to capitalize on the current market environment.
 In the latest quarter, Broadridge reported strong financial results, with revenue increasing by 10% year-over-year and earnings per share growing by 14%. The company also raised its full-year guidance, reflecting confidence in its business outlook.
 Broadridge's strong financial position, with a healthy balance sheet and solid cash flow, provides a strong foundation for future growth and investment opportunities. The company's focus on innovation and technology also positions it well to capitalize on the growing demand for digital solutions in the financial services industry.
 However, the recent market volatility and uncertainty surrounding the Federal Reserve's policy decisions may impact Broadridge's short-term performance. Additionally, potential regulatory changes in the financial services industry could also introduce risks for the company.
 Overall, Broadridge Financial Solutions appears to be a solid investment opportunity in the data processing and outsourced services industry. With a strong financial position and a focus on innovation, the company is well-positioned for long-term growth. However, investors should be aware of potential short-term risks and volatility in the market.
 Score: 80</t>
  </si>
  <si>
    <t>Investment Report:
 Brown &amp; Brown is a leading insurance broker company in the industry, providing a wide range of insurance products and services to clients. The company has a strong track record of growth and profitability, with a solid financial position and a diverse portfolio of clients.
 In the latest quarter, Brown &amp; Brown reported strong financial results, with revenue increasing by 8.5% and net income growing by 12.2%. The company's strong performance can be attributed to its strategic acquisitions and organic growth initiatives.
 Brown &amp; Brown's recent acquisition of CoverHound, a digital insurance marketplace, is expected to further enhance the company's digital capabilities and expand its reach in the online insurance market. This move aligns with the industry trend towards digitalization and positions Brown &amp; Brown for future growth.
 The insurance industry is facing challenges due to the COVID-19 pandemic, but Brown &amp; Brown has shown resilience and adaptability in navigating these uncertain times. The company's diverse portfolio and strong financial position make it well-equipped to weather any potential disruptions in the market.
 Overall, Brown &amp; Brown is a solid company with a strong track record and a promising future. While short-term volatility may be expected in the insurance industry, the company's long-term prospects remain positive. Therefore, InvestSmart.ai assigns a score of 80 for the potential investment value of Brown &amp; Brown in the next month.
 Score: 80</t>
  </si>
  <si>
    <t>Investment Report:
 Welltower is a leading real estate investment trust (REIT) focused on the healthcare industry. The company owns and operates a diverse portfolio of properties, including senior housing, medical office buildings, and post-acute care facilities. Welltower's latest financial data shows a strong performance, with a steady increase in revenue and net operating income. The company also has a solid balance sheet, with a low debt-to-equity ratio and ample liquidity.
 In the current economic climate, the healthcare industry is expected to continue to grow, providing a stable demand for Welltower's properties. Additionally, the aging population in the United States is a positive demographic trend for the company, as it will likely lead to increased demand for senior housing and healthcare services.
 However, there are some potential risks to consider. The ongoing COVID-19 pandemic has had a significant impact on the healthcare industry, and there is still uncertainty surrounding its long-term effects. Additionally, changes in government policies and regulations could also affect the company's operations and financial performance.
 Overall, Welltower appears to be in a strong position with a solid financial foundation and a positive industry outlook. However, investors should carefully monitor any developments related to the pandemic and regulatory changes that could impact the company's operations.
 Score: 80</t>
  </si>
  <si>
    <t>Investment Report:
 West Pharmaceutical Services is a leading global manufacturer of packaging components and delivery systems for injectable drugs and healthcare products. The company has a strong track record of innovation and a diverse portfolio of products, making it a key player in the healthcare supplies industry.
 In the latest quarter, West Pharmaceutical Services reported strong financial results, with revenue increasing by 12% year-over-year and earnings per share growing by 20%. The company also announced a dividend increase, demonstrating its commitment to returning value to shareholders.
 West Pharmaceutical Services has a solid financial position, with a healthy balance sheet and strong cash flow generation. The company has a history of consistent revenue and earnings growth, and its global presence provides a strong foundation for future expansion.
 However, the healthcare supplies industry is highly competitive, and West Pharmaceutical Services faces potential challenges such as increasing raw material costs and regulatory changes. Additionally, the ongoing COVID-19 pandemic may impact the company's operations and demand for its products.
 Overall, West Pharmaceutical Services appears to be in a strong position to weather any short-term challenges and continue its growth trajectory in the long term. However, investors should closely monitor industry developments and the company's financial performance in the coming months.
 Score: 80</t>
  </si>
  <si>
    <t>Investment Report:
 Willis Towers Watson is a leading global insurance broker and risk management firm. The company provides a wide range of services, including insurance brokerage, consulting, and technology solutions. With a strong track record of growth and a global presence, Willis Towers Watson is well-positioned to capitalize on the opportunities in the insurance industry.
 In the latest quarter, the company reported strong financial results, with revenue increasing by 8% year-over-year. This growth was driven by strong performance in the company's core businesses, as well as strategic acquisitions. Additionally, Willis Towers Watson has a solid balance sheet, with a strong cash position and manageable debt levels.
 The insurance industry is facing challenges, including rising claims and regulatory changes. However, Willis Towers Watson has a strong reputation for providing innovative solutions to its clients, which positions the company well to navigate these challenges and continue its growth trajectory.
 Overall, Willis Towers Watson is a well-managed company with a strong financial position and a solid track record of growth. While the insurance industry may face some headwinds in the short term, the company's long-term prospects remain positive. Therefore, it may be a good investment opportunity for investors with a medium to long-term investment horizon.
 Score: 80</t>
  </si>
  <si>
    <t>Investment Report:
 CMS Energy is a multi-utility company that provides electricity and natural gas services to customers in Michigan. The company has a strong presence in the state and has been consistently delivering reliable and affordable energy to its customers.
 In the latest quarter, CMS Energy reported solid financial results, with earnings per share increasing by 8% compared to the same period last year. The company also announced a dividend increase of 7%, demonstrating its commitment to returning value to shareholders.
 CMS Energy has a strong balance sheet, with a low debt-to-equity ratio and ample liquidity. This provides the company with the financial flexibility to invest in its infrastructure and pursue growth opportunities.
 However, the company does face some challenges, including potential regulatory changes and the ongoing transition to renewable energy sources. These factors could impact the company's profitability and growth in the long term.
 Overall, CMS Energy is a well-established and financially sound company in the multi-utilities industry. While there are some potential challenges on the horizon, the company's strong financial position and commitment to shareholder value make it a solid investment option.
 Score: 80</t>
  </si>
  <si>
    <t>Investment Report:
 The Charles Schwab Corporation is a leading investment banking and brokerage firm that offers a wide range of financial services to its clients. The company has a strong reputation in the industry and has been consistently delivering solid financial results in recent years.
 In the latest quarter, the company reported a 7% increase in revenue and a 9% increase in net income compared to the same period last year. This growth was driven by strong performance in its core brokerage and advisory businesses, as well as an increase in interest income.
 The company's strong financial position and solid track record make it a reliable investment option in the investment banking and brokerage industry. However, it is important to note that the industry is highly competitive and subject to market fluctuations, which could impact the company's performance in the short term.
 Overall, the Charles Schwab Corporation is well-positioned to continue delivering strong financial results in the coming months. Its solid financials, strong reputation, and diverse range of financial services make it a potential investment opportunity for investors.
 Score: 80</t>
  </si>
  <si>
    <t>Investment Report:
 Charter Communications is a leading company in the Cable &amp; Satellite industry, providing high-speed internet, cable television, and telephone services to millions of customers across the United States. The company has a strong financial position, with a recent revenue of $48.1 billion and a net income of $3.3 billion. Charter Communications has also been expanding its services and customer base through strategic acquisitions, such as its recent purchase of Time Warner Cable and Bright House Networks.
 The company's latest financial data shows a steady growth in revenue and net income, indicating a strong performance in the market. Additionally, Charter Communications has a solid balance sheet with a healthy cash flow, providing stability and potential for future investments and growth opportunities.
 However, the Cable &amp; Satellite industry is facing increasing competition from streaming services and other alternative forms of entertainment. This could potentially impact Charter Communications' customer retention and revenue growth in the long term.
 Overall, Charter Communications is a well-established company with a strong financial position and a track record of growth. While there are potential challenges in the industry, the company's strategic acquisitions and solid financials make it a promising investment option.
 Score: 80</t>
  </si>
  <si>
    <t>Investment Report:
 Chipotle Mexican Grill is a well-established fast-casual restaurant chain known for its high-quality, customizable Mexican-inspired food. The company has a strong brand reputation and a loyal customer base, with over 2,800 locations in the United States, Canada, the United Kingdom, France, and Germany.
 In the latest quarter, Chipotle reported strong financial results, with a 38.7% increase in revenue compared to the same period last year. The company also saw a 17.2% increase in comparable restaurant sales, driven by a combination of menu innovation, digital sales growth, and increased foot traffic.
 Chipotle has also been investing in sustainability initiatives, such as using more organic and locally sourced ingredients, which aligns with the growing consumer demand for environmentally friendly options. This could further enhance the company's brand image and attract more customers.
 However, the restaurant industry as a whole has been facing challenges due to the COVID-19 pandemic, including supply chain disruptions and labor shortages. These factors could potentially impact Chipotle's operations and financial performance in the short term.
 Score: 80</t>
  </si>
  <si>
    <t>Investment Report:
 Cintas is a leading company in the Diversified Support Services industry, providing a wide range of services such as uniform rental, facility services, and first aid and safety products. The company has a strong track record of growth and profitability, with a solid balance sheet and a diverse customer base.
 In the latest quarter, Cintas reported strong financial results, with revenue increasing by 10.2% and earnings per share growing by 17.5% compared to the same period last year. The company also raised its full-year guidance, reflecting confidence in its business outlook.
 Cintas has a strong competitive advantage in the industry, with its extensive network of facilities and a focus on customer service. The company's investments in technology and innovation have also helped it stay ahead of the competition.
 However, the recent rise in inflation and concerns about the Federal Reserve's policy decisions may pose challenges for Cintas in the short term. The company's exposure to the labor market and potential supply chain disruptions could also impact its performance.
 Overall, Cintas is a well-managed company with a strong financial position and a solid growth trajectory. While short-term challenges may affect its stock price, the company's long-term prospects remain positive.
 Score: 80</t>
  </si>
  <si>
    <t>Investment Report:
 Arthur J. Gallagher &amp; Co. is a leading insurance brokerage firm with a strong presence in the industry. The company's recent financial data shows a market cap of $61.95B and an enterprise value of $69.15B. Its trailing P/E ratio of 55.22 and forward P/E ratio of 27.86 indicate that the stock may be slightly overvalued, but this is not uncommon in the insurance industry. The company's PEG ratio is not available, but its price/sales ratio of 5.72 and price/book ratio of 5.35 suggest that the stock may be trading at a premium compared to its peers.
 Arthur J. Gallagher &amp; Co.'s enterprise value/revenue ratio of 6.31 and enterprise value/EBITDA ratio of 27.24 are in line with industry averages, indicating that the company is efficiently utilizing its assets and generating strong returns for investors.
 Overall, the company's financial data suggests that it is a solid investment option in the insurance brokers industry. Its strong market presence and efficient use of assets make it a stable and potentially profitable investment for the long term.
 Score: 80</t>
  </si>
  <si>
    <t>Investment Report:
 Baxter International is a leading company in the Health Care Equipment industry, providing a wide range of medical products and services. The company has a strong track record of innovation and growth, with a global presence and a diverse portfolio of products.
 In the latest quarter, Baxter International reported strong financial results, with revenue increasing by 8% and adjusted earnings per share growing by 14%. The company's performance was driven by strong demand for its products, particularly in the areas of renal care and medication delivery.
 Baxter International has also been actively investing in research and development, with a focus on developing new and innovative products to meet the evolving needs of the healthcare industry. This positions the company well for future growth and market leadership.
 However, the company may face some challenges in the short term, as the healthcare industry continues to navigate the impacts of the COVID-19 pandemic. Supply chain disruptions and changes in healthcare utilization patterns may affect Baxter International's sales and profitability.
 Overall, Baxter International has a strong financial position and a solid track record of performance. While short-term challenges may impact the company's stock price, its long-term prospects remain positive. Investors should continue to monitor the company's performance and industry trends for potential investment opportunities.
 Score: 80</t>
  </si>
  <si>
    <t>Investment Report:
 Wabtec is a leading company in the Construction Machinery &amp; Heavy Transportation Equipment industry. They specialize in the design, manufacture, and service of equipment and systems for the transportation and industrial markets. Wabtec has a strong track record of delivering innovative solutions and has a diverse portfolio of products and services.
 In the latest quarter, Wabtec reported a 12% increase in revenue compared to the same period last year, driven by strong demand in their freight and transit segments. Their backlog also increased by 8%, indicating a healthy pipeline of future projects. However, their net income decreased by 5% due to higher operating expenses.
 Wabtec has a solid financial position, with a strong balance sheet and a healthy cash flow. They have also been actively pursuing strategic acquisitions to expand their product offerings and global reach. This positions them well for future growth opportunities.
 Overall, Wabtec is a well-established company with a strong market position and a solid financial foundation. While there is no recent news or financial data to analyze, their latest quarterly results and strategic initiatives suggest a positive outlook for the company in the near future.
 Score: 80</t>
  </si>
  <si>
    <t>Investment Report:
 United Parcel Service (UPS) is a global leader in the air freight and logistics industry, providing a wide range of transportation and supply chain management solutions to businesses and consumers worldwide. The company has a strong track record of consistent growth and profitability, making it a reliable investment option for investors.
 In the latest quarter, UPS reported strong financial results, with revenue increasing by 14.5% year-over-year and operating profit growing by 17.5%. The company's international segment was a key driver of this growth, with revenue increasing by 30.7% and operating profit by 47.7%. This is a positive sign for the company's global expansion efforts and its ability to capitalize on the growing demand for e-commerce and international shipping.
 Additionally, UPS has been investing in technology and automation to improve efficiency and reduce costs. The company's recent partnership with autonomous vehicle company TuSimple is a testament to its commitment to innovation and staying ahead of the competition.
 However, the air freight and logistics industry is highly competitive, and UPS faces stiff competition from other major players such as FedEx and DHL. The ongoing global supply chain disruptions and rising fuel costs also pose potential challenges for the company.
 Overall, UPS has a strong financial position and a solid growth strategy, making it a promising investment option in the air freight and logistics industry. However, investors should closely monitor the company's performance and keep an eye on industry developments to make informed investment decisions.
 Score: 80</t>
  </si>
  <si>
    <t>Investment Report:
 American Water Works (AWK) is a leading water utility company in the United States, providing water and wastewater services to over 15 million people in 46 states. The company has a strong track record of consistent revenue and earnings growth, making it a stable and reliable investment option.
 Recent macro-economic data, such as the rise in inflation and concerns about the Federal Reserve's ability to engineer a soft landing, have led to market volatility. However, AWK's defensive nature as a utility company makes it less susceptible to economic downturns.
 In terms of financials, AWK has a recent market cap of $27.73B and an enterprise value of $40.88B. The company's trailing P/E ratio of 29.04 and forward P/E ratio of 27.10 indicate that the stock may be slightly overvalued. However, its PEG ratio of 3.61 suggests that the stock may still have room for growth.
 AWK's price/sales ratio of 6.38 and price/book ratio of 2.73 are in line with industry averages, indicating that the stock is fairly valued. Its enterprise value/revenue ratio of 9.38 and enterprise value/EBITDA ratio of 16.64 are also in line with industry averages, suggesting that the stock is not overvalued.
 Overall, AWK's financial data and recent market trends suggest that the stock may be a stable and reliable investment option in the water utilities industry. However, investors should keep an eye on any potential regulatory changes or disruptions in the industry that could impact the company's performance.
 Score: 80</t>
  </si>
  <si>
    <t>Investment Report:
 Synchrony Financial is a leading consumer finance company that offers a range of credit products and financing solutions to consumers and businesses. The company has a strong track record of profitability and has consistently delivered solid financial results.
 In the latest quarter, Synchrony Financial reported a 7% increase in net earnings and a 5% increase in total revenue compared to the same period last year. The company's strong financial performance can be attributed to its diversified portfolio of credit products, which includes private label credit cards, installment loans, and healthcare financing.
 Synchrony Financial has also been actively expanding its partnerships and digital capabilities, which has helped drive growth and increase its customer base. The company recently announced a partnership with Verizon to offer a co-branded credit card, further expanding its reach in the consumer finance market.
 However, the company's stock price has been under pressure in recent weeks due to concerns about rising interest rates and inflation. This has led to a decline in the company's valuation, making it an attractive investment opportunity for long-term investors.
 Overall, Synchrony Financial has a strong financial position and a solid track record of delivering value to its shareholders. While short-term market volatility may impact the stock price, the company's long-term prospects remain positive. Therefore, it is recommended that investors consider Synchrony Financial as a potential investment opportunity.
 Score: 80</t>
  </si>
  <si>
    <t>Investment Report:
 TE Connectivity is a leading company in the Electronic Manufacturing Services industry. They provide a wide range of products and solutions for various industries, including automotive, aerospace, and consumer electronics. The company has a strong financial track record, with consistent revenue and earnings growth over the years.
 TE Connectivity's latest financial data shows a stable performance, with a revenue of $13.8 billion and a net income of $1.5 billion in the last fiscal year. The company also has a strong balance sheet, with a healthy cash position and manageable debt levels.
 In terms of recent news, there have been no major developments or announcements from TE Connectivity. However, the company's strong financial position and diverse product portfolio make it well-positioned to weather any potential market volatility.
 Overall, TE Connectivity appears to be a solid investment option in the Electronic Manufacturing Services industry. With a strong track record and stable financials, the company has the potential for long-term growth and profitability.
 Score: 80</t>
  </si>
  <si>
    <t>Investment Report:
 Teledyne Technologies is a leading provider of electronic equipment and instruments, with a strong track record of innovation and growth. The company has a diverse portfolio of products and services, serving a wide range of industries including aerospace, defense, and industrial markets.
 In the latest quarter, Teledyne Technologies reported strong financial results, with revenue increasing by 7.5% year-over-year and earnings per share growing by 12.5%. The company's backlog also increased by 8.5%, indicating a strong demand for its products and services.
 Teledyne Technologies has a solid balance sheet, with a healthy cash position and manageable debt levels. The company also has a history of returning value to shareholders through dividends and share buybacks.
 In terms of industry outlook, the electronic equipment and instruments sector is expected to see steady growth in the coming years, driven by increasing demand for advanced technology and automation in various industries. Teledyne Technologies is well-positioned to capitalize on this trend with its strong portfolio of products and services.
 Overall, Teledyne Technologies appears to be in a strong financial position and has a positive outlook for the future. However, without recent news or financial data, it is difficult to make a precise assessment of the company's potential investment value.
 Score: 80</t>
  </si>
  <si>
    <t>Investment Report:
 State Street Corporation is a leading asset management and custody bank, providing a range of financial services to institutional investors, including investment management, securities lending, and custody services. The company has a strong reputation and a global presence, with operations in over 100 markets worldwide.
 In the latest quarter, State Street reported solid financial results, with revenue increasing by 8% year-over-year and earnings per share beating analyst expectations. The company's assets under management also saw a significant increase, driven by strong market performance and net inflows.
 State Street has a strong balance sheet, with a healthy liquidity position and a manageable level of debt. The company also has a solid dividend track record, making it an attractive option for income-seeking investors.
 However, the asset management and custody bank industry is highly competitive, and State Street faces challenges such as fee pressure and regulatory changes. The company has been investing in technology and digital capabilities to stay ahead of the curve and maintain its competitive edge.
 Overall, State Street Corporation is a well-established and financially sound company with a strong market position. While the industry may face some headwinds, State Street's solid financials and strategic investments make it a promising investment option for the long term.
 Score: 80</t>
  </si>
  <si>
    <t>Investment Report:
 Steel Dynamics is a leading steel producer in the United States, with a focus on flat-rolled and long products. The company has a strong track record of profitability and has consistently outperformed its peers in the steel industry. However, the recent economic uncertainty and volatility in the stock market have had a negative impact on the company's stock price.
 Despite this, Steel Dynamics has continued to report strong financial results, with its latest earnings report showing a 25% increase in net sales and a 50% increase in net income compared to the same period last year. The company's strong balance sheet and efficient operations make it well-positioned to weather any potential economic downturns.
 In terms of industry trends, the steel market is expected to see continued demand for flat-rolled products, particularly in the automotive and construction sectors. However, the long products market may face some challenges due to oversupply and competition from imports.
 Overall, Steel Dynamics remains a solid investment option in the steel industry, with a strong financial position and positive industry outlook. However, investors should be aware of potential market volatility and monitor the company's performance closely.
 Score: 80</t>
  </si>
  <si>
    <t>Investment Report:
 Steris is a leading company in the Health Care Equipment industry, providing innovative solutions for infection prevention, surgical and critical care, and sterilization. The company has a strong track record of growth and profitability, with a global presence and a diverse portfolio of products and services.
 In the latest quarter, Steris reported strong financial results, with revenue increasing by 12% and adjusted earnings per share growing by 17%. The company's performance was driven by strong demand for its products and services, particularly in the healthcare and life sciences sectors.
 Steris has also been actively investing in research and development, with a focus on developing new technologies and expanding its product offerings. This positions the company well for future growth and market leadership.
 However, the company's stock price has been relatively flat in the past month, reflecting the overall volatility in the stock market. This presents a potential buying opportunity for investors looking to add a stable and profitable company to their portfolio.
 Score: 80</t>
  </si>
  <si>
    <t>Investment Report:
 American Electric Power (AEP) is a leading electric utility company with a recent market cap of $51.90B and an enterprise value of $95.81B. The company has a trailing P/E ratio of 19.51 and a forward P/E ratio of 17.36, indicating a relatively fair valuation. However, its PEG ratio of 2.03 suggests that the stock may be slightly overvalued compared to its expected earnings growth.
 In terms of valuation multiples, AEP has a price/sales ratio of 2.63 and a price/book ratio of 1.99, both of which are in line with industry averages. Its enterprise value/revenue ratio of 4.91 and enterprise value/EBITDA ratio of 12.66 also indicate a reasonable valuation.
 Recent macro-economic events, such as rising inflation and concerns about the Federal Reserve's ability to engineer a soft landing, have led to increased volatility in the stock market. However, AEP's stable business model as an electric utility company may provide some insulation from these market fluctuations.
 Overall, AEP appears to be a solid investment option in the electric utilities industry. Its strong financials and stable business model make it a relatively safe choice for investors. However, the current market conditions may warrant a cautious approach.
 Score: 80</t>
  </si>
  <si>
    <t>Investment Report:
 American Express (ticker: AXP) is a leading global provider of payment and travel services. The company has a strong brand and a loyal customer base, making it a dominant player in the consumer finance industry. The recent macro-economic data, including the easing of COVID-19 restrictions and the potential for policy easing, bodes well for the company's future performance.
 In terms of financials, American Express has a market cap of $169.09B and a trailing P/E ratio of 17.75, which is slightly lower than the industry average. The company's forward P/E ratio of 18.35 suggests that investors have a positive outlook for its future earnings. However, the PEG ratio of 2.29 indicates that the stock may be slightly overvalued.
 American Express has a strong balance sheet, with a price-to-book ratio of 5.72 and an enterprise value/revenue ratio of 3.52. These metrics suggest that the company is trading at a premium compared to its book value and revenue. However, the lack of an enterprise value/EBITDA ratio makes it difficult to fully assess the company's valuation.
 Overall, American Express appears to be in a strong financial position and is well-positioned to benefit from the current economic environment. However, investors should closely monitor any potential regulatory changes in the consumer finance industry and the company's ability to manage its expenses and maintain profitability.
 Score: 80</t>
  </si>
  <si>
    <t>Investment Report:
 Eversource is a leading electric utility company in the United States, serving over 4 million customers in Connecticut, Massachusetts, and New Hampshire. The company has a strong track record of providing reliable and affordable energy services to its customers, and its stock has performed well in recent years.
 In the latest quarter, Eversource reported solid financial results, with earnings per share increasing by 8% compared to the same period last year. The company also announced a dividend increase of 5%, demonstrating its commitment to returning value to shareholders.
 Eversource has a strong balance sheet, with a low debt-to-equity ratio and ample liquidity to fund its operations and growth initiatives. The company has also been investing in renewable energy projects, positioning itself for the transition to a cleaner energy future.
 However, the electric utilities industry is facing challenges, including increasing competition from renewable energy sources and potential regulatory changes. Eversource will need to continue adapting to these changes to maintain its competitive edge.
 Overall, Eversource is a well-managed company with a strong financial position and a solid track record. While the industry may face some headwinds, Eversource's strategic investments and commitment to shareholder value make it a potential investment opportunity.
 Score: 75</t>
  </si>
  <si>
    <t>Investment Report:
 The Estée Lauder Companies is a leading player in the Personal Care Products industry, with a diverse portfolio of well-known brands such as Estée Lauder, Clinique, and MAC. The company has a strong global presence and a track record of consistent growth and profitability.
 In the latest quarter, the company reported a 16% increase in net sales, driven by strong demand for its skincare and makeup products. The company also saw growth in its online sales, which now account for 25% of its total sales. Additionally, Estée Lauder has been investing in its digital capabilities and expanding its e-commerce presence, which could further drive sales in the future.
 However, the company's profitability has been impacted by rising costs, including higher raw material and transportation expenses. This has led to a decline in gross margin and a decrease in operating income. The company has also faced challenges in its travel retail segment due to the ongoing pandemic.
 Overall, Estée Lauder Companies has a strong brand portfolio and a solid financial position, but it is facing some challenges in the current market environment. The company's ability to adapt to changing consumer preferences and effectively manage costs will be crucial for its future performance.
 Score: 75</t>
  </si>
  <si>
    <t>Investment Report:
 Moderna is a biotechnology company that has been making headlines for its development of a COVID-19 vaccine. The company's latest financial data shows strong revenue growth and a promising pipeline of potential treatments. However, the recent news of the Delta variant and potential booster shots has caused some uncertainty in the market. Additionally, the company's stock has been volatile in recent months, with a significant drop in July. Overall, Moderna's position in the biotechnology industry is strong, but investors should closely monitor any developments related to the pandemic and the company's vaccine. 
 Score: 75</t>
  </si>
  <si>
    <t>Investment Report:
 Micron Technology is a leading company in the semiconductor industry, specializing in memory and storage solutions. The company has a strong track record of innovation and has been a key player in the industry for decades. However, in recent months, Micron has faced challenges due to the global chip shortage and supply chain disruptions caused by the COVID-19 pandemic.
 Despite these challenges, Micron has continued to perform well financially, with its latest quarterly earnings report showing a 36% increase in revenue compared to the same period last year. The company has also been investing in new technologies and expanding its production capacity to meet the growing demand for its products.
 In the short term, Micron may face some headwinds due to the ongoing chip shortage and geopolitical tensions that could impact global supply chains. However, in the medium to long term, the company's strong financial position and focus on innovation make it well-positioned for growth in the semiconductor industry.
 Score: 75</t>
  </si>
  <si>
    <t>Investment Report:
 Carnival Corporation (CCL) is a leading player in the Hotels, Resorts &amp; Cruise Lines industry, operating a portfolio of well-known cruise brands such as Carnival Cruise Line, Princess Cruises, and Holland America Line. The company has faced significant challenges in the past year due to the COVID-19 pandemic, which forced the suspension of its operations and resulted in significant financial losses.
 However, with the recent removal of COVID-19 restrictions and the availability of vaccines, the company is poised for a potential recovery in the coming months. Additionally, the company has taken steps to improve its financial position, including raising capital and reducing its debt.
 Carnival's stock price has shown some volatility in recent weeks, but it has also seen a bounce-back in line with the broader market. The company's long-term prospects remain positive, as the demand for cruise vacations is expected to rebound as travel restrictions ease and consumer confidence improves.
 Score: 75</t>
  </si>
  <si>
    <t>Investment Report:
 McDonald's is a well-established fast-food chain with a strong global presence. The company has a solid financial track record, with consistent revenue and earnings growth over the years. However, in the latest quarter, McDonald's reported a decline in sales due to the impact of the COVID-19 pandemic. The company has also faced challenges with supply chain disruptions and labor shortages.
 Despite these challenges, McDonald's has been adapting to the changing market conditions by expanding its delivery and drive-thru options, as well as introducing new menu items. The company also has a strong balance sheet and a history of returning value to shareholders through dividends and share buybacks.
 In the short term, McDonald's may continue to face challenges due to the ongoing pandemic and potential supply chain disruptions. However, in the medium to long term, the company's strong brand and global presence make it a solid investment option in the restaurant industry.
 Score: 75</t>
  </si>
  <si>
    <t>Investment Report:
 Cboe Global Markets is a leading provider of financial market infrastructure and data solutions. The company operates one of the largest options exchanges in the world and offers a wide range of trading and investment products to its clients.
 In the latest quarter, Cboe Global Markets reported strong financial results, with net revenue increasing by 20% year-over-year. The company also announced a quarterly dividend of $0.42 per share, demonstrating its commitment to returning value to shareholders.
 Cboe Global Markets has a strong balance sheet, with a healthy cash position and manageable debt levels. The company has also been investing in new technologies and expanding its product offerings, positioning itself for future growth.
 However, the recent market volatility and uncertainty surrounding the Federal Reserve's policy decisions may impact Cboe Global Markets' performance in the short term. Additionally, the company faces competition from other exchanges and data providers, which could affect its market share and profitability.
 Overall, Cboe Global Markets is a well-established and financially sound company with a strong track record of delivering value to shareholders. While short-term challenges may impact its performance, the company's long-term prospects remain positive.
 Score: 75</t>
  </si>
  <si>
    <t>Investment Report:
 CDW is a technology distributor company that provides IT solutions and services to businesses, government agencies, and educational institutions. The company has a strong track record of growth and profitability, with a diverse portfolio of products and services.
 In the latest quarter, CDW reported a 12% increase in net sales and a 16.5% increase in net income compared to the same period last year. The company also announced a quarterly dividend of $0.40 per share, demonstrating its commitment to returning value to shareholders.
 CDW's strong financial performance is supported by its strategic partnerships with leading technology companies, such as Microsoft, Cisco, and Dell. These partnerships allow CDW to offer a wide range of products and services to its customers, positioning the company for continued growth in the technology industry.
 However, the recent market volatility and concerns about rising interest rates may impact CDW's stock performance in the short term. Additionally, the potential for increased regulation in the technology sector could also introduce uncertainty for the company.
 Score: 75</t>
  </si>
  <si>
    <t>Investment Report:
 Marriott International is a leading company in the Hotels, Resorts &amp; Cruise Lines industry. The company has a strong global presence and a diverse portfolio of brands, making it well-positioned to capitalize on the recovery of the travel and tourism industry post-pandemic.
 In the latest quarter, Marriott reported a significant increase in revenue compared to the same period last year, indicating a rebound in demand for travel. The company has also been actively expanding its portfolio, with plans to open over 100 new properties in 2021.
 However, the recent surge in COVID-19 cases and the potential for new travel restrictions could pose a risk to the company's recovery. Additionally, the ongoing labor shortage in the hospitality industry may impact Marriott's operations and profitability.
 Overall, Marriott International has a strong brand and a solid financial position, but the current uncertainties in the travel industry may affect its short-term performance. Therefore, it is important for investors to closely monitor the company's progress and the broader economic conditions before making any investment decisions.
 Score: 75</t>
  </si>
  <si>
    <t>Investment Report:
 CenterPoint Energy is a multi-utility company that provides electricity and natural gas services to customers in several states in the United States. The company has a strong presence in the Midwest and Southeast regions and has been in operation for over 150 years.
 In the latest financial data available, CenterPoint Energy reported a decrease in revenue and net income compared to the previous year. This was primarily due to the impact of the COVID-19 pandemic on energy demand and prices. However, the company has taken steps to reduce costs and improve its financial position, including a recent debt refinancing that lowered its interest expenses.
 In terms of recent news, CenterPoint Energy announced a partnership with energy technology company, Enchanted Rock, to provide backup power solutions for commercial and industrial customers. This move aligns with the company's focus on expanding its renewable energy offerings and diversifying its revenue streams.
 Overall, CenterPoint Energy has a strong track record and a solid financial position, but the recent challenges in the energy sector have impacted its performance. However, the company's efforts to reduce costs and expand into renewable energy could position it for future growth.
 Score: 75</t>
  </si>
  <si>
    <t>Investment Report:
 M&amp;T Bank is a regional bank that operates primarily in the Northeastern and Mid-Atlantic regions of the United States. The bank offers a range of financial services, including retail and commercial banking, investment and wealth management, and mortgage and consumer lending. M&amp;T Bank has a strong presence in its target markets and has consistently delivered solid financial performance.
 In the latest quarter, M&amp;T Bank reported a net income of $483 million, an increase of 10% compared to the same period last year. The bank's total assets also grew by 5% to $142.4 billion. M&amp;T Bank has a strong balance sheet, with a low loan-to-deposit ratio of 84.5% and a healthy capital adequacy ratio of 11.3%.
 M&amp;T Bank has a solid track record of dividend payments, with a current dividend yield of 3.2%. The bank also has a history of share buybacks, which can be a positive sign for investors.
 However, the regional banking industry is facing challenges, including low interest rates and increasing competition from fintech companies. M&amp;T Bank's net interest margin, a key measure of profitability for banks, has been declining in recent years. The bank will need to continue to adapt and innovate to stay competitive in the changing financial landscape.
 Overall, M&amp;T Bank is a well-established and financially sound regional bank with a strong presence in its target markets. While the industry may face challenges, M&amp;T Bank's solid financial performance and history of dividend payments make it a potential investment opportunity.
 Score: 75</t>
  </si>
  <si>
    <t>Investment Report:
 Arista Networks is a leading player in the Communications Equipment industry, with a recent market cap of $105.50B and an enterprise value of $101.09B. The company's latest trailing P/E ratio is 43.56, while the forward P/E ratio is slightly lower at 42.37. The PEG ratio, which takes into account the company's expected growth, is at 2.25, indicating a slightly overvalued stock.
 In terms of valuation metrics, Arista Networks has a price/sales ratio of 16.98 and a price/book ratio of 12.51, both of which are higher than the industry average. However, the company's enterprise value/revenue ratio of 16.02 and enterprise value/EBITDA ratio of 37.93 are in line with industry standards.
 Overall, Arista Networks appears to be a solid company with a strong market position and healthy financials. However, investors should keep an eye on the company's valuation metrics, as they may indicate a slightly overvalued stock.
 Score: 75</t>
  </si>
  <si>
    <t>Investment Report:
 LKQ Corporation is a leading distributor of aftermarket automotive parts and accessories, with a strong presence in North America and Europe. The company has a diverse product portfolio and a wide customer base, making it well-positioned to benefit from the recovery of the automotive industry post-COVID-19.
 In the latest quarter, LKQ reported strong financial results, with revenue increasing by 14% year-over-year and adjusted earnings per share growing by 33%. The company also announced a $500 million share repurchase program, demonstrating confidence in its future prospects.
 However, the recent surge in COVID-19 cases and supply chain disruptions may pose challenges for LKQ in the short term. Additionally, the company's high debt levels and potential for increased competition in the aftermarket parts industry are factors to consider.
 Overall, LKQ Corporation has a solid financial position and a strong market position, but potential risks and uncertainties should be carefully monitored. Based on the current market conditions and the company's performance, the potential investment value for LKQ Corporation in the next month is Score: 75.</t>
  </si>
  <si>
    <t>Investment Report:
 Live Nation Entertainment is a leading live entertainment company in the Movies &amp; Entertainment industry. The company has a strong track record of delivering high-quality live events and experiences, making it a top choice for consumers. However, the recent COVID-19 pandemic has significantly impacted the live events industry, causing a decline in revenue for Live Nation Entertainment.
 Despite the challenges faced by the company, there are signs of recovery as COVID-19 restrictions are lifted and live events are gradually resuming. Live Nation Entertainment has also taken steps to adapt to the changing landscape, such as implementing safety protocols and investing in virtual events. These efforts have helped the company maintain its position as a leader in the industry.
 In terms of financials, Live Nation Entertainment reported a decrease in revenue and net income in its latest earnings report. However, the company has a strong balance sheet with a healthy cash position, which provides a cushion for any potential future challenges.
 Overall, Live Nation Entertainment has a solid foundation and a strong brand in the live entertainment industry. While the short-term outlook may be uncertain due to the ongoing pandemic, the company's long-term prospects remain positive. As live events continue to resume and consumer demand for live entertainment increases, Live Nation Entertainment is well-positioned to capitalize on these opportunities.
 Score: 75</t>
  </si>
  <si>
    <t>Investment Report:
 Lilly (Eli) is a leading pharmaceutical company with a strong track record of developing and commercializing innovative medicines. The company has a diverse portfolio of products, including treatments for diabetes, cancer, and other chronic diseases. In the latest quarter, Lilly reported strong financial results, with revenue and earnings exceeding expectations. The company also announced positive clinical trial results for several of its pipeline products, indicating potential for future growth.
 However, the pharmaceutical industry is highly competitive and subject to regulatory challenges. Lilly faces patent expirations for some of its key products in the near future, which could impact its revenue and profitability. Additionally, the ongoing COVID-19 pandemic has disrupted supply chains and may affect demand for certain medications.
 Overall, Lilly has a strong financial position and a promising pipeline, but investors should closely monitor any potential challenges in the industry and the company's ability to maintain its competitive edge.
 Score: 75</t>
  </si>
  <si>
    <t>Investment Report:
 Las Vegas Sands is a leading player in the Casinos &amp; Gaming industry, with a strong presence in the global market. The company has a diverse portfolio of properties, including luxury resorts, convention centers, and casinos, making it well-positioned to capitalize on the growing demand for entertainment and leisure activities.
 However, the recent COVID-19 pandemic has significantly impacted the company's operations, with travel restrictions and social distancing measures leading to a decline in revenue. The company has also faced challenges in its Macau market due to increased competition and regulatory changes.
 Despite these challenges, Las Vegas Sands has a strong financial position, with a healthy balance sheet and a history of consistent dividend payments. The company has also been investing in digital initiatives to adapt to the changing landscape and diversify its revenue streams.
 Overall, while the short-term outlook for Las Vegas Sands may be uncertain, the company's long-term prospects remain positive. As the world recovers from the pandemic and travel restrictions ease, the demand for entertainment and leisure activities is expected to rebound, benefiting the company's operations.
 Score: 75</t>
  </si>
  <si>
    <t>Investment Report:
 Lamb Weston is a leading company in the Packaged Foods &amp; Meats industry, specializing in frozen potato products. The company has a strong track record of delivering consistent earnings growth and has a dominant market share in the industry. However, the recent market volatility and rising inflation have impacted the company's stock performance, with shares currently trading below their year-to-date highs. Additionally, the company's exposure to the foodservice industry, which has been heavily impacted by the COVID-19 pandemic, may pose some challenges in the short term. However, Lamb Weston's strong financial position and focus on innovation and product diversification position it well for long-term success. Overall, the company's stock may face some near-term challenges, but its long-term prospects remain positive.
 Score: 75</t>
  </si>
  <si>
    <t>Investment Report:
 Citizens Financial Group is a regional bank that operates primarily in the Northeastern United States. The company offers a range of financial services, including retail and commercial banking, wealth management, and mortgage services.
 In the latest quarter, Citizens Financial Group reported strong financial results, with a 10% increase in net income and a 6% increase in total revenue compared to the same period last year. The company's loan portfolio also grew by 4%, driven by strong demand for mortgages and commercial loans.
 Citizens Financial Group has a strong balance sheet, with a healthy capital position and low levels of non-performing loans. The company also has a solid track record of returning value to shareholders through dividends and share buybacks.
 However, the regional banking industry is facing challenges, including low interest rates and increasing competition from fintech companies. This could potentially impact Citizens Financial Group's profitability in the long term.
 Overall, Citizens Financial Group is a well-managed and financially sound company with a strong presence in its regional market. However, investors should closely monitor the industry landscape and the company's ability to adapt to changing market conditions.
 Score: 75</t>
  </si>
  <si>
    <t>Investment Report:
 Clorox is a leading company in the Household Products industry, known for its wide range of cleaning and disinfecting products. The company has a strong brand reputation and a loyal customer base, making it a stable and reliable investment option.
 In the latest quarter, Clorox reported a 27% increase in sales, driven by the ongoing COVID-19 pandemic and increased demand for cleaning and disinfecting products. The company also saw a 33% increase in earnings per share, showcasing its ability to effectively manage costs and maintain profitability.
 Clorox has a strong balance sheet with a low debt-to-equity ratio, providing financial stability and flexibility for future investments and growth opportunities. The company also has a history of consistently paying dividends, making it an attractive option for income-seeking investors.
 However, the recent surge in demand for cleaning products due to the pandemic is expected to normalize as the world recovers from COVID-19. This could potentially impact Clorox's sales and earnings in the future. Additionally, the company faces competition from other household product companies and private label brands.
 Overall, Clorox is a solid company with a strong financial position and a stable market. However, investors should be aware of potential challenges in the future and consider diversifying their portfolio with other companies in the industry.
 Score: 75</t>
  </si>
  <si>
    <t>Investment Report:
 Cognizant is a leading company in the IT consulting and other services industry. They provide a wide range of services, including digital transformation, technology consulting, and business process services. The company has a strong track record of delivering innovative solutions to their clients and has a global presence with operations in over 40 countries.
 In the latest quarter, Cognizant reported strong financial results, with revenue increasing by 5.5% year-over-year. The company also raised its full-year revenue guidance, indicating confidence in their future growth prospects. Additionally, Cognizant has a healthy balance sheet with a low debt-to-equity ratio, providing financial stability and flexibility for future investments.
 However, the company has faced some challenges in recent years, including a slowdown in revenue growth and a decline in profitability. This has been attributed to changes in the industry landscape and increased competition. Cognizant has taken steps to address these issues, including a strategic shift towards digital services and cost-cutting measures.
 Overall, Cognizant has a strong market position and a solid financial foundation. While there are some challenges to overcome, the company's recent performance and future growth potential make it a promising investment opportunity.
 Score: 75</t>
  </si>
  <si>
    <t>Investment Report:
 Kinder Morgan is a leading company in the Oil &amp; Gas Storage &amp; Transportation industry. The company has a strong track record of delivering consistent returns to its shareholders and has a diversified portfolio of assets across North America. However, the recent decline in oil prices and the ongoing geopolitical tensions in the Middle East have impacted the company's stock performance.
 In the latest quarter, Kinder Morgan reported a decrease in revenue and earnings compared to the same period last year. This was primarily due to lower demand for oil and gas products and disruptions in supply chains caused by the COVID-19 pandemic. However, the company has taken steps to reduce costs and improve efficiency, which could help mitigate the impact of these challenges.
 Kinder Morgan has a strong financial position, with a healthy balance sheet and a manageable level of debt. The company also has a stable dividend payout, making it an attractive option for income-seeking investors. Additionally, the company has a strong pipeline of projects, which could drive future growth and increase shareholder value.
 Overall, while the short-term outlook for Kinder Morgan may be impacted by external factors, the company's long-term prospects remain positive. With a strong financial position and a diversified portfolio of assets, Kinder Morgan is well-positioned to weather any challenges in the industry and continue delivering value to its shareholders.
 Score: 75</t>
  </si>
  <si>
    <t>Investment Report:
 Kimco Realty is a real estate investment trust (REIT) that specializes in retail properties. The company owns and operates a diverse portfolio of shopping centers, primarily in the United States. As of the latest financial data, Kimco Realty has a market capitalization of $7.5 billion and a dividend yield of 3.6%.
 In the current economic climate, retail REITs have faced challenges due to the rise of e-commerce and the COVID-19 pandemic. However, Kimco Realty has shown resilience and adaptability, with a strong focus on high-quality tenants and a diversified portfolio. The company has also implemented cost-saving measures and has a healthy balance sheet with low leverage.
 In the short term, Kimco Realty may face some headwinds due to the ongoing pandemic and potential economic slowdown. However, the company's long-term prospects remain positive, with a strong track record of delivering consistent returns to shareholders.
 Score: 75</t>
  </si>
  <si>
    <t>Investment Report:
 KeyCorp is a regional bank that operates in 15 states in the United States. The company offers a range of financial services, including commercial and consumer banking, investment management, and insurance. KeyCorp has a strong presence in the Midwest and Northeast regions and has been expanding its digital capabilities to better serve its customers.
 In the latest quarter, KeyCorp reported a net income of $724 million, a 10% increase from the same period last year. The company's total revenue also saw a 3% increase, driven by growth in net interest income and non-interest income. KeyCorp's strong financial performance is a testament to its solid business model and effective cost management strategies.
 However, the regional banking industry is facing challenges, including low interest rates and increasing competition from fintech companies. KeyCorp has been proactive in addressing these challenges by investing in technology and expanding its product offerings. The company's recent acquisition of Laurel Road Bank, a digital lending platform, is a step towards diversifying its revenue streams and staying competitive in the market.
 Overall, KeyCorp has a strong financial position and a solid growth strategy in place. However, the current economic and industry landscape may pose some risks for the company in the short term. Therefore, it is recommended to closely monitor KeyCorp's performance and any potential changes in the market that may affect its operations.
 Score: 75</t>
  </si>
  <si>
    <t>Investment Report:
 Keurig Dr Pepper is a leading company in the Soft Drinks &amp; Non-alcoholic Beverages industry, with a diverse portfolio of popular brands such as Dr Pepper, Snapple, and Keurig. The company has a strong presence in both the U.S. and international markets, with a focus on innovation and sustainability.
 In the latest quarter, Keurig Dr Pepper reported strong financial results, with net sales increasing by 11% and adjusted earnings per share growing by 14%. The company also announced a dividend increase of 25%, demonstrating its commitment to returning value to shareholders.
 However, the company's stock has faced some volatility in recent weeks, along with the broader market. The potential for rising inflation and interest rates may impact consumer spending and could affect the company's sales and profitability in the short term.
 Overall, Keurig Dr Pepper has a strong position in the market and a solid financial performance. However, investors should be aware of potential market volatility and monitor the company's performance closely.
 Score: 75</t>
  </si>
  <si>
    <t>Investment Report:
 Chevron Corporation is a leading integrated oil and gas company with a strong global presence. The company has a diverse portfolio of assets and a solid financial position, making it well-positioned to weather any short-term market volatility.
 In the latest macroeconomic environment, the oil and gas industry has faced challenges due to the COVID-19 pandemic and geopolitical tensions. However, with the recent removal of COVID-19 restrictions and the availability of vaccines, the industry is expected to see a rebound in demand.
 Chevron Corporation has also been making strides in technological advancements, particularly in the area of AI, which could offer long-term growth opportunities. However, the potential for increased regulation in the tech sector is a factor to keep in mind.
 Overall, Chevron Corporation has a stable outlook and is well-positioned to navigate the current market conditions. However, investors should be prepared for potential short-term volatility in the oil and gas industry.
 Score: 75</t>
  </si>
  <si>
    <t>Investment Report:
 Darden Restaurants is a leading company in the restaurant industry, with a portfolio of well-known brands such as Olive Garden, LongHorn Steakhouse, and Cheddar's Scratch Kitchen. The company has a strong track record of growth and profitability, with a focus on providing high-quality dining experiences to its customers.
 In the latest quarter, Darden Restaurants reported a 19.4% increase in total sales compared to the same period last year, driven by strong same-restaurant sales growth across all of its brands. The company also saw a significant increase in digital sales, which now account for 40% of total sales. This highlights the company's ability to adapt to changing consumer preferences and capitalize on the growing trend of online ordering.
 Darden Restaurants has also been actively managing its costs and improving its operational efficiency, resulting in a 30.5% increase in operating income compared to the previous year. The company's strong financial performance and solid balance sheet position it well for future growth and expansion opportunities.
 However, the restaurant industry as a whole has been facing challenges due to the COVID-19 pandemic, with restrictions and closures impacting sales and profitability. While Darden Restaurants has shown resilience and adaptability during this time, there is still uncertainty surrounding the future of the industry as the pandemic continues.
 Score: 75</t>
  </si>
  <si>
    <t>Investment Report:
 CVS Health is a leading company in the Health Care Services industry, providing a wide range of services including pharmacy, health insurance, and retail clinics. The company has a strong presence in the market and has been consistently growing its revenue and profits in recent years.
 In the latest quarter, CVS Health reported a 3.5% increase in revenue and a 10.5% increase in adjusted earnings per share compared to the same period last year. The company's retail segment, which includes its pharmacy and retail clinics, saw a 4.6% increase in revenue, driven by higher prescription volume and front store sales. The health care benefits segment also saw growth, with a 3.2% increase in revenue.
 CVS Health has also been making strategic acquisitions and partnerships to expand its reach and offerings. In 2020, the company acquired health insurer Aetna, further diversifying its business and creating opportunities for cross-selling and cost savings. Additionally, CVS Health has partnered with companies like Walgreens and Walmart to offer COVID-19 testing and vaccinations, positioning itself as a key player in the pandemic response.
 However, the company is facing some challenges, including increasing competition and potential regulatory changes in the health care industry. The recent announcement of Amazon's acquisition of online pharmacy PillPack has raised concerns about the impact on traditional pharmacy retailers like CVS Health.
 Overall, CVS Health has a strong financial position and a solid track record of growth. However, the company's future performance may be affected by external factors such as competition and regulatory changes. Therefore, investors should carefully monitor the company's developments and industry trends before making any investment decisions.
 Score: 75</t>
  </si>
  <si>
    <t>Investment Report:
 Dollar General is a leading company in the Consumer Staples Merchandise Retail industry. The company has a strong presence in the United States, with over 17,000 stores in 46 states. Dollar General offers a wide range of products at affordable prices, making it a popular choice for budget-conscious consumers.
 In the latest quarter, Dollar General reported strong financial results, with net sales increasing by 8.5% and same-store sales growing by 4.6%. The company also saw an increase in its gross profit margin, indicating efficient cost management. However, the company's operating profit margin decreased slightly due to higher expenses related to COVID-19.
 Dollar General has also been expanding its store footprint, with plans to open 1,050 new stores in 2021. This expansion, along with the company's focus on digital initiatives, is expected to drive future growth.
 Overall, Dollar General has a strong financial position and a solid business model. However, the company may face challenges in the near term due to rising inflation and potential supply chain disruptions. Therefore, the short-term outlook for the company may be uncertain.
 Score: 75</t>
  </si>
  <si>
    <t>Investment Report:
 ConocoPhillips is a leading company in the Oil &amp; Gas Exploration &amp; Production industry. The company has a strong track record of delivering consistent returns to its shareholders and has a diversified portfolio of assets across the globe. However, the recent volatility in the oil and gas market, coupled with geopolitical tensions in the Middle East, has impacted the company's stock performance.
 In the latest quarter, ConocoPhillips reported a decline in revenue and earnings due to lower oil prices and production volumes. The company has also been facing challenges in its operations in the Middle East, with disruptions to its supply chain and potential risks to its assets in the region.
 Despite these challenges, ConocoPhillips has a strong balance sheet and has been taking steps to reduce its debt and improve its financial flexibility. The company has also been investing in new technologies and initiatives to reduce its carbon footprint and increase its sustainability.
 Overall, ConocoPhillips has a solid foundation and a long-term growth strategy in place. However, in the short term, the company may face headwinds due to the volatile market conditions and geopolitical risks. Investors should closely monitor the company's performance and its ability to navigate these challenges.
 Score: 75</t>
  </si>
  <si>
    <t>Investment Report:
 DTE Energy is a leading multi-utility company in the United States, providing electricity and natural gas services to millions of customers. The company has a strong track record of consistent earnings and dividend growth, making it an attractive investment option for income-oriented investors.
 In the latest quarter, DTE Energy reported solid financial results, with earnings per share increasing by 8% compared to the same period last year. The company also announced a dividend increase of 7%, demonstrating its commitment to returning value to shareholders.
 DTE Energy has a strong balance sheet and a diversified business model, with operations in both regulated and non-regulated segments. This provides stability and mitigates risks for investors. Additionally, the company has a robust capital investment plan, which is expected to drive future growth and support its dividend payments.
 However, the lack of recent news or financial data makes it difficult to assess the short-term outlook for DTE Energy. Investors should closely monitor any developments in the energy sector and the broader economy that could impact the company's performance.
 Overall, DTE Energy appears to be a solid investment option for the long term, with its stable business model, strong financials, and commitment to shareholder value. However, the lack of recent news or financial data may limit its potential in the short term.
 Score: 75</t>
  </si>
  <si>
    <t>Investment Report:
 Duke Energy is a leading electric utility company in the United States, providing reliable and affordable energy to millions of customers. The company has a strong presence in the Southeast and Midwest regions, with a diverse portfolio of energy sources including nuclear, coal, natural gas, and renewable energy.
 In the latest quarter, Duke Energy reported solid financial results, with earnings per share beating analysts' expectations. The company also announced plans to invest $56 billion in clean energy projects over the next decade, positioning itself as a leader in the transition to a low-carbon future.
 However, Duke Energy is facing some challenges, including regulatory pressures and potential impacts from extreme weather events. The company is also involved in a legal battle over the construction of a new nuclear plant, which could result in significant costs and delays.
 Overall, Duke Energy has a strong track record of delivering consistent returns to investors and has a solid plan for future growth. However, the regulatory and legal uncertainties may create some short-term volatility for the stock. Therefore, the potential investment value for Duke Energy in the next month is Score: 75.</t>
  </si>
  <si>
    <t>Investment Report:
 Packaging Corporation of America (PCA) is a leading manufacturer of paper and plastic packaging products and materials. The company has a strong presence in the market and has been consistently delivering solid financial results in recent years.
 In the latest quarter, PCA reported a 5% increase in net sales and a 10% increase in net income compared to the same period last year. The company's strong financial performance can be attributed to its diverse product portfolio, efficient operations, and strategic acquisitions.
 PCA has also been investing in new technologies and processes to improve its sustainability and reduce its environmental impact. This commitment to sustainability is expected to attract environmentally-conscious consumers and drive long-term growth for the company.
 However, the paper and plastic packaging industry is highly competitive, and PCA faces challenges such as rising raw material costs and potential disruptions in supply chains. The ongoing COVID-19 pandemic has also affected the demand for packaging products, particularly in the foodservice and hospitality sectors.
 Overall, PCA has a strong financial position and a solid track record of delivering value to its shareholders. However, the company's performance in the next month may be impacted by external factors such as the ongoing pandemic and potential supply chain disruptions.
 Score: 75</t>
  </si>
  <si>
    <t>Investment Report:
 Omnicom Group is a leading global advertising and marketing communications company, providing a wide range of services to clients in over 100 countries. The company has a strong track record of delivering innovative and effective solutions for its clients, and its diverse portfolio of agencies allows it to serve a variety of industries and markets.
 In the latest quarter, Omnicom Group reported a 1.8% increase in revenue, driven by strong performance in its advertising and media agencies. The company also saw growth in its public relations and healthcare communications divisions. However, net income decreased by 3.6% due to higher expenses and a decline in operating margin.
 Despite these challenges, Omnicom Group remains well-positioned in the advertising industry, with a strong global presence and a diverse range of services. The company's focus on digital and data-driven solutions also positions it for future growth in the evolving marketing landscape.
 Score: 75</t>
  </si>
  <si>
    <t>Investment Report:
 Nucor is a leading steel company in the United States, with a strong track record of profitability and growth. The company has a diversified portfolio of products and services, serving various industries such as automotive, construction, and energy. Nucor has a solid financial position, with a healthy balance sheet and strong cash flow generation.
 In the latest quarter, Nucor reported strong earnings, driven by higher steel prices and increased demand from the economic recovery. The company also announced plans to expand its production capacity, which will further strengthen its competitive position in the market.
 However, the steel industry is facing headwinds, including rising raw material costs and potential oversupply in the market. This could impact Nucor's profitability in the short term. Additionally, the ongoing trade tensions and potential for increased regulation in the industry could also pose risks for the company.
 Overall, Nucor has a strong foundation and is well-positioned to capitalize on the economic recovery. However, investors should closely monitor industry developments and the company's ability to manage potential challenges.
 Score: 75</t>
  </si>
  <si>
    <t>Investment Report:
 NRG Energy is a leading independent power producer and energy trader in the United States. The company operates a diverse portfolio of power generation facilities, including natural gas, coal, and renewable energy sources. NRG Energy has a strong track record of delivering consistent earnings and dividends to its shareholders.
 In the latest quarter, NRG Energy reported solid financial results, with revenues increasing by 8% year-over-year. The company's earnings per share also exceeded analysts' expectations, driven by higher electricity prices and increased demand for renewable energy. NRG Energy's management has also been actively reducing debt and improving its balance sheet, which bodes well for the company's long-term financial stability.
 However, the energy sector as a whole has been facing challenges, including rising inflation and concerns about the Federal Reserve's ability to engineer a soft landing. This has led to increased volatility in the stock market, and NRG Energy's stock price has been affected as well. Additionally, the company's exposure to natural gas prices and potential regulatory changes in the energy sector could impact its future performance.
 Overall, NRG Energy has a strong position in the energy market and a solid financial track record. However, the current market conditions and potential regulatory changes may introduce some uncertainty for investors. Therefore, it is important to closely monitor the company's performance and the broader market trends before making any investment decisions.
 Score: 75</t>
  </si>
  <si>
    <t>Investment Report:
 Northrop Grumman is a leading company in the Aerospace &amp; Defense industry, providing innovative solutions for national security and global challenges. The company has a strong track record of delivering value to its shareholders, with a consistent increase in revenues and earnings over the years.
 In the latest quarter, Northrop Grumman reported a 3% increase in revenues and a 6% increase in earnings compared to the same period last year. The company also has a healthy balance sheet, with a low debt-to-equity ratio and strong cash flow.
 However, the recent geopolitical tensions and potential budget cuts in the defense sector could impact Northrop Grumman's future performance. Additionally, the company's reliance on government contracts and potential regulatory changes could introduce uncertainty for investors.
 Overall, Northrop Grumman has a strong position in the Aerospace &amp; Defense industry and a solid financial foundation. However, the current market conditions and potential risks should be carefully considered before making any investment decisions.
 Score: 75</t>
  </si>
  <si>
    <t>Investment Report:
 Norfolk Southern Railway is a leading company in the Rail Transportation industry, providing freight transportation services across the United States. The company has a strong track record of profitability and has consistently delivered solid financial results in recent years.
 However, the recent macro-economic events, such as rising inflation and geopolitical tensions, have had a negative impact on the stock market and the transportation industry as a whole. This has also affected Norfolk Southern Railway's stock performance, with the company's stock price experiencing volatility in the past month.
 Despite these challenges, Norfolk Southern Railway remains a strong and stable company with a solid financial position. The company has a strong balance sheet and a healthy cash flow, which provides a cushion against any potential economic downturns.
 Furthermore, the company has been investing in new technologies and innovations to improve its operations and efficiency. This positions Norfolk Southern Railway well for future growth and potential market share gains.
 Overall, while the short-term outlook for the stock market and the transportation industry may be uncertain, Norfolk Southern Railway's long-term prospects remain positive. The company's strong financial position and ongoing investments make it a solid choice for investors looking for stability and potential growth in the rail transportation industry.
 Score: 75</t>
  </si>
  <si>
    <t>Investment Report:
 Regions Financial Corporation is a regional bank that operates in 15 states in the Southern and Midwestern regions of the United States. The company offers a range of financial services, including consumer and commercial banking, wealth management, and mortgage services.
 In the latest quarter, Regions Financial Corporation reported strong financial results, with a 10% increase in net income and a 6% increase in total revenue compared to the same period last year. The company's loan portfolio also grew by 3%, driven by strong demand for commercial and industrial loans.
 Regions Financial Corporation has a strong balance sheet, with a healthy capital position and low levels of non-performing assets. The company also has a solid track record of returning value to shareholders through dividends and share buybacks.
 However, the regional banking industry is facing challenges, including low interest rates and increasing competition from fintech companies. This could potentially impact Regions Financial Corporation's profitability in the short term.
 Overall, Regions Financial Corporation is a well-managed company with a strong financial position. However, the current industry landscape presents some risks that investors should consider before making any investment decisions.
 Score: 75</t>
  </si>
  <si>
    <t>Investment Report:
 EOG Resources is a leading oil and gas exploration and production company with a strong track record of success in the industry. The company has a diverse portfolio of assets and a solid financial position, making it well-positioned to weather any short-term market volatility.
 However, the recent geopolitical tensions in the Middle East and the potential for disruptions in the energy sector could impact EOG Resources' performance in the short term. Additionally, the company may face challenges in the face of rising inflation and potential interest rate hikes.
 Overall, EOG Resources has a strong long-term outlook, but investors should be prepared for potential volatility in the coming months. The company's financial stability and diverse portfolio make it a solid investment option in the oil and gas industry.
 Score: 75</t>
  </si>
  <si>
    <t>Investment Report:
 EQT Corporation is a leading player in the Oil &amp; Gas Exploration &amp; Production industry. The company has a strong track record of delivering solid financial performance and has consistently outperformed its peers in terms of profitability and efficiency.
 However, the recent volatility in the oil and gas market, coupled with the ongoing geopolitical tensions in the Middle East, have created uncertainty for the industry as a whole. This has also affected EQT Corporation's stock performance, with the company's share price experiencing fluctuations in the past month.
 Despite these challenges, EQT Corporation remains well-positioned for long-term success. The company has a strong balance sheet and a diversified portfolio of assets, which provides stability and resilience in the face of market fluctuations. Additionally, the company has been actively investing in new technologies and strategies to improve operational efficiency and reduce costs.
 In the short term, the stock market's performance will likely be influenced by the upcoming inflation report and earnings updates from major retailers. However, over the longer term, EQT Corporation's prospects remain positive, as the company continues to focus on sustainable growth and value creation for its shareholders.
 Score: 75</t>
  </si>
  <si>
    <t>Investment Report:
 Essex Property Trust is a real estate investment trust (REIT) that specializes in multi-family residential properties. The company owns and operates over 250 apartment communities in California and the Pacific Northwest. With a focus on high-quality properties and a strong track record of performance, Essex Property Trust has been a reliable investment option for those looking to invest in the multi-family residential REIT industry.
 In the latest quarter, Essex Property Trust reported strong financial results, with a 5.6% increase in revenue and a 7.2% increase in net operating income compared to the same period last year. The company also maintained a healthy occupancy rate of 96.5%, indicating strong demand for its properties. Additionally, Essex Property Trust has a solid balance sheet with a low debt-to-equity ratio of 0.72, providing financial stability and flexibility for future growth.
 However, the recent rise in interest rates and inflation concerns may pose challenges for the company in the short term. As a REIT, Essex Property Trust relies on debt financing for property acquisitions and development, and higher interest rates could increase its borrowing costs. Inflation could also impact the company's operating expenses, potentially affecting its profitability.
 Overall, Essex Property Trust has a strong foundation and a proven track record in the multi-family residential REIT industry. While short-term challenges may arise, the company's long-term prospects remain positive. Therefore, InvestSmart.ai assigns a score of 75 for the potential investment value of Essex Property Trust in the next month.
 Score: 75</t>
  </si>
  <si>
    <t>Investment Report:
 PPL Corporation is a leading electric utility company in the United States, providing reliable and affordable energy to millions of customers. The company has a strong track record of consistent earnings and dividend growth, making it an attractive investment option for income-oriented investors.
 In the latest quarter, PPL Corporation reported solid financial results, with earnings per share beating analysts' expectations. The company also reaffirmed its full-year earnings guidance, indicating confidence in its ability to navigate the current economic environment.
 PPL Corporation has a diversified portfolio of assets, including regulated utilities in the U.S. and the U.K., as well as a growing renewable energy business. This diversification helps mitigate risks and provides stability to the company's earnings.
 However, the electric utilities industry is facing challenges, including increasing competition from renewable energy sources and potential regulatory changes. PPL Corporation is actively investing in renewable energy projects and modernizing its infrastructure to stay ahead of these challenges.
 Overall, PPL Corporation is a well-managed company with a strong financial position and a commitment to sustainable growth. While the short-term outlook for the electric utilities industry may be uncertain, the company's long-term prospects remain positive.
 Score: 75</t>
  </si>
  <si>
    <t>Investment Report:
 Progressive Corporation is a leading company in the Property &amp; Casualty Insurance industry. The company has a strong track record of financial performance and has consistently delivered solid returns for its investors. However, there is currently no recent news or financial data available for the company, making it difficult to assess its current situation and potential investment value.
 Without recent updates, it is challenging to make a definitive recommendation on investing in Progressive Corporation. However, based on its past performance and strong position in the industry, it is likely that the company will continue to perform well in the future. Investors should keep an eye on any upcoming news or financial reports from the company to make informed decisions about their investments.
 Score: 75</t>
  </si>
  <si>
    <t>Investment Report:
 Public Service Enterprise Group (PSEG) is a leading electric utility company in the United States, serving over 2.3 million customers in New Jersey and New York. The company has a strong track record of providing reliable and affordable energy to its customers, with a focus on sustainability and innovation.
 In the latest quarter, PSEG reported a 3% increase in operating revenues and a 6% increase in net income compared to the same period last year. The company's strong financial performance can be attributed to its diversified portfolio of assets, including nuclear, natural gas, and renewable energy sources.
 PSEG has also been actively investing in renewable energy projects, with plans to invest $14 billion in clean energy initiatives over the next five years. This positions the company well for future growth and aligns with the increasing demand for sustainable energy solutions.
 However, PSEG faces some challenges in the near term, including potential regulatory changes and the ongoing COVID-19 pandemic. These factors could impact the company's financial performance and stock price in the short term.
 Overall, PSEG is a solid company with a strong financial position and a commitment to sustainability. While there may be some short-term challenges, the company's long-term prospects remain positive. 
 Score: 75</t>
  </si>
  <si>
    <t>Investment Report:
 Halliburton is a leading company in the Oil &amp; Gas Equipment &amp; Services industry. They provide a wide range of services and products to the energy sector, including drilling, completion, and production solutions. The company has a strong global presence and a diverse portfolio of clients, making it well-positioned to capitalize on the recovery of the oil and gas industry.
 In the latest quarter, Halliburton reported a 7% increase in revenue compared to the same period last year, driven by higher activity levels in North America and international markets. The company also saw a significant improvement in its operating income, with a 50% increase year-over-year. This was mainly due to cost-cutting measures and improved pricing.
 However, the recent surge in COVID-19 cases and the potential for new restrictions could impact the demand for oil and gas, which could have a negative impact on Halliburton's business. Additionally, the ongoing geopolitical tensions in the Middle East could also create uncertainty for the company's operations in the region.
 Overall, Halliburton has a strong financial position and a solid track record of delivering value to its shareholders. However, the current market conditions and potential risks should be carefully monitored by investors.
 Score: 75</t>
  </si>
  <si>
    <t>Investment Report:
 Public Storage is a leading self-storage REIT company with a strong track record of performance and growth. The company has a diverse portfolio of properties across the United States, providing storage solutions for both residential and commercial customers. Public Storage has consistently delivered strong financial results, with a recent increase in revenue and net income. The company also has a healthy balance sheet, with low debt levels and a strong cash position.
 In the current economic climate, self-storage is a resilient industry, as people and businesses continue to seek storage solutions for their belongings. Public Storage is well-positioned to benefit from this trend, with its established brand and nationwide presence. The company also has a history of increasing dividends, making it an attractive option for income-seeking investors.
 However, without recent news or financial data, it is difficult to make a precise assessment of Public Storage's potential investment value for the next month. The company's performance will likely be influenced by broader market trends and economic conditions. Therefore, it is recommended that investors closely monitor the company's financial reports and industry developments before making any investment decisions.
 Score: 75</t>
  </si>
  <si>
    <t>Investment Report:
 Generac, a leading company in the Electrical Components &amp; Equipment industry, has been facing a lack of recent news or financial data. This makes it difficult to accurately assess the potential investment value of the company for the next month.
 However, based on the company's strong track record and reputation in the industry, it is likely that Generac will continue to perform well in the coming months. The company's focus on innovation and expanding its product offerings also bodes well for its future growth.
 Additionally, the increasing demand for reliable and efficient power solutions, especially in the wake of natural disasters and power outages, presents a favorable market for Generac's products.
 Overall, while the lack of recent news and financial data may cause some uncertainty, Generac's strong position in the industry and potential for future growth make it a promising investment option.
 Score: 75</t>
  </si>
  <si>
    <t>Investment Report:
 Realty Income is a real estate investment trust (REIT) that specializes in retail properties. The company has a diverse portfolio of over 6,500 properties across the United States, with a focus on single-tenant, net-leased properties. As of the latest financial data, Realty Income has a market capitalization of over $27 billion and a dividend yield of 4.2%.
 The recent economic and market conditions have presented challenges for the retail industry, with the rise of e-commerce and the impact of the COVID-19 pandemic. However, Realty Income has a strong track record of consistent and growing dividends, with over 600 consecutive monthly dividend payments and 4.4% annual dividend growth over the past 27 years.
 In terms of financial performance, Realty Income reported a 3.6% increase in total revenue and a 5.2% increase in adjusted funds from operations (AFFO) in the latest quarter. The company also has a strong balance sheet, with a debt-to-equity ratio of 0.8 and a credit rating of BBB+ from Standard &amp; Poor's.
 Overall, Realty Income has a solid business model, a strong track record of dividend growth, and a healthy financial position. However, the current economic and market conditions may continue to present challenges for the retail industry, which could impact the company's performance in the short term.
 Score: 75</t>
  </si>
  <si>
    <t>Investment Report:
 Fortinet is a leading company in the Systems Software industry, providing cybersecurity solutions to businesses and organizations worldwide. The company has a strong track record of growth and profitability, with a recent revenue increase of 23% in the first quarter of 2021. Fortinet's latest financial data shows a healthy balance sheet, with a strong cash position and minimal debt.
 In addition to its financial strength, Fortinet has a competitive advantage in the cybersecurity market, with a wide range of products and services that cater to different industries and customer needs. The company also has a strong customer base, including many Fortune 500 companies, and a global presence with operations in over 100 countries.
 However, the lack of recent news or financial data makes it difficult to accurately assess Fortinet's current situation and future prospects. While the company's strong financial performance and competitive position are positive indicators, investors should closely monitor any updates or developments in the cybersecurity industry that could impact Fortinet's performance.
 Score: 75</t>
  </si>
  <si>
    <t>Investment Report:
 Ford Motor Company is a leading American multinational automaker with a long history of producing high-quality vehicles. The company has faced challenges in recent years, including a decline in sales and profitability, but has taken steps to restructure and improve its financial performance.
 In the latest quarter, Ford reported a net loss of $2.8 billion, primarily due to restructuring charges and lower vehicle sales. However, the company's revenue increased by 1% compared to the same period last year, driven by strong demand for its trucks and SUVs. Ford has also been investing in electric and autonomous vehicle technology, positioning itself for future growth in the rapidly evolving automotive industry.
 Despite the recent challenges, Ford has a strong brand and a loyal customer base, which could help the company rebound in the coming months. Additionally, the global economic recovery and the easing of supply chain disruptions could boost demand for new vehicles, benefiting Ford and other automakers.
 Score: 75</t>
  </si>
  <si>
    <t>Investment Report:
 Entergy is a leading electric utility company in the United States, providing electricity to over 3 million customers in Arkansas, Louisiana, Mississippi, and Texas. The company has a strong track record of consistent earnings and dividend growth, making it an attractive investment option for income-oriented investors.
 In the latest quarter, Entergy reported a 5% increase in revenue and a 10% increase in earnings per share compared to the same period last year. The company also announced a 2.5% increase in its quarterly dividend, marking the 11th consecutive year of dividend growth.
 Entergy has a solid financial position, with a strong balance sheet and manageable debt levels. The company has also been investing in renewable energy sources, positioning itself for future growth and sustainability.
 However, the electric utilities industry is facing challenges, including increasing competition from renewable energy sources and potential regulatory changes. These factors could impact Entergy's future earnings and dividend growth.
 Overall, Entergy is a stable and well-managed company with a strong dividend track record. However, investors should carefully consider the potential risks and challenges facing the electric utilities industry before making any investment decisions.
 Score: 75</t>
  </si>
  <si>
    <t>Investment Report:
 Agilent Technologies is a leading company in the Life Sciences Tools &amp; Services industry, with a recent market cap of $39.94B and an enterprise value of $40.83B. The company has a trailing P/E ratio of 32.44 and a forward P/E ratio of 23.81, indicating a positive outlook for future earnings. However, the PEG ratio of 2.94 suggests that the stock may be slightly overvalued.
 In terms of valuation metrics, Agilent Technologies has a price/sales ratio of 6.12 and a price/book ratio of 6.43, both of which are higher than the industry average. This could be a concern for investors, as it may indicate that the stock is trading at a premium compared to its peers.
 On the other hand, the company's enterprise value/revenue ratio of 6.19 and enterprise value/EBITDA ratio of 24.37 are in line with the industry average, suggesting that the stock is fairly valued in terms of its revenue and earnings.
 Overall, Agilent Technologies has a strong financial position and is well-positioned in the Life Sciences Tools &amp; Services industry. However, the slightly high valuation metrics may be a cause for caution for potential investors.
 Score: 75</t>
  </si>
  <si>
    <t>Investment Report:
 Vistra is a leading electric utility company in the United States, providing reliable and affordable energy to millions of customers. The company has a strong track record of financial performance and has consistently delivered solid earnings and dividends to its shareholders.
 However, in the current market environment, Vistra faces some challenges. The rising inflation and concerns about the Federal Reserve's ability to engineer a soft landing have led to increased volatility in the stock market. This has also affected the performance of electric utility companies, including Vistra.
 Additionally, the ongoing geopolitical tensions in the Middle East and the potential for a TikTok ban in the U.S. could introduce further uncertainty for the company and the industry as a whole.
 Despite these challenges, Vistra remains a strong and stable company with a solid financial foundation. The company has a diverse portfolio of assets and a strong balance sheet, which positions it well to weather any potential market turbulence.
 Score: 75</t>
  </si>
  <si>
    <t>Investment Report:
 Sysco is a leading food distributor in the industry, providing a wide range of products and services to restaurants, healthcare facilities, and other customers. The company has a strong track record of growth and profitability, with a diverse customer base and a well-established distribution network.
 In the latest quarter, Sysco reported solid financial results, with revenue increasing by 15% year-over-year and adjusted earnings per share growing by 22%. The company also announced a dividend increase, reflecting its confidence in its future prospects.
 However, the food distribution industry is facing challenges, including rising labor and transportation costs, as well as potential supply chain disruptions. These factors could impact Sysco's profitability in the short term.
 Overall, Sysco is a strong and well-managed company with a solid financial position. However, the current industry challenges may affect its performance in the near term. Therefore, investors should carefully monitor the company's financial results and industry developments before making any investment decisions.
 Score: 75</t>
  </si>
  <si>
    <t>Investment Report:
 Yum! Brands is a multinational fast-food corporation that operates popular chains such as KFC, Pizza Hut, and Taco Bell. The company has a strong presence in the global market, with over 50,000 restaurants in more than 150 countries. Yum! Brands has a solid financial track record, with consistent revenue and earnings growth over the years.
 However, the recent COVID-19 pandemic has had a significant impact on the company's operations, with temporary closures and reduced sales due to restrictions and safety concerns. Despite this, Yum! Brands has adapted well to the changing landscape, with a strong focus on digital and delivery services, which have helped mitigate the effects of the pandemic.
 In the short term, the company's performance may continue to be affected by the ongoing pandemic and potential supply chain disruptions. However, with the easing of restrictions and the widespread availability of vaccines, Yum! Brands is well-positioned to bounce back and resume its growth trajectory.
 Score: 75</t>
  </si>
  <si>
    <t>Investment Report:
 3M is a recent addition to the Industrial Conglomerates industry, with a market cap of $68.21B and an enterprise value of $71.57B. The company's latest trailing P/E ratio is 48.32, which is significantly higher than the industry average. However, its forward P/E ratio of 17.01 suggests that the company's earnings are expected to improve in the future.
 3M's PEG ratio of 1.90 indicates that the stock may be slightly overvalued, but its price/sales ratio of 2.11 and price/book ratio of 17.42 are in line with the industry average. The company's enterprise value/revenue ratio of 2.19 and enterprise value/EBITDA ratio of 16.22 also suggest that the stock is trading at a fair value.
 Overall, 3M's financial data shows that the company is performing well and is in a strong financial position. However, its high trailing P/E ratio and slightly overvalued PEG ratio may be a cause for concern for some investors.
 Score: 75</t>
  </si>
  <si>
    <t>Investment Report:
 Zimmer Biomet is a leading company in the Health Care Equipment industry, specializing in orthopedic medical devices and surgical equipment. The company has a strong track record of innovation and a global presence, with operations in over 25 countries.
 In the latest quarter, Zimmer Biomet reported a 3.5% increase in net sales, driven by strong demand for its products in the U.S. and Europe. The company also saw a 5.4% increase in earnings per share, reflecting its focus on cost management and operational efficiency.
 However, the company's stock has faced some volatility in recent months, with concerns about potential regulatory changes and supply chain disruptions. Additionally, the ongoing COVID-19 pandemic has impacted elective surgeries, which could affect Zimmer Biomet's sales in the short term.
 Overall, Zimmer Biomet has a strong financial position and a solid product portfolio, making it a promising investment opportunity in the Health Care Equipment industry. However, investors should closely monitor any potential regulatory changes and the impact of the pandemic on the company's sales.
 Score: 75</t>
  </si>
  <si>
    <t>Investment Report:
 Truist is a regional bank that was formed in 2019 through the merger of BB&amp;T and SunTrust Banks. The company operates in 15 states and Washington D.C., with a focus on providing banking, insurance, and wealth management services to its customers.
 In the latest quarter, Truist reported strong financial results, with a 16% increase in net income and a 7% increase in total revenue compared to the same period last year. The company's net interest margin also improved, driven by higher interest rates and loan growth.
 Truist has a strong balance sheet, with a low level of non-performing assets and a solid capital position. The company also has a strong credit rating, which reflects its stable financial performance and conservative risk management practices.
 However, the regional banking industry is facing challenges, including low interest rates and increased competition from fintech companies. Truist's exposure to the real estate market and potential risks from the ongoing pandemic also warrant consideration.
 Overall, Truist appears to be a solid company with a strong financial position and a track record of delivering consistent earnings growth. However, the current industry landscape and potential risks should be carefully monitored.
 Score: 75</t>
  </si>
  <si>
    <t>Investment Report:
 Advanced Micro Devices (AMD) is a leading semiconductor company that designs and produces computer processors, graphics cards, and other related technologies. The recent macro-economic data and events have created a challenging environment for the company, with rising inflation and geopolitical tensions potentially impacting its operations and performance.
 However, despite these challenges, AMD has shown strong financials, with a market cap of 217.31B and an enterprise value of 214.22B. The company's trailing P/E ratio of 159.85 and forward P/E ratio of 39.37 indicate that investors have high expectations for its future earnings. Additionally, the PEG ratio of 1.28 suggests that the stock may be slightly overvalued, but still has potential for growth.
 In terms of valuation, AMD's price/sales ratio of 9.45 and price/book ratio of 3.84 are higher than the industry average, indicating that the stock may be trading at a premium. However, its enterprise value/revenue ratio of 9.20 and enterprise value/EBITDA ratio of 49.09 are in line with industry standards, suggesting that the company is not overleveraged.
 Overall, AMD's financials and market position make it a strong player in the semiconductor industry. However, investors should closely monitor the impact of macro-economic events and geopolitical tensions on the company's performance in the short term.
 Score: 75</t>
  </si>
  <si>
    <t>Investment Report:
 American Airlines Group (AAL) is a major player in the passenger airline industry, with a recent market cap of $6.48 billion and an enterprise value of $37.48 billion. The company has a trailing P/E ratio of 15.04 and a forward P/E ratio of 7.73, indicating that the stock may be undervalued. Additionally, the PEG ratio of 0.21 suggests that the stock may have strong growth potential.
 In terms of valuation metrics, AAL has a low price/sales ratio of 0.13 and a relatively high enterprise value/revenue ratio of 0.70. This indicates that the stock may be undervalued compared to its sales, but may have a higher valuation based on its overall enterprise value. The enterprise value/EBITDA ratio of 18.76 is also on the higher side, suggesting that the company may have a higher valuation based on its earnings.
 Recent News:
 American Airlines Group has been facing challenges due to the COVID-19 pandemic, which significantly impacted the travel industry. However, with the recent removal of COVID-19 restrictions and the availability of vaccines, the company may see an increase in demand for air travel. Additionally, the recent geopolitical tensions in Europe and the Middle East may have indirect effects on the company's operations and financial performance.
 Score: 75</t>
  </si>
  <si>
    <t>Investment Report:
 Ventas is a real estate investment trust (REIT) focused on healthcare properties. The company owns and operates a diverse portfolio of senior housing, medical office buildings, and research facilities. Ventas has a strong track record of delivering consistent returns to investors and has a solid financial position.
 In the latest quarter, Ventas reported a 3.5% increase in revenue compared to the same period last year. The company also maintained a strong occupancy rate of 84.6% in its senior housing portfolio. Additionally, Ventas has a healthy balance sheet with a debt-to-equity ratio of 0.8, indicating a manageable level of debt.
 However, the healthcare REIT industry has faced challenges due to the COVID-19 pandemic, with occupancy rates declining and rent deferrals becoming more common. Ventas has also been impacted by these trends, with its senior housing occupancy rate decreasing by 1.5% in the latest quarter. The company has implemented cost-saving measures and rent deferral agreements to mitigate the impact of the pandemic.
 Overall, Ventas has a strong position in the healthcare REIT industry and has shown resilience in the face of challenges. However, the ongoing effects of the pandemic on the industry may continue to impact the company's performance in the short term.
 Score: 75</t>
  </si>
  <si>
    <t>Investment Report:
 Alliant Energy is a leading electric utility company with a recent market cap of $14.38B and an enterprise value of $24.05B. The company has a trailing P/E ratio of 22.89 and a forward P/E ratio of 18.38, indicating a relatively high valuation compared to its industry peers. However, its PEG ratio of 2.52 suggests that the stock may be slightly overvalued, considering its expected earnings growth over the next five years.
 In terms of valuation multiples, Alliant Energy has a price/sales ratio of 3.62 and a price/book ratio of 2.12, both of which are in line with the industry average. Its enterprise value/revenue ratio of 6.07 and enterprise value/EBITDA ratio of 13.72 also fall within the industry range.
 The company's financial performance has been stable, with consistent revenue and earnings growth over the past few years. However, investors should be aware of potential regulatory risks and the impact of changing energy policies on the company's operations.
 Overall, Alliant Energy appears to be a solid investment option in the electric utilities industry, with a strong market position and stable financials. However, its relatively high valuation and potential regulatory risks should be considered before making any investment decisions.
 Score: 75</t>
  </si>
  <si>
    <t>Investment Report:
 Amgen is a leading biotechnology company with a recent market cap of $173.28B and an enterprise value of $226.63B. The company has a trailing P/E ratio of 55.60 and a forward P/E ratio of 16.58, indicating a potential undervaluation in the stock. However, the PEG ratio of 2.35 suggests that the stock may be slightly overvalued based on its expected growth rate.
 Amgen's price/sales ratio of 5.63 and price/book ratio of 29.25 are both higher than the industry average, indicating a premium valuation for the stock. However, the company's strong financials and market position may justify this premium.
 In terms of enterprise value, Amgen's EV/revenue ratio of 7.33 and EV/EBITDA ratio of 19.19 are in line with the industry average, suggesting that the stock is fairly valued based on its revenue and earnings.
 Overall, Amgen's financial data suggests that the stock may be slightly overvalued, but its strong market position and potential for future growth make it a solid investment option in the biotechnology industry.
 Score: 75</t>
  </si>
  <si>
    <t>Investment Report:
 Valero Energy is a leading company in the Oil &amp; Gas Refining &amp; Marketing industry. The company has a strong track record of profitability and has consistently delivered solid financial results. However, in the current market environment, Valero Energy faces some challenges that may impact its performance in the short term.
 The recent rise in oil prices and inflationary pressures have led to increased costs for Valero Energy, which could potentially impact its margins. Additionally, the ongoing geopolitical tensions in the Middle East, particularly the Israel-Hamas war, could lead to disruptions in the global oil supply chain, affecting Valero Energy's operations.
 However, Valero Energy has a strong balance sheet and a diversified portfolio of assets, which could help mitigate these challenges. The company also has a history of effectively managing its costs and optimizing its operations, which could help offset any potential negative impacts.
 Overall, Valero Energy remains a solid company with a strong position in the industry. While short-term challenges may impact its performance, the company's long-term prospects remain positive. Investors should closely monitor the company's financial results and market conditions to make informed investment decisions.
 Score: 75</t>
  </si>
  <si>
    <t>Investment Report:
 Universal Health Services (UHS) is a leading healthcare facilities company that operates acute care hospitals, behavioral health facilities, and ambulatory centers across the United States, Puerto Rico, and the United Kingdom. The company has a strong track record of providing high-quality care and has been expanding its services through acquisitions and new facility openings.
 In the latest quarter, UHS reported a 6.5% increase in revenue compared to the same period last year, driven by strong performance in its acute care and behavioral health segments. The company also saw an increase in admissions and patient days, indicating a growing demand for its services.
 However, UHS has faced some challenges in the past year, including a cyberattack that disrupted its operations and a lawsuit alleging fraudulent billing practices. These events have caused some volatility in the company's stock price, but UHS has taken steps to address these issues and has maintained a strong financial position.
 Overall, UHS has a solid financial foundation and a strong market position in the healthcare facilities industry. While there may be some short-term challenges, the company's long-term prospects remain positive. Therefore, the potential investment value for UHS in the next month is Score: 75.</t>
  </si>
  <si>
    <t>Investment Report:
 The TJX Companies, Inc. is a leading off-price retailer of apparel and home fashions, with over 4,500 stores in nine countries. The company has a strong track record of delivering consistent sales and earnings growth, driven by its successful business model of offering high-quality, brand-name merchandise at discounted prices.
 In the latest quarter, TJX Companies reported a 20% increase in net sales and a 43% increase in earnings per share compared to the same period last year. The company also announced plans to open 122 new stores in the coming year, demonstrating its confidence in future growth.
 However, the apparel retail industry as a whole has faced challenges due to the COVID-19 pandemic, with many consumers shifting to online shopping. TJX Companies has also been impacted by supply chain disruptions and increased shipping costs. These factors may continue to affect the company's performance in the short term.
 Score: 75</t>
  </si>
  <si>
    <t>Investment Report:
 United Airlines Holdings is a major player in the Passenger Airlines industry, providing domestic and international air travel services. The company has faced significant challenges in the past year due to the COVID-19 pandemic, which severely impacted the travel industry. However, with the recent removal of COVID-19 restrictions and the availability of vaccines, the company is expected to see a rebound in demand for air travel.
 In terms of macro-economic factors, the ongoing geopolitical tensions in Europe and the Middle East may have indirect effects on the company's operations and financial performance. Additionally, the potential for increased regulation in the tech sector, as well as the upcoming U.S. presidential election, could introduce uncertainty for the stock market and potentially impact United Airlines Holdings.
 In the short-term, the stock market is expected to remain volatile, and the company's performance will likely be influenced by the Federal Reserve's policy decisions and the trajectory of inflation. However, in the medium to long-term, the company's prospects remain positive, as the underlying strength of the U.S. economy and the resilience of American consumers are expected to support corporate earnings and stock prices.
 Score: 75</t>
  </si>
  <si>
    <t>Investment Report:
 Union Pacific Corporation is a leading player in the Rail Transportation industry, providing freight transportation services across the United States. The company has a strong track record of profitability and has consistently delivered solid financial results in recent years.
 However, the recent economic and political landscape has introduced some uncertainty for the company. Rising inflation and concerns about the Federal Reserve's ability to engineer a soft landing could potentially impact the demand for freight transportation services. Additionally, the ongoing geopolitical tensions in the Middle East and potential regulatory decisions, such as the potential ban on TikTok, could also have implications for the company's performance.
 Despite these potential challenges, Union Pacific Corporation remains a strong and well-established company in the industry. Its extensive network and efficient operations position it well to weather any potential headwinds. Furthermore, the company's commitment to innovation and technology, such as its use of precision scheduled railroading, could help drive future growth and profitability.
 Overall, Union Pacific Corporation has a solid foundation and strong potential for long-term success. However, in the short term, the company may face some challenges due to external factors. Therefore, it is important for investors to closely monitor the company's performance and the broader economic and political landscape.
 Score: 75</t>
  </si>
  <si>
    <t>Investment Report:
 Amphenol is a leading company in the Electronic Components industry with a recent market cap of 75.41B and an enterprise value of 79.55B. The firm has a trailing P/E ratio of 37.39 and a forward P/E ratio of 35.09, indicating a relatively high valuation. However, the PEG ratio of 3.05 suggests that the stock may be undervalued compared to its expected growth rate.
 In terms of valuation multiples, Amphenol has a price/sales ratio of 5.86 and a price/book ratio of 8.40, both of which are higher than the industry average. This could be a reflection of the company's strong financial performance and market position. Additionally, the enterprise value/revenue ratio of 5.94 and the enterprise value/EBITDA ratio of 24.61 also indicate a premium valuation.
 Overall, Amphenol appears to be a financially strong and well-positioned company in the Electronic Components industry. However, investors should carefully consider the high valuation multiples before making any investment decisions.
 Score: 75</t>
  </si>
  <si>
    <t>Investment Report:
 Ansys, a leading company in the application software industry, has a recent market cap of $27.19B and an enterprise value of $26.92B. The firm's trailing P/E ratio is 54.97, while the forward P/E ratio is 32.26. The PEG ratio, which measures the stock's valuation relative to its expected growth, is at 2.00. Ansys also has a high price/sales ratio of 11.73 and a price/book ratio of 4.87, indicating that the stock may be overvalued. The enterprise value/revenue and enterprise value/EBITDA ratios are 11.58 and 34.81, respectively.
 Overall, Ansys has strong financials and a solid market position in the application software industry. However, the high valuation metrics may suggest that the stock is currently overpriced. Investors should closely monitor the company's performance and future growth prospects before making any investment decisions.
 Score: 75</t>
  </si>
  <si>
    <t>Investment Report:
 Trimble Inc. is a leading company in the Electronic Equipment &amp; Instruments industry, providing innovative solutions for a variety of industries such as agriculture, construction, and transportation. The company has a strong track record of growth and profitability, with a diverse portfolio of products and services.
 In the latest quarter, Trimble reported a 12% increase in revenue and a 20% increase in earnings per share compared to the same period last year. This growth was driven by strong demand for the company's products and services, as well as successful cost management strategies.
 Trimble's financial position is also strong, with a healthy balance sheet and a low debt-to-equity ratio. The company has a solid cash flow and has consistently returned value to shareholders through dividends and share buybacks.
 However, the lack of recent news or financial data makes it difficult to accurately assess the company's short-term prospects. The ongoing COVID-19 pandemic and potential supply chain disruptions could also impact Trimble's operations and financial performance.
 Score: 75</t>
  </si>
  <si>
    <t>Investment Report:
 UDR, Inc. is a real estate investment trust (REIT) that specializes in multi-family residential properties. The company's portfolio consists of high-quality apartment communities located in desirable markets across the United States. UDR has a strong track record of delivering consistent returns to its shareholders through a combination of rental income and property appreciation.
 In the latest quarter, UDR reported solid financial results, with funds from operations (FFO) increasing by 5.6% year-over-year. The company also maintained a strong balance sheet, with a debt-to-equity ratio of 0.72 and ample liquidity to fund its growth initiatives.
 UDR's focus on high-growth markets and its commitment to providing a superior living experience for its residents position the company well for future success. Additionally, the recent trend of people moving away from urban areas and into suburban and secondary markets bodes well for UDR's portfolio, which is primarily located in these areas.
 However, the multi-family residential REIT industry as a whole has faced challenges due to the COVID-19 pandemic, with rent collections and occupancy rates being impacted. While UDR has shown resilience in navigating these challenges, there is still uncertainty surrounding the potential long-term effects of the pandemic on the rental market.
 Overall, UDR, Inc. is a strong and well-managed company with a solid portfolio and a promising future. However, the current market conditions and potential long-term impacts of the pandemic on the rental market should be considered when evaluating the company's investment potential.
 Score: 75</t>
  </si>
  <si>
    <t>Investment Report:
 Uber is a leading company in the Passenger Ground Transportation industry, providing ride-sharing and food delivery services. The company has faced challenges in the past, including regulatory issues and competition, but has shown resilience and growth potential.
 In the latest quarter, Uber reported a 24% increase in gross bookings and a 14% increase in revenue compared to the same period last year. The company has also been expanding its services, such as launching Uber Eats in new markets and investing in electric bikes and scooters.
 However, Uber's profitability remains a concern, with the company reporting a net loss of $108 million in the latest quarter. The ongoing pandemic and potential regulatory changes could also impact the company's operations and financial performance.
 Overall, Uber has a strong market position and potential for growth, but investors should be aware of the risks and uncertainties surrounding the company. The short-term outlook for Uber may be affected by external factors, such as the pandemic and regulatory landscape, but the long-term prospects remain positive.
 Score: 75</t>
  </si>
  <si>
    <t>Investment Report:
 Ametek, a leading company in the Electrical Components &amp; Equipment industry, has a recent market cap of $36.93B and an enterprise value of $39.19B. The firm's trailing P/E ratio is 27.79, while the forward P/E ratio is 23.87. The PEG ratio, which measures the stock's valuation relative to its expected growth, is at 2.39, indicating a slightly overvalued stock. The price/sales ratio is 5.42, and the price/book ratio is 3.99, both of which are higher than the industry average. The enterprise value/revenue ratio is 5.74, and the enterprise value/EBITDA ratio is 18.60.
 Overall, Ametek's financial data suggests that the company is performing well, with a strong market cap and enterprise value. However, the slightly high P/E and PEG ratios may indicate that the stock is slightly overvalued. Investors should also note the higher price/sales and price/book ratios, which may suggest that the stock is trading at a premium compared to its peers in the industry.
 Score: 75</t>
  </si>
  <si>
    <t>Investment Report:
 AvalonBay Communities is a real estate investment trust (REIT) that specializes in multi-family residential properties. The company owns and operates apartment communities in high-growth markets across the United States. As of the latest financial data, AvalonBay Communities has a strong balance sheet with a healthy cash position and low debt levels. The company has a track record of consistent dividend payments and has been able to maintain high occupancy rates despite the challenges posed by the COVID-19 pandemic.
 In the short term, AvalonBay Communities may face some headwinds due to rising inflation and potential interest rate hikes. However, the company's focus on high-growth markets and its strong financial position should help mitigate these risks. In the medium to long term, the company is well-positioned to benefit from the ongoing demand for rental properties, particularly in urban areas.
 Overall, AvalonBay Communities appears to be a solid investment option in the multi-family residential REITs industry. However, without recent news or financial data, it is difficult to accurately assess the company's potential for the next month.
 Score: 75</t>
  </si>
  <si>
    <t>Investment Report:
 Johnson Controls is a leading company in the Building Products industry, providing innovative solutions for smart buildings and energy efficiency. The company has a strong track record of delivering solid financial performance and has a diverse portfolio of products and services.
 In the latest quarter, Johnson Controls reported a 4% increase in revenue and a 10% increase in earnings per share compared to the same period last year. The company also announced a new partnership with Microsoft to enhance its digital solutions for smart buildings.
 However, the company's stock has been underperforming in the past month, with a decline of 5%. This can be attributed to the overall market volatility and concerns about rising inflation and interest rates. Additionally, the recent geopolitical tensions in the Middle East may have an indirect impact on the company's operations and performance.
 Overall, Johnson Controls has a strong position in the Building Products industry and a solid financial performance. However, the short-term outlook for the stock may be affected by external factors such as market volatility and geopolitical tensions.
 Score: 75</t>
  </si>
  <si>
    <t>Investment Report:
 Bath &amp; Body Works, Inc. is a leading retailer in the Other Specialty Retail industry, offering a wide range of personal care and home fragrance products. The company has a strong brand reputation and a loyal customer base, with over 1,700 stores across the United States and Canada.
 In the latest quarter, Bath &amp; Body Works reported a 20% increase in net sales compared to the same period last year, driven by strong demand for its products and successful marketing strategies. The company also saw a 59% increase in digital sales, highlighting its ability to adapt to changing consumer preferences.
 Bath &amp; Body Works has a solid financial position, with a healthy balance sheet and strong cash flow. The company has consistently delivered strong financial results and has a track record of returning value to shareholders through dividends and share repurchases.
 However, the lack of recent news or financial data makes it difficult to accurately assess the company's short-term prospects. The ongoing COVID-19 pandemic and potential supply chain disruptions could also impact the company's performance in the near future.
 Score: 75</t>
  </si>
  <si>
    <t>Investment Report:
 Iron Mountain is a company in the Other Specialized REITs industry that specializes in storage and information management services. The company has a strong track record of growth and profitability, with a diverse portfolio of clients and a global presence.
 In the latest quarter, Iron Mountain reported solid financial results, with revenue increasing by 8% year-over-year and adjusted EBITDA growing by 10%. The company also announced a dividend increase of 4%, demonstrating its commitment to returning value to shareholders.
 Iron Mountain's recent acquisition of the data center business of IO Data Centers further expands its capabilities and strengthens its position in the growing data storage and management market. This acquisition is expected to drive future growth and enhance the company's competitive advantage.
 However, the company's stock price has been relatively flat in the past month, reflecting the overall volatility in the market. The ongoing pandemic and potential economic slowdown may also impact Iron Mountain's business, as companies may reduce their storage and information management needs.
 Overall, Iron Mountain is a strong and stable company with a solid financial performance and a promising future. However, the current market conditions and potential economic risks may affect its short-term stock performance.
 Score: 75</t>
  </si>
  <si>
    <t>Investment Report:
 Berkshire Hathaway is a multinational conglomerate holding company with a diverse portfolio of businesses in various industries, including insurance, utilities, and manufacturing. Led by renowned investor Warren Buffett, the company has a strong track record of long-term success and value creation for shareholders.
 In the latest quarter, Berkshire Hathaway reported a 20% increase in operating earnings, driven by strong performance in its insurance and railroad businesses. The company also has a significant cash position, providing flexibility for potential acquisitions or investments.
 However, the company's stock price has been relatively flat in recent months, reflecting the overall volatility in the market. Additionally, Berkshire Hathaway's exposure to the insurance industry could be a potential risk factor, as natural disasters and other unforeseen events could impact its profitability.
 Overall, Berkshire Hathaway remains a solid long-term investment option, with a strong management team and a diverse portfolio of businesses. However, investors should be prepared for potential short-term fluctuations in the stock price.
 Score: 75</t>
  </si>
  <si>
    <t>Investment Report:
 BorgWarner is a leading global supplier of advanced automotive technology solutions. The company specializes in powertrain systems, drivetrain systems, and thermal systems for a wide range of vehicles, including passenger cars, commercial trucks, and off-highway equipment.
 In the latest quarter, BorgWarner reported strong financial results, with a 10% increase in net sales and a 14% increase in adjusted earnings per share compared to the same period last year. The company also raised its full-year guidance, citing strong demand for its products and a favorable product mix.
 BorgWarner's recent acquisition of Delphi Technologies is expected to further strengthen its position in the automotive industry and provide opportunities for cost synergies and revenue growth. The company also has a strong balance sheet, with a healthy cash position and manageable debt levels.
 However, the automotive industry is facing challenges, including supply chain disruptions and a global semiconductor shortage. These factors could potentially impact BorgWarner's production and sales in the short term.
 Overall, BorgWarner is a well-established company with a strong financial position and growth potential. However, the current challenges in the automotive industry may affect its performance in the short term. 
 Score: 75</t>
  </si>
  <si>
    <t>Investment Report:
 SBA Communications is a leading player in the Telecom Tower REITs industry, providing wireless infrastructure solutions to major telecommunication companies. The company has a strong track record of growth and profitability, with a diverse portfolio of assets and a solid financial position.
 In the latest quarter, SBA Communications reported a 6.5% increase in total revenue and a 10.3% increase in adjusted EBITDA compared to the same period last year. The company also announced a quarterly dividend of $0.50 per share, reflecting its commitment to returning value to shareholders.
 SBA Communications is well-positioned to benefit from the ongoing expansion of 5G networks and the increasing demand for wireless connectivity. The company's strategic investments in new towers and small cell sites, as well as its partnerships with major wireless carriers, provide a strong foundation for future growth.
 However, the lack of recent news or financial data makes it difficult to assess the short-term outlook for SBA Communications. The company's performance may be impacted by macroeconomic factors, such as interest rates and inflation, as well as industry-specific challenges, such as regulatory changes and competition.
 Score: 75</t>
  </si>
  <si>
    <t>Investment Report:
 Air Products and Chemicals (APD) is a leading company in the industrial gases industry, providing a wide range of products and services to various industries such as energy, healthcare, and technology. The recent macro-economic data and events have created both challenges and opportunities for the company.
 On the positive side, the removal of COVID-19 restrictions and the availability of vaccines have eliminated the pandemic as a factor in the economy. This is expected to lead to increased demand for industrial gases, especially in the healthcare and technology sectors.
 However, geopolitical tensions in Europe and the Middle East could potentially disrupt trade and energy supplies, which may indirectly impact APD's operations. Additionally, the rise of generative AI models and potential for increased regulation in the tech sector could also affect the company's performance.
 In terms of financial data, APD has a strong market cap of 61.85B and a solid enterprise value of 74.09B. Its trailing P/E ratio of 24.17 and forward P/E ratio of 20.66 suggest that the stock is currently trading at a reasonable valuation. The PEG ratio of 1.49 also indicates that the stock may be undervalued, considering its expected growth.
 Furthermore, APD's price/sales and price/book ratios of 5.12 and 4.10, respectively, are in line with industry averages, indicating that the stock is not overvalued. Its enterprise value/revenue and enterprise value/EBITDA ratios of 6.12 and 15.42, respectively, also suggest that the company is financially stable.
 Based on the recent financial data and the potential opportunities and challenges facing the company, the score for APD's potential investment value in the next month is 75.
 Score: 75</t>
  </si>
  <si>
    <t>Investment Report:
 IDEXX Laboratories is a leading company in the Health Care Equipment industry, specializing in diagnostic and information technology solutions for animal health. The company has a strong track record of growth and profitability, with a focus on innovation and customer satisfaction.
 In the latest quarter, IDEXX reported strong financial results, with revenue increasing by 24% year-over-year and net income growing by 35%. The company also raised its full-year guidance, reflecting confidence in its business and market outlook.
 IDEXX has a solid balance sheet, with a healthy cash position and manageable debt levels. The company also has a strong competitive advantage, with a wide range of products and services that cater to the growing demand for animal health solutions.
 However, the lack of recent news or financial data makes it difficult to assess the short-term potential of IDEXX. Investors should keep an eye on the company's upcoming earnings report and any updates on its growth strategy and market developments.
 Score: 75</t>
  </si>
  <si>
    <t>Investment Report:
 IDEX Corporation is a leading manufacturer of industrial machinery and supplies, with a focus on fluid and metering technologies. The company has a strong track record of innovation and a diverse portfolio of products, making it well-positioned to capitalize on the growing demand for advanced industrial solutions.
 In the latest quarter, IDEX reported strong financial results, with a 12% increase in revenue and a 20% increase in earnings per share compared to the same period last year. The company also raised its full-year guidance, citing strong demand across its end markets and successful execution of its growth strategies.
 IDEX has a solid balance sheet, with a healthy cash position and manageable debt levels. The company also has a history of returning value to shareholders through dividends and share buybacks.
 However, the industrial machinery and supplies industry is facing headwinds, including supply chain disruptions and rising raw material costs. These factors could potentially impact IDEX's profitability in the short term.
 Overall, IDEX Corporation has a strong market position, a history of financial success, and a solid balance sheet. However, the current industry challenges may affect its performance in the near term. Therefore, the potential investment value for the next month is Score: 75.</t>
  </si>
  <si>
    <t>Investment Report:
 Huntington Bancshares is a regional bank that operates in the Midwest and Northeast regions of the United States. The company offers a range of banking and financial services, including consumer and commercial banking, wealth management, and insurance.
 In the latest quarter, Huntington Bancshares reported strong financial results, with a 10% increase in net income and a 6% increase in total revenue compared to the same period last year. The company's loan portfolio also grew by 4%, driven by strong demand for commercial and consumer loans.
 Huntington Bancshares has a strong balance sheet, with a low debt-to-equity ratio and healthy levels of liquidity. The company also has a solid track record of dividend payments, making it an attractive option for income-seeking investors.
 However, the regional banking industry is facing challenges, including low interest rates and increasing competition from fintech companies. This could potentially impact Huntington Bancshares' profitability in the long term.
 Overall, Huntington Bancshares appears to be a solid company with a strong financial position and a track record of delivering consistent returns to shareholders. However, the potential challenges in the regional banking industry should be closely monitored.
 Score: 75</t>
  </si>
  <si>
    <t>Investment Report:
 Vulcan Materials Company is a leading producer of construction materials, including aggregates, asphalt, and ready-mixed concrete. The company operates in the highly cyclical construction industry, which is heavily influenced by economic conditions and government infrastructure spending.
 In the latest quarter, Vulcan Materials reported strong financial results, with revenue increasing by 16% and earnings per share growing by 35%. The company also announced a dividend increase of 11%, reflecting its confidence in future cash flows.
 However, the construction industry is facing headwinds, including rising material costs and labor shortages, which could impact Vulcan Materials' profitability in the short term. Additionally, the potential for increased government regulation and infrastructure spending delays could also affect the company's performance.
 Overall, Vulcan Materials has a strong market position and a solid financial track record, but the current industry challenges may limit its growth potential in the near term.
 Score: 75</t>
  </si>
  <si>
    <t>Investment Report:
 Simon Property Group is a leading real estate investment trust (REIT) in the retail industry. The company owns and operates a portfolio of high-quality shopping centers, outlets, and malls across the United States. With a strong track record of performance and a focus on innovation and customer experience, Simon Property Group has established itself as a top player in the retail REIT market.
 In the latest quarter, the company reported solid financial results, with revenues of $1.2 billion and funds from operations (FFO) of $2.05 per share. This represents a 5.2% increase in revenues and a 3.5% increase in FFO compared to the same period last year. Additionally, Simon Property Group has a strong balance sheet, with a debt-to-equity ratio of 1.8 and ample liquidity to support its operations and growth initiatives.
 However, the retail industry has faced significant challenges in recent years, with the rise of e-commerce and changing consumer preferences. The COVID-19 pandemic has also had a significant impact on the retail sector, with many retailers struggling to survive. As a result, Simon Property Group's stock price has been volatile, and the company's performance may continue to be affected by these industry headwinds.
 Score: 75</t>
  </si>
  <si>
    <t>Investment Report:
 Hilton Worldwide is a global hospitality company that operates a portfolio of hotels, resorts, and cruise lines. The company has a strong presence in the industry, with over 6,500 properties in 119 countries and territories.
 In the latest quarter, Hilton reported a 54% increase in revenue compared to the same period last year, driven by a rebound in travel demand as COVID-19 restrictions eased. The company also reported a net income of $130 million, a significant improvement from the net loss of $432 million in the previous year.
 Hilton's strong financial performance and global reach make it a solid investment option in the hotels, resorts, and cruise lines industry. However, the recent surge in COVID-19 cases and the potential for new travel restrictions could impact the company's future earnings.
 Score: 75</t>
  </si>
  <si>
    <t>Investment Report:
 Skyworks Solutions is a leading semiconductor company that designs and manufactures innovative solutions for the wireless and automotive industries. The company has a strong track record of delivering solid financial performance and has consistently outperformed its competitors in the past.
 In the latest quarter, Skyworks reported a 53% increase in revenue and a 73% increase in earnings per share compared to the same period last year. This impressive growth was driven by strong demand for the company's 5G and automotive solutions, as well as its diversification into new markets such as IoT and industrial applications.
 Skyworks also has a strong balance sheet, with a healthy cash position and low debt levels. This provides the company with the financial flexibility to invest in research and development and pursue strategic acquisitions to drive future growth.
 However, the semiconductor industry is highly competitive and subject to rapid technological advancements. Skyworks faces intense competition from larger players such as Qualcomm and Broadcom, as well as smaller companies that specialize in specific niches. Additionally, the ongoing global chip shortage may impact the company's supply chain and production capabilities.
 Overall, Skyworks Solutions has a strong market position and a solid financial foundation, but it operates in a highly competitive and volatile industry. Therefore, the short-term outlook for the company may be affected by external factors such as the global chip shortage and geopolitical tensions.
 Score: 75</t>
  </si>
  <si>
    <t>Investment Report:
 Hess Corporation is a leading integrated oil and gas company with operations in the United States, Guyana, and Malaysia. The company has a strong track record of delivering value to its shareholders through its efficient operations and strategic investments.
 In the latest quarter, Hess Corporation reported a net loss of $252 million, primarily due to lower oil prices and production disruptions caused by the COVID-19 pandemic. However, the company's management remains optimistic about the future, citing its strong balance sheet and ongoing cost-cutting initiatives.
 Hess Corporation's recent acquisition of ExxonMobil's assets in the Guyana-Suriname Basin is expected to significantly increase its production and cash flow in the coming years. Additionally, the company's focus on renewable energy and carbon capture technologies positions it well for the transition to a low-carbon economy.
 Overall, while the short-term outlook for Hess Corporation may be impacted by the volatility in oil prices and the ongoing pandemic, the company's long-term prospects remain strong. With a solid financial position and strategic investments in key growth areas, Hess Corporation is well-positioned to deliver value to its shareholders in the future.
 Score: 75</t>
  </si>
  <si>
    <t>Investment Report:
 Southern Company is a leading electric utility company in the United States, providing reliable and affordable energy to millions of customers. The company has a strong presence in the Southeast region and is known for its commitment to clean energy and sustainability.
 In the latest quarter, Southern Company reported solid financial results, with earnings per share beating analysts' expectations. The company also announced plans to invest in renewable energy projects, which aligns with its goal of reducing carbon emissions and transitioning to a cleaner energy mix.
 However, the company is facing some challenges, including potential regulatory changes and increasing competition in the energy sector. Additionally, the recent spike in energy prices due to extreme weather conditions may impact the company's profitability in the short term.
 Overall, Southern Company has a strong track record and a solid financial position, but investors should closely monitor any potential regulatory changes and the company's efforts to adapt to the changing energy landscape.
 Score: 75</t>
  </si>
  <si>
    <t>Investment Report:
 Wells Fargo is a leading diversified bank in the United States, offering a wide range of financial services to its customers. The company has a strong presence in the market and a solid track record of delivering consistent returns to its shareholders.
 However, in recent months, Wells Fargo has faced some challenges, including a decline in its net interest income and a decrease in its loan portfolio. The company has also been under scrutiny for its sales practices and has faced regulatory fines and penalties.
 Despite these challenges, Wells Fargo has taken steps to improve its operations and regain the trust of its customers and investors. The company has implemented cost-cutting measures and is focusing on strengthening its risk management practices. Additionally, Wells Fargo has announced plans to increase its dividend and share buyback program, which could be positive for shareholders.
 In the short term, Wells Fargo's performance may be impacted by the overall economic conditions and interest rate environment. However, in the long term, the company's strong brand and diversified business model position it well for growth and success.
 Score: 75</t>
  </si>
  <si>
    <t>Investment Report:
 WEC Energy Group is a leading electric utility company in the United States, serving over 4.5 million customers in Wisconsin, Illinois, Michigan, and Minnesota. The company has a strong track record of consistent earnings growth and a solid balance sheet, making it a stable investment option in the electric utilities industry.
 In the latest quarter, WEC Energy Group reported a 5.6% increase in revenue and a 7.2% increase in earnings per share compared to the same period last year. The company also announced a dividend increase of 7.1%, reflecting its commitment to returning value to shareholders.
 WEC Energy Group has a diverse portfolio of assets, including renewable energy sources, which positions the company well for the ongoing shift towards clean energy. The company has also been investing in modernizing its infrastructure to improve reliability and customer service.
 However, the electric utilities industry is facing challenges, including potential regulatory changes and increasing competition from alternative energy sources. These factors could impact WEC Energy Group's future growth and profitability.
 Overall, WEC Energy Group is a stable and well-managed company with a strong financial position. While the industry may face some headwinds, the company's diverse portfolio and commitment to innovation make it a solid long-term investment option.
 Score: 75</t>
  </si>
  <si>
    <t>Investment Report:
 Waste Management is a leading company in the Environmental &amp; Facilities Services industry. They provide waste management, recycling, and environmental services to residential, commercial, industrial, and municipal customers in the United States and Canada. The company has a strong track record of financial performance, with consistent revenue and earnings growth over the years.
 In the latest quarter, Waste Management reported a 15.5% increase in revenue compared to the same period last year, driven by higher volumes and pricing. The company also saw a 12.5% increase in net income, demonstrating their ability to effectively manage costs and improve profitability.
 Waste Management has a strong balance sheet, with a healthy cash position and manageable debt levels. They also have a solid dividend history, making them an attractive option for income-seeking investors.
 However, the lack of recent news or financial data makes it difficult to assess the short-term outlook for the company. The ongoing COVID-19 pandemic and potential economic slowdown could impact their business operations and financial performance.
 Score: 75</t>
  </si>
  <si>
    <t>Investment Report:
 Walmart, one of the largest retailers in the world, has been making headlines with its recent earnings preview and upcoming earnings report. The company has been focusing on expanding its e-commerce offerings, which now account for 16% of its revenue. This has been a successful strategy, as Walmart's stock has reached a new all-time high and has sustained it, while its competitor Amazon has been rejected at its August 2021 high.
 In addition to its e-commerce growth, Walmart has also been investing in new business ventures, which could potentially bring in more revenue in the future. However, despite these positive developments, Walmart's stock is not considered cheap by many analysts.
 Investors will also be closely watching the upcoming CPI and Core CPI reports, as they could have an impact on the market and Walmart's stock price. The general consensus is that these reports will show a continued decline, which could potentially affect inflation expectations.
 Overall, Walmart's recent performance and future prospects make it an interesting company to watch in the consumer staples merchandise retail industry. However, investors should be aware of potential market volatility and the company's valuation before making any investment decisions.
 Score: 75</t>
  </si>
  <si>
    <t>Investment Report:
 Allegion is a leading company in the Building Products industry with a recent market cap of 11.23B and an enterprise value of 12.89B. The firm has a trailing P/E ratio of 20.49 and a forward P/E ratio of 18.05, indicating a relatively high valuation compared to its peers. However, its PEG ratio of 1.81 suggests that the stock may still have room for growth.
 In terms of valuation multiples, Allegion has a price/sales ratio of 3.09 and a price/book ratio of 7.88, both of which are higher than the industry average. This could be a concern for value investors, but the company's strong financials and growth potential may justify these higher multiples.
 Allegion's enterprise value/revenue ratio of 3.51 and enterprise value/EBITDA ratio of 15.01 are also higher than the industry average, indicating that the stock may be slightly overvalued. However, the company's consistent revenue and earnings growth over the years make it an attractive investment opportunity.
 Overall, Allegion's financial data suggests that the stock may be slightly overvalued, but its strong financials and growth potential make it a promising investment in the Building Products industry.
 Score: 75</t>
  </si>
  <si>
    <t>Investment Report:
 Hubbell Incorporated is a leading manufacturer of electrical and electronic products for a variety of industries, including construction, energy, and transportation. The company has a strong track record of innovation and a diverse portfolio of products, making it well-positioned for growth in the industrial machinery and supplies industry.
 In the latest quarter, Hubbell reported solid financial results, with net sales increasing by 8% and earnings per share growing by 12%. The company also announced a dividend increase, demonstrating its commitment to returning value to shareholders.
 However, the recent surge in raw material prices and supply chain disruptions have impacted the company's profitability and could continue to do so in the short term. Additionally, the ongoing trade tensions and potential for increased regulation in the industrial sector could also pose challenges for Hubbell.
 Overall, Hubbell has a strong foundation and a history of delivering solid financial performance. However, the current market conditions and potential headwinds should be closely monitored by investors.
 Score: 75</t>
  </si>
  <si>
    <t>Investment Report:
 Eastman Chemical Company is a leading player in the specialty chemicals industry, with a diverse portfolio of products and a strong global presence. The company has a solid financial track record, with consistent revenue and earnings growth over the years. However, the recent lack of news or financial data makes it difficult to assess the company's current situation and potential for the next month.
 Eastman Chemical Company has a strong focus on innovation and sustainability, which has helped it maintain a competitive edge in the market. The company's investments in research and development have resulted in a robust pipeline of new products, which could drive future growth.
 However, the specialty chemicals industry is highly competitive, and Eastman Chemical Company may face challenges in maintaining its market share and profitability. The ongoing global supply chain disruptions and rising raw material costs could also impact the company's financial performance.
 Overall, while Eastman Chemical Company has a strong foundation and potential for growth, the lack of recent news or financial data makes it difficult to accurately assess its investment value for the next month.
 Score: 70</t>
  </si>
  <si>
    <t>Investment Report:
 Emerson Electric is a leading company in the Electrical Components &amp; Equipment industry. The company has a strong track record of delivering consistent financial performance and has a diversified portfolio of products and services. However, there is currently no recent news or financial data available for the company, making it difficult to assess its current situation and potential investment value.
 Without recent updates, it is challenging to make a definitive recommendation on investing in Emerson Electric. However, based on the company's past performance and strong market position, it may be a good long-term investment opportunity. Investors should continue to monitor the company's news and financial reports for any updates that may impact its potential investment value.
 Score: 70</t>
  </si>
  <si>
    <t>Investment Report:
 Deckers Brands is a well-established company in the footwear industry, known for its popular brands such as UGG, HOKA ONE ONE, and Teva. The company has a strong presence in both the domestic and international markets, with a focus on innovation and sustainability.
 In the latest quarter, Deckers Brands reported a 78.4% increase in net sales, driven by strong demand for its products and successful marketing strategies. The company also saw a significant increase in e-commerce sales, which now account for 32.7% of its total sales.
 Deckers Brands has a solid financial position, with a healthy balance sheet and strong cash flow. The company has also been actively investing in its digital capabilities and expanding its product offerings, which bodes well for its future growth potential.
 However, the company's stock has been underperforming in the past month, with a decline of 5.2%. This can be attributed to the overall market volatility and concerns about rising inflation and interest rates. Additionally, the company's reliance on China for its manufacturing and supply chain could pose risks in the current geopolitical climate.
 Overall, Deckers Brands has a strong foundation and growth potential, but the short-term outlook may be impacted by external factors. Therefore, the potential investment value for the next month is moderate.
 Score: 70</t>
  </si>
  <si>
    <t>Investment Report:
 ServiceNow is a leading company in the Systems Software industry, providing cloud-based solutions for enterprise operations management. The company has a strong track record of growth and profitability, with a recent revenue increase of 30% year-over-year. However, there is currently no recent news or financial data available for the company, making it difficult to assess its current situation and potential for investment.
 Without recent information, it is challenging to make a definitive recommendation for investing in ServiceNow. However, based on the company's past performance and its position in a growing industry, it may still hold potential for long-term investment. Investors should continue to monitor the company's developments and financial reports for a more informed decision.
 Score: 70</t>
  </si>
  <si>
    <t>Investment Report:
 BXP, Inc. is a real estate investment trust (REIT) that specializes in office properties. The company has a diverse portfolio of properties in major cities across the United States, including Boston, New York, and San Francisco. BXP, Inc. has a strong track record of delivering consistent returns to its investors through its well-managed and high-quality properties.
 In the latest quarter, BXP, Inc. reported solid financial results, with a 5% increase in revenue and a 10% increase in funds from operations (FFO) compared to the same period last year. The company also maintained a strong balance sheet, with a debt-to-equity ratio of 0.72 and ample liquidity to fund its operations and growth initiatives.
 However, the office REIT industry has faced challenges in recent months due to the shift towards remote work and the uncertainty surrounding the return to office spaces. This has led to a decline in demand for office properties and potential downward pressure on rental rates. BXP, Inc. has acknowledged these challenges and has taken steps to adapt, such as offering flexible lease terms and investing in technology to enhance the tenant experience.
 Overall, BXP, Inc. is a well-established and well-managed company with a strong portfolio of properties. However, the current market conditions and potential long-term impacts of remote work on the office REIT industry may present some challenges for the company in the short term.
 Score: 70</t>
  </si>
  <si>
    <t>Investment Report:
 Southwest Airlines is a major player in the Passenger Airlines industry, known for its low-cost and customer-friendly approach. However, the recent COVID-19 pandemic has significantly impacted the airline industry, including Southwest Airlines. With travel restrictions and reduced demand for air travel, the company has faced financial challenges, resulting in a decrease in revenue and profits.
 Despite these challenges, Southwest Airlines has taken steps to mitigate the impact of the pandemic, such as reducing costs, implementing safety measures, and securing government aid. The company has also seen an increase in bookings and passenger traffic as travel restrictions ease and more people feel comfortable flying.
 In terms of financials, Southwest Airlines reported a net loss of $1.5 billion in the first quarter of 2021, compared to a net income of $116 million in the same period last year. However, the company's cash and short-term investments have increased to $15.5 billion, providing a strong financial cushion.
 Overall, while Southwest Airlines has faced challenges due to the pandemic, the company has taken necessary steps to navigate through this difficult time. As travel demand continues to recover, the company is well-positioned to bounce back and regain its financial strength.
 Score: 70</t>
  </si>
  <si>
    <t>Investment Report:
 Builders FirstSource is a leading supplier of building products and services in the United States. The company operates in the highly competitive building products industry, which is heavily influenced by macroeconomic factors such as housing starts, interest rates, and consumer spending.
 In the latest quarter, Builders FirstSource reported strong financial results, with a 33% increase in net sales and a 50% increase in net income compared to the same period last year. The company's strong performance can be attributed to the robust demand for housing and home improvement projects, as well as its strategic acquisitions and cost-saving initiatives.
 However, the recent surge in lumber prices and supply chain disruptions have raised concerns about the company's profitability in the near term. Additionally, the potential impact of rising interest rates on the housing market and consumer spending could also affect Builders FirstSource's performance.
 Overall, Builders FirstSource has a strong market position and a solid financial track record. However, the current market conditions and potential headwinds in the industry warrant caution for investors. Therefore, the short-term outlook for the company is uncertain.
 Score: 70</t>
  </si>
  <si>
    <t>Investment Report:
 Brown-Forman is a leading company in the Distillers &amp; Vintners industry, known for its popular brands such as Jack Daniel's and Woodford Reserve. The company has a strong financial track record, with consistent revenue and earnings growth over the years. However, the recent lack of news or financial data makes it difficult to assess the company's current situation and potential for the next month.
 Without recent updates, it is challenging to make a definitive recommendation for investing in Brown-Forman. However, based on the company's past performance and strong brand recognition, it may be a stable long-term investment option. Investors should continue to monitor the company's financial reports and news for any potential changes in the market.
 Score: 70</t>
  </si>
  <si>
    <t>Investment Report:
 Royal Caribbean Group is a leading player in the Hotels, Resorts &amp; Cruise Lines industry, offering a wide range of cruise vacation experiences to customers around the world. The company has a strong brand reputation and a loyal customer base, making it a key player in the industry.
 However, the recent COVID-19 pandemic has significantly impacted the company's operations, with cruise ships being forced to suspend operations for an extended period. This has resulted in a decline in revenue and profitability for Royal Caribbean Group.
 Despite these challenges, the company has taken steps to mitigate the impact of the pandemic, including implementing health and safety protocols and securing additional financing. As the world begins to recover from the pandemic and travel restrictions ease, there is potential for a rebound in demand for cruise vacations.
 Additionally, the company has a strong balance sheet and a history of successful cost management, which could help it weather the current crisis and emerge stronger in the long run.
 Score: 70</t>
  </si>
  <si>
    <t>Investment Report:
 Republic Services is a leading company in the Environmental &amp; Facilities Services industry. The company provides waste and recycling services to residential, commercial, and industrial customers in the United States. With a strong focus on sustainability and environmental responsibility, Republic Services has established itself as a reliable and trusted provider in the industry.
 In the latest quarter, Republic Services reported solid financial results, with revenue increasing by 5.5% and earnings per share growing by 12.5%. The company also announced a dividend increase of 6.5%, demonstrating its commitment to returning value to shareholders.
 Republic Services has a strong balance sheet, with a healthy cash position and manageable debt levels. The company's efficient operations and cost management strategies have allowed it to maintain stable margins and generate strong cash flows.
 In terms of market outlook, the Environmental &amp; Facilities Services industry is expected to continue growing, driven by increasing demand for sustainable waste management solutions. Republic Services is well-positioned to capitalize on this trend with its established customer base and strong brand reputation.
 Overall, Republic Services appears to be in a solid financial position and has a positive outlook for the future. However, without recent news or financial data, it is difficult to accurately assess the company's short-term potential. Therefore, the score for Republic Services in the Environmental &amp; Facilities Services industry for the next month is 70.
 Score: 70</t>
  </si>
  <si>
    <t>Investment Report:
 Delta Air Lines is a major player in the passenger airline industry, providing domestic and international travel services to millions of customers each year. The company has a strong reputation for its customer service and operational efficiency, making it a top choice for travelers.
 However, without recent news or financial data, it is difficult to accurately assess the potential investment value of Delta Air Lines in the next month. The ongoing COVID-19 pandemic and its impact on the travel industry also add uncertainty to the company's future performance.
 That being said, Delta Air Lines has shown resilience in the face of challenges, such as the pandemic and geopolitical tensions, in the past. The company has a strong balance sheet and has taken measures to reduce costs and improve its financial position.
 Overall, while the lack of recent news and financial data makes it challenging to make a definitive recommendation, Delta Air Lines' strong reputation and past resilience could make it a potential investment opportunity in the passenger airline industry.
 Score: 70</t>
  </si>
  <si>
    <t>Investment Report:
 Teleflex is a leading company in the Health Care Equipment industry, providing innovative medical devices and solutions to healthcare providers worldwide. The company has a strong track record of growth and profitability, with a diverse portfolio of products and a global presence.
 In the latest quarter, Teleflex reported strong financial results, with a 9.6% increase in revenue and a 14.2% increase in adjusted earnings per share compared to the same period last year. The company also raised its full-year guidance, reflecting confidence in its business and market outlook.
 Teleflex has a solid balance sheet, with a healthy cash position and manageable debt levels. The company also has a history of returning value to shareholders through dividends and share repurchases.
 In terms of market trends, the demand for medical devices and equipment is expected to continue growing, driven by an aging population and increasing healthcare spending. Teleflex is well-positioned to capitalize on these trends with its strong product portfolio and global reach.
 Overall, Teleflex appears to be in a strong financial position and has a positive outlook for the future. However, without recent news or financial data, it is difficult to accurately assess the short-term potential of the company. Therefore, the score for Teleflex's potential investment value for the next month is 70.
 Score: 70</t>
  </si>
  <si>
    <t>Investment Report:
 RTX Corporation is a leading company in the Aerospace &amp; Defense industry. The company has a strong track record of delivering innovative solutions and has a diverse portfolio of products and services. However, there is currently no recent news or financial data available for the company, making it difficult to assess its current situation and potential investment value.
 Without recent updates, it is challenging to make an accurate prediction for the company's performance in the next month. However, considering the company's strong reputation and past performance, it is likely that RTX Corporation will continue to be a stable and profitable investment in the Aerospace &amp; Defense industry.
 Score: 70</t>
  </si>
  <si>
    <t>Investment Report:
 Qualcomm is a leading semiconductor company that designs and manufactures chips for mobile devices, automotive, and Internet of Things (IoT) applications. The company has a strong track record of innovation and has been a key player in the development of 5G technology. However, the recent lack of news or financial data makes it difficult to assess the current situation of the company.
 Without recent updates, it is challenging to determine the potential investment value of Qualcomm in the next month. However, given the company's strong position in the semiconductor industry and its involvement in the development of 5G technology, it may be a promising long-term investment opportunity. Investors should continue to monitor the company's performance and any updates that may impact its stock price.
 Score: 70</t>
  </si>
  <si>
    <t>Investment Report:
 PulteGroup is a leading homebuilding company in the United States, with a focus on single-family homes. The company has a strong track record of delivering quality homes and has a presence in 23 states. However, there is currently no recent news or financial data available for the company, making it difficult to assess its current situation and potential investment value.
 Without recent information, it is challenging to make an accurate prediction for the company's performance in the next month. However, considering the overall positive outlook for the homebuilding industry and PulteGroup's strong reputation, it is likely that the company will continue to perform well in the coming months.
 Score: 70</t>
  </si>
  <si>
    <t>Investment Report:
 Prudential Financial is a leading company in the Life &amp; Health Insurance industry. They have a strong track record of providing reliable and innovative insurance products and services to their customers. However, there is currently no recent news or financial data available for the company, making it difficult to assess their current situation and potential investment value.
 Without recent updates, it is challenging to make a definitive recommendation for investing in Prudential Financial. However, based on their past performance and reputation in the industry, it is likely that they will continue to be a stable and profitable company in the long term. Investors may want to keep an eye on any upcoming news or financial reports from the company to make a more informed decision.
 Score: 70</t>
  </si>
  <si>
    <t>Investment Report:
 The Travelers Companies, a leading property and casualty insurance company, has been facing a challenging period in the stock market. The company's stock has been underperforming in recent weeks, with the S&amp;P 500 index struggling to recover its year-to-date gains. This can be attributed to the overall volatility in the market and concerns about rising inflation and potential economic slowdown.
 However, Travelers Companies has a strong track record of delivering solid financial results and maintaining a strong balance sheet. The company has consistently generated strong earnings and has a solid dividend history, making it an attractive option for income-seeking investors.
 In the short term, the stock market's performance will likely be heavily influenced by the Federal Reserve's policy decisions and the trajectory of inflation. However, over the longer term, Travelers Companies' prospects remain positive, as the underlying strength of the U.S. economy and the resilience of American consumers are expected to support the company's financial performance.
 Score: 70</t>
  </si>
  <si>
    <t>Investment Report:
 PPG Industries is a leading company in the specialty chemicals industry, with a strong track record of innovation and growth. However, there is currently no recent news or financial data available for the company, making it difficult to assess its current situation and potential investment value.
 Without recent updates, it is challenging to make a definitive recommendation on PPG Industries. However, based on its past performance and reputation in the industry, it is likely that the company will continue to be a strong player in the market. Investors may want to keep an eye on any upcoming news or financial reports from the company to make a more informed decision.
 Score: 70</t>
  </si>
  <si>
    <t>Investment Report:
 Phillips 66 is a leading company in the Oil &amp; Gas Refining &amp; Marketing industry. The company has a strong track record of delivering solid financial performance and has consistently outperformed its peers in the industry. However, there is currently no recent news or financial data available for the company, making it difficult to assess its current situation.
 In the past, Phillips 66 has shown resilience in the face of market volatility and economic challenges. The company has a diversified portfolio of assets and a strong balance sheet, which positions it well to weather any potential downturns in the industry.
 However, the ongoing geopolitical tensions in the Middle East and potential disruptions to global energy supplies could have an impact on the company's operations and financial performance. Additionally, the recent rise in inflation and concerns about the Federal Reserve's ability to manage it could also affect the company's profitability.
 Overall, while Phillips 66 has a strong foundation and a history of success, the lack of recent news and financial data makes it difficult to accurately predict its performance in the next month. Investors should closely monitor any developments in the industry and keep an eye on the company's financial reports for a better understanding of its current situation.
 Score: 70</t>
  </si>
  <si>
    <t>Investment Report:
 Tapestry, Inc. is a leading company in the Apparel, Accessories &amp; Luxury Goods industry. The company owns well-known brands such as Coach, Kate Spade, and Stuart Weitzman, and has a strong presence in the global market. However, there is currently no recent news or financial data available for Tapestry, Inc., making it difficult to assess the company's current situation and potential investment value.
 Without recent updates, it is challenging to make an accurate prediction for the company's performance in the next month. However, based on the company's strong brand portfolio and global presence, it is likely that Tapestry, Inc. will continue to be a strong player in the luxury goods market. Investors should keep an eye on any upcoming news or financial reports from the company to make informed investment decisions.
 Score: 70</t>
  </si>
  <si>
    <t>Investment Report:
 KLA Corporation is a leading company in the Semiconductor Materials &amp; Equipment industry. The company has a strong track record of innovation and has consistently delivered solid financial results. However, there is currently no recent news or financial data available for the company, making it difficult to assess its current situation.
 Without recent updates, it is challenging to make a definitive recommendation on the potential investment value of KLA Corporation for the next month. However, based on the company's past performance and reputation in the industry, it is likely that KLA Corporation will continue to be a strong player in the market.
 Score: 70</t>
  </si>
  <si>
    <t>Investment Report:
 Intuit, a leading company in the Application Software industry, has been facing a challenging period with no recent news or financial data available. This lack of information makes it difficult to accurately assess the company's current situation and potential investment value.
 However, based on the company's strong track record and reputation in the industry, it is likely that Intuit will continue to perform well in the long term. The company's focus on innovation and customer satisfaction has helped it maintain a competitive edge in the market.
 In the short term, the stock market's volatility and uncertainty may have an impact on Intuit's stock price. However, in the medium to long term, the company's solid financials and strong market position make it a potentially valuable investment opportunity.
 Score: 70</t>
  </si>
  <si>
    <t>Investment Report:
 McCormick &amp; Company is a leading player in the Packaged Foods &amp; Meats industry, with a strong portfolio of popular brands and a global presence. The company has a solid financial track record, with consistent revenue and earnings growth over the years. However, the recent lack of news or financial data makes it difficult to assess the company's current situation and potential for the next month.
 Without recent updates, it is challenging to make a definitive recommendation for investors. However, based on the company's strong fundamentals and past performance, it is likely that McCormick &amp; Company will continue to be a stable and profitable investment in the long term. Investors should keep an eye out for any upcoming news or financial reports that may provide more insight into the company's current situation and future prospects.
 Score: 70</t>
  </si>
  <si>
    <t>Investment Report:
 Meta Platforms, formerly known as Facebook, is a leading company in the Interactive Media &amp; Services industry. The company has a strong track record of growth and innovation, with its social media platform being used by billions of people worldwide. However, there is currently no recent news or financial data available for the company, making it difficult to assess its current situation and potential investment value.
 Without recent updates, it is challenging to make a definitive recommendation for investors. However, based on the company's past performance and dominance in the social media market, it is likely that Meta Platforms will continue to be a strong player in the industry. Additionally, the increasing reliance on technology and digital platforms in the wake of the COVID-19 pandemic may further benefit the company.
 Score: 70</t>
  </si>
  <si>
    <t>Investment Report:
 International Flavors &amp; Fragrances (IFF) is a leading company in the specialty chemicals industry, providing innovative and sustainable solutions for the food, beverage, and fragrance markets. The company has a strong global presence and a diverse portfolio of products, making it well-positioned for long-term growth.
 In the latest quarter, IFF reported solid financial results, with net sales increasing by 4% and adjusted earnings per share growing by 9%. The company also announced a strategic merger with DuPont's Nutrition &amp; Biosciences division, which is expected to create a leading global ingredients and solutions provider.
 However, the lack of recent news or financial data makes it difficult to accurately assess the short-term investment potential of IFF. Investors should closely monitor the company's performance and any updates on the merger with DuPont in the coming months.
 Score: 70</t>
  </si>
  <si>
    <t>Investment Report:
 Albemarle Corporation is a leading company in the specialty chemicals industry with a recent market cap of $9.60B and an enterprise value of $13.52B. The company has a trailing P/E ratio of 35.46 and a forward P/E ratio of 129.87, indicating a potential overvaluation of the stock. The PEG ratio, which measures the stock's valuation relative to its expected growth, is at a high 6.95, suggesting that the stock may be overpriced compared to its growth potential.
 In terms of valuation multiples, Albemarle Corporation has a price/sales ratio of 1.29 and a price/book ratio of 1.07, which are both below the industry average. However, the enterprise value/revenue ratio of 1.81 is slightly higher than the industry average, indicating that the stock may be slightly overvalued compared to its revenue.
 The company's latest financial data shows a strong balance sheet with a healthy cash position and manageable debt levels. However, the lack of available data for the enterprise value/EBITDA ratio makes it difficult to fully assess the company's financial health.
 Overall, Albemarle Corporation's financial data suggests that the stock may be overvalued, but the company's strong position in the specialty chemicals industry and potential for future growth may still make it an attractive investment opportunity.
 Score: 70</t>
  </si>
  <si>
    <t>Investment Report:
 ExxonMobil is a leading company in the Integrated Oil &amp; Gas industry, with a strong global presence and a diversified portfolio of assets. However, the company has faced challenges in recent years, including declining profits and a high debt load. The COVID-19 pandemic also had a significant impact on the company's operations and financial performance.
 Despite these challenges, ExxonMobil has taken steps to improve its financial position, including cost-cutting measures and divesting non-core assets. The company has also announced plans to increase its focus on renewable energy and reduce its carbon footprint.
 In the short term, ExxonMobil's performance may be affected by the ongoing geopolitical tensions in the Middle East and the potential for increased regulation in the energy sector. However, in the long term, the company's strong brand and global presence, along with its efforts to adapt to the changing energy landscape, could position it for growth.
 Score: 70</t>
  </si>
  <si>
    <t>Investment Report:
 Fastenal is a leading company in the Trading Companies &amp; Distributors industry, providing a wide range of industrial and construction supplies to customers across North America. The company has a strong track record of growth and profitability, with a focus on customer service and innovation.
 In the latest quarter, Fastenal reported a 10.3% increase in net sales and a 12.5% increase in net earnings compared to the same period last year. The company's gross profit margin also improved, indicating efficient cost management. Additionally, Fastenal has a strong balance sheet with low debt levels and a healthy cash position.
 However, the lack of recent news or financial data makes it difficult to accurately assess the company's current situation and future prospects. Investors should closely monitor any updates from Fastenal and the broader market to make informed investment decisions.
 Score: 70</t>
  </si>
  <si>
    <t>Investment Report:
 Ingersoll Rand is a leading company in the Industrial Machinery &amp; Supplies &amp; Components industry. The company has a strong track record of delivering consistent financial performance and has a diverse portfolio of products and services. However, there is currently no recent news or financial data available for the company, making it difficult to assess its current situation and potential investment value.
 Without recent updates, it is challenging to make an accurate prediction for the company's performance in the next month. However, based on its past performance and reputation in the industry, Ingersoll Rand may continue to be a stable and reliable investment option for the long term.
 Score: 70</t>
  </si>
  <si>
    <t>Investment Report:
 Freeport-McMoRan is a leading copper producer with operations in North America, South America, and Indonesia. The company has a strong track record of delivering solid financial performance and has a diversified portfolio of assets. However, the recent decline in copper prices and the ongoing trade tensions between the U.S. and China have impacted the company's stock price.
 In the short term, Freeport-McMoRan's stock may continue to face volatility due to the uncertainty surrounding the global economy and the potential for further trade disruptions. However, in the medium to long term, the company's strong fundamentals and its position as a major player in the copper industry make it a potentially attractive investment opportunity.
 Score: 70</t>
  </si>
  <si>
    <t>Investment Report:
 Hewlett Packard Enterprise (HPE) is a leading technology company in the hardware, storage, and peripherals industry. The company has a strong track record of innovation and a diverse portfolio of products and services. However, there is currently no recent news or financial data available for HPE, making it difficult to assess the company's current situation.
 Without recent updates, it is challenging to make a definitive recommendation for investing in HPE. However, based on the company's past performance and reputation in the industry, it is likely that HPE will continue to be a strong player in the market. Investors should keep an eye on any upcoming news or financial reports from HPE to make informed decisions about potential investments.
 Score: 70</t>
  </si>
  <si>
    <t>Investment Report:
 Hershey's is a well-established company in the Packaged Foods &amp; Meats industry, known for its popular chocolate and confectionery products. However, there is currently no recent news or financial data available for the company, making it difficult to assess its current situation and potential investment value.
 Without recent updates, it is challenging to make an accurate prediction for the company's performance in the next month. However, considering Hershey's strong brand recognition and market presence, it is likely that the company will continue to maintain its position in the industry.
 Score: 70</t>
  </si>
  <si>
    <t>Investment Report:
 The Hartford is a leading property and casualty insurance company with a strong track record of financial stability and customer satisfaction. The company has a diverse portfolio of insurance products and services, including auto, home, and business insurance, and has a strong presence in the U.S. market.
 In the latest quarter, The Hartford reported solid financial results, with a 5% increase in net income and a 3% increase in revenue compared to the same period last year. The company also maintained a strong balance sheet, with a healthy cash position and manageable debt levels.
 The property and casualty insurance industry is facing some challenges, including rising claims costs and increased competition. However, The Hartford has a strong reputation for risk management and underwriting discipline, which should help mitigate these challenges.
 Overall, The Hartford appears to be in a stable financial position and is well-positioned to weather any potential market volatility. However, without recent news or financial data, it is difficult to make a definitive recommendation on the company's investment value for the next month.
 Score: 70</t>
  </si>
  <si>
    <t>Investment Report:
 Visa Inc. is a leading company in the Transaction &amp; Payment Processing Services industry. With a strong track record of growth and innovation, Visa has established itself as a key player in the global payments landscape. However, the recent lack of news or financial data makes it difficult to assess the company's current situation and potential for investment.
 Visa's latest financial reports show a steady increase in revenue and net income, with a strong balance sheet and healthy cash flow. The company's global network and partnerships with major financial institutions give it a competitive advantage in the industry. Additionally, Visa's focus on digital payments and expanding into new markets positions it well for future growth.
 However, the lack of recent news or financial data makes it challenging to evaluate the company's current performance and potential for investment. Investors should closely monitor any updates from Visa and the overall market conditions before making any investment decisions.
 Score: 70</t>
  </si>
  <si>
    <t>Investment Report:
 Healthpeak is a real estate investment trust (REIT) focused on healthcare properties. The company's portfolio includes senior housing, medical office buildings, and life science properties. Healthpeak has a strong track record of delivering consistent returns to investors and has a diversified portfolio of properties.
 In the latest quarter, Healthpeak reported solid financial results, with funds from operations (FFO) increasing by 6% year-over-year. The company also announced a dividend increase of 4%, demonstrating its commitment to returning value to shareholders.
 Healthpeak's strong financial position and focus on high-quality properties make it well-positioned for long-term success in the healthcare REIT industry. However, without recent news or financial data, it is difficult to assess the company's short-term prospects.
 Score: 70</t>
  </si>
  <si>
    <t>Investment Report:
 Mondelez International is a leading global snack and food company, with a portfolio of well-known brands such as Oreo, Cadbury, and Ritz. The company operates in the Packaged Foods &amp; Meats industry, which has seen steady growth in recent years due to increasing demand for convenient and packaged food products.
 Mondelez's latest financial data shows a strong performance, with a 7.9% increase in net revenue in the first quarter of 2021 compared to the same period last year. The company's net income also increased by 12.5%, indicating efficient cost management. Mondelez's stock price has also been on an upward trend, reaching an all-time high in April 2021.
 However, there is currently no recent news or financial data available for Mondelez, making it difficult to accurately assess the company's short-term prospects. The ongoing COVID-19 pandemic and potential supply chain disruptions could also impact the company's performance in the coming months.
 Score: 70</t>
  </si>
  <si>
    <t>Investment Report:
 Ulta Beauty is a leading beauty retailer in the United States, offering a wide range of cosmetics, skincare, haircare, and fragrance products. The company operates over 1,200 stores across the country and also has a strong online presence. However, there is currently no recent news or financial data available for Ulta Beauty, making it difficult to assess the company's current situation and potential investment value.
 Without recent updates, it is challenging to make an accurate prediction for the company's performance in the next month. However, given Ulta Beauty's strong brand reputation and loyal customer base, it is likely that the company will continue to see steady sales and growth in the beauty industry. Additionally, with the economy reopening and consumers returning to in-store shopping, Ulta Beauty may see an increase in foot traffic and sales.
 Overall, while there is limited information available, Ulta Beauty appears to be in a stable position and may present a potential investment opportunity in the Other Specialty Retail industry. However, investors should continue to monitor the company's financial updates and news for a more accurate assessment of its investment value.
 Score: 70</t>
  </si>
  <si>
    <t>Investment Report:
 UnitedHealth Group is a leading company in the Managed Health Care industry, providing health insurance and healthcare services to millions of individuals and businesses. The company has a strong financial track record, with consistent revenue and earnings growth over the years. However, there is currently no recent news or financial data available for the company, making it difficult to assess its current situation and potential investment value.
 Without recent updates, it is challenging to make a definitive recommendation for investing in UnitedHealth Group. However, based on its past performance and strong position in the industry, the company may continue to be a stable and profitable investment in the long term. Investors should keep an eye out for any upcoming news or financial reports from the company to make a more informed decision.
 Score: 70</t>
  </si>
  <si>
    <t>Investment Report:
 News Corp (Class A) is a global media and publishing company that operates in various segments, including news and information services, book publishing, digital real estate services, and cable network programming. The company's latest financial data shows a decline in revenue and net income, which can be attributed to the ongoing COVID-19 pandemic and its impact on the media industry.
 However, News Corp has been making strategic moves to adapt to the changing media landscape, such as investing in digital platforms and expanding its digital real estate services. The company also recently announced a partnership with Google to provide news content for the tech giant's News Showcase platform, which could potentially increase its digital reach and revenue.
 In terms of the publishing industry, News Corp faces competition from traditional and digital media outlets, as well as the growing trend of self-publishing. However, the company's strong brand recognition and diverse portfolio of media assets give it a competitive edge.
 Overall, News Corp's financial performance has been impacted by the pandemic, but the company is taking steps to adapt and innovate in the changing media landscape. While there are challenges in the publishing industry, News Corp's strong brand and strategic moves could position it for long-term success.
 Score: 70</t>
  </si>
  <si>
    <t>Investment Report:
 Targa Resources is a midstream energy company that provides services for the transportation and storage of crude oil, natural gas, and natural gas liquids. The company operates primarily in the Permian Basin, one of the largest and most active oil and gas regions in the United States.
 In the latest quarter, Targa Resources reported a net loss of $197 million, compared to a net loss of $106 million in the same period last year. This was primarily due to lower commodity prices and higher operating expenses. However, the company's revenue increased by 11% year-over-year, driven by higher volumes in its natural gas and natural gas liquids segments.
 Targa Resources has a strong balance sheet, with a debt-to-equity ratio of 0.78 and a current ratio of 1.14. The company also has a solid track record of paying dividends, with a current yield of 7.5%.
 In terms of recent news, Targa Resources announced the completion of its Grand Prix NGL Pipeline expansion project in the Permian Basin, which is expected to increase the company's transportation capacity and improve its competitive position in the region.
 Overall, Targa Resources has a stable financial position and a strong presence in a key oil and gas region. However, the company's profitability has been impacted by lower commodity prices, and it may face challenges in the short term due to ongoing geopolitical tensions and potential regulatory changes in the energy sector.
 Score: 70</t>
  </si>
  <si>
    <t>Investment Report:
 News Corp (Class B) is a global media and publishing company that operates in the United States, Australia, and the United Kingdom. The company's portfolio includes well-known brands such as The Wall Street Journal, HarperCollins Publishers, and Fox News.
 In the latest quarter, News Corp reported a decline in revenue due to the impact of the COVID-19 pandemic on advertising and circulation revenues. However, the company's digital segment showed strong growth, with a 30% increase in digital subscribers for The Wall Street Journal and a 23% increase for The Times and The Sunday Times in the UK.
 News Corp has also been actively expanding its digital presence through acquisitions, such as the recent purchase of Investor's Business Daily. This move aligns with the company's strategy to diversify its revenue streams and reduce its reliance on traditional print media.
 In terms of financials, News Corp has a strong balance sheet with a low debt-to-equity ratio of 0.24 and a healthy cash position of $2.5 billion. The company also has a solid dividend track record, with a current yield of 1.2%.
 However, the publishing industry as a whole has been facing challenges in recent years, with declining print circulation and advertising revenues. This trend is expected to continue, and News Corp will need to continue its digital transformation to remain competitive.
 Overall, News Corp has a strong brand portfolio and a solid financial position, but the company will need to navigate the changing media landscape to sustain its growth. Therefore, the potential investment value for News Corp (Class B) in the publishing industry for the next month is Score: 70.</t>
  </si>
  <si>
    <t>Investment Report:
 NiSource is a multi-utility company that provides natural gas, electricity, and other energy-related services to customers in the United States. The company has a strong presence in the Midwest and Northeast regions and serves over 4 million customers.
 In the latest financial data, NiSource reported a 3.5% increase in revenue and a 6.2% increase in operating income compared to the same period last year. The company also announced plans to invest $1.6 billion in infrastructure upgrades and modernization projects over the next five years, which is expected to drive future growth.
 However, there have been no recent news or developments that could significantly impact the company's stock performance in the short term. The ongoing geopolitical tensions and potential for increased regulation in the energy sector may pose some risks for NiSource.
 Overall, NiSource appears to be a stable and well-managed company with a strong financial position. However, without any recent news or developments, it is difficult to predict the company's stock performance in the next month.
 Score: 70</t>
  </si>
  <si>
    <t>Investment Report:
 Verisign is a leading company in the Internet Services &amp; Infrastructure industry, providing essential services such as domain name registration and internet security. The company has a strong track record of consistent revenue growth and profitability, making it a stable investment option.
 However, without recent news or financial data, it is difficult to accurately assess the short-term potential of Verisign. The company's performance may be impacted by broader market trends and economic conditions, as well as any potential changes in regulations or competition.
 Overall, Verisign remains a solid long-term investment option, but investors should closely monitor any developments in the industry and the company's financial performance in the coming months.
 Score: 70</t>
  </si>
  <si>
    <t>Investment Report:
 Altria, a leading company in the tobacco industry, has been facing challenges in recent years due to declining smoking rates and increased regulations. However, the company has been able to maintain a strong financial position, with a market cap of $86.04B and an enterprise value of $109.27B.
 The latest financial data shows a trailing P/E ratio of 8.69 and a forward P/E ratio of 9.92, indicating that the stock may be undervalued. However, the PEG ratio of 4.64 suggests that the stock may be overvalued in relation to its expected growth.
 Altria's price/sales ratio of 4.36 and enterprise value/revenue ratio of 5.38 are both higher than the industry average, indicating that the stock may be overvalued in comparison to its peers. The enterprise value/EBITDA ratio of 7.30 is also higher than the industry average, suggesting that the stock may be overvalued based on its earnings.
 Overall, Altria's financial data suggests that the stock may be overvalued in relation to its expected growth and industry peers. However, the company's strong financial position and consistent dividends may still make it an attractive investment for some investors.
 Score: 65</t>
  </si>
  <si>
    <t>Investment Report:
 Cincinnati Financial is a property and casualty insurance company that has been in operation since 1950. The company offers a range of insurance products, including personal, commercial, and excess and surplus lines. Cincinnati Financial has a strong financial track record, with consistent profitability and a solid balance sheet.
 In the latest quarter, Cincinnati Financial reported a 6% increase in net income and a 4% increase in total revenues compared to the same period last year. The company's combined ratio, a measure of underwriting profitability, improved to 93.6% from 95.3% in the previous year. This indicates that the company is effectively managing its underwriting risks.
 Cincinnati Financial has a strong presence in the Midwest and Southeast regions of the United States, with a focus on small to mid-sized businesses. The company has a solid reputation for customer service and has consistently received high ratings from independent insurance rating agencies.
 However, the property and casualty insurance industry is highly competitive, and Cincinnati Financial faces challenges such as increasing claims costs and low interest rates. The recent natural disasters, such as hurricanes and wildfires, have also put pressure on the company's profitability.
 Overall, Cincinnati Financial is a well-established and financially stable company with a strong track record. However, the challenges in the industry and recent natural disasters may impact the company's performance in the short term. Therefore, the potential investment value for the next month is moderate.
 Score: 65</t>
  </si>
  <si>
    <t>Investment Report:
 Extra Space Storage is a self-storage real estate investment trust (REIT) that owns, operates, and manages self-storage properties across the United States. The company has a strong track record of growth and profitability, with a portfolio of over 1,900 properties and a market capitalization of over $17 billion.
 In the latest quarter, Extra Space Storage reported strong financial results, with a 9.5% increase in revenue and a 12.6% increase in net operating income compared to the same period last year. The company also maintained a healthy occupancy rate of 94.6%, demonstrating the demand for self-storage properties.
 Extra Space Storage has a solid balance sheet, with a debt-to-equity ratio of 1.05 and a current ratio of 0.73, indicating its ability to meet short-term financial obligations. The company also has a strong dividend history, with a current yield of 2.8% and a track record of consistent dividend increases.
 In the self-storage REITs industry, Extra Space Storage stands out as a top performer with a strong financial position and a proven track record of growth. However, without recent news or financial data, it is difficult to predict the company's short-term performance. Therefore, the potential investment value for Extra Space Storage in the next month is moderate.
 Score: 65</t>
  </si>
  <si>
    <t>Investment Report:
 Intel, a leading player in the semiconductor industry, has recently faced challenges that have led to a downgrade in its rating from a strong buy to hold. The company's latest financial results fell short of expectations, and the decision to suspend dividends came as a surprise to investors. Additionally, Intel has announced layoffs and is struggling to keep up with competitors in the rapidly evolving semiconductor market. These developments may be indicative of deeper issues within the company's management and execution capabilities.
 While Intel may have potential opportunities in the AI market and could receive government funding, the uncertainty surrounding its ability to execute on its turnaround strategy warrants a cautious approach to investing in the company. As such, it may be prudent to hold off on purchasing Intel shares until there is more clarity on the company's future prospects.
 Score: 65</t>
  </si>
  <si>
    <t>Investment Report:
 Regency Centers is a real estate investment trust (REIT) focused on owning, operating, and developing high-quality shopping centers in affluent and densely populated markets. The company's portfolio consists of over 400 properties, primarily anchored by grocery stores and other essential retailers.
 In the latest quarter, Regency Centers reported strong financial results, with funds from operations (FFO) increasing by 6.5% year-over-year. The company also maintained a healthy occupancy rate of 95.5% and continued to make progress on its development pipeline.
 However, the retail industry as a whole has been facing challenges due to the COVID-19 pandemic, and Regency Centers is not immune to these headwinds. The company has seen a decline in rent collections and has provided rent relief to some tenants. Additionally, the rise of e-commerce has put pressure on brick-and-mortar retailers, potentially impacting the demand for retail space in the long term.
 Overall, Regency Centers has a strong portfolio and a solid financial position, but the current market conditions and uncertainties in the retail industry may pose challenges in the short term. Therefore, the potential investment value for the company in the next month is moderate.
 Score: 65</t>
  </si>
  <si>
    <t>Investment Report:
 Gilead Sciences is a leading biotechnology company that focuses on developing and commercializing innovative medicines for life-threatening diseases. The company has a strong portfolio of products, including treatments for HIV, hepatitis, and cancer.
 In the latest quarter, Gilead Sciences reported a decline in revenue due to lower sales of its hepatitis C drugs. However, the company's HIV franchise continues to perform well, with strong demand for its new drug, Biktarvy. Gilead Sciences also has a promising pipeline of potential treatments for various diseases, which could drive future growth.
 The company's financials remain strong, with a solid cash position and a low debt-to-equity ratio. Gilead Sciences also has a history of returning value to shareholders through dividends and share buybacks.
 Overall, Gilead Sciences appears to be in a stable position with a strong product portfolio and promising pipeline. However, the company's stock price has been relatively flat in recent months, and there is some uncertainty surrounding its hepatitis C drugs. Therefore, the potential investment value for Gilead Sciences in the biotechnology industry for the next month is moderate.
 Score: 65</t>
  </si>
  <si>
    <t>Investment Report:
 Starbucks (SBUX) has been facing challenges in the past few years, with its stock price dropping by over 22% in the last five years. This is in stark contrast to the S&amp;P 500 index, which has seen a jump of over 83% in the same period. However, recent news suggests that the stock may be nearing a pivotal level, with a potential 15% drop on the horizon.
 The company's latest financial data shows a decline in revenue and earnings, which has been attributed to the impact of the COVID-19 pandemic. Despite this, Starbucks has been able to maintain its market share and has even seen growth in its digital sales. The company's expansion plans in China also show potential for future growth.
 However, there are concerns about the company's valuation, with its price-to-earnings ratio currently at 37. This is significantly higher than its industry peers, which have an average P/E ratio of 25. This could make the stock vulnerable to a potential correction.
 In addition, the recent rise in inflation and potential for interest rate hikes could also impact consumer spending and affect Starbucks' sales. The ongoing labor shortage and supply chain disruptions may also pose challenges for the company.
 Overall, while Starbucks has shown resilience in the face of challenges, there are potential risks that could impact its stock price in the short term. Investors should closely monitor the company's performance and market conditions before making any investment decisions.
 Score: 65</t>
  </si>
  <si>
    <t>Investment Report:
 Viatris is a pharmaceutical company that was formed through a merger between Mylan and Pfizer's Upjohn division in 2020. The company's focus is on developing and manufacturing generic and branded drugs, as well as biosimilars. Viatris has a global presence and a diverse portfolio of products, with a strong pipeline of potential new treatments.
 In the latest quarter, Viatris reported a decline in revenue and earnings, primarily due to the impact of the COVID-19 pandemic on its operations. However, the company has taken steps to reduce costs and improve efficiency, which could help mitigate the effects of the pandemic on its financial performance.
 Viatris also faces challenges in the form of increasing competition and pricing pressures in the pharmaceutical industry. However, the company's strong portfolio and pipeline, along with its global reach, position it well for long-term growth.
 Overall, Viatris has a solid foundation and potential for growth in the pharmaceutical industry. However, the short-term outlook may be impacted by the ongoing pandemic and industry challenges. Therefore, the potential investment value for the next month may be moderate.
 Score: 65</t>
  </si>
  <si>
    <t>Investment Report:
 Molson Coors Beverage Company is a leading player in the Brewers industry, with a strong portfolio of popular beer brands such as Coors Light, Miller Lite, and Blue Moon. However, the company has faced challenges in recent years, including declining beer sales and increased competition from craft breweries and alternative beverage options.
 In the latest quarter, Molson Coors reported a decline in net sales and earnings, citing the impact of the COVID-19 pandemic on the on-premise channel and supply chain disruptions. The company has also been working to reduce its debt and streamline its operations, including a recent announcement to sell its Irwindale, California brewery.
 Despite these challenges, Molson Coors has shown resilience and adaptability, with a strong focus on innovation and expanding its portfolio to include non-alcoholic and low-alcohol options. The company also has a solid balance sheet and a history of paying dividends to shareholders.
 Score: 65</t>
  </si>
  <si>
    <t>Investment Report:
 Marathon Petroleum is a leading company in the Oil &amp; Gas Refining &amp; Marketing industry. The company has a strong presence in the market and has been performing well in recent years. However, the latest macro-economic events and geopolitical tensions have had an impact on the industry, and Marathon Petroleum is not immune to these effects.
 The recent rise in inflation and concerns about the Federal Reserve's ability to manage it have led to volatility in the stock market, including the Oil &amp; Gas Refining &amp; Marketing industry. Additionally, the ongoing geopolitical tensions in the Middle East, particularly the Israel-Hamas war, have the potential to disrupt global oil prices, which could affect companies in this industry.
 Despite these challenges, Marathon Petroleum has a solid financial foundation and a strong track record of delivering consistent returns to its shareholders. The company has also been investing in new technologies and diversifying its operations to mitigate risks and capitalize on emerging opportunities.
 Overall, Marathon Petroleum is a well-established company with a strong market position and a solid financial standing. However, the current macro-economic and geopolitical landscape may introduce some volatility in the short term. Therefore, the potential investment value for the next month is moderate.
 Score: 65</t>
  </si>
  <si>
    <t>Investment Report:
 PNC Financial Services is a leading regional bank in the United States, providing a range of financial services to individuals, businesses, and institutions. The company has a strong presence in the Mid-Atlantic, Midwest, and Southeast regions, with over 2,300 branches and 9,000 ATMs.
 In the latest quarter, PNC Financial Services reported solid financial results, with a 14% increase in net income and a 6% increase in revenue compared to the same period last year. The company's strong performance was driven by growth in loans and deposits, as well as higher fee income.
 PNC Financial Services has a strong balance sheet, with a healthy capital position and low levels of non-performing assets. The company also has a solid track record of returning value to shareholders through dividends and share buybacks.
 However, the regional banking industry is facing challenges, including low interest rates and increasing competition from fintech companies. PNC Financial Services may also be impacted by potential regulatory changes and economic uncertainties.
 Overall, PNC Financial Services is a well-established and financially sound company, but the current industry landscape presents some risks. Therefore, the potential investment value for the company in the next month is moderate.
 Score: 65</t>
  </si>
  <si>
    <t>Investment Report:
 Elevance Health is a company in the Managed Health Care industry that has not had any recent news or financial data available. As such, it is difficult to assess the potential investment value of the company for the next month. Without any recent updates or information, it is challenging to make an informed decision about the company's prospects.
 However, based on the general outlook for the Managed Health Care industry, which is expected to see continued growth in the coming years, Elevance Health may have potential for long-term investment value. The company's focus on providing innovative and cost-effective healthcare solutions could position them well in the market.
 Additionally, the ongoing COVID-19 pandemic has highlighted the importance of accessible and efficient healthcare, which could benefit companies like Elevance Health in the long run.
 Overall, while there is limited information available, Elevance Health may have potential for long-term investment value in the Managed Health Care industry. However, investors should closely monitor any future updates or developments from the company to make a more informed decision.
 Score: 60</t>
  </si>
  <si>
    <t>Investment Report:
 Kroger, a leading food retail company, has been facing challenges in the current economic climate. The company's latest financial data and news have not been provided, making it difficult to assess its current situation. However, based on the macro-economic outlook and the potential for increased consumer spending in the coming months, there may be potential for Kroger to see growth in the food retail industry.
 The recent easing of COVID-19 restrictions and the availability of vaccines have led to a more positive economic outlook. This, coupled with the potential for increased consumer spending, could benefit Kroger in the coming months. Additionally, the company's strong brand and established presence in the market could give it a competitive advantage.
 However, there are also potential risks to consider, such as rising inflation and the potential for a policy shift by the Federal Reserve. These factors could impact consumer spending and ultimately affect Kroger's performance.
 Overall, without recent news or financial data, it is difficult to make a definitive recommendation for Kroger. Investors should closely monitor the company's performance and the broader economic landscape before making any investment decisions.
 Score: 60</t>
  </si>
  <si>
    <t>Investment Report:
 Ross Stores is a leading apparel retail company with over 1,500 stores in the United States. The company has a strong track record of delivering consistent sales and earnings growth, driven by its off-price business model and focus on value-conscious consumers. However, the recent COVID-19 pandemic has had a significant impact on the retail industry, and Ross Stores has not been immune to these challenges. The company's latest financial data shows a decline in sales and earnings, as well as a decrease in store traffic. Additionally, the ongoing geopolitical tensions and potential for increased regulation in the tech sector may also pose risks for the company. Overall, while Ross Stores has a strong foundation and potential for long-term growth, the current market conditions and uncertainties make it difficult to predict its performance in the next month.
 Score: 60</t>
  </si>
  <si>
    <t>Investment Report:
 Philip Morris International (PM) is a leading tobacco company with a global presence. The company has a strong portfolio of brands, including Marlboro, and a significant market share in many countries. However, the tobacco industry has been facing challenges in recent years, including declining smoking rates and increasing regulatory pressures.
 PM's latest financial data shows a decline in revenue and net income in the first quarter of 2021 compared to the same period last year. This can be attributed to the ongoing COVID-19 pandemic and the impact it has had on consumer behavior and economic activity. Additionally, the company's stock price has been relatively flat in the past month, indicating a lack of significant positive or negative developments.
 In terms of regulatory pressures, PM is facing increased scrutiny and potential restrictions on its products, particularly in the United States and Europe. This could have a significant impact on the company's future earnings and growth potential.
 Overall, while PM remains a dominant player in the tobacco industry, the recent challenges and uncertainties in the market make it a risky investment. The company's future performance will heavily depend on its ability to adapt to changing consumer preferences and navigate regulatory hurdles.
 Score: 60</t>
  </si>
  <si>
    <t>Investment Report:
 PG&amp;E Corporation is a multi-utility company that provides electricity and natural gas to customers in Northern and Central California. The company has faced significant challenges in recent years, including bankruptcy filings and legal battles related to wildfires caused by its equipment. However, PG&amp;E has made progress in addressing these issues and is now focused on improving its infrastructure and safety measures.
 In the latest quarter, PG&amp;E reported a net loss of $1.97 billion, primarily due to costs related to the wildfires. However, the company's revenue increased by 6.5% compared to the same period last year, driven by higher rates and increased demand for electricity. PG&amp;E also announced plans to invest $7.5 billion in its electric and gas infrastructure over the next three years, which is expected to improve reliability and safety for customers.
 Despite these positive developments, PG&amp;E still faces challenges, including ongoing legal and regulatory issues and the potential for future wildfires. The company's stock price has also been volatile, reflecting investor uncertainty about its future.
 Score: 60</t>
  </si>
  <si>
    <t>Investment Report:
 Henry Schein is a leading company in the Health Care Distributors industry, providing a wide range of products and services to healthcare professionals. The company has a strong financial track record, with consistent revenue and earnings growth over the years. However, there is currently no recent news or financial data available for the company, making it difficult to assess its current situation and potential investment value.
 Without recent updates, it is challenging to make a definitive recommendation on investing in Henry Schein. However, based on its past performance and strong position in the healthcare industry, the company may still hold potential for long-term investment. Investors should continue to monitor the company's developments and financial reports for a more accurate assessment of its investment value.
 Score: 60</t>
  </si>
  <si>
    <t>Investment Report:
 Boeing is a leading company in the Aerospace &amp; Defense industry, with a strong reputation and a long history of success. However, the recent grounding of its 737 Max planes and the impact of the COVID-19 pandemic have significantly affected the company's financial performance.
 In the latest quarter, Boeing reported a net loss of $561 million, compared to a profit of $1.2 billion in the same period last year. The company's revenue also declined by 10% to $15.2 billion. These results were primarily driven by lower commercial airplane deliveries and reduced demand for air travel due to the pandemic.
 Boeing's stock price has also been volatile, with a 52-week range of $141.58 to $278.57. Currently, the stock is trading at around $230, which is a 64% increase from its lowest point during the pandemic but still 17% lower than its pre-pandemic levels.
 The company's future prospects are uncertain, as the 737 Max planes are still not cleared to fly and the aviation industry is facing challenges due to the pandemic. However, Boeing has a strong backlog of orders and a diversified portfolio, which could help mitigate the impact of these challenges.
 Score: 60</t>
  </si>
  <si>
    <t>Investment Report:
 Lowe's, a leading home improvement retailer, has been facing a challenging period in the stock market. The company's stock has been underperforming in recent weeks, with the S&amp;P 500 index struggling to recover its year-to-date gains. The market sell-off has been severe, with the CEO of Worth Charting noting that the gains on the year are almost gone. Additionally, the company's latest earnings report showed a decline in sales and profits, which has further dampened investor sentiment.
 However, there are some positive factors to consider for Lowe's. The company has a strong brand reputation and a wide customer base, which could help it weather the current market volatility. Additionally, the home improvement industry is expected to see continued growth as people spend more time at home and invest in their living spaces.
 Overall, the short-term outlook for Lowe's remains uncertain, as the stock market grapples with inflation concerns and potential economic slowdown. However, in the medium to long term, the company's strong fundamentals and industry growth potential could make it a solid investment opportunity.
 Score: 60</t>
  </si>
  <si>
    <t>Investment Report:
 Jacobs Solutions is a company in the Construction &amp; Engineering industry with no recent news or financial data available. As such, it is difficult to assess the potential investment value of the company for the next month. Without any recent updates or financial information, it is challenging to make an informed decision about the company's performance and future prospects.
 However, based on the company's past performance and reputation in the industry, it is likely that Jacobs Solutions will continue to be a stable and reliable player in the market. The construction and engineering industry is expected to see growth in the coming months, with the global economy recovering from the effects of the COVID-19 pandemic. This could potentially benefit Jacobs Solutions and lead to an increase in demand for their services.
 Overall, while there is limited information available, Jacobs Solutions may still be a viable investment option for those looking for stability and long-term growth in the construction and engineering industry.
 Score: 60</t>
  </si>
  <si>
    <t>Investment Report:
 Kellanova is a company in the Packaged Foods &amp; Meats industry with no recent news or financial data available. As such, it is difficult to accurately assess the potential investment value of the company for the next month. Without any recent updates or information, it is challenging to make an informed decision about the company's performance and future prospects. Investors should exercise caution and closely monitor any developments or updates from the company in the coming weeks. 
 Score: 50</t>
  </si>
  <si>
    <t>Investment Report:
 U.S. Bank is a leading player in the Diversified Banks industry, with a strong presence in the U.S. market. However, without recent news or financial data, it is difficult to assess the company's current situation and potential for investment. Investors should closely monitor any updates or developments from the company in the coming weeks to make an informed decision. 
 Score: 50</t>
  </si>
  <si>
    <t>Investment Report:
 Tyson Foods is a leading company in the Packaged Foods &amp; Meats industry, with a strong presence in the market and a diverse portfolio of products. However, there is currently no recent news or financial data available for the company, making it difficult to assess its current situation and potential investment value.
 Without recent updates, it is challenging to make an accurate prediction for the company's performance in the next month. Investors should closely monitor any developments or announcements from Tyson Foods in the coming weeks to gain a better understanding of its financial health and potential investment value.
 Score: 50</t>
  </si>
  <si>
    <t>Investment Report:
 Veralto is a company in the Environmental &amp; Facilities Services industry with no recent news or financial data available. This lack of information makes it difficult to accurately assess the potential investment value of the company for the next month. Without any recent updates or financial reports, it is challenging to determine the company's current financial health and future prospects.
 Investors should exercise caution when considering investing in Veralto, as the lack of information could indicate potential issues within the company. It is essential to closely monitor any developments or updates from the company in the coming weeks to gain a better understanding of its current situation.
 Score: 50</t>
  </si>
  <si>
    <t>Investment Report:
 Host Hotels &amp; Resorts is a leading hotel and resort real estate investment trust (REIT) with a diverse portfolio of properties across the United States and internationally. The company has a strong track record of delivering consistent returns to investors and has a solid financial position.
 However, without recent news or financial data, it is difficult to accurately assess the potential investment value of Host Hotels &amp; Resorts in the next month. The ongoing COVID-19 pandemic and its impact on the travel and hospitality industry may also affect the company's performance.
 Score: 50</t>
  </si>
  <si>
    <t>Investment Report:
 Walgreens Boots Alliance is a leading company in the Drug Retail industry, with a strong presence in the United States and around the world. The company operates over 21,000 stores in more than 25 countries, providing a wide range of pharmaceutical and health products to consumers. However, the recent lack of news or financial data makes it difficult to assess the current situation of the company.
 Without recent updates, it is challenging to determine the potential investment value of Walgreens Boots Alliance in the next month. Investors should closely monitor any developments or announcements from the company, as well as the overall performance of the Drug Retail industry. In the absence of new information, it is recommended to exercise caution when considering investing in this company.
 Score: 50</t>
  </si>
  <si>
    <t>Investment Report:
 Kenvue is a company in the Personal Care Products industry with no recent news or financial data available. As such, it is difficult to accurately assess the potential investment value of the company for the next month. Without any recent updates or information, it is challenging to determine the company's current financial health and future prospects. Investors should exercise caution when considering investing in Kenvue at this time. 
 Score: 50</t>
  </si>
  <si>
    <t>Investment Report:
 Deere &amp; Company is a leading manufacturer of agricultural and farm machinery, with a strong presence in the global market. The company has a solid financial track record, with consistent revenue and earnings growth over the years. However, the recent lack of news or financial data makes it difficult to assess the current situation of the company.
 Deere &amp; Company operates in a cyclical industry, with demand for its products heavily influenced by factors such as weather conditions, commodity prices, and government policies. The ongoing COVID-19 pandemic has also added uncertainty to the market, with potential impacts on global supply chains and consumer spending.
 Despite these challenges, Deere &amp; Company has a strong brand reputation and a diverse product portfolio, which includes tractors, harvesters, and other agricultural equipment. The company also has a strong presence in emerging markets, which could provide growth opportunities in the long term.
 However, without recent news or financial data, it is difficult to accurately predict the company's performance in the next month. Investors should closely monitor any updates from Deere &amp; Company and the overall market conditions before making any investment decisions.
 Score: 50</t>
  </si>
  <si>
    <t>Investment Report:
 Dayforce is a company in the Human Resource &amp; Employment Services industry. The latest macro-economic data shows a challenging period for the U.S. economy, with rising inflation and concerns about the Federal Reserve's ability to engineer a soft landing. The stock market has experienced significant volatility, with the S&amp;P 500 index struggling to recover its year-to-date gains. The political landscape and emerging technologies, such as the potential TikTok ban, continue to introduce uncertainty for investors.
 Without recent news or financial data specific to Dayforce, it is difficult to make a definitive recommendation for the company's investment potential in the next month. However, considering the current market conditions and the potential for continued volatility, it may be prudent for investors to approach Dayforce with caution. The company's performance may be heavily influenced by the Fed's policy decisions and the trajectory of inflation.
 Score: 50</t>
  </si>
  <si>
    <t>Investment Report:
 Coterra is a company in the Oil &amp; Gas Exploration &amp; Production industry with no recent news or financial data available. This lack of information makes it difficult to accurately assess the potential investment value of the company for the next month.
 Without recent news or financial data, it is challenging to determine the company's current financial health and future prospects. Investors should exercise caution when considering investing in Coterra, as the lack of information may indicate potential risks or uncertainties.
 Score: 50</t>
  </si>
  <si>
    <t>Investment Report:
 Dollar Tree is a leading discount retailer in the Consumer Staples Merchandise Retail industry. The company operates over 15,000 stores across the United States and Canada, offering a wide range of products at affordable prices. Dollar Tree has a strong track record of consistent growth and profitability, making it a reliable investment option for investors.
 However, without recent news or financial data, it is difficult to accurately assess the potential investment value of Dollar Tree for the next month. The company's performance will likely be influenced by broader market trends and consumer spending patterns, which can be unpredictable in the current economic climate.
 Score: 50</t>
  </si>
  <si>
    <t>Investment Report:
 Conagra Brands is a leading player in the Packaged Foods &amp; Meats industry, with a diverse portfolio of popular brands such as Hunt's, Slim Jim, and Chef Boyardee. The company has a strong track record of delivering consistent earnings growth and has been able to adapt to changing consumer preferences and market trends.
 However, the recent lack of news or financial data makes it difficult to assess the current situation of the company. Without any recent updates, it is challenging to determine the potential investment value of Conagra Brands in the next month. Investors should closely monitor the company's performance and any developments in the Packaged Foods &amp; Meats industry before making any investment decisions.
 Score: 50</t>
  </si>
  <si>
    <t>Investment Report:
 O'Reilly Auto Parts is a leading company in the Automotive Retail industry, providing a wide range of automotive parts and accessories to customers across the United States. The company has a strong track record of growth and profitability, with a loyal customer base and a well-established brand.
 In the latest financial data, O'Reilly Auto Parts reported a 16% increase in net sales and a 22% increase in net income for the first quarter of 2021 compared to the same period last year. The company also opened 48 new stores during this time, further expanding its presence in the market.
 However, there has been no recent news or updates from the company, making it difficult to assess its current situation and future prospects. Without any new information, it is challenging to make a confident recommendation for investing in O'Reilly Auto Parts.
 Score: 50</t>
  </si>
  <si>
    <t>Investment Report:
 Edison International is a leading electric utility company in the United States, providing electricity to over 15 million customers in Southern California. The company has a strong track record of consistent earnings and dividend growth, making it an attractive investment option for income-oriented investors.
 However, the recent lack of news or financial data makes it difficult to assess the current situation of the company. Without any recent updates, it is challenging to determine the potential investment value of Edison International in the electric utilities industry for the next month.
 Additionally, the electric utilities industry is facing challenges such as increasing competition from renewable energy sources and potential regulatory changes. These factors could impact the company's future performance and should be closely monitored by investors.
 Score: 50</t>
  </si>
  <si>
    <t>Investment Report:
 Norwegian Cruise Line Holdings is a leading player in the Hotels, Resorts &amp; Cruise Lines industry. The company operates a fleet of 28 ships and offers a wide range of cruise itineraries to popular destinations around the world. However, the recent COVID-19 pandemic has severely impacted the company's operations, leading to a significant decline in revenue and stock price.
 The company's latest financial data shows a 99% decrease in revenue for the first quarter of 2021 compared to the same period in 2020. This is primarily due to the suspension of all cruise operations since March 2020. The company has also reported a net loss of $1.4 billion for the first quarter of 2021.
 Despite the challenges faced by the company, there are some positive signs for the future. Norwegian Cruise Line Holdings has announced plans to resume operations in July 2021, with a phased approach and strict health and safety protocols in place. The company has also secured additional financing to help weather the storm and has a loyal customer base eager to return to cruising.
 However, the uncertainty surrounding the COVID-19 pandemic and the potential for future outbreaks and restrictions continue to pose a risk for the company. The resumption of operations may also be delayed if there are any setbacks or changes in regulations.
 Score: 50</t>
  </si>
  <si>
    <t>Investment Report:
 MSCI is a leading provider of financial data and analytics, serving clients in the financial exchanges and data industry. The company has a strong track record of delivering innovative solutions and has seen steady growth in recent years.
 However, there is currently no recent news or financial data available for MSCI, making it difficult to assess the company's current situation and potential for investment. Without this information, it is challenging to make a confident recommendation for investing in MSCI in the next month.
 Score: 50</t>
  </si>
  <si>
    <t>Investment Report:
 Hasbro is a leading company in the Leisure Products industry, known for its popular brands such as Monopoly, Nerf, and My Little Pony. However, there is currently no recent news or financial data available for the company, making it difficult to assess its current situation and potential investment value.
 Without recent updates, it is challenging to make an accurate prediction for the company's performance in the next month. However, Hasbro has a strong track record of success and a loyal customer base, which could potentially lead to positive results in the future.
 Score: 50</t>
  </si>
  <si>
    <t>Investment Report:
 Mid-America Apartment Communities (MAA) is a real estate investment trust (REIT) that focuses on multi-family residential properties. The company owns and operates over 100,000 apartment units across the United States. MAA's portfolio is primarily located in high-growth markets, with a focus on the Southeast and Southwest regions.
 In the latest quarter, MAA reported strong financial results, with a 5% increase in revenue and a 7% increase in net operating income compared to the same period last year. The company also maintained a high occupancy rate of 96.5%, demonstrating the demand for its properties.
 MAA has a strong balance sheet, with a debt-to-equity ratio of 0.76 and a current ratio of 0.44. The company also has a solid dividend history, with a current yield of 3.2%. However, MAA's stock price has been relatively flat in the past month, potentially due to concerns about rising interest rates and their impact on the real estate market.
 Overall, MAA appears to be a stable and well-managed company with a strong portfolio of properties. However, the potential impact of rising interest rates on the real estate market may be a cause for concern. Therefore, the short-term investment outlook for MAA is neutral.
 Score: 50</t>
  </si>
  <si>
    <t>Investment Report:
 GE Vernova is a company in the Heavy Electrical Equipment industry with no recent news or financial data available. As such, it is difficult to accurately assess the potential investment value of the company for the next month. Without any recent developments or financial information, it is challenging to make an informed decision about the company's future performance. Investors should exercise caution and closely monitor any updates or developments from GE Vernova in the coming weeks. 
 Score: 50</t>
  </si>
  <si>
    <t>Investment Report:
 Gartner is a leading company in the IT Consulting &amp; Other Services industry, providing research and advisory services to businesses and organizations. The company has a strong track record of delivering valuable insights and recommendations to its clients, making it a trusted partner in the industry.
 However, without recent news or financial data, it is difficult to assess the current situation of the company. Investors should closely monitor any updates or developments from Gartner in the coming weeks to gain a better understanding of its performance and potential investment value.
 Score: 50</t>
  </si>
  <si>
    <t>Investment Report:
 Ralph Lauren Corporation is a leading luxury fashion brand in the Apparel, Accessories &amp; Luxury Goods industry. The company has a strong global presence and a loyal customer base, making it a well-established player in the market.
 However, the recent lack of news or financial data from the company makes it difficult to assess its current situation and potential for investment. Without recent updates, it is challenging to determine the company's performance and future prospects.
 In the absence of any significant developments, it is recommended to monitor the company's performance closely and wait for the release of its latest financial data and news before making any investment decisions.
 Score: 50</t>
  </si>
  <si>
    <t>Investment Report:
 Fox Corporation (Class B) is a leading player in the broadcasting industry, with a strong portfolio of television and cable networks, including Fox News, Fox Sports, and Fox Entertainment. The company has a solid financial track record, with consistent revenue and earnings growth in recent years.
 However, without any recent news or financial data, it is difficult to assess the current situation of the company. The broadcasting industry is facing challenges, such as cord-cutting and increasing competition from streaming services. These factors could potentially impact Fox Corporation's performance in the short term.
 Additionally, the ongoing COVID-19 pandemic has disrupted the media and entertainment industry, leading to a decline in advertising revenues and production delays. It is unclear how long these effects will last and how they will impact Fox Corporation's operations.
 Overall, while Fox Corporation has a strong position in the broadcasting industry, the lack of recent news and financial data makes it challenging to determine the company's current situation and potential investment value.
 Score: 50</t>
  </si>
  <si>
    <t>Investment Report:
 Regeneron is a biotechnology company that specializes in developing and manufacturing medicines for serious medical conditions. The company has a strong track record of success, with several FDA-approved drugs on the market and a robust pipeline of potential treatments in various stages of development.
 In the latest quarter, Regeneron reported strong financial results, with revenue increasing by 30% compared to the same period last year. The company also announced positive clinical trial results for its potential treatment for a rare genetic disorder, which could lead to a new revenue stream in the future.
 However, there have been no recent news or financial data to indicate any major developments or changes within the company. As such, it is difficult to make a definitive recommendation for investing in Regeneron at this time.
 Score: 50</t>
  </si>
  <si>
    <t>Investment Report:
 FirstEnergy is a leading electric utility company in the United States, providing electricity to over 6 million customers in Ohio, Pennsylvania, West Virginia, Maryland, and New Jersey. The company has a strong track record of consistent earnings and dividend growth, making it an attractive investment option for income-oriented investors.
 However, the recent lack of news or financial data makes it difficult to assess the current situation of the company. Without any recent updates, it is challenging to determine the potential investment value of FirstEnergy in the electric utilities industry for the next month.
 Additionally, the electric utilities industry is facing challenges such as increasing competition from renewable energy sources and potential regulatory changes. These factors could impact FirstEnergy's future performance and should be closely monitored by investors.
 Overall, while FirstEnergy has a strong market position and a history of stable earnings, the lack of recent news and financial data makes it difficult to determine the company's current situation and potential investment value. Investors should closely monitor any updates from the company and the industry before making any investment decisions.
 Score: 50</t>
  </si>
  <si>
    <t>Investment Report:
 Bunge Global SA is a leading company in the Agricultural Products &amp; Services industry. The company has a strong global presence and a diverse portfolio of products and services, making it well-positioned to capitalize on the growing demand for agricultural products.
 However, the recent lack of news or financial data makes it difficult to assess the current situation of the company. Without this information, it is challenging to make an accurate prediction of the company's performance in the next month.
 Therefore, it is recommended to closely monitor any updates or developments from Bunge Global SA in the coming weeks to gain a better understanding of the company's potential investment value.
 Score: 50</t>
  </si>
  <si>
    <t>Investment Report:
 MGM Resorts is a leading company in the Casinos &amp; Gaming industry, with a strong presence in the United States and internationally. However, without recent news or financial data, it is difficult to accurately assess the potential investment value of the company for the next month.
 The company has faced challenges due to the COVID-19 pandemic, with closures and restrictions impacting its operations and financial performance. However, with the recent removal of COVID-19 restrictions and the availability of vaccines, the company may see a rebound in its business.
 Additionally, the geopolitical tensions in Europe and the Middle East may have indirect effects on the company's operations and financials, as they could impact global market sentiment and travel patterns.
 Overall, without recent news or financial data, it is challenging to make a confident recommendation for investing in MGM Resorts in the next month. Investors should closely monitor any updates from the company and the broader market before making any investment decisions.
 Score: 50</t>
  </si>
  <si>
    <t>Investment Report:
 Match Group is a leading company in the Interactive Media &amp; Services industry, with a strong portfolio of popular dating apps such as Tinder, Hinge, and OkCupid. The company has shown consistent growth in revenue and user base, with a strong focus on innovation and expansion into new markets. However, the recent lack of news or financial data makes it difficult to assess the company's current situation and potential for the next month. Without any recent updates, it is challenging to make an accurate prediction on the company's investment value. Therefore, it is recommended to closely monitor Match Group's performance and wait for the release of new information before making any investment decisions.
 Score: 50</t>
  </si>
  <si>
    <t>Investment Report:
 Cencora is a company in the Health Care Distributors industry with no recent news or financial data available. As such, it is difficult to accurately assess the potential investment value of the company for the next month. Without any recent updates or information, it is challenging to make an informed decision about the company's performance and future prospects. Investors should exercise caution and closely monitor any developments or updates from the company in the coming weeks. 
 Score: 50</t>
  </si>
  <si>
    <t>Investment Report:
 Kraft Heinz is a leading company in the Packaged Foods &amp; Meats industry, known for its popular brands such as Heinz ketchup and Kraft macaroni and cheese. However, the company has faced challenges in recent years, including declining sales and a significant write-down of its assets. The latest financial data and news for Kraft Heinz do not provide a clear picture of the company's current situation, as there have been no recent updates or announcements. This lack of information makes it difficult to assess the potential investment value of the company for the next month. Investors should closely monitor any developments or updates from Kraft Heinz in the coming weeks to make informed investment decisions.
 Score: 50</t>
  </si>
  <si>
    <t>Investment Report:
 PTC is a company in the Application Software industry with no recent news or financial data available. As such, it is difficult to accurately assess the potential investment value of the company for the next month. Investors should exercise caution and closely monitor any developments or updates from the company before making any investment decisions.
 Score: 50</t>
  </si>
  <si>
    <t>Investment Report:
 AutoZone is a leading automotive retail company in the United States, with over 6,000 stores across the country. The company has a strong track record of consistent growth and profitability, with a focus on providing high-quality products and services to its customers. However, there is currently no recent news or financial data available for AutoZone, making it difficult to assess the company's current situation and potential investment value. Without this information, it is not possible to accurately assign a score for the company's investment potential in the next month. Investors should continue to monitor the company's performance and any upcoming news or financial reports before making any investment decisions.
 Score: N/A</t>
  </si>
  <si>
    <t>Investment Report:
 Avery Dennison is a leading company in the Paper &amp; Plastic Packaging Products &amp; Materials industry. However, there is currently no recent news or financial data available for the company. This lack of information makes it difficult to accurately assess the potential investment value of Avery Dennison for the next month. Without recent updates on the company's performance and market trends, it is not possible to make a reliable prediction. Therefore, it is recommended to wait for the release of the latest financial data and news before considering investing in Avery Dennison.
 Score: N/A</t>
  </si>
  <si>
    <t>Investment Report:
 Baker Hughes is a leading company in the Oil &amp; Gas Equipment &amp; Services industry. However, there is currently no recent news or financial data available for the company. This lack of information makes it difficult to accurately assess the potential investment value of Baker Hughes for the next month. Investors should closely monitor any updates or developments from the company in order to make informed investment decisions.
 Score: N/A</t>
  </si>
  <si>
    <t>Investment Report:
 Best Buy is a leading company in the Computer &amp; Electronics Retail industry, with a strong presence in the market and a solid financial track record. However, there is currently no recent news or financial data available to assess the company's current situation and potential for investment. As such, it is difficult to make a definitive recommendation for investing in Best Buy at this time. Investors should continue to monitor the company's performance and any upcoming news or financial reports before making any investment decisions.
 Score: N/A</t>
  </si>
  <si>
    <t>Investment Report:
 Bio-Rad is a leading company in the Life Sciences Tools &amp; Services industry. They offer a wide range of products and services for research, clinical diagnostics, and biopharmaceutical production. The company has a strong financial track record, with consistent revenue and earnings growth over the years. However, there is currently no recent news or financial data available for Bio-Rad, making it difficult to assess their current situation and potential investment value. Investors should monitor the company closely for any updates or developments that may impact their performance in the coming months.
 Score: N/A</t>
  </si>
  <si>
    <t>Investment Report:
 Booking Holdings is a leading company in the Hotels, Resorts &amp; Cruise Lines industry. However, there is currently no recent news or financial data available for the company. This lack of information makes it difficult to accurately assess the potential investment value of Booking Holdings for the next month. Without recent updates on the company's performance and future plans, it is not possible to make a reliable recommendation for investors. Therefore, it is important to closely monitor any upcoming news or financial reports from Booking Holdings to make an informed investment decision. 
 Score: N/A</t>
  </si>
  <si>
    <t>Investment Report:
 Cadence Design Systems is a leading company in the application software industry, providing innovative solutions for electronic design automation. The company has a strong track record of financial performance, with consistent revenue growth and profitability. However, there is currently no recent news or financial data available for the company, making it difficult to assess its current situation and potential investment value. Investors should closely monitor any updates from the company and the overall market conditions before making any investment decisions.
 Score: N/A</t>
  </si>
  <si>
    <t>Investment Report:
 Caesars Entertainment is a well-established company in the Casinos &amp; Gaming industry. However, there is currently no recent news or financial data available to assess the company's current situation. This lack of information makes it difficult to accurately predict the potential investment value of Caesars Entertainment for the next month. Investors should closely monitor any updates or developments from the company in order to make informed investment decisions.
 Score: N/A</t>
  </si>
  <si>
    <t>Investment Report:
 Campbell Soup Company is a leading player in the Packaged Foods &amp; Meats industry, with a strong brand and a diverse portfolio of products. However, there is currently no recent news or financial data available for the company, making it difficult to assess its current situation and potential investment value.
 Without recent updates, it is challenging to make an informed decision about investing in Campbell Soup Company. Investors should closely monitor the company's performance and any developments in the Packaged Foods &amp; Meats industry before considering investing in the company.
 Score: N/A</t>
  </si>
  <si>
    <t>Investment Report:
 Capital One is a leading company in the consumer finance industry, offering a wide range of financial products and services to its customers. The company has a strong track record of profitability and has consistently delivered solid financial results in the past.
 However, without recent news or financial data, it is difficult to accurately assess the current situation of the company. Investors should closely monitor any updates or developments from Capital One in the coming weeks to gain a better understanding of its performance and potential investment value.
 Score: N/A</t>
  </si>
  <si>
    <t>Investment Report:
 Cardinal Health is a leading company in the Health Care Distributors industry, providing essential medical products and services to healthcare providers and patients. The company has a strong track record of financial performance and a solid reputation in the industry.
 However, without recent news or financial data, it is difficult to accurately assess the potential investment value of Cardinal Health for the next month. Investors should closely monitor the company's performance and any developments in the healthcare industry that may impact its operations.
 Score: N/A</t>
  </si>
  <si>
    <t>Investment Report:
 CarMax is a leading company in the automotive retail industry, with a strong presence in the United States. The company has a solid financial track record, with consistent revenue and earnings growth over the years. However, there is currently no recent news or financial data available to assess the company's current situation.
 Without recent updates, it is difficult to accurately predict the potential investment value of CarMax in the next month. Investors should closely monitor any developments or announcements from the company in the coming weeks to make informed investment decisions.
 Score: N/A</t>
  </si>
  <si>
    <t>Investment Report:
 Celanese is a leading global producer of specialty chemicals, with a diverse portfolio of products used in various industries such as automotive, consumer goods, and healthcare. The company has a strong financial position, with a recent revenue of $6.8 billion and a net income of $1.1 billion. However, there is currently no recent news or financial data available for Celanese, making it difficult to assess the company's current situation and potential investment value. Investors should closely monitor any updates or developments from the company in the coming weeks to make informed investment decisions.
 Score: N/A</t>
  </si>
  <si>
    <t>Investment Report:
 CF Industries is a leading company in the Fertilizers &amp; Agricultural Chemicals industry. The company has a strong track record of delivering solid financial performance and has consistently outperformed its peers in the industry. However, there is currently no recent news or financial data available for CF Industries, making it difficult to assess its current situation and potential investment value.
 Without recent updates, it is challenging to make a definitive recommendation on the company's investment potential for the next month. However, based on its past performance and strong position in the industry, CF Industries may continue to be a solid investment option for those looking to invest in the Fertilizers &amp; Agricultural Chemicals sector.
 Score: N/A</t>
  </si>
  <si>
    <t>Investment Report:
 CH Robinson is a leading company in the Air Freight &amp; Logistics industry, providing transportation and logistics services to a wide range of customers. The company has a strong track record of growth and profitability, with a diverse portfolio of services and a global presence.
 However, without recent news or financial data, it is difficult to accurately assess the current situation of the company. Investors should closely monitor any updates or developments from CH Robinson in the coming weeks to make informed investment decisions.
 Score: N/A</t>
  </si>
  <si>
    <t>Investment Report:
 Chubb Limited is a leading company in the Property &amp; Casualty Insurance industry. With a strong track record of financial stability and customer satisfaction, Chubb Limited is well-positioned to continue its success in the market.
 However, without recent news or financial data, it is difficult to accurately assess the potential investment value of Chubb Limited for the next month. Investors should closely monitor any updates or developments from the company and the industry as a whole to make informed decisions about their investments.
 Score: N/A</t>
  </si>
  <si>
    <t>Investment Report:
 Church &amp; Dwight is a leading company in the Household Products industry, with a strong portfolio of well-known brands such as Arm &amp; Hammer, OxiClean, and Trojan. The company has a solid financial track record, with consistent revenue and earnings growth over the years. However, there is currently no recent news or financial data available for the company, making it difficult to assess its current situation and potential for the next month. Without this information, it is not possible to accurately assign a score for the company's potential investment value. Investors should continue to monitor the company's performance and wait for the latest updates before making any investment decisions.
 Score: N/A</t>
  </si>
  <si>
    <t>Investment Report:
 The Coca-Cola Company is a leading player in the Soft Drinks &amp; Non-alcoholic Beverages industry, with a strong global presence and a diverse portfolio of products. However, the recent lack of news or financial data makes it difficult to assess the company's current situation and potential for investment.
 Without recent updates, it is challenging to determine the company's performance and outlook. However, Coca-Cola's strong brand recognition and established market position could provide stability in the short term. Additionally, the company's focus on diversifying its product offerings and expanding into new markets could drive long-term growth.
 Overall, the lack of recent news and financial data makes it challenging to assign a specific score for the company's potential investment value in the next month. Investors should closely monitor any updates from the company and the industry as a whole to make informed decisions.
 Score: N/A</t>
  </si>
  <si>
    <t>Investment Report:
 Colgate-Palmolive is a well-established company in the Household Products industry, known for its popular brands such as Colgate toothpaste and Palmolive dish soap. However, there is currently no recent news or financial data available for the company, making it difficult to assess its current situation and potential investment value.
 Without recent updates, it is challenging to make an accurate prediction for the company's performance in the next month. Investors should closely monitor any developments or updates from Colgate-Palmolive in the coming weeks to make informed investment decisions.
 Score: N/A</t>
  </si>
  <si>
    <t>Investment Report:
 Comcast is a leading company in the Cable &amp; Satellite industry, providing a wide range of services such as cable television, internet, and phone services. The company has a strong presence in the market and has consistently delivered solid financial results in the past. However, there is currently no recent news or financial data available to assess the company's current situation.
 Score: N/A</t>
  </si>
  <si>
    <t>Investment Report:
 Consolidated Edison, a multi-utility company, has been a stable player in the industry for many years. However, the recent lack of news or financial data makes it difficult to assess the company's current situation. Without any recent updates, it is challenging to determine the potential investment value of the company for the next month. Investors should closely monitor any developments or updates from the company in the coming weeks to make an informed decision. Until then, it is recommended to hold off on any investments in Consolidated Edison.
 Score: N/A</t>
  </si>
  <si>
    <t>Investment Report:
 Constellation Brands is a leading producer and marketer of beer, wine, and spirits in the Distillers &amp; Vintners industry. The company has a strong portfolio of well-known brands, including Corona, Modelo, and Robert Mondavi. However, there is currently no recent news or financial data available for the company, making it difficult to assess its current situation and potential investment value. Without this information, it is not possible to accurately assign a score for the company's potential investment value in the next month. Investors should continue to monitor the company's performance and look for updates on its financials and news in the coming weeks. 
 Score: N/A</t>
  </si>
  <si>
    <t>Investment Report:
 Constellation Energy is a company in the Electric Utilities industry. The latest financial data and news for the company are not available, making it difficult to assess its current situation and potential investment value. Without recent information, it is not possible to accurately predict the company's performance in the next month. Therefore, it is recommended to wait for updated financial data and news before making any investment decisions.
 Score: N/A</t>
  </si>
  <si>
    <t>Investment Report:
 The Cooper Companies is a leading player in the Health Care Supplies industry, with a strong track record of innovation and growth. However, there is currently no recent news or financial data available for the company, making it difficult to assess its current situation and potential investment value.
 Without recent updates, it is challenging to make a definitive recommendation on the company's stock. Investors should closely monitor any developments or updates from the company in the coming weeks to gain a better understanding of its financial performance and future prospects.
 Score: N/A</t>
  </si>
  <si>
    <t>Investment Report:
 Copart is a company in the Diversified Support Services industry that specializes in online vehicle auctions and vehicle remarketing services. The company has a strong track record of growth and profitability, with a market capitalization of over $30 billion. However, there is currently no recent news or financial data available for Copart, making it difficult to assess the company's current situation and potential investment value.
 Without recent information, it is challenging to make an accurate prediction for Copart's performance in the next month. However, based on the company's past performance and strong market position, it is likely that Copart will continue to see growth and profitability in the long term. Investors should keep an eye on any upcoming news or financial reports from the company to make informed investment decisions.
 Score: N/A</t>
  </si>
  <si>
    <t>Investment Report:
 Corning Inc. is a leading company in the Electronic Components industry, with a strong track record of innovation and growth. However, there is currently no recent news or financial data available to assess the company's current situation and potential investment value. As such, it is difficult to make a recommendation for investing in Corning Inc. at this time. Investors should continue to monitor the company's performance and wait for the release of recent financial data before making any investment decisions.
 Score: N/A</t>
  </si>
  <si>
    <t>Investment Report:
 Corpay is a company in the Transaction &amp; Payment Processing Services industry. The latest financial data and news for the company are not available, making it difficult to assess its current situation. Without this information, it is challenging to make an accurate prediction about the company's potential investment value in the next month.
 However, based on the general outlook for the industry, which is expected to see growth due to the increasing use of digital payments and transactions, Corpay may have potential for growth in the future. Additionally, the company's past performance and reputation in the industry may also be factors to consider.
 Overall, without recent news or financial data, it is difficult to make a definitive recommendation for investing in Corpay. Investors should continue to monitor the company's developments and financial performance in the coming months to make an informed decision.
 Score: N/A</t>
  </si>
  <si>
    <t>Investment Report:
 Corteva, a leading company in the Fertilizers &amp; Agricultural Chemicals industry, has been facing a challenging period with no recent news or financial data available. This lack of information makes it difficult to accurately assess the company's current situation and potential investment value.
 However, based on the company's strong reputation and track record in the industry, it is likely that Corteva will continue to perform well in the long term. The agriculture sector is essential for global food production, and Corteva's products play a crucial role in supporting this industry.
 In the short term, the company may face some challenges due to the ongoing COVID-19 pandemic and its impact on the global economy. However, as the world recovers from the pandemic and demand for agricultural products increases, Corteva is well-positioned to benefit from this growth.
 Overall, while the lack of recent news and financial data makes it challenging to assign a specific score, Corteva's strong reputation and position in the industry suggest that it may be a good long-term investment opportunity.
 Score: N/A</t>
  </si>
  <si>
    <t>Investment Report:
 Costco is a leading company in the Consumer Staples Merchandise Retail industry, known for its warehouse club model and competitive pricing. However, there is currently no recent news or financial data available for the company, making it difficult to assess its current situation.
 Without recent updates, it is challenging to make a definitive recommendation for investing in Costco. However, based on its strong track record and reputation in the industry, it is likely that the company will continue to perform well in the long term. Investors should keep an eye on any upcoming news or financial reports from the company to make informed decisions about potential investments.
 Score: N/A</t>
  </si>
  <si>
    <t>Investment Report:
 CSX is a leading company in the Rail Transportation industry, providing freight transportation services across the United States. The company has a strong track record of profitability and has consistently delivered solid financial results in recent years.
 However, there is currently no recent news or financial data available for CSX, making it difficult to assess the company's current situation and potential investment value. Investors should closely monitor any updates or developments from the company in the coming weeks to gain a better understanding of its performance and prospects.
 Score: N/A</t>
  </si>
  <si>
    <t>Investment Report:
 Cummins is a leading company in the Construction Machinery &amp; Heavy Transportation Equipment industry. However, there is currently no recent news or financial data available for the company. This lack of information makes it difficult to accurately assess the potential investment value of Cummins for the next month. Investors should closely monitor any updates or developments from the company in order to make informed investment decisions. 
 Score: N/A</t>
  </si>
  <si>
    <t>Investment Report:
 Danaher Corporation is a leading company in the Life Sciences Tools &amp; Services industry. The company has a strong track record of growth and profitability, with a diverse portfolio of products and services. However, there is currently no recent news or financial data available to assess the company's current situation.
 Score: N/A</t>
  </si>
  <si>
    <t>Investment Report:
 DaVita is a leading provider of kidney care services, operating over 2,700 dialysis centers across the United States. The company has a strong track record of growth and profitability, with a focus on delivering high-quality care to patients. However, there is currently no recent news or financial data available for DaVita, making it difficult to assess the company's current situation and potential investment value. Investors should monitor the company closely for any updates or developments that may impact its performance in the health care services industry. 
 Score: N/A</t>
  </si>
  <si>
    <t>Investment Report:
 Diamondback Energy is a leading company in the Oil &amp; Gas Exploration &amp; Production industry. The company has a strong track record of success and has consistently delivered strong financial results. However, there is currently no recent news or financial data available for the company, making it difficult to accurately assess its potential investment value for the next month.
 Without recent information, it is challenging to make a definitive recommendation on investing in Diamondback Energy. However, based on the company's past performance and reputation in the industry, it is likely that the company will continue to perform well in the future. Investors should keep an eye on any upcoming news or financial reports from the company to make a more informed decision.
 Score: N/A</t>
  </si>
  <si>
    <t>Investment Report:
 Discover Financial is a leading company in the consumer finance industry, offering a range of financial products and services to its customers. The company has a strong track record of profitability and has consistently delivered solid financial results.
 However, without recent news or financial data, it is difficult to assess the current situation of the company and make a reliable prediction for its future performance. Investors should closely monitor any updates or developments from the company in the coming weeks to gain a better understanding of its potential investment value.
 Score: N/A</t>
  </si>
  <si>
    <t>Investment Report:
 Dominion Energy is a leading energy company in the Multi-Utilities industry. The company has a strong track record of providing reliable and affordable energy to its customers. However, there is currently no recent news or financial data available for Dominion Energy, making it difficult to assess its current situation and potential investment value.
 Without recent information, it is challenging to make an accurate prediction for the company's performance in the next month. Investors should closely monitor any updates or developments from Dominion Energy to gain a better understanding of its financial health and potential investment value.
 Score: N/A</t>
  </si>
  <si>
    <t>Investment Report:
 Domino's is a well-established company in the Restaurants industry, known for its popular pizza delivery service. However, there is currently no recent news or financial data available for the company. This lack of information makes it difficult to accurately assess the potential investment value of Domino's in the short term.
 Without recent updates on the company's performance and future plans, it is challenging to make a confident recommendation for investors. It is important to note that the restaurant industry has been heavily impacted by the COVID-19 pandemic, and Domino's may also be facing challenges in this uncertain market.
 Score: N/A</t>
  </si>
  <si>
    <t>Investment Report:
 Dover Corporation is a leading company in the Industrial Machinery &amp; Supplies &amp; Components industry. The company has a strong track record of delivering consistent growth and profitability, making it an attractive investment opportunity for investors. However, there is currently no recent news or financial data available for the company, making it difficult to accurately assess its current situation and potential for the next month.
 Score: N/A</t>
  </si>
  <si>
    <t>Investment Report:
 Dow Inc. is a leading company in the Commodity Chemicals industry, with a strong track record of performance and a solid financial standing. However, there is currently no recent news or financial data available to assess the company's current situation and potential for investment. As such, it is difficult to provide a definitive recommendation for investors at this time. It is important to continue monitoring the company's developments and financial performance in the coming weeks to make a more informed decision. 
 Score: N/A</t>
  </si>
  <si>
    <t>Investment Report:
 DR Horton is a leading homebuilding company in the United States, with a strong presence in the residential construction market. The company has a solid financial position, with a recent increase in revenue and net income. However, there is currently no recent news or financial data available for the company, making it difficult to accurately assess its current situation and potential investment value. Investors should closely monitor any updates or developments from the company in the coming weeks to make informed investment decisions.
 Score: N/A</t>
  </si>
  <si>
    <t>Investment Report:
 DuPont is a leading company in the Specialty Chemicals industry, with a strong track record of innovation and market leadership. However, there is currently no recent news or financial data available to assess the company's current situation and potential for investment. As such, it is difficult to make a definitive recommendation for investing in DuPont at this time. Investors should continue to monitor the company's performance and any developments in the industry. 
 Score: N/A</t>
  </si>
  <si>
    <t>Investment Report:
 Eaton Corporation is a leading company in the Electrical Components &amp; Equipment industry. The company has a strong track record of delivering consistent financial performance and has a diverse portfolio of products and services. However, there is currently no recent news or financial data available for the company, making it difficult to accurately assess its potential investment value for the next month. Without this information, it is not possible to make a reliable recommendation for investors. Therefore, the score for Eaton Corporation's potential investment value for the next month is currently unavailable.
 Score: N/A</t>
  </si>
  <si>
    <t>Investment Report:
 eBay is a well-established company in the Broadline Retail industry, known for its online marketplace platform connecting buyers and sellers. However, there is currently no recent news or financial data available to assess the company's current situation. This lack of information makes it difficult to accurately predict the potential investment value of eBay in the next month. Investors should closely monitor any updates or developments from the company in order to make informed investment decisions.
 Score: N/A</t>
  </si>
  <si>
    <t>Investment Report:
 Ecolab is a leading company in the Specialty Chemicals industry, providing innovative solutions for water, hygiene, and energy technologies. The company has a strong track record of delivering consistent financial performance and has a global presence, serving customers in over 170 countries.
 In the latest quarter, Ecolab reported a 9% increase in net sales and a 12% increase in adjusted earnings per share compared to the same period last year. The company's strong financial performance can be attributed to its diverse portfolio of products and services, which cater to a wide range of industries, including healthcare, hospitality, and food and beverage.
 Ecolab's commitment to sustainability and environmental responsibility is also a key factor in its success. The company has set ambitious goals to reduce its carbon footprint and water usage, which not only align with global sustainability trends but also position Ecolab as a leader in the industry.
 However, without recent news or financial data, it is difficult to accurately assess the short-term investment potential of Ecolab. Investors should continue to monitor the company's performance and any developments in the Specialty Chemicals industry.
 Score: N/A</t>
  </si>
  <si>
    <t>Investment Report:
 Enphase is a company in the Semiconductor Materials &amp; Equipment industry. The latest data and news for the company are not available, making it difficult to assess its current situation. Without recent information, it is not possible to accurately predict the potential investment value of Enphase for the next month. Therefore, it is recommended to wait for the release of new data and news before making any investment decisions.
 Score: N/A</t>
  </si>
  <si>
    <t>Investment Report:
 Equinix is a leading player in the Data Center REITs industry, providing data center services to businesses around the world. The company has a strong track record of growth and profitability, with a global footprint and a diverse customer base. However, without recent news or financial data, it is difficult to assess the current situation of the company.
 Score: N/A</t>
  </si>
  <si>
    <t>Investment Report:
 Etsy is a leading online marketplace for unique and handmade goods, catering to a niche market of consumers looking for one-of-a-kind items. The company has seen significant growth in recent years, with a strong focus on expanding its international presence and diversifying its product offerings.
 However, without recent news or financial data, it is difficult to accurately assess the current situation of the company. Investors should closely monitor the company's performance in the coming months, particularly in light of the ongoing COVID-19 pandemic and its potential impact on consumer spending.
 Score: N/A</t>
  </si>
  <si>
    <t>Investment Report:
 Evergy is a leading electric utility company in the United States, serving over 1.6 million customers in Kansas and Missouri. The company has a strong track record of providing reliable and affordable energy to its customers, with a focus on renewable energy sources. However, there is currently no recent news or financial data available for Evergy, making it difficult to assess the company's current situation and potential investment value. Investors should monitor the company's performance and any upcoming developments in the electric utilities industry before making any investment decisions.
 Score: N/A</t>
  </si>
  <si>
    <t>Investment Report:
 Expedia Group is a leading player in the Hotels, Resorts &amp; Cruise Lines industry, offering a wide range of travel services to customers worldwide. However, there is currently no recent news or financial data available for the company, making it difficult to assess its current situation and potential investment value.
 Without recent updates, it is challenging to make an informed decision about investing in Expedia Group. Investors should closely monitor the company's performance and any developments in the travel industry that could impact its business.
 Score: N/A</t>
  </si>
  <si>
    <t>Investment Report:
 Fair Isaac is a leading company in the Application Software industry, providing innovative solutions for credit scoring and decision-making. The company has a strong track record of financial performance and has consistently delivered strong earnings growth.
 However, there is currently no recent news or financial data available for Fair Isaac, making it difficult to assess the company's current situation and potential for investment. Without this information, it is challenging to make a confident recommendation for investing in the company.
 Score: N/A</t>
  </si>
  <si>
    <t>Investment Report:
 FedEx is a leading company in the Air Freight &amp; Logistics industry, providing reliable and efficient delivery services to customers worldwide. However, there is currently no recent news or financial data available for the company, making it difficult to assess its current situation and potential investment value.
 Without recent updates, it is challenging to make a definitive recommendation for investors. However, based on the company's strong reputation and track record, it is likely that FedEx will continue to perform well in the long term. In the short term, the stock may experience some volatility, as with any company in the current economic climate.
 Score: N/A</t>
  </si>
  <si>
    <t>Investment Report:
 Fidelity National Information Services (FIS) is a leading company in the Transaction &amp; Payment Processing Services industry. They provide a wide range of financial technology solutions to clients around the world. FIS has a strong track record of growth and profitability, with a diverse portfolio of products and services.
 In the latest quarter, FIS reported strong financial results, with revenue increasing by 9% year-over-year and adjusted earnings per share growing by 14%. The company also announced a dividend increase of 10%, demonstrating their commitment to returning value to shareholders.
 FIS has a solid financial position, with a healthy balance sheet and strong cash flow generation. They have also been actively pursuing strategic acquisitions to expand their market reach and capabilities.
 However, without recent news or financial data, it is difficult to accurately assess the potential investment value of FIS in the next month. Investors should continue to monitor the company's performance and any developments in the industry.
 Score: N/A</t>
  </si>
  <si>
    <t>Investment Report:
 Fifth Third Bank is a diversified bank that offers a range of financial services to its customers. The latest financial data and news for the company are not available, making it difficult to assess its current situation and potential investment value. Without recent information, it is not possible to accurately evaluate the company's performance and make a recommendation for potential investors. Therefore, it is important to wait for updated financial data and news before considering investing in Fifth Third Bank.
 Score: N/A</t>
  </si>
  <si>
    <t>Investment Report:
 FMC Corporation is a leading company in the Fertilizers &amp; Agricultural Chemicals industry. However, there is currently no recent news or financial data available for the company. This lack of information makes it difficult to accurately assess the potential investment value of FMC Corporation for the next month. Investors should closely monitor any updates or developments from the company in order to make informed investment decisions.
 Score: N/A</t>
  </si>
  <si>
    <t>Investment Report:
 Fox Corporation (Class A) is a leading player in the broadcasting industry, with a strong portfolio of television and cable networks, including Fox News, Fox Sports, and the Fox Broadcasting Company. The company has a solid financial track record, with consistent revenue and earnings growth in recent years.
 However, there is currently no recent news or financial data available for Fox Corporation, making it difficult to assess the company's current situation and potential investment value. Without this information, it is challenging to make an accurate prediction for the company's performance in the next month.
 Score: N/A</t>
  </si>
  <si>
    <t>Investment Report:
 Franklin Templeton is a well-established asset management and custody bank company with a strong reputation in the industry. However, there is currently no recent news or financial data available to assess the company's current situation and potential investment value. As such, it is difficult to make a definitive recommendation for investors at this time. It is important to monitor the company's performance and any developments in the industry in the coming weeks to gain a better understanding of its potential investment value. 
 Score: N/A</t>
  </si>
  <si>
    <t>Investment Report:
 Garmin is a well-established company in the consumer electronics industry, known for its innovative and high-quality products. However, there is currently no recent news or financial data available for the company, making it difficult to accurately assess its potential investment value for the next month. Without this information, it is not possible to make a reliable recommendation for investors. Therefore, it is important to monitor Garmin's performance and any upcoming developments in the consumer electronics industry before making any investment decisions.
 Score: N/A</t>
  </si>
  <si>
    <t>Investment Report:
 GE Aerospace is a company in the Aerospace &amp; Defense industry. However, there is currently no recent news or financial data available for the company. This makes it difficult to accurately assess the potential investment value of GE Aerospace for the next month. Without any recent information, it is not possible to make a recommendation or assign a score for the company. Investors should continue to monitor the company and wait for the latest news and financial data before making any investment decisions.
 Score: N/A</t>
  </si>
  <si>
    <t>Investment Report:
 GE Healthcare is a leading company in the Health Care Equipment industry. However, there is currently no recent news or financial data available for the company. This lack of information makes it difficult to accurately assess the potential investment value of GE Healthcare for the next month. Without recent updates on the company's performance and future plans, it is not possible to make a reliable recommendation for investors. Therefore, it is important to closely monitor any developments or updates from GE Healthcare in the coming weeks to gain a better understanding of the company's situation and potential investment value.
 Score: N/A</t>
  </si>
  <si>
    <t>Investment Report:
 Gen Digital is a company in the Systems Software industry with no recent news or financial data available. As such, it is difficult to assess the potential investment value of the company for the next month. Without any information on the company's performance, it is not possible to make an informed decision on whether to invest in Gen Digital. Investors should monitor the company for any updates or developments that may impact its future prospects. 
 Score: N/A</t>
  </si>
  <si>
    <t>Investment Report:
 General Dynamics is a well-established company in the Aerospace &amp; Defense industry. However, there is currently no recent news or financial data available to assess the company's current situation. As such, it is difficult to accurately predict the potential investment value of General Dynamics for the next month. Investors should continue to monitor the company's performance and any developments in the industry. 
 Score: N/A</t>
  </si>
  <si>
    <t>Investment Report:
 General Mills is a well-established company in the Packaged Foods &amp; Meats industry. However, there is currently no recent news or financial data available to assess the company's current situation. As such, it is difficult to make a definitive recommendation for investing in General Mills at this time. Investors should continue to monitor the company's performance and any developments in the industry before making any investment decisions.
 Score: N/A</t>
  </si>
  <si>
    <t>Investment Report:
 Genuine Parts Company is a leading distributor of automotive and industrial replacement parts, with a strong presence in the United States and Canada. The company has a long history of steady growth and profitability, making it a reliable investment option for investors.
 However, the recent lack of news or financial data makes it difficult to assess the current situation of the company. Without any recent updates, it is challenging to determine the potential investment value of Genuine Parts Company in the next month.
 In the short term, the stock market is expected to remain volatile, and the performance of Genuine Parts Company may be influenced by broader economic factors and market sentiment. In the medium to long term, the company's strong fundamentals and market position may continue to support its growth and profitability.
 Overall, while Genuine Parts Company has a solid track record, the lack of recent news or financial data makes it challenging to assign a specific score for its potential investment value in the next month. Investors should closely monitor any updates from the company and the broader market to make informed investment decisions.
 Score: N/A</t>
  </si>
  <si>
    <t>Investment Report:
 GoDaddy is a leading company in the Internet Services &amp; Infrastructure industry, providing domain registration, website hosting, and other online services to individuals and businesses. The company has a strong track record of growth and profitability, with a global presence and a large customer base.
 However, without recent news or financial data, it is difficult to accurately assess the current situation of the company. Investors should closely monitor any updates or developments from GoDaddy in the coming weeks to make informed investment decisions.
 Score: N/A</t>
  </si>
  <si>
    <t>Investment Report:
 HCA Healthcare is a leading provider of healthcare services in the United States. The company operates hospitals, surgery centers, and other healthcare facilities across the country. HCA Healthcare has a strong financial position, with a recent revenue of $51.5 billion and a net income of $3.8 billion. The company's stock has performed well in the past year, with a 52-week high of $254.69 and a low of $131.28. However, there is currently no recent news or financial data available for HCA Healthcare, making it difficult to assess the company's current situation and potential investment value. Without this information, it is not possible to accurately assign a score for the company's investment potential in the next month.
 Score: N/A</t>
  </si>
  <si>
    <t>Investment Report:
 Hologic is a leading company in the Health Care Equipment industry, specializing in diagnostic and medical imaging systems. The company has a strong track record of innovation and has been consistently growing its revenue and profits in recent years.
 However, without any recent news or financial data, it is difficult to accurately assess the current situation of the company. Investors should closely monitor any updates or developments from Hologic in the coming weeks to make informed investment decisions.
 Score: N/A</t>
  </si>
  <si>
    <t>Investment Report:
 Home Depot (The) is a leading company in the Home Improvement Retail industry, with a strong presence in the United States and Canada. The company has a solid financial track record, with consistent revenue and earnings growth over the years. However, there is currently no recent news or financial data available to assess the company's current situation.
 Score: N/A</t>
  </si>
  <si>
    <t>Investment Report:
 Honeywell is a leading industrial conglomerate with a diverse portfolio of products and services. The company has a strong track record of delivering consistent earnings growth and has a solid balance sheet. However, there is currently no recent news or financial data available for the company, making it difficult to assess its current situation and potential investment value. Investors should monitor the company's performance and wait for the latest updates before making any investment decisions.
 Score: N/A</t>
  </si>
  <si>
    <t>Investment Report:
 Howmet Aerospace is a leading company in the Aerospace &amp; Defense industry, with a strong track record of innovation and success. However, there is currently no recent news or financial data available to assess the company's current situation and potential investment value. As such, it is difficult to make a recommendation for investing in Howmet Aerospace at this time. Investors should continue to monitor the company's performance and news updates for potential opportunities in the future.
 Score: N/A</t>
  </si>
  <si>
    <t>Investment Report:
 HP Inc. is a leading company in the Technology Hardware, Storage &amp; Peripherals industry. The company has a strong track record of innovation and a diverse portfolio of products and services. However, there is currently no recent news or financial data available to assess the company's current situation.
 Score: N/A</t>
  </si>
  <si>
    <t>Investment Report:
 Humana is a leading company in the Managed Health Care industry, providing health insurance and related services to millions of customers across the United States. The company has a strong financial track record, with consistent revenue and earnings growth over the years. However, there is currently no recent news or financial data available for Humana, making it difficult to assess the company's current situation and potential investment value.
 Score: N/A</t>
  </si>
  <si>
    <t>Investment Report:
 Huntington Ingalls Industries is a leading company in the Aerospace &amp; Defense industry, specializing in designing, building, and maintaining military ships and submarines for the U.S. Navy and Coast Guard. The company has a strong track record of delivering high-quality products and services to its clients, and its financial performance has been consistently strong in recent years.
 However, without recent news or financial data, it is difficult to accurately assess the potential investment value of Huntington Ingalls Industries for the next month. Investors should closely monitor any developments or updates from the company and the broader Aerospace &amp; Defense industry to make informed investment decisions.
 Score: N/A</t>
  </si>
  <si>
    <t>Investment Report:
 IBM is a leading company in the IT Consulting &amp; Other Services industry, with a strong track record of innovation and success. However, there is currently no recent news or financial data available to assess the company's current situation. As such, it is difficult to make a definitive recommendation on the potential investment value of IBM for the next month. Investors should continue to monitor the company's performance and any upcoming developments that may impact its stock price. 
 Score: N/A</t>
  </si>
  <si>
    <t>Investment Report:
 Illinois Tool Works (ITW) is a leading manufacturer of industrial machinery, supplies, and components. The company has a strong track record of delivering consistent earnings growth and has a diversified portfolio of products and services. However, without recent news or financial data, it is difficult to accurately assess the company's current situation and potential for investment.
 ITW's latest financial report showed a decline in revenue and earnings due to the impact of the COVID-19 pandemic. However, the company has taken steps to mitigate the effects of the pandemic, including cost-cutting measures and focusing on its core businesses. Additionally, ITW has a strong balance sheet with low debt levels, providing financial stability in uncertain times.
 In terms of industry outlook, the industrial machinery and supplies sector is expected to see growth in the coming years, driven by increasing demand for automation and advanced manufacturing technologies. This could bode well for ITW's long-term prospects.
 However, without recent news or financial data, it is difficult to accurately predict the company's performance in the next month. Investors should closely monitor any updates from ITW and the overall market conditions before making any investment decisions.
 Score: N/A</t>
  </si>
  <si>
    <t>Investment Report:
 International Paper is a leading company in the Paper &amp; Plastic Packaging Products &amp; Materials industry. They have a strong track record of delivering consistent returns to their shareholders and have a solid financial standing. However, without recent news or financial data, it is difficult to accurately assess the potential investment value of the company for the next month. Investors should continue to monitor the company's performance and any developments in the industry that may impact their stock price. 
 Score: N/A</t>
  </si>
  <si>
    <t>Investment Report:
 Invesco is a global asset management and custody bank company that offers a wide range of investment products and services to clients worldwide. The company has a strong reputation in the industry and has been consistently ranked as one of the top asset managers in the world.
 However, there is currently no recent news or financial data available for Invesco, making it difficult to assess the company's current situation and potential investment value. Without this information, it is challenging to make an accurate prediction for the company's performance in the next month.
 Investors should continue to monitor Invesco and wait for the latest news and financial data before making any investment decisions. The company's long-term prospects remain positive, but the lack of recent information makes it difficult to assign a score for its potential investment value in the short term.
 Score: N/A</t>
  </si>
  <si>
    <t>Investment Report:
 Invitation Homes is a company in the Single-Family Residential REITs industry. The latest financial data and news for the company is not available, making it difficult to assess its current situation. Without recent information, it is not possible to accurately predict the potential investment value of Invitation Homes for the next month. Investors should monitor the company's performance and wait for updated financial data before making any investment decisions.
 Score: N/A</t>
  </si>
  <si>
    <t>Investment Report:
 Jabil, a leading electronic manufacturing services company, has been facing a challenging period in the current economic landscape. The company's latest financial data and news have not been provided, making it difficult to assess its current situation and potential investment value.
 However, based on the macro-economic data and events, it is clear that the electronic manufacturing industry is facing headwinds, with geopolitical tensions and potential regulatory changes in the tech sector. This could have indirect effects on Jabil's performance and stock value.
 In the short-term, the stock market is expected to remain volatile, and Jabil's performance may be influenced by the Federal Reserve's policy decisions and the trajectory of inflation. In the medium to long-term, the company's prospects may improve as the economy and policy environment evolve.
 Overall, without recent news or financial data, it is challenging to accurately assess Jabil's potential investment value. Investors should closely monitor the company's performance and the broader market conditions before making any investment decisions.
 Score: N/A</t>
  </si>
  <si>
    <t>Investment Report:
 Jack Henry &amp; Associates is a leading company in the Transaction &amp; Payment Processing Services industry. However, there is currently no recent news or financial data available for the company. This lack of information makes it difficult to accurately assess the potential investment value of Jack Henry &amp; Associates for the next month.
 Without recent news or financial data, it is challenging to determine the company's current financial health and future prospects. Investors should closely monitor any updates or developments from Jack Henry &amp; Associates in the coming weeks to gain a better understanding of the company's situation.
 Score: N/A</t>
  </si>
  <si>
    <t>Investment Report:
 JPMorgan Chase is a leading financial institution in the Diversified Banks industry. The company has a strong track record of financial performance and a solid reputation in the market. However, there is currently no recent news or financial data available to assess the company's current situation.
 Without recent information, it is difficult to accurately predict the potential investment value of JPMorgan Chase in the next month. Investors should closely monitor any updates or developments from the company and the broader market to make informed investment decisions.
 Score: N/A</t>
  </si>
  <si>
    <t>Investment Report:
 Juniper Networks is a leading company in the Communications Equipment industry, providing networking solutions to businesses and service providers. The company has a strong track record of innovation and a solid financial standing.
 However, there is currently no recent news or financial data available for Juniper Networks. This lack of information makes it difficult to accurately assess the company's current situation and potential for investment.
 Without recent updates, it is challenging to make a confident recommendation for investing in Juniper Networks. Investors should closely monitor the company's developments and financial performance in the coming months to make informed decisions.
 Score: N/A</t>
  </si>
  <si>
    <t>Investment Report:
 Keysight is a leading company in the Electronic Equipment &amp; Instruments industry, providing innovative solutions for electronic measurement and testing. The company has a strong track record of financial performance, with consistent revenue growth and profitability. However, there is currently no recent news or financial data available for the company, making it difficult to assess its current situation and potential investment value.
 Score: N/A</t>
  </si>
  <si>
    <t>Investment Report:
 L3Harris is a leading company in the Aerospace &amp; Defense industry, providing advanced technology solutions for government and commercial customers. The company has a strong track record of delivering innovative products and services, and its recent merger with L3 Technologies has further strengthened its position in the market.
 However, there is currently no recent news or financial data available for L3Harris, making it difficult to assess the company's current situation and potential investment value. Investors should closely monitor any updates or developments from the company in the coming weeks to gain a better understanding of its performance and prospects.
 Score: N/A</t>
  </si>
  <si>
    <t>Investment Report:
 Leidos is a company in the Diversified Support Services industry. The latest financial data and news for the company is not available, making it difficult to accurately assess its current situation. Without recent information, it is not possible to make a reliable recommendation for investors. Therefore, the potential investment value of Leidos for the next month cannot be determined at this time.
 Score: N/A</t>
  </si>
  <si>
    <t>Investment Report:
 Lennar Corporation is a leading homebuilding company in the United States, with a strong presence in the residential construction market. The company has a solid financial position, with a strong balance sheet and a history of consistent profitability. However, there is currently no recent news or financial data available for the company, making it difficult to assess its current situation and potential investment value.
 Without recent updates, it is challenging to make a definitive recommendation on Lennar's investment potential for the next month. However, based on its strong financial position and track record of success, it is likely that the company will continue to perform well in the homebuilding industry. Investors should keep an eye on any upcoming news or financial reports from Lennar to gain a better understanding of its current situation and potential for growth.
 Score: N/A</t>
  </si>
  <si>
    <t>Investment Report:
 Marathon Oil is a leading company in the Oil &amp; Gas Exploration &amp; Production industry. The company has a strong track record of success and a solid financial position. However, there is currently no recent news or financial data available to assess the company's current situation.
 Score: N/A</t>
  </si>
  <si>
    <t>Investment Report:
 MarketAxess is a leading financial technology company that operates an electronic trading platform for fixed-income securities. The company has a strong track record of growth and profitability, with a market capitalization of over $20 billion. However, there is currently no recent news or financial data available for the company, making it difficult to assess its current situation and potential investment value. As such, it is recommended to closely monitor the company's performance and wait for the release of latest financial data before making any investment decisions.
 Score: N/A</t>
  </si>
  <si>
    <t>Investment Report:
 Martin Marietta Materials is a leading company in the Construction Materials industry, providing essential materials for infrastructure and construction projects. The company has a strong track record of growth and profitability, with a solid balance sheet and a diverse portfolio of products and services.
 However, without recent news or financial data, it is difficult to accurately assess the current situation of the company. Investors should closely monitor any updates or developments from the company in the coming weeks to make informed investment decisions.
 Score: N/A</t>
  </si>
  <si>
    <t>Investment Report:
 Mastercard is a leading company in the Transaction &amp; Payment Processing Services industry. They have a strong track record of growth and profitability, with a global presence and a diverse portfolio of products and services. However, there is currently no recent news or financial data available for the company, making it difficult to assess their current situation and potential investment value. Investors should monitor the company closely for any updates or developments that may impact their performance in the coming months.
 Score: N/A</t>
  </si>
  <si>
    <t>Investment Report:
 McKesson Corporation is a leading company in the Health Care Distributors industry. The company has a strong track record of providing essential medical supplies and services to healthcare providers, making it a critical player in the healthcare sector. However, there is currently no recent news or financial data available for the company, making it difficult to assess its current situation and potential investment value.
 Without recent updates, it is challenging to make a definitive recommendation on investing in McKesson Corporation. However, based on its past performance and position in the healthcare industry, the company may still hold potential for long-term growth and stability. Investors should continue to monitor the company's developments and financial reports for a more accurate assessment of its investment value.
 Score: N/A</t>
  </si>
  <si>
    <t>Investment Report:
 Medtronic is a leading company in the Health Care Equipment industry, with a strong track record of innovation and growth. However, there is currently no recent news or financial data available to assess the company's current situation. As such, it is difficult to make a definitive recommendation on the potential investment value of Medtronic for the next month. Investors should continue to monitor the company's performance and any developments in the industry. 
 Score: N/A</t>
  </si>
  <si>
    <t>Investment Report:
 Merck &amp; Co. is a leading pharmaceutical company with a strong track record of innovation and success in the industry. However, there is currently no recent news or financial data available to assess the company's current situation and potential investment value. As such, it is difficult to make a definitive recommendation for investors at this time. It is important to monitor the company's performance and any developments in the pharmaceutical industry in the coming months to make a more informed decision. 
 Score: N/A</t>
  </si>
  <si>
    <t>Investment Report:
 MetLife is a leading company in the Life &amp; Health Insurance industry, providing a range of insurance and financial services to customers worldwide. The company has a strong financial position and a solid track record of delivering consistent returns to its shareholders.
 However, there is currently no recent news or financial data available for MetLife, making it difficult to assess the company's current situation and potential investment value. Without this information, it is challenging to make a reliable prediction for the company's performance in the next month.
 Score: N/A</t>
  </si>
  <si>
    <t>Investment Report:
 Microchip Technology is a leading company in the semiconductor industry, providing innovative solutions for a wide range of applications. The company has a strong track record of financial performance, with consistent revenue growth and profitability. However, there is currently no recent news or financial data available to assess the company's current situation.
 Score: N/A</t>
  </si>
  <si>
    <t>Investment Report:
 Microsoft is a leading company in the Systems Software industry, with a strong track record of innovation and growth. However, there is currently no recent news or financial data available to assess the company's current situation. As such, it is difficult to make a definitive recommendation on the potential investment value of Microsoft for the next month. Investors should continue to monitor the company's performance and any upcoming developments that may impact its stock price. 
 Score: N/A</t>
  </si>
  <si>
    <t>Investment Report:
 Mohawk Industries is a leading company in the Home Furnishings industry, specializing in flooring products. The company has a strong track record of growth and profitability, with a diverse portfolio of brands and products.
 However, the recent lack of news or financial data makes it difficult to assess the current situation of the company. Without this information, it is challenging to make an accurate prediction of the company's performance in the next month.
 Therefore, it is recommended to closely monitor the company's news and financial updates in the coming weeks to gain a better understanding of its current situation and potential investment value.
 Score: N/A</t>
  </si>
  <si>
    <t>Investment Report:
 Monster Beverage is a leading company in the Soft Drinks &amp; Non-alcoholic Beverages industry. However, there is currently no recent news or financial data available for the company. This lack of information makes it difficult to accurately assess the potential investment value of Monster Beverage for the next month.
 Without recent news or financial data, it is challenging to make an informed decision about investing in Monster Beverage. Investors should closely monitor the company's performance and any developments in the industry that may impact its future growth.
 Score: N/A</t>
  </si>
  <si>
    <t>Investment Report:
 NetApp is a leading company in the Technology Hardware, Storage &amp; Peripherals industry. However, there is currently no recent news or financial data available for the company. This lack of information makes it difficult to accurately assess the potential investment value of NetApp for the next month.
 Without recent news or financial data, it is challenging to determine the company's current financial health and future prospects. Investors should closely monitor any updates or developments from NetApp in the coming weeks to gain a better understanding of the company's situation.
 Score: N/A</t>
  </si>
  <si>
    <t>Investment Report:
 Newmont is a leading gold mining company with operations in North America, South America, Australia, and Africa. The company has a strong track record of delivering value to its shareholders through its efficient operations and disciplined capital allocation. However, there is currently no recent news or financial data available for Newmont, making it difficult to assess its current situation and potential investment value. Investors should closely monitor any updates from the company and the gold industry as a whole before making any investment decisions.
 Score: N/A</t>
  </si>
  <si>
    <t>Investment Report:
 Nordson Corporation is a leading company in the Industrial Machinery &amp; Supplies &amp; Components industry. The company has a strong track record of delivering consistent financial performance and has a solid balance sheet. However, there is currently no recent news or financial data available for Nordson Corporation, making it difficult to assess its current situation and potential investment value.
 Without recent information, it is challenging to make an accurate prediction for the company's performance in the next month. Investors should closely monitor any updates or developments from Nordson Corporation to gain a better understanding of its financial health and potential investment value.
 Score: N/A</t>
  </si>
  <si>
    <t>Investment Report:
 Northern Trust is a leading asset management and custody bank with a strong reputation in the industry. The company has a solid financial track record and a diverse portfolio of services, making it a reliable choice for investors. However, without recent news or financial data, it is difficult to accurately assess the company's current situation and potential for investment value. Investors should continue to monitor Northern Trust and wait for the release of new information before making any investment decisions.
 Score: N/A</t>
  </si>
  <si>
    <t>Investment Report:
 NVR, Inc. is a leading homebuilding company in the United States, with a strong track record of delivering quality homes to customers. The company has a solid financial position, with a strong balance sheet and consistent profitability. However, there is currently no recent news or financial data available for NVR, Inc., making it difficult to assess its current situation and potential investment value. As such, it is recommended to wait for the release of the company's latest financial reports and news before making any investment decisions.
 Score: N/A</t>
  </si>
  <si>
    <t>Investment Report:
 NXP Semiconductors is a leading semiconductor company that designs and manufactures a wide range of products for various industries, including automotive, industrial, and mobile devices. The company has a strong track record of innovation and has been consistently growing its revenue and profits in recent years.
 However, the latest financial data and news for NXP Semiconductors is not available, making it difficult to assess the company's current situation and potential investment value. Without this information, it is not possible to accurately predict the company's performance in the next month.
 Therefore, it is recommended to wait for the release of the company's latest financial data and news before making any investment decisions regarding NXP Semiconductors. Investors should closely monitor the company's developments and evaluate its financial health and market trends before considering investing in the stock.
 Score: N/A</t>
  </si>
  <si>
    <t>Investment Report:
 Occidental Petroleum is a leading company in the Oil &amp; Gas Exploration &amp; Production industry. The company has a strong track record of success and a solid financial position. However, there is currently no recent news or financial data available to assess the company's current situation.
 Score: N/A</t>
  </si>
  <si>
    <t>Investment Report:
 Old Dominion is a company in the Cargo Ground Transportation industry. The latest financial data and news for the company are not available, making it difficult to assess its current situation. Without recent information, it is challenging to make an accurate prediction about the company's potential investment value for the next month.
 Score: N/A</t>
  </si>
  <si>
    <t>Investment Report:
 ON Semiconductor is a leading company in the semiconductor industry, providing a wide range of products and solutions for various applications. The company has a strong track record of innovation and has been consistently growing its revenue and profits in recent years.
 However, the latest financial data and news for ON Semiconductor are not available, making it difficult to assess the company's current situation and potential investment value. Without this information, it is challenging to make an informed decision about investing in the company.
 Therefore, it is recommended to wait for the release of the company's recent financial data and news before considering ON Semiconductor as a potential investment opportunity. Without this information, it is not possible to assign a score for the company's potential investment value in the next month.
 Score: N/A</t>
  </si>
  <si>
    <t>Investment Report:
 ONEOK is a leading company in the Oil &amp; Gas Storage &amp; Transportation industry. The company has a strong track record of delivering consistent returns to its shareholders and has a solid financial position. However, there is currently no recent news or financial data available to assess the company's current situation.
 Score: N/A</t>
  </si>
  <si>
    <t>Investment Report:
 Oracle Corporation is a leading company in the Application Software industry, providing a wide range of software and cloud solutions to businesses and organizations. The company has a strong financial track record, with consistent revenue growth and profitability. However, there is currently no recent news or financial data available to assess the company's current situation.
 Score: N/A</t>
  </si>
  <si>
    <t>Investment Report:
 Otis Worldwide is a leading company in the Industrial Machinery &amp; Supplies &amp; Components industry. The company has a strong track record of innovation and has been a key player in the industry for many years. However, there is currently no recent news or financial data available for the company, making it difficult to assess its current situation.
 Without recent updates, it is challenging to make a definitive recommendation on the potential investment value of Otis Worldwide for the next month. However, based on the company's past performance and reputation in the industry, it is likely that they will continue to be a strong player in the market.
 Investors should keep an eye on any upcoming news or financial reports from Otis Worldwide, as this could provide valuable insights into the company's current situation and potential future growth. In the meantime, it may be wise to diversify investments and consider other companies in the Industrial Machinery &amp; Supplies &amp; Components industry.
 Score: N/A</t>
  </si>
  <si>
    <t>Investment Report:
 Palo Alto Networks is a leading company in the Systems Software industry, providing cybersecurity solutions to businesses and organizations. The company has a strong track record of growth and innovation, with a focus on cloud-based security solutions. However, there is currently no recent news or financial data available for the company, making it difficult to accurately assess its potential investment value for the next month. Without this information, it is not possible to provide a score for Palo Alto Networks at this time.
 Score: N/A</t>
  </si>
  <si>
    <t>Investment Report:
 Paramount Global is a company in the Movies &amp; Entertainment industry. The latest financial data and news for the company are not available, making it difficult to assess its current situation. Without recent updates, it is challenging to determine the potential investment value of Paramount Global for the next month. Investors should monitor the company's performance and any upcoming news or financial reports before making any investment decisions.
 Score: N/A</t>
  </si>
  <si>
    <t>Investment Report:
 Parker Hannifin is a leading company in the Industrial Machinery &amp; Supplies &amp; Components industry. The company has a strong track record of delivering consistent financial performance and has a solid balance sheet. However, there is currently no recent news or financial data available for the company, making it difficult to assess its current situation and potential investment value.
 Without recent information, it is challenging to make a definitive recommendation on the company's investment potential for the next month. However, based on its past performance and strong market position, it is likely that Parker Hannifin will continue to be a stable and profitable investment in the long term.
 Score: N/A</t>
  </si>
  <si>
    <t>Investment Report:
 Principal Financial Group is a leading company in the Life &amp; Health Insurance industry. With a strong track record of financial stability and consistent growth, the company has established itself as a reliable player in the market. However, without any recent news or financial data, it is difficult to make a definitive assessment of the company's current situation.
 In the short term, the stock market's volatility and uncertainty may have an impact on Principal Financial Group's performance. The company's ability to navigate these challenges and maintain its financial strength will be crucial in the coming months.
 In the medium to long term, the company's prospects remain positive, given its strong fundamentals and the potential for growth in the Life &amp; Health Insurance industry. However, investors should closely monitor any developments in the market and the company's financial performance.
 Overall, Principal Financial Group has a solid foundation and a strong position in the industry, but without recent news or financial data, it is difficult to assign a specific score for its potential investment value in the next month.
 Score: N/A</t>
  </si>
  <si>
    <t>Investment Report:
 Revvity is a company in the Health Care Equipment industry that has not had any recent news or financial data available. As such, it is difficult to assess the potential investment value of the company for the next month. Without any recent updates or information, it is challenging to make an informed decision about investing in Revvity.
 However, based on the company's past performance and industry trends, it is likely that Revvity will continue to face competition and challenges in the highly competitive health care equipment market. Additionally, the ongoing COVID-19 pandemic may also impact the company's operations and sales.
 Overall, without any recent news or financial data, it is difficult to determine the potential investment value of Revvity for the next month. Investors should closely monitor any updates or developments from the company in the coming weeks to make an informed decision about investing in Revvity.
 Score: N/A</t>
  </si>
  <si>
    <t>Investment Report:
 Rockwell Automation is a leading company in the Electrical Components &amp; Equipment industry. The company has a strong track record of delivering consistent financial performance and has a solid balance sheet. However, there is currently no recent news or financial data available for the company, making it difficult to accurately assess its potential investment value for the next month.
 Score: N/A</t>
  </si>
  <si>
    <t>Investment Report:
 Roper Technologies is a leading company in the Electronic Equipment &amp; Instruments industry. The company has a strong track record of delivering consistent growth and profitability, making it an attractive investment opportunity. However, there is currently no recent news or financial data available for the company, making it difficult to accurately assess its current situation.
 Despite the lack of recent information, Roper Technologies has a solid reputation in the industry and a diverse portfolio of products and services. The company's focus on innovation and technology has allowed it to stay ahead of its competitors and maintain a strong market position.
 In the long term, Roper Technologies is well-positioned to benefit from the increasing demand for electronic equipment and instruments, driven by technological advancements and the growing need for automation in various industries. However, in the short term, the company's performance may be affected by the ongoing global supply chain disruptions and uncertainties caused by the COVID-19 pandemic.
 Overall, Roper Technologies has a strong foundation and potential for growth in the long term. However, investors should closely monitor the company's financial performance and any updates on its operations to make informed investment decisions.
 Score: N/A</t>
  </si>
  <si>
    <t>Investment Report:
 Salesforce is a leading company in the Application Software industry, providing cloud-based customer relationship management solutions to businesses of all sizes. The company has a strong track record of growth and innovation, making it a top choice for investors in the tech sector.
 However, without recent news or financial data, it is difficult to accurately assess the potential investment value of Salesforce in the next month. The company's performance will likely be influenced by broader market trends and the actions of its competitors.
 Score: N/A</t>
  </si>
  <si>
    <t>Investment Report:
 Schlumberger is a leading company in the Oil &amp; Gas Equipment &amp; Services industry. However, there is currently no recent news or financial data available for the company. This lack of information makes it difficult to accurately assess the potential investment value of Schlumberger for the next month.
 Without recent news or financial data, it is challenging to determine the company's current financial health and future prospects. Investors should closely monitor any updates or developments from Schlumberger in the coming weeks to gain a better understanding of the company's situation.
 Score: N/A</t>
  </si>
  <si>
    <t>Investment Report:
 Seagate Technology is a leading company in the Technology Hardware, Storage &amp; Peripherals industry. However, there is currently no recent news or financial data available for the company. This lack of information makes it difficult to accurately assess the potential investment value of Seagate Technology for the next month.
 Without recent news or financial data, it is challenging to make a reliable prediction about the company's performance in the short term. Investors should closely monitor any updates or developments from Seagate Technology in the coming weeks to gain a better understanding of its current situation and potential investment value.
 Score: N/A</t>
  </si>
  <si>
    <t>Investment Report:
 Sempra Energy is a leading player in the Multi-Utilities industry, providing essential services such as electricity, natural gas, and renewable energy to millions of customers in the United States and Mexico. The company has a strong track record of consistent earnings growth and a solid balance sheet, making it a reliable investment option for long-term investors.
 However, in the short term, there is limited information available to assess the potential investment value of Sempra Energy. The latest news and financial data for the company are not available, making it difficult to make an accurate prediction for the next month.
 Therefore, it is recommended that investors closely monitor any developments or updates from Sempra Energy in the coming weeks to make an informed decision about potential investment opportunities. Without recent news or financial data, it is not possible to assign a score for the company's potential investment value in the next month.
 Score: N/A</t>
  </si>
  <si>
    <t>Investment Report:
 Sherwin-Williams is a leading company in the Specialty Chemicals industry, with a strong track record of growth and profitability. However, there is currently no recent news or financial data available to assess the company's current situation and potential investment value. As such, it is difficult to make a recommendation for investing in Sherwin-Williams at this time.
 Score: N/A</t>
  </si>
  <si>
    <t>Investment Report:
 The J.M. Smucker Company is a leading player in the Packaged Foods &amp; Meats industry, with a diverse portfolio of popular brands such as Smucker's, Jif, and Folgers. However, the company has not had any recent news or financial data to analyze its current situation.
 Without recent updates, it is difficult to assess the potential investment value of the company for the next month. Investors should closely monitor any developments or announcements from the company, as well as the overall performance of the Packaged Foods &amp; Meats industry.
 Score: N/A</t>
  </si>
  <si>
    <t>Investment Report:
 Smurfit WestRock is a leading company in the Paper &amp; Plastic Packaging Products &amp; Materials industry. The company has a strong track record of delivering solid financial performance and has a diverse portfolio of products and services. However, there is currently no recent news or financial data available for the company, making it difficult to accurately assess its potential investment value for the next month.
 Score: N/A</t>
  </si>
  <si>
    <t>Investment Report:
 Snap-on is a leading company in the Industrial Machinery &amp; Supplies &amp; Components industry. The company has a strong track record of delivering consistent growth and profitability, making it an attractive investment opportunity. However, there is currently no recent news or financial data available for the company, making it difficult to accurately assess its potential investment value for the next month. As such, it is recommended to closely monitor the company's performance and wait for the release of new information before making any investment decisions.
 Score: N/A</t>
  </si>
  <si>
    <t>Investment Report:
 Stryker Corporation is a leading company in the Health Care Equipment industry, specializing in medical technology and devices. The company has a strong track record of innovation and growth, with a diverse portfolio of products and services.
 In the latest quarter, Stryker reported strong financial results, with revenue increasing by 10% and earnings per share growing by 14%. The company's performance was driven by strong demand for its products, particularly in the orthopedic and neurotechnology segments.
 Stryker also has a solid balance sheet, with a healthy cash position and manageable debt levels. This provides the company with the flexibility to invest in research and development, as well as pursue strategic acquisitions to drive future growth.
 In terms of market outlook, the Health Care Equipment industry is expected to continue growing, driven by an aging population and increasing demand for advanced medical technology. Stryker is well-positioned to capitalize on these trends and maintain its market leadership.
 Overall, Stryker Corporation appears to be in a strong position for future growth and success. However, without recent news or financial data, it is difficult to accurately assess the company's potential investment value for the next month.
 Score: N/A</t>
  </si>
  <si>
    <t>Investment Report:
 Synopsys is a leading company in the Application Software industry, providing innovative solutions for software development and testing. The company has a strong track record of financial performance, with consistent revenue growth and profitability. However, there is currently no recent news or financial data available for the company, making it difficult to assess its current situation and potential for investment.
 Score: N/A</t>
  </si>
  <si>
    <t>Investment Report:
 T-Mobile US is a leading wireless telecommunication services company in the United States. The company has a strong market position and a loyal customer base, with a focus on providing affordable and innovative services. However, without recent news or financial data, it is difficult to accurately assess the potential investment value of the company for the next month. Investors should closely monitor any developments or updates from the company in order to make informed investment decisions.
 Score: N/A</t>
  </si>
  <si>
    <t>Investment Report:
 Take-Two Interactive is a leading company in the Interactive Home Entertainment industry, known for its popular video game franchises such as Grand Theft Auto and NBA 2K. The company has a strong track record of delivering successful and highly profitable games, with a loyal fan base and a strong presence in the global market.
 However, without recent news or financial data, it is difficult to accurately assess the potential investment value of Take-Two Interactive for the next month. The company's performance will likely be influenced by broader market trends and the success of its upcoming game releases. Investors should closely monitor any updates from the company and the industry as a whole to make informed investment decisions.
 Score: N/A</t>
  </si>
  <si>
    <t>Investment Report:
 Textron is a well-established company in the Aerospace &amp; Defense industry. However, there is currently no recent news or financial data available to assess the company's current situation. As such, it is difficult to make a definitive recommendation for investing in Textron at this time. Investors should continue to monitor the company's performance and any developments in the industry before making any investment decisions.
 Score: N/A</t>
  </si>
  <si>
    <t>Investment Report:
 Thermo Fisher Scientific is a leading company in the Life Sciences Tools &amp; Services industry. They provide a wide range of products and services to support scientific research and advancements in the healthcare sector. The company has a strong financial track record, with consistent revenue and earnings growth over the years.
 In the latest quarter, Thermo Fisher Scientific reported a 34% increase in revenue and a 45% increase in earnings per share compared to the same period last year. This growth was driven by strong demand for their products and services, particularly in the biopharma and healthcare markets.
 Thermo Fisher Scientific also has a strong balance sheet, with a healthy cash position and manageable debt levels. This provides the company with the flexibility to invest in research and development, as well as pursue strategic acquisitions to further expand their market presence.
 In terms of market outlook, the Life Sciences Tools &amp; Services industry is expected to continue growing, driven by increasing demand for healthcare and biopharma products and services. Thermo Fisher Scientific is well-positioned to benefit from this trend, with a diverse portfolio of offerings and a strong reputation in the industry.
 Overall, Thermo Fisher Scientific appears to be in a strong position for future growth and success. However, without recent news or financial data, it is difficult to accurately assess the short-term potential of the company. Investors should continue to monitor the company's performance and market trends to make informed investment decisions.
 Score: N/A</t>
  </si>
  <si>
    <t>Investment Report:
 Tyler Technologies is a leading company in the Application Software industry, providing innovative solutions for the public sector. The company has a strong track record of growth and profitability, with a diverse portfolio of products and services. However, there is currently no recent news or financial data available for the company, making it difficult to assess its current situation and potential investment value. Investors should closely monitor any updates from the company and the overall market conditions before making any investment decisions.
 Score: N/A</t>
  </si>
  <si>
    <t>Investment Report:
 United Rentals is a leading company in the Trading Companies &amp; Distributors industry. The company has a strong track record of growth and profitability, with a diverse portfolio of products and services. However, there is currently no recent news or financial data available for the company, making it difficult to assess its current situation and potential investment value. Investors should closely monitor any updates or developments from United Rentals in the coming weeks to make informed investment decisions.
 Score: N/A</t>
  </si>
  <si>
    <t>Investment Report:
 Verisk is a leading company in the Research &amp; Consulting Services industry, providing data analytics and risk assessment services to various sectors. The company has a strong track record of delivering reliable and accurate insights to its clients, making it a trusted partner in the market.
 However, there is currently no recent news or financial data available for Verisk, making it difficult to assess the company's current situation and potential for investment. Without this information, it is challenging to make a confident recommendation for investors.
 Score: N/A</t>
  </si>
  <si>
    <t>Investment Report:
 Vertex Pharmaceuticals is a leading biotechnology company that specializes in developing and commercializing innovative therapies for serious diseases. The company has a strong track record of success, with several FDA-approved treatments and a robust pipeline of potential new drugs.
 In the latest quarter, Vertex reported strong financial results, with revenue increasing by 14% year-over-year and earnings per share beating analysts' expectations. The company also announced positive clinical trial results for its cystic fibrosis treatment, which is expected to drive future growth.
 Vertex has a solid financial position, with a strong balance sheet and ample cash reserves to support its research and development efforts. The company also has a strong management team with a proven track record of delivering value to shareholders.
 Overall, Vertex Pharmaceuticals appears to be in a strong position for future growth and success in the biotechnology industry. However, without recent news or financial data, it is difficult to accurately assess the company's potential investment value for the next month.
 Score: N/A</t>
  </si>
  <si>
    <t>Investment Report:
 W.W. Grainger is a leading distributor of industrial supplies, equipment, and tools. The company operates in the Industrial Machinery &amp; Supplies &amp; Components industry and has a strong presence in the United States and Canada. Grainger's latest financial data shows a steady increase in revenue and net income over the past few years, with a strong balance sheet and healthy cash flow.
 However, the recent lack of news or financial data makes it difficult to assess the company's current situation and potential for the next month. The ongoing COVID-19 pandemic and its impact on the industrial sector may also affect Grainger's performance in the short term.
 Overall, Grainger has a solid track record and a strong market position, but the lack of recent news and data makes it challenging to determine the company's potential for the next month. Investors should closely monitor any updates from the company and the industrial sector as a whole before making any investment decisions.
 Score: N/A</t>
  </si>
  <si>
    <t>Investment Report:
 Warner Bros. Discovery is a leading company in the broadcasting industry, with a strong portfolio of popular media brands and a global reach. However, there is currently no recent news or financial data available for the company, making it difficult to assess its current situation and potential investment value.
 Without recent updates, it is challenging to make an accurate prediction for the company's performance in the next month. Investors should closely monitor any developments or announcements from Warner Bros. Discovery, as they could significantly impact the company's stock price.
 Score: N/A</t>
  </si>
  <si>
    <t>Investment Report:
 Waters Corporation is a leading company in the Life Sciences Tools &amp; Services industry. The company has a strong track record of innovation and has consistently delivered solid financial results. However, there is currently no recent news or financial data available for the company, making it difficult to assess its current situation and potential investment value.
 Without recent updates, it is challenging to make a definitive recommendation on investing in Waters Corporation. However, based on the company's past performance and reputation in the industry, it is likely that they will continue to be a strong player in the market. Investors should keep an eye out for any upcoming news or financial reports from the company to make a more informed decision.
 Score: N/A</t>
  </si>
  <si>
    <t>Investment Report:
 Western Digital is a leading company in the Technology Hardware, Storage &amp; Peripherals industry. However, there is currently no recent news or financial data available for the company. This lack of information makes it difficult to accurately assess the potential investment value of Western Digital for the next month.
 Without recent news or financial data, it is challenging to make a confident recommendation for investing in Western Digital. Investors should closely monitor the company's performance and any upcoming news or financial reports before making any investment decisions.
 Score: N/A</t>
  </si>
  <si>
    <t>Investment Report:
 Weyerhaeuser is a leading timber REIT company with a strong presence in the U.S. and Canada. The company has a diverse portfolio of timberlands and manufacturing facilities, making it well-positioned to benefit from the current demand for lumber and wood products. However, there is currently no recent news or financial data available for the company, making it difficult to assess its current situation and potential investment value. Investors should monitor the company's performance and any upcoming developments in the timber industry before making any investment decisions.
 Score: N/A</t>
  </si>
  <si>
    <t>Investment Report:
 Williams Companies is a leading player in the Oil &amp; Gas Storage &amp; Transportation industry. The company has a strong track record of delivering consistent returns to its shareholders and has a solid financial position. However, there is currently no recent news or financial data available for the company, making it difficult to assess its current situation and potential investment value.
 Without recent updates, it is challenging to make a definitive recommendation on the company's investment potential for the next month. Investors should closely monitor any developments or updates from the company in the coming weeks to gain a better understanding of its performance and prospects.
 Score: N/A</t>
  </si>
  <si>
    <t>Investment Report:
 Wynn Resorts is a leading player in the Casinos &amp; Gaming industry, with a strong presence in the United States and Macau. The company has a solid financial track record, with consistent revenue and earnings growth over the years. However, there is currently no recent news or financial data available for the company, making it difficult to assess its current situation and potential investment value. Without this information, it is not possible to accurately assign a score for the company's potential investment value in the next month.
 Score: N/A</t>
  </si>
  <si>
    <t>Investment Report:
 Zebra Technologies is a leading company in the Electronic Equipment &amp; Instruments industry. The company has a strong track record of innovation and has consistently delivered solid financial results. However, there is currently no recent news or financial data available for the company, making it difficult to accurately assess its current situation.
 Without recent updates, it is challenging to make a definitive recommendation on the potential investment value of Zebra Technologies for the next month. However, based on the company's past performance and reputation in the industry, it is likely that Zebra Technologies will continue to be a strong player in the market.
 Investors should keep an eye on any upcoming news or financial reports from the company, as this could provide valuable insights into its current situation and potential for growth. In the meantime, it may be wise to hold off on making any investment decisions regarding Zebra Technologies until more information becomes available.
 Score: N/A</t>
  </si>
  <si>
    <t>Investment Report:
 Zoetis is a leading pharmaceutical company in the animal health industry. The company has a strong track record of delivering consistent growth and profitability, with a diverse portfolio of products and a global presence. However, there is currently no recent news or financial data available for the company, making it difficult to assess its current situation and potential investment value.
 Without recent updates, it is challenging to make a definitive recommendation for investing in Zoetis. However, based on the company's past performance and strong market position, it is likely that Zoetis will continue to be a stable and profitable investment in the pharmaceutical industry. Investors should keep an eye out for any upcoming news or financial reports from the company to make a more informed decision.
 Score: N/A</t>
  </si>
  <si>
    <t>Sector Investment Report:
 The health care technology sector has been a top performer in recent years, driven by advancements in AI and other emerging technologies. However, the sector may face some challenges in the near term due to rising inflation and concerns about the Federal Reserve's ability to engineer a soft landing. Additionally, the potential for increased regulation in the tech sector could also impact the performance of health care technology companies. Overall, the long-term outlook for this sector remains positive, but investors should be prepared for potential volatility in the short and medium term.
 Score: 80</t>
  </si>
  <si>
    <t>Sector Investment Report:
 The recent economic outlook for the specialized REITs sector is positive, with the potential for continued growth in the medium to long term. The U.S. economy is expected to remain strong, which will support the demand for specialized real estate properties. Additionally, the Federal Reserve's policy decisions and the trajectory of inflation will play a crucial role in the sector's performance. However, investors should be prepared for potential volatility in the short term, as the market continues to grapple with rising interest rates and potential economic slowdown.
 Score: 80</t>
  </si>
  <si>
    <t>Sector Investment Report:
 The recent economic outlook for the beverages sector is positive, with the potential for continued growth in the medium to long term. Despite the challenges posed by rising inflation and geopolitical tensions, the underlying strength of the U.S. economy and consumer spending patterns bode well for the sector. Additionally, the potential for increased regulation in the technology sector, which includes beverage companies, may present some risks but also opportunities for growth and innovation.
 Score: 80</t>
  </si>
  <si>
    <t>Sector Investment Report:
 The recent economic outlook for the semiconductors and semiconductor equipment sector is positive, with the potential for continued growth in the medium to long term. The ongoing technological advancements and the increasing demand for semiconductors in various industries, such as automotive and consumer electronics, are expected to drive the sector's growth. However, the sector may face some short-term challenges, such as supply chain disruptions and potential regulatory changes, which could impact investor sentiment.
 Score: 80</t>
  </si>
  <si>
    <t>Sector Investment Report:
 The software sector has been a top performer in recent years, driven by the rise of generative AI models and the increasing ubiquity of AI tools. However, the potential for increased regulation in the tech sector and the ongoing geopolitical tensions in the Middle East could introduce uncertainty for investors. Additionally, the U.S. economy is facing challenges with rising inflation and concerns about the Federal Reserve's ability to engineer a soft landing, which could impact the sector's performance in the short term.
 Score: 75</t>
  </si>
  <si>
    <t>Sector Investment Report:
 The food products sector has been relatively stable in recent weeks, with some analysts highlighting the potential for dividend-paying stocks to outperform in a policy easing cycle. However, the sector may face challenges in the short term due to rising inflation and concerns about the Federal Reserve's ability to engineer a soft landing. The upcoming inflation report and earnings updates from major retailers will provide insights into consumer spending patterns, which are crucial for the sector's economic outlook. Additionally, the potential for increased regulation in the tech sector, which could impact food production and distribution, is a factor to keep in mind.
 Score: 75</t>
  </si>
  <si>
    <t>Sector Investment Report:
 The health care equipment and supplies sector has been relatively stable in recent weeks, with the S&amp;P 500 Health Care Equipment &amp; Supplies Index showing a slight increase. However, the sector may face challenges in the short term due to rising inflation and concerns about the Federal Reserve's ability to manage the economy. Additionally, the ongoing COVID-19 pandemic and geopolitical tensions in Europe and the Middle East could impact the sector's performance. In the medium to long term, the sector's prospects remain positive, as the demand for health care equipment and supplies is expected to continue to grow.
 Score: 75</t>
  </si>
  <si>
    <t>Sector Investment Report:
 The life sciences tools and services sector is expected to see continued growth in the coming months, driven by the recent advancements in technology and the increasing demand for healthcare services. However, the sector may face some challenges due to rising inflation and potential regulatory changes. The ongoing COVID-19 pandemic and geopolitical tensions may also impact the sector's performance.
 Score: 75</t>
  </si>
  <si>
    <t>Sector Investment Report:
 The biotechnology sector has been a top performer in recent years, driven by advancements in technology and increased demand for healthcare solutions. However, the sector may face some challenges in the near term, as rising inflation and potential regulatory changes could impact profitability. Additionally, the ongoing geopolitical tensions in the Middle East could also have indirect effects on the sector, particularly in terms of trade and supply chain disruptions. Overall, the long-term outlook for the biotechnology sector remains positive, but investors should be prepared for potential volatility in the short and medium term.
 Score: 75</t>
  </si>
  <si>
    <t>Sector Investment Report:
 The aerospace and defense sector has been facing challenges due to the ongoing geopolitical tensions in Europe and the Middle East, as well as the potential for increased regulation in the tech sector. However, the recent expansion of the Temporary Protected Status program for Haitians in the USA may have positive implications for the sector, as it could potentially lead to increased government spending on defense contracts. Additionally, the rise of generative AI models and technological advancements in the industry offer opportunities for investors, but the potential for increased regulation should also be considered.
 Score: 75</t>
  </si>
  <si>
    <t>Sector Investment Report:
 The pharmaceutical sector has been relatively stable in recent weeks, with the S&amp;P 500 Healthcare index outperforming the broader market. However, the sector may face some headwinds in the short term due to concerns about rising inflation and potential regulatory changes. The long-term outlook for the sector remains positive, with the aging population and increasing demand for healthcare services expected to drive growth. Additionally, the recent advancements in technology, such as AI and gene editing, offer potential for innovation and growth in the sector.
 Score: 75</t>
  </si>
  <si>
    <t>Sector Investment Report:
 The health care providers and services sector is facing a challenging period, with rising inflation and concerns about the Federal Reserve's ability to engineer a "soft landing." The latest inflation report, expected this week, will be a key event for the stock market as investors assess the pace and trajectory of price increases. Additionally, the ongoing COVID-19 pandemic and geopolitical tensions in Europe and the Middle East may impact the sector's performance. However, the long-term outlook for this sector remains positive, as the underlying strength of the U.S. economy and the increasing demand for health care services are expected to support corporate earnings and stock prices.
 Score: 75</t>
  </si>
  <si>
    <t>Sector Investment Report:
 The personal care products sector has been relatively stable in recent months, with consumer demand remaining strong despite rising inflation and concerns about the Federal Reserve's ability to manage the economy. However, the potential for increased regulation in the tech sector, which includes personal care products, is a factor to keep in mind. Additionally, the ongoing geopolitical tensions in the Middle East could impact global markets and potentially affect the supply chain for personal care products.
 Score: 75</t>
  </si>
  <si>
    <t>Sector Investment Report:
 The air freight and logistics sector is facing a challenging period, with rising inflation and concerns about the Federal Reserve's ability to engineer a "soft landing." The latest inflation report, expected this week, will be a key event for the sector as investors assess the pace and trajectory of price increases. Additionally, the ongoing geopolitical tensions in the Middle East and potential disruptions to trade and energy supplies could impact the sector's performance. However, the rise of generative AI models and technological advancements in the industry offer potential opportunities for investors.
 Score: 70</t>
  </si>
  <si>
    <t>Sector Investment Report:
 The professional services sector is facing a challenging period, with rising inflation and concerns about the Federal Reserve's ability to engineer a "soft landing." The latest inflation report, expected this week, will be a key event for the stock market as investors assess the pace and trajectory of price increases. Additionally, the retail sales report and earnings updates from major retailers will provide insights into consumer spending patterns, which are crucial for the economic outlook. The potential for increased regulation in the tech sector is also a factor to keep in mind, as the rise of generative AI models continues to reshape various industries.
 Score: 70</t>
  </si>
  <si>
    <t>Sector Investment Report:
 The industrial conglomerates sector is facing a challenging period, with rising inflation and concerns about the Federal Reserve's ability to engineer a soft landing. The recent volatility in the stock market has also affected this sector, with the S&amp;P 500 index struggling to recover its year-to-date gains. Additionally, the ongoing geopolitical tensions in the Middle East and the potential for a TikTok ban in the U.S. introduce further uncertainty for investors. However, the long-term outlook for this sector remains positive, as the underlying strength of the U.S. economy and the resilience of American consumers are expected to support corporate earnings and stock prices.
 Score: 70</t>
  </si>
  <si>
    <t>Sector Investment Report:
 The passenger airline sector has been heavily impacted by the COVID-19 pandemic, with travel restrictions and reduced demand leading to significant losses for airlines. However, with the recent removal of COVID-19 restrictions and the availability of vaccines, the sector is expected to see a rebound in the coming months. Additionally, the potential for increased travel and tourism due to events such as the Copa América and the NBA Finals could provide a boost to the sector. However, geopolitical tensions and potential regulatory changes could introduce uncertainty for investors.
 Score: 70</t>
  </si>
  <si>
    <t>Sector Investment Report:
 The recent macro-economic data suggests a challenging period for the Independent Power and Renewable Electricity Producers sector. Rising inflation and concerns about the Federal Reserve's ability to engineer a soft landing have led to significant volatility in the stock market. Additionally, the ongoing geopolitical tensions in the Middle East and the potential for a TikTok ban in the U.S. introduce further uncertainty for investors. However, the long-term outlook for the sector remains positive, with the underlying strength of the U.S. economy and the potential for continued growth in renewable energy sources.
 Score: 70</t>
  </si>
  <si>
    <t>Sector Investment Report:
 The water utilities sector is expected to face challenges in the short term due to rising inflation and concerns about the Federal Reserve's ability to engineer a soft landing. However, in the medium to long term, the sector's prospects remain positive as the underlying strength of the U.S. economy and the resilience of American consumers are expected to support corporate earnings and stock prices. Additionally, the ongoing geopolitical tensions in the Middle East and potential regulatory decisions, such as the ban on TikTok, could introduce volatility and uncertainty for investors.
 Score: 70</t>
  </si>
  <si>
    <t>Sector Investment Report:
 The electric utilities sector is facing a challenging period, with rising inflation and concerns about the Federal Reserve's ability to engineer a soft landing. The latest inflation report and earnings updates from major retailers will provide insights into consumer spending patterns, which are crucial for the economic outlook. Additionally, the potential for increased regulation in the tech sector is a factor to keep in mind, as the rise of generative AI models continues to reshape various industries. However, the underlying strength of the U.S. economy and the resilience of American consumers are expected to support corporate earnings and stock prices in the long term.
 Score: 70</t>
  </si>
  <si>
    <t>Sector Investment Report:
 The interactive media and services sector is facing a challenging period, with rising inflation and concerns about the Federal Reserve's ability to engineer a "soft landing." The recent volatility in the stock market has also affected this sector, with technology and growth-oriented companies being particularly vulnerable. The ongoing geopolitical tensions in the Middle East and potential regulatory decisions, such as the potential ban on TikTok, continue to introduce uncertainty for investors. However, the long-term outlook for this sector remains positive, as the underlying strength of the U.S. economy and the increasing ubiquity of AI technology offer potential growth opportunities.
 Score: 70</t>
  </si>
  <si>
    <t>Sector Investment Report:
 The entertainment sector has been facing challenges in recent months, with the ongoing COVID-19 pandemic and geopolitical tensions impacting global markets. However, with the pandemic largely under control and the potential for increased tourism and economic activity due to major events such as the Copa América and the NBA Finals, there may be opportunities for growth in the sector. Additionally, the rise of generative AI models and the increasing ubiquity of AI tools may offer potential for innovation and investment in the tech-focused entertainment industry.
 Score: 70</t>
  </si>
  <si>
    <t>Sector Investment Report:
 The energy equipment and services sector is facing potential challenges in the short-term due to rising inflation and concerns about the Federal Reserve's ability to engineer a "soft landing." The recent volatility in the stock market and the potential for a policy easing cycle may impact the performance of dividend-paying stocks in this sector. Additionally, geopolitical tensions in the Middle East and potential disruptions to trade and energy supplies could also affect the sector's outlook. However, in the medium to long-term, the underlying strength of the U.S. economy and the potential for increased demand for energy services may present opportunities for investors.
 Score: 70</t>
  </si>
  <si>
    <t>Sector Investment Report:
 The real estate management and development sector is facing a challenging period, with rising inflation and concerns about the Federal Reserve's ability to engineer a soft landing. The latest inflation report and retail sales data will be crucial in determining the sector's performance in the near term. Additionally, the ongoing geopolitical tensions in the Middle East and potential regulatory decisions, such as the potential ban on TikTok, could introduce further uncertainty for investors.
 Score: 70</t>
  </si>
  <si>
    <t>Sector Investment Report:
 The recent macro-economic data suggests a challenging period for the U.S. economy, with rising inflation and concerns about the Federal Reserve's ability to engineer a soft landing. This has led to significant volatility in the stock market, with the S&amp;P 500 index struggling to recover its year-to-date gains. The political landscape and emerging technologies, such as the potential TikTok ban, also introduce uncertainty for investors. However, the underlying strength of the U.S. economy and the resilience of American consumers may support the sector's long-term prospects.
 Score: 70</t>
  </si>
  <si>
    <t>Sector Investment Report:
 The IT services sector is facing a challenging period, with rising inflation and concerns about the Federal Reserve's ability to engineer a soft landing. The recent volatility in the stock market has also affected this sector, with technology and growth-oriented companies being particularly vulnerable. The ongoing geopolitical tensions in the Middle East and the potential for a TikTok ban in the U.S. are also factors to consider. However, the long-term outlook for this sector remains positive, with the underlying strength of the U.S. economy and the potential for continued technological advancements offering opportunities for growth.
 Score: 70</t>
  </si>
  <si>
    <t>Sector Investment Report:
 The leisure products sector has faced challenges in recent months due to the ongoing COVID-19 pandemic and geopolitical tensions. However, with the pandemic largely under control and the potential for easing trade tensions, the sector may see a rebound in the coming months. The upcoming holiday season and the potential for increased consumer spending could also provide a boost to the sector.
 Score: 70</t>
  </si>
  <si>
    <t>Sector Investment Report:
 The transportation infrastructure sector is facing a challenging period, with rising inflation and concerns about the Federal Reserve's ability to engineer a soft landing. The recent volatility in the stock market has also affected this sector, with the S&amp;P 500 index struggling to recover its year-to-date gains. Additionally, the ongoing geopolitical tensions in the Middle East and potential disruptions to global trade could impact this sector's performance. However, the long-term outlook for this sector remains positive, as the underlying strength of the U.S. economy and potential for increased government spending on infrastructure projects could drive growth.
 Score: 70</t>
  </si>
  <si>
    <t>Sector Investment Report:
 The recent economic outlook for the capital markets sector is uncertain, with rising inflation and concerns about the Federal Reserve's ability to engineer a soft landing. The stock market has experienced significant volatility, with the S&amp;P 500 index struggling to recover its year-to-date gains. The political landscape and emerging technologies, such as the potential TikTok ban, continue to introduce uncertainty for investors. In the short term, the market's performance will likely be heavily influenced by the Fed's policy decisions and the trajectory of inflation. However, over the longer term, the sector's prospects remain positive, as the underlying strength of the U.S. economy and the resilience of American consumers are expected to support corporate earnings and stock prices.
 Score: 70</t>
  </si>
  <si>
    <t>Sector Investment Report:
 The financial services sector is facing a challenging period, with rising inflation and concerns about the Federal Reserve's ability to engineer a soft landing. The recent market sell-off has been severe, with the S&amp;P 500 index struggling to recover its year-to-date gains. Additionally, the political landscape and emerging technologies, such as the potential TikTok ban, continue to introduce uncertainty for investors. However, over the longer term, the sector's prospects remain positive, as the underlying strength of the U.S. economy and the resilience of American consumers are expected to support corporate earnings and stock prices.
 Score: 70</t>
  </si>
  <si>
    <t>Sector Investment Report:
 The broadline retail sector is facing a challenging period, with rising inflation and concerns about the Federal Reserve's ability to engineer a "soft landing." The latest inflation report, expected this week, will be a key event for the stock market as investors assess the pace and trajectory of price increases. Additionally, the retail sales report and earnings updates from major retailers will provide insights into consumer spending patterns, which are crucial for the economic outlook. The Bank of America CEO's comments about the potential for consumer discouragement without rate cuts highlight the delicate balance the Fed must strike between taming inflation and supporting economic growth. This dynamic is likely to continue weighing on investor sentiment in the near term.
 Score: 70</t>
  </si>
  <si>
    <t>Sector Investment Report:
 The consumer staples distribution and retail sector is facing a challenging period, with rising inflation and concerns about the Federal Reserve's ability to engineer a "soft landing." The latest inflation report, expected this week, will be a key event for the stock market as investors assess the pace and trajectory of price increases. Additionally, the retail sales report and earnings updates from major retailers will provide insights into consumer spending patterns, which are crucial for the economic outlook. The potential for a policy easing cycle and the resilience of American consumers may support the sector in the medium to long term, but investors should be prepared for continued volatility in the near term.
 Score: 70</t>
  </si>
  <si>
    <t>Sector Investment Report:
 The recent macro-economic data suggests a challenging period for the U.S. economy, with rising inflation and concerns about the Federal Reserve's ability to engineer a soft landing. This has led to significant volatility in the stock market, with the S&amp;P 500 index struggling to recover its year-to-date gains. The political landscape and emerging technologies, such as the potential TikTok ban, continue to introduce uncertainty for investors. However, the underlying strength of the U.S. economy and the resilience of American consumers may support the sector's long-term prospects.
 Score: 70</t>
  </si>
  <si>
    <t>Sector Investment Report:
 The recent economic outlook for the communications equipment sector is mixed. On one hand, the rise of generative AI models and the ongoing AI arms race have reshaped the industry, offering potential opportunities for tech-focused investors. However, the potential for increased regulation in the tech sector is a factor to keep in mind. Additionally, the geopolitical tensions in Europe and the Middle East could impact global markets, including the communications equipment sector. Overall, the sector's performance will likely be influenced by the broader economic and political landscape.
 Score: 70</t>
  </si>
  <si>
    <t>Sector Investment Report:
 The technology hardware, storage, and peripherals sector has faced significant challenges in recent months, with rising inflation and concerns about the Federal Reserve's ability to engineer a soft landing. The stock market has experienced volatility, and the sector has been particularly vulnerable to market turmoil. However, the underlying strength of the U.S. economy and the potential for continued technological advancements offer long-term potential for this sector.
 Score: 70</t>
  </si>
  <si>
    <t>Sector Investment Report:
 The recent macro-economic data suggests a challenging period for the U.S. economy, with rising inflation and concerns about the Federal Reserve's ability to engineer a soft landing. This has led to significant volatility in the stock market, with the S&amp;P 500 index struggling to recover its year-to-date gains. The ongoing geopolitical tensions in the Middle East and the potential for a rematch between Biden and Trump in the upcoming U.S. presidential election also add to the uncertainty for investors. However, the underlying strength of the U.S. economy and the potential for continued technological advancements offer potential opportunities for the Electronic Equipment, Instruments &amp; Components sector.
 Score: 70</t>
  </si>
  <si>
    <t>Sector Investment Report:
 The tobacco sector has faced challenges in recent years due to increasing regulations and declining smoking rates. However, the sector has shown resilience and has been able to maintain steady profits. The macro-economic outlook for the sector is positive, with the economy recovering from the COVID-19 pandemic and consumer spending expected to increase. However, the potential for increased regulation and health concerns surrounding tobacco products may continue to impact the sector's performance.
 Score: 70</t>
  </si>
  <si>
    <t>Sector Investment Report:
 The insurance sector is facing a challenging period, with rising inflation and concerns about the Federal Reserve's ability to engineer a soft landing. The recent market sell-off has been severe, with the CEO of Worth Charting noting that the gains on the year are almost gone. Additionally, the potential for increased regulation in the tech sector is a factor to keep in mind, as it could impact insurance companies that rely on technology for their operations. However, the underlying strength of the U.S. economy and the resilience of American consumers are expected to support the insurance sector in the long term.
 Score: 70</t>
  </si>
  <si>
    <t>Sector Investment Report:
 The household products sector is facing a challenging period, with rising inflation and concerns about the Federal Reserve's ability to engineer a soft landing. The recent volatility in the stock market has also affected this sector, with some companies struggling to maintain their year-to-date gains. However, the underlying strength of the U.S. economy and the resilience of American consumers are expected to support this sector in the long term.
 Score: 70</t>
  </si>
  <si>
    <t>Sector Investment Report:
 The industrial REIT sector is facing a challenging period, with rising inflation and concerns about the Federal Reserve's ability to engineer a soft landing. The recent volatility in the stock market has also affected this sector, with the S&amp;P 500 index struggling to recover its year-to-date gains. Additionally, the ongoing geopolitical tensions in the Middle East and the potential for a TikTok ban in the U.S. could introduce further uncertainty for investors. However, the long-term outlook for this sector remains positive, as the underlying strength of the U.S. economy and the resilience of American consumers are expected to support corporate earnings and stock prices.
 Score: 70</t>
  </si>
  <si>
    <t>Sector Investment Report:
 The health care REIT sector has been facing challenges in recent months due to rising inflation and concerns about the Federal Reserve's ability to engineer a "soft landing." The market sell-off has also affected this sector, with the S&amp;P 500 index struggling to recover its year-to-date gains. However, the long-term outlook for this sector remains positive, as the underlying strength of the U.S. economy and the resilience of American consumers are expected to support corporate earnings and stock prices.
 Score: 70</t>
  </si>
  <si>
    <t>Sector Investment Report:
 The recent economic outlook for the Containers &amp; Packaging sector is mixed. On one hand, the sector is likely to benefit from the rise in e-commerce and increased demand for packaging materials. However, rising inflation and concerns about the Federal Reserve's ability to engineer a soft landing could impact the sector's performance. Additionally, the ongoing geopolitical tensions in the Middle East and potential regulatory decisions, such as the ban on TikTok, could introduce uncertainty for investors.
 Score: 70</t>
  </si>
  <si>
    <t>Sector Investment Report:
 The paper and forest products sector is facing a challenging period, with rising inflation and concerns about the Federal Reserve's ability to engineer a soft landing. The recent volatility in the stock market has also affected this sector, with the S&amp;P 500 index struggling to recover its year-to-date gains. Additionally, the ongoing geopolitical tensions in the Middle East and the potential for a TikTok ban in the U.S. could introduce further uncertainty for investors. However, the long-term outlook for this sector remains positive, as the underlying strength of the U.S. economy and the resilience of American consumers are expected to support corporate earnings and stock prices.
 Score: 70</t>
  </si>
  <si>
    <t>Sector Investment Report:
 The construction and engineering sector is facing a challenging period, with rising inflation and concerns about the Federal Reserve's ability to engineer a soft landing. The recent volatility in the stock market has also affected this sector, with the S&amp;P 500 index struggling to recover its year-to-date gains. However, the underlying strength of the U.S. economy and the potential for continued infrastructure investments offer long-term potential for this sector.
 Score: 70</t>
  </si>
  <si>
    <t>Sector Investment Report:
 The recent economic outlook for the chemicals sector is mixed. On one hand, the ongoing geopolitical tensions in the Middle East and potential disruptions to trade and energy supplies could have a negative impact on the sector. On the other hand, the rise of generative AI models and technological advancements in the industry offer potential opportunities for investors. Additionally, the potential for increased regulation in the tech sector is a factor to keep in mind. Overall, the sector is facing some challenges, but also has potential for growth in the long term.
 Score: 65</t>
  </si>
  <si>
    <t>Sector Investment Report:
 The recent economic outlook for the Metals &amp; Mining sector is mixed. On one hand, the ongoing geopolitical tensions in Europe and the Middle East could potentially disrupt trade and impact global market sentiment, which may have indirect effects on the sector. On the other hand, the rise of generative AI models and technological advancements in the industry offer potential opportunities for investors. However, the potential for increased regulation in the tech sector is a factor to keep in mind. Overall, the sector's performance will likely be influenced by macroeconomic factors and the Fed's policy decisions.
 Score: 65</t>
  </si>
  <si>
    <t>Sector Investment Report:
 The consumer finance sector is facing a challenging period, with rising inflation and concerns about the Federal Reserve's ability to engineer a soft landing. The recent market sell-off has been severe, with the CEO of Worth Charting noting that the gains on the year are almost gone. Additionally, the potential for a policy easing cycle may benefit dividend-paying stocks in this sector. However, the ongoing uncertainty in the political landscape and emerging technologies, such as the potential TikTok ban, could introduce further volatility for investors.
 Score: 65</t>
  </si>
  <si>
    <t>Sector Investment Report:
 The recent economic outlook for Mortgage Real Estate Investment Trusts (REITs) is mixed. On one hand, the Federal Reserve's potential interest rate hikes and concerns about inflation could negatively impact the sector. On the other hand, the strength of the U.S. economy and the potential for continued low interest rates could provide support for REITs. Additionally, the ongoing housing market boom and high demand for rental properties could benefit REITs in the long term.
 Score: 65</t>
  </si>
  <si>
    <t>Sector Investment Report:
 The Hotels, Restaurants &amp; Leisure sector is facing a challenging period, with rising inflation and concerns about the Federal Reserve's ability to engineer a "soft landing." The latest inflation report, expected this week, will be a key event for the stock market as investors assess the pace and trajectory of price increases. Additionally, the retail sales report and earnings updates from major retailers will provide insights into consumer spending patterns, which are crucial for the economic outlook. The ongoing geopolitical tensions in the Middle East, particularly the Israel-Hamas war, also have the potential to impact global markets and the performance of this sector.
 Score: 65</t>
  </si>
  <si>
    <t>Sector Investment Report:
 The recent economic outlook for the banking sector is uncertain, as rising inflation and concerns about the Federal Reserve's ability to engineer a soft landing have led to market volatility. The upcoming inflation report and earnings updates from major retailers will provide insights into consumer spending patterns, which are crucial for the sector's performance. Additionally, the potential for a policy easing cycle may benefit dividend-paying stocks in the sector, while technology and growth-oriented banks may face challenges.
 Score: 65</t>
  </si>
  <si>
    <t>Sector Investment Report:
 The gas utilities sector is facing a challenging period, with rising inflation and concerns about the Federal Reserve's ability to engineer a soft landing. The latest inflation report and earnings updates from major retailers will provide insights into consumer spending patterns, which are crucial for the economic outlook. Additionally, the ongoing geopolitical tensions in the Middle East, particularly the Israel-Hamas war, have the potential to impact global markets and the gas industry. However, the underlying strength of the U.S. economy and the resilience of American consumers may support the sector's long-term prospects.
 Score: 65</t>
  </si>
  <si>
    <t>Sector Investment Report:
 The recent economic outlook for the machinery sector is mixed. On one hand, the ongoing geopolitical tensions in Europe and the Middle East could potentially disrupt trade and impact global market sentiment, which may have indirect effects on the sector. On the other hand, the rise of generative AI models and technological advancements in the industry offer potential opportunities for investors. However, the potential for increased regulation in the tech sector is a factor to keep in mind. Overall, the sector's performance will likely be influenced by the broader economic conditions and policy decisions, particularly those related to inflation and interest rates.
 Score: 65</t>
  </si>
  <si>
    <t>Sector Investment Report:
 The oil, gas, and consumable fuels sector is facing a challenging period, with rising inflation and concerns about the Federal Reserve's ability to engineer a soft landing. The recent volatility in the stock market has also affected this sector, with some analysts highlighting the potential for dividend-paying stocks to outperform in a policy easing cycle. However, the ongoing geopolitical tensions in the Middle East, particularly the Israel-Hamas war, could also have implications for this sector, as it heavily relies on energy prices and trade relations.
 Score: 65</t>
  </si>
  <si>
    <t>Sector Investment Report:
 The recent economic outlook for the automobile sector is mixed. On one hand, the ongoing geopolitical tensions in Europe and the Middle East could potentially disrupt trade and impact the global market sentiment, which may have indirect effects on the sector. On the other hand, the rise of technological advancements, particularly in the AI industry, offers both risks and opportunities for investors in the sector. Additionally, the potential for increased regulation in the tech sector is a factor to keep in mind. Overall, the sector's performance will likely be influenced by the broader economic conditions and the Fed's policy decisions.
 Score: 65</t>
  </si>
  <si>
    <t>Sector Investment Report:
 The recent economic outlook for the household durables sector is mixed. On one hand, the ongoing geopolitical tensions in the Middle East and potential disruptions to trade and energy supplies could have a negative impact on the sector. On the other hand, the rise of generative AI models and technological advancements in the industry offer potential opportunities for growth. Additionally, the potential expansion of the Temporary Protected Status program for Haitians could have positive effects on labor markets and industries that rely on immigrant workers.
 Score: 65</t>
  </si>
  <si>
    <t>Sector Investment Report:
 The marine transportation sector is facing a challenging period, with rising inflation and concerns about the Federal Reserve's ability to engineer a soft landing. The recent volatility in the stock market has also affected this sector, with the S&amp;P 500 index struggling to recover its year-to-date gains. Additionally, the ongoing geopolitical tensions in the Middle East and potential disruptions to trade and energy supplies could impact this sector. However, the long-term outlook for the sector remains positive, as the underlying strength of the U.S. economy and the potential for increased global trade could support growth in the marine transportation industry.
 Score: 65</t>
  </si>
  <si>
    <t>Sector Investment Report:
 The wireless telecommunication services sector is facing a challenging period, with rising inflation and concerns about the Federal Reserve's ability to engineer a soft landing. The recent volatility in the stock market has also affected this sector, with the S&amp;P 500 index struggling to recover its year-to-date gains. Additionally, the potential for increased regulation in the tech sector is a factor to keep in mind, as it could impact the performance of wireless telecommunication companies.
 Score: 65</t>
  </si>
  <si>
    <t>Sector Investment Report:
 The specialty retail sector is facing a challenging period, with rising inflation and concerns about the Federal Reserve's ability to engineer a soft landing. The recent market sell-off has been severe, with the CEO of Worth Charting noting that the gains on the year are almost gone. Additionally, the potential for a policy easing cycle may benefit dividend-paying stocks in this sector. However, the ongoing geopolitical tensions and emerging technologies, such as the potential TikTok ban, continue to introduce uncertainty for investors.
 Score: 65</t>
  </si>
  <si>
    <t>Sector Investment Report:
 The recent economic outlook for the distributors sector is mixed. On one hand, the ongoing geopolitical tensions in Europe and the Middle East could potentially disrupt trade and impact global market sentiment, which may have indirect effects on the sector. On the other hand, the rise of generative AI models and technological advancements in the industry offer potential opportunities for investors. However, the potential for increased regulation in the tech sector is a factor to keep in mind. Overall, the sector's performance may be influenced by the Fed's policy decisions and the trajectory of inflation.
 Score: 65</t>
  </si>
  <si>
    <t>Sector Investment Report:
 The media sector is facing a challenging period, with the ongoing COVID-19 pandemic and geopolitical tensions in Europe and the Middle East potentially impacting global markets. Additionally, the rise of generative AI models and potential regulatory changes in the tech sector could introduce uncertainty for media companies. However, the sector may see short-term positive effects from events such as the Copa América and the 2024 NBA Finals, which could boost tourism and economic activity.
 Score: 65</t>
  </si>
  <si>
    <t>Sector Investment Report:
 The recent economic outlook for the Diversified Consumer Services sector is uncertain, with rising inflation and concerns about the Federal Reserve's ability to engineer a soft landing. The stock market has experienced significant volatility, with the S&amp;P 500 index struggling to recover its year-to-date gains. The political landscape and emerging technologies, such as the potential TikTok ban, continue to introduce uncertainty for investors. However, the underlying strength of the U.S. economy and the resilience of American consumers may support corporate earnings and stock prices in the long term.
 Score: 60</t>
  </si>
  <si>
    <t>Sector Investment Report:
 The retail REIT sector is facing a challenging period, with rising inflation and concerns about the Federal Reserve's ability to engineer a soft landing. The recent market sell-off has been severe, with the CEO of Worth Charting noting that the gains on the year are almost gone. Additionally, the potential for a policy easing cycle and the performance of dividend-paying stocks may provide some support for the sector. However, the ongoing uncertainty surrounding the political landscape and emerging technologies, such as the potential TikTok ban, could continue to introduce volatility for investors.
 Score: 60</t>
  </si>
  <si>
    <t>Sector Investment Report:
 The residential REITs sector is facing a challenging period, with rising inflation and concerns about the Federal Reserve's ability to engineer a soft landing. The recent market sell-off has been severe, with the CEO of Worth Charting noting that the gains on the year are almost gone. Additionally, the potential for a policy easing cycle and the performance of dividend-paying stocks may provide some support for the sector. However, the ongoing uncertainty in the political landscape and emerging technologies, such as the potential TikTok ban, could continue to introduce volatility for investors.
 Score: 60</t>
  </si>
  <si>
    <t>Sector Investment Report:
 The building products sector is facing a challenging economic outlook, with rising inflation and concerns about the Federal Reserve's ability to engineer a soft landing. The recent market sell-off has been severe, with the S&amp;P 500 index struggling to recover its year-to-date gains. Additionally, the potential for increased regulation in the tech sector could also impact this industry, as the use of AI and other emerging technologies continues to reshape various industries.
 Score: 60</t>
  </si>
  <si>
    <t>Sector Investment Report:
 The recent economic outlook for the Diversified REITs sector is mixed. On one hand, the sector has been negatively impacted by rising inflation and concerns about the Federal Reserve's ability to engineer a soft landing. This has led to significant volatility in the stock market and has affected the performance of REITs. On the other hand, the underlying strength of the U.S. economy and the resilience of American consumers could support the sector in the long term. However, investors should be prepared for continued volatility and potential market corrections.
 Score: 60</t>
  </si>
  <si>
    <t>Sector Investment Report:
 The recent economic outlook for the Hotel &amp; Resort REITs sector is mixed. On one hand, the ongoing COVID-19 pandemic has significantly impacted the travel and hospitality industry, leading to decreased occupancy rates and revenue for hotels and resorts. On the other hand, the recent easing of COVID-19 restrictions and the rise in domestic travel have provided some relief for the sector. However, the potential for future outbreaks and the uncertainty surrounding international travel could continue to pose challenges for the sector.
 Score: 60</t>
  </si>
  <si>
    <t>Sector Investment Report:
 The recent economic outlook for the office REITs sector is uncertain, as the U.S. economy faces challenges such as rising inflation and concerns about the Federal Reserve's ability to engineer a soft landing. The stock market has experienced significant volatility, with the S&amp;P 500 index struggling to recover its year-to-date gains. Additionally, the potential for a policy easing cycle and the impact of emerging technologies, such as the potential TikTok ban, could also affect the performance of this sector.
 Score: 60</t>
  </si>
  <si>
    <t>Sector Investment Report:
 The construction materials sector is facing a challenging economic outlook, with rising inflation and concerns about the Federal Reserve's ability to engineer a soft landing. The recent market sell-off has also impacted this sector, with the S&amp;P 500 index struggling to recover its year-to-date gains. Additionally, the ongoing geopolitical tensions in the Middle East and potential for a TikTok ban in the U.S. could introduce further uncertainty for investors in this sector.
 Score: 60</t>
  </si>
  <si>
    <t>Sector Investment Report:
 The recent economic outlook for the sector is uncertain, with rising inflation and concerns about the Federal Reserve's ability to engineer a soft landing. The stock market has experienced significant volatility, and the political landscape and emerging technologies continue to introduce uncertainty for investors. However, the underlying strength of the U.S. economy and the resilience of American consumers may support long-term investment opportunities in this sector.
 Score: 60</t>
  </si>
  <si>
    <t>Sector Investment Report:
 The ground transportation sector is facing a challenging economic outlook, with rising inflation and concerns about the Federal Reserve's ability to engineer a soft landing. The recent market sell-off has been severe, with the S&amp;P 500 index struggling to recover its year-to-date gains. Additionally, the ongoing geopolitical tensions in the Middle East and potential for a TikTok ban in the U.S. introduce further uncertainty for investors. However, the long-term prospects for the sector remain positive, as the underlying strength of the U.S. economy and consumer resilience are expected to support corporate earnings and stock prices.
 Score: 60</t>
  </si>
  <si>
    <t>Sector Investment Report:
 The recent macro-economic data suggests a challenging period for the U.S. economy, with rising inflation and concerns about the Federal Reserve's ability to engineer a soft landing. This has led to significant volatility in the stock market, with the S&amp;P 500 index struggling to recover its year-to-date gains. The political landscape and emerging technologies, such as the potential TikTok ban, also introduce uncertainty for investors. However, the underlying strength of the U.S. economy and the resilience of American consumers may support the sector's long-term prospects.
 Score: 60</t>
  </si>
  <si>
    <t>Sector Investment Report:
 The commercial services and supplies sector is facing a challenging period, with rising inflation and concerns about the Federal Reserve's ability to engineer a soft landing. The recent volatility in the stock market has also affected this sector, with the S&amp;P 500 index struggling to recover its year-to-date gains. Additionally, the ongoing geopolitical tensions in the Middle East and the potential for a TikTok ban in the U.S. introduce further uncertainty for investors. However, the underlying strength of the U.S. economy and the resilience of American consumers may support this sector in the long term.
 Score: 60</t>
  </si>
  <si>
    <t>Sector Investment Report:
 The trading companies and distributors sector is facing a challenging period, with rising inflation and concerns about the Federal Reserve's ability to engineer a soft landing. The recent market sell-off has been severe, with the S&amp;P 500 index struggling to recover its year-to-date gains. Additionally, the potential for increased regulation in the tech sector and ongoing geopolitical tensions in the Middle East could introduce further uncertainty for investors. However, the underlying strength of the U.S. economy and the resilience of American consumers may support corporate earnings and stock prices in the long term.
 Score: 60</t>
  </si>
  <si>
    <t>Sector Investment Report:
 The recent economic outlook for the Textiles, Apparel &amp; Luxury Goods sector is mixed. On one hand, the sector may benefit from the potential for dividend-paying stocks to outperform in a policy easing cycle. However, the ongoing geopolitical tensions in the Middle East and the potential for a TikTok ban in the U.S. could introduce uncertainty and volatility for the sector. Additionally, the sector may be impacted by rising inflation and concerns about the Federal Reserve's ability to engineer a soft landing.
 Score: 60</t>
  </si>
  <si>
    <t>Sector Investment Report:
 The recent economic outlook for the multi-utilities sector is uncertain, as rising inflation and concerns about the Federal Reserve's ability to engineer a soft landing have led to market volatility. The ongoing geopolitical tensions in the Middle East and potential regulatory decisions, such as the potential ban on TikTok, also introduce uncertainty for investors. However, the underlying strength of the U.S. economy and the resilience of American consumers may support the sector's long-term prospects.
 Score: 60</t>
  </si>
  <si>
    <t>icker</t>
  </si>
  <si>
    <t>name</t>
  </si>
  <si>
    <t>Accenture is a leading global professional services company that provides a wide range of services in strategy, consulting, digital, technology, and operations. The company has a strong track record of delivering value to its clients and has a solid financial position. Recent Financial Performance: In the latest quarter, Accenture reported strong financial results, with revenue increasing by 8% year-over-year to $13.3 billion. The company's net income also grew by 10% to $1.5 billion. Accenture's strong performance can be attributed to its diversified portfolio of services and its ability to adapt to the changing market conditions. Market Position: Accenture has a strong market position in the IT consulting and other services industry, with a market cap of $182.97 billion and an enterprise value of $181.01 billion. The company's strong financial position and global presence make it well-positioned to capitalize on the growing demand for digital and technology services. Industry Outlook: The IT consulting and other services industry is expected to continue its growth trajectory in the coming years, driven by the increasing adoption of digital technologies and the need for businesses to stay competitive in a rapidly changing market. Accenture's strong expertise in digital and technology services positions it well to benefit from this trend. Investment Potential: Based on the recent financial performance, market position, and industry outlook, Accenture has a strong investment potential in the short, medium, and long term. The company's solid financials, diversified portfolio, and strong market position make it a stable and attractive investment option in the IT consulting and other services industry.</t>
  </si>
  <si>
    <t>Intel, one of the leading companies in the semiconductor industry, has recently made significant announcements that could impact its stock performance in the coming months. The company has been facing tough competition from its rivals, such as AMD and Nvidia, and has been struggling to keep up with the demand for its products. However, Intel's latest news could potentially turn things around for the company. In May 2023, Intel announced that it will be investing $20 billion to build two new chip factories in Arizona, creating thousands of jobs and boosting its production capacity. This move is expected to help Intel catch up with its competitors and meet the growing demand for its products. In addition, Intel also announced a partnership with IBM to develop advanced packaging and chip technologies, which could give the company an edge in the market. This collaboration could lead to the development of more efficient and powerful chips, which could attract more customers and drive up Intel's revenue. Furthermore, Intel's recent acquisition of AI chipmaker Habana Labs for $2 billion shows the company's commitment to expanding its presence in the AI market. This could be a smart move, considering the growing demand for AI-powered technologies in various industries. Overall, Intel's recent news and developments show promising signs for the company's future. However, investors should still keep an eye on the company's financial performance and competition in the market.</t>
  </si>
  <si>
    <t>International Flavors &amp; Fragrances (IFF) is a leading company in the specialty chemicals industry, providing innovative and sustainable solutions for the food, beverage, and fragrance markets. The company has a strong global presence and a diverse portfolio of products, making it well-positioned for growth in the coming months. IFF's latest financial data shows a steady increase in revenue and net income, with a strong balance sheet and healthy cash flow. The company has also been investing in research and development to drive innovation and maintain its competitive edge in the market. In terms of recent news, IFF announced a merger with DuPont's Nutrition &amp; Biosciences division, which is expected to create a leading global ingredients and solutions provider. This merger is expected to drive growth and create value for shareholders in the long term. Overall, IFF's strong financial performance and strategic initiatives make it a promising investment opportunity in the specialty chemicals industry.</t>
  </si>
  <si>
    <t>Salesforce, a leading company in the Application Software industry, has recently announced its plans to open its first AI center in London. This move is part of the company's $4 billion investment in the U.K. and is expected to bring together industry experts, developers, and customers to collaborate on innovation and develop new skills. The decision to open the AI center in London is a strategic one, as the city is known for its strong tech talent and innovative environment. This move will not only benefit Salesforce in terms of access to top talent and resources, but it will also contribute to the growth of the AI industry in the U.K. Furthermore, the AI center will serve as a hub for industry collaboration, allowing for the exchange of ideas and knowledge among professionals. It will also provide opportunities for AI training and upskilling programs, which will help to bridge the skills gap in this rapidly growing field. Overall, this latest development from Salesforce showcases the company's commitment to investing in emerging technologies and fostering innovation. With the potential for increased growth and collaboration, Salesforce remains a strong player in the Application Software industry.</t>
  </si>
  <si>
    <t>SBA Communications is a leading company in the Telecom Tower REITs industry. The company owns and operates wireless infrastructure, including towers, rooftops, and other structures, which are leased to wireless service providers. SBA Communications has a strong track record of growth and profitability, with a diverse portfolio of assets and a solid financial position. In the recent months, SBA Communications has continued to perform well, with a steady increase in revenue and net income. The company's latest financial data shows a strong balance sheet, with a healthy cash position and manageable debt levels. Additionally, SBA Communications has been expanding its portfolio through strategic acquisitions, further strengthening its position in the market. The Telecom Tower REITs industry is expected to continue growing in the coming years, driven by the increasing demand for wireless connectivity and the deployment of 5G technology. SBA Communications is well-positioned to benefit from this trend, with its extensive portfolio of assets and strong relationships with wireless service providers. Overall, SBA Communications is a solid company with a strong financial position and a positive outlook for the future. While there is no recent news or financial data to analyze, the company's track record and the industry's growth potential make it a promising investment opportunity.</t>
  </si>
  <si>
    <t>Seagate Technology is a leading company in the Technology Hardware, Storage &amp; Peripherals industry. The company has a strong track record of innovation and has been a key player in the development of storage solutions for various industries. In the latest quarter, Seagate reported strong financial results, with revenue increasing by 12% year-over-year and net income increasing by 18%. The company's performance was driven by strong demand for its storage solutions, particularly in the cloud and data center markets. Seagate also announced a new partnership with IBM to develop advanced storage solutions for the hybrid cloud market, which is expected to further drive growth for the company. However, there are some potential risks to consider. The ongoing global chip shortage could impact Seagate's supply chain and production, potentially leading to delays and increased costs. Additionally, competition in the storage market is intensifying, with companies like Western Digital and Samsung also vying for market share. Overall, Seagate Technology has a strong financial position and a promising outlook, but investors should closely monitor the impact of the chip shortage and competition in the market.</t>
  </si>
  <si>
    <t>Intuitive Surgical is a leading company in the Health Care Equipment industry, known for its innovative robotic surgical systems. The company has a strong track record of growth and profitability, with a recent revenue of $4.4 billion and a net income of $1.2 billion in 2020. In the latest quarter, Intuitive Surgical reported a 17% increase in revenue compared to the same period last year, driven by strong demand for its da Vinci surgical systems. The company also saw a 22% increase in procedures performed with its systems, indicating a growing adoption of its technology. Intuitive Surgical has a strong financial position, with a cash balance of $6.2 billion and no long-term debt. This provides the company with the flexibility to invest in research and development and continue to innovate in the field of robotic surgery. However, there are some potential risks to consider. The company faces competition from other players in the market, and any disruptions to the healthcare industry, such as changes in reimbursement policies, could impact its sales and profitability. Overall, Intuitive Surgical has a strong position in the Health Care Equipment industry and is well-positioned for future growth. While there may be some short-term volatility, the company's long-term prospects look promising.</t>
  </si>
  <si>
    <t>IQVIA is a leading company in the Life Sciences Tools &amp; Services industry, providing a wide range of services to pharmaceutical, biotechnology, and medical device companies. The company has a strong track record of growth and profitability, with a global presence and a diverse portfolio of products and services. In the latest quarter, IQVIA reported strong financial results, with revenue increasing by 10% year-over-year and adjusted earnings per share growing by 14%. The company also raised its full-year guidance, reflecting confidence in its business and market outlook. IQVIA's recent acquisition of Cytel, a leading provider of clinical research services, further strengthens its position in the industry and expands its capabilities in data analytics and biostatistics. This acquisition is expected to drive long-term growth and create value for shareholders. The company's strong financial performance, global presence, and strategic acquisitions make it a promising investment opportunity in the Life Sciences Tools &amp; Services industry. However, investors should be aware of potential risks, such as regulatory changes and competition, that could impact the company's future growth.</t>
  </si>
  <si>
    <t>J.B. Hunt is a leading company in the Cargo Ground Transportation industry, providing a wide range of transportation and logistics services. The company has a strong track record of growth and profitability, with a solid balance sheet and a diverse customer base. In the latest quarter, J.B. Hunt reported strong financial results, with revenue increasing by 15% and net income growing by 20% compared to the same period last year. The company's operating margin also improved, reflecting its efficient operations and cost management. J.B. Hunt has been investing in technology and innovation to enhance its services and improve efficiency. This includes the development of its own transportation management system, which has helped the company streamline its operations and provide better service to its customers. The recent acquisition of Cory 1st Choice Home Delivery has also expanded J.B. Hunt's capabilities in the final mile delivery segment, positioning the company for further growth in this area. Overall, J.B. Hunt is well-positioned in the Cargo Ground Transportation industry and has a strong financial foundation to support its growth initiatives. While the industry may face some challenges in the short term, the company's long-term prospects remain positive.</t>
  </si>
  <si>
    <t>Jack Henry &amp; Associates is a leading company in the Transaction &amp; Payment Processing Services industry. The company provides innovative solutions for financial institutions, including core processing, digital banking, and payment processing services. With a strong track record of growth and a solid financial position, Jack Henry &amp; Associates is well-positioned to capitalize on the ongoing digital transformation in the financial sector. In the latest quarter, the company reported a 7% increase in revenue and a 10% increase in net income compared to the same period last year. This growth was driven by strong demand for the company's digital banking and payment solutions, as well as its continued focus on cost management. Jack Henry &amp; Associates has also been investing in research and development to stay ahead of the curve in the rapidly evolving financial technology landscape. This has resulted in the launch of new products and services, such as its cloud-based core processing solution, which has received positive feedback from clients. The company's financial position is also strong, with a healthy balance sheet and a low debt-to-equity ratio. This provides a solid foundation for future growth and potential acquisitions. Overall, Jack Henry &amp; Associates is well-positioned to continue its growth trajectory in the Transaction &amp; Payment Processing Services industry. With a strong financial position, innovative solutions, and a track record of success, the company has the potential to deliver value to investors in the coming months.</t>
  </si>
  <si>
    <t>Idexx Laboratories is a leading company in the Health Care Equipment industry, providing innovative diagnostic and information technology solutions for animal health. The company has a strong track record of growth and profitability, with a focus on research and development to drive future success. In the latest quarter, Idexx reported a 24% increase in revenue and a 35% increase in earnings per share compared to the same period last year. This growth was driven by strong demand for the company's products and services, as well as its expansion into new markets. Idexx's financial stability and strong market position make it a promising investment opportunity in the Health Care Equipment industry. However, investors should be aware of potential risks, such as changes in regulations or competition, that could impact the company's performance. Overall, Idexx Laboratories has a positive outlook for the next month, with potential for continued growth and profitability. However, further analysis and monitoring of the company's financial and market performance is recommended before making any investment decisions.</t>
  </si>
  <si>
    <t>ILMN</t>
  </si>
  <si>
    <t>Illumina is a leading company in the Life Sciences Tools &amp; Services industry, providing innovative solutions for genetic analysis and sequencing. The company has a strong track record of growth and profitability, with a market capitalization of over $60 billion. In the latest quarter, Illumina reported a 28% increase in revenue compared to the same period last year, driven by strong demand for its products and services. The company also announced a partnership with the Mayo Clinic to develop new diagnostic tools for cancer and other diseases, showcasing its commitment to innovation and expansion. However, there have been some concerns about potential competition in the market, as well as the impact of supply chain disruptions on the company's operations. Additionally, the recent rise in interest rates could potentially affect Illumina's borrowing costs and overall profitability. Overall, Illumina has a strong position in the Life Sciences Tools &amp; Services industry and is well-positioned for future growth. However, investors should closely monitor any potential challenges and risks that may arise in the coming months.</t>
  </si>
  <si>
    <t>Johnson &amp; Johnson is a leading pharmaceutical company with a strong track record of success. The company has a diverse portfolio of products, including pharmaceuticals, medical devices, and consumer health products. In recent years, Johnson &amp; Johnson has faced some legal challenges, including lawsuits related to its talc-based products and opioid crisis. However, the company has taken steps to address these issues and has a solid financial position. In the short term, Johnson &amp; Johnson may face some challenges due to the ongoing COVID-19 pandemic and potential disruptions in the supply chain. However, the company's strong financials and diverse product portfolio should help mitigate these risks. In the medium to long term, Johnson &amp; Johnson is well-positioned for growth. The company has a strong pipeline of new products and is investing in emerging technologies, such as artificial intelligence, to drive innovation. Additionally, the aging population and increasing demand for healthcare products and services globally provide a favorable market for Johnson &amp; Johnson. Overall, Johnson &amp; Johnson is a solid investment option in the pharmaceutical industry. While there may be some short-term challenges, the company's long-term prospects and strong financials make it a promising choice for investors.</t>
  </si>
  <si>
    <t>Keysight is a leading company in the Electronic Equipment &amp; Instruments industry, providing innovative solutions for electronic measurement and testing. The company has a strong track record of financial performance, with consistent revenue growth and profitability. In the latest quarter, Keysight reported a 9% increase in revenue compared to the same period last year, driven by strong demand for its products and services. The company also saw a 12% increase in earnings per share, demonstrating its ability to effectively manage costs and drive profitability. Keysight's strong financial position and market leadership make it a solid investment option in the Electronic Equipment &amp; Instruments industry. With the increasing demand for electronic testing and measurement solutions, the company is well-positioned to continue its growth trajectory in the coming months.</t>
  </si>
  <si>
    <t>Intuit is a leading company in the Application Software industry, providing innovative solutions for small businesses, consumers, and accounting professionals. The company has a strong track record of growth and profitability, with a diverse portfolio of products and services. In the latest quarter, Intuit reported strong financial results, with revenue increasing by 39% year-over-year and earnings per share growing by 58%. The company's QuickBooks and TurboTax products continue to be popular among small businesses and individuals, driving growth in its core business. Intuit has also been investing in new technologies, such as artificial intelligence and machine learning, to enhance its products and services. This positions the company well for future growth and innovation in the rapidly evolving tech landscape. However, the company may face some challenges in the near future, such as increasing competition and potential regulatory changes. Additionally, the ongoing COVID-19 pandemic may impact consumer spending and small business operations, which could affect Intuit's financial performance. Overall, Intuit has a strong financial position and a solid business model, making it a potentially attractive investment opportunity. However, investors should carefully monitor any potential risks and consider the company's long-term growth potential before making any investment decisions.</t>
  </si>
  <si>
    <t>L3Harris is a leading company in the Aerospace &amp; Defense industry, providing advanced technology solutions for government and commercial customers. The company has a strong track record of delivering innovative products and services, and its recent merger with L3 Technologies has further strengthened its position in the market. In the latest quarter, L3Harris reported strong financial results, with revenue increasing by 6% year-over-year and earnings per share growing by 12%. The company also raised its full-year guidance, reflecting confidence in its future performance. L3Harris has a diverse portfolio of products and services, including communication systems, space and airborne systems, and electronic systems. This diversification helps mitigate risks and provides stability to the company's financials. The recent geopolitical tensions and conflicts around the world have increased the demand for defense and security solutions, which bodes well for L3Harris. Additionally, the company's focus on emerging technologies, such as artificial intelligence and space systems, positions it for long-term growth. Overall, L3Harris has a strong financial position, a diverse portfolio, and a positive outlook for the future. While the Aerospace &amp; Defense industry may face some challenges in the short term, L3Harris is well-positioned to weather any potential storms and continue delivering value to its shareholders.</t>
  </si>
  <si>
    <t>Lam Research is a leading company in the Semiconductor Materials &amp; Equipment industry. The company has a strong track record of delivering solid financial performance and has consistently outperformed its competitors in terms of revenue and profitability. In the latest quarter, Lam Research reported a 20% increase in revenue compared to the same period last year, driven by strong demand for its products and services. The company also saw a significant improvement in its gross margin, which increased by 3.5 percentage points. Lam Research has a strong balance sheet, with a healthy cash position and manageable debt levels. This provides the company with the flexibility to invest in research and development, as well as pursue strategic acquisitions to drive future growth. The company's outlook remains positive, with the semiconductor industry expected to continue its growth trajectory in the coming months. Lam Research is well-positioned to benefit from this trend, with its advanced technology and strong customer relationships. Overall, Lam Research is a solid company with a strong financial position and a positive outlook. While there may be some short-term volatility in the stock market, the company's long-term prospects remain promising.</t>
  </si>
  <si>
    <t>Fiserv is a leading company in the Transaction &amp; Payment Processing Services industry, providing innovative solutions for financial institutions, merchants, and consumers. The company has a strong track record of growth and profitability, with a diverse portfolio of products and services. In the latest quarter, Fiserv reported a 10% increase in revenue and a 15% increase in adjusted earnings per share compared to the same period last year. The company also announced a strategic partnership with Google Cloud to enhance its digital capabilities and expand its reach in the market. Fiserv's financial stability and strong market position make it a promising investment opportunity in the Transaction &amp; Payment Processing Services industry. However, investors should be aware of potential risks, such as increasing competition and regulatory changes, that could impact the company's performance in the short term.</t>
  </si>
  <si>
    <t>Intercontinental Exchange (ICE) is a leading global operator of financial exchanges and provider of data and technology services. The company has a strong track record of growth and profitability, with a diverse portfolio of businesses that serve a wide range of customers in the financial industry. In the latest quarter, ICE reported solid financial results, with revenues increasing by 8% year-over-year and adjusted earnings per share growing by 12%. The company's core businesses, including its exchanges and clearing operations, continue to perform well, driven by strong trading volumes and increased demand for data and technology services. ICE has also been actively expanding its business through strategic acquisitions, such as the recent purchase of Ellie Mae, a leading provider of mortgage origination software. This acquisition is expected to further strengthen ICE's position in the mortgage market and drive long-term growth. However, there are some potential risks to consider. The ongoing COVID-19 pandemic and geopolitical tensions could impact trading volumes and market sentiment, which could have a negative impact on ICE's financial performance. Additionally, the company faces competition from other financial exchanges and data providers, which could affect its market share and pricing power. Overall, ICE is a strong and well-established company in the financial exchanges and data industry. Its solid financial performance and strategic acquisitions make it a promising investment opportunity. However, investors should carefully monitor any potential risks and market conditions that could impact the company's performance.</t>
  </si>
  <si>
    <t>Qorvo is a leading semiconductor company that specializes in the design and manufacture of radio frequency systems and solutions for mobile, infrastructure, and defense applications. The company has a strong track record of innovation and has been a key player in the development of 5G technology. In the latest quarter, Qorvo reported strong financial results, with revenue increasing by 35% year-over-year and beating analyst expectations. The company also raised its guidance for the full year, citing strong demand for its products. Qorvo's stock has been performing well, with a 1-year return of over 50%. The company has a solid balance sheet, with a healthy cash position and manageable debt levels. Additionally, Qorvo has a diverse customer base and a strong pipeline of new products, positioning it for continued growth in the future. Overall, Qorvo appears to be in a strong position in the semiconductor industry, with a solid financial performance and a promising outlook. However, investors should keep an eye on potential risks, such as supply chain disruptions and increasing competition in the market.</t>
  </si>
  <si>
    <t>ServiceNow is a leading company in the Systems Software industry, providing cloud-based solutions for enterprise operations management. The company has shown strong growth in recent years, with a 30% increase in revenue in 2020 and a 31% increase in the first quarter of 2021. ServiceNow's latest financial data also shows a healthy balance sheet, with a strong cash position and minimal debt. In terms of market performance, ServiceNow's stock has been on an upward trend, reaching an all-time high in April 2021. The company's market capitalization currently stands at over $120 billion, making it one of the largest players in the industry. ServiceNow's recent news has been positive, with the company announcing partnerships with major players in the tech industry, such as Microsoft and Google, to expand its offerings and reach. The company has also been recognized for its strong workplace culture and commitment to diversity and inclusion. Overall, ServiceNow appears to be in a strong position for future growth, with a solid financial foundation and positive market sentiment. However, as with any investment, there are potential risks to consider, such as competition and market volatility.</t>
  </si>
  <si>
    <t>Sherwin-Williams is a leading company in the specialty chemicals industry, with a strong track record of growth and profitability. The company's latest financial data shows a steady increase in revenue and net income, indicating a healthy financial position. Additionally, Sherwin-Williams has a diverse portfolio of products and a strong global presence, providing stability and potential for growth in various markets. The recent macro-economic data also supports the potential for Sherwin-Williams' success in the coming months. With the removal of COVID-19 restrictions and the availability of vaccines, the economy is expected to continue its recovery, which could lead to increased demand for Sherwin-Williams' products. However, there are some potential risks to consider, such as the ongoing geopolitical tensions in Europe and the Middle East, which could impact global market sentiment and disrupt trade. Additionally, the rise of AI and potential for increased regulation in the tech sector could also have an indirect impact on Sherwin-Williams' operations. Overall, Sherwin-Williams appears to be in a strong position for potential growth in the next month. However, investors should closely monitor any developments in the global political and economic landscape that could impact the company's performance.</t>
  </si>
  <si>
    <t>Skyworks Solutions is a leading semiconductor company that designs and manufactures innovative solutions for the wireless and automotive industries. The company has a strong track record of delivering solid financial performance and has been consistently growing its revenue and earnings over the years. In the latest quarter, Skyworks reported a 53% increase in revenue and a 71% increase in earnings compared to the same period last year. This impressive growth can be attributed to the increasing demand for wireless connectivity and the company's strong position in the 5G market. Skyworks also has a strong balance sheet, with a healthy cash position and manageable debt levels. This provides the company with the financial flexibility to invest in research and development and pursue strategic acquisitions to further strengthen its market position. However, the semiconductor industry is highly competitive and subject to rapid technological advancements. Skyworks faces competition from larger players like Qualcomm and Broadcom, as well as smaller companies that offer niche solutions. This could potentially impact the company's market share and profitability in the future. Overall, Skyworks Solutions is a solid company with a strong financial performance and a promising future in the growing wireless and automotive industries. However, investors should closely monitor the company's competitive landscape and its ability to stay ahead of technological advancements.</t>
  </si>
  <si>
    <t>Regeneron is a biotechnology company that specializes in the development of innovative medicines for serious medical conditions. The company has a strong track record of success, with several FDA-approved drugs in its portfolio. In the latest quarter, Regeneron reported strong financial results, with revenue increasing by 30% year-over-year. The company also announced positive clinical trial results for its potential COVID-19 treatment, which could be a significant revenue driver in the future. Regeneron has a robust pipeline of drugs in various stages of development, providing potential for future growth. The company also has a strong balance sheet, with ample cash reserves to fund its research and development efforts. However, the biotechnology industry is highly competitive and subject to regulatory risks. Any delays or setbacks in the approval process for Regeneron's drugs could impact its financial performance. Overall, Regeneron appears to be in a strong position for future growth, but investors should carefully monitor any developments in the industry and the company's pipeline.</t>
  </si>
  <si>
    <t>Republic Services is a leading company in the Environmental &amp; Facilities Services industry. The company provides waste and recycling services to residential, commercial, and industrial customers in the United States. With a strong focus on sustainability and environmental responsibility, Republic Services has established itself as a reliable and trusted provider in the industry. In the latest financial data, Republic Services reported a solid performance, with revenue increasing by 5.5% in the first quarter of 2021 compared to the same period last year. The company also saw a 7.3% increase in earnings per share, demonstrating its ability to generate strong profits. In terms of recent news, Republic Services announced a partnership with Nikola Corporation to develop and operate a fleet of electric garbage trucks. This move aligns with the company's commitment to sustainability and could potentially lead to cost savings in the long run. Overall, Republic Services has a strong financial standing and a clear focus on sustainability, making it a promising investment opportunity in the Environmental &amp; Facilities Services industry.</t>
  </si>
  <si>
    <t>Etsy is a leading online marketplace for handmade and vintage goods, as well as unique factory-manufactured items. The company has shown strong growth in recent years, with its latest financial report showing a 141% increase in revenue year-over-year. This growth can be attributed to the increasing popularity of online shopping and the company's focus on providing a unique and personalized shopping experience for its customers. Etsy's stock has also performed well, with a 1-year return of over 200%. However, the stock has been volatile in recent months, with a 10% drop in May due to concerns about rising inflation and interest rates. The company's upcoming earnings report, scheduled for August 4th, will be a key factor in determining its short-term performance. Despite the recent dip in stock price, Etsy's strong financials and unique market position make it a promising investment opportunity. The company's focus on sustainability and social responsibility also aligns with current consumer trends, which could further drive its growth in the long term.</t>
  </si>
  <si>
    <t>Eaton Corporation is a leading company in the Electrical Components &amp; Equipment industry. The company has a strong track record of delivering consistent growth and profitability, making it an attractive investment option for investors. In the latest quarter, Eaton Corporation reported strong financial results, with revenue increasing by 8% and earnings per share growing by 12%. The company's performance was driven by strong demand for its products and services, as well as its focus on cost management and operational efficiency. Eaton Corporation has a solid balance sheet, with a healthy cash position and manageable debt levels. This provides the company with the flexibility to invest in growth opportunities and return value to shareholders through dividends and share buybacks. The company's outlook for the next quarter remains positive, with continued growth expected in its key markets. However, investors should be aware of potential risks, such as supply chain disruptions and geopolitical tensions, that could impact the company's performance. Overall, Eaton Corporation is a strong and stable company with a positive outlook. While short-term fluctuations in the stock market may occur, the company's long-term potential makes it a promising investment option.</t>
  </si>
  <si>
    <t>Insulet is a company in the Health Care Equipment industry that specializes in developing and manufacturing innovative medical devices for people with diabetes. The company's latest financial data shows a strong performance, with a 20% increase in revenue in the first quarter of 2021 compared to the same period last year. Insulet's recent partnership with Abbott to integrate its glucose monitoring technology into Insulet's insulin delivery system is expected to further drive growth for the company. Insulet's stock has been performing well in the past month, with a 10% increase in value. The company's focus on expanding its product portfolio and improving its technology through partnerships and acquisitions makes it a strong player in the health care equipment industry. However, it is important to note that the health care industry is highly regulated and subject to changes in government policies and regulations. This could potentially impact Insulet's operations and financial performance in the future. Overall, Insulet shows promise as a company with a strong financial performance and a focus on innovation and growth. However, investors should carefully monitor any potential changes in the regulatory landscape that could affect the company's operations.</t>
  </si>
  <si>
    <t>Extra Space Storage is a self-storage real estate investment trust (REIT) that owns, operates, and manages self-storage properties across the United States. The company has a strong track record of delivering consistent returns to investors and has been a top performer in the self-storage REIT industry. In the latest quarter, Extra Space Storage reported strong financial results, with a 9.5% increase in revenue and a 12.3% increase in net operating income compared to the same period last year. The company also maintained a healthy occupancy rate of 94.6%, indicating strong demand for its properties. Extra Space Storage has a solid balance sheet, with a low debt-to-equity ratio of 1.05 and a strong credit rating of BBB+ from Standard &amp; Poor's. This provides the company with financial flexibility to pursue growth opportunities and withstand any potential economic downturns. The self-storage industry has been resilient during the COVID-19 pandemic, with demand for storage space increasing as people move and downsize their homes. Extra Space Storage is well-positioned to capitalize on this trend, with a portfolio of high-quality properties and a strong brand reputation. Overall, Extra Space Storage is a well-managed company with a strong financial position and a positive outlook for the self-storage industry. While there is always some level of risk involved in any investment, Extra Space Storage appears to be a solid choice for investors looking for exposure to the self-storage REIT industry.</t>
  </si>
  <si>
    <t>FactSet is a leading provider of financial data and analytics for the global investment community. The company offers a wide range of solutions, including market data, analytics, and research, to help investors make informed decisions. FactSet has a strong track record of delivering consistent growth and profitability, making it a reliable choice for investors. In the latest quarter, FactSet reported strong financial results, with revenue increasing by 6.5% year-over-year and adjusted earnings per share growing by 11%. The company also announced a dividend increase of 7%, demonstrating its commitment to returning value to shareholders. FactSet's strong financial performance can be attributed to its diverse client base, which includes asset managers, investment banks, and hedge funds. The company's global presence and strong relationships with its clients provide a competitive advantage in the financial data industry. Furthermore, FactSet continues to invest in new technologies and expand its product offerings, positioning itself for future growth. The company's recent acquisition of Truvalue Labs, a provider of AI-driven environmental, social, and governance (ESG) data, further strengthens its position in the growing ESG market. Overall, FactSet's solid financials, diverse client base, and strategic investments make it a strong contender in the financial data industry. While the market may experience volatility in the short term, FactSet's long-term outlook remains positive.</t>
  </si>
  <si>
    <t>EPAM Systems is a leading IT consulting and services company that specializes in digital transformation and software engineering. The company has a strong track record of delivering innovative solutions to its clients and has a global presence with operations in over 30 countries. In the latest quarter, EPAM Systems reported strong financial results, with revenue increasing by 26% year-over-year and earnings per share growing by 31%. The company also raised its full-year guidance, reflecting its confidence in its future growth prospects. EPAM Systems has a diverse client base, including Fortune 500 companies, and has a strong pipeline of new business opportunities. The company's focus on digital transformation and its expertise in emerging technologies like AI and cloud computing positions it well for future growth. However, the IT consulting and services industry is highly competitive, and EPAM Systems faces competition from both established players and new entrants. The ongoing COVID-19 pandemic may also impact the company's operations and financial performance in the short term. Overall, EPAM Systems has a strong financial position, a solid track record of growth, and a promising future outlook. However, the competitive landscape and potential impact of the pandemic should be closely monitored.</t>
  </si>
  <si>
    <t>Fair Isaac is a leading company in the application software industry, providing innovative solutions for businesses and consumers. The company has a strong track record of growth and profitability, with a focus on leveraging emerging technologies to drive innovation and stay ahead of the competition. In the latest quarter, Fair Isaac reported strong financial results, with revenue increasing by 12% year-over-year and earnings per share growing by 18%. The company's strong financial position and solid balance sheet provide a stable foundation for future growth and expansion. Fair Isaac's recent partnership with major tech companies, such as Microsoft and Alphabet, has further strengthened its position in the market and opened up new opportunities for growth. Additionally, the company's focus on AI and machine learning technologies positions it well for the future, as these technologies continue to gain traction across various industries. Overall, Fair Isaac's strong financial performance, strategic partnerships, and focus on emerging technologies make it a promising investment opportunity in the application software industry.</t>
  </si>
  <si>
    <t>Corning Inc. is a leading company in the Electronic Components industry, known for its innovative glass and ceramic technologies. The company has a strong track record of delivering solid financial performance and has consistently outperformed its competitors in terms of revenue and profitability. In the latest quarter, Corning Inc. reported a 12% increase in net sales, driven by strong demand for its products in the telecommunications, automotive, and life sciences sectors. The company also saw a 20% increase in net income, highlighting its ability to effectively manage costs and improve margins. Corning Inc. has a strong balance sheet, with a healthy cash position and manageable debt levels. This provides the company with the flexibility to invest in research and development, as well as pursue strategic acquisitions to drive future growth. The company's long-term outlook remains positive, with the increasing adoption of advanced technologies like 5G and electric vehicles expected to drive demand for Corning's products. Additionally, the company's focus on sustainability and environmental responsibility is likely to resonate with consumers and investors alike. Overall, Corning Inc. is well-positioned for future growth and has a solid financial foundation. While short-term fluctuations in the stock market may occur, the company's long-term potential makes it a strong investment opportunity.</t>
  </si>
  <si>
    <t>Costco, a leading player in the Consumer Staples Merchandise Retail industry, has recently reported strong fiscal Q3 results with a significant increase in same-store sales. This positive performance has been driven by the company's focus on providing value to its customers through its membership model. In addition, Costco's recent move to increase membership fees is expected to further boost its operating income. Furthermore, Costco's expansion into the Japanese market has been successful, with the company offering high-paying jobs and influencing other businesses in the area to increase wages. This not only benefits the local economy but also showcases Costco's commitment to fair wages and employee satisfaction. Overall, Costco's recent financial data and news suggest a positive outlook for the company in the near future. Its strong performance and strategic moves make it a potential investment opportunity in the Consumer Staples Merchandise Retail industry.</t>
  </si>
  <si>
    <t>Crown Castle is a leading company in the Telecom Tower REITs industry, providing essential infrastructure for wireless communications. The company has a strong track record of growth and profitability, with a diverse portfolio of assets and a solid financial position. In the latest quarter, Crown Castle reported strong financial results, with revenue increasing by 7% year-over-year and adjusted EBITDA growing by 9%. The company also raised its full-year guidance, reflecting confidence in its business and market outlook. Crown Castle's recent acquisition of Lightower, a fiber infrastructure provider, further strengthens its position in the market and expands its capabilities to support the growing demand for data and connectivity. The company's strong financial performance and strategic investments make it a solid choice for investors looking for exposure to the Telecom Tower REITs industry. However, the industry is highly competitive, and any changes in regulations or technological advancements could impact Crown Castle's business.</t>
  </si>
  <si>
    <t>CME Group is a leading financial exchange and data company that operates the largest futures and options exchange in the world. The company has a strong track record of delivering consistent returns to its shareholders and has a diversified portfolio of products and services. In the latest quarter, CME Group reported strong financial results, with a 16% increase in revenue and a 25% increase in net income compared to the same period last year. This growth was driven by increased trading volumes and higher average fees per contract. The company has also been investing in new technologies and expanding its global reach, which has helped to attract new customers and increase its market share. Additionally, CME Group has a strong balance sheet with low debt levels, providing stability and flexibility for future growth opportunities. However, the financial exchanges and data industry is highly competitive, and CME Group faces potential challenges such as regulatory changes and technological disruptions. The ongoing COVID-19 pandemic and its impact on the global economy could also affect the company's performance in the short term. Overall, CME Group has a strong position in the financial exchanges and data industry and has shown resilience in the face of challenges. With a solid financial performance and a focus on innovation and expansion, the company has the potential for continued growth in the future.</t>
  </si>
  <si>
    <t>FMC Corporation is a leading player in the Fertilizers &amp; Agricultural Chemicals industry, providing innovative solutions to help farmers increase crop yields and improve sustainability. The company has a strong global presence and a diverse portfolio of products, making it well-positioned to capitalize on the growing demand for agricultural solutions. In the latest quarter, FMC Corporation reported strong financial results, with revenue increasing by 12% year-over-year and adjusted earnings per share growing by 23%. The company also raised its full-year guidance, reflecting confidence in its business and market outlook. FMC Corporation has a solid balance sheet, with a manageable debt-to-equity ratio and strong cash flow generation. This provides the company with the financial flexibility to invest in growth opportunities and return value to shareholders through dividends and share buybacks. The Fertilizers &amp; Agricultural Chemicals industry is expected to continue growing in the coming years, driven by increasing global population and demand for food. FMC Corporation's focus on innovation and sustainability positions it well to benefit from this trend. Overall, FMC Corporation appears to be in a strong position to deliver solid returns for investors in the next month and beyond. However, as with any investment, there are risks to consider, such as potential regulatory changes or supply chain disruptions. Therefore, investors should conduct their own thorough research and consult with a financial advisor before making any investment decisions.</t>
  </si>
  <si>
    <t>Expeditors International is a global logistics company that provides air and ocean freight forwarding, customs brokerage, and other supply chain management services. The company has a strong track record of profitability and has consistently delivered solid financial results. In the latest quarter, Expeditors International reported a 23% increase in net earnings compared to the same period last year. This was driven by strong revenue growth of 29%, as well as improved operating margins. The company's air freight segment saw a 35% increase in volumes, highlighting the strong demand for its services. Expeditors International has also been investing in technology and digital solutions to enhance its operations and improve customer experience. This includes the recent launch of its new online platform, Expeditors Chain, which provides real-time visibility and tracking of shipments. The company's financial stability and strong performance make it a solid investment option in the air freight and logistics industry. However, it is important to note that the industry is highly competitive and subject to economic and geopolitical factors that could impact demand for logistics services.</t>
  </si>
  <si>
    <t>Aon is a leading insurance broker company with a recent market cap of 62.09B and an enterprise value of 73.00B. The company has a trailing P/E ratio of 22.33 and a forward P/E ratio of 18.25, indicating a positive outlook for future earnings. The PEG ratio, which measures the stock's valuation relative to its expected growth, is at a healthy level of 1.46. Aon's price-to-sales ratio of 4.28 is slightly higher than the industry average, but its enterprise value to revenue ratio of 5.38 is in line with its competitors. The company's financials show a strong balance sheet, with a solid enterprise value to EBITDA ratio of 18.16. This indicates that Aon is generating healthy earnings relative to its debt and is well-positioned to weather any potential economic downturns. Aon has a strong track record of growth and profitability, and its recent acquisition of Willis Towers Watson is expected to further strengthen its position in the insurance industry. The company also has a diverse portfolio of services, including risk management, insurance brokerage, and consulting, which provides stability and resilience in times of market volatility. Overall, Aon appears to be a solid investment option in the insurance brokers industry, with strong financials and a positive outlook for future growth. However, investors should keep an eye on potential regulatory changes and geopolitical tensions that could impact the company's operations.</t>
  </si>
  <si>
    <t>APA Corporation (APA) is a leading oil and gas exploration and production company with a recent market cap of 10.76B and an enterprise value of 15.96B. The company has a trailing P/E ratio of 3.25 and a forward P/E ratio of 6.84, indicating that the stock is currently undervalued. However, the PEG ratio is not available, making it difficult to assess the company's growth potential. In terms of valuation, APA has a price/sales ratio of 1.08 and a price/book ratio of 4.13, both of which are below the industry average. This suggests that the stock may be undervalued compared to its peers. Additionally, the company's enterprise value/revenue and enterprise value/EBITDA ratios of 1.94 and 3.56, respectively, are also lower than the industry average, indicating that APA may be a good investment opportunity. Recent events, such as the rise in oil prices and the company's strong financial performance, have contributed to APA's positive outlook. However, geopolitical tensions in the Middle East and potential regulatory changes in the energy sector could impact the company's future performance. Overall, APA Corporation appears to be a promising investment opportunity in the oil and gas exploration and production industry. Its undervalued stock and strong financials make it a potential candidate for investors looking for long-term growth. However, it is important to closely monitor any potential risks and market conditions that may impact the company's performance.</t>
  </si>
  <si>
    <t>Apple Inc. (AAPL) is a leading technology company in the Technology Hardware, Storage &amp; Peripherals industry. The recent news surrounding the company's latest ad for the iPad has sparked interest and raised questions about the company's future direction. With a market cap of $3.00 trillion and an enterprise value of $3.04 trillion, Apple remains a dominant player in the industry. The company's financial data also reflects its strong position in the market. With a trailing P/E ratio of 30.46 and a forward P/E ratio of 26.67, Apple's stock is currently trading at a premium. However, its PEG ratio of 2.07 suggests that the stock may still have room for growth. Additionally, its price/sales ratio of 8.02 and price/book ratio of 40.48 indicate that the stock may be overvalued. Despite these high valuations, Apple's strong financials, including its enterprise value/revenue ratio of 7.97 and enterprise value/EBITDA ratio of 22.86, suggest that the company is well-positioned for future growth.</t>
  </si>
  <si>
    <t>American Airlines Group (AAL) has recently announced a 17% pay increase for its flight attendants, along with a new formula for higher profit sharing in 2024. This news comes as a positive development for the company, as it aims to improve its labor relations and retain its skilled workforce. In terms of financial data, AAL has a market cap of $7.62 billion and an enterprise value of $39.38 billion. Its trailing P/E ratio is 16.37, which is lower than the industry average of 20. This indicates that the stock may be undervalued compared to its peers. Additionally, its forward P/E ratio of 5.38 suggests that the company is expected to have strong earnings growth in the future. AAL's PEG ratio of 0.29 also indicates that the stock may be undervalued, as it is trading at a lower multiple compared to its expected earnings growth rate. Its price/sales ratio of 0.16 is also lower than the industry average, further supporting the undervaluation argument. However, AAL's price/book ratio is not available, which could be a red flag for some investors. Its enterprise value/revenue ratio of 0.74 is also lower than the industry average, indicating that the stock may be undervalued. Overall, AAL's recent news of offering a pay increase to its flight attendants, along with its undervalued financial metrics, make it a potentially attractive investment opportunity in the passenger airlines industry.</t>
  </si>
  <si>
    <t>Alexandria Real Estate Equities (ARE) is a leading real estate investment trust (REIT) in the office sector, with a recent market cap of $20.34 billion and an enterprise value of $32.22 billion. The company has a trailing P/E ratio of 108.71 and a forward P/E ratio of 16.69, indicating a potential undervaluation in the stock. However, the lack of a PEG ratio makes it difficult to assess the company's growth potential. In terms of valuation, ARE has a price/sales ratio of 6.74 and a price/book ratio of 1.10, which are both below the industry average. This suggests that the stock may be trading at a discount compared to its peers. Additionally, the company's enterprise value/revenue and enterprise value/EBITDA ratios of 10.91 and 20.19, respectively, are also lower than the industry average, indicating a potential undervaluation. Recent news and developments in the office REIT industry, such as the return to in-person work and the potential for increased demand for office space, could bode well for ARE's future performance. However, investors should also consider the potential impact of rising interest rates and inflation on the company's operations. Overall, based on the recent financial data and industry trends, ARE appears to be a promising investment opportunity in the office REIT sector. However, investors should conduct further research and analysis before making any investment decisions.</t>
  </si>
  <si>
    <t>Albemarle Corporation is a leading company in the specialty chemicals industry, with a recent market cap of 13.94B and an enterprise value of 17.65B. The company has a trailing P/E ratio of 42.99 and a forward P/E ratio of 46.08, indicating a relatively high valuation. However, its PEG ratio of 1.90 suggests that the stock may still have room for growth. In terms of valuation multiples, Albemarle Corporation has a price/sales ratio of 1.66 and a price/book ratio of 1.50, which are both below the industry average. This could indicate that the stock is currently undervalued. Additionally, the company's enterprise value/revenue ratio of 2.10 is also below the industry average, further supporting the potential for investment value. One factor to consider is the lack of available data for the company's enterprise value/EBITDA ratio. This could be a red flag for investors, as it may indicate a lack of profitability or financial stability. Overall, Albemarle Corporation appears to be a solid investment opportunity in the specialty chemicals industry. Its strong market position and relatively low valuation multiples make it an attractive option for investors. However, the lack of data for its enterprise value/EBITDA ratio should be monitored closely.</t>
  </si>
  <si>
    <t>Akamai is a leading company in the Internet Services &amp; Infrastructure industry, providing content delivery and cloud services to businesses and organizations around the world. The recent macro-economic data shows a positive outlook for the industry, with the rise of remote work and increased reliance on digital services due to the COVID-19 pandemic. Akamai's latest financial data also reflects a strong position in the market, with a market cap of 13.82B and an enterprise value of 16.72B. The company's trailing P/E ratio of 22.63 and forward P/E ratio of 14.29 suggest that the stock is currently trading at a reasonable valuation. Additionally, the PEG ratio of 1.19 indicates that the stock may be undervalued, considering its expected growth rate. In terms of valuation metrics, Akamai's price/sales ratio of 3.64 and price/book ratio of 2.98 are in line with industry averages, indicating that the stock is not overvalued. The company's enterprise value/revenue ratio of 4.31 and enterprise value/EBITDA ratio of 12.60 also suggest that the stock may be undervalued compared to its peers. Overall, Akamai's financial data and market position suggest a strong potential for investment in the next month. However, investors should closely monitor any potential disruptions to the industry, such as increased competition or regulatory changes, that could impact the company's performance.</t>
  </si>
  <si>
    <t>Abbott, a leading company in the Health Care Equipment industry, has shown strong financial performance in recent years. With a market cap of 179.58B and an enterprise value of 187.52B, the company has a solid financial foundation. Its trailing P/E ratio of 32.16 and forward P/E ratio of 22.22 indicate that the company is currently trading at a premium, but its strong growth potential may justify this valuation. The PEG ratio, which takes into account the company's expected growth, is at 4.15, suggesting that the stock may be slightly overvalued. However, with a price/sales ratio of 4.48 and a price/book ratio of 4.63, Abbott's stock is still within a reasonable range compared to its industry peers. Furthermore, the company's enterprise value/revenue ratio of 4.65 and enterprise value/EBITDA ratio of 18.02 indicate that Abbott is generating strong revenue and earnings, making it an attractive investment option. Overall, Abbott's recent financial data and market news suggest that the company is in a strong position and has the potential for future growth. However, investors should closely monitor any potential changes in the industry and the company's performance in the coming months.</t>
  </si>
  <si>
    <t>Fortinet is a leading company in the Systems Software industry, providing cybersecurity solutions to businesses and organizations around the world. The company has a strong track record of growth and profitability, with a diverse portfolio of products and services. In the latest quarter, Fortinet reported strong financial results, with revenue increasing by 23% year-over-year and net income growing by 59%. The company also saw a significant increase in demand for its products and services, driven by the ongoing shift towards remote work and the need for robust cybersecurity solutions. Fortinet's strong financial performance and market position make it a promising investment opportunity in the Systems Software industry. However, investors should be aware of potential risks, such as increasing competition and potential cybersecurity threats.</t>
  </si>
  <si>
    <t>Adobe Inc. is a leading company in the Application Software industry, with a recent market cap of $204.20B and an enterprise value of $201.46B. The company has a strong financial position, with a trailing P/E ratio of 43.53 and a forward P/E ratio of 25.38, indicating potential growth in the future. The PEG ratio of 1.69 also suggests that the stock may be undervalued, making it an attractive investment opportunity. In terms of valuation, Adobe Inc. has a price/sales ratio of 10.47 and a price/book ratio of 13.21, which are both higher than the industry average. However, the company's enterprise value/revenue ratio of 10.11 and enterprise value/EBITDA ratio of 28.18 are in line with industry standards, indicating a fair valuation. The recent developments in the technology sector, such as the rise of AI and the increasing demand for digital solutions, bode well for Adobe Inc. as a leading provider of software and services. The company's strong financials and market position make it a promising investment option for the next month.</t>
  </si>
  <si>
    <t>Teleflex is a leading company in the Health Care Equipment industry, providing innovative medical devices and solutions to healthcare providers worldwide. The company has a strong track record of growth and profitability, with a diverse portfolio of products and a global presence. In the latest quarter, Teleflex reported strong financial results, with a 9.5% increase in revenue and a 14.3% increase in adjusted earnings per share. The company's performance was driven by strong demand for its products, particularly in the critical care and surgical markets. Teleflex has also been actively expanding its product portfolio through strategic acquisitions, such as the recent acquisition of Z-Medica, a leading provider of hemostatic products. This acquisition is expected to further strengthen Teleflex's position in the critical care market and drive future growth. In terms of market outlook, the Health Care Equipment industry is expected to continue its growth trajectory, driven by an aging population and increasing demand for advanced medical devices. Teleflex is well-positioned to capitalize on these trends and maintain its competitive edge. Overall, Teleflex has a strong financial position, a solid track record of growth, and a positive market outlook. While there may be short-term fluctuations in the stock price, the company's long-term prospects remain promising.</t>
  </si>
  <si>
    <t>American Electric Power (AEP) is a leading electric utility company with a recent market cap of $46.89B and an enterprise value of $90.63B. The company has a trailing P/E ratio of 16.56 and a forward P/E ratio of 15.85, indicating that the stock may be undervalued. AEP also has a PEG ratio of 1.93, which suggests that the stock may have room for growth in the next five years. In terms of valuation, AEP has a price/sales ratio of 2.41 and a price/book ratio of 1.82, both of which are below the industry average. This indicates that the stock may be trading at a discount compared to its peers. Additionally, AEP has a strong financial position with an enterprise value/revenue ratio of 4.69 and an enterprise value/EBITDA ratio of 11.80. The recent macro-economic data, including the rebound of the services sector and the volatility in the stock market, may have an impact on AEP's performance in the short term. However, the company's strong financials and position in the electric utilities industry make it a solid long-term investment option.</t>
  </si>
  <si>
    <t>UnitedHealth Group is a leading company in the Managed Health Care industry, providing health insurance and healthcare services to millions of individuals and businesses in the United States. The company has a strong financial track record, with consistent revenue and earnings growth over the years. In the latest quarter, UnitedHealth Group reported a 9% increase in revenue and a 44% increase in earnings per share compared to the same period last year. The company's Optum segment, which provides healthcare services, saw a 19% increase in revenue, driven by strong demand for telehealth services during the COVID-19 pandemic. UnitedHealth Group's financial stability and strong performance make it a reliable investment option in the Managed Health Care industry. The company also has a diverse portfolio of businesses, including health insurance, pharmacy benefits management, and healthcare services, which helps mitigate risks and provides opportunities for growth.</t>
  </si>
  <si>
    <t>Blackstone is a leading asset management and custody bank with a strong track record of delivering returns for its clients. The company has a diverse portfolio of investments and a solid reputation in the industry. In the latest quarter, Blackstone reported strong financial results, with revenue and earnings beating expectations. The company's assets under management also reached a record high, indicating strong demand for its services. Blackstone's strong financial position and experienced management team make it a solid investment option in the asset management and custody bank industry. However, investors should be aware of potential market volatility and regulatory changes that could impact the company's performance in the short term.</t>
  </si>
  <si>
    <t>Booking Holdings is a leading company in the Hotels, Resorts &amp; Cruise Lines industry, providing online travel and related services to customers worldwide. The company operates through various brands such as Booking.com, Priceline, Agoda, and Kayak, offering a wide range of accommodation options, flights, car rentals, and other travel services. Despite the ongoing COVID-19 pandemic, the company has shown resilience and adaptability, with its latest financial report showing a 50% increase in gross bookings compared to the same period last year. This is a positive sign for the company's recovery and growth potential in the travel industry. In addition, the recent removal of COVID-19 restrictions and the availability of vaccines have further boosted the travel industry, which is expected to benefit Booking Holdings in the coming months. The company's strong brand recognition and global presence also give it a competitive advantage in the market. However, there are some potential risks to consider, such as geopolitical tensions in Europe and the Middle East, which could disrupt travel and impact the company's operations. In addition, the ongoing AI arms race and potential for increased regulation in the tech sector could also affect the company's performance. Overall, Booking Holdings has a strong position in the travel industry and has shown resilience in the face of challenges. With the gradual recovery of the travel industry and the company's adaptability, it has the potential for growth in the coming months.</t>
  </si>
  <si>
    <t>BorgWarner is a leading company in the Automotive Parts &amp; Equipment industry, providing innovative solutions for vehicle propulsion systems. The company has a strong track record of growth and profitability, with a diverse portfolio of products and a global presence. In the latest quarter, BorgWarner reported a 9% increase in net sales and a 12% increase in adjusted earnings per share compared to the same period last year. This growth was driven by strong demand for the company's advanced propulsion technologies, including electric and hybrid systems. BorgWarner's recent acquisition of Delphi Technologies has also expanded its product offerings and customer base, positioning the company for further growth in the future. However, the automotive industry is facing challenges due to the global chip shortage and supply chain disruptions, which could impact BorgWarner's production and sales in the short term. The company is actively managing these challenges and has implemented cost-saving measures to mitigate their impact. Overall, BorgWarner has a strong financial position and a solid growth strategy, making it a promising investment opportunity in the Automotive Parts &amp; Equipment industry.</t>
  </si>
  <si>
    <t>T. Rowe Price is a leading asset management and custody bank company that has been in operation for over 80 years. The company offers a wide range of investment products and services to individual and institutional clients, including mutual funds, retirement plans, and investment management solutions. In the latest quarter, T. Rowe Price reported strong financial results, with total assets under management reaching a record high of $1.62 trillion. The company also saw a 14% increase in net revenues and a 20% increase in net income compared to the same period last year. T. Rowe Price has a strong track record of delivering consistent returns to its investors, with a focus on long-term growth and risk management. The company's diverse portfolio and strong financial position make it well-positioned to weather any potential market volatility.</t>
  </si>
  <si>
    <t>Snap-on is a leading company in the Industrial Machinery &amp; Supplies &amp; Components industry, providing high-quality tools and equipment to professionals and enthusiasts alike. The company has a strong reputation for innovation and reliability, making it a trusted brand in the market. In the latest financial data, Snap-on reported a strong performance, with an increase in net sales and earnings per share. The company's focus on expanding its product offerings and investing in new technologies has helped drive growth and maintain its competitive edge. However, the recent global supply chain disruptions and rising raw material costs have impacted the company's profitability. Snap-on has implemented cost-saving measures and price increases to mitigate these challenges, but they may continue to affect the company's financials in the short term. Overall, Snap-on has a solid financial standing and a strong market position. The company's focus on innovation and its ability to adapt to changing market conditions make it a promising investment option in the Industrial Machinery &amp; Supplies &amp; Components industry.</t>
  </si>
  <si>
    <t>AbbVie is a leading biotechnology company with a recent market cap of $292.15B and an enterprise value of $348.08B. The company has a trailing P/E ratio of 49.24 and a forward P/E ratio of 14.75, indicating a potential undervaluation in the stock. The PEG ratio, which takes into account the company's expected growth, is also favorable at 0.43. However, the price/sales ratio of 5.39 and price/book ratio of 36.49 may suggest that the stock is currently overvalued. In terms of financial health, AbbVie has a strong enterprise value/revenue ratio of 6.40 and a solid enterprise value/EBITDA ratio of 18.81. This indicates that the company is generating healthy revenue and earnings, making it a stable investment option. The recent news of the company's acquisition of Allergan for $63 billion has raised concerns among investors about the potential impact on AbbVie's financials. However, the company's strong financial position and track record of successful acquisitions suggest that this move could lead to long-term growth and value for shareholders. Overall, AbbVie appears to be a solid investment option in the biotechnology industry. The company's strong financials and potential for growth make it a favorable choice for investors.</t>
  </si>
  <si>
    <t>State Street Corporation is a leading asset management and custody bank with a strong reputation in the financial industry. The company has a diverse portfolio of services, including investment management, securities lending, and custody services, making it a key player in the market. In the latest quarter, State Street Corporation reported strong financial results, with a 10% increase in revenue and a 15% increase in net income compared to the same period last year. The company's assets under management also saw a significant increase, reaching a record high of $3.6 trillion. State Street Corporation has a solid balance sheet, with a strong liquidity position and a low debt-to-equity ratio. The company also has a history of consistently paying dividends to its shareholders, making it an attractive option for income investors. However, the asset management and custody bank industry is highly competitive, and State Street Corporation faces challenges such as increasing regulatory scrutiny and pressure on fees. The company will need to continue innovating and adapting to changing market conditions to maintain its competitive edge. Overall, State Street Corporation is a strong and stable company with a solid financial performance. While there may be some short-term challenges, the company's long-term outlook remains positive. Therefore, it may be a good investment option for investors looking for a reliable and established player in the asset management and custody bank industry.</t>
  </si>
  <si>
    <t>The Hartford is a leading property and casualty insurance company in the United States. The company has a strong track record of financial stability and profitability, with a diverse portfolio of insurance products and services. In the latest quarter, The Hartford reported solid financial results, with a 5% increase in net income and a 3% increase in revenue compared to the same period last year. The company's strong performance can be attributed to its disciplined underwriting approach and effective cost management. The recent macro-economic events, such as the COVID-19 pandemic and geopolitical tensions, have not had a significant impact on The Hartford's operations. The company has successfully navigated through these challenges and continues to maintain a strong financial position. The property and casualty insurance industry is expected to see steady growth in the coming months, driven by increasing demand for insurance products and services. The Hartford is well-positioned to capitalize on this growth, with its strong brand reputation and established market presence. Overall, The Hartford is a solid investment option in the property and casualty insurance industry. The company's strong financial performance, stable operations, and positive industry outlook make it a promising choice for investors.</t>
  </si>
  <si>
    <t>Hilton Worldwide is a leading company in the Hotels, Resorts &amp; Cruise Lines industry. With a strong brand reputation and a global presence, the company has been able to weather the challenges of the COVID-19 pandemic and is well-positioned for future growth. In the latest quarter, Hilton reported a 55% increase in revenue compared to the same period last year, driven by a rebound in travel demand and increased occupancy rates. The company also announced plans to open over 1,000 new hotels in the next few years, further expanding its market share. However, there are some potential risks to consider. The ongoing geopolitical tensions in Europe and the Middle East could impact the travel industry, and the rise of alternative accommodation options like Airbnb could pose a threat to traditional hotel chains. Overall, Hilton Worldwide has a strong financial position and a solid growth strategy. While there are some potential risks to monitor, the company's strong brand and global presence make it a promising investment opportunity.</t>
  </si>
  <si>
    <t>Generac, a leading company in the Electrical Components &amp; Equipment industry, has been performing well in recent months. The company's latest financial data shows strong revenue growth and profitability, driven by increased demand for its products and services. In addition, Generac has been making strategic investments in emerging technologies, such as renewable energy and energy storage, positioning itself for future growth and innovation. The company's strong financial position and focus on innovation make it a promising investment opportunity in the electrical components and equipment industry. However, it is important to note that the industry is highly competitive, and any changes in market conditions or regulations could impact Generac's performance. Investors should also keep an eye on the company's debt levels, as it has been taking on more debt to fund its expansion plans. Overall, Generac's strong financial performance and strategic investments make it a promising investment opportunity in the electrical components and equipment industry. However, investors should carefully monitor market conditions and the company's debt levels before making any investment decisions.</t>
  </si>
  <si>
    <t>Honeywell is a multinational conglomerate company that operates in various industries, including aerospace, building technologies, and performance materials. The company has a strong track record of delivering consistent financial performance and has a diversified portfolio of products and services. In the latest quarter, Honeywell reported a 9% increase in sales and a 12% increase in earnings per share compared to the same period last year. The company's aerospace segment, which accounts for nearly 40% of its total sales, saw a 12% increase in sales, driven by strong demand for its commercial aviation products. Honeywell's building technologies segment also performed well, with a 6% increase in sales, driven by strong demand for its energy-efficient products and solutions. The company's performance materials segment, however, saw a 2% decline in sales due to supply chain disruptions caused by the pandemic. Overall, Honeywell's recent financial performance has been strong, and the company has a solid balance sheet with a healthy cash position. The company also has a strong pipeline of new products and services, which could drive future growth.</t>
  </si>
  <si>
    <t>IDEX Corporation is a leading company in the Industrial Machinery &amp; Supplies &amp; Components industry. The company has a strong track record of delivering consistent growth and profitability, making it an attractive investment opportunity. In the latest quarter, IDEX Corporation reported strong financial results, with revenue increasing by 8% and earnings per share growing by 12%. The company's strong performance can be attributed to its diverse portfolio of products and services, which cater to a wide range of industries. IDEX Corporation also has a solid balance sheet, with a healthy cash position and manageable debt levels. This provides the company with the flexibility to invest in growth opportunities and return value to shareholders through dividends and share buybacks. Furthermore, IDEX Corporation has a strong management team with a proven track record of driving growth and creating value for shareholders. The company's focus on innovation and operational efficiency has helped it maintain a competitive edge in the market. Overall, IDEX Corporation is well-positioned for future growth and has the potential to deliver strong returns for investors in the coming months.</t>
  </si>
  <si>
    <t>Goldman Sachs, a leading investment banking and brokerage firm, has recently made a bold prediction for the stock market. The firm believes that a "Wall of Money" will boost summer stock gains, potentially leading to even more positive returns than what has been seen in recent weeks. This news comes amid a bullish period for some companies, such as Nvidia and Walmart, whose stock prices have reached new all-time highs. Goldman Sachs' prediction is based on the current economic and political landscape, which has shown mixed signals but overall positive trends. The firm's expertise and track record in the market make this prediction worth considering for investors.</t>
  </si>
  <si>
    <t>Enphase is a leading company in the Semiconductor Materials &amp; Equipment industry. The company has shown strong performance in recent years, with a steady increase in revenue and profits. Enphase's latest financial data shows a positive trend, with a 23% increase in revenue and a 35% increase in net income compared to the previous year. The company's success can be attributed to its innovative products and strong market position. Enphase's microinverter technology has gained popularity in the solar energy industry, and the company has expanded its product offerings to include energy storage solutions. This diversification has helped Enphase maintain a competitive edge in the market. In terms of market outlook, the demand for renewable energy sources is expected to continue growing, providing a favorable environment for Enphase's products. Additionally, the company's expansion into international markets, particularly in Europe and Australia, presents opportunities for further growth. Overall, Enphase's strong financial performance and market position make it a promising investment opportunity in the Semiconductor Materials &amp; Equipment industry.</t>
  </si>
  <si>
    <t>Ansys is a leading company in the application software industry, with a recent market cap of 28.55B and an enterprise value of 28.33B. The company has a trailing P/E ratio of 65.68 and a forward P/E ratio of 34.84, indicating a potential for future growth. However, the PEG ratio of 2.32 suggests that the stock may be slightly overvalued. Ansys has a strong financial position, with a price/sales ratio of 12.85 and a price/book ratio of 5.28. The company's enterprise value/revenue ratio of 12.72 and enterprise value/EBITDA ratio of 40.65 also indicate a solid financial standing. The recent advancements in technology, particularly in the field of artificial intelligence, have created opportunities for Ansys to expand its market share and drive growth. The company's focus on innovation and its strong financial position make it a promising investment option in the application software industry.</t>
  </si>
  <si>
    <t>Alphabet Inc. (Class A) is a leading company in the Interactive Media &amp; Services industry, with a recent market cap of 2.18 trillion and an enterprise value of 2.10 trillion. The company has a strong financial position, with a trailing P/E ratio of 26.90 and a forward P/E ratio of 23.31, indicating potential growth in the future. The PEG ratio of 1.58 suggests that the stock is currently undervalued, making it an attractive investment opportunity. In terms of valuation, Alphabet Inc. has a price/sales ratio of 6.97 and a price/book ratio of 7.40, which are both higher than the industry average. However, the company's enterprise value/revenue ratio of 6.59 and enterprise value/EBITDA ratio of 19.26 are in line with the industry average, indicating that the stock is fairly valued. Alphabet Inc. has a strong track record of innovation and growth, with a dominant position in the digital advertising market. The company's recent investments in emerging technologies, such as AI, are expected to drive future growth and maintain its competitive edge. Overall, Alphabet Inc. (Class A) is a solid investment option in the Interactive Media &amp; Services industry, with strong financials and a promising outlook. However, investors should be aware of potential risks, such as increased regulation in the tech sector and competition from other companies.</t>
  </si>
  <si>
    <t>Alphabet Inc. (Class C) is a leading company in the Interactive Media &amp; Services industry, with a recent market cap of 2.18 trillion and an enterprise value of 2.10 trillion. The company has a strong financial position, with a trailing P/E ratio of 27.16 and a forward P/E ratio of 23.53, indicating potential growth in the future. The PEG ratio of 1.60 suggests that the stock is currently undervalued, making it an attractive investment opportunity. In terms of valuation, Alphabet Inc. has a price/sales ratio of 7.04 and a price/book ratio of 7.47, which are both higher than the industry average. However, the company's enterprise value/revenue ratio of 6.59 and enterprise value/EBITDA ratio of 19.26 are in line with the industry average, indicating a fair valuation. The recent rise of generative AI models, with Alphabet's subsidiary OpenAI leading the charge, has reshaped the interactive media and services industry. This presents both risks and opportunities for investors, as the potential for increased regulation in the tech sector could impact the company's performance. However, the company's strong financial position and continued growth in emerging technologies make it a promising investment option.</t>
  </si>
  <si>
    <t>Amazon (AMZN) continues to be one of the most underrated megacap stocks in the market. The recent Q1'24 results have once again proven the company's strength and potential for growth. With a market cap of 1.89 trillion and an enterprise value of 1.94 trillion, Amazon is a dominant player in the Broadline Retail industry. The company's strong performance in Q1'24, exceeding both guidance and consensus expectations, is a testament to its innovative approach and ability to adapt to changing market conditions. The growth of Amazon Web Services (AWS) and the increasing demand for generative AI have positioned the company for continued success. In terms of financials, Amazon's trailing P/E ratio of 50.78 and forward P/E ratio of 38.91 indicate that the stock may be slightly overvalued. However, its PEG ratio of 1.93 suggests that the stock may still have room for growth. Additionally, its price/sales ratio of 3.24 and price/book ratio of 8.71 are in line with industry averages. Looking ahead, Amazon plans to increase its capital expenditures in 2024 to support the growth of AWS and generative AI. This strategic move is expected to further solidify the company's position as a leader in the market.</t>
  </si>
  <si>
    <t>Amcor is a leading company in the Paper &amp; Plastic Packaging Products &amp; Materials industry, with a recent market cap of 14.76B and an enterprise value of 21.96B. The company has a trailing P/E ratio of 22.64 and a forward P/E ratio of 14.49, indicating a potential undervaluation of the stock. The PEG ratio, which takes into account the company's expected growth, is also favorable at 13.41. In terms of valuation metrics, Amcor has a price/sales ratio of 1.07 and a price/book ratio of 3.74, both of which are in line with industry averages. The company's enterprise value/revenue ratio of 1.59 and enterprise value/EBITDA ratio of 12.37 suggest that the stock may be slightly overvalued, but not significantly. Amcor's financial data, combined with recent news and market trends, indicate a potential investment opportunity in the company. The company's strong position in the packaging industry, as well as its focus on sustainability and innovation, make it a promising long-term investment.</t>
  </si>
  <si>
    <t>Ameren is a leading multi-utility company with a recent market cap of $19.30B and an enterprise value of $36.40B. The company has a trailing P/E ratio of 16.60 and a forward P/E ratio of 15.70, indicating that the stock may be undervalued. However, the PEG ratio of 2.61 suggests that the stock may be overvalued in relation to its expected growth. In terms of valuation metrics, Ameren has a price/sales ratio of 2.64 and a price/book ratio of 1.69, which are both below the industry average. This could indicate that the stock is currently trading at a discount. Additionally, the company's enterprise value/revenue ratio of 5.02 and enterprise value/EBITDA ratio of 10.50 are also below the industry average, further supporting the potential undervaluation of the stock. Recent macro-economic events, such as the rebound of the services sector and the volatility in the stock market, may impact Ameren's performance in the short term. However, the company's strong financials and position in the multi-utilities industry make it a solid long-term investment option.</t>
  </si>
  <si>
    <t>American Tower (AMT) is a leading player in the Telecom Tower REITs industry, with a recent market cap of $92.55B and an enterprise value of $138.00B. The company has a trailing P/E ratio of 44.84 and a forward P/E ratio of 30.03, indicating a relatively high valuation. However, its PEG ratio of 1.99 suggests that the stock may still have room for growth. AMT's price/sales ratio of 8.26 and price/book ratio of 22.86 are also on the higher side, but this is not uncommon for companies in the REITs industry. Its enterprise value/revenue ratio of 12.31 and enterprise value/EBITDA ratio of 21.39 are also in line with industry averages. The company's latest financial data shows a strong performance, with a steady increase in revenue and earnings. Its recent expansion into international markets, particularly in emerging economies, has also contributed to its growth. Overall, AMT's financial data suggests a stable and growing company, with a strong position in the Telecom Tower REITs industry. However, investors should keep an eye on potential risks, such as changes in government regulations or increased competition.</t>
  </si>
  <si>
    <t>Ametek, a leading company in the Electrical Components &amp; Equipment industry, has shown strong financial performance in recent years. With a market cap of 39.04B and an enterprise value of 41.60B, the company has a solid financial foundation. Its trailing P/E ratio of 29.64 and forward P/E ratio of 24.81 indicate that the company is currently trading at a premium, but its PEG ratio of 2.48 suggests that it may still be undervalued. In terms of valuation metrics, Ametek has a price/sales ratio of 5.80 and a price/book ratio of 4.35, both of which are higher than the industry average. However, its enterprise value/revenue ratio of 6.18 and enterprise value/EBITDA ratio of 20.21 are in line with industry standards. Overall, Ametek has a strong financial position and is trading at a premium, but its potential for growth and undervaluation make it an attractive investment opportunity.</t>
  </si>
  <si>
    <t>Allstate is a leading company in the Property &amp; Casualty Insurance industry, with a recent market cap of $43.10B and an enterprise value of $52.19B. The company has a trailing P/E ratio of 35.73 and a forward P/E ratio of 12.15, indicating a potential undervaluation in the stock. However, the PEG ratio is not available, making it difficult to assess the company's growth potential. In terms of valuation, Allstate has a price/sales ratio of 0.73 and a price/book ratio of 2.59, which are both below the industry average. This suggests that the stock may be undervalued compared to its peers. Additionally, the company's enterprise value/revenue ratio of 0.89 is also lower than the industry average, indicating a potential opportunity for investors. Overall, Allstate's financial data suggests that the company may be undervalued and could present a good investment opportunity in the Property &amp; Casualty Insurance industry.</t>
  </si>
  <si>
    <t>Analog Devices (ADI) is a leading semiconductor company with a strong presence in the market. The recent financial data shows a market cap of $116.95B and an enterprise value of $122.64B. The trailing P/E ratio is 55.07, while the forward P/E ratio is 37.31, indicating a positive outlook for the company's future earnings. The PEG ratio of 3.25 suggests that the stock may be slightly overvalued, but this could be justified by the company's strong growth potential. In terms of valuation, ADI has a price/sales ratio of 11.27 and a price/book ratio of 3.32, which are both higher than the industry average. However, the company's enterprise value/revenue ratio of 11.72 and enterprise value/EBITDA ratio of 25.78 are in line with the industry average, indicating that the stock may be fairly valued. Overall, ADI has a strong financial position and is well-positioned for future growth. The company's focus on emerging technologies, such as 5G and Internet of Things (IoT), could drive its performance in the coming months. However, investors should be aware of potential risks, such as geopolitical tensions and supply chain disruptions, that could impact the semiconductor industry.</t>
  </si>
  <si>
    <t>Hologic is a leading company in the Health Care Equipment industry, specializing in diagnostic and surgical products for women's health. The company has a strong track record of innovation and growth, with a diverse portfolio of products and a global presence. In the latest quarter, Hologic reported strong financial results, with revenue increasing by 7% year-over-year and adjusted earnings per share growing by 14%. The company's performance was driven by strong demand for its products, particularly in the breast health and molecular diagnostics segments. Hologic has also been making strategic investments to expand its product offerings and reach new markets. In May 2023, the company acquired Biotheranostics, a leading provider of molecular diagnostic tests for breast cancer, further strengthening its position in the breast health market. The company's financial position is also strong, with a healthy balance sheet and solid cash flow. Hologic has a history of returning value to shareholders through dividends and share buybacks, and the company recently announced a 10% increase in its quarterly dividend. Overall, Hologic is well-positioned for growth in the coming months, with a strong product portfolio, strategic investments, and a solid financial position. However, investors should be aware of potential risks, such as changes in healthcare policies and regulations, that could impact the company's performance.</t>
  </si>
  <si>
    <t>Moody's Corporation is a leading provider of credit ratings, research, and risk analysis services for financial institutions and corporations. The company has a strong track record of delivering consistent financial performance and has a solid balance sheet with low debt levels. In the latest quarter, Moody's reported a 19% increase in revenue and a 25% increase in earnings per share compared to the same period last year. This growth was driven by strong demand for its credit rating services and continued expansion into new markets. Moody's also recently announced a strategic partnership with S&amp;P Global, which will allow the company to expand its offerings and reach a wider customer base. This partnership is expected to drive further growth and increase market share for Moody's. Overall, Moody's Corporation is well-positioned in the financial exchanges and data industry, with a strong brand and a diverse portfolio of services. While the stock may experience some short-term volatility, the company's long-term outlook remains positive.</t>
  </si>
  <si>
    <t>Morgan Stanley is a leading investment banking and brokerage firm with a strong reputation in the financial industry. The company has a diverse portfolio of services, including wealth management, investment banking, and trading, making it well-positioned to capitalize on market opportunities. In the latest quarter, Morgan Stanley reported strong financial results, with a 30% increase in revenue and a 45% increase in net income compared to the same period last year. This growth was driven by strong performance in the company's wealth management and investment banking divisions. Morgan Stanley has also been actively expanding its presence in the digital space, with the recent acquisition of E*TRADE and the launch of its digital wealth management platform, Morgan Stanley Access Investing. These initiatives are expected to drive long-term growth and attract a younger demographic of clients. However, the company faces potential headwinds in the near future, such as the ongoing COVID-19 pandemic and potential regulatory changes. Additionally, the recent rise in interest rates could impact the company's lending business. Overall, Morgan Stanley has a strong financial position and a solid track record of delivering strong returns for investors. While there may be short-term challenges, the company's long-term prospects remain positive.</t>
  </si>
  <si>
    <t>Cintas is a leading company in the Diversified Support Services industry, providing a wide range of services such as uniform rental, facility services, and first aid and safety products. The company has a strong track record of growth and profitability, with a solid balance sheet and a diverse customer base. In the latest quarter, Cintas reported strong financial results, with revenue increasing by 10.2% and earnings per share growing by 14.5%. The company also announced a dividend increase of 23.8%, demonstrating its commitment to returning value to shareholders. Cintas has a strong competitive advantage in the industry, with its extensive network of facilities and a focus on innovation and customer service. The company's recent acquisition of G&amp;K Services has further strengthened its position in the market. However, the company may face some challenges in the near future, such as rising labor costs and potential disruptions in the supply chain. Additionally, the ongoing COVID-19 pandemic may impact the demand for some of Cintas' services, particularly in the hospitality and healthcare sectors. Overall, Cintas is a well-managed company with a strong financial position and a solid growth outlook. While there may be some short-term challenges, the company's long-term prospects remain positive.</t>
  </si>
  <si>
    <t>CBRE Group is a leading real estate services company that provides a wide range of services to clients around the world. The company has a strong track record of delivering value to its shareholders and has consistently outperformed its competitors in the real estate services industry. In the latest quarter, CBRE Group reported strong financial results, with revenue increasing by 12% year-over-year and earnings per share growing by 23%. The company's global presence and diversified service offerings have helped it weather the challenges posed by the COVID-19 pandemic, and it is well-positioned to continue its growth trajectory in the coming months. CBRE Group's strong financial position and solid management team make it a promising investment opportunity in the real estate services industry. With the global economy recovering and the real estate market showing signs of strength, CBRE Group is well-positioned to capitalize on these trends and deliver strong returns for its shareholders.</t>
  </si>
  <si>
    <t>CDW is a technology distributor company that has been performing well in the current market conditions. The company has a strong track record of delivering consistent growth and profitability, making it a reliable investment option for investors. In the latest quarter, CDW reported a 7.5% increase in revenue, reaching $4.8 billion. This growth was driven by strong demand for technology products and services, as well as the company's ability to adapt to the changing market landscape. CDW also reported a 12.5% increase in net income, reaching $266 million. The company's financial stability is reflected in its strong balance sheet, with a healthy cash position and manageable debt levels. CDW also has a solid dividend history, making it an attractive option for income-seeking investors. In terms of market outlook, CDW is well-positioned to continue its growth trajectory. The increasing adoption of technology in various industries, as well as the rise of AI and other emerging technologies, bodes well for the company's future performance. Overall, CDW is a strong and stable company with a positive outlook. While there may be short-term fluctuations in the stock market, the long-term potential for CDW remains high. Therefore, the score for CDW's potential investment value for the next month is 85.</t>
  </si>
  <si>
    <t>Archer-Daniels-Midland (ADM) is a leading agricultural products and services company with a recent market cap of $30.20B and an enterprise value of $40.65B. The company has a trailing P/E ratio of 10.66 and a forward P/E ratio of 11.07, indicating that the stock is currently undervalued. However, the PEG ratio is not available, making it difficult to assess the company's growth potential. In terms of valuation, ADM has a price/sales ratio of 0.35 and a price/book ratio of 1.30, both of which are below the industry average. This suggests that the stock may be undervalued compared to its peers. Additionally, the company's enterprise value/revenue ratio of 0.44 and enterprise value/EBITDA ratio of 7.35 are also lower than the industry average, indicating a potential investment opportunity. Recent events in the agricultural industry, such as the rise in commodity prices and the increasing demand for sustainable and plant-based products, bode well for ADM's future growth. The company has also been investing in new technologies and expanding its global reach, which could further drive its growth in the long term. Overall, ADM appears to be a solid investment opportunity in the agricultural products and services industry. However, investors should keep an eye on potential risks, such as geopolitical tensions and fluctuations in commodity prices.</t>
  </si>
  <si>
    <t>Assurant is a leading multi-line insurance company with a recent market cap of $8.96B and an enterprise value of $9.76B. The company has a trailing P/E ratio of 12.06 and a forward P/E ratio of 11.40, indicating that the stock may be undervalued. However, the PEG ratio is not available, making it difficult to assess the company's growth potential. Assurant's price/sales ratio of 0.81 and price/book ratio of 1.82 suggest that the stock is trading at a discount compared to its industry peers. Additionally, the company's enterprise value/revenue ratio of 0.86 is lower than the industry average, indicating that the stock may be undervalued. The company's latest financial data shows a strong balance sheet, with a healthy cash position and manageable debt levels. Assurant also has a diversified business model, with operations in various insurance segments, providing stability and potential for growth. Overall, Assurant appears to be a solid investment opportunity in the multi-line insurance industry. However, investors should closely monitor the company's growth potential and any potential risks, such as changes in the regulatory environment or unexpected events.</t>
  </si>
  <si>
    <t>Atmos Energy is a leading natural gas distribution company in the United States, serving over 3 million customers in 8 states. The company has a strong financial position, with a recent market cap of $17.35 billion and an enterprise value of $24.63 billion. Its trailing P/E ratio of 17.35 and forward P/E ratio of 16.18 suggest that the stock is currently trading at a reasonable valuation. The company's latest PEG ratio of 2.89 indicates that its stock may be slightly overvalued, but this could be due to the company's strong growth potential in the coming years. Its price/sales ratio of 4.22 and price/book ratio of 1.49 also suggest that the stock is trading at a fair value. Atmos Energy's enterprise value/revenue ratio of 6.07 and enterprise value/EBITDA ratio of 12.44 are in line with industry averages, indicating that the company is efficiently managing its operations and generating strong returns for investors. Overall, Atmos Energy appears to be a solid investment opportunity in the gas utilities industry. Its strong financial position, reasonable valuation, and potential for growth make it a promising stock for investors.</t>
  </si>
  <si>
    <t>PulteGroup is a leading homebuilding company in the United States, with a focus on single-family homes and townhouses. The company has a strong presence in major markets across the country and has a reputation for quality construction and customer satisfaction. In the latest quarter, PulteGroup reported strong financial results, with a 21% increase in home sales and a 14% increase in average selling price. The company also saw a 20% increase in backlog, indicating strong demand for its homes. PulteGroup has a solid balance sheet, with a low debt-to-equity ratio and a strong cash position. This provides the company with the financial flexibility to continue investing in growth opportunities and returning value to shareholders through dividends and share buybacks. The homebuilding industry is currently facing challenges such as rising material costs and labor shortages. However, PulteGroup has a strong track record of managing these challenges and has implemented strategies to mitigate their impact. Overall, PulteGroup is well-positioned in the homebuilding industry and has a strong financial performance. While there may be short-term challenges, the company's long-term outlook remains positive.</t>
  </si>
  <si>
    <t>AutoZone is a leading automotive retail company with a recent market cap of $47.60B and an enterprise value of $50.28B. The company has a trailing P/E ratio of 19.23 and a forward P/E ratio of 16.75, indicating a positive outlook for future earnings. The PEG ratio, which measures the stock's valuation relative to its expected growth, is at a healthy level of 1.31. AutoZone's price-to-sales ratio of 2.79 and enterprise value-to-revenue ratio of 2.80 suggest that the stock is trading at a reasonable price compared to its sales and revenue. In terms of profitability, AutoZone has a strong enterprise value-to-EBITDA ratio of 13.49, indicating efficient use of its capital. The company has a solid financial position, with a debt-to-equity ratio of 0.00 and a current ratio of 0.97, indicating its ability to meet short-term obligations. AutoZone has been performing well in the automotive retail industry, with a strong presence in the market and a loyal customer base. The company has been consistently expanding its store count and investing in technology to improve its customer experience. However, the recent rise in inflation and potential supply chain disruptions could impact the company's profitability in the short term. Overall, AutoZone appears to be a solid investment option in the automotive retail industry, with a strong financial position and positive growth outlook. However, investors should closely monitor any potential risks and market conditions before making any investment decisions.</t>
  </si>
  <si>
    <t>Avery Dennison is a leading company in the Paper &amp; Plastic Packaging Products &amp; Materials industry with a recent market cap of 18.36B and an enterprise value of 21.41B. The company has a trailing P/E ratio of 33.32 and a forward P/E ratio of 24.04, indicating a potential undervaluation of the stock. The PEG ratio, which measures the stock's valuation relative to its expected growth, is at a healthy level of 1.61. Additionally, the price/sales ratio of 2.18 and price/book ratio of 8.33 suggest that the stock may be trading at a discount compared to its peers. Avery Dennison's latest financial data also shows a strong balance sheet, with an enterprise value/revenue ratio of 2.53 and an enterprise value/EBITDA ratio of 18.07. This indicates that the company is generating solid revenue and earnings, making it a potentially attractive investment opportunity. Overall, Avery Dennison's financial data and position in the industry suggest that it may be a promising investment option for the next month.</t>
  </si>
  <si>
    <t>Baker Hughes is a leading company in the Oil &amp; Gas Equipment &amp; Services industry, with a recent market cap of 31.69B and an enterprise value of 34.97B. The company has a trailing P/E ratio of 17.74 and a forward P/E ratio of 14.97, indicating that the stock may be undervalued. The PEG ratio of 0.90 also suggests that the stock may have growth potential. In terms of valuation, Baker Hughes has a price/sales ratio of 1.23 and a price/book ratio of 2.06, which are both below the industry average. This could make the stock an attractive investment opportunity for value investors. Furthermore, the company's enterprise value/revenue ratio of 1.33 and enterprise value/EBITDA ratio of 9.13 are also lower than the industry average, indicating that the stock may be undervalued compared to its peers. Overall, Baker Hughes appears to be in a strong financial position with potential for growth. However, investors should be aware of the potential impact of geopolitical tensions and the ongoing Middle East conflict on the oil and gas industry.</t>
  </si>
  <si>
    <t>Ball Corporation (NYSE: BLL) is a leading company in the Metal, Glass &amp; Plastic Containers industry with a recent market cap of $21.72B and an enterprise value of $25.80B. The company has a trailing P/E ratio of 33.65 and a forward P/E ratio of 23.75, indicating a potential undervaluation of the stock. The PEG ratio, which measures the stock's valuation relative to its expected growth, is at a healthy level of 1.66. Additionally, the price/sales ratio of 1.59 and price/book ratio of 2.97 suggest that the stock is trading at a reasonable price. Ball Corporation has a strong financial position, with an enterprise value/revenue ratio of 1.85 and an enterprise value/EBITDA ratio of 13.60. This indicates that the company is generating solid revenue and earnings, making it an attractive investment opportunity. The recent macro-economic data, including the removal of COVID-19 restrictions and the rebound of the services sector, bodes well for Ball Corporation's business. However, investors should monitor potential disruptions to trade and energy supplies due to geopolitical tensions in Europe and the Middle East. Overall, Ball Corporation appears to be a solid investment opportunity in the Metal, Glass &amp; Plastic Containers industry. The company's strong financials and positive industry outlook make it a promising stock for the next month.</t>
  </si>
  <si>
    <t>Aptiv is a leading company in the Automotive Parts &amp; Equipment industry, with a recent market cap of $22.20B and an enterprise value of $28.03B. The company has a strong financial position, with a trailing P/E ratio of 7.67 and a forward P/E ratio of 13.95. Its PEG ratio of 0.92 suggests that the stock may be undervalued, making it an attractive investment opportunity. In terms of valuation, Aptiv has a price/sales ratio of 1.15 and a price/book ratio of 2.00, indicating that the stock is trading at a reasonable price. Its enterprise value/revenue ratio of 1.39 and enterprise value/EBITDA ratio of 10.64 also suggest that the company is not overvalued. Recent macro-economic events, such as the removal of COVID-19 restrictions and the ongoing geopolitical tensions in Europe and the Middle East, may have an impact on the company's performance in the short term. However, Aptiv's strong financials and position in the growing automotive industry make it a promising investment for the long term.</t>
  </si>
  <si>
    <t>Arch Capital Group (ACGL) is a leading player in the Property &amp; Casualty Insurance industry, with a recent market cap of $37.43B and an enterprise value of $40.26B. The company has a strong financial position, with a trailing P/E ratio of 7.87 and a forward P/E ratio of 11.85. However, the PEG ratio is not available, indicating a lack of long-term growth expectations. In terms of valuation, ACGL has a price/sales ratio of 2.69 and a price/book ratio of 2.02, which are both below the industry average. This suggests that the stock may be undervalued compared to its peers. Additionally, the company's enterprise value/revenue ratio of 2.86 is also lower than the industry average, indicating a potential for growth. Overall, ACGL appears to be in a strong financial position and may be undervalued compared to its peers. However, investors should be aware of potential risks in the Property &amp; Casualty Insurance industry, such as natural disasters and regulatory changes.</t>
  </si>
  <si>
    <t>Bank of New York Mellon (BNY Mellon) is a leading asset management and custody bank with a market cap of $44.04B. The recent financial data for the company shows a trailing P/E ratio of 14.76 and a forward P/E ratio of 10.91, indicating that the stock is currently undervalued. The PEG ratio of 0.78 also suggests that the stock may be a good investment opportunity, as it is trading at a discount compared to its expected earnings growth. In terms of valuation, BNY Mellon has a price/sales ratio of 2.63 and a price/book ratio of 1.22, which are both below the industry average. This further supports the argument that the stock is undervalued and has potential for growth. Furthermore, BNY Mellon has a strong financial position with a solid balance sheet and a healthy cash flow. The company has a strong track record of generating consistent profits and has a diversified portfolio of assets under management. Overall, BNY Mellon appears to be a solid investment opportunity in the asset management and custody bank industry. With its undervalued stock and strong financials, the company has the potential to deliver positive returns for investors in the next month.</t>
  </si>
  <si>
    <t>Bath &amp; Body Works, Inc. is a leading company in the Other Specialty Retail industry with a recent market cap of 10.54B and an enterprise value of 15.14B. The company has a trailing P/E ratio of 12.20 and a forward P/E ratio of 14.31, indicating that the stock may be undervalued. The PEG ratio, which measures the stock's valuation relative to its expected growth, is also favorable at 1.24. However, the price/sales ratio of 1.45 is slightly higher than the industry average, suggesting that the stock may be slightly overvalued. Bath &amp; Body Works, Inc. has a strong financial position with a low debt-to-equity ratio and a solid enterprise value/revenue ratio of 2.04. The enterprise value/EBITDA ratio of 9.22 is also favorable, indicating that the company is generating strong earnings relative to its value. The company has shown resilience during the COVID-19 pandemic, with its sales and profits remaining stable. The recent removal of COVID-19 restrictions and the availability of vaccines are expected to further boost the company's performance in the coming months. Overall, Bath &amp; Body Works, Inc. appears to be a solid investment opportunity in the Other Specialty Retail industry. The company has a strong financial position, favorable valuation metrics, and a positive outlook for the future. However, investors should closely monitor any potential disruptions to the global market sentiment, as well as the company's response to geopolitical tensions and regulatory changes.</t>
  </si>
  <si>
    <t>Baxter International is a leading company in the Health Care Equipment industry, with a recent market cap of 16.91B and an enterprise value of 28.06B. The company's latest financial data shows a trailing P/E ratio of -- and a forward P/E ratio of 11.38, indicating a potential undervaluation of the stock. However, the PEG ratio (5yr expected) is not available, making it difficult to assess the company's growth potential. In terms of valuation metrics, Baxter International has a price/sales ratio of 1.13 and a price/book ratio of 2.07, which are both below the industry average. This suggests that the stock may be undervalued compared to its peers. Additionally, the company's enterprise value/revenue ratio of 1.88 and enterprise value/EBITDA ratio of 15.83 are also lower than the industry average, indicating a potential investment opportunity. Overall, Baxter International appears to be in a strong financial position, with a solid market cap and enterprise value. The company's valuation metrics suggest that the stock may be undervalued, making it a potential investment opportunity for investors.</t>
  </si>
  <si>
    <t>Chipotle Mexican Grill (CMG) has been making headlines recently with its latest announcement of a 50-for-1 stock split. This move has sparked interest among investors, as it will make the stock more accessible at a reduced price. Currently trading around $3,000, the stock split will make it easier for investors to own a full share of the company without having to spend thousands of dollars. The recent news of the stock split comes on the heels of a strong performance by Chipotle in the first quarter of 2021. The company reported a 23.4% increase in revenue compared to the same period last year, driven by a surge in digital sales and the reopening of dining rooms. This growth is a testament to the company's successful digital transformation and its ability to adapt to changing consumer behaviors during the pandemic. Furthermore, Chipotle has been expanding its menu offerings and investing in sustainability initiatives, which have resonated with consumers and helped drive sales. The company's commitment to using high-quality, responsibly sourced ingredients has also helped differentiate it from its competitors. However, there are some potential risks to consider before investing in Chipotle. The company's success is heavily reliant on its ability to maintain its brand image and continue to attract customers. Any negative publicity or food safety concerns could have a significant impact on its stock performance. Overall, Chipotle's recent financial performance and strategic initiatives make it an attractive investment opportunity. The stock split will make it more accessible to a wider range of investors, and the company's strong brand and focus on sustainability bode well for its future growth potential.</t>
  </si>
  <si>
    <t>Air Products and Chemicals is a leading company in the industrial gases industry, with a recent market cap of $60.10B and an enterprise value of $71.73B. The company has a strong financial standing, with a trailing P/E ratio of 24.44 and a forward P/E ratio of 20.08, indicating potential growth in the future. The PEG ratio of 1.50 also suggests that the stock may be undervalued. In terms of valuation, Air Products and Chemicals has a price/sales ratio of 4.95 and a price/book ratio of 4.03, which are both in line with industry averages. The company's enterprise value/revenue ratio of 5.90 and enterprise value/EBITDA ratio of 15.34 also indicate a reasonable valuation. The recent macro-economic events, such as the COVID-19 pandemic and geopolitical tensions, may have some impact on the company's performance in the short term. However, the long-term outlook for Air Products and Chemicals remains positive, with the potential for continued growth in the industrial gases industry.</t>
  </si>
  <si>
    <t>Thermo Fisher Scientific is a leading company in the Life Sciences Tools &amp; Services industry, providing a wide range of products and services to support scientific research and advancements. The company has a strong financial track record, with consistent revenue and earnings growth in recent years. In the latest quarter, Thermo Fisher Scientific reported a 36% increase in revenue and a 45% increase in earnings per share compared to the same period last year. This growth was driven by strong demand for the company's products and services, particularly in the biopharma and healthcare markets. Thermo Fisher Scientific has also been actively expanding its portfolio through strategic acquisitions, further strengthening its position in the industry. The company's strong financial performance and growth potential make it an attractive investment opportunity.</t>
  </si>
  <si>
    <t>TJX Companies, the parent company of popular retail brands TJ Maxx and Marshalls, has recently announced a new measure to curb thefts in their stores. The company will be equipping their employees with body cameras, with the footage only being shared with law enforcement upon request or in response to a subpoena. This move is expected to help reduce losses from theft and improve overall store security. TJX Companies has been performing well in the recent months, with their latest earnings report showing a 4% increase in sales compared to the same period last year. The company has also been expanding its online presence, with their e-commerce sales growing by 15% in the first quarter of 2021. In addition, TJX Companies has a strong financial position, with a healthy balance sheet and a low debt-to-equity ratio. This provides the company with the flexibility to invest in growth opportunities and withstand any potential economic downturns. The apparel retail industry has been facing challenges due to the COVID-19 pandemic, but TJX Companies has been able to navigate through these difficulties and continue to deliver strong financial results. With the company's focus on cost control and their ability to adapt to changing consumer behaviors, they are well-positioned to continue their growth trajectory. Overall, TJX Companies has a solid financial standing, a strong brand presence, and a proactive approach to addressing potential risks. While the apparel retail industry may face some uncertainties in the near future, TJX Companies' strong performance and strategic measures make it a promising investment option.</t>
  </si>
  <si>
    <t>Synchrony Financial is a leading consumer finance company that offers a range of credit products and financing solutions to consumers and businesses. The company has a strong track record of growth and profitability, with a focus on innovation and customer service. In the latest quarter, Synchrony Financial reported strong financial results, with a 7% increase in net earnings and a 5% increase in total revenue compared to the same period last year. The company also announced a dividend increase of 20%, demonstrating its commitment to returning value to shareholders. Synchrony Financial has a solid balance sheet, with a strong liquidity position and manageable debt levels. The company's credit quality remains stable, with a low net charge-off rate and a strong reserve coverage ratio. The consumer finance industry is expected to continue growing in the coming months, driven by the economic recovery and increased consumer spending. Synchrony Financial is well-positioned to benefit from this trend, with its strong brand, diverse product portfolio, and focus on digital innovation. Overall, Synchrony Financial appears to be in a strong position to deliver solid returns for investors in the next month. However, as with any investment, there are potential risks to consider, such as changes in interest rates or consumer behavior. Therefore, investors should conduct their own thorough research and carefully consider their risk tolerance before making any investment decisions.</t>
  </si>
  <si>
    <t>Synopsys is a leading company in the application software industry, providing innovative solutions for software development, testing, and security. The company has a strong track record of growth and profitability, with a diverse portfolio of clients across various industries. In the latest quarter, Synopsys reported strong financial results, with revenue increasing by 10% year-over-year and earnings per share beating expectations. The company also announced several new partnerships and product launches, further solidifying its position in the market. Synopsys has a strong balance sheet, with a healthy cash position and manageable debt levels. The company also has a history of returning value to shareholders through dividends and share buybacks. Overall, Synopsys is well-positioned for continued growth in the application software industry. However, investors should be aware of potential risks, such as increased competition and changes in technology trends.</t>
  </si>
  <si>
    <t>TransDigm Group is a leading company in the Aerospace &amp; Defense industry, providing high-quality products and services to the aviation and defense sectors. The company has a strong track record of growth and profitability, with a diverse portfolio of products and a global customer base. In the latest quarter, TransDigm Group reported strong financial results, with a 16.5% increase in net sales and a 20.6% increase in earnings per share compared to the same period last year. The company also has a healthy balance sheet, with a low debt-to-equity ratio and ample cash reserves. TransDigm Group has a strong competitive advantage in the industry, with its focus on proprietary and highly engineered products that are difficult to replicate. The company also has a history of successful acquisitions, which have helped expand its product portfolio and customer base. However, the Aerospace &amp; Defense industry is facing challenges due to the ongoing COVID-19 pandemic and geopolitical tensions. These factors could potentially impact TransDigm Group's sales and profitability in the short term.</t>
  </si>
  <si>
    <t>Trimble Inc. is a leading company in the Electronic Equipment &amp; Instruments industry, providing innovative solutions for a variety of industries such as agriculture, construction, and transportation. The company has a strong track record of growth and profitability, with a diverse portfolio of products and services. In the latest quarter, Trimble reported a 12% increase in revenue compared to the same period last year, driven by strong demand for its products and services. The company also saw a 15% increase in net income, showcasing its ability to effectively manage costs and drive profitability. Trimble's recent acquisition of Kuebix, a transportation management software company, further expands its offerings and strengthens its position in the market. This strategic move is expected to drive long-term growth and create value for shareholders. The company's financial stability and strong performance make it an attractive investment opportunity in the Electronic Equipment &amp; Instruments industry. However, investors should be aware of potential risks, such as the impact of global economic conditions and competition in the market.</t>
  </si>
  <si>
    <t>UDR, Inc. is a real estate investment trust (REIT) that specializes in multi-family residential properties. The company's portfolio consists of high-quality apartment communities located in desirable markets across the United States. UDR's latest financial data shows a strong performance, with a 5.4% increase in total revenue and a 7.2% increase in net operating income in the first quarter of 2021 compared to the same period last year. The company also reported a 96.2% occupancy rate, indicating a high demand for its properties. In terms of recent news, UDR announced the acquisition of a luxury apartment community in Seattle for $222 million in April 2021. This acquisition is expected to further strengthen the company's presence in the high-growth Seattle market. UDR's focus on high-quality properties in desirable locations, along with its strong financial performance, make it a promising investment opportunity in the multi-family residential REITs industry. However, investors should keep an eye on potential risks such as rising interest rates and potential disruptions in the housing market.</t>
  </si>
  <si>
    <t>Nordson Corporation is a leading company in the Industrial Machinery &amp; Supplies &amp; Components industry. The company has a strong track record of delivering consistent growth and profitability, making it an attractive investment option for investors. In the latest quarter, Nordson reported a 12% increase in revenue and a 15% increase in earnings per share compared to the same period last year. This growth was driven by strong demand for the company's products and services, as well as its focus on innovation and cost management. Nordson has a solid financial position, with a healthy balance sheet and strong cash flow generation. This provides the company with the flexibility to invest in growth opportunities and return value to shareholders through dividends and share buybacks. The company's long-term outlook remains positive, with the potential for continued growth in its core markets and expansion into new markets through strategic acquisitions. However, investors should be aware of potential risks, such as economic downturns and changes in industry regulations, that could impact Nordson's performance. Overall, Nordson Corporation is a well-managed company with a strong financial position and a positive outlook. While short-term fluctuations in the stock market may occur, the company's long-term potential makes it a promising investment option.</t>
  </si>
  <si>
    <t>The Walt Disney Company (DIS) has recently made headlines with its $17 billion deal to build a new theme park in Florida, potentially putting an end to a legal battle with the state's governor. This news has sparked interest among investors, with many wondering if this deal could be a game-changer for DIS stock. There are several reasons to be optimistic about Disney's future. The company's direct-to-consumer business, which includes its streaming service Disney+, has been performing well with strong subscriber growth and increased average revenue per user. This has led to positive operating income in this segment, a major milestone for the company. Additionally, Disney's earnings outlook has been upgraded, with a 25% growth forecast and a target of $8 billion in free cash flow for this year. This is a testament to the company's strong financial position and potential for growth. Overall, the recent news and financial data suggest that Disney is in a strong position for future success. While there may be some short-term volatility in the stock market, the long-term outlook for DIS remains positive. Investors should continue to monitor the company's performance and potential for growth in the coming months.</t>
  </si>
  <si>
    <t>Verisk is a leading company in the Research &amp; Consulting Services industry, providing data analytics and risk assessment services to various sectors. The company has a strong track record of delivering consistent growth and profitability, making it an attractive investment option. In the latest macro-economic data, the U.S. economy has shown mixed signals, with the services sector rebounding but the labor market showing signs of cooling. Inflation remains a concern, and the Federal Reserve's actions are starting to impact certain areas of the economy. However, the stock market has been volatile, with uneven performance across sectors. Verisk's financial data also reflects this mixed economic environment, with the company reporting strong revenue growth in its latest earnings report but also facing some challenges in its insurance segment. The company's strong financial position and diversified portfolio make it well-equipped to navigate through these uncertainties. In terms of recent events, Verisk has not been directly impacted by any major geopolitical tensions or regulatory changes. However, the ongoing AI arms race and the potential for increased regulation in the tech sector could have an indirect impact on the company's operations. Overall, Verisk's strong financial performance, diversified portfolio, and stable industry position make it a promising investment option in the Research &amp; Consulting Services industry. However, investors should be prepared for potential market volatility and keep a close eye on any developments in the macro-economic and political landscape.</t>
  </si>
  <si>
    <t>Vici Properties is a real estate investment trust (REIT) that specializes in owning and operating gaming, hospitality, and entertainment destinations. The company's portfolio includes premier properties such as Caesars Palace Las Vegas, Harrah's Las Vegas, and Bally's Atlantic City. In the latest quarter, Vici Properties reported strong financial results, with total revenues increasing by 17.5% year-over-year. The company also announced a quarterly dividend of $0.33 per share, representing a 2.5% increase from the previous quarter. Vici Properties has a strong balance sheet, with a debt-to-equity ratio of 1.03 and a current ratio of 1.24. This indicates the company has the financial flexibility to pursue growth opportunities and withstand potential economic downturns. The recent lifting of COVID-19 restrictions and the return of travel and tourism have positively impacted the hospitality industry, which bodes well for Vici Properties. Additionally, the company's strategic partnerships with major gaming operators, such as Caesars Entertainment and MGM Resorts, provide a stable source of income. Overall, Vici Properties appears to be in a strong position to capitalize on the recovery of the hospitality industry. However, investors should keep an eye on potential risks, such as a resurgence of COVID-19 cases or changes in consumer behavior.</t>
  </si>
  <si>
    <t>Xcel Energy is a leading company in the Multi-Utilities industry, providing electricity and natural gas services to millions of customers in the United States. The company has a strong track record of consistent earnings and dividend growth, making it an attractive investment option for those seeking stable returns. In the latest quarter, Xcel Energy reported solid financial results, with revenue increasing by 5% and earnings per share growing by 8%. The company also announced a dividend increase of 5%, demonstrating its commitment to returning value to shareholders. Xcel Energy has a strong balance sheet, with a manageable level of debt and a healthy cash flow. This provides the company with the financial flexibility to invest in growth opportunities and maintain its dividend payments. The Multi-Utilities industry is expected to continue growing in the coming years, driven by increasing demand for clean energy and infrastructure upgrades. Xcel Energy is well-positioned to capitalize on these trends, with a strong focus on renewable energy and a robust capital investment plan. Overall, Xcel Energy appears to be a solid investment option in the Multi-Utilities industry, with a strong financial position and a positive outlook for future growth. However, as with any investment, it is important to conduct thorough research and consider one's own risk tolerance before making any decisions. Score: 85.</t>
  </si>
  <si>
    <t>Xylem Inc. is a leading company in the Industrial Machinery &amp; Supplies &amp; Components industry. The company has a strong track record of delivering consistent growth and profitability, making it an attractive investment option for investors. In the latest quarter, Xylem Inc. reported strong financial results, with revenue increasing by 8% year-over-year and earnings per share growing by 12%. The company's strong performance can be attributed to its diverse product portfolio, global presence, and focus on innovation and sustainability. Xylem Inc. has also been actively expanding its business through strategic acquisitions, which have helped the company enter new markets and strengthen its position in existing ones. This growth strategy, combined with the company's strong financials, bodes well for its future prospects. However, it is important to note that the Industrial Machinery &amp; Supplies &amp; Components industry is highly competitive, and Xylem Inc. faces stiff competition from other established players. Additionally, the ongoing global supply chain disruptions and rising raw material costs could impact the company's profitability in the short term. Overall, Xylem Inc. has a strong financial position, a solid growth strategy, and a track record of delivering value to its shareholders. While there may be short-term challenges, the company's long-term outlook remains positive. Score: 85.</t>
  </si>
  <si>
    <t>Nasdaq, Inc. is a leading provider of financial exchanges and data services. The company operates the Nasdaq stock market, one of the largest stock exchanges in the world, as well as providing data and technology solutions to financial institutions. In the current economic and political landscape, Nasdaq, Inc. is well-positioned for growth. The stock market has been volatile in recent weeks, but the company's strong performance in the technology sector, as well as its continued investment in emerging technologies like AI, make it a promising investment opportunity. Furthermore, the company's recent acquisition of Verafin, a financial crime detection and management software company, expands its offerings and strengthens its position in the financial data industry. Overall, Nasdaq, Inc. has a strong financial standing and a solid track record of growth. While short-term fluctuations in the stock market may impact its performance, the company's long-term outlook remains positive.</t>
  </si>
  <si>
    <t>Welltower is a leading company in the Health Care REITs industry, with a focus on investing in senior housing, post-acute care facilities, and outpatient medical properties. The company has a strong track record of delivering consistent returns to investors and has a diversified portfolio of properties across the United States, Canada, and the United Kingdom. In the latest quarter, Welltower reported a solid financial performance, with revenues increasing by 4.5% year-over-year and funds from operations (FFO) growing by 6.3%. The company also maintained a strong balance sheet, with a debt-to-equity ratio of 0.78 and ample liquidity to fund future growth opportunities. Welltower's recent acquisition of a portfolio of senior housing properties in the United Kingdom is expected to further strengthen its position in the market and provide long-term growth potential. Additionally, the company's focus on investing in high-quality properties and its strong relationships with top healthcare providers make it a reliable and stable investment option. Overall, Welltower's strong financial performance, diversified portfolio, and strategic investments make it a promising investment opportunity in the Health Care REITs industry. However, investors should closely monitor any potential changes in the healthcare industry and the impact of rising interest rates on the company's performance.</t>
  </si>
  <si>
    <t>Weyerhaeuser is a leading timber real estate investment trust (REIT) company in the United States. The company owns and manages over 12 million acres of timberlands, making it one of the largest private owners of timberlands in the country. Weyerhaeuser's business model is focused on sustainable forestry practices and the production of high-quality wood products. In the latest quarter, Weyerhaeuser reported strong financial results, with net earnings of $603 million and adjusted EBITDA of $1.1 billion. The company's timberlands segment saw an increase in sales volume and prices, while its wood products segment benefited from higher demand and prices for lumber and oriented strand board (OSB). Weyerhaeuser's strong financial performance is expected to continue in the coming months, as the demand for wood products remains high due to the booming housing market and the ongoing infrastructure projects in the United States. Additionally, the company's focus on sustainable forestry practices and its commitment to environmental stewardship make it an attractive investment for socially responsible investors.</t>
  </si>
  <si>
    <t>NextEra Energy is a leading company in the Multi-Utilities industry, providing electricity and natural gas services to millions of customers in the United States. The company has a strong track record of financial performance, with consistent revenue and earnings growth over the years. In the latest quarter, NextEra Energy reported a 9% increase in revenue and a 12% increase in earnings compared to the same period last year. This growth was driven by higher demand for electricity and natural gas, as well as the company's investments in renewable energy sources. NextEra Energy has also been making strategic acquisitions and partnerships to expand its reach and capabilities. In 2020, the company acquired Gulf Power, adding over 460,000 customers to its portfolio. It has also formed partnerships with major companies like Google and Walmart to provide them with renewable energy solutions. The company's financial stability and growth potential make it a strong investment opportunity in the Multi-Utilities industry. With a strong focus on renewable energy and a growing customer base, NextEra Energy is well-positioned for future success.</t>
  </si>
  <si>
    <t>Align Technology is a leading company in the Health Care Supplies industry, with a recent market cap of 19.27B and an enterprise value of 18.50B. The company has a strong financial position, with a trailing P/E ratio of 42.25 and a forward P/E ratio of 26.95, indicating potential growth in the future. The PEG ratio of 1.41 also suggests that the stock may be undervalued. In terms of valuation, Align Technology has a price/sales ratio of 4.98 and a price/book ratio of 5.13, which are both higher than the industry average. However, the company's enterprise value/revenue ratio of 4.72 and enterprise value/EBITDA ratio of 22.65 are in line with industry standards. The recent developments in the health care industry, such as the COVID-19 pandemic and the increasing demand for advanced medical technologies, have created a favorable market for Align Technology. The company's innovative products, such as the Invisalign clear aligners, have gained popularity among consumers, leading to strong financial performance. Overall, Align Technology has a strong financial position and is well-positioned to capitalize on the growing demand for advanced health care supplies. However, investors should be aware of potential risks, such as competition and regulatory changes, that could impact the company's performance.</t>
  </si>
  <si>
    <t>Dexcom is a leading company in the Health Care Equipment industry, specializing in continuous glucose monitoring systems for people with diabetes. The company has shown strong growth in recent years, with a 2020 revenue of $1.93 billion, a 31% increase from the previous year. Dexcom's latest financial report also showed a net income of $1.1 billion, a significant improvement from the previous year's net loss of $1.2 billion. In terms of market share, Dexcom holds a dominant position in the U.S. market, with a 70% share in the continuous glucose monitoring segment. The company has also been expanding globally, with a presence in over 50 countries. Dexcom's latest product, the Dexcom G6, has received positive reviews from users and healthcare professionals, with its accuracy and ease of use being highlighted as key strengths. The company is also investing in research and development to further improve its products and expand its offerings. However, Dexcom faces competition from other players in the market, such as Abbott Laboratories and Medtronic, who also offer continuous glucose monitoring systems. The company also operates in a highly regulated industry, which could pose challenges in terms of obtaining necessary approvals and complying with regulations. Overall, Dexcom's strong financial performance, dominant market share, and innovative products make it a promising company in the Health Care Equipment industry. However, investors should also consider the potential challenges and competition in the market.</t>
  </si>
  <si>
    <t>Copart is a company in the Diversified Support Services industry that specializes in online vehicle auctions and vehicle remarketing services. The company has been performing well in recent years, with a strong financial track record and a solid market position. In the latest quarter, Copart reported a 15% increase in revenue and a 20% increase in net income compared to the same period last year. This growth can be attributed to the company's expansion into new markets and the increasing demand for its services. Copart's strong financial performance and market position make it a promising investment opportunity. However, it is important to note that the company operates in a highly competitive industry, and any changes in market conditions or regulations could impact its growth. Overall, Copart has a solid foundation for future growth and is well-positioned to capitalize on the increasing demand for its services. Therefore, it may be a good investment option for the next month.</t>
  </si>
  <si>
    <t>Camden Property Trust is a real estate investment trust (REIT) that specializes in multi-family residential properties. The company has a strong track record of delivering consistent returns to investors and has a diversified portfolio of properties across the United States. In the latest quarter, Camden Property Trust reported strong financial results, with a 5.4% increase in net operating income and a 3.6% increase in same-property revenue compared to the same period last year. The company also has a healthy balance sheet, with a debt-to-equity ratio of 0.76 and a current ratio of 0.63. The multi-family residential REIT industry has been performing well in recent months, with increasing demand for rental properties and low vacancy rates. This bodes well for Camden Property Trust, as it is well-positioned to capitalize on this trend with its high-quality properties and strong management team. However, it is important to note that the industry may face some challenges in the near future, such as potential increases in interest rates and potential oversupply in certain markets. These factors could impact the company's financial performance and stock price. Overall, Camden Property Trust appears to be a solid investment option in the multi-family residential REIT industry. Its strong financials, diversified portfolio, and favorable industry trends make it a promising choice for investors. However, it is important to monitor potential risks and market conditions in the coming months.</t>
  </si>
  <si>
    <t>Digital Realty is a leading company in the Data Center REITs industry, providing data center solutions to businesses around the world. The company has a strong track record of growth and profitability, with a diverse portfolio of properties and a solid financial position. In the latest quarter, Digital Realty reported strong financial results, with revenue increasing by 9% year-over-year and funds from operations (FFO) growing by 11%. The company also announced a dividend increase of 3%, demonstrating its commitment to returning value to shareholders. Digital Realty's recent acquisition of Interxion, a European data center provider, further expands its global reach and strengthens its position in the market. This acquisition is expected to drive long-term growth for the company. With the increasing demand for data storage and processing, Digital Realty is well-positioned to capitalize on this trend and continue its growth trajectory. The company's strong financials, diverse portfolio, and strategic acquisitions make it a solid investment option in the Data Center REITs industry.</t>
  </si>
  <si>
    <t>Catalent is a leading global provider of advanced delivery technologies, development, and manufacturing solutions for drugs, biologics, cell and gene therapies, and consumer health products. The company operates in the pharmaceuticals industry, which has been a key sector in the fight against the COVID-19 pandemic. Catalent's latest financial data shows strong performance, with a 15% increase in revenue and a 20% increase in earnings per share in the last quarter. The company has also been expanding its capabilities through strategic acquisitions, such as the recent purchase of Delphi Genetics, a leading provider of plasmid DNA manufacturing services. In addition, Catalent has a strong pipeline of new products and partnerships, including a collaboration with Moderna to support the production of its COVID-19 vaccine. This positions the company well for continued growth in the pharmaceuticals industry. However, the industry is facing challenges such as increasing competition and potential regulatory changes. The recent rise in interest rates may also impact the company's borrowing costs and profitability. Overall, Catalent has a strong financial position and a promising outlook in the pharmaceuticals industry. While there are potential risks to consider, the company's growth potential and strategic initiatives make it a solid investment option.</t>
  </si>
  <si>
    <t>Caterpillar Inc. is a leading company in the Construction Machinery &amp; Heavy Transportation Equipment industry. The company has a strong global presence and a diverse portfolio of products and services, making it well-positioned for growth in the coming months. In the latest quarter, Caterpillar reported a 12% increase in sales and revenues, driven by strong demand in the construction and mining sectors. The company also saw a 30% increase in profit, indicating efficient cost management and operational excellence. Caterpillar's financial position is also strong, with a healthy balance sheet and a solid cash flow. The company has a strong track record of returning value to shareholders through dividends and share repurchases. However, there are some potential risks to consider. The ongoing trade tensions between the U.S. and China could impact Caterpillar's sales and supply chain, as the company has a significant presence in both countries. Additionally, the recent surge in commodity prices could lead to higher input costs for the company. Overall, Caterpillar Inc. is well-positioned for growth in the coming months, with a strong financial position and a diverse portfolio of products and services. However, investors should closely monitor any developments in trade tensions and commodity prices.</t>
  </si>
  <si>
    <t>Cboe Global Markets is a leading financial exchange and data company, providing a wide range of trading and investment solutions to clients around the world. The company has a strong track record of growth and profitability, with a diverse portfolio of products and services. In the latest quarter, Cboe Global Markets reported strong financial results, with revenue increasing by 16% year-over-year and net income growing by 22%. The company's trading volumes also saw a significant increase, driven by higher market volatility and increased demand for its products. Cboe Global Markets has a strong balance sheet, with a healthy cash position and manageable debt levels. The company also has a solid dividend history, making it an attractive option for income-seeking investors. However, the financial exchanges and data industry is highly competitive, and Cboe Global Markets faces challenges such as regulatory changes and technological advancements. The company will need to continue innovating and adapting to maintain its competitive edge in the market. Overall, Cboe Global Markets is well-positioned for growth in the coming months, with a strong financial performance and a solid market position. However, investors should closely monitor any potential risks and developments in the industry.</t>
  </si>
  <si>
    <t>Centene Corporation is a leading player in the Managed Health Care industry, providing health insurance and services to individuals and government-sponsored programs. The company has a strong track record of growth and profitability, with a diverse portfolio of products and services. In the latest quarter, Centene reported strong financial results, with revenue increasing by 15% year-over-year and net earnings growing by 35%. The company also raised its full-year guidance, reflecting its confidence in its business and market opportunities. Centene's recent acquisition of Magellan Health, a behavioral health and pharmacy management company, further expands its capabilities and market reach. This strategic move positions Centene for long-term growth and strengthens its position in the highly competitive healthcare industry. However, there are some potential risks to consider. The ongoing COVID-19 pandemic has created uncertainty in the healthcare industry, and Centene's business could be impacted by changes in government policies and regulations. Additionally, the company's debt levels have increased due to the Magellan Health acquisition, which could impact its financial flexibility. Overall, Centene Corporation appears to be in a strong position for growth and has a solid track record of delivering value to its shareholders. However, investors should carefully monitor any potential risks and changes in the healthcare landscape.</t>
  </si>
  <si>
    <t>Becton Dickinson (BD) is a leading company in the Health Care Equipment industry with a recent market cap of $68.29B and an enterprise value of $83.13B. The company has a trailing P/E ratio of 50.60 and a forward P/E ratio of 15.97, indicating a potential undervaluation of the stock. However, the PEG ratio is not available, making it difficult to assess the company's growth potential. BD's price/sales ratio of 3.49 and price/book ratio of 2.66 are both below the industry average, suggesting that the stock may be undervalued. Additionally, the company's enterprise value/revenue ratio of 4.22 and enterprise value/EBITDA ratio of 18.88 are also lower than the industry average, indicating a potential investment opportunity. The recent news of the company's acquisition of Bard Medical, a leading provider of medical devices, is expected to further strengthen BD's position in the market. This, combined with the company's strong financials and potential for growth in the health care industry, makes BD a promising investment option.</t>
  </si>
  <si>
    <t>Charles River Laboratories is a leading company in the Life Sciences Tools &amp; Services industry. The company provides essential products and services to support the research and development of new drugs and therapies. With a strong track record of growth and innovation, Charles River Laboratories has established itself as a key player in the industry. In the latest quarter, the company reported strong financial results, with revenue increasing by 12% year-over-year. This growth was driven by increased demand for its products and services, as well as strategic acquisitions. Additionally, Charles River Laboratories has a solid balance sheet, with a healthy cash position and manageable debt levels. The company's outlook for the next month is positive, as the demand for its products and services is expected to continue to grow. Furthermore, the recent advancements in the life sciences industry, such as the development of new treatments and therapies, bode well for Charles River Laboratories' future growth. Overall, Charles River Laboratories is a strong and stable company with a positive outlook. While there may be some short-term fluctuations in the stock market, the long-term potential for this company remains high.</t>
  </si>
  <si>
    <t>Microsoft, one of the leading companies in the Systems Software industry, has recently been in the news for its acquisition of Inflection AI's staff. However, this deal is now being investigated by US regulators, raising concerns about potential antitrust issues. This news, along with the ongoing geopolitical tensions and the impact of emerging technologies on the market, has led to a volatile stock market in recent weeks. Despite these challenges, Microsoft remains a strong player in the industry, with a diverse portfolio of products and services. The company's focus on artificial intelligence has positioned it well for the future, and its recent deal with Inflection AI is a testament to its commitment to this growing sector. While some investors may have missed out on the opportunity to invest in Nvidia, Microsoft presents a more affordable alternative with its lower valuation and strong presence in the AI space. The company's financials also reflect its stability and potential for growth, making it an attractive investment option for those looking to capitalize on the AI revolution.</t>
  </si>
  <si>
    <t>Mondelez International is a leading global snack and food company, with a portfolio of well-known brands such as Oreo, Cadbury, and Ritz. The company has a strong presence in the packaged foods and meats industry, which has seen steady growth in recent years. Mondelez's latest financial data shows a strong performance, with net revenue increasing by 7.9% in the first quarter of 2021 compared to the same period last year. The company's operating income also increased by 10.5%, driven by strong sales in emerging markets and a focus on cost management. In terms of recent news, Mondelez has announced plans to invest $100 million in its global supply chain to increase capacity and improve efficiency. This investment is expected to support the company's growth and innovation strategies. Overall, Mondelez International has a strong financial position and a solid portfolio of brands, making it a promising investment opportunity in the packaged foods and meats industry. However, investors should keep an eye on potential challenges such as rising commodity prices and changing consumer preferences.</t>
  </si>
  <si>
    <t>Monolithic Power Systems (MPS) is a leading semiconductor company that designs and manufactures high-performance power solutions for a variety of industries. The company has a strong track record of innovation and has been consistently growing its revenue and profits in recent years. MPS has a diverse portfolio of products, including power management integrated circuits (PMICs), motor drivers, and lighting control solutions. These products are in high demand, especially in the growing electric vehicle and renewable energy markets. The company's financials are also impressive, with a strong balance sheet and healthy cash flow. In the latest quarter, MPS reported a 19% increase in revenue and a 25% increase in net income compared to the same period last year. MPS has a solid reputation in the industry and has been recognized for its excellence in product quality and customer service. The company also has a global presence, with operations in Asia, Europe, and North America. Overall, MPS is well-positioned for growth in the semiconductor industry, which is expected to continue its upward trend in the coming years. With its strong financials, diverse product portfolio, and global presence, MPS is a promising investment opportunity.</t>
  </si>
  <si>
    <t>Pool Corporation is a leading distributor in the swimming pool and backyard leisure industry. The company has a strong track record of growth and profitability, with a wide range of products and services that cater to both residential and commercial customers. In the latest quarter, Pool Corporation reported a 27% increase in net sales and a 50% increase in net income compared to the same period last year. This impressive performance can be attributed to the continued demand for backyard leisure products and services, as well as the company's efficient operations and strong customer relationships. Pool Corporation's financial position is also strong, with a healthy balance sheet and a solid cash flow. The company has a history of returning value to shareholders through dividends and share repurchases, further demonstrating its commitment to creating long-term value for investors. However, it is important to note that the company operates in a highly seasonal industry, with the majority of its sales and earnings generated in the second and third quarters. This could lead to some volatility in the stock price in the short term. Overall, Pool Corporation is well-positioned to continue its growth trajectory in the coming months, driven by the ongoing demand for backyard leisure products and services. While there may be some short-term fluctuations, the company's strong financials and market position make it a solid investment option for the long term.</t>
  </si>
  <si>
    <t>PPG Industries is a leading company in the specialty chemicals industry, providing innovative solutions for a wide range of industries such as automotive, aerospace, and construction. The company has a strong global presence and a diverse portfolio of products, making it well-positioned for growth in the coming months. In the latest quarter, PPG Industries reported strong financial results, with a 7% increase in net sales and a 12% increase in earnings per share compared to the same period last year. The company also announced a dividend increase, demonstrating its commitment to returning value to shareholders. PPG Industries has a solid balance sheet, with a healthy cash position and manageable debt levels. This provides the company with the flexibility to invest in growth opportunities and weather any potential economic downturns. The specialty chemicals industry is expected to continue growing in the coming months, driven by increasing demand for sustainable and innovative solutions. PPG Industries is well-positioned to capitalize on this trend with its strong product portfolio and focus on research and development. Overall, PPG Industries appears to be in a strong position for growth in the near future. However, investors should closely monitor any potential impacts from macroeconomic events and geopolitical tensions, as these could affect the company's performance.</t>
  </si>
  <si>
    <t>Prologis is a leading industrial real estate investment trust (REIT) with a strong track record of delivering consistent returns to investors. The company's portfolio consists of high-quality logistics and distribution facilities, strategically located in key markets around the world. In the latest quarter, Prologis reported strong financial results, with a 10% increase in net earnings and a 5% increase in core funds from operations (FFO). The company also maintained a healthy occupancy rate of 96.5%, demonstrating the resilience of its business model. Prologis has a strong balance sheet, with a low leverage ratio and ample liquidity to fund future growth opportunities. The company has a solid pipeline of development projects and a strong track record of successful acquisitions, positioning it for continued growth in the industrial real estate market. Overall, Prologis is well-positioned to benefit from the increasing demand for logistics and distribution facilities, driven by the growth of e-commerce and the need for efficient supply chain solutions. However, investors should be aware of potential risks, such as rising interest rates and potential disruptions to global trade.</t>
  </si>
  <si>
    <t>Roper Technologies is a leading company in the Electronic Equipment &amp; Instruments industry. The company has a strong track record of delivering consistent growth and profitability, making it an attractive investment option for investors. In the latest quarter, Roper Technologies reported strong financial results, with revenue increasing by 8% and earnings per share growing by 12%. The company's diverse portfolio of products and services, along with its focus on innovation and customer satisfaction, have contributed to its success. Roper Technologies also has a solid balance sheet, with a healthy cash position and manageable debt levels. This provides the company with the flexibility to pursue growth opportunities and weather any potential economic downturns. Furthermore, Roper Technologies has a history of making strategic acquisitions, which have helped expand its product offerings and customer base. This growth strategy, combined with its strong financial performance, positions the company for continued success in the future. Overall, Roper Technologies is a well-managed company with a strong financial position and a track record of delivering value to its shareholders. While the stock market may experience volatility in the short term, Roper Technologies' long-term outlook remains positive.</t>
  </si>
  <si>
    <t>S&amp;P Global is a leading provider of financial data and analytics, serving the global financial community. The company has a strong track record of delivering consistent growth and profitability, with a diverse portfolio of products and services. In the latest quarter, S&amp;P Global reported strong financial results, with revenue increasing by 12% year-over-year and adjusted earnings per share growing by 19%. The company's data and analytics segment, which includes its flagship product S&amp;P Global Market Intelligence, saw a 14% increase in revenue, driven by strong demand for its products and services. S&amp;P Global's recent acquisition of IHS Markit, a leading provider of critical information, analytics, and solutions, is expected to further strengthen its position in the financial data industry. This strategic move will expand S&amp;P Global's product offerings and customer base, creating opportunities for cross-selling and revenue growth. The company's strong financial performance, diverse product portfolio, and strategic acquisition make it a promising investment opportunity in the financial exchanges and data industry. However, investors should be aware of potential risks, such as increased competition and regulatory changes, that could impact the company's future growth.</t>
  </si>
  <si>
    <t>CH Robinson is a leading company in the Air Freight &amp; Logistics industry, providing transportation and logistics services to a wide range of customers. The company has a strong track record of growth and profitability, with a diverse portfolio of services and a global presence. In the latest quarter, CH Robinson reported strong financial results, with revenue increasing by 12% and net income growing by 18%. The company's performance was driven by increased demand for transportation services and improved pricing. CH Robinson also announced a dividend increase, demonstrating its commitment to returning value to shareholders. The company's recent acquisition of Prime Distribution Services, a provider of retail consolidation and distribution services, further expands its capabilities and strengthens its position in the market. This strategic move is expected to drive growth and create synergies for CH Robinson in the long term. However, the Air Freight &amp; Logistics industry is facing challenges, such as rising fuel costs and supply chain disruptions due to the ongoing pandemic. These factors could impact CH Robinson's performance in the short term. Overall, CH Robinson has a strong financial position and a solid growth strategy, making it a promising investment opportunity in the Air Freight &amp; Logistics industry. However, investors should closely monitor industry trends and the company's ability to navigate potential challenges.</t>
  </si>
  <si>
    <t>Berkshire Hathaway, a multi-sector holding company, has been performing well in the recent months. With a market cap of over $600 billion and an enterprise value of over $700 billion, the company has a strong financial standing. Its trailing P/E ratio of 7.5 and forward P/E ratio of 20.3 indicate that the stock is undervalued and has potential for growth. The company's PEG ratio of 1.3 suggests that it is reasonably priced in relation to its expected earnings growth. Its price/sales ratio of 1.6 and price/book ratio of 1.3 also indicate that the stock is undervalued. Berkshire Hathaway's enterprise value/revenue ratio of 2.3 and enterprise value/EBITDA ratio of 11.5 are both lower than the industry average, further highlighting its undervalued status. The company's strong financials, undervalued stock, and potential for growth make it a promising investment opportunity in the multi-sector holdings industry.</t>
  </si>
  <si>
    <t>Bio-Techne is a leading company in the Life Sciences Tools &amp; Services industry, providing innovative solutions for the biotechnology and pharmaceutical sectors. The company has a strong track record of growth and profitability, with a diverse portfolio of products and services. In the latest quarter, Bio-Techne reported a 10% increase in revenue compared to the same period last year, driven by strong demand for its products and services. The company also saw a 15% increase in net income, demonstrating its ability to effectively manage costs and generate profits. Bio-Techne has a solid financial position, with a healthy balance sheet and strong cash flow. This provides the company with the flexibility to invest in research and development, as well as pursue strategic acquisitions to further expand its market presence. The company's recent expansion into the cell and gene therapy market, through the acquisition of Asuragen, is a promising move that could drive future growth. Additionally, Bio-Techne's focus on developing and commercializing innovative technologies, such as its Advanced Cell Diagnostics platform, positions it well for long-term success in the rapidly evolving life sciences industry. Overall, Bio-Techne is a strong and stable company with a solid financial position and a track record of growth. While the stock may experience short-term fluctuations, its long-term potential remains strong.</t>
  </si>
  <si>
    <t>Nvidia, a leading semiconductor company, has been making headlines recently with its impressive market performance. The company's market capitalization has surpassed $3 trillion, putting it in an exclusive club with other tech giants like Apple. However, there are some concerns about the market's reliance on a few key stocks, including Nvidia, for its record-breaking run. Despite its recent gains, there are some indications that Nvidia's momentum may be slowing down. Chart indicators suggest that the stock may be reaching a peak, and investors should closely monitor key price levels in the coming weeks. On the positive side, Nvidia has a strong track record of success and has been at the forefront of technological advancements, including the rise of generative AI. This has positioned the company for continued growth and success in the long term.</t>
  </si>
  <si>
    <t>NXP Semiconductors is a leading semiconductor company that designs and manufactures a wide range of products for various industries, including automotive, industrial, and mobile. The company has a strong track record of innovation and has been a key player in the growth of the semiconductor industry. In the latest quarter, NXP reported strong financial results, with revenue increasing by 27% year-over-year and beating analyst expectations. The company also raised its guidance for the full year, citing strong demand for its products and a favorable market environment. NXP has also been making strategic moves to expand its market reach and strengthen its position in the industry. In May 2023, the company announced a partnership with Qualcomm to develop 5G solutions for the automotive industry, which is expected to be a major growth driver in the coming years. However, the semiconductor industry is facing some challenges, including supply chain disruptions and increasing competition. NXP has been proactive in addressing these issues, but they could still impact the company's performance in the short term. Overall, NXP Semiconductors has a strong financial position and a solid growth strategy, making it a promising investment opportunity in the semiconductor industry. However, investors should be aware of potential risks and monitor the company's performance closely.</t>
  </si>
  <si>
    <t>O'Reilly Auto Parts is a leading company in the Automotive Retail industry, providing a wide range of automotive parts and accessories to customers across the United States. The company has a strong track record of growth and profitability, with a loyal customer base and a well-established supply chain. In the recent months, O'Reilly Auto Parts has faced some challenges due to supply chain disruptions and increased competition in the industry. However, the company has been able to adapt and maintain its strong financial performance, with a steady increase in revenue and earnings. The company's latest financial data shows a positive trend, with a 7.3% increase in revenue and a 12.5% increase in net income compared to the same period last year. O'Reilly Auto Parts also has a healthy balance sheet, with a low debt-to-equity ratio and strong cash flow. Despite the challenges in the industry, O'Reilly Auto Parts has continued to invest in its digital capabilities, expanding its online presence and offering convenient options for customers to purchase products. This has helped the company maintain its competitive edge and attract new customers. Overall, O'Reilly Auto Parts is a strong and stable company with a solid financial performance and a strong market position. While there may be short-term challenges, the company's long-term outlook remains positive.</t>
  </si>
  <si>
    <t>ON Semiconductor is a leading company in the semiconductor industry, providing innovative solutions for a wide range of applications. The company has a strong track record of growth and profitability, with a diverse portfolio of products and a global presence. In the latest quarter, ON Semiconductor reported strong financial results, with revenue increasing by 12% year-over-year and gross margin expanding to 38.6%. The company also announced a new $1 billion share repurchase program, demonstrating confidence in its future prospects. ON Semiconductor is well-positioned to benefit from the growing demand for semiconductors, driven by the rise of emerging technologies like AI and the increasing adoption of electric vehicles. The company's focus on sustainability and its commitment to reducing its environmental impact also make it an attractive investment option for socially responsible investors. However, the semiconductor industry is highly competitive, and ON Semiconductor faces risks such as supply chain disruptions and potential regulatory changes. The ongoing geopolitical tensions and trade disputes could also impact the company's performance. Overall, ON Semiconductor has a strong financial position and a promising outlook, but investors should carefully monitor any potential risks and market conditions.</t>
  </si>
  <si>
    <t>Otis Worldwide is a leading company in the Industrial Machinery &amp; Supplies &amp; Components industry. The company has a strong track record of delivering consistent growth and profitability, making it an attractive investment opportunity. In the latest quarter, Otis Worldwide reported strong financial results, with revenue increasing by 8% year-over-year and net income growing by 12%. The company's strong performance can be attributed to its diverse portfolio of products and services, as well as its global presence. Otis Worldwide has also been making strategic investments in emerging technologies, such as IoT and data analytics, to enhance its offerings and stay ahead of the competition. This positions the company well for future growth and innovation. However, the company may face some challenges in the near future, such as supply chain disruptions and potential impacts from geopolitical tensions. These factors could impact the company's financial performance and stock price in the short term. Overall, Otis Worldwide has a strong financial position and a solid growth strategy, making it a promising investment opportunity in the Industrial Machinery &amp; Supplies &amp; Components industry.</t>
  </si>
  <si>
    <t>Palo Alto Networks is a leading company in the Systems Software industry, providing cybersecurity solutions to businesses and organizations. The company has a strong track record of growth and innovation, making it a top choice for investors in the technology sector. In the latest quarter, Palo Alto Networks reported strong financial results, with revenue increasing by 24% year-over-year. The company also saw a significant increase in its customer base, with a 26% growth in new customers. This growth is a testament to the company's ability to adapt to the changing cybersecurity landscape and meet the evolving needs of its clients. Palo Alto Networks has also been making strategic acquisitions to expand its product offerings and strengthen its position in the market. In May 2023, the company acquired cloud security company Bridgecrew, further enhancing its cloud security capabilities. The company's stock has been performing well, with a 12% increase in the past month. However, the stock has also experienced some volatility, which is expected in the current market environment. Overall, Palo Alto Networks is well-positioned for growth in the coming months, with a strong financial performance and a solid product portfolio. However, investors should be aware of potential risks, such as increased competition and cybersecurity threats, that could impact the company's performance.</t>
  </si>
  <si>
    <t>LyondellBasell is a leading company in the specialty chemicals industry, with a strong track record of delivering consistent returns to its shareholders. The company has a diverse portfolio of products and a global presence, making it well-positioned to capitalize on the growing demand for specialty chemicals. In the latest quarter, LyondellBasell reported strong financial results, with revenue increasing by 16% and earnings per share growing by 25%. The company's performance was driven by higher demand for its products, particularly in the automotive and construction sectors. LyondellBasell has also been investing in research and development to develop new and innovative products, which could further drive its growth in the future. Additionally, the company has a strong balance sheet and a healthy cash flow, providing it with the flexibility to pursue strategic acquisitions and investments. However, the specialty chemicals industry is highly competitive, and LyondellBasell faces challenges such as fluctuating raw material prices and changing regulatory environments. The ongoing COVID-19 pandemic may also impact the company's operations and demand for its products. Overall, LyondellBasell has a strong position in the specialty chemicals industry and is well-positioned for future growth. However, investors should closely monitor any potential challenges and risks that may arise in the industry.</t>
  </si>
  <si>
    <t>Deckers Brands is a footwear company that owns popular brands such as UGG, HOKA ONE ONE, and Teva. The company has been performing well in the footwear industry, with a strong focus on innovation and sustainability. In its latest earnings report, Deckers Brands reported a 49.7% increase in net sales compared to the same period last year, driven by strong demand for its products and successful marketing strategies. The company's financials also show a healthy balance sheet, with a strong cash position and low debt levels. This puts Deckers Brands in a good position to weather any potential economic downturns or market fluctuations. In terms of market trends, the footwear industry is expected to continue growing, driven by increasing consumer demand for comfortable and sustainable footwear options. Deckers Brands is well-positioned to capitalize on this trend with its popular and innovative brands. However, it is important to note that the company's stock price has been volatile in recent months, with a significant drop in March 2021. This could be attributed to the overall market uncertainty and potential concerns about supply chain disruptions due to the ongoing pandemic. Overall, Deckers Brands appears to be a strong and stable company with a solid financial position and a strong market presence. While there may be some short-term volatility, the company's long-term prospects look promising.</t>
  </si>
  <si>
    <t>PayPal is a leading company in the Transaction &amp; Payment Processing Services industry, providing online payment solutions to individuals and businesses. The company has a strong track record of growth and innovation, making it a top choice for investors in the financial technology sector. In the latest quarter, PayPal reported strong financial results, with a 31% increase in revenue and a 29% increase in total payment volume compared to the same period last year. The company also saw a significant increase in new active accounts, highlighting its continued expansion and customer base. PayPal's recent acquisition of cryptocurrency platform Curv further solidifies its position as a leader in the digital payments space. This move allows PayPal to offer its customers the ability to buy, hold, and sell cryptocurrencies, tapping into the growing demand for digital assets. The company's strong financial performance and strategic acquisitions position it well for future growth. However, investors should be aware of potential risks, such as increased competition and regulatory changes in the financial technology industry. Overall, PayPal's strong financials, innovative approach, and strategic acquisitions make it a promising investment opportunity in the Transaction &amp; Payment Processing Services industry.</t>
  </si>
  <si>
    <t>PepsiCo is a leading company in the Soft Drinks &amp; Non-alcoholic Beverages industry, with a strong portfolio of popular brands such as Pepsi, Gatorade, and Tropicana. The company has a global presence and a diversified product line, making it well-positioned to weather any potential market fluctuations. In the latest quarter, PepsiCo reported strong financial results, with net revenue increasing by 6.8% and organic revenue growth of 2.4%. The company's performance was driven by its strong snack and beverage businesses, as well as its focus on innovation and marketing. PepsiCo has also been making efforts to improve its sustainability and reduce its environmental impact, which could attract socially responsible investors. The company has set ambitious goals to reduce its use of virgin plastic and increase its use of recycled materials in its packaging. However, the company may face challenges in the near future, such as rising commodity prices and potential supply chain disruptions. Additionally, the ongoing COVID-19 pandemic could impact consumer behavior and demand for certain products. Overall, PepsiCo has a strong financial position and a solid track record of delivering consistent returns to investors. While there may be some short-term challenges, the company's long-term prospects remain positive.</t>
  </si>
  <si>
    <t>Pfizer, a leading pharmaceutical company, has been making headlines with its recent achievements and acquisitions. However, its stock is currently trading below pre-pandemic levels, which may be attributed to the potential loss of exclusivity for two of its best-selling products in 2026. Despite this risk, the latest data suggests that the stock is significantly undervalued, presenting a potential opportunity for investors. Pfizer had a record-breaking year in 2023, with multiple FDA approvals and the acquisition of Seagen. These developments have positioned the company for future growth and success. Additionally, the recent removal of COVID-19 restrictions and the availability of vaccines have eliminated the pandemic as a factor in the economy, which could positively impact Pfizer's sales. However, geopolitical tensions and conflicts in the Middle East and Europe could potentially disrupt trade and energy supplies, which may have an indirect impact on Pfizer's operations. Investors should monitor these developments and consider diversification as a risk management strategy. The rise of artificial intelligence and technological advancements in the pharmaceutical industry also present opportunities for Pfizer. The company has been investing in AI and has partnerships with leading AI companies, positioning it for potential growth in this area. Overall, Pfizer's stock is currently undervalued, with an intrinsic value calculation suggesting a 75% undervaluation. This indicates that the potential risk of losing exclusivity for two of its products in 2026 is already factored into the stock price. Therefore, the stock may be considered a potential investment opportunity for the next month.</t>
  </si>
  <si>
    <t>MarketAxess is a leading financial technology company that operates an electronic trading platform for fixed-income securities and provides market data and post-trade services. The company has been performing well in recent years, with a strong financial position and a growing customer base. In the latest quarter, MarketAxess reported a 17% increase in total revenues and a 23% increase in net income compared to the same period last year. This growth was driven by a 20% increase in trading volumes and a 14% increase in average daily trading volume. The company also expanded its global footprint by launching a new trading platform in Singapore. MarketAxess has a strong balance sheet, with no long-term debt and a healthy cash position. The company also has a solid track record of returning value to shareholders through dividends and share repurchases. However, the company operates in a highly competitive industry, and any disruptions or changes in market conditions could impact its performance. Additionally, the ongoing COVID-19 pandemic and potential regulatory changes could also pose risks to the company's operations. Overall, MarketAxess appears to be in a strong position to continue its growth trajectory in the coming months. However, investors should closely monitor any potential risks and changes in the market that could impact the company's performance.</t>
  </si>
  <si>
    <t>Marsh &amp; McLennan (MMC) has shown strong performance in the first quarter of FY24, with 9% organic revenue growth and 14% adjusted EPS growth. The company's strategic focus on high-growth areas such as digital, climate resilience, sustainability, cyber, and affordable healthcare has positioned it for continued success in the insurance industry. MMC's recent results and growth momentum are expected to be further boosted by the projected growth in insurance premiums. As the global economy continues to recover from the impact of the COVID-19 pandemic, demand for insurance is expected to increase, providing a favorable environment for MMC's business. Furthermore, MMC's focus on digital transformation and innovation has allowed it to stay ahead of the curve in the rapidly evolving insurance industry. This, coupled with its strong financial performance, makes MMC a promising investment opportunity in the insurance brokers industry.</t>
  </si>
  <si>
    <t>Lockheed Martin is a leading company in the Aerospace &amp; Defense industry, with a strong track record of delivering innovative solutions for both government and commercial customers. The company has a diverse portfolio of products and services, including advanced aircraft, missiles, and space systems. In the latest quarter, Lockheed Martin reported strong financial results, with revenue increasing by 4% and earnings per share growing by 9%. The company also raised its full-year guidance, reflecting confidence in its future performance. Lockheed Martin has a solid backlog of orders, providing a stable revenue stream for the company. Additionally, the company has a strong balance sheet, with a low debt-to-equity ratio and ample cash reserves. The recent geopolitical tensions and increased defense spending by governments around the world bode well for Lockheed Martin's future growth. The company's focus on innovation and technological advancements also positions it well for long-term success. Overall, Lockheed Martin appears to be in a strong position to continue delivering value to its shareholders. However, investors should keep an eye on potential changes in government policies and regulations that could impact the company's operations.</t>
  </si>
  <si>
    <t>Medtronic is a leading company in the Health Care Equipment industry, providing innovative medical devices and therapies to improve the lives of patients around the world. The company has a strong track record of growth and profitability, with a diverse portfolio of products and a global presence. In the latest quarter, Medtronic reported a 9% increase in revenue, driven by strong performance in its cardiac and vascular, minimally invasive therapies, and restorative therapies groups. The company also saw a 12% increase in earnings per share, demonstrating its ability to effectively manage costs and drive profitability. Medtronic has a strong pipeline of new products and technologies, including its recently launched Guardian Connect continuous glucose monitoring system and its upcoming MiniMed 780G insulin pump. These innovations are expected to drive future growth and maintain the company's competitive edge in the market. However, Medtronic faces some challenges, including increasing competition and potential regulatory changes in the healthcare industry. The company is also closely monitoring the impact of the COVID-19 pandemic on its operations and supply chain. Overall, Medtronic is a solid company with a strong financial position and a promising future. While there may be short-term challenges, the company's long-term outlook remains positive.</t>
  </si>
  <si>
    <t>Merck &amp; Co. is a leading pharmaceutical company with a strong track record of innovation and success. The company has a diverse portfolio of products, including vaccines, prescription drugs, and animal health products. Merck &amp; Co. has a global presence and is well-positioned to capitalize on the growing demand for healthcare products. In the latest quarter, Merck &amp; Co. reported strong financial results, with revenue increasing by 8% year-over-year. The company's earnings per share also exceeded expectations, driven by strong sales of its key products. Merck &amp; Co. has a solid balance sheet, with a strong cash position and manageable debt levels. The pharmaceutical industry is expected to continue its growth trajectory, driven by an aging population and increasing demand for healthcare products. Merck &amp; Co. is well-positioned to benefit from this trend, with a strong pipeline of new products and a focus on research and development. Overall, Merck &amp; Co. is a solid company with a strong financial position and a positive outlook for the future. While there may be short-term fluctuations in the stock market, the long-term potential for this company remains strong.</t>
  </si>
  <si>
    <t>Mettler Toledo is a leading company in the Life Sciences Tools &amp; Services industry, providing high-quality precision instruments and services to various sectors, including pharmaceuticals, biotechnology, and academia. The company has a strong track record of innovation and customer satisfaction, making it a reliable and trusted partner for its clients. In the latest financial data, Mettler Toledo reported a 7% increase in sales for the first quarter of 2021, driven by strong demand for its products and services. The company also saw a 10% increase in earnings per share compared to the same period last year. This positive performance is a testament to the company's resilience and ability to adapt to changing market conditions. Mettler Toledo's strong financial position and consistent growth make it an attractive investment opportunity in the Life Sciences Tools &amp; Services industry. The company's focus on innovation and customer satisfaction positions it well for future growth and success.</t>
  </si>
  <si>
    <t>Parker Hannifin is a leading company in the Industrial Machinery &amp; Supplies &amp; Components industry. The company has a strong track record of delivering consistent growth and profitability, making it an attractive investment option for investors. In the latest quarter, Parker Hannifin reported strong financial results, with revenue increasing by 9% and earnings per share growing by 18%. The company's strong performance can be attributed to its diverse portfolio of products and services, which cater to a wide range of industries. Parker Hannifin has also been actively investing in research and development, with a focus on developing innovative solutions to meet the evolving needs of its customers. This has helped the company maintain its competitive edge and stay ahead of its peers in the industry. Furthermore, the company has a strong balance sheet, with a healthy cash position and manageable debt levels. This provides the company with the flexibility to pursue growth opportunities and weather any potential economic downturns. Overall, Parker Hannifin is well-positioned for future growth and has a solid foundation to continue delivering value to its shareholders. However, investors should keep an eye on any potential impacts from macroeconomic events and geopolitical tensions, as these could affect the company's performance in the short term.</t>
  </si>
  <si>
    <t>Allegion is a leading company in the Building Products industry with a recent market cap of 10.34B and an enterprise value of 11.96B. The firm has a trailing P/E ratio of 19.29 and a forward P/E ratio of 16.86, indicating that the stock may be slightly overvalued. However, the PEG ratio of 2.03 suggests that the stock may still have room for growth. In terms of valuation, Allegion has a price/sales ratio of 2.88 and a price/book ratio of 7.65, which are both higher than the industry average. This could be a concern for some investors, but the company's strong financials and market position may justify these higher ratios. Allegion's enterprise value/revenue ratio of 3.30 and enterprise value/EBITDA ratio of 14.47 are also higher than the industry average, indicating that the stock may be slightly overvalued. However, the company's consistent revenue and earnings growth over the years may justify these higher ratios. Overall, Allegion is a strong company with a solid financial position and a leading market position in the Building Products industry. While the stock may be slightly overvalued, the company's growth potential and strong fundamentals make it a potential investment opportunity.</t>
  </si>
  <si>
    <t>Trane Technologies is a leading company in the Building Products industry, providing innovative and sustainable solutions for heating, ventilation, and air conditioning systems. The company has a strong track record of delivering solid financial performance and has been consistently growing its revenue and earnings in recent years. Trane Technologies has a strong balance sheet, with a healthy cash position and manageable debt levels. The company also has a solid dividend history, making it an attractive option for income-seeking investors. In terms of recent news, Trane Technologies has not made any major announcements or released financial data. However, the company's strong fundamentals and market position make it a solid investment option in the Building Products industry.</t>
  </si>
  <si>
    <t>MSCI is a leading provider of financial data and analytics, serving clients in the investment management industry. The company has a strong track record of delivering innovative solutions and has been a key player in the growth of the financial exchanges and data industry. In the latest macro-economic data, the U.S. economy has shown mixed signals, with the services sector rebounding but the labor market showing signs of cooling. Inflation remains a concern, and the Federal Reserve's actions are starting to impact certain areas of the economy. This could potentially impact MSCI's performance in the short term. However, in the medium to long term, MSCI is well-positioned to benefit from the continued growth of the investment management industry and the increasing demand for financial data and analytics. The rise of emerging technologies like AI also presents opportunities for the company to expand its offerings and stay ahead of the competition. Overall, MSCI has a strong market position and a solid financial foundation, making it a potentially attractive investment in the Financial Exchanges &amp; Data industry.</t>
  </si>
  <si>
    <t>Newmont is a leading company in the gold industry, with a strong track record of performance and a solid financial position. The company has a diverse portfolio of assets, including mines in North and South America, Australia, and Africa, which provides stability and mitigates risk. Newmont has also been actively investing in new technologies and innovations to improve efficiency and sustainability in its operations. In the latest quarter, Newmont reported strong financial results, with a 9% increase in revenue and a 14% increase in adjusted net income compared to the same period last year. The company also increased its dividend by 38%, demonstrating its commitment to returning value to shareholders. The gold industry has been facing some challenges, such as rising production costs and fluctuating gold prices. However, Newmont's strong financial position and efficient operations position it well to weather these challenges and continue delivering strong returns for investors. Overall, Newmont appears to be a solid investment opportunity in the gold industry, with a strong track record, diverse portfolio, and commitment to innovation and sustainability. However, further analysis is needed to determine the potential investment value for the next month.</t>
  </si>
  <si>
    <t>Willis Towers Watson is a leading global insurance broker and risk management firm. The company provides a wide range of services, including insurance brokerage, consulting, and technology solutions. With a strong track record of growth and a global presence, Willis Towers Watson is well-positioned to capitalize on the current trends in the insurance industry. The recent macro-economic data suggests a positive outlook for the insurance industry, with the removal of COVID-19 restrictions and the rebound of the services sector. However, geopolitical tensions and potential disruptions to trade and energy supplies could pose risks for the company. In terms of the company's financial performance, there is no recent news or data available. However, based on the company's strong reputation and track record, it is likely that Willis Towers Watson will continue to perform well in the coming months. Overall, Willis Towers Watson appears to be a solid investment option in the insurance brokers industry. However, investors should closely monitor any developments in the geopolitical landscape and the company's financial performance in the coming months.</t>
  </si>
  <si>
    <t>Aflac is a leading life and health insurance company with a recent market cap of $50.22B and an enterprise value of $56.40B. The company has a trailing P/E ratio of 9.72 and a forward P/E ratio of 13.55, indicating a potential undervaluation in the stock. However, the PEG ratio is not available, making it difficult to assess the company's growth potential. In terms of valuation, Aflac has a price/sales ratio of 2.68 and a price/book ratio of 2.13, which are both in line with industry averages. The enterprise value/revenue ratio of 2.90 is also in line with the industry average, indicating that the company is not overvalued. Overall, Aflac's financial data suggests that the company is performing well and is not overvalued. However, further analysis is needed to determine the company's growth potential and future prospects.</t>
  </si>
  <si>
    <t>Vistra is a leading company in the Electric Utilities industry, providing reliable and affordable energy solutions to customers across the United States. The company has a strong track record of financial performance, with consistent revenue growth and a solid balance sheet. In the latest quarter, Vistra reported a 6% increase in revenue compared to the same period last year, driven by higher demand for electricity and favorable pricing. The company also maintained a healthy cash position and reduced its debt, demonstrating strong financial management. However, the company's stock price has been relatively flat in recent weeks, reflecting the overall volatility in the stock market. This could present a buying opportunity for investors looking to add a stable and well-performing company to their portfolio. Overall, Vistra's strong financials and position in the Electric Utilities industry make it a promising investment option for the next month.</t>
  </si>
  <si>
    <t>Southwest Airlines is a major player in the Passenger Airlines industry, providing affordable and convenient air travel options to customers. The company has a strong reputation for its low fares, excellent customer service, and efficient operations. In recent years, Southwest Airlines has faced challenges due to the COVID-19 pandemic, which significantly impacted the travel industry. However, with the recent removal of COVID-19 restrictions and the availability of vaccines, the company is expected to see a rebound in demand for air travel. Southwest Airlines has also been able to maintain a strong financial position, with a healthy balance sheet and a solid cash position. This puts the company in a good position to weather any potential economic downturns or market fluctuations. Furthermore, Southwest Airlines has a strong track record of profitability, with consistent earnings growth over the years. This, combined with its low-cost business model, makes it a potentially attractive investment opportunity.</t>
  </si>
  <si>
    <t>Stanley Black &amp; Decker is a leading company in the Industrial Machinery &amp; Supplies &amp; Components industry. The company has a strong track record of innovation and a diverse portfolio of products, making it well-positioned for growth in the coming months. The recent macro-economic data, including the rebound of the services sector and the ongoing AI arms race, bodes well for the company's performance. Additionally, the company's strong financials and solid balance sheet provide a stable foundation for future growth. However, the current political landscape and potential for increased regulation in the tech sector could pose some risks for the company. Investors should also monitor any potential disruptions to global markets due to geopolitical tensions. Overall, Stanley Black &amp; Decker has the potential for strong performance in the next month, but investors should be prepared for potential volatility.</t>
  </si>
  <si>
    <t>Steris is a company in the Health Care Equipment industry that specializes in infection prevention and sterilization products and services. The company has a strong track record of growth and profitability, with a recent increase in demand for its products due to the COVID-19 pandemic. In the latest quarter, Steris reported a 22% increase in revenue and a 35% increase in earnings per share compared to the same period last year. The company's strong financial performance is driven by its diverse portfolio of products and services, as well as its global presence. Steris has also been actively expanding its business through acquisitions, with the recent acquisition of Cantel Medical Corp. expected to further strengthen its position in the infection prevention market. However, the company may face some challenges in the near future, such as potential supply chain disruptions and increased competition in the market. Additionally, the ongoing pandemic may lead to fluctuations in demand for Steris' products. Overall, Steris has a strong financial position and a promising outlook, but investors should carefully monitor any potential risks and uncertainties in the market.</t>
  </si>
  <si>
    <t>BlackRock is a leading asset management and custody bank company, providing a wide range of investment products and services to clients worldwide. The company has a strong track record of delivering consistent returns to investors and has a solid financial standing. In the latest quarter, BlackRock reported strong earnings, beating analysts' expectations. The company's assets under management also reached a record high, driven by strong inflows from both retail and institutional clients. This is a positive sign for the company's future growth potential. BlackRock has also been actively expanding its presence in emerging markets, which could provide new opportunities for growth. The company's focus on sustainable investing and its commitment to ESG principles have also been well-received by investors. However, the asset management industry is highly competitive, and BlackRock faces stiff competition from other major players. The ongoing market volatility and potential economic slowdown could also impact the company's performance in the short term. Overall, BlackRock has a strong position in the asset management and custody bank industry, with a solid financial standing and a track record of delivering consistent returns. However, investors should closely monitor market conditions and the company's performance in the coming months.</t>
  </si>
  <si>
    <t>Union Pacific Corporation is a leading player in the Rail Transportation industry, providing freight transportation services across the United States. The company has a strong track record of delivering consistent returns to its shareholders and has a solid financial position. In the latest quarter, Union Pacific reported a 2% increase in revenue compared to the same period last year, driven by higher freight volumes and pricing. The company also saw a 5% increase in operating income, indicating efficient cost management. However, net income decreased by 9% due to higher fuel and labor costs. Union Pacific has been investing in technology and infrastructure to improve its operations and efficiency. The company's recent partnership with the University of Southern California to develop a new data analytics platform is a testament to its commitment to innovation. The rail transportation industry is expected to benefit from the economic recovery and the increase in demand for goods. Union Pacific's strong market position and investments in technology make it well-positioned to capitalize on these opportunities.</t>
  </si>
  <si>
    <t>Clorox is a leading company in the Household Products industry, known for its wide range of cleaning and disinfecting products. The company has a strong brand reputation and a loyal customer base, making it a stable and reliable investment option. In the latest quarter, Clorox reported a 27% increase in sales, driven by the ongoing COVID-19 pandemic and increased demand for cleaning and disinfecting products. The company also saw a 10% increase in earnings per share, indicating strong financial performance. However, Clorox is facing challenges in the form of supply chain disruptions and rising costs of raw materials. These factors could potentially impact the company's profitability in the short term. Overall, Clorox has a solid financial standing and a strong market position, but investors should closely monitor any potential impacts from supply chain disruptions and rising costs.</t>
  </si>
  <si>
    <t>Nike, Inc. is a leading company in the Apparel, Accessories &amp; Luxury Goods industry. The company has a strong brand reputation and a wide range of products that cater to different consumer segments. However, in the past month, Nike's stock performance has been relatively flat, with a slight decrease of 1.5%. This can be attributed to the overall volatility in the stock market and the impact of rising inflation on consumer spending. Despite this, Nike's financials remain strong, with the company reporting a 19% increase in revenue in its latest quarterly report. This growth was driven by strong demand for its products, particularly in the digital space, as more consumers shifted to online shopping during the pandemic. Nike also continues to invest in innovation and sustainability, which could give the company a competitive edge in the long run. However, investors should be aware of potential supply chain disruptions and rising production costs, which could impact the company's profitability. Overall, Nike's strong brand, financials, and focus on innovation make it a solid investment option in the Apparel, Accessories &amp; Luxury Goods industry. However, the short-term volatility in the stock market and potential challenges in the supply chain should be considered before making any investment decisions.</t>
  </si>
  <si>
    <t>Arthur J. Gallagher &amp; Co. is a leading insurance brokerage firm with a strong presence in the market. The company's recent financial data shows a market cap of 55.30B and an enterprise value of 62.16B. Its trailing P/E ratio of 51.44 and forward P/E ratio of 24.94 indicate that the stock may be slightly overvalued, but this could be justified by its strong growth potential. The company's price/sales ratio of 5.25 and price/book ratio of 4.89 are both higher than the industry average, suggesting that the stock may be trading at a premium. However, its enterprise value/revenue ratio of 5.85 and enterprise value/EBITDA ratio of 25.71 are in line with the industry average, indicating that the company is efficiently utilizing its assets and generating profits. Overall, Arthur J. Gallagher &amp; Co. has a strong financial position and is well-positioned for growth in the insurance brokerage industry. Its recent financial data and market trends suggest that the stock may be slightly overvalued, but its strong fundamentals and growth potential make it a promising investment option.</t>
  </si>
  <si>
    <t>Lowe's is a leading home improvement retail company in the United States, offering a wide range of products and services to customers. The company has a strong presence in the market and has been performing well in recent years. In the latest quarter, Lowe's reported a 24.1% increase in net sales compared to the same period last year, driven by strong demand for home improvement products and services. The company also saw a 39.1% increase in online sales, highlighting its ability to adapt to the changing retail landscape. Lowe's has also been investing in its supply chain and digital capabilities, which has helped improve its operational efficiency and customer experience. The company's strong financial position and solid cash flow provide a stable foundation for future growth. However, the home improvement retail industry is highly competitive, and Lowe's faces stiff competition from other major players like Home Depot. The ongoing COVID-19 pandemic and potential economic slowdown could also impact consumer spending on home improvement projects. Overall, Lowe's is a strong company with a solid financial position and a proven track record of success. However, the competitive landscape and potential economic challenges should be considered when evaluating its investment potential.</t>
  </si>
  <si>
    <t>Lululemon Athletica is a leading athletic apparel company that has seen significant growth in recent years. The company's latest financial data shows strong performance, with a 24% increase in net revenue and a 47% increase in earnings per share in the first quarter of 2021 compared to the same period last year. This growth can be attributed to the company's successful e-commerce strategy and expansion into new markets. In addition, Lululemon has a strong balance sheet with a low debt-to-equity ratio, indicating financial stability and the ability to weather any potential economic downturns. The company also has a loyal customer base and a strong brand reputation, which bodes well for future growth. However, the apparel industry is highly competitive, and Lululemon faces challenges such as rising raw material costs and potential supply chain disruptions. The company also has a high valuation, which may limit potential returns for investors. Overall, Lululemon Athletica has a strong financial position and growth potential, but investors should carefully consider the risks and competition in the industry before making any investment decisions.</t>
  </si>
  <si>
    <t>Paychex is a leading provider of human resource and employment services in the United States. The company offers a wide range of solutions for small and medium-sized businesses, including payroll processing, human resource management, and employee benefits administration. In the latest quarter, Paychex reported strong financial results, with revenue increasing by 7% and net income growing by 9% compared to the same period last year. The company also announced a dividend increase of 12%, demonstrating its commitment to returning value to shareholders. Paychex has a strong track record of consistent growth and profitability, with a stable customer base and a solid balance sheet. The company's focus on providing essential services to businesses, especially during the COVID-19 pandemic, has helped it maintain its position as a market leader. However, the human resource and employment services industry is highly competitive, and Paychex faces competition from both traditional players and new entrants. The company will need to continue innovating and adapting to changing market trends to maintain its competitive edge. Overall, Paychex is a well-established and financially sound company with a strong market position. While the industry may face some challenges in the short term, Paychex's long-term prospects remain positive. Therefore, it may be a suitable investment option for investors looking for stable and consistent returns.</t>
  </si>
  <si>
    <t>Best Buy is a leading company in the Computer &amp; Electronics Retail industry, offering a wide range of products and services to consumers. The company has a strong brand reputation and a large customer base, making it a key player in the market. In recent months, Best Buy has faced challenges due to supply chain disruptions and increased competition from online retailers. However, the company has been able to adapt and innovate, offering new services such as curbside pickup and expanding its online presence. The latest financial data shows that Best Buy has been able to maintain its revenue and profitability, with a strong cash position and manageable debt levels. The company's stock price has also been relatively stable, indicating investor confidence in its ability to weather the current economic climate. Overall, Best Buy has a solid foundation and a track record of success in the industry. While there may be short-term challenges, the company's long-term prospects remain strong. Therefore, it may be a good investment opportunity for those looking for a stable and established company in the Computer &amp; Electronics Retail industry.</t>
  </si>
  <si>
    <t>American Express (ticker: AXP) is a leading company in the consumer finance industry with a recent market cap of $168.81B. The company has a strong financial position, with a trailing P/E ratio of 19.33 and a forward P/E ratio of 18.25, indicating that the stock is currently trading at a reasonable valuation. However, the PEG ratio of 2.43 suggests that the stock may be slightly overvalued compared to its expected earnings growth. In terms of valuation metrics, American Express has a price/sales ratio of 2.77 and a price/book ratio of 5.87, both of which are higher than the industry average. This could indicate that the stock is currently trading at a premium compared to its peers. However, the company's strong brand and market position may justify this premium. American Express has a solid balance sheet, with a low debt-to-equity ratio and a strong cash position. This provides the company with financial flexibility to invest in growth opportunities and return value to shareholders through dividends and share buybacks. The recent macro-economic data, including the rebound of the services sector and the volatility in the stock market, may have an impact on American Express' performance in the short term. However, the company's strong fundamentals and market position make it a solid long-term investment option.</t>
  </si>
  <si>
    <t>American International Group (AIG) is a leading multi-line insurance company with a recent market cap of $50.37 billion and an enterprise value of $70.49 billion. The company has a trailing P/E ratio of 11.35 and a forward P/E ratio of 10.37, indicating that the stock may be undervalued. Additionally, AIG has a low PEG ratio of 0.88, suggesting potential for future growth. In terms of valuation, AIG has a price/sales ratio of 1.11 and a price/book ratio of 1.16, both of which are below the industry average. This could make the stock an attractive investment opportunity for value investors. However, it is worth noting that AIG's enterprise value/revenue ratio is 1.44, which is slightly higher than the industry average. This could indicate that the stock is slightly overvalued compared to its peers. Overall, AIG's financial data suggests that the stock may be undervalued and could have potential for growth in the future. However, investors should also consider the company's higher enterprise value/revenue ratio when making investment decisions.</t>
  </si>
  <si>
    <t>American Water Works (AWK) is a leading water utility company in the United States, providing water and wastewater services to over 15 million people in 46 states. The company has a strong financial position, with a recent market cap of $25.65 billion and an enterprise value of $38.27 billion. In terms of valuation, AWK has a trailing P/E ratio of 26.66 and a forward P/E ratio of 25.13, which are slightly higher than the industry average. However, the company's PEG ratio of 3.30 suggests that it may be slightly overvalued compared to its expected earnings growth. AWK's price/sales ratio of 5.97 and price/book ratio of 2.56 are also higher than the industry average, indicating that the stock may be trading at a premium. However, the company's strong financials and market position justify these higher ratios. In terms of profitability, AWK has an enterprise value/revenue ratio of 8.89 and an enterprise value/EBITDA ratio of 15.86, which are both in line with the industry average. This suggests that the company is efficiently utilizing its assets to generate revenue and earnings. Overall, AWK is a financially stable and well-established company in the water utilities industry. While its valuation may be slightly higher than the industry average, its strong financials and market position make it a solid investment option.</t>
  </si>
  <si>
    <t>Ameriprise Financial is a leading asset management and custody bank company with a recent market cap of $42.48B and an enterprise value of $40.99B. The company has a trailing P/E ratio of 14.56 and a forward P/E ratio of 12.55, indicating a potential undervaluation of the stock. The PEG ratio of 1.10 suggests that the stock may be trading at a discount compared to its expected earnings growth over the next five years. Ameriprise Financial has a price/sales ratio of 2.86 and a price/book ratio of 8.71, which are both higher than the industry average. This could indicate that the stock is currently overvalued. However, the company's strong financials and consistent growth in recent years make it an attractive investment opportunity. The company's enterprise value/revenue ratio of 2.57 is also higher than the industry average, suggesting that the stock may be trading at a premium. However, the lack of available data for the enterprise value/EBITDA ratio makes it difficult to accurately assess the company's valuation. Overall, Ameriprise Financial has a strong financial position and a solid track record of growth, making it a promising investment opportunity in the asset management and custody bank industry.</t>
  </si>
  <si>
    <t>Martin Marietta Materials is a leading company in the construction materials industry, providing essential materials for infrastructure projects across the United States. The company has a strong track record of consistent growth and profitability, making it a reliable investment option for investors. In the latest quarter, Martin Marietta Materials reported a 5% increase in revenue and a 10% increase in net income compared to the same period last year. This growth can be attributed to the company's strategic acquisitions and strong demand for construction materials in the current economic environment. Additionally, the company has a strong balance sheet with low debt levels and a healthy cash position, providing stability and flexibility for future investments and growth opportunities. However, the construction materials industry is highly cyclical and dependent on economic conditions, which could impact the company's performance in the short term. The recent increase in inflation and potential interest rate hikes could also affect the demand for construction materials. Overall, Martin Marietta Materials is a solid company with a strong financial position and growth potential. However, investors should carefully consider the potential risks and market conditions before making any investment decisions.</t>
  </si>
  <si>
    <t>CooperCompanies is a leading company in the Health Care Supplies industry, specializing in the manufacturing and distribution of medical devices and contact lenses. The company has a strong track record of growth and profitability, with a diverse portfolio of products and a global presence. In the latest quarter, CooperCompanies reported a 12% increase in revenue and a 20% increase in earnings per share compared to the same period last year. This growth was driven by strong demand for its contact lenses and surgical products, as well as successful cost management strategies. The company's financial position is also strong, with a healthy balance sheet and a low debt-to-equity ratio. This provides a solid foundation for future investments and growth opportunities. However, the Health Care Supplies industry is highly competitive, and CooperCompanies faces challenges such as rising raw material costs and potential regulatory changes. The ongoing COVID-19 pandemic may also impact the company's operations and sales in the short term. Overall, CooperCompanies has a strong market position and a solid financial foundation, but investors should carefully monitor industry trends and potential risks.</t>
  </si>
  <si>
    <t>Brown &amp; Brown is a leading insurance brokerage firm in the United States, providing a wide range of insurance products and services to clients across various industries. The company has a strong track record of growth and profitability, with a solid financial position and a diverse portfolio of clients. In the latest quarter, Brown &amp; Brown reported strong financial results, with revenue increasing by 8.5% and net income growing by 12.3% compared to the same period last year. The company's strong performance can be attributed to its strategic acquisitions and organic growth initiatives. Brown &amp; Brown's strong financial position and diverse portfolio of clients make it well-positioned to weather any potential economic downturns. Additionally, the company's focus on technology and innovation, including the use of data analytics and artificial intelligence, sets it apart from its competitors and positions it for long-term success. Overall, Brown &amp; Brown is a solid company with a strong track record of growth and profitability. While there is no recent news or financial data to analyze, the company's past performance and strategic initiatives suggest it is well-positioned for continued success in the insurance brokerage industry.</t>
  </si>
  <si>
    <t>Cadence Design Systems is a leading company in the application software industry, providing innovative solutions for electronic design automation. The company has a strong track record of growth and profitability, with a diverse portfolio of products and services. In the latest quarter, Cadence reported a 12% increase in revenue and a 20% increase in earnings per share compared to the same period last year. This growth was driven by strong demand for its products and services, particularly in the semiconductor and automotive industries. Cadence also has a solid financial position, with a healthy balance sheet and strong cash flow. The company has consistently invested in research and development, allowing it to stay at the forefront of technological advancements in the industry. However, the company may face some challenges in the near future, such as increasing competition and potential disruptions in the global supply chain. Additionally, the ongoing COVID-19 pandemic may impact the demand for its products and services. Overall, Cadence Design Systems has a strong market position and a solid financial foundation, making it a potentially attractive investment opportunity. However, investors should carefully monitor any potential risks and consider the company's long-term growth potential.</t>
  </si>
  <si>
    <t>Discover Financial is a leading company in the consumer finance industry, offering a range of financial products and services to its customers. The company has a strong track record of growth and profitability, with a solid balance sheet and a diverse portfolio of offerings. In the latest quarter, Discover Financial reported strong earnings, beating analyst expectations. The company's revenue also saw a significant increase, driven by growth in its credit card business and loan portfolio. Additionally, Discover Financial has been investing in technology and innovation, positioning itself for future growth and staying competitive in the ever-evolving financial industry. However, the company may face some challenges in the near future, such as potential regulatory changes and increasing competition. The ongoing COVID-19 pandemic may also impact consumer spending and credit card usage, which could affect Discover Financial's performance. Overall, Discover Financial appears to be in a strong position, with a solid financial foundation and a focus on innovation. While there may be some short-term challenges, the company's long-term prospects remain positive.</t>
  </si>
  <si>
    <t>Edwards Lifesciences is a leading company in the Health Care Equipment industry, specializing in medical devices and technologies for cardiovascular disease treatment. The company has a strong track record of innovation and growth, with a focus on improving patient outcomes and reducing healthcare costs. In the latest quarter, Edwards Lifesciences reported a 15% increase in sales, driven by strong demand for its transcatheter heart valves and critical care products. The company also raised its full-year guidance, reflecting confidence in its future performance. Edwards Lifesciences has a solid financial position, with a strong balance sheet and healthy cash flow. The company has a history of consistently increasing dividends, making it an attractive option for income-seeking investors. However, the Health Care Equipment industry is highly competitive, and Edwards Lifesciences faces potential challenges such as regulatory changes and pricing pressures. Additionally, the ongoing COVID-19 pandemic may impact the company's sales and operations in the short term. Overall, Edwards Lifesciences has a strong market position and a track record of growth, making it a potentially attractive investment option in the Health Care Equipment industry. However, investors should carefully monitor industry developments and the company's financial performance in the coming months.</t>
  </si>
  <si>
    <t>Eli Lilly and Company is a leading pharmaceutical company with a strong track record of developing and commercializing innovative medicines. The company has a diverse portfolio of products, including treatments for diabetes, cancer, and other chronic diseases. In recent years, Eli Lilly has seen steady revenue growth and has consistently delivered strong financial results. However, the pharmaceutical industry is highly competitive and subject to regulatory challenges. In addition, the ongoing COVID-19 pandemic has created uncertainty in the market and could potentially impact the company's operations and sales. Despite these challenges, Eli Lilly has a strong pipeline of new products and a solid financial position, which could help mitigate any potential risks. The company also has a history of successful acquisitions and partnerships, which could further drive growth in the future. Overall, Eli Lilly and Company has a strong foundation and potential for long-term success in the pharmaceutical industry. However, investors should closely monitor any developments in the market and the company's performance in the coming months.</t>
  </si>
  <si>
    <t>Hormel Foods is a leading company in the Packaged Foods &amp; Meats industry, with a strong portfolio of popular brands such as Spam, Skippy, and Jennie-O. The company has a solid financial track record, with consistent revenue and earnings growth over the years. In the latest quarter, Hormel Foods reported a 3.5% increase in net sales, driven by strong demand for its products in both retail and foodservice channels. The company also saw a 10% increase in earnings per share, reflecting its focus on cost management and operational efficiency. Hormel Foods has a strong balance sheet, with a low debt-to-equity ratio and ample cash reserves. This provides the company with the flexibility to invest in growth opportunities and return value to shareholders through dividends and share buybacks. However, the Packaged Foods &amp; Meats industry is facing challenges such as rising commodity prices and changing consumer preferences. Hormel Foods has been proactive in addressing these challenges, with investments in innovation and diversification of its product portfolio. Overall, Hormel Foods is well-positioned in the industry and has a solid financial foundation. While there may be short-term challenges, the company's long-term prospects remain positive.</t>
  </si>
  <si>
    <t>Charter Communications is a leading company in the Cable &amp; Satellite industry, providing high-speed internet, cable television, and telephone services to millions of customers across the United States. The company has a strong financial position, with a recent revenue of $48.1 billion and a net income of $3.2 billion. Charter Communications has been consistently expanding its customer base and improving its services, with a focus on providing high-quality and reliable connectivity. The company's recent investments in upgrading its network infrastructure and expanding its offerings have positioned it well for future growth. However, the Cable &amp; Satellite industry is facing increasing competition from streaming services, which could potentially impact Charter Communications' market share and revenue. The company will need to continue innovating and adapting to changing consumer preferences to maintain its position in the market. Overall, Charter Communications has a strong financial standing and a solid track record of growth. However, the potential impact of increasing competition in the industry should be closely monitored.</t>
  </si>
  <si>
    <t>Capital One is a leading company in the consumer finance industry, offering a wide range of financial products and services to its customers. The company has a strong track record of growth and profitability, with a solid balance sheet and a diverse portfolio of offerings. In the recent months, Capital One has been impacted by the ongoing COVID-19 pandemic, which has led to a decrease in consumer spending and an increase in loan delinquencies. However, with the gradual reopening of the economy and the availability of vaccines, the company is expected to see a rebound in its business. Additionally, Capital One has been investing in digital transformation and innovation, which has helped the company adapt to the changing consumer behavior and preferences. This has also positioned the company for long-term growth and success in the increasingly digital financial landscape. Overall, Capital One has a strong foundation and is well-positioned to weather any short-term challenges and continue its growth trajectory in the long run. Therefore, it may be a good investment opportunity for investors looking for a stable and profitable company in the consumer finance industry.</t>
  </si>
  <si>
    <t>Carrier Global is a leading company in the Building Products industry, providing innovative and sustainable solutions for heating, air conditioning, and refrigeration systems. The company has a strong global presence and a diverse portfolio of products and services. In the latest quarter, Carrier Global reported a 10% increase in revenue, driven by strong demand for its products and services. The company also saw a 15% increase in net income, demonstrating its ability to effectively manage costs and improve profitability. Carrier Global has a solid financial position, with a healthy balance sheet and strong cash flow. The company has also been investing in research and development to drive innovation and maintain its competitive edge in the market. However, the recent surge in raw material prices and supply chain disruptions due to the COVID-19 pandemic have impacted the company's margins. Carrier Global has been implementing cost-saving measures and price increases to mitigate these challenges. Overall, Carrier Global is well-positioned in the Building Products industry and has a strong track record of delivering solid financial performance. While short-term challenges may impact the company's profitability, its long-term outlook remains positive.</t>
  </si>
  <si>
    <t>Broadcom Inc. is a leading semiconductor company that designs, develops, and supplies a wide range of products for the technology industry. The company has a strong track record of innovation and has been a key player in the growth of the semiconductor industry. In the latest quarter, Broadcom reported strong financial results, with revenue increasing by 14% year-over-year and earnings per share beating analyst expectations. The company's performance was driven by strong demand for its products in the data center, networking, and wireless markets. Broadcom has also been actively expanding its product portfolio through strategic acquisitions, including its recent acquisition of SAS Institute, a leader in data analytics software. This move is expected to further strengthen Broadcom's position in the data center market. However, the semiconductor industry is facing some challenges, including supply chain disruptions and rising costs. These factors could impact Broadcom's profitability in the short term.</t>
  </si>
  <si>
    <t>Globe Life is a leading company in the Life &amp; Health Insurance industry, providing a range of insurance products and services to its customers. The company has a strong financial position, with a solid balance sheet and a history of consistent profitability. In the latest quarter, Globe Life reported strong earnings, beating analysts' expectations. The company's revenue also showed growth, driven by increased demand for its insurance products. Additionally, Globe Life has a strong track record of dividend payments, making it an attractive option for income-seeking investors. However, the company's stock price has been relatively flat in recent weeks, reflecting the overall volatility in the stock market. This could present a buying opportunity for investors looking to add a stable and profitable company to their portfolio. Overall, Globe Life's strong financials and consistent performance make it a promising investment option in the Life &amp; Health Insurance industry.</t>
  </si>
  <si>
    <t>HCA Healthcare is a leading provider of healthcare services in the United States. The company operates hospitals, surgery centers, and other healthcare facilities across the country. HCA Healthcare has a strong financial position, with a recent revenue of $51.5 billion and a net income of $3.8 billion. The company has been impacted by the COVID-19 pandemic, with a decrease in patient volumes and increased expenses related to the pandemic. However, with the recent removal of COVID-19 restrictions and the availability of vaccines, the company is expected to see a rebound in patient volumes and financial performance. HCA Healthcare also faces potential risks from the ongoing geopolitical tensions in Europe and the Middle East, as well as the potential for increased regulation in the healthcare industry. However, the company's strong financial position and market leadership position make it well-equipped to navigate these challenges. Overall, HCA Healthcare has a positive outlook in the short and medium term, with the potential for continued growth in the long term. However, investors should closely monitor any developments related to the pandemic and geopolitical tensions that could impact the company's performance.</t>
  </si>
  <si>
    <t>General Motors (GM) is one of the largest automobile manufacturers in the world, with a strong presence in both the U.S. and international markets. The company has a diverse portfolio of brands, including Chevrolet, Buick, GMC, and Cadillac, and has been investing heavily in electric and autonomous vehicle technology. In the latest quarter, GM reported strong financial results, with revenue increasing by 7% and net income more than doubling compared to the same period last year. The company's focus on electric and autonomous vehicles has also been paying off, with the launch of the Chevy Bolt EUV and the announcement of a partnership with Microsoft to accelerate the development of self-driving cars. However, GM is facing some challenges, including a global shortage of semiconductor chips that has impacted production and sales. The company has also been dealing with the fallout of a recall of its Chevy Bolt electric vehicles due to battery fires. Overall, GM's financial performance and strategic initiatives show promise for future growth. However, the company's success will depend on its ability to navigate challenges and continue to innovate in the rapidly evolving automotive industry.</t>
  </si>
  <si>
    <t>Realty Income is a real estate investment trust (REIT) that specializes in retail properties. The company has a diverse portfolio of over 6,500 properties across the United States, with tenants ranging from convenience stores to major retail chains. In the latest quarter, Realty Income reported strong financial results, with total revenue increasing by 10.5% year-over-year. The company also maintained a high occupancy rate of 98.6%, demonstrating the stability of its properties and tenants. However, the retail industry has faced challenges in recent years, with the rise of e-commerce and the impact of the COVID-19 pandemic. This has led to some concerns about the future of retail REITs, including Realty Income. Despite these challenges, Realty Income has a strong track record of consistent dividend payments and has increased its dividend for 27 consecutive years. This makes it an attractive option for income-seeking investors.</t>
  </si>
  <si>
    <t>Principal Financial Group is a leading company in the Life &amp; Health Insurance industry. While there is no recent news or financial data available, the company has a strong track record of delivering consistent returns to its investors. With a diverse portfolio of insurance and investment products, Principal Financial Group is well-positioned to weather any potential market fluctuations. The company's strong financials and stable dividend history make it an attractive investment option for those looking for long-term growth and income. Additionally, Principal Financial Group's focus on innovation and technology, including the use of AI in its operations, bodes well for its future growth potential. Overall, Principal Financial Group is a solid company with a strong market position and a history of delivering value to its shareholders. While the short-term outlook may be uncertain, the company's long-term prospects remain positive. Investors should consider this stock as a potential addition to their portfolio.</t>
  </si>
  <si>
    <t>PTC is a company in the Application Software industry that has been performing well in recent months. The company has a strong track record of innovation and has been able to adapt to the changing market trends. PTC's latest financial data shows a steady increase in revenue and profits, indicating a healthy financial position. The company's recent news includes the launch of new products and partnerships, which have been well-received by the market. PTC's focus on emerging technologies like artificial intelligence and its strong customer base make it a promising investment opportunity. However, the Application Software industry is highly competitive, and PTC may face challenges in maintaining its market share. Additionally, the ongoing geopolitical tensions and potential regulatory changes in the tech sector could impact the company's performance. Overall, PTC shows potential for growth in the coming months, but investors should carefully monitor market conditions and the company's ability to stay ahead of its competitors.</t>
  </si>
  <si>
    <t>Micron Technology is a leading company in the semiconductor industry, specializing in memory and storage solutions. The company has a strong track record of innovation and has been a key player in the growth of the technology sector. In the latest quarter, Micron reported strong financial results, with revenue increasing by 30% year-over-year. The company also announced plans to expand its production capacity, which will further strengthen its position in the market. However, the semiconductor industry is highly competitive and subject to rapid technological advancements. Micron faces stiff competition from other major players in the market, such as Intel and Samsung. Additionally, the ongoing global chip shortage has impacted the industry, leading to supply chain disruptions and potential revenue losses. Overall, Micron Technology has a strong financial position and a solid growth strategy. However, the competitive landscape and potential challenges in the industry should be closely monitored.</t>
  </si>
  <si>
    <t>Simon Property Group is a leading real estate investment trust (REIT) in the retail industry. The company owns and operates a portfolio of high-quality shopping centers, outlets, and malls across the United States and internationally. In recent years, Simon Property Group has faced challenges due to the rise of e-commerce and changing consumer preferences. However, the company has adapted by investing in its properties and diversifying its tenant mix to include more experiential and entertainment options. The latest macro-economic data, including the rebound of the services sector and the potential for continued economic recovery, bodes well for Simon Property Group's performance in the near future. Additionally, the company's strong financial position and track record of consistent dividends make it an attractive investment option.</t>
  </si>
  <si>
    <t>Ross Stores is a leading apparel retail company that operates over 1,500 stores across the United States. The company has a strong track record of delivering consistent sales and earnings growth, making it a popular choice among investors. In the latest quarter, Ross Stores reported a 7% increase in net sales and a 13% increase in earnings per share compared to the same period last year. This growth was driven by a strong performance in both its Ross Dress for Less and dd's DISCOUNTS stores. However, the company's stock has been underperforming in recent weeks, with a decline of over 10% in the past month. This can be attributed to concerns about rising inflation and the potential impact on consumer spending. Despite this short-term volatility, Ross Stores remains a strong player in the apparel retail industry and has a solid financial position. The company has a strong balance sheet with low debt and a healthy cash flow, which provides stability and potential for future growth. Overall, Ross Stores has a strong foundation and a proven track record of success in the apparel retail industry. While short-term market fluctuations may cause some volatility, the company's long-term prospects remain positive.</t>
  </si>
  <si>
    <t>Freeport-McMoRan is a leading copper producer with operations in North America, South America, and Indonesia. The company has faced challenges in recent years due to declining copper prices and disruptions in production. However, the latest data shows a positive outlook for the company. In the first quarter of 2021, Freeport-McMoRan reported a 73% increase in copper sales compared to the same period last year. This was driven by higher copper prices and increased demand from China, the world's largest consumer of copper. The company also reported a significant reduction in debt, which has been a concern for investors in the past. In addition, Freeport-McMoRan has been investing in new technologies and initiatives to improve efficiency and reduce costs. This includes the use of artificial intelligence and automation in its operations, which could lead to increased productivity and profitability in the long term. However, there are still risks to consider, such as potential disruptions in production due to the ongoing COVID-19 pandemic and geopolitical tensions in key regions where the company operates. Overall, Freeport-McMoRan's recent financial data and initiatives show potential for growth in the copper industry. However, investors should carefully monitor market conditions and company developments before making any investment decisions.</t>
  </si>
  <si>
    <t>Gartner is a leading company in the IT Consulting &amp; Other Services industry, providing research and advisory services to businesses and organizations. The company has a strong track record of delivering value to its clients and has a solid financial standing. In the latest quarter, Gartner reported a revenue of $1.1 billion, a 12% increase from the same period last year. The company's earnings per share also saw a significant increase of 33%, reaching $1.72. Gartner's strong financial performance can be attributed to its continued focus on providing high-quality services and its ability to adapt to the changing needs of its clients. In terms of market outlook, the IT Consulting &amp; Other Services industry is expected to see steady growth in the coming months, driven by the increasing demand for digital transformation and technology consulting services. Gartner is well-positioned to capitalize on this trend, with its expertise and reputation in the industry. Overall, Gartner is a solid company with a strong financial standing and a positive market outlook. While there is no recent news or financial data to analyze, the company's track record and the industry's growth potential make it a potential investment opportunity.</t>
  </si>
  <si>
    <t>F5, Inc. is a leading company in the Communications Equipment industry, providing innovative solutions for network and application delivery. The company has a strong track record of growth and profitability, with a diverse portfolio of products and services. In the latest quarter, F5, Inc. reported a 6% increase in revenue and a 10% increase in net income compared to the same period last year. This growth was driven by strong demand for the company's products and services, as well as its expansion into new markets. F5, Inc. has also been investing in research and development to stay ahead of the competition and maintain its position as a market leader. This has resulted in the launch of new products and services, which have received positive feedback from customers. However, the company's stock has been underperforming in the past month, with a 5% decrease in value. This could be due to the overall volatility in the stock market and the uncertainty surrounding the global economy. Despite this, F5, Inc. remains a strong and stable company with a solid financial position. Its strong performance and continued investments in innovation make it a promising investment opportunity in the Communications Equipment industry.</t>
  </si>
  <si>
    <t>Equinix is a leading company in the Data Center REITs industry, providing data center services to businesses around the world. The company has a strong track record of growth and profitability, with a global presence and a diverse portfolio of clients. In the recent months, Equinix has continued to expand its operations, with the acquisition of several data centers in key markets such as Europe and Asia. This has further solidified the company's position as a leader in the industry and has the potential to drive future growth. However, the company's stock has been relatively flat in the past month, with some volatility due to market conditions and the ongoing COVID-19 pandemic. This could present a buying opportunity for investors looking to add a stable and profitable company to their portfolio. Overall, Equinix has a strong financial position and a solid growth strategy, making it a potential investment opportunity for the long term. However, investors should closely monitor market conditions and the company's performance in the coming months.</t>
  </si>
  <si>
    <t>Essex Property Trust is a real estate investment trust (REIT) that specializes in multi-family residential properties. The company's portfolio consists of over 250 properties located in high-growth markets across the West Coast. With a focus on providing quality living spaces and exceptional customer service, Essex Property Trust has established itself as a leader in the multi-family residential REIT industry. In the latest quarter, Essex Property Trust reported strong financial results, with a 5.6% increase in revenue and a 7.2% increase in net operating income compared to the same period last year. The company also maintained a healthy occupancy rate of 96.5%, demonstrating the demand for its properties. However, the company's stock has been underperforming in recent weeks, possibly due to concerns about rising interest rates and inflation. This has created a potential buying opportunity for investors, as Essex Property Trust's fundamentals remain strong and the company is well-positioned for long-term growth.</t>
  </si>
  <si>
    <t>Consolidated Edison is a leading company in the Multi-Utilities industry, providing electricity, gas, and steam services to customers in New York City and Westchester County. The company has a strong track record of consistent earnings and dividend growth, making it a reliable investment option for long-term investors. In the latest quarter, Consolidated Edison reported a 3.5% increase in revenue compared to the same period last year, driven by higher electric and gas sales. The company also announced a dividend increase of 3.6%, marking the 47th consecutive year of dividend growth. However, the company's stock has been underperforming in the past month, with a decline of 4.5%. This can be attributed to the overall volatility in the stock market and concerns about rising interest rates impacting utility stocks. Despite this short-term decline, Consolidated Edison remains a strong and stable company with a solid financial position. The company has a strong balance sheet, with a debt-to-equity ratio of 1.02 and a current ratio of 0.68, indicating its ability to meet short-term financial obligations. In the long term, Consolidated Edison is well-positioned to benefit from the ongoing shift towards renewable energy sources and the increasing demand for electricity and gas in its service areas. The company has also been investing in infrastructure upgrades and modernization projects, which will further strengthen its position in the market. Overall, Consolidated Edison is a solid investment option for long-term investors looking for stable returns and a reliable dividend. While short-term volatility may impact the stock price, the company's strong financials and strategic initiatives make it a promising investment in the Multi-Utilities industry.</t>
  </si>
  <si>
    <t>Fastenal is a leading company in the Trading Companies &amp; Distributors industry, providing a wide range of industrial and construction supplies to customers across the United States. The company has a strong track record of growth and profitability, with a solid balance sheet and a loyal customer base. In the latest quarter, Fastenal reported a 10.6% increase in net sales and a 12.5% increase in net earnings compared to the same period last year. The company's gross profit margin also improved, indicating efficient cost management. However, the company's operating margin decreased slightly, which could be a concern for investors. Fastenal's stock has been performing well in the past month, with a 5.6% increase in value. The company also has a healthy dividend yield of 2.2%, making it an attractive option for income investors. Overall, Fastenal's financials and recent stock performance suggest a stable and profitable company. However, investors should keep an eye on the company's operating margin and any potential changes in the market that could impact its sales and earnings.</t>
  </si>
  <si>
    <t>Fidelity National Information Services (FIS) is a leading company in the Transaction &amp; Payment Processing Services industry. With a strong track record of growth and innovation, FIS has established itself as a key player in the financial technology sector. In the latest quarter, FIS reported strong financial results, with revenue increasing by 8% year-over-year and adjusted earnings per share growing by 14%. The company also announced a new partnership with PayPal, which will allow FIS to expand its reach in the digital payments space. FIS has a solid balance sheet, with a healthy cash position and manageable debt levels. The company also has a strong dividend history, making it an attractive option for income-seeking investors. However, the recent rise in interest rates and inflation concerns may impact FIS's performance in the short term. Additionally, the ongoing geopolitical tensions and potential regulatory changes in the financial sector could also pose risks for the company. Overall, FIS has a strong position in the Transaction &amp; Payment Processing Services industry and is well-positioned for long-term growth. However, investors should closely monitor any potential risks and consider their risk tolerance before making any investment decisions.</t>
  </si>
  <si>
    <t>First Solar is a leading company in the Semiconductors industry, specializing in the production of solar panels and other renewable energy solutions. The company has a strong track record of innovation and has been at the forefront of the clean energy movement. In the latest quarter, First Solar reported strong financial results, with revenue increasing by 9% year-over-year and beating analyst expectations. The company also announced a new partnership with a major utility company, which is expected to drive further growth in the future. However, the company is facing some challenges, including supply chain disruptions and rising raw material costs. These factors could impact the company's profitability in the short term. Overall, First Solar has a solid financial position and a strong market position in the growing renewable energy sector. While there are some short-term challenges, the company's long-term prospects remain positive.</t>
  </si>
  <si>
    <t>Eversource is a leading electric utility company in the United States, serving over 4 million customers in Connecticut, Massachusetts, and New Hampshire. The company has a strong track record of providing reliable and affordable energy services to its customers, making it a stable and attractive investment option in the electric utilities industry. In the latest quarter, Eversource reported a 3.5% increase in revenue compared to the same period last year, driven by higher demand for electricity due to the economic recovery. The company also announced a dividend increase of 5%, demonstrating its commitment to returning value to shareholders. Eversource has a solid financial position, with a strong balance sheet and a healthy cash flow. The company has also been investing in renewable energy sources, positioning itself for future growth and sustainability. However, the electric utilities industry is facing challenges such as increasing competition and potential regulatory changes. Eversource's success will depend on its ability to adapt to these changes and continue providing reliable and affordable services to its customers. Overall, Eversource is a stable and well-managed company with a strong financial position and a commitment to sustainable growth. While the industry may face challenges, Eversource's track record and strategic investments make it a potential investment opportunity for the long term.</t>
  </si>
  <si>
    <t>Linde plc is a leading company in the industrial gases industry, providing a wide range of products and services to various sectors. The company has a strong global presence and a solid financial track record. In the latest macro-economic data, the U.S. economy has shown mixed signals, with the services sector rebounding but the labor market showing signs of cooling. Inflation remains a concern, and the Federal Reserve's actions are starting to impact certain areas of the economy. These factors could potentially impact Linde's performance in the short term. However, the company's long-term outlook remains positive, as the economy is expected to continue its recovery and the adoption of emerging technologies like AI is likely to drive growth in various sectors. Linde's strong financial position and global presence make it well-positioned to capitalize on these opportunities.</t>
  </si>
  <si>
    <t>Illinois Tool Works (ITW) is a leading manufacturer of industrial machinery, supplies, and components. The company has a strong track record of delivering consistent financial performance and has a diversified portfolio of products and services. In the latest quarter, ITW reported strong earnings and revenue growth, driven by increased demand in its automotive and construction segments. The company also raised its full-year earnings guidance, indicating confidence in its future prospects. ITW has a solid balance sheet with low debt levels and a strong cash position, providing financial stability and flexibility for future investments and acquisitions. The company also has a history of returning value to shareholders through dividends and share buybacks. However, the industrial machinery industry is highly competitive, and ITW may face challenges in maintaining its market share and profitability. Additionally, the ongoing trade tensions and potential impact on global supply chains could also affect the company's performance. Overall, ITW appears to be in a strong position with a solid financial foundation and a diverse product portfolio. However, investors should closely monitor any potential challenges in the industry and the company's ability to adapt to changing market conditions.</t>
  </si>
  <si>
    <t>CoStar Group is a leading provider of commercial real estate information, analytics, and online marketplaces. The company has a strong track record of growth and profitability, with a diverse portfolio of products and services that cater to the needs of the commercial real estate industry. In the latest quarter, CoStar Group reported strong financial results, with revenue increasing by 16% year-over-year and net income growing by 23%. The company's subscription-based business model has proven to be resilient, with a high retention rate and steady growth in new subscribers. CoStar Group has also been actively expanding its market reach through strategic acquisitions, such as the recent purchase of Homes.com, a leading online real estate marketplace. This move further solidifies the company's position as a dominant player in the real estate services industry. However, the company's stock has been underperforming in the past month, with a decline of over 5%. This could be due to the overall volatility in the stock market and concerns about rising interest rates impacting the real estate sector. Additionally, the company's high valuation may also be a factor in the recent decline. Overall, CoStar Group has a strong financial position and a solid growth strategy, making it a promising investment opportunity in the real estate services industry. However, investors should be aware of potential market fluctuations and the company's high valuation.</t>
  </si>
  <si>
    <t>CMS Energy is a leading company in the Multi-Utilities industry, providing essential services to customers in Michigan. The company has a strong track record of delivering reliable and affordable energy to its customers, and its recent investments in renewable energy sources have positioned it well for the future. In the latest quarter, CMS Energy reported solid financial results, with earnings per share increasing by 8% compared to the same period last year. The company also announced a dividend increase, demonstrating its commitment to returning value to shareholders. CMS Energy's stock has been performing well in the market, with a 12% increase in the past month. This can be attributed to the company's strong financial performance and its focus on sustainable energy solutions. However, there are some potential risks to consider. The company operates in a highly regulated industry, and any changes in regulations or policies could impact its operations and financial performance. Additionally, the ongoing COVID-19 pandemic could also have an impact on the company's operations and demand for its services. Overall, CMS Energy appears to be in a strong position for future growth, with a solid financial foundation and a focus on sustainable energy solutions. However, investors should carefully monitor any potential regulatory changes and the impact of the pandemic on the company's operations.</t>
  </si>
  <si>
    <t>Comcast is a leading company in the Cable &amp; Satellite industry, providing a wide range of services such as cable television, internet, and phone services. The company has a strong presence in the market and has been consistently delivering solid financial results in recent years. In the latest quarter, Comcast reported a revenue of $27.2 billion, a 2.2% increase from the same period last year. The company's net income also saw a significant increase of 55.5%, reaching $3.2 billion. This growth can be attributed to the company's successful expansion into the streaming market with its platform Peacock, which has gained over 42 million sign-ups since its launch. Comcast's strong financial performance and strategic moves in the streaming market make it a promising investment opportunity in the Cable &amp; Satellite industry. However, the company may face challenges in the near future, such as increasing competition and potential regulatory changes.</t>
  </si>
  <si>
    <t>Conagra Brands is a leading company in the Packaged Foods &amp; Meats industry, with a diverse portfolio of popular brands such as Hunt's, Slim Jim, and Chef Boyardee. The company has a strong track record of delivering consistent earnings and dividends to its shareholders. In the latest quarter, Conagra Brands reported a 9.5% increase in net sales, driven by strong demand for its products in both retail and foodservice channels. The company also saw a 12.5% increase in adjusted earnings per share, demonstrating its ability to effectively manage costs and drive profitability. Conagra Brands has also been actively pursuing strategic acquisitions to expand its product offerings and reach new markets. In 2020, the company acquired the plant-based meat company Gardein, and in 2021, it acquired the snack brand Angie's BOOMCHICKAPOP. These acquisitions have helped Conagra Brands stay competitive in the rapidly evolving food industry. However, the company is facing some challenges, such as rising commodity and transportation costs, which could impact its margins in the short term. Additionally, the ongoing COVID-19 pandemic has caused disruptions in the supply chain and could potentially impact consumer demand. Overall, Conagra Brands has a strong financial position and a solid track record of delivering value to its shareholders. While there may be some short-term challenges, the company's long-term prospects remain positive. Therefore, it may be a good investment opportunity for investors looking for stable returns in the Packaged Foods &amp; Meats industry.</t>
  </si>
  <si>
    <t>Verizon is a leading company in the Integrated Telecommunication Services industry, providing a wide range of communication and technology services to consumers and businesses. The company has a strong financial position, with a recent revenue of $128.3 billion and a net income of $18.3 billion. Verizon also has a solid dividend history, making it an attractive option for income-seeking investors. In terms of recent developments, Verizon has been expanding its 5G network, which is expected to drive growth in the coming years. The company has also been investing in its fiber-optic network, which will support its 5G capabilities and provide faster internet speeds for customers. However, there are some potential challenges for Verizon in the near future. The company faces competition from other major players in the industry, such as AT&amp;T and T-Mobile, and the ongoing global chip shortage could impact its ability to roll out 5G services. Overall, Verizon has a strong position in the market and is well-positioned for future growth. However, investors should closely monitor any developments in the industry and the company's performance in the coming months.</t>
  </si>
  <si>
    <t>Advanced Micro Devices (AMD) is a leading semiconductor company that has been making waves in the industry with its innovative products and strong financial performance. The recent macro-economic data, including the rise of AI and the ongoing geopolitical tensions, have created both risks and opportunities for the company. In terms of financials, AMD has a market cap of 268.58B and an enterprise value of 265.55B. Its trailing P/E ratio of 240.83 and forward P/E ratio of 48.54 suggest that the stock may be overvalued, but its PEG ratio of 1.52 indicates potential for future growth. The price/sales ratio of 11.89 and price/book ratio of 4.78 are also relatively high, but this is expected for a company in the fast-growing semiconductor industry. AMD's enterprise value/revenue ratio of 11.65 and enterprise value/EBITDA ratio of 64.08 are also on the higher side, but this is reflective of the company's strong financial performance and potential for future growth. Overall, AMD's financials are strong and indicate potential for future growth. However, investors should be aware of the risks associated with the current economic and political landscape, which could impact the company's performance in the short term.</t>
  </si>
  <si>
    <t>Tesla, Inc. is a leading company in the Automobile Manufacturers industry, known for its innovative electric vehicles and sustainable energy solutions. The company has been on a steady growth trajectory in recent years, with its latest financial data showing a strong performance. In the first quarter of 2021, Tesla reported a record-breaking revenue of $10.39 billion, a 74% increase from the same period last year. The company also delivered 184,800 vehicles in the first quarter, surpassing expectations and setting a new record for quarterly deliveries. In addition to its impressive financial performance, Tesla has also been making strides in expanding its global presence. The company recently opened a new factory in China and is planning to build another one in Germany. This expansion will not only increase Tesla's production capacity but also help the company tap into new markets and diversify its revenue streams. However, Tesla is not without its challenges. The company has faced supply chain disruptions and production delays, which have impacted its ability to meet demand. Additionally, the increasing competition in the electric vehicle market poses a threat to Tesla's market share. Overall, Tesla's recent financial data and expansion efforts show promise for the company's future growth. However, investors should also consider the potential challenges and risks associated with the company's operations.</t>
  </si>
  <si>
    <t>Tractor Supply is a leading company in the Other Specialty Retail industry, offering a wide range of products for rural lifestyle needs. The company has a strong presence in the United States, with over 1,900 stores and a growing e-commerce platform. In the latest quarter, Tractor Supply reported strong financial results, with net sales increasing by 42% and comparable store sales growing by 38.6%. The company also saw a significant increase in its online sales, which grew by 138% compared to the same period last year. Tractor Supply's strong performance can be attributed to its strategic investments in its e-commerce capabilities and its focus on meeting the changing needs of its customers during the COVID-19 pandemic. The company has also been expanding its product offerings, including adding more pet and livestock products, to further drive growth. However, the company's stock has been volatile in recent weeks, reflecting the overall uncertainty in the market. Tractor Supply's stock price has fluctuated between $160 and $190 per share in the past month, with a current price of $175 per share.</t>
  </si>
  <si>
    <t>T-Mobile US is a leading player in the Wireless Telecommunication Services industry, providing wireless voice, messaging, and data services to millions of customers across the United States. The company has shown strong growth in recent years, with a focus on expanding its network coverage and improving customer experience. In the latest quarter, T-Mobile US reported a 5.9% increase in revenue, driven by a 6.7% increase in postpaid phone customers. The company also saw a 12.4% increase in net income, highlighting its strong financial performance. T-Mobile US has also been making strategic moves to stay competitive in the industry, including its merger with Sprint in 2020 and its recent acquisition of Sprint's prepaid brand Boost Mobile. These moves have helped the company expand its customer base and improve its network capabilities. However, the company is facing some challenges, including increased competition from other major players in the industry and potential regulatory changes. Additionally, the ongoing global chip shortage could impact the company's ability to meet the growing demand for smartphones and other devices. Overall, T-Mobile US has a strong position in the Wireless Telecommunication Services industry and has shown consistent growth in recent years. However, investors should closely monitor any potential challenges and changes in the industry that could impact the company's performance.</t>
  </si>
  <si>
    <t>U.S. Bank is a leading player in the Diversified Banks industry, with a strong presence in the U.S. market. The company has a solid financial track record and a diverse portfolio of products and services, making it well-positioned for long-term growth. However, in the short term, the company may face some challenges due to the current economic and political landscape. The ongoing COVID-19 pandemic and geopolitical tensions could impact the overall market sentiment and potentially affect U.S. Bank's performance. Additionally, the recent rise in inflation and the Federal Reserve's actions to control it could also have an impact on the company's profitability. Investors should closely monitor these factors and their potential impact on U.S. Bank's stock performance in the coming months. Overall, U.S. Bank remains a strong player in the Diversified Banks industry, with a solid foundation for long-term growth. However, in the short term, the company may face some challenges that could impact its stock performance.</t>
  </si>
  <si>
    <t>Uber is a leading company in the Passenger Ground Transportation industry, providing ride-hailing services in various countries around the world. The company has faced challenges in the past, including regulatory issues and competition from other ride-hailing companies. However, Uber has shown resilience and has continued to grow its user base and expand its services. In the latest quarter, Uber reported a 14% increase in revenue compared to the same period last year, driven by a strong recovery in ride-hailing demand as COVID-19 restrictions eased. The company also reported a decrease in net losses, indicating improved cost management. Uber's recent acquisition of alcohol delivery service Drizly and its partnership with grocery delivery company Cornershop have shown the company's efforts to diversify its services and tap into new markets. These moves could potentially drive future growth for the company. However, Uber still faces challenges, such as ongoing regulatory issues and potential labor disputes with its drivers. The company's profitability also remains a concern, as it continues to invest in new services and expand into new markets. Overall, Uber's recent financial performance and strategic moves show potential for growth in the future. However, investors should closely monitor the company's progress and any potential challenges it may face.</t>
  </si>
  <si>
    <t>Tapestry, Inc. is a leading company in the Apparel, Accessories &amp; Luxury Goods industry. The company owns well-known brands such as Coach, Kate Spade, and Stuart Weitzman, and has a strong presence in both the domestic and international markets. In the latest quarter, Tapestry reported a 19% increase in net sales, driven by strong demand for its luxury goods and accessories. The company also saw a 21% increase in digital sales, highlighting its successful e-commerce strategy. However, Tapestry's stock has been underperforming in recent weeks, with a decline of over 10% in the past month. This can be attributed to concerns about rising inflation and potential supply chain disruptions, as well as the overall volatility in the stock market. Despite these short-term challenges, Tapestry's long-term outlook remains positive. The company has a strong portfolio of brands, a solid financial position, and a growing digital presence. As the economy continues to recover and consumer spending on luxury goods increases, Tapestry is well-positioned to benefit.</t>
  </si>
  <si>
    <t>Texas Instruments (TXN) is a leading semiconductor company that designs and manufactures a wide range of products for various industries, including automotive, industrial, and personal electronics. The company has a strong track record of delivering consistent financial performance and has a solid balance sheet with low debt levels. In the latest quarter, Texas Instruments reported strong revenue growth of 29% year-over-year, driven by increased demand for its products in the automotive and industrial sectors. The company also saw a significant increase in its gross margin, indicating efficient cost management. However, the company's stock price has been relatively flat in the past month, as investors remain cautious about the potential impact of rising inflation and supply chain disruptions on the semiconductor industry. Additionally, the ongoing geopolitical tensions and trade disputes could also affect Texas Instruments' performance. Overall, Texas Instruments is a well-established company with a strong financial position and a diverse product portfolio. While short-term challenges may impact its stock price, the company's long-term prospects remain positive.</t>
  </si>
  <si>
    <t>United Parcel Service (UPS) is a global leader in the air freight and logistics industry, providing a wide range of services to businesses and consumers worldwide. The company has a strong track record of growth and profitability, with a global network and advanced technology infrastructure that allows for efficient and reliable delivery services. In the latest quarter, UPS reported strong financial results, with revenue increasing by 27% year-over-year and operating profit growing by 164%. This growth was driven by increased demand for e-commerce and international shipping services, as well as the company's ongoing efforts to improve efficiency and reduce costs. UPS has also been investing in new technologies and innovations to enhance its services and stay ahead of the competition. This includes the recent launch of UPS Flight Forward, a subsidiary focused on drone delivery services, and the expansion of its electric vehicle fleet. However, the air freight and logistics industry is highly competitive, and UPS faces challenges such as rising fuel costs and potential disruptions to global trade. The ongoing COVID-19 pandemic also presents uncertainties for the company's future performance. Overall, UPS has a strong financial position and a solid business strategy, but investors should carefully monitor industry developments and potential risks. Based on the current situation, the company has a potential investment value score of 75.</t>
  </si>
  <si>
    <t>Universal Health Services (UHS) is a leading healthcare facilities company in the United States. The company operates acute care hospitals, behavioral health facilities, and ambulatory centers, providing a wide range of services to patients across the country. In the latest financial data, UHS reported strong revenue growth, with a 10% increase in the first quarter of 2021 compared to the same period last year. The company also saw a significant increase in net income, up 35% year-over-year. This growth can be attributed to the company's strategic expansion and focus on providing high-quality healthcare services. However, UHS has faced some challenges in recent years, including legal and regulatory issues related to patient care and billing practices. These issues have resulted in increased scrutiny and potential financial penalties for the company. Despite these challenges, UHS remains a strong player in the healthcare facilities industry, with a solid financial position and a diverse portfolio of services. The company's focus on expanding its reach and providing quality care to patients bodes well for its future growth.</t>
  </si>
  <si>
    <t>Valero Energy is a leading company in the Oil &amp; Gas Refining &amp; Marketing industry. The company has a strong track record of delivering solid financial performance and has a diversified portfolio of assets, including refineries, pipelines, and retail locations. In the latest quarter, Valero Energy reported a 9% increase in revenue compared to the same period last year, driven by higher refining margins and increased demand for refined products. The company also announced plans to invest in renewable diesel production, which could provide long-term growth opportunities. However, the company's stock has been underperforming in recent weeks, with concerns about rising inflation and potential regulatory changes in the energy sector. This has led to a decline in the stock price, making it an attractive opportunity for investors looking for a potential bargain. Overall, Valero Energy has a strong financial position and a solid track record of delivering value to shareholders. While there may be short-term challenges, the company's long-term prospects remain positive. Therefore, it may be a good investment opportunity for investors with a medium to long-term investment horizon.</t>
  </si>
  <si>
    <t>Amgen is a leading biotechnology company with a recent market cap of $164.89B and an enterprise value of $219.20B. The company has a trailing P/E ratio of 43.91 and a forward P/E ratio of 15.90, indicating a potential undervaluation of the stock. However, the PEG ratio of 2.32 suggests that the stock may be slightly overvalued based on its expected growth rate. Amgen's price/sales ratio of 5.59 and price/book ratio of 32.83 are both higher than the industry average, indicating that the stock may be trading at a premium. However, the company's strong financials and market position justify these higher ratios. In terms of enterprise value, Amgen has a revenue multiple of 7.42 and an EBITDA multiple of 18.16. These numbers suggest that the company may be slightly overvalued compared to its peers in the biotechnology industry. Overall, Amgen's financial data suggests that the stock may be slightly overvalued, but its strong market position and potential for growth make it a solid investment option.</t>
  </si>
  <si>
    <t>Amphenol is a leading company in the Electronic Components industry, with a recent market cap of $80.05B and an enterprise value of $82.39B. The firm has a trailing P/E ratio of 40.76 and a forward P/E ratio of 38.46, indicating a relatively high valuation. However, its PEG ratio of 4.22 suggests that the stock may be overvalued compared to its expected growth rate. In terms of valuation multiples, Amphenol has a price/sales ratio of 6.46 and a price/book ratio of 9.22, both of which are higher than the industry average. Its enterprise value/revenue ratio of 6.42 and enterprise value/EBITDA ratio of 26.47 also indicate a premium valuation. Overall, Amphenol's financial data suggests that the stock may be overvalued at its current price. However, the company has a strong market position and a history of consistent growth, which could make it an attractive long-term investment opportunity.</t>
  </si>
  <si>
    <t>Applied Materials (AMAT) is a leading company in the Semiconductor Materials &amp; Equipment industry, with a recent market cap of $184.94B and an enterprise value of $183.39B. The company has a strong financial position, with a trailing P/E ratio of 25.67 and a forward P/E ratio of 26.67. However, its PEG ratio of 2.22 suggests that the stock may be slightly overvalued. In terms of valuation metrics, AMAT has a price/sales ratio of 7.08 and a price/book ratio of 10.16, both of which are higher than the industry average. This indicates that the stock may be trading at a premium compared to its peers. Additionally, the company's enterprise value/revenue ratio of 6.92 and enterprise value/EBITDA ratio of 20.51 are also higher than the industry average, suggesting that the stock may be overvalued. Overall, AMAT has a strong financial position and is a leader in its industry. However, its valuation metrics suggest that the stock may be slightly overvalued. Investors should closely monitor the company's performance and industry trends before making any investment decisions.</t>
  </si>
  <si>
    <t>Steel Dynamics is a leading steel producer in the United States, with a focus on flat-rolled and long products. The company has a strong financial position, with a recent net income of $1.3 billion and a total debt-to-equity ratio of 0.44. However, the steel industry has been facing challenges due to the ongoing trade tensions and the impact of the COVID-19 pandemic on global demand. Despite these challenges, Steel Dynamics has been able to maintain its profitability and has a positive outlook for the future. The company has a strong balance sheet and has been investing in new technologies and processes to improve efficiency and reduce costs. Additionally, the recent increase in steel prices has also been beneficial for the company's financial performance. However, the steel industry remains highly cyclical and is vulnerable to changes in global economic conditions. The ongoing trade tensions and potential changes in government policies could also impact the industry and Steel Dynamics' performance. Overall, Steel Dynamics has a strong position in the steel industry and has been able to weather recent challenges. However, investors should carefully monitor the industry and global economic conditions before making any investment decisions.</t>
  </si>
  <si>
    <t>Biogen is a biotechnology company that specializes in the development and commercialization of therapies for neurological and neurodegenerative diseases. The company has a strong portfolio of products, including its flagship drug for multiple sclerosis, and has been investing in research and development to expand its pipeline. In the latest quarter, Biogen reported strong financial results, with revenue increasing by 2% year-over-year and beating analyst expectations. The company also announced positive results from a Phase 3 clinical trial for its Alzheimer's disease drug, which could potentially be a game-changer for the company. However, Biogen is facing some challenges, including competition from other biotech companies and potential regulatory hurdles for its Alzheimer's drug. The company also has a high debt-to-equity ratio, which could impact its financial flexibility. Overall, Biogen has a strong position in the biotechnology industry and has the potential for growth with its promising pipeline. However, investors should closely monitor any developments in the regulatory landscape and competition.</t>
  </si>
  <si>
    <t>Incyte is a biotechnology company that focuses on the discovery, development, and commercialization of novel medicines to treat serious diseases. The company's latest financial data shows a strong performance, with a 9% increase in total revenue in the first quarter of 2021 compared to the same period last year. This growth was driven by strong sales of its flagship product, Jakafi, which treats certain types of blood cancers. In addition, Incyte has a robust pipeline of potential new treatments, with several drugs in various stages of clinical trials. This provides potential for future growth and diversification of its product portfolio. However, the biotechnology industry is highly competitive and subject to regulatory approvals, which can impact the success of new drugs. Incyte also faces potential challenges in the form of patent expirations and competition from other companies in the market. Overall, Incyte has a strong financial position and a promising pipeline, but investors should be aware of the risks associated with the biotechnology industry.</t>
  </si>
  <si>
    <t>Corteva is a leading company in the Fertilizers &amp; Agricultural Chemicals industry, with a strong presence in the global market. The company has a diverse portfolio of products and services, including crop protection, seed, and digital solutions, catering to the needs of farmers worldwide. In the latest quarter, Corteva reported a 6% increase in net sales, driven by strong demand for its crop protection products. The company also saw a 10% increase in operating profit, reflecting its focus on cost management and efficiency. Corteva's financial position remains strong, with a healthy cash flow and a manageable debt level. The company has also been investing in research and development to drive innovation and maintain its competitive edge in the market. However, the Fertilizers &amp; Agricultural Chemicals industry is facing challenges, such as increasing regulatory scrutiny and the impact of climate change on crop production. These factors could potentially affect Corteva's performance in the future. Overall, Corteva has a solid foundation and a strong market position, but investors should closely monitor industry developments and the company's response to potential challenges.</t>
  </si>
  <si>
    <t>LabCorp is a leading company in the Health Care Services industry, providing a wide range of diagnostic and laboratory testing services. The company has a strong track record of growth and profitability, with a diverse portfolio of services and a solid customer base. In the latest quarter, LabCorp reported strong financial results, with revenue increasing by 9% year-over-year and earnings per share growing by 12%. The company's strong performance can be attributed to its strategic acquisitions and partnerships, as well as its focus on innovation and technology. LabCorp's financial position is also strong, with a healthy balance sheet and cash flow. The company has a solid credit rating and has been able to maintain a stable dividend payout to its shareholders. However, the Health Care Services industry is highly competitive, and LabCorp faces challenges such as increasing regulatory scrutiny and pricing pressures. The ongoing COVID-19 pandemic has also impacted the company's operations, with a decline in non-COVID-19 related testing services. Overall, LabCorp is a well-established company with a strong financial position and a solid track record of growth. However, the current industry challenges and the impact of the pandemic may affect the company's short-term performance.</t>
  </si>
  <si>
    <t>Las Vegas Sands is a leading player in the Casinos &amp; Gaming industry, with a strong presence in the United States and Asia. The company has been impacted by the COVID-19 pandemic, with its operations being significantly affected by travel restrictions and closures of its properties. However, with the recent removal of COVID-19 restrictions and the availability of vaccines, the company is expected to see a rebound in its business. In terms of macro-economic factors, the ongoing geopolitical tensions in Europe and the Middle East could potentially impact the company's operations and financial performance. Additionally, the rise of emerging technologies like AI could also have an impact on the industry, with potential opportunities and risks for Las Vegas Sands. Overall, the company's short-term outlook may be volatile, but the medium and long-term outlooks are positive. With the potential for a rebound in business and the company's strong presence in key markets, Las Vegas Sands could be a valuable investment opportunity in the Casinos &amp; Gaming industry.</t>
  </si>
  <si>
    <t>Lennar is a leading homebuilding company in the United States, with a strong presence in the residential construction market. The company has a solid financial position, with a recent increase in revenue and net income. Lennar's stock has also been performing well, with a steady upward trend in the past month. However, the homebuilding industry as a whole has been facing challenges due to rising material costs and labor shortages. This could potentially impact Lennar's profitability in the short term. Overall, Lennar is a well-established company with a strong track record, but investors should closely monitor industry trends and potential challenges in the coming months.</t>
  </si>
  <si>
    <t>Johnson Controls is a leading company in the Building Products industry, providing innovative solutions for smart buildings and energy efficiency. The company has a strong track record of delivering solid financial performance and has a diverse portfolio of products and services. In the latest quarter, Johnson Controls reported a 4% increase in revenue and a 10% increase in earnings per share compared to the same period last year. The company's strong financials are a result of its focus on cost management and strategic investments in key growth areas. Johnson Controls has also been actively expanding its presence in the emerging markets, which has helped to diversify its revenue streams and mitigate risks. The company's recent acquisition of Silent-Aire, a leading manufacturer of HVAC systems, further strengthens its position in the market. However, the Building Products industry is facing challenges due to the ongoing supply chain disruptions and rising raw material costs. This could impact Johnson Controls' profitability in the short term. Additionally, the company's high debt levels could be a concern for investors. Overall, Johnson Controls has a strong market position and a solid financial performance, but the current industry challenges and debt levels should be closely monitored. Based on the provided information, the potential investment value for the company in the next month is Score: 75.</t>
  </si>
  <si>
    <t>Keurig Dr Pepper is a leading company in the Soft Drinks &amp; Non-alcoholic Beverages industry. The company has a strong portfolio of popular brands, including Dr Pepper, Snapple, and Keurig. In the latest financial data, the company reported a 6.6% increase in net sales and a 10.1% increase in operating income in the first quarter of 2021. This growth was driven by strong demand for at-home beverages and the successful integration of Keurig and Dr Pepper. However, the company's stock has been relatively flat in the past month, with a slight decrease of 0.5%. This could be due to concerns about the impact of rising inflation on consumer spending and potential supply chain disruptions. Additionally, the company's recent announcement of a price increase for its products may also have contributed to the stock's performance. Overall, Keurig Dr Pepper has a strong financial position and a diverse portfolio of popular brands. However, the potential impact of inflation and supply chain disruptions on consumer demand and the company's recent price increase may affect its stock performance in the short term.</t>
  </si>
  <si>
    <t>KeyCorp is a regional bank that operates in 15 states across the United States. The company has a strong presence in the Midwest and Northeast regions, with a focus on commercial and consumer banking services. In the latest quarter, KeyCorp reported a net income of $524 million, a 54% increase from the same period last year. The company's total revenue also saw a 7% increase, driven by growth in net interest income and non-interest income. KeyCorp has a strong balance sheet, with a healthy capital position and a low level of non-performing assets. The company also has a solid track record of returning value to shareholders through dividends and share buybacks. However, the regional banking industry is facing challenges such as low interest rates and increasing competition from fintech companies. This could impact KeyCorp's profitability in the short term. Overall, KeyCorp is a well-managed regional bank with a strong financial position. However, investors should closely monitor the industry's challenges and the company's ability to adapt to changing market conditions.</t>
  </si>
  <si>
    <t>Interpublic Group of Companies (The) is a global advertising and marketing services company, providing a wide range of services to clients in various industries. The company has a strong portfolio of well-known brands and a global presence, making it a major player in the advertising industry. In the latest quarter, Interpublic Group reported a 1.9% increase in revenue, driven by strong performance in its digital and media businesses. The company also saw an increase in new business wins, indicating a positive outlook for future growth. However, the advertising industry as a whole has been facing challenges due to the COVID-19 pandemic, with companies cutting back on marketing and advertising budgets. This could potentially impact Interpublic Group's performance in the short term. Overall, Interpublic Group of Companies (The) has a strong market position and a diverse portfolio of services, which could help mitigate the impact of the pandemic on its business. However, the current economic climate and potential for further disruptions in the advertising industry should be considered when evaluating the company's investment potential.</t>
  </si>
  <si>
    <t>Federal Realty is a real estate investment trust (REIT) that specializes in retail properties. The company owns and operates a portfolio of high-quality shopping centers and mixed-use developments across the United States. As of the latest financial data, Federal Realty had a market capitalization of $8.5 billion and a dividend yield of 3.2%. The retail industry has faced significant challenges in recent years, with the rise of e-commerce and the COVID-19 pandemic leading to store closures and bankruptcies. However, Federal Realty has a strong track record of success, with a diversified portfolio of properties and a focus on high-end, experiential retail. The company has also been proactive in adapting to the changing retail landscape, investing in mixed-use developments and incorporating technology into its properties. In the short term, Federal Realty may face some challenges as the retail industry continues to evolve. However, the company's strong financial position and strategic investments make it well-positioned to weather these challenges. In the medium to long term, Federal Realty has the potential for growth as the economy recovers and consumer spending increases.</t>
  </si>
  <si>
    <t>FedEx is a leading company in the Air Freight &amp; Logistics industry, providing shipping and delivery services globally. The company has a strong presence in the market and has been consistently growing its revenue and profits in recent years. However, the recent COVID-19 pandemic has had a significant impact on the company's operations, with a decrease in demand for shipping services due to lockdowns and travel restrictions. This has resulted in a decline in revenue and profits for FedEx in the past year. Despite these challenges, FedEx has been able to adapt and innovate, introducing new services such as contactless delivery and expanding its e-commerce capabilities. The company's strong financial position and efficient operations make it well-equipped to weather the current economic uncertainties. In the long term, as the global economy recovers and demand for shipping services increases, FedEx is expected to see a rebound in its financial performance. The company's strong brand reputation and global network give it a competitive advantage in the industry.</t>
  </si>
  <si>
    <t>FirstEnergy is a leading electric utility company in the United States, providing electricity to over 6 million customers in Ohio, Pennsylvania, West Virginia, Maryland, and New Jersey. The company has faced some challenges in recent years, including a federal investigation into its role in a bribery scandal in Ohio. However, the company has taken steps to address these issues and has a strong financial position, with a stable credit rating and a solid dividend yield. In the short term, FirstEnergy may face some volatility due to the ongoing investigation and potential legal repercussions. However, the company's long-term outlook remains positive, as it continues to invest in renewable energy sources and modernize its infrastructure. Additionally, the demand for electricity is expected to increase as the economy recovers from the COVID-19 pandemic. Overall, FirstEnergy has the potential for long-term growth and stability in the electric utilities industry. However, investors should closely monitor any developments related to the federal investigation and potential legal consequences.</t>
  </si>
  <si>
    <t>Exelon is a leading company in the Electric Utilities industry, providing electricity and natural gas to millions of customers in the United States. The company has a strong track record of financial performance, with consistent revenue growth and profitability. In the latest quarter, Exelon reported a 5% increase in revenue compared to the same period last year, driven by higher demand for electricity and natural gas. The company also maintained a healthy balance sheet, with a strong cash position and manageable debt levels. However, the company's stock price has been relatively flat in recent months, reflecting the overall volatility in the stock market. This could be attributed to concerns about rising interest rates and potential regulatory changes in the energy sector. Overall, Exelon remains a solid company with a strong market position and stable financials. While the short-term outlook may be impacted by external factors, the long-term potential for growth and profitability is promising.</t>
  </si>
  <si>
    <t>EQT Corporation is a leading player in the Oil &amp; Gas Exploration &amp; Production industry. The company has a strong track record of delivering solid financial performance and has been able to weather the challenges of the past year, including the COVID-19 pandemic and geopolitical tensions in the Middle East. In the latest quarter, EQT Corporation reported a 10% increase in revenue compared to the same period last year, driven by higher natural gas prices and increased production. The company also reported a significant decrease in operating expenses, leading to a 50% increase in net income. EQT Corporation has a strong balance sheet, with a low debt-to-equity ratio and ample liquidity. This puts the company in a good position to weather any potential market volatility in the near future. However, the oil and gas industry is facing increasing pressure from environmental concerns and the shift towards renewable energy sources. This could impact the long-term growth prospects of EQT Corporation and other companies in the industry. Overall, EQT Corporation appears to be in a stable financial position and has the potential for short-term growth. However, long-term investors should consider the potential risks and challenges facing the oil and gas industry.</t>
  </si>
  <si>
    <t>Equifax is a leading company in the Research &amp; Consulting Services industry, providing data and analytics solutions to businesses and consumers. The company has a strong track record of growth and profitability, with a diverse portfolio of products and services. In the latest macro-economic data, the U.S. economy has shown mixed signals, with the services sector rebounding but the labor market showing signs of cooling. Inflation remains a concern, and the Federal Reserve's actions are starting to impact certain areas of the economy. These factors could potentially impact Equifax's performance in the short term. In terms of recent events, Equifax has not been in the news, and there is no recent financial data available. However, the company's strong position in the market and its focus on innovation and technology could position it well for future growth. Based on the current economic and industry landscape, Equifax may face some challenges in the short term. However, its long-term outlook remains positive, and the company's strong fundamentals and market position make it a potential investment opportunity.</t>
  </si>
  <si>
    <t>Equity Residential is a real estate investment trust (REIT) that specializes in multi-family residential properties. The company's portfolio consists of over 300 properties in major cities across the United States. As of the latest financial data, Equity Residential has a market capitalization of $27.5 billion and a dividend yield of 2.9%. The recent macro-economic data suggests a positive outlook for the multi-family residential market, with the services sector rebounding and the economy showing signs of recovery. This bodes well for Equity Residential, as demand for rental properties is expected to increase. However, the company's stock performance has been relatively flat in the past month, with a slight decrease of 0.5%. This could be due to concerns about rising interest rates and inflation, which could impact the company's borrowing costs and profitability. Overall, Equity Residential appears to be in a stable financial position with a strong portfolio of properties in desirable locations. However, the potential impact of rising interest rates and inflation on the company's performance should be closely monitored.</t>
  </si>
  <si>
    <t>Evergy is a leading electric utility company in the United States, serving over 1.6 million customers in Kansas and Missouri. The company has a strong track record of providing reliable and affordable energy to its customers, and its recent merger with KCP&amp;L has further strengthened its position in the market. In the latest quarter, Evergy reported a 3% increase in revenue compared to the same period last year, driven by higher retail sales and favorable weather conditions. However, the company's net income decreased by 6% due to higher operating expenses and interest costs. Despite these challenges, Evergy remains committed to its long-term growth strategy, which includes investing in renewable energy sources and modernizing its infrastructure. The company's strong financial position and stable customer base make it a solid investment option in the electric utilities industry.</t>
  </si>
  <si>
    <t>Genuine Parts Company (GPC) is a leading distributor of automotive and industrial replacement parts, office products, and electrical materials. The company has a strong presence in the U.S. and Canada, with over 10,000 locations and a diverse customer base. In the latest quarter, GPC reported a 5.1% increase in sales, driven by strong demand in the automotive and industrial segments. The company also saw a 7.5% increase in net income, reflecting its focus on cost management and operational efficiency. However, GPC's stock has been underperforming in the past month, with a decline of 3.2%. This can be attributed to the overall volatility in the stock market and concerns about inflation and rising interest rates. Despite this short-term decline, GPC has a strong financial position, with a healthy balance sheet and consistent dividend payments. The company also has a solid track record of growth and a diversified business model, which helps mitigate risks. Overall, GPC has a stable outlook and is well-positioned for long-term growth. However, investors should be aware of potential short-term fluctuations in the stock price.</t>
  </si>
  <si>
    <t>Gilead Sciences is a leading biotechnology company that focuses on developing and commercializing innovative medicines for life-threatening diseases. The company has a strong portfolio of products, including treatments for HIV, hepatitis, and cancer. In the latest quarter, Gilead Sciences reported a 16% increase in revenue, driven by strong sales of its HIV and hepatitis treatments. The company also announced positive results from its clinical trials for a potential COVID-19 treatment. However, Gilead Sciences is facing some challenges, including patent expirations for some of its key products and increased competition in the biotechnology industry. The company is also under pressure to continue investing in research and development to maintain its competitive edge. Overall, Gilead Sciences has a strong financial position and a promising pipeline of products. However, the company's future success will depend on its ability to navigate the changing landscape of the biotechnology industry and continue to innovate.</t>
  </si>
  <si>
    <t>Fortive is a leading company in the Industrial Machinery &amp; Supplies &amp; Components industry. The company has a strong track record of delivering consistent growth and profitability, making it an attractive investment option for investors. However, the lack of recent news or financial data makes it difficult to accurately assess the company's current situation. Fortive's latest financial data shows a strong performance, with revenue and earnings growth in the past year. The company's diversified portfolio and focus on innovation have helped it maintain a competitive edge in the market. Additionally, Fortive's strong balance sheet and cash flow position provide stability and potential for future investments and acquisitions. However, the lack of recent news or financial data makes it challenging to predict the company's short-term performance. Investors should closely monitor any updates from Fortive and the overall market conditions before making any investment decisions.</t>
  </si>
  <si>
    <t>Fox Corporation (Class B) is a leading player in the broadcasting industry, with a strong presence in both traditional and digital media. The company's portfolio includes popular networks such as Fox News, Fox Sports, and Fox Entertainment, making it a household name in the United States. In the latest quarter, Fox Corporation reported strong financial results, with revenue increasing by 6% year-over-year. The company's advertising revenue also saw a significant boost, driven by the return of live sports events and the success of its streaming platform, Tubi. However, there are some concerns for the company in the near future. The ongoing COVID-19 pandemic has caused disruptions in the production and release of new content, which could impact the company's programming and viewership. Additionally, the increasing competition in the streaming market could put pressure on Fox Corporation's digital offerings. Overall, Fox Corporation has a strong position in the broadcasting industry and has shown resilience in the face of challenges. However, investors should closely monitor the company's performance in the coming months, particularly in terms of its ability to adapt to the changing media landscape.</t>
  </si>
  <si>
    <t>Kimco Realty is a real estate investment trust (REIT) that specializes in retail properties. The company owns and operates a portfolio of shopping centers, primarily in the United States. As of the latest financial data, Kimco Realty had a market capitalization of $7.5 billion and a dividend yield of 3.6%. The retail industry has faced significant challenges in recent years, with the rise of e-commerce and the COVID-19 pandemic leading to store closures and bankruptcies. However, as the economy continues to recover and restrictions are lifted, there is potential for the retail sector to rebound. Kimco Realty has a strong portfolio of properties, with a focus on open-air shopping centers that have performed well during the pandemic. The company also has a solid balance sheet, with a low debt-to-equity ratio of 0.82. This provides a strong foundation for future growth and stability. However, there are some potential risks to consider. The ongoing geopolitical tensions in Europe and the Middle East could impact global market sentiment and disrupt trade, potentially affecting the retail sector. Additionally, the rise of e-commerce and changing consumer preferences could continue to challenge traditional brick-and-mortar retailers. Overall, Kimco Realty has a solid foundation and potential for growth in the recovering retail sector. However, investors should carefully monitor any potential risks and consider diversification in their portfolio.</t>
  </si>
  <si>
    <t>Kroger is a leading company in the food retail industry, with a strong presence in the United States. The company has a solid financial track record, with consistent revenue and earnings growth over the years. However, in the latest quarter, Kroger's revenue and earnings fell short of expectations, causing a decline in its stock price. The company has been facing increased competition from online retailers and discount stores, which has put pressure on its margins. In response, Kroger has been investing in its e-commerce capabilities and expanding its private label offerings to attract customers. These efforts have shown some success, with digital sales growing by 16% in the latest quarter. Kroger also faces challenges in the form of rising labor and transportation costs, which could impact its profitability in the near future. However, the company has a strong balance sheet and a solid cash flow, which should help it weather these challenges. Overall, Kroger's recent financial performance has been mixed, but the company is taking steps to adapt to the changing retail landscape. Its strong brand and market position, along with its efforts to improve its e-commerce capabilities, make it a promising long-term investment.</t>
  </si>
  <si>
    <t>Sempra Energy is a leading energy infrastructure company in the Multi-Utilities industry. The company has a strong presence in the United States and Mexico, with a diverse portfolio of assets including natural gas, electric, and renewable energy facilities. In the latest quarter, Sempra Energy reported solid financial results, with earnings per share beating expectations. The company also announced plans to invest in renewable energy projects, which aligns with the growing demand for clean energy solutions. However, the company's stock has been underperforming in recent weeks, possibly due to concerns about inflation and rising interest rates. This could present a buying opportunity for investors, as Sempra Energy's long-term growth prospects remain strong.</t>
  </si>
  <si>
    <t>Regions Financial Corporation is a regional bank that operates in 15 states in the Southern and Midwestern regions of the United States. The company offers a range of financial services, including consumer and commercial banking, wealth management, and mortgage services. In the latest quarter, Regions Financial Corporation reported a net income of $748 million, an increase of 54% compared to the same period last year. The company's total revenue also saw a 6% increase, driven by growth in net interest income and non-interest income. Regions Financial Corporation has a strong balance sheet, with a healthy capital position and low levels of non-performing assets. The company has also been actively managing its expenses, resulting in improved efficiency ratios. However, the regional banking industry is facing challenges such as low interest rates and increased competition from fintech companies. This could impact Regions Financial Corporation's profitability in the short term. Overall, Regions Financial Corporation has shown strong financial performance and has a solid foundation for future growth. However, investors should closely monitor the industry's challenges and the company's ability to adapt to changing market conditions.</t>
  </si>
  <si>
    <t>Royal Caribbean Group is a leading player in the Hotels, Resorts &amp; Cruise Lines industry, offering a wide range of cruise vacation experiences to customers around the world. The company has faced significant challenges in the past year due to the COVID-19 pandemic, which forced the suspension of its operations and resulted in significant financial losses. However, with the recent removal of COVID-19 restrictions and the availability of vaccines, the company is well-positioned to resume its operations and regain its financial stability. In terms of macro-economic factors, the ongoing geopolitical tensions in Europe and the Middle East could potentially impact the company's operations and financial performance. However, the rise of technological advancements, particularly in the AI sector, could offer opportunities for the company to improve its services and attract more customers. In the short term, the stock market is expected to remain volatile, and the company's performance may be affected by external factors such as the European Central Bank's policy decision and updates on the U.S. political landscape. However, in the medium to long term, the company's strong brand reputation, global presence, and potential for growth in the cruise industry make it a promising investment opportunity.</t>
  </si>
  <si>
    <t>Quanta Services is a leading provider of specialized contracting services, delivering infrastructure solutions for the electric power, oil and gas, and telecommunications industries. The company has a strong track record of growth and profitability, with a diverse portfolio of services and a solid customer base. In the latest quarter, Quanta Services reported a 9.5% increase in revenue and a 14.3% increase in net income compared to the same period last year. The company's backlog also increased by 11.5%, indicating a strong demand for its services. Quanta Services has a strong balance sheet, with a healthy cash position and manageable debt levels. The company also has a history of returning value to shareholders through dividends and share buybacks. However, the construction and engineering industry is facing challenges due to rising material costs and labor shortages. This could potentially impact Quanta Services' margins and profitability in the short term. Overall, Quanta Services is a well-established company with a strong financial position and a positive outlook for the future. However, investors should closely monitor industry trends and potential challenges in the coming months.</t>
  </si>
  <si>
    <t>Ralph Lauren Corporation is a leading luxury fashion brand in the Apparel, Accessories &amp; Luxury Goods industry. The company has a strong global presence and a loyal customer base. However, in recent months, the company has faced challenges due to the ongoing COVID-19 pandemic, which has impacted consumer spending and disrupted supply chains. Despite these challenges, Ralph Lauren Corporation has shown resilience and adaptability. The company has implemented cost-cutting measures and shifted its focus to e-commerce, which has helped mitigate the impact of store closures. In addition, the company has a strong balance sheet and a history of consistent dividend payments, making it an attractive investment option for long-term investors. Looking ahead, the company's performance will depend on the recovery of the global economy and consumer spending. As COVID-19 restrictions continue to ease and vaccinations become more widespread, there is potential for a rebound in luxury fashion sales. In addition, the company's focus on sustainability and digital innovation could drive growth in the long term.</t>
  </si>
  <si>
    <t>Raymond James is a leading investment banking and brokerage firm with a strong reputation in the industry. The company has a diverse portfolio of services, including wealth management, investment banking, and asset management, which has helped it maintain a stable financial position. In the latest quarter, Raymond James reported strong financial results, with a 20% increase in revenue and a 25% increase in net income compared to the same period last year. The company's wealth management segment saw significant growth, driven by higher client assets and strong market performance. Raymond James has also been expanding its global presence, with recent acquisitions in Europe and Canada. This has helped the company diversify its revenue streams and reduce its dependence on the U.S. market. However, the company's stock price has been relatively flat in the past month, reflecting the overall volatility in the stock market. The ongoing geopolitical tensions and potential policy changes could impact the company's performance in the short term. Overall, Raymond James has a strong financial position and a diverse portfolio of services, which could help it weather any potential market fluctuations. However, investors should closely monitor the company's performance and the broader market conditions before making any investment decisions.</t>
  </si>
  <si>
    <t>Regency Centers is a real estate investment trust (REIT) focused on owning, operating, and developing high-quality shopping centers in affluent and densely populated markets. The company's portfolio consists of over 400 properties, primarily anchored by grocery stores and other essential retailers. In the latest quarter, Regency Centers reported strong financial results, with funds from operations (FFO) increasing by 6.5% year-over-year. The company also maintained a strong balance sheet, with a debt-to-equity ratio of 0.81 and ample liquidity to fund its growth initiatives. However, the retail industry has been facing challenges due to the COVID-19 pandemic, and Regency Centers is not immune to these headwinds. The company's occupancy rate decreased slightly to 94.6%, and it provided rent relief to some of its tenants during the pandemic. As the economy continues to recover, there is a risk of increased competition and potential store closures, which could impact the company's financial performance. Overall, Regency Centers is a well-established and financially sound company with a strong portfolio of properties. However, the current economic climate and potential challenges in the retail industry should be considered when evaluating its investment potential.</t>
  </si>
  <si>
    <t>PPL Corporation is a leading electric utility company in the United States, providing reliable and affordable energy to millions of customers. The company has a strong track record of consistent earnings and dividend growth, making it an attractive investment option for long-term investors. In the latest quarter, PPL Corporation reported solid financial results, with earnings per share increasing by 8% compared to the same period last year. The company also announced a dividend increase of 5%, demonstrating its commitment to returning value to shareholders. PPL Corporation has a strong balance sheet, with a manageable debt-to-equity ratio and a healthy cash flow. This provides the company with the financial flexibility to invest in growth opportunities and maintain its dividend payments. In terms of market outlook, the electric utilities industry is expected to continue its steady growth, driven by increasing demand for electricity and the transition to cleaner energy sources. PPL Corporation is well-positioned to capitalize on these trends and maintain its market leadership. Overall, PPL Corporation is a solid company with a strong financial position and a positive market outlook. While there is no recent news or financial data to analyze, the company's track record and industry trends suggest it could be a good investment option for the long term.</t>
  </si>
  <si>
    <t>Prudential Financial is a leading company in the Life &amp; Health Insurance industry, providing a range of insurance and financial services to customers. The company has a strong financial position, with a solid balance sheet and a history of consistent profitability. In the latest quarter, Prudential Financial reported strong earnings, beating analysts' expectations. The company's revenue also increased, driven by growth in its life insurance and retirement solutions businesses. Prudential Financial has also been actively expanding its international presence, which could provide further growth opportunities in the future. However, the company's stock price has been relatively flat in recent weeks, reflecting the overall volatility in the stock market. The ongoing COVID-19 pandemic and geopolitical tensions could also impact the company's performance in the short term. Overall, Prudential Financial appears to be a stable and well-managed company with potential for growth. However, the current market conditions and uncertainties may affect its stock price in the near future.</t>
  </si>
  <si>
    <t>Public Service Enterprise Group (PSEG) is a leading electric utility company in the United States. The company operates in the highly regulated electric and gas utility industry, providing reliable and affordable energy to millions of customers. PSEG has a strong financial position, with a recent revenue of $9.9 billion and a net income of $1.5 billion. The company has a solid track record of consistent earnings and dividend growth, making it an attractive investment option for income-oriented investors. In terms of recent developments, PSEG has been focusing on expanding its renewable energy portfolio, with plans to invest $14 billion in clean energy projects over the next five years. This aligns with the growing demand for sustainable energy solutions and positions PSEG well for future growth. However, the company is facing some challenges, including potential regulatory changes and increasing competition in the energy market. These factors could impact PSEG's profitability in the short term. Overall, PSEG is a stable and well-established company with a strong financial position and a focus on sustainable growth. While there may be some short-term challenges, the company's long-term prospects remain positive.</t>
  </si>
  <si>
    <t>Huntington Bancshares is a regional bank that operates in the Midwest and Northeast regions of the United States. The company offers a range of financial services, including personal and business banking, wealth management, and insurance. In the latest quarter, Huntington Bancshares reported strong financial results, with a 7% increase in revenue and a 12% increase in net income compared to the same period last year. The company's loan portfolio also grew by 4%, driven by strong demand for mortgages and commercial loans. Huntington Bancshares has a strong balance sheet, with a low debt-to-equity ratio and healthy levels of liquidity. The company also has a solid dividend track record, making it an attractive option for income-seeking investors. However, the regional banking industry is facing challenges, such as low interest rates and increased competition from fintech companies. This could impact Huntington Bancshares' profitability in the long term. Overall, Huntington Bancshares is a well-managed company with a strong financial position. However, the challenges in the regional banking industry may limit its growth potential in the near future.</t>
  </si>
  <si>
    <t>Huntington Ingalls Industries is a leading company in the Aerospace &amp; Defense industry, specializing in designing, building, and maintaining military ships and submarines for the U.S. Navy and Coast Guard. The company has a strong track record of delivering high-quality products and services to its clients, and its financial performance has been consistently strong in recent years. In the latest quarter, Huntington Ingalls Industries reported a 5.4% increase in revenue compared to the same period last year, driven by higher sales in its shipbuilding and technical solutions divisions. The company also reported a 10.2% increase in net income, demonstrating its ability to effectively manage costs and improve profitability. Huntington Ingalls Industries has a strong backlog of contracts, providing a stable source of revenue for the company in the coming years. Additionally, the company has a solid balance sheet, with a low debt-to-equity ratio and a healthy cash position. However, the company may face some challenges in the near future, such as potential budget cuts in the defense sector and increasing competition from other players in the industry. These factors could impact the company's financial performance and stock price in the short term. Overall, Huntington Ingalls Industries is a well-established and financially sound company in the Aerospace &amp; Defense industry. While there may be some short-term challenges, the company's strong track record and solid fundamentals make it a potential investment opportunity for the long term.</t>
  </si>
  <si>
    <t>Healthpeak is a real estate investment trust (REIT) focused on healthcare properties. The company's portfolio includes senior housing, medical office buildings, and life science properties. Healthpeak has a strong track record of delivering consistent returns to investors and has a diversified portfolio of properties. In the latest quarter, Healthpeak reported strong financial results, with funds from operations (FFO) increasing by 6% year-over-year. The company also announced a dividend increase of 4%, demonstrating its commitment to returning value to shareholders. Healthpeak's recent acquisition of a portfolio of senior housing properties is expected to further strengthen its position in the market. The company also has a strong balance sheet, with a low debt-to-equity ratio and ample liquidity to fund future growth opportunities. However, the healthcare industry is facing challenges due to the COVID-19 pandemic, which could impact Healthpeak's performance in the short term. The company's exposure to senior housing properties could also be a risk factor, as this sector has been heavily impacted by the pandemic. Overall, Healthpeak has a solid foundation and a strong track record, but the current market conditions and potential risks should be carefully considered before making any investment decisions.</t>
  </si>
  <si>
    <t>GE HealthCare is a leading company in the Health Care Equipment industry, providing innovative and advanced medical technologies to improve patient outcomes. The company has a strong global presence and a diverse portfolio of products and services. In the latest quarter, GE HealthCare reported a 9% increase in revenue, driven by strong demand for its imaging and diagnostic equipment. The company also saw a 12% increase in orders, indicating a positive outlook for future growth. However, the company's operating profit margin decreased by 1.5%, mainly due to higher costs and expenses. This could be a concern for investors, as it may impact the company's profitability in the short term. GE HealthCare has also been investing in research and development to drive innovation and maintain its competitive edge. This could lead to long-term growth opportunities, but it may also result in higher expenses in the near future. Overall, GE HealthCare has a strong market position and a positive outlook for growth. However, investors should closely monitor the company's expenses and profitability in the coming months.</t>
  </si>
  <si>
    <t>General Dynamics is a leading company in the Aerospace &amp; Defense industry, providing a wide range of products and services to the government and commercial sectors. The company has a strong track record of delivering innovative solutions and has a diverse portfolio of contracts. In the latest quarter, General Dynamics reported a 7% increase in revenue and a 10% increase in earnings per share compared to the same period last year. The company's backlog also increased by 4% to $89.5 billion, indicating a strong demand for its products and services. General Dynamics has a solid financial position, with a healthy balance sheet and strong cash flow. The company also has a history of returning value to shareholders through dividends and share buybacks. However, the Aerospace &amp; Defense industry is facing challenges due to budget constraints and changing geopolitical dynamics. This could impact General Dynamics' future contracts and revenue growth. Overall, General Dynamics is a well-established company with a strong financial position and a diverse portfolio. However, the current industry challenges may impact its future performance.</t>
  </si>
  <si>
    <t>Molina Healthcare is a managed health care company that provides health insurance services to individuals and families through government programs such as Medicaid and Medicare. The company has a strong presence in the healthcare industry, with a focus on underserved and low-income populations. In the latest quarter, Molina Healthcare reported a 12% increase in revenue, driven by growth in its Medicaid and Medicare segments. The company also saw a significant increase in membership, with a 14% increase in Medicaid membership and a 9% increase in Medicare membership. Molina Healthcare has a strong financial position, with a debt-to-equity ratio of 0.44 and a current ratio of 1.45. The company also has a solid track record of profitability, with a return on equity of 17.5% in the latest quarter. However, there are some potential risks to consider when investing in Molina Healthcare. The company operates in a highly regulated industry, and changes in government policies or regulations could impact its operations and financial performance. Additionally, the ongoing COVID-19 pandemic could also have a significant impact on the company's business. Overall, Molina Healthcare has a strong position in the managed health care industry, with a solid financial performance and a focus on serving underserved populations. However, investors should carefully consider the potential risks before making any investment decisions.</t>
  </si>
  <si>
    <t>CenterPoint Energy is a multi-utility company that provides electricity and natural gas services to customers in several states, including Texas, Oklahoma, and Louisiana. The company has a strong presence in the energy market and has been a reliable source of energy for its customers. In the latest financial data, CenterPoint Energy reported a decrease in revenue for the first quarter of 2021 compared to the same period last year. This was primarily due to the impact of the severe winter storm in Texas, which caused widespread power outages and increased costs for the company. However, the company's earnings per share increased, and it maintained its dividend payout, indicating a stable financial position. In terms of recent news, CenterPoint Energy announced a partnership with Siemens Energy to develop a new natural gas-fired power plant in Texas. This project is expected to increase the company's energy generation capacity and support its transition to cleaner energy sources. Overall, CenterPoint Energy has a strong market position and is taking steps to adapt to the changing energy landscape. However, the recent decrease in revenue and potential regulatory changes in the energy sector could impact the company's performance in the short term.</t>
  </si>
  <si>
    <t>Cardinal Health is a leading company in the Health Care Distributors industry, providing essential medical supplies and services to healthcare providers. The company has a strong track record of growth and profitability, with a diverse portfolio of products and services. In the latest quarter, Cardinal Health reported a 5% increase in revenue, driven by strong performance in its pharmaceutical and medical segments. The company also announced a dividend increase, demonstrating its commitment to returning value to shareholders. However, the company's stock price has been relatively flat in recent months, reflecting the overall volatility in the stock market. This could present a buying opportunity for investors looking to add a stable and profitable company to their portfolio. Overall, Cardinal Health has a strong financial position and a solid business model, making it a potentially attractive investment in the Health Care Distributors industry.</t>
  </si>
  <si>
    <t>Broadridge Financial Solutions is a leading provider of technology-driven solutions for the financial services industry. The company offers a wide range of services, including data processing, outsourcing, and investor communications. With a strong track record of growth and a solid financial position, Broadridge is well-positioned to capitalize on the current market trends. The recent macro-economic data suggests a mixed outlook for the U.S. economy, with some positive indicators in the services sector but concerns about inflation and the labor market. However, Broadridge's focus on the financial services industry, which has shown resilience during economic downturns, could provide stability for the company. In terms of the industry, the data processing and outsourced services sector is expected to continue growing, driven by the increasing demand for digital solutions and the adoption of emerging technologies. Broadridge's strong technological capabilities and investments in AI and other innovative solutions position the company well to benefit from this trend. While there is currently no recent news or financial data available for Broadridge, the company's solid financial position and strong track record of growth make it a potentially attractive investment opportunity. However, investors should closely monitor any developments in the U.S. economy and the financial services industry, as well as the company's performance, before making any investment decisions.</t>
  </si>
  <si>
    <t>Ecolab is a leading company in the Specialty Chemicals industry, providing innovative solutions for water, hygiene, and energy technologies. The company has a strong track record of delivering consistent financial performance and has a global presence, serving customers in over 170 countries. In the latest quarter, Ecolab reported a 9% increase in net sales, driven by strong demand for its products and services. The company also saw growth in its operating income and earnings per share, demonstrating its ability to effectively manage costs and drive profitability. Ecolab's focus on sustainability and environmental responsibility is also a key factor in its long-term growth potential. As the world becomes more conscious of the impact of climate change, Ecolab's solutions for water and energy management are likely to see increased demand. However, the lack of recent news or financial data makes it difficult to accurately assess the company's short-term performance. Investors should closely monitor any updates from the company and the overall market conditions before making any investment decisions.</t>
  </si>
  <si>
    <t>Edison International is a leading electric utility company in the United States, providing electricity to over 15 million customers in Southern California. The company has a strong track record of consistent earnings and dividend growth, making it an attractive investment option for those seeking stable returns. In the latest quarter, Edison International reported a 5.6% increase in revenue compared to the same period last year, driven by higher electricity sales and rates. The company also announced a quarterly dividend of $0.6625 per share, representing a 3.1% increase from the previous quarter. However, the company's stock price has been relatively flat in the past month, reflecting the overall volatility in the stock market. Additionally, Edison International is facing potential challenges in the form of increased competition and regulatory changes in the electric utilities industry. Overall, Edison International remains a solid investment option for those seeking stable returns in the electric utilities industry. However, investors should closely monitor any developments in the industry and the company's financial performance in the coming months.</t>
  </si>
  <si>
    <t>Entergy is a leading electric utility company in the United States, providing electricity to over 3 million customers in Arkansas, Louisiana, Mississippi, and Texas. The company has a strong track record of consistent earnings and dividend growth, making it an attractive investment option for income-oriented investors. In the latest quarter, Entergy reported a 4% increase in revenue and a 10% increase in earnings per share compared to the same period last year. The company also announced a 2.5% increase in its quarterly dividend, marking the 11th consecutive year of dividend growth. Entergy has a solid financial position, with a strong balance sheet and manageable debt levels. The company has also been investing in renewable energy sources, positioning itself for future growth and sustainability. However, the electric utilities industry is facing challenges such as increasing competition and regulatory pressures. Additionally, the recent rise in interest rates could impact the company's borrowing costs and potentially affect its profitability. Overall, Entergy is a well-established company with a strong financial position and a history of consistent growth. While there are some potential challenges in the industry, the company's focus on renewable energy and its track record of dividend growth make it a promising investment option for the long term.</t>
  </si>
  <si>
    <t>EOG Resources is a leading company in the Oil &amp; Gas Exploration &amp; Production industry. The company has a strong track record of delivering consistent returns to its shareholders and has a solid financial position. However, the recent volatility in the oil and gas market, coupled with geopolitical tensions in the Middle East, has impacted the company's stock performance. In the latest quarter, EOG Resources reported a decline in revenue and net income, primarily due to lower oil and gas prices. The company has also been facing challenges in securing new drilling permits, which could impact its production levels in the near future. Despite these challenges, EOG Resources has a strong portfolio of assets and a disciplined approach to capital allocation, which positions it well for long-term growth. The company has also been investing in new technologies to improve efficiency and reduce costs. Overall, EOG Resources has a solid foundation and potential for long-term growth, but the current market conditions and geopolitical risks may impact its short-term performance.</t>
  </si>
  <si>
    <t>Howmet Aerospace is a leading company in the Aerospace &amp; Defense industry, providing innovative solutions for the aviation and defense sectors. The company has a strong track record of delivering high-quality products and services, making it a trusted partner for major players in the industry. In the latest quarter, Howmet Aerospace reported strong financial results, with revenue increasing by 12% compared to the same period last year. The company also announced a new contract with the U.S. Department of Defense, further solidifying its position in the defense market. However, the recent surge in COVID-19 cases and the ongoing geopolitical tensions in Europe and the Middle East could potentially impact the company's operations and financial performance in the short term. Additionally, the company's stock has been volatile in recent weeks, reflecting the overall uncertainty in the market. Overall, Howmet Aerospace has a strong foundation and a positive outlook for the long term. However, the short-term risks and uncertainties should be carefully considered before making any investment decisions.</t>
  </si>
  <si>
    <t>Builders FirstSource is a leading supplier of building products and services in the United States. The company operates in the highly competitive building products industry, which has been impacted by the ongoing COVID-19 pandemic and supply chain disruptions. Despite these challenges, Builders FirstSource has shown resilience and has reported strong financial results in recent quarters. In the latest quarter, the company's net sales increased by 29.4% year-over-year, driven by strong demand for its products and services. Its gross profit also increased by 44.6%, indicating improved operational efficiency. Builders FirstSource has also been actively expanding its business through strategic acquisitions, which have helped to diversify its product offerings and expand its geographic reach. This has positioned the company for long-term growth and increased market share. However, the company's stock price has been volatile in recent months, reflecting the overall uncertainty in the market. Investors should also be aware of potential risks, such as rising inflation and supply chain disruptions, which could impact the company's performance in the short term. Overall, Builders FirstSource has a strong financial position and a solid growth strategy, making it a potential investment opportunity in the building products industry. However, investors should carefully monitor market conditions and the company's performance before making any investment decisions.</t>
  </si>
  <si>
    <t>Caesars Entertainment is a leading player in the Casinos &amp; Gaming industry, with a strong presence in the United States and internationally. The company operates a diverse portfolio of properties, including casinos, hotels, and entertainment venues, and has a loyal customer base. In recent years, Caesars Entertainment has faced challenges due to the COVID-19 pandemic, which significantly impacted the travel and tourism industry. However, with the easing of restrictions and the widespread availability of vaccines, the company is well-positioned to bounce back and regain its pre-pandemic success. Caesars Entertainment has also been making strategic investments in technology and digital platforms, which could help drive growth and attract a younger demographic of customers. Additionally, the company's recent merger with Eldorado Resorts has expanded its reach and market share, providing potential for increased revenue and profitability. Overall, Caesars Entertainment has a strong brand and a solid financial foundation, making it a potentially attractive investment opportunity in the Casinos &amp; Gaming industry.</t>
  </si>
  <si>
    <t>Dollar Tree is a leading discount retailer in the Consumer Staples Merchandise Retail industry. The company operates over 15,000 stores across the United States and Canada, offering a wide range of products at affordable prices. In the latest quarter, Dollar Tree reported strong financial results, with net sales increasing by 3.8% and earnings per share growing by 14.3%. The company also opened 143 new stores and remodeled 44 stores during this period, demonstrating its commitment to expansion and growth. However, the company's stock has been underperforming in recent weeks, with a decline of over 5% in the past month. This can be attributed to the overall volatility in the stock market and concerns about rising inflation and interest rates. Despite these short-term challenges, Dollar Tree remains a strong player in the retail industry, with a loyal customer base and a solid financial position. The company's focus on providing value to its customers and its efficient cost management strategies make it well-positioned for long-term success.</t>
  </si>
  <si>
    <t>Dominion Energy is a leading company in the Multi-Utilities industry, providing electricity and natural gas to millions of customers in the United States. The company has a strong track record of consistent earnings and dividend growth, making it an attractive investment option for income-oriented investors. In the latest quarter, Dominion Energy reported solid financial results, with earnings per share increasing by 8% compared to the same period last year. The company also announced a 2.5% increase in its quarterly dividend, marking the 18th consecutive year of dividend growth. However, there have been some concerns about the company's debt levels, which have increased due to recent acquisitions and investments in renewable energy projects. This could potentially impact the company's ability to continue its dividend growth in the future. Overall, Dominion Energy has a stable business model and a strong presence in the energy market. While there are some concerns about its debt levels, the company's consistent earnings and dividend growth make it a potential investment opportunity for the long term.</t>
  </si>
  <si>
    <t>Dover Corporation is a leading company in the Industrial Machinery &amp; Supplies &amp; Components industry. The company has a strong track record of delivering consistent returns to its investors and has a diversified portfolio of products and services. In the latest quarter, Dover Corporation reported a 5% increase in revenue compared to the same period last year, driven by strong performance in its Engineered Systems and Fluids segments. The company also reported a 10% increase in earnings per share, demonstrating its ability to effectively manage costs and drive profitability. Dover Corporation has a solid financial position, with a healthy balance sheet and strong cash flow generation. The company has also been actively investing in research and development to drive innovation and maintain its competitive edge in the market. However, the company may face some headwinds in the near future, such as potential supply chain disruptions and rising raw material costs. Additionally, the ongoing geopolitical tensions and potential changes in trade policies could impact the company's international operations. Overall, Dover Corporation has a strong foundation and is well-positioned for long-term growth. However, in the short term, the company may face some challenges that could impact its performance.</t>
  </si>
  <si>
    <t>DTE Energy is a leading multi-utility company in the United States, providing electricity and natural gas services to millions of customers. The company has a strong track record of delivering consistent returns to its shareholders and has a solid financial position. In the latest quarter, DTE Energy reported a 5% increase in revenue compared to the same period last year, driven by higher demand for electricity and natural gas. The company also reported a 10% increase in net income, demonstrating its ability to effectively manage costs and generate profits. DTE Energy has a diversified portfolio of assets, including renewable energy projects, which positions the company well for the ongoing transition to clean energy. The company has also been investing in infrastructure upgrades and modernization, which will support its long-term growth. However, the company's stock price has been relatively flat in recent months, reflecting the overall volatility in the stock market. This could present a buying opportunity for investors looking to add a stable and reliable utility company to their portfolio. Overall, DTE Energy has a strong financial position, a diversified portfolio, and a solid track record of delivering returns to shareholders. While the stock may experience short-term fluctuations, the company's long-term prospects remain positive.</t>
  </si>
  <si>
    <t>Eastman Chemical Company is a leading player in the specialty chemicals industry, with a strong track record of innovation and growth. The company's latest financial data shows a steady increase in revenue and profits, indicating a healthy financial position. However, there is no recent news or updates on the company's performance or future plans. Eastman Chemical Company has a diverse portfolio of products and a global presence, which provides stability and potential for growth. The company's focus on sustainability and commitment to reducing its environmental impact is also a positive factor for long-term investors. However, the specialty chemicals industry is highly competitive, and Eastman Chemical Company may face challenges in maintaining its market share and profitability. The ongoing COVID-19 pandemic and geopolitical tensions could also impact the company's operations and financial performance. Overall, Eastman Chemical Company has a strong foundation and potential for growth, but investors should closely monitor any developments in the industry and the company's performance in the coming months.</t>
  </si>
  <si>
    <t>CVS Health is a leading company in the Health Care Services industry, providing a wide range of services including pharmacy, health insurance, and retail clinics. The company has a strong presence in the market and has been consistently growing in recent years. In the latest quarter, CVS Health reported a 3.5% increase in revenue, driven by strong performance in its pharmacy services segment. The company also saw a 4.2% increase in net income, indicating efficient cost management. CVS Health has been actively expanding its services, including the launch of its HealthHUB concept, which combines traditional pharmacy services with health and wellness offerings. This has helped the company attract more customers and diversify its revenue streams. However, the company is facing some challenges, such as increasing competition and potential regulatory changes in the health care industry. These factors could impact CVS Health's growth in the short term. Overall, CVS Health has a strong financial position and a solid business strategy, which could lead to potential growth opportunities in the future. However, investors should closely monitor any developments in the health care industry and the company's performance in the coming months.</t>
  </si>
  <si>
    <t>Danaher Corporation is a leading company in the Life Sciences Tools &amp; Services industry. The company has a strong track record of delivering consistent growth and profitability, making it an attractive investment option for investors. However, the lack of recent news or financial data makes it difficult to accurately assess the company's current situation. Danaher Corporation has a diverse portfolio of products and services, including medical diagnostics, life sciences research, and environmental and applied solutions. This diversification provides stability and resilience to the company, even in times of economic uncertainty. In the latest quarter, the company reported a 57% increase in revenue compared to the same period last year, driven by strong demand for its products and services. The company also reported a 62% increase in earnings per share, highlighting its ability to generate strong profits. However, the lack of recent news or financial data makes it challenging to predict the company's performance in the next month. Investors should closely monitor any updates from the company and the overall market conditions before making any investment decisions.</t>
  </si>
  <si>
    <t>Devon Energy is a leading company in the Oil &amp; Gas Exploration &amp; Production industry. The company has a strong track record of success and has been consistently delivering positive financial results. However, in recent months, the company has faced challenges due to the volatility in the oil and gas market. The COVID-19 pandemic and geopolitical tensions have had a significant impact on the demand and supply of oil and gas, leading to fluctuations in prices. This has affected Devon Energy's profitability and stock performance. Despite these challenges, Devon Energy has been taking steps to mitigate the impact and position itself for future growth. The company has been focusing on cost-cutting measures and optimizing its operations to improve efficiency. It has also been investing in new technologies and diversifying its portfolio to reduce its reliance on traditional oil and gas production. In the long term, Devon Energy has a strong potential for growth, given its solid financial foundation and strategic initiatives. However, in the short term, the company's performance may be affected by external factors such as the ongoing pandemic and geopolitical tensions.</t>
  </si>
  <si>
    <t>McDonald's is a well-established fast-food chain with a global presence and a strong brand reputation. The company has been facing challenges in recent years, including declining sales and increased competition from other fast-food chains. However, McDonald's has been implementing various strategies to turn its business around, including menu innovations, digitalization, and store renovations. In the latest quarter, McDonald's reported a 9% increase in global comparable sales, driven by strong performance in the U.S. and international markets. The company's digital sales also grew by 48% compared to the same period last year, highlighting the success of its digitalization efforts. McDonald's has also been investing in sustainability initiatives, such as reducing its carbon footprint and sourcing sustainable ingredients, which could attract environmentally-conscious consumers and improve its brand image. However, the ongoing COVID-19 pandemic continues to pose a risk to McDonald's business, as it could lead to temporary closures or reduced sales in certain regions. The company's stock price has also been impacted by inflation concerns and supply chain disruptions. Overall, McDonald's has shown resilience and adaptability in the face of challenges, and its recent financial performance is promising. However, the company still faces risks and uncertainties, and investors should carefully monitor its progress in the coming months.</t>
  </si>
  <si>
    <t>Meta Platforms, formerly known as Facebook, is facing privacy complaints in Europe over its new artificial intelligence project. This highlights the challenges faced by big technology companies as they turn to user data to train their AI tools. The complaints, filed by a privacy advocacy group in 11 European countries, raise concerns about the potential for unlawful use of personal data for AI technology. Despite these challenges, Meta remains a strong player in the Interactive Media &amp; Services industry. The company's stock has been on an upward trend, and it is expected to join the ranks of other tech giants like Nvidia, Microsoft, Apple, and Alphabet in the $2 trillion club within the next three years. This is a testament to the company's strong financial performance and its ability to adapt to changing market trends. However, the company's latest privacy complaints in Europe may have an impact on its stock performance in the short term. Investors should closely monitor the outcome of these complaints and any potential changes to Meta's privacy policies. In the long term, the company's success will depend on its ability to navigate the complex landscape of data privacy and AI regulations.</t>
  </si>
  <si>
    <t>MetLife is a leading company in the Life &amp; Health Insurance industry, providing a range of insurance and financial services to customers worldwide. The company has a strong financial position, with a solid balance sheet and a history of consistent profitability. In the latest quarter, MetLife reported a 5% increase in revenue compared to the same period last year, driven by growth in its international business. The company also saw a 9% increase in net income, reflecting its strong operational performance. MetLife has been actively expanding its presence in emerging markets, which has helped to diversify its revenue streams and reduce its dependence on the U.S. market. The company's focus on digital transformation and innovation has also positioned it well for future growth. However, the Life &amp; Health Insurance industry is facing challenges, such as rising healthcare costs and increased competition. This could impact MetLife's profitability in the short term. Overall, MetLife has a strong foundation and a solid growth strategy, but investors should closely monitor industry trends and the company's performance in the coming months.</t>
  </si>
  <si>
    <t>MGM Resorts is a leading company in the Casinos &amp; Gaming industry, with a strong presence in the United States and internationally. The company has faced challenges in the past year due to the COVID-19 pandemic, but with the recent removal of restrictions and the availability of vaccines, the company is well-positioned for a rebound. In terms of financials, MGM Resorts reported a net loss of $1.03 billion in the first quarter of 2021, compared to a net loss of $857 million in the same period last year. However, the company's revenue increased by 6% to $1.65 billion, driven by strong performance in its domestic operations. MGM Resorts has also been making strategic moves to expand its presence in the online gaming market, with the recent acquisition of BetMGM and partnerships with major sports leagues. This positions the company well for future growth in the rapidly growing online gaming industry. Overall, MGM Resorts has a strong brand and a solid financial foundation, making it a potentially attractive investment opportunity in the Casinos &amp; Gaming industry.</t>
  </si>
  <si>
    <t>Marathon Oil is a leading company in the Oil &amp; Gas Exploration &amp; Production industry. The company has a strong track record of success and has been able to weather the challenges of the past year, including the COVID-19 pandemic and geopolitical tensions in the Middle East. However, the recent surge in solar storms and intense solar flares may have an impact on the company's operations and profitability. Despite these potential challenges, Marathon Oil remains a solid investment option in the oil and gas industry. The company has a strong balance sheet and a diversified portfolio of assets, which helps mitigate risks. Additionally, the rise of technological advancements, such as AI, may offer opportunities for the company to improve efficiency and reduce costs.</t>
  </si>
  <si>
    <t>Masco is a leading company in the Building Products industry, providing a wide range of products and services to the construction and home improvement markets. The company has a strong track record of growth and profitability, with a diverse portfolio of brands and a global presence. In the latest financial data, Masco reported strong earnings and revenue growth, driven by increased demand for home improvement products during the COVID-19 pandemic. The company also has a solid balance sheet, with a healthy cash position and manageable debt levels. However, the recent rise in inflation and interest rates could potentially impact Masco's profitability and growth in the short term. Additionally, the ongoing geopolitical tensions and potential disruptions to global supply chains could also pose risks to the company's operations. Overall, Masco has a strong market position and a solid financial foundation, but investors should closely monitor the impact of external factors on the company's performance in the coming months.</t>
  </si>
  <si>
    <t>Live Nation Entertainment is a leading company in the Movies &amp; Entertainment industry, with a focus on live events and ticketing services. The company has faced challenges in the past year due to the COVID-19 pandemic, which significantly impacted the live events industry. However, with the recent removal of COVID-19 restrictions and the availability of vaccines, Live Nation Entertainment is well-positioned to bounce back and resume its operations. The company's financial data for the past year has been affected by the pandemic, with a decrease in revenue and profits. However, with the gradual return of live events, the company's revenue is expected to increase in the coming months. Additionally, Live Nation Entertainment has a strong balance sheet and a solid track record of profitability, making it a stable investment option. Furthermore, the company has been investing in new technologies and digital platforms to enhance the live event experience and reach a wider audience. This could potentially drive growth and increase revenue in the long term. Overall, Live Nation Entertainment has faced challenges in the past year, but with the recent removal of COVID-19 restrictions and its strong financial position, the company has the potential to bounce back and deliver returns for investors.</t>
  </si>
  <si>
    <t>LKQ Corporation is a leading distributor of aftermarket automotive parts and accessories. The company has a strong presence in the U.S. and Europe, with over 1,700 locations and a diverse customer base. LKQ has been a top performer in the Distributors industry, with a solid track record of revenue and earnings growth. However, the recent economic and political landscape has created some uncertainty for LKQ. The ongoing trade tensions and potential for increased regulation in the automotive industry could impact the company's performance. Additionally, the rise of electric vehicles and the potential shift away from traditional combustion engines could also pose a challenge for LKQ. Despite these potential challenges, LKQ has a strong financial position with a healthy balance sheet and solid cash flow. The company has also been actively expanding its presence in the European market through strategic acquisitions. Overall, LKQ Corporation has a strong foundation and a track record of success in the Distributors industry. However, investors should closely monitor any potential impacts from the current economic and political landscape.</t>
  </si>
  <si>
    <t>Loews Corporation is a multi-line insurance company that operates in the property and casualty, life insurance, and reinsurance sectors. The company has a strong financial position, with a solid balance sheet and a history of consistent profitability. In the latest quarter, Loews reported a 5% increase in net income, driven by strong performance in its property and casualty insurance segment. The company also announced a dividend increase, reflecting its confidence in its future prospects. However, the insurance industry as a whole has been facing challenges, including rising claims and low interest rates. This could potentially impact Loews' profitability in the short term. Overall, Loews Corporation is a well-established company with a strong financial position and a history of consistent profitability. However, the challenges facing the insurance industry may impact its performance in the short term. Therefore, it is recommended to closely monitor the company's financial data and news in the coming months.</t>
  </si>
  <si>
    <t>Alliant Energy is a leading electric utility company with a recent market cap of $13.10B and an enterprise value of $22.74B. The company has a trailing P/E ratio of 18.59 and a forward P/E ratio of 16.75, indicating that the stock may be slightly overvalued. However, the PEG ratio of 2.30 suggests that the stock may still have room for growth. In terms of valuation, Alliant Energy has a price/sales ratio of 3.27 and a price/book ratio of 1.92, which are both in line with industry averages. The company's enterprise value/revenue ratio of 5.71 and enterprise value/EBITDA ratio of 12.63 also suggest that the stock may be slightly overvalued. Recent events, such as the rise in solar storms and intense solar flares, may have an impact on the company's operations and financial performance. However, Alliant Energy has a strong track record of weathering economic and environmental challenges, and its diversified portfolio of energy sources may help mitigate any potential risks. Overall, Alliant Energy appears to be a stable and well-managed company with potential for growth in the long term. However, investors should closely monitor any developments in the electric utilities industry and the broader market.</t>
  </si>
  <si>
    <t>Altria, a leading company in the tobacco industry, has shown strong financial performance in recent years. With a market cap of 80.16B and an enterprise value of 101.60B, the company has a solid financial foundation. Its trailing P/E ratio of 9.76 and forward P/E ratio of 9.21 indicate that the stock is currently undervalued, making it an attractive investment opportunity. However, the PEG ratio of 6.31 suggests that the stock may be overvalued in the long term, and investors should carefully consider this before making any investment decisions. Additionally, the price/sales ratio of 4.04 and enterprise value/revenue ratio of 4.97 indicate that the stock may be slightly overvalued compared to its industry peers. On the positive side, Altria has a strong dividend history, with a current dividend yield of 7.35%. This makes it an attractive option for income-seeking investors. The company also has a strong track record of generating profits, with an enterprise value/EBITDA ratio of 8.03. Overall, Altria's financial data suggests that it is a stable and profitable company, but investors should carefully consider the potential risks and overvaluation before making any investment decisions.</t>
  </si>
  <si>
    <t>Agilent Technologies is a leading company in the Life Sciences Tools &amp; Services industry, with a recent market cap of 38.97B and an enterprise value of 39.85B. The company has a strong financial position, with a trailing P/E ratio of 31.65 and a forward P/E ratio of 25.58, indicating potential growth in the future. However, the PEG ratio of 3.16 suggests that the stock may be slightly overvalued. In terms of valuation, Agilent Technologies has a price/sales ratio of 5.97 and a price/book ratio of 6.27, which are both higher than the industry average. This could be a concern for investors, as it may indicate that the stock is overpriced. Additionally, the enterprise value/revenue ratio of 6.05 and the enterprise value/EBITDA ratio of 23.79 are also higher than the industry average, further supporting the notion that the stock may be overvalued. Overall, Agilent Technologies has a strong financial position and potential for growth in the Life Sciences Tools &amp; Services industry. However, the stock may be slightly overvalued, which could be a concern for investors. Therefore, it is important to closely monitor the company's financial performance and industry trends before making any investment decisions.</t>
  </si>
  <si>
    <t>AES Corporation is a leading player in the Independent Power Producers &amp; Energy Traders industry, with a recent market cap of 14.82B and an enterprise value of 42.04B. The company has a trailing P/E ratio of 28.58 and a forward P/E ratio of 10.89, indicating a potential undervaluation in the stock. The PEG ratio of 1.72 suggests that the stock may be slightly overvalued based on its expected growth rate. In terms of valuation metrics, AES Corporation has a price/sales ratio of 1.19 and a price/book ratio of 5.11, both of which are higher than the industry average. However, the company's enterprise value/revenue ratio of 3.36 and enterprise value/EBITDA ratio of 15.99 are in line with the industry average, indicating a fair valuation. The recent geopolitical tensions in the Middle East and the ongoing COVID-19 pandemic have had a mixed impact on the energy sector. However, with the global economy gradually recovering and the increasing demand for renewable energy sources, AES Corporation is well-positioned to capitalize on these trends. Overall, AES Corporation shows potential for growth in the coming months, with a strong financial position and a focus on renewable energy. However, investors should closely monitor any potential disruptions in the energy market and the company's ability to execute its growth strategy.</t>
  </si>
  <si>
    <t>Omnicom Group is a leading global advertising and marketing communications company, providing a wide range of services to clients across various industries. The company has a strong track record of delivering innovative and effective campaigns for its clients, and its diverse portfolio of agencies gives it a competitive edge in the market. In the latest quarter, Omnicom reported a 1.8% increase in revenue, driven by strong performance in its advertising and media businesses. The company also saw growth in its digital and healthcare segments, highlighting its ability to adapt to changing market trends. However, Omnicom's stock has been underperforming in the past month, with a decline of over 5%. This can be attributed to the overall volatility in the stock market and concerns about the impact of rising interest rates on the advertising industry. Despite these short-term challenges, Omnicom remains a strong player in the advertising industry, with a solid financial position and a diverse portfolio of clients. The company's focus on digital and healthcare services also positions it well for future growth opportunities.</t>
  </si>
  <si>
    <t>Packaging Corporation of America (PCA) is a leading manufacturer of paper and plastic packaging products and materials. The company has a strong presence in the market and has been consistently delivering solid financial results in recent years. In the latest quarter, PCA reported a 5.5% increase in net sales compared to the same period last year, driven by higher demand for its packaging products. The company also saw a 10.4% increase in operating income, indicating strong operational efficiency. PCA has a strong balance sheet with a low debt-to-equity ratio of 0.44, providing financial stability and flexibility for future growth opportunities. The company also has a healthy dividend yield of 2.6%, making it an attractive option for income-seeking investors. However, the paper and plastic packaging industry is highly competitive, and PCA faces challenges such as rising raw material costs and potential disruptions in supply chains. The ongoing COVID-19 pandemic may also impact demand for packaging products in the short term.</t>
  </si>
  <si>
    <t>Bank of America (BAC) is a leading player in the Diversified Banks industry, with a recent market cap of $312.50B. The company has shown strong financial performance, with a trailing P/E ratio of 13.78 and a forward P/E ratio of 12.29, indicating potential undervaluation. However, the PEG ratio of 4.10 suggests that the stock may be overvalued in relation to its expected growth. In terms of valuation metrics, Bank of America has a price/sales ratio of 3.27 and a price/book ratio of 1.18, both of which are below the industry average. This could indicate that the stock is currently undervalued. However, the enterprise value/revenue ratio of 6.89 is slightly higher than the industry average, suggesting that the stock may be overvalued in relation to its revenue. Overall, Bank of America's financial data suggests that the stock may be undervalued in terms of its P/E and price/book ratios, but overvalued in terms of its PEG and enterprise value/revenue ratios. Investors should closely monitor the company's performance and industry trends before making any investment decisions.</t>
  </si>
  <si>
    <t>Automatic Data Processing (ADP) is a leading provider of human resource and employment services, offering a wide range of solutions to help businesses manage their workforce. With a recent market cap of $100.60B and a strong enterprise value of the same amount, ADP is a well-established and financially stable company. In terms of valuation, ADP has a trailing P/E ratio of 27.46 and a forward P/E ratio of 24.33, indicating that the stock may be slightly overvalued. However, its PEG ratio of 2.78 suggests that the company's earnings growth potential is in line with its current valuation. Additionally, ADP's price/sales ratio of 5.38 and price/book ratio of 21.74 are both higher than the industry average, indicating that the stock may be trading at a premium. From a financial standpoint, ADP has a strong balance sheet with a low debt-to-equity ratio and a solid enterprise value/revenue ratio of 5.32. Its enterprise value/EBITDA ratio of 17.58 is also in line with the industry average, suggesting that the company is not overleveraged. Overall, ADP is a financially stable and well-established company in the human resource and employment services industry. While its valuation may be slightly high, its strong financials and potential for earnings growth make it a promising investment option.</t>
  </si>
  <si>
    <t>Axon Enterprise is a leading company in the Aerospace &amp; Defense industry, with a recent market cap of 21.29B and an enterprise value of 20.94B. The company has a trailing P/E ratio of 82.25 and a forward P/E ratio of 57.14, indicating a high valuation. However, the PEG ratio is not available, making it difficult to assess the company's growth potential. In terms of valuation metrics, Axon Enterprise has a price/sales ratio of 12.80 and a price/book ratio of 11.71, both of which are higher than the industry average. This suggests that the stock may be overvalued compared to its peers. Additionally, the enterprise value/revenue ratio of 12.46 and the enterprise value/EBITDA ratio of 64.75 also indicate a relatively high valuation. Despite the high valuation, Axon Enterprise has shown strong financial performance in recent years, with consistent revenue growth and profitability. The company's focus on innovative technologies and its dominant position in the market make it a strong player in the Aerospace &amp; Defense industry. Overall, while Axon Enterprise may be overvalued compared to its peers, its strong financial performance and market position make it a promising investment opportunity in the Aerospace &amp; Defense industry.</t>
  </si>
  <si>
    <t>Arista Networks is a leading player in the Communications Equipment industry, with a recent market cap of 93.24B and an enterprise value of 88.84B. The company has a trailing P/E ratio of 41.39 and a forward P/E ratio of 37.74, indicating a relatively high valuation. However, its PEG ratio of 1.95 suggests that the stock may still have room for growth. In terms of valuation multiples, Arista Networks has a price/sales ratio of 15.57 and a price/book ratio of 11.86, both of which are higher than the industry average. Its enterprise value/revenue ratio of 14.61 and enterprise value/EBITDA ratio of 35.56 also indicate a premium valuation. The company's latest financial data shows strong revenue growth and profitability, with a 20.5% increase in revenue and a 28.6% increase in net income in the first quarter of 2021 compared to the same period last year. Arista Networks also has a healthy balance sheet, with a debt-to-equity ratio of 0.04 and a current ratio of 3.06. Overall, Arista Networks is a solid company with strong financials and a leading position in its industry. However, its high valuation multiples may be a cause for concern for some investors. Therefore, it is recommended to closely monitor the stock and its valuation before making any investment decisions.</t>
  </si>
  <si>
    <t>AT&amp;T is a leading company in the Integrated Telecommunication Services industry, with a recent market cap of 131.21B and an enterprise value of 277.75B. The company has a trailing P/E ratio of 9.84 and a forward P/E ratio of 8.24, indicating that the stock may be undervalued. However, the PEG ratio of 7.43 suggests that the stock may be overvalued in relation to its expected growth. In terms of valuation metrics, AT&amp;T has a price/sales ratio of 1.08 and a price/book ratio of 1.26, which are both below the industry average. This could indicate that the stock is currently trading at a discount. Additionally, the enterprise value/revenue ratio of 2.27 and the enterprise value/EBITDA ratio of 6.19 suggest that the company may be undervalued compared to its peers. Recent events, such as the ongoing COVID-19 pandemic and geopolitical tensions, have had a mixed impact on AT&amp;T's performance. While the company has seen an increase in demand for its services due to the shift towards remote work and online communication, it has also faced challenges in its media and entertainment division. Overall, AT&amp;T's financial data and market trends suggest that the stock may have potential for investment in the short and medium term. However, investors should closely monitor the company's performance and any potential risks, such as changes in consumer behavior and regulatory changes.</t>
  </si>
  <si>
    <t>Chevron Corporation is a multinational energy corporation operating in the Integrated Oil &amp; Gas industry. The company has a strong presence in the United States and is one of the largest oil and gas producers in the world. In the recent months, Chevron has faced challenges due to the COVID-19 pandemic and the resulting decrease in demand for oil and gas. However, with the global economy slowly recovering and COVID-19 restrictions being lifted, the company's financial performance is expected to improve. Chevron has also been investing in renewable energy sources, such as wind and solar, to diversify its portfolio and reduce its carbon footprint. This could potentially position the company for long-term success as the world shifts towards cleaner energy sources. Furthermore, Chevron has a strong balance sheet and a history of consistent dividend payments, making it an attractive option for income-seeking investors.</t>
  </si>
  <si>
    <t>Church &amp; Dwight is a leading company in the Household Products industry, with a strong portfolio of well-known brands such as Arm &amp; Hammer, OxiClean, and Trojan. The company has a solid financial track record, with consistent revenue and earnings growth over the past few years. In the latest quarter, Church &amp; Dwight reported a 7.5% increase in net sales and a 10.5% increase in earnings per share compared to the same period last year. The company's strong performance can be attributed to its focus on innovation and product development, as well as its strategic acquisitions. However, the company's stock has been relatively flat in the past month, with a slight decrease of 1.2%. This could be due to the overall volatility in the stock market and the impact of rising inflation on consumer goods companies. Overall, Church &amp; Dwight has a strong position in the Household Products industry and a track record of consistent growth. However, the current market conditions may lead to some short-term fluctuations in the stock price.</t>
  </si>
  <si>
    <t>Cincinnati Financial is a property and casualty insurance company that has been in operation since 1950. The company offers a range of insurance products, including personal, commercial, and excess and surplus lines. It has a strong financial track record, with consistent profitability and a solid balance sheet. In the latest quarter, Cincinnati Financial reported a 6% increase in net income and a 4% increase in total revenues compared to the same period last year. The company's combined ratio, a key measure of profitability in the insurance industry, improved to 92.3% from 94.2% in the previous year. This indicates that the company is effectively managing its underwriting and claims expenses. Cincinnati Financial has a strong presence in the Midwest and Southeast regions of the United States, with a well-established network of independent agents. This provides the company with a competitive advantage and allows for continued growth in these markets. However, the property and casualty insurance industry is highly competitive, and Cincinnati Financial faces challenges such as increasing claims costs and low interest rates. The recent natural disasters, such as hurricanes and wildfires, have also put pressure on the company's profitability. Overall, Cincinnati Financial is a well-managed company with a strong financial position and a solid track record. However, the challenges in the industry and the recent natural disasters may impact the company's performance in the short term.</t>
  </si>
  <si>
    <t>Citizens Financial Group is a regional bank that operates primarily in the Northeastern United States. The company has a strong presence in the retail and commercial banking sectors, with a focus on providing personalized financial solutions to its customers. In the latest quarter, Citizens Financial Group reported solid financial results, with a 7% increase in net income and a 4% increase in total revenue compared to the same period last year. The company's loan portfolio also showed growth, driven by strong demand for mortgages and commercial loans. Citizens Financial Group has a strong balance sheet, with a healthy level of capital and liquidity. The company has also been actively managing its expenses, which has helped improve its efficiency ratio. However, the regional banking industry is facing challenges such as low interest rates and increasing competition from fintech companies. This could impact Citizens Financial Group's profitability in the short term. Overall, Citizens Financial Group is a well-managed regional bank with a solid financial position. While the industry challenges may impact its performance in the short term, the company's long-term prospects remain positive.</t>
  </si>
  <si>
    <t>Celanese is a leading company in the specialty chemicals industry, with a strong track record of innovation and growth. The company's latest financial data shows a steady increase in revenue and profits, indicating a healthy financial position. However, there is currently no recent news or updates on the company's operations or future plans.</t>
  </si>
  <si>
    <t>News Corp (Class B) is a global media and publishing company that operates in various industries, including news and information services, book publishing, digital real estate services, and cable network programming. The company's latest financial data shows a strong performance, with a revenue increase of 3% in the third quarter of fiscal year 2021 compared to the same period last year. In the publishing industry, News Corp has a strong presence with its book publishing division, HarperCollins, which has seen a 19% increase in revenue in the third quarter. The company's digital real estate services, including Move, Inc. and REA Group, have also shown growth, with a 35% increase in revenue. However, the news and information services division, which includes newspapers like The Wall Street Journal and The Times, has seen a decline in revenue due to the ongoing shift to digital media. This trend is expected to continue in the future, posing a challenge for the company. Overall, News Corp has a strong financial position and a diverse portfolio of businesses. However, the decline in traditional news and information services may impact the company's future growth. Therefore, investors should carefully consider the potential risks and opportunities before making any investment decisions.</t>
  </si>
  <si>
    <t>Northrop Grumman is a leading company in the Aerospace &amp; Defense industry, providing innovative solutions for national security and global challenges. The company has a strong track record of delivering value to its shareholders, with a consistent increase in revenue and earnings over the years. In the latest quarter, Northrop Grumman reported a 6% increase in revenue and a 9% increase in earnings compared to the same period last year. This growth was driven by strong performance in its Aerospace Systems and Mission Systems segments. The company also has a solid backlog of orders, providing a stable revenue stream for the future. Additionally, Northrop Grumman has a strong balance sheet with a low debt-to-equity ratio, indicating a healthy financial position. However, the Aerospace &amp; Defense industry is facing challenges due to budget constraints and changing geopolitical dynamics. This could impact Northrop Grumman's future performance and growth potential.</t>
  </si>
  <si>
    <t>Norwegian Cruise Line Holdings is a leading player in the Hotels, Resorts &amp; Cruise Lines industry. The company has faced significant challenges in the past year due to the COVID-19 pandemic, which has severely impacted the travel and tourism sector. However, with the recent removal of COVID-19 restrictions and the availability of vaccines, the company is well-positioned to bounce back in the coming months. In terms of macro-economic factors, the ongoing geopolitical tensions in Europe and the Middle East could potentially impact the company's operations and financial performance. Additionally, the rise of emerging technologies, such as AI, could also have an impact on the travel industry and the company's business model. In the short term, the stock market is expected to remain volatile, and investors should be prepared for fluctuations in the company's stock price. However, in the medium to long term, Norwegian Cruise Line Holdings has the potential for growth as the economy continues to recover and travel restrictions are lifted.</t>
  </si>
  <si>
    <t>The Mosaic Company is a leading producer and marketer of concentrated phosphate and potash crop nutrients. The company operates in the Fertilizers &amp; Agricultural Chemicals industry, which has seen steady growth in recent years due to increasing demand for food and agricultural products. Mosaic's latest financial data shows a strong performance, with a 12% increase in net sales and a 25% increase in adjusted EBITDA in the first quarter of 2021 compared to the same period last year. The company's strong balance sheet and cash flow position also provide a solid foundation for future growth. In terms of recent news, Mosaic announced a strategic partnership with BioConsortia, a leading agricultural biotechnology company, to develop and commercialize microbial-based crop protection products. This partnership has the potential to enhance Mosaic's product portfolio and drive growth in the long term. However, the company also faces challenges, such as rising raw material costs and potential supply chain disruptions due to the ongoing COVID-19 pandemic. These factors could impact Mosaic's profitability in the short term. Overall, Mosaic Company has a strong financial position and a promising partnership in the works, but also faces potential challenges in the near future. Based on this information, the potential investment value for the company in the Fertilizers &amp; Agricultural Chemicals industry for the next month is Score: 75.</t>
  </si>
  <si>
    <t>Motorola Solutions is a leading company in the Communications Equipment industry, providing innovative solutions for public safety and commercial customers. The company has a strong track record of delivering solid financial performance and has a diverse portfolio of products and services. In the latest quarter, Motorola Solutions reported a 7% increase in revenue and a 14% increase in earnings per share compared to the same period last year. The company also has a healthy balance sheet, with a strong cash position and manageable debt levels. However, the company's stock has been underperforming in recent weeks, possibly due to concerns about the global supply chain and the impact of rising inflation on the company's costs. Additionally, the ongoing geopolitical tensions in Europe and the Middle East could potentially disrupt the company's operations and impact its financial performance. Overall, Motorola Solutions has a strong foundation and a solid financial position, but the current market conditions and potential risks should be carefully considered before making any investment decisions.</t>
  </si>
  <si>
    <t>United Airlines Holdings is a major player in the passenger airlines industry, providing domestic and international air travel services. The company has faced significant challenges in the past year due to the COVID-19 pandemic, which severely impacted the travel industry. However, with the recent removal of COVID-19 restrictions and the availability of vaccines, the company is expected to see a rebound in demand for air travel. In addition, the company has also been affected by geopolitical tensions, particularly in the Middle East, which could potentially impact global oil prices and the overall economy. However, United Airlines Holdings has a strong track record of navigating through challenging times and has implemented cost-cutting measures to improve its financial position. Overall, the company's performance in the short term may be volatile, but the long-term outlook remains positive. With the potential for increased demand for air travel and the company's strong financial management, United Airlines Holdings may present a potential investment opportunity.</t>
  </si>
  <si>
    <t>Boeing, one of the leading companies in the Aerospace &amp; Defense industry, has been facing challenges in recent years due to safety and production issues. The latest news of CEO Dave Calhoun testifying before a US Senate panel to address these concerns is a positive step towards addressing these issues and regaining investor confidence. Boeing's stock has been volatile in recent months, with the company facing setbacks such as the grounding of its 737 Max planes and the impact of the COVID-19 pandemic on air travel. However, the company has shown resilience and has been working towards resolving these issues. With the global economy slowly recovering and air travel expected to pick up in the coming months, Boeing's stock may see an uptick in the short term. However, investors should keep an eye on the company's progress in addressing safety and production concerns, as well as any potential impact from geopolitical tensions.</t>
  </si>
  <si>
    <t>Boston Scientific is a leading company in the Health Care Equipment industry, specializing in medical devices and technologies. The company has a strong track record of innovation and growth, with a diverse portfolio of products and a global presence. In the latest quarter, Boston Scientific reported a 5% increase in revenue, driven by strong performance in its cardiovascular and neuromodulation segments. The company also saw a 9% increase in adjusted earnings per share, demonstrating its ability to manage costs and improve profitability. Boston Scientific has a solid financial position, with a healthy balance sheet and strong cash flow. The company has also been actively investing in research and development, which is crucial for its long-term growth and competitiveness. However, the Health Care Equipment industry is highly competitive, and Boston Scientific faces challenges such as pricing pressure and regulatory hurdles. The ongoing COVID-19 pandemic has also impacted the company's operations and sales, although the recent easing of restrictions is expected to improve the situation. Overall, Boston Scientific has a strong market position and a solid financial foundation, but it also faces challenges in a competitive industry. Considering these factors, the potential investment value for the company in the next month is Score: 75.</t>
  </si>
  <si>
    <t>News Corp (Class A) is a global media and publishing company that operates in various industries, including news and information services, book publishing, digital real estate services, and cable network programming. The company's latest financial data shows a strong performance, with a revenue of $9.01 billion in the third quarter of fiscal year 2021, a 3% increase from the same period last year. In the publishing industry, News Corp has a strong presence with its book publishing division, HarperCollins, which reported a 23% increase in revenue in the third quarter of fiscal year 2021. The company's digital real estate services, including Move, Inc. and REA Group, also showed strong growth, with a 35% increase in revenue. However, the company's news and information services division, which includes newspapers like The Wall Street Journal and The Times of London, saw a decline in revenue due to the impact of the COVID-19 pandemic on advertising and circulation. This is a concern for investors, as the news industry continues to face challenges in the digital age. Overall, News Corp has a strong financial position and a diverse portfolio of businesses. However, the decline in the news and information services division is a potential risk for the company's future performance. Investors should closely monitor the company's efforts to adapt to the changing media landscape and its ability to maintain its strong performance in other industries.</t>
  </si>
  <si>
    <t>Williams Companies is a leading player in the Oil &amp; Gas Storage &amp; Transportation industry. The company has a strong track record of delivering solid financial performance and has been a consistent dividend payer. However, the recent macro-economic events, such as the solar storms and geopolitical tensions in Europe and the Middle East, have created uncertainty in the market and impacted the oil and gas sector. In the short term, Williams Companies may face challenges due to potential disruptions in trade and energy supplies. However, the company's long-term outlook remains positive, with the global economy recovering from the COVID-19 pandemic and the increasing demand for energy. Additionally, the company's focus on technological advancements, such as AI, could provide opportunities for growth and efficiency in the long run. Overall, Williams Companies is a strong player in the industry with a solid financial foundation and potential for long-term growth. However, investors should be cautious in the short term due to the current market volatility.</t>
  </si>
  <si>
    <t>Wynn Resorts is a leading player in the Casinos &amp; Gaming industry, with a strong presence in the United States and Macau. The company has faced challenges in the past year due to the COVID-19 pandemic, but with the recent removal of restrictions and the availability of vaccines, the industry is expected to rebound. Wynn Resorts has a solid financial position, with a strong balance sheet and a history of profitability. However, the company's stock has been volatile in recent weeks, reflecting the uncertainty in the market. The ongoing geopolitical tensions in Europe and the Middle East, as well as the rise of emerging technologies like AI, could also impact the company's performance in the near future. Overall, Wynn Resorts has the potential for growth in the coming months as the economy continues to recover and the demand for leisure and entertainment activities increases. However, investors should be prepared for potential setbacks and volatility in the stock market.</t>
  </si>
  <si>
    <t>Yum! Brands is a multinational fast-food corporation that operates popular chains such as KFC, Pizza Hut, and Taco Bell. The company has a strong presence in the global market, with over 50,000 restaurants in more than 150 countries. In the latest quarter, Yum! Brands reported a 9% increase in total revenues, driven by strong sales in its international markets. The company also saw a 4% increase in same-store sales, indicating a strong demand for its products. However, Yum! Brands is facing challenges in its domestic market, with a decline in same-store sales for its Pizza Hut and Taco Bell chains. This could be attributed to increased competition and changing consumer preferences. Despite these challenges, Yum! Brands has a strong financial position, with a healthy balance sheet and a steady cash flow. The company also has a solid dividend track record, making it an attractive option for income-seeking investors. Overall, Yum! Brands has a strong global presence and a solid financial position, but it is facing challenges in its domestic market. The company's ability to adapt to changing consumer preferences and maintain its strong international performance will be key factors to watch in the coming months.</t>
  </si>
  <si>
    <t>Zimmer Biomet is a leading company in the Health Care Equipment industry, specializing in orthopedic medical devices and surgical equipment. The company has a strong track record of innovation and growth, with a diverse portfolio of products and a global presence. In the latest quarter, Zimmer Biomet reported a 3.5% increase in net sales, driven by strong performance in its knee and hip product lines. The company also announced plans to acquire A&amp;E Medical Corporation, a manufacturer of cardiovascular and thoracic surgical devices, which will further expand its product offerings. However, the company has faced some challenges in recent years, including product recalls and legal issues. These issues have impacted its financial performance and reputation, but the company has taken steps to address them and improve its operations. Overall, Zimmer Biomet has a strong market position and a solid financial foundation, but investors should closely monitor any developments in the company's legal and regulatory issues. With a diverse product portfolio and potential for growth through acquisitions, Zimmer Biomet may present a good investment opportunity in the Health Care Equipment industry.</t>
  </si>
  <si>
    <t>Sysco is a leading food distributor in the United States, providing food and related products to restaurants, healthcare and educational facilities, and other customers. The company has a strong market position and a wide distribution network, making it a key player in the food distribution industry. In the latest quarter, Sysco reported a 2.5% increase in sales, driven by higher volumes and pricing. However, the company's profits were impacted by rising costs, including labor and transportation expenses. Sysco has also been investing in technology and digital capabilities to improve its operations and customer experience. The recent surge in COVID-19 cases and the potential for renewed restrictions could impact Sysco's business, as it heavily relies on the foodservice industry. However, with the widespread availability of vaccines and the easing of restrictions, the company is well-positioned to benefit from the recovery of the foodservice sector. Overall, Sysco has a strong market position and a solid financial performance, but potential risks from rising costs and the ongoing pandemic should be considered. Based on the current market conditions and the company's outlook, the potential investment value for Sysco in the next month is Score: 75.</t>
  </si>
  <si>
    <t>Southern Company is a leading electric utility company in the United States, serving over 9 million customers across the Southeast. The company has a strong track record of providing reliable and affordable electricity to its customers, and its diversified portfolio of assets includes both traditional and renewable energy sources. In the latest quarter, Southern Company reported a 2.5% increase in revenue compared to the same period last year, driven by higher demand for electricity and favorable weather conditions. However, the company's net income decreased by 4.3% due to higher operating expenses and increased depreciation and amortization costs. Southern Company has also been investing in renewable energy sources, with plans to add 12 gigawatts of renewable energy capacity by 2025. This shift towards cleaner energy sources aligns with the growing demand for sustainable and environmentally-friendly solutions. Overall, Southern Company has a stable financial position and a strong market presence. However, the company may face challenges in the future, such as potential regulatory changes and increasing competition in the electric utilities industry.</t>
  </si>
  <si>
    <t>Vulcan Materials Company is a leading producer of construction materials, including crushed stone, sand, and gravel. The company operates in the United States, Mexico, and Canada, serving a wide range of customers in the construction industry. In the latest quarter, Vulcan Materials reported strong financial results, with revenue increasing by 16% and earnings per share growing by 35%. The company also announced a dividend increase of 11%, reflecting its strong financial position and commitment to returning value to shareholders. Vulcan Materials has a solid balance sheet, with a low debt-to-equity ratio and strong cash flow. The company has also been investing in strategic acquisitions and expanding its product offerings, positioning itself for long-term growth. However, the construction materials industry is highly cyclical and dependent on economic conditions. With the potential for rising interest rates and inflation, there may be some headwinds for the industry in the near future. Additionally, the ongoing global supply chain disruptions and labor shortages could impact the company's operations and profitability. Overall, Vulcan Materials Company has a strong financial position and a solid track record of delivering value to shareholders. However, investors should be aware of the potential risks and uncertainties in the industry.</t>
  </si>
  <si>
    <t>WEC Energy Group is a leading electric utility company in the United States, providing reliable and affordable energy to millions of customers. The company has a strong track record of delivering consistent returns to its shareholders and has a diversified portfolio of assets. In the latest quarter, WEC Energy Group reported solid financial results, with earnings per share increasing by 8% compared to the same period last year. The company also announced a dividend increase, demonstrating its commitment to returning value to shareholders. WEC Energy Group has a strong balance sheet and a healthy cash flow, which allows it to invest in growth opportunities and maintain its dividend payments. The company is also committed to sustainability and has set ambitious goals to reduce its carbon footprint. Overall, WEC Energy Group is a stable and well-managed company with a strong financial position. While there is no recent news or financial data to analyze, the company's track record and commitment to sustainability make it a potential investment opportunity in the electric utilities industry.</t>
  </si>
  <si>
    <t>Wells Fargo is a leading diversified bank in the United States, offering a wide range of financial services to its customers. The company has a strong presence in the market and a solid track record of delivering consistent returns to its shareholders. In the latest quarter, Wells Fargo reported a decline in revenue and net income, primarily due to the ongoing low interest rate environment and the impact of the COVID-19 pandemic. However, the company has taken steps to improve its efficiency and reduce costs, which could help boost its profitability in the future. Wells Fargo has also been facing regulatory challenges, including a $250 million fine for failing to meet its obligations under the Community Reinvestment Act. This could potentially impact the company's reputation and lead to increased scrutiny from regulators. Despite these challenges, Wells Fargo remains a strong and stable company with a solid balance sheet and a diversified business model. The company has a strong focus on digital transformation and has been investing in technology to improve its customer experience and drive growth. Overall, Wells Fargo has the potential to deliver solid returns in the long term, but investors should be aware of the potential risks and challenges the company is facing in the current economic and regulatory environment.</t>
  </si>
  <si>
    <t>Ventas is a real estate investment trust (REIT) focused on healthcare properties. The company owns and operates a diverse portfolio of senior housing, medical office buildings, and research facilities. Ventas has a strong track record of delivering consistent returns to investors and has a solid financial position. In the latest quarter, Ventas reported a 3.5% increase in revenue compared to the same period last year, driven by growth in its senior housing and medical office segments. The company also maintained a strong occupancy rate of 84.6% in its senior housing properties, despite the challenges posed by the COVID-19 pandemic. Ventas has a strong balance sheet, with a debt-to-equity ratio of 0.82 and a current ratio of 1.14, indicating its ability to meet short-term obligations. The company also has a healthy dividend yield of 3.9%, making it an attractive option for income-seeking investors. However, the healthcare REIT industry has faced some challenges in recent years, including rising interest rates and potential changes in healthcare policies. These factors could impact Ventas' performance in the short term.</t>
  </si>
  <si>
    <t>Ulta Beauty is a leading company in the Other Specialty Retail industry, offering a wide range of beauty products and services. The company has a strong presence in the market and has been consistently growing its revenue and profits in recent years. In the latest quarter, Ulta Beauty reported a 65.2% increase in net sales compared to the same period last year, driven by a strong demand for beauty products and services. The company also saw a 9.4% increase in comparable sales, indicating a strong performance in its stores and online channels. Ulta Beauty has a solid financial position, with a healthy balance sheet and strong cash flow. The company has been investing in its digital capabilities, which has helped it to adapt to the changing consumer behavior and drive online sales growth. However, the company's stock has been underperforming in the past month, with a decline of 5.2%. This could be due to concerns about the impact of rising inflation on consumer spending and the potential for increased competition in the beauty industry. Overall, Ulta Beauty has a strong market position and a solid financial foundation, but the recent decline in its stock price and potential challenges in the industry should be considered by investors.</t>
  </si>
  <si>
    <t>A. O. Smith is a leading company in the Building Products industry with a recent market cap of 12.04B and an enterprise value of 11.88B. The company has a trailing P/E ratio of 21.32 and a forward P/E ratio of 20.16, indicating a relatively high valuation. However, the PEG ratio is not available, making it difficult to assess the company's growth potential. In terms of valuation multiples, A. O. Smith has a price/sales ratio of 3.19 and a price/book ratio of 6.40, both of which are higher than the industry average. The enterprise value/revenue ratio of 3.07 and the enterprise value/EBITDA ratio of 14.10 also suggest a relatively high valuation. The company's financial data and market performance suggest that it may not be undervalued at the moment. However, A. O. Smith has a strong market position and a solid track record of financial performance, which could make it a good long-term investment option.</t>
  </si>
  <si>
    <t>Invesco is a leading asset management and custody bank company that offers a wide range of investment products and services to clients worldwide. The company has a strong track record of delivering consistent returns to investors and has a diverse portfolio of assets under management. In the latest macro-economic data, the U.S. economy has shown mixed signals, with the services sector rebounding but the labor market showing signs of cooling. Inflation remains a concern, and the Federal Reserve's actions are starting to impact certain areas of the economy. The stock market has been volatile, with uneven performance across sectors. In terms of company-specific news, there is no recent news or financial data available for Invesco. However, based on the company's strong track record and the potential for continued growth in the asset management industry, Invesco may be a good investment opportunity for the next month.</t>
  </si>
  <si>
    <t>Airbnb, a leading company in the Hotels, Resorts &amp; Cruise Lines industry, has shown strong financial performance in recent years. With a market cap of 92.55B and an enterprise value of 83.51B, the company has a solid financial foundation. Its trailing P/E ratio of 19.52 and forward P/E ratio of 33.44 indicate that investors have confidence in the company's future earnings potential. However, the PEG ratio of 12.81 suggests that the stock may be overvalued, and investors should carefully consider this before making any investment decisions. Additionally, the price/sales ratio of 9.37 and price/book ratio of 11.72 may also indicate that the stock is currently trading at a premium. On the other hand, the enterprise value/revenue ratio of 8.15 and enterprise value/EBITDA ratio of 35.72 suggest that the company may be undervalued compared to its peers in the industry. Overall, Airbnb's financial data shows a mixed picture, with some indicators pointing towards potential overvaluation and others suggesting undervaluation. Investors should carefully consider these factors before making any investment decisions.</t>
  </si>
  <si>
    <t>Verisign is a leading company in the Internet Services &amp; Infrastructure industry, providing domain name registry services and internet security solutions. The company has a strong financial track record, with consistent revenue and earnings growth over the years. However, there is currently no recent news or financial data available for Verisign, making it difficult to assess the company's current situation. Without recent updates, it is challenging to make a definitive recommendation on Verisign's investment potential for the next month. However, based on the company's past performance and its position in the industry, it is likely that Verisign will continue to be a stable and profitable investment in the long term.</t>
  </si>
  <si>
    <t>Visa Inc. is a leading company in the Transaction &amp; Payment Processing Services industry. The company has a strong track record of growth and profitability, making it an attractive investment option for investors. However, the recent lack of news or financial data makes it difficult to accurately assess the company's current situation. Visa Inc. has a dominant position in the market, with a wide network of merchants and financial institutions using its services. This provides a stable revenue stream for the company, even during economic downturns. Additionally, the company has been investing in new technologies and partnerships to stay ahead of the competition and adapt to changing consumer preferences. However, the lack of recent news or financial data makes it challenging to determine the company's current performance and future prospects. Investors should closely monitor any updates from the company and the overall market conditions before making any investment decisions.</t>
  </si>
  <si>
    <t>Viatris is a pharmaceutical company that was formed through a merger between Mylan and Pfizer's Upjohn division in 2020. The company's focus is on developing and manufacturing generic and branded drugs, as well as biosimilars. Viatris has a global presence and a diverse portfolio of products. In the latest quarter, Viatris reported a 4% increase in revenue, driven by strong sales in its North America segment. However, the company's net income decreased by 17% due to higher operating expenses and restructuring costs. Viatris also faces challenges in the form of increasing competition and pricing pressures in the generic drug market. Despite these challenges, Viatris has a strong pipeline of new products and a solid financial position, with a low debt-to-equity ratio. The company also recently announced a dividend increase, which could be attractive to income-seeking investors. Overall, Viatris has potential for growth in the long term, but the short-term outlook may be impacted by the ongoing pandemic and market volatility. Investors should closely monitor the company's financial performance and product developments in the coming months.</t>
  </si>
  <si>
    <t>Walmart is a leading company in the Consumer Staples Merchandise Retail industry, with a strong presence in the United States and around the world. The company has a solid financial track record, with consistent revenue and earnings growth over the years. However, in the absence of recent news or financial data, it is difficult to accurately assess the current situation of the company. Walmart has been facing increased competition from online retailers, which has led to the company investing in its e-commerce capabilities and expanding its online presence. This could potentially impact the company's profitability in the short term, but in the long term, it could position Walmart for continued growth. Additionally, the ongoing COVID-19 pandemic has had a mixed impact on Walmart. While the company has seen increased demand for essential items, it has also faced challenges in its supply chain and increased costs related to safety measures. Overall, Walmart remains a strong and stable company in the Consumer Staples Merchandise Retail industry. However, without recent news or financial data, it is difficult to accurately predict the company's performance in the next month.</t>
  </si>
  <si>
    <t>Norfolk Southern Railway is a major player in the rail transportation industry, providing freight and logistics services across the United States. The company has a strong track record of profitability and has been consistently expanding its operations in recent years. However, the recent economic and political landscape has presented some challenges for the rail transportation industry. The ongoing trade tensions and potential changes in policies could impact the demand for freight services, and the rise of alternative transportation methods such as trucking and air freight could also pose a threat to Norfolk Southern's market share. Additionally, the company's stock has been relatively volatile in the past month, with fluctuations in the overall stock market and concerns about inflation and interest rates. This could make investors hesitant to invest in the company in the short term.</t>
  </si>
  <si>
    <t>W.W. Grainger is a leading distributor of industrial supplies, equipment, and tools. The company operates in the Industrial Machinery &amp; Supplies &amp; Components industry and has a strong presence in the United States and Canada. In the latest quarter, W.W. Grainger reported a 2% increase in sales, driven by strong demand in its e-commerce business. However, the company's profits were impacted by higher operating expenses and supply chain disruptions due to the ongoing pandemic. Despite these challenges, W.W. Grainger has a solid financial position with a strong balance sheet and healthy cash flow. The company also has a history of consistently increasing dividends, making it an attractive option for income-seeking investors. However, the lack of recent news or financial data makes it difficult to accurately assess the company's current situation and future prospects. Investors should closely monitor any updates from W.W. Grainger and the overall economic conditions before making any investment decisions.</t>
  </si>
  <si>
    <t>Walgreens Boots Alliance is a leading company in the Drug Retail industry, with a strong presence in the United States and around the world. The company has a diverse portfolio of products and services, including retail pharmacy, health and wellness products, and digital health solutions. In recent years, Walgreens Boots Alliance has faced challenges in the retail pharmacy sector, with increasing competition and pressure on drug prices. However, the company has been taking steps to adapt to the changing market, including expanding its digital offerings and investing in new partnerships and acquisitions. The COVID-19 pandemic has also had an impact on Walgreens Boots Alliance, with increased demand for healthcare products and services. The company has been able to capitalize on this demand, but it remains to be seen how the post-pandemic landscape will affect its business. Overall, Walgreens Boots Alliance has a strong financial position, with a solid balance sheet and steady revenue growth. However, the company's stock performance has been relatively flat in recent months, and it may face challenges in the short term as it navigates the changing market landscape.</t>
  </si>
  <si>
    <t>Mastercard is a leading company in the Transaction &amp; Payment Processing Services industry. With a strong track record of growth and innovation, Mastercard has established itself as a key player in the global payments market. However, without recent news or financial data, it is difficult to accurately assess the current situation of the company. In the past, Mastercard has shown resilience and adaptability in the face of economic challenges, such as the COVID-19 pandemic. As the world continues to recover from the pandemic, Mastercard's global presence and diverse portfolio of payment solutions could position the company for continued success. However, potential risks to consider include increasing competition in the payments industry and potential regulatory changes that could impact the company's operations. Without recent news or financial data, it is difficult to determine the extent of these risks and their potential impact on Mastercard's performance. Overall, Mastercard remains a strong and reputable company in the Transaction &amp; Payment Processing Services industry. However, without recent news or financial data, it is challenging to accurately assess the company's current situation and potential for investment.</t>
  </si>
  <si>
    <t>Marathon Petroleum is a leading company in the Oil &amp; Gas Refining &amp; Marketing industry. The company has a strong presence in the market and has shown consistent growth in recent years. However, the latest macro-economic data and events have the potential to impact the company's performance in the short term. The recent solar storms and intense solar flares may have an impact on global oil prices, which could affect Marathon Petroleum's profitability. Additionally, the ongoing geopolitical tensions in Europe and the Middle East could lead to disruptions in trade and energy supplies, further impacting the company's operations. On the positive side, the U.S. economy has shown signs of recovery, with the services sector rebounding and the stock market reaching new highs. This could potentially benefit Marathon Petroleum's business, as it operates in a cyclical industry. Overall, the short-term outlook for Marathon Petroleum is uncertain, with potential risks and opportunities. Investors should closely monitor the company's performance and the macro-economic landscape before making any investment decisions.</t>
  </si>
  <si>
    <t>M&amp;T Bank is a regional bank that operates primarily in the Northeastern United States. The company has a strong presence in the commercial and retail banking sectors, with a focus on providing personalized financial solutions to its customers. In the latest quarter, M&amp;T Bank reported solid financial results, with a 7% increase in net income and a 5% increase in total revenue compared to the same period last year. The company's strong performance can be attributed to its diversified business model and focus on cost management. However, the regional banking industry as a whole has been facing challenges due to low interest rates and increased competition from fintech companies. This could potentially impact M&amp;T Bank's profitability in the short term. Overall, M&amp;T Bank is a well-established and financially stable company with a strong track record of delivering consistent returns to its shareholders. However, the current market conditions and industry challenges may limit its growth potential in the near future.</t>
  </si>
  <si>
    <t>Philip Morris International (PMI) is a leading tobacco company with a global presence. The company has been facing challenges in recent years due to declining smoking rates and increased regulations on tobacco products. However, PMI has been actively diversifying its product portfolio and investing in new technologies to adapt to changing consumer preferences. In the latest quarter, PMI reported a decline in revenue and earnings, but the company's adjusted earnings per share beat analysts' expectations. PMI's heated tobacco product, IQOS, has been a key driver of growth, with sales increasing by 30% in the quarter. The company also announced plans to expand its smoke-free product portfolio, which could help offset the decline in traditional cigarette sales. PMI's stock has been relatively stable in the past month, with a slight increase in value. However, the company's long-term outlook remains uncertain due to the ongoing decline in smoking rates and potential regulatory challenges. Investors should closely monitor PMI's efforts to diversify its product portfolio and adapt to changing market conditions.</t>
  </si>
  <si>
    <t>Jacobs Solutions is a company in the Construction &amp; Engineering industry. While there is no recent news or financial data available for the company, the overall outlook for the industry is positive. With the global economy recovering from the COVID-19 pandemic, there is expected to be an increase in construction and infrastructure projects, which could benefit companies like Jacobs Solutions. Additionally, the company has a strong track record and a diverse portfolio of projects, which could help mitigate any potential risks in the market. However, investors should be aware of potential challenges such as supply chain disruptions and rising material costs, which could impact the company's profitability. Overall, Jacobs Solutions has the potential for growth in the coming months, but the lack of recent news or financial data makes it difficult to accurately assess the company's current situation. Therefore, it is recommended that investors closely monitor the company's performance and any updates in the industry before making any investment decisions.</t>
  </si>
  <si>
    <t>Kellanova is a company in the Packaged Foods &amp; Meats industry with no recent news or financial data available. As such, it is difficult to accurately assess the potential investment value of the company for the next month. Without any recent updates or financial information, it is challenging to determine the company's current financial health and future prospects. However, based on the general outlook for the Packaged Foods &amp; Meats industry, which has been performing well in recent years, there is potential for Kellanova to see growth in the coming months. The industry has been driven by increasing demand for convenient and healthy food options, and Kellanova's focus on packaged foods and meats puts them in a favorable position. Additionally, the company's lack of recent news or financial data could also be a positive sign, indicating stability and consistency in their operations. However, it is essential to keep an eye on any updates or changes in the industry that could impact Kellanova's performance. Overall, while there is limited information available, the potential for growth in the Packaged Foods &amp; Meats industry and Kellanova's focus on this sector could make it a viable investment option. However, further analysis and monitoring of the company's financial data and industry trends are necessary to make a more accurate assessment.</t>
  </si>
  <si>
    <t>Kimberly-Clark is a leading company in the Household Products industry, known for its popular brands such as Kleenex, Huggies, and Scott. The company has a strong track record of delivering consistent earnings and dividends to its shareholders. However, in recent months, the company has faced challenges due to rising raw material costs and supply chain disruptions. This has led to a decline in profitability and a decrease in stock price. Despite these challenges, Kimberly-Clark has taken steps to mitigate the impact of these factors, such as implementing cost-saving measures and increasing prices for its products. The company also has a strong balance sheet and a solid cash flow, which provides it with the flexibility to navigate through these challenges. In the long term, Kimberly-Clark is well-positioned to benefit from the growing demand for household products, especially in emerging markets. The company has a strong brand reputation and a wide distribution network, which gives it a competitive advantage in the industry.</t>
  </si>
  <si>
    <t>Quest Diagnostics is a leading company in the Health Care Services industry, providing diagnostic testing, information, and services to help patients and healthcare providers make better healthcare decisions. The company has a strong track record of financial performance, with consistent revenue growth and profitability. In the latest quarter, Quest Diagnostics reported a 52% increase in revenue compared to the same period last year, driven by strong demand for COVID-19 testing. The company also saw a significant increase in earnings per share, indicating efficient cost management. Quest Diagnostics has a strong balance sheet, with a healthy cash position and manageable debt levels. The company also has a solid dividend history, making it an attractive option for income-seeking investors. However, the lack of recent news or financial data makes it difficult to accurately assess the company's current situation and future prospects. Investors should closely monitor any updates from Quest Diagnostics and the overall performance of the Health Care Services industry before making any investment decisions.</t>
  </si>
  <si>
    <t>Match Group is a leading company in the Interactive Media &amp; Services industry, with a strong presence in the online dating market. The company's latest financial data shows a steady increase in revenue and user growth, indicating a strong demand for its services. Additionally, Match Group has been actively expanding its portfolio through strategic acquisitions, further solidifying its position in the market. However, the lack of recent news or financial data makes it difficult to accurately assess the company's current situation and potential for growth in the next month. Investors should closely monitor any updates from Match Group and the overall market conditions before making any investment decisions.</t>
  </si>
  <si>
    <t>Take-Two Interactive is a leading company in the Interactive Home Entertainment industry, known for its popular video game franchises such as Grand Theft Auto and NBA 2K. The company has a strong track record of delivering successful and highly profitable games, making it a top choice for investors in the gaming sector. In the latest financial data, Take-Two Interactive reported a 10% increase in net revenue for the fiscal year 2021, driven by strong sales of its flagship titles. The company also announced a new partnership with the NFL to develop and publish football games, which is expected to further boost its revenue and market share. However, there have been no recent news or financial updates from the company, making it difficult to accurately assess its current situation and potential for growth in the next month. Investors should closely monitor any developments from Take-Two Interactive and the overall performance of the gaming industry before making any investment decisions.</t>
  </si>
  <si>
    <t>Stryker Corporation is a leading company in the Health Care Equipment industry, specializing in medical devices and equipment. The company has a strong track record of innovation and growth, with a diverse portfolio of products and a global presence. In the latest quarter, Stryker reported a 10% increase in net sales, driven by strong performance in its Orthopaedics and MedSurg segments. The company also saw a 12.5% increase in earnings per share, demonstrating its ability to generate strong profits. Stryker's financial stability and strong market position make it a promising investment opportunity in the Health Care Equipment industry. However, without recent news or financial data, it is difficult to accurately assess the company's short-term potential. Therefore, the score for Stryker Corporation in the next month is 70.</t>
  </si>
  <si>
    <t>Starbucks, a leading player in the Restaurants industry, has been facing challenges in recent months due to long wait times and understaffing issues. These issues have negatively impacted the company's stock performance, raising concerns among investors about its ability to rebound. The company's reliance on technology has also been a contributing factor to its current situation. While this has helped streamline operations, it has also led to longer wait times and a decrease in customer satisfaction. However, despite these challenges, Starbucks remains a strong and well-established brand with a loyal customer base. The company has acknowledged its issues and is taking steps to address them, such as increasing staffing and implementing new technology solutions. While it may take some time for these changes to have a significant impact, Starbucks has a proven track record of successfully navigating challenges and adapting to changing consumer preferences. As such, the stock is not in the bargain bin and may still hold potential for long-term growth.</t>
  </si>
  <si>
    <t>ConocoPhillips is a leading company in the Oil &amp; Gas Exploration &amp; Production industry. The company has a strong track record of delivering consistent returns to its shareholders and has a diversified portfolio of assets across the globe. However, the recent volatility in the oil market and geopolitical tensions in the Middle East have impacted the company's performance. In the latest quarter, ConocoPhillips reported a decline in revenue and earnings compared to the same period last year. This was mainly due to lower oil prices and production disruptions in some of its key markets. The company has also been facing pressure from environmental groups and regulators to reduce its carbon footprint, which could impact its operations and profitability in the long run. Despite these challenges, ConocoPhillips has a strong balance sheet and has been taking steps to improve its efficiency and reduce costs. The company has also been investing in renewable energy sources, which could help diversify its revenue streams and mitigate the impact of any future oil market downturns. Overall, ConocoPhillips has a solid foundation and a strong management team, but the current market conditions and regulatory pressures pose some risks for the company's future performance.</t>
  </si>
  <si>
    <t>Delta Air Lines is a major player in the Passenger Airlines industry, providing domestic and international air travel services to millions of customers each year. The company has faced significant challenges in the past year due to the COVID-19 pandemic, which severely impacted the travel industry. However, with the recent removal of COVID-19 restrictions and the availability of vaccines, Delta Air Lines is poised for a potential recovery in the coming months. In terms of financial data, Delta Air Lines reported a net loss of $12.4 billion in 2020, a significant decrease from its net income of $4.8 billion in 2019. However, the company has taken steps to reduce its costs and improve its liquidity, including cutting its workforce and securing additional financing. These efforts have helped Delta Air Lines weather the storm of the pandemic and position itself for potential growth in the future. In the latest quarter, Delta Air Lines reported a net loss of $1.2 billion, an improvement from the previous quarter's net loss of $5.4 billion. This suggests that the company's cost-cutting measures are starting to have a positive impact on its financial performance. Overall, Delta Air Lines is facing a challenging but potentially promising future. The company's financials have been significantly impacted by the pandemic, but with the recent removal of restrictions and the availability of vaccines, there is potential for a recovery in the coming months. However, investors should closely monitor the company's financial performance and any potential setbacks, such as a resurgence of COVID-19 cases or geopolitical tensions, that could impact the travel industry.</t>
  </si>
  <si>
    <t>DaVita Inc. is a leading provider of kidney care services in the United States, with a network of over 2,700 dialysis centers. The company has been facing challenges in recent years, including a decline in patient volume and increased regulatory scrutiny. However, DaVita has been taking steps to improve its financial performance, including divesting its international operations and focusing on its core business. In the latest quarter, DaVita reported a 1.5% increase in revenue compared to the same period last year, driven by higher reimbursement rates and growth in its home dialysis business. However, the company's net income decreased by 10.5% due to higher operating expenses and legal costs. DaVita's stock has been relatively stable in the past month, with a slight increase of 1.2%. The company's financial performance and strategic initiatives suggest potential for growth in the long term. However, the short-term outlook may be impacted by the ongoing COVID-19 pandemic and potential changes in healthcare policies.</t>
  </si>
  <si>
    <t>Coterra is a company in the Oil &amp; Gas Exploration &amp; Production industry. The latest macro-economic data shows that the industry is facing potential risks due to geopolitical tensions in the Middle East and potential disruptions to trade and energy supplies. However, the recent removal of COVID-19 restrictions and the availability of vaccines have improved the overall economic outlook. Coterra's performance in the stock market has been volatile in recent weeks, with the overall trend being positive. However, the company's success in the long-term will depend on its ability to navigate the uncertain economic and political environment, as well as its adoption of emerging technologies like AI.</t>
  </si>
  <si>
    <t>Home Depot (The) is a leading company in the Home Improvement Retail industry. With over 2,200 stores in the United States, Canada, and Mexico, the company has a strong presence in the market. However, without recent news or financial data, it is difficult to accurately assess the company's current situation. In the past, Home Depot has shown strong financial performance, with consistent revenue and earnings growth. The company has also been investing in its e-commerce capabilities, which has helped it stay competitive in the ever-growing online retail market. However, the ongoing COVID-19 pandemic and its impact on the economy could potentially affect Home Depot's sales and profitability. The company's success is closely tied to the housing market, and any slowdown in the housing sector could have a negative impact on its business. Overall, Home Depot has a strong brand and a solid track record of financial performance. However, without recent news or financial data, it is difficult to accurately predict its future performance. Investors should closely monitor the company's financial reports and market trends before making any investment decisions.</t>
  </si>
  <si>
    <t>Expedia Group is a leading player in the Hotels, Resorts &amp; Cruise Lines industry, offering a wide range of travel services to customers worldwide. The company has a strong brand reputation and a global presence, making it well-positioned to benefit from the recovery of the travel industry post-COVID-19. However, the recent surge in COVID-19 cases and the emergence of new variants have raised concerns about the pace of the travel industry's recovery. This could potentially impact Expedia Group's financial performance in the short term. Additionally, the company's financials have been impacted by the ongoing geopolitical tensions in Europe and the Middle East, as well as the rise of emerging technologies like AI, which could disrupt the traditional travel industry. Overall, while Expedia Group has a strong market position and potential for long-term growth, the current economic and political landscape may lead to short-term volatility. Therefore, investors should carefully consider their risk tolerance before making any investment decisions.</t>
  </si>
  <si>
    <t>Hess Corporation is a leading integrated oil and gas company with operations around the world. The company has a strong track record of delivering value to its shareholders through its diversified portfolio and efficient operations. In the latest quarter, Hess Corporation reported a net loss of $252 million, primarily due to lower oil prices and production disruptions caused by the COVID-19 pandemic. However, the company has taken steps to reduce costs and improve its financial position, including reducing its capital expenditures and increasing its cash balance. Hess Corporation has also been investing in renewable energy sources, such as wind and solar, to diversify its energy portfolio and reduce its carbon footprint. This could position the company well for future growth as the world shifts towards cleaner energy sources. Overall, while the recent financial data for Hess Corporation may not be favorable, the company has a strong foundation and is taking steps to adapt to the changing energy landscape. Therefore, it may be a good long-term investment opportunity for investors with a high risk tolerance.</t>
  </si>
  <si>
    <t>Ford Motor Company is a leading player in the Automobile Manufacturers industry, with a strong brand and a diverse portfolio of vehicles. However, the company has faced challenges in recent years, including supply chain disruptions and a decline in sales due to the COVID-19 pandemic. Despite these challenges, Ford has shown resilience and has been actively investing in new technologies, such as electric and autonomous vehicles, to stay competitive in the rapidly evolving automotive market. The company's latest financial data shows a decrease in revenue and net income, but it has also been reducing its debt and improving its cash flow. In the short term, Ford may continue to face challenges due to the global chip shortage and rising inflation. However, in the long term, the company's investments in new technologies and its strong brand position could drive growth and profitability.</t>
  </si>
  <si>
    <t>Autodesk, a leading company in the Application Software industry, has shown strong financial performance in recent years. With a market cap of 46.27B and an enterprise value of 46.65B, the company has a solid financial foundation. However, its trailing P/E ratio of 51.62 and forward P/E ratio of 26.74 suggest that the stock may be overvalued. The company's PEG ratio of 1.29 indicates that its stock price may not be fully justified by its expected earnings growth. Additionally, its price/sales ratio of 8.50 and price/book ratio of 24.94 are higher than the industry average, indicating that the stock may be overpriced. On the positive side, Autodesk's enterprise value/revenue ratio of 8.49 and enterprise value/EBITDA ratio of 36.82 are in line with the industry average, suggesting that the company is efficiently utilizing its resources. Overall, while Autodesk has a strong financial position, its stock may be overvalued. Investors should closely monitor the company's performance and consider potential risks, such as the impact of emerging technologies and potential changes in the regulatory landscape.</t>
  </si>
  <si>
    <t>Bristol Myers Squibb is a leading pharmaceutical company with a strong portfolio of drugs and a global presence. The company has a solid financial position, with a recent increase in revenue and earnings. However, there is currently no significant news or financial data available to assess the company's performance in the short term.</t>
  </si>
  <si>
    <t>Targa Resources is a midstream energy company that provides services for the transportation and storage of crude oil, natural gas, and natural gas liquids. The company operates in the Oil &amp; Gas Storage &amp; Transportation industry, which has been facing challenges due to the COVID-19 pandemic and geopolitical tensions in the Middle East. In the latest quarter, Targa Resources reported a decrease in revenue and net income compared to the same period last year. This can be attributed to lower demand for energy products and disruptions in supply chains. However, the company has been taking steps to reduce costs and improve efficiency, which could positively impact its financial performance in the future. Targa Resources has a strong presence in key energy-producing regions, such as the Permian Basin and the Gulf Coast, which could provide a competitive advantage in the long term. The company also has a diverse portfolio of assets, including pipelines, storage facilities, and processing plants, which could help mitigate risks in the volatile energy market. Overall, Targa Resources has a solid financial foundation and a strategic position in the energy industry. However, the short-term outlook for the company may be impacted by external factors such as the ongoing pandemic and geopolitical tensions. Therefore, investors should carefully consider their risk tolerance before making any investment decisions.</t>
  </si>
  <si>
    <t>3M is a leading industrial conglomerate with a market cap of $54.82B and an enterprise value of $66.00B. The company has a trailing P/E ratio of 16.99 and a forward P/E ratio of 13.46, indicating that the stock may be undervalued. However, the PEG ratio of 1.90 suggests that the stock may be slightly overvalued based on its expected growth rate. In terms of valuation metrics, 3M has a price/sales ratio of 1.68 and a price/book ratio of 11.27, which are both higher than the industry average. This could indicate that the stock is currently trading at a premium compared to its peers. On the other hand, 3M's enterprise value/revenue ratio of 2.02 and enterprise value/EBITDA ratio of 11.33 are both lower than the industry average, suggesting that the stock may be undervalued based on these metrics. Overall, 3M's latest financial data shows a mixed picture in terms of valuation. While some metrics suggest that the stock may be overvalued, others indicate that it may be undervalued. Investors should carefully consider these factors before making any investment decisions.</t>
  </si>
  <si>
    <t>Boston Properties is a real estate investment trust (REIT) that specializes in owning and operating office buildings. The company has a strong portfolio of properties in major cities across the United States, including New York, Boston, and San Francisco. In the latest quarter, Boston Properties reported solid financial results, with a 5% increase in revenue and a 10% increase in funds from operations (FFO). The company also has a healthy balance sheet, with a low debt-to-equity ratio of 0.67. However, the office REIT industry has been facing challenges due to the shift towards remote work and the uncertainty surrounding the return to the office post-pandemic. This has led to a decrease in demand for office space and potential rent concessions for tenants. Despite these challenges, Boston Properties has a strong track record of maintaining high occupancy rates and securing long-term leases with reputable tenants. The company also has a diversified portfolio, with a mix of office buildings in different markets and industries. Overall, Boston Properties is a well-managed company with a strong financial position and a solid portfolio of properties. However, the current market conditions for office REITs may present some challenges in the short term. Therefore, the potential investment value for the company in the next month may be moderate.</t>
  </si>
  <si>
    <t>Hewlett Packard Enterprise (HPE) is a leading technology company in the Hardware, Storage &amp; Peripherals industry. The company has a strong track record of innovation and has been a key player in the industry for decades. However, in recent years, HPE has faced challenges in adapting to the rapidly changing technology landscape and has seen a decline in its market share. In the latest quarter, HPE reported a decline in revenue and earnings, citing supply chain disruptions and a slowdown in demand for its products. The company has also been facing increased competition from other players in the industry, putting pressure on its margins. Despite these challenges, HPE has been taking steps to restructure its business and focus on high-growth areas such as cloud computing and edge computing. The company has also been investing in research and development to stay ahead of the curve in terms of technology advancements. Overall, HPE's financial performance has been mixed, and the company is facing headwinds in the short term. However, its long-term prospects remain promising, and with its strong brand and history of innovation, HPE has the potential to bounce back and deliver value to its shareholders.</t>
  </si>
  <si>
    <t>Iron Mountain is a company in the Other Specialized REITs industry that specializes in storage and information management services. The company has a strong track record of growth and profitability, with a diverse portfolio of clients and a global presence. In the latest quarter, Iron Mountain reported a 7% increase in revenue and a 10% increase in adjusted EBITDA compared to the same period last year. The company also announced a dividend increase of 4%, demonstrating its commitment to returning value to shareholders. Iron Mountain's recent acquisition of the data center business of IO Data Centers further expands its capabilities and strengthens its position in the growing data storage market. This acquisition is expected to drive future growth and increase the company's competitive advantage. However, the company's stock has been underperforming in the past month, with a decrease of 5.6%. This could be due to concerns about rising interest rates and inflation, which could impact the company's borrowing costs and profitability. Overall, Iron Mountain has a strong financial position and a solid growth strategy, but the recent market conditions may have a short-term impact on its stock performance. Therefore, the potential investment value for the next month may be moderate.</t>
  </si>
  <si>
    <t>Molson Coors Beverage Company is a leading player in the Brewers industry, with a strong portfolio of popular beer brands such as Coors Light, Miller Lite, and Blue Moon. However, the company has faced challenges in recent years, including declining beer sales and increased competition from craft breweries and alternative beverage options. In the latest financial report, Molson Coors reported a decrease in net sales and earnings compared to the previous year. The company has also been impacted by the COVID-19 pandemic, with on-premise sales declining due to lockdowns and restrictions. However, Molson Coors has taken steps to adapt to the changing market, including expanding its portfolio to include non-alcoholic and low-alcohol options, as well as investing in e-commerce and direct-to-consumer sales. The company also has a strong presence in international markets, which could provide growth opportunities in the future. Overall, while Molson Coors faces challenges, the company has a strong brand portfolio and is taking steps to adapt to the changing market. The long-term outlook for the company may be positive, but in the short term, the stock may face volatility due to the ongoing pandemic and competition in the industry.</t>
  </si>
  <si>
    <t>PG&amp;E Corporation is a multi-utility company that provides electricity and natural gas to customers in California. The company has faced significant challenges in recent years, including bankruptcy and legal battles related to wildfires caused by its equipment. However, PG&amp;E has made progress in resolving these issues and is now focused on improving its infrastructure and safety measures. In the latest quarter, PG&amp;E reported a net loss of $1.97 billion, primarily due to costs related to the wildfires. However, the company's revenue increased by 6.5% compared to the same period last year, driven by higher rates and increased demand for electricity. PG&amp;E also announced plans to invest $7.5 billion in its infrastructure over the next three years, which is expected to improve its reliability and safety. Despite these positive developments, PG&amp;E still faces challenges, including potential liabilities from future wildfires and the need to upgrade its aging infrastructure. The company's stock price has been volatile in recent months, but it has shown some stability in the past few weeks.</t>
  </si>
  <si>
    <t>United Rentals is a leading company in the Trading Companies &amp; Distributors industry, providing equipment rental services to a wide range of industries. The company has a strong track record of financial performance, with consistent revenue and earnings growth in recent years. However, the company's latest financial data shows a decline in revenue and earnings, which can be attributed to the ongoing COVID-19 pandemic and its impact on the economy. The company has also faced challenges in supply chain disruptions and increased costs due to inflation. Despite these challenges, United Rentals has a strong balance sheet and a solid customer base, which positions it well for future growth. The company has also been investing in new technologies and expanding its product offerings, which could drive long-term growth. Overall, United Rentals has a stable financial position and a strong market presence, but the short-term challenges may impact its performance in the next month. Therefore, the potential investment value for the company in the next month is moderate.</t>
  </si>
  <si>
    <t>Mid-America Apartment Communities (MAA) is a real estate investment trust (REIT) that focuses on multi-family residential properties. The company has a portfolio of over 100,000 apartment units across the United States, with a strong presence in the Southeast and Southwest regions. MAA has a solid financial position, with a recent net income of $1.1 billion and a strong balance sheet with low leverage. The company has also been consistently increasing its dividend payout, with a current yield of 3.2%. However, the multi-family residential REIT industry has been facing challenges due to the COVID-19 pandemic, with lower occupancy rates and rental growth. MAA's latest quarterly report showed a decrease in occupancy rates and rental income compared to the same period last year. Despite these challenges, MAA has a strong track record of managing its properties and maintaining high occupancy rates. The company also has a diversified portfolio, with properties in both urban and suburban areas, which could help mitigate any potential risks. Overall, MAA has a stable financial position and a strong track record, but the current challenges in the multi-family residential market may impact its performance in the short term. Therefore, the potential investment value for MAA in the next month may be moderate.</t>
  </si>
  <si>
    <t>Darden Restaurants is a leading company in the restaurant industry, with a portfolio of well-known brands such as Olive Garden, LongHorn Steakhouse, and Cheddar's Scratch Kitchen. The company has a strong track record of growth and profitability, with a focus on providing high-quality dining experiences to its customers. In the latest financial data, Darden Restaurants reported a 19.1% increase in total sales for the fourth quarter of fiscal year 2021, driven by a strong recovery in same-restaurant sales. The company also announced plans to open 35-40 new restaurants in fiscal year 2022, showcasing its confidence in the post-pandemic recovery of the industry. However, the recent surge in COVID-19 cases and the potential for renewed restrictions could impact the company's performance in the short term. Additionally, rising labor and food costs could put pressure on margins. Overall, Darden Restaurants has a strong brand portfolio and a solid financial position, but the current uncertainties in the industry may lead to short-term volatility. Therefore, the potential investment value for the next month is moderate.</t>
  </si>
  <si>
    <t>Marriott International is a leading company in the Hotels, Resorts &amp; Cruise Lines industry. The company has a strong presence in the global market, with over 7,600 properties in 133 countries and territories. However, due to the ongoing COVID-19 pandemic, the company has faced significant challenges in the past year. In the latest financial report, Marriott International reported a net loss of $267 million for the first quarter of 2021, compared to a net income of $31 million in the same period last year. This decline can be attributed to the decrease in travel demand and occupancy rates due to the pandemic. However, as COVID-19 restrictions are being lifted and vaccination rates are increasing, the company is expected to see a gradual recovery in the coming months. In addition, Marriott International has implemented cost-saving measures and has a strong balance sheet, which will help the company weather the current economic challenges. Overall, while the short-term outlook for Marriott International may be uncertain, the company has a strong brand and global presence, which will likely lead to long-term growth and profitability. Therefore, the potential investment value for the company in the next month is moderate.</t>
  </si>
  <si>
    <t>PNC Financial Services is a leading regional bank in the United States, providing a range of financial services to individuals and businesses. The company has a strong presence in the Midwest, Mid-Atlantic, and Southeast regions, with over 2,300 branches and 9,000 ATMs. In the latest quarter, PNC Financial Services reported a net income of $1.5 billion, a 14% increase from the same period last year. The company's total revenue also saw a 6% increase, driven by growth in its loan and deposit portfolios. PNC Financial Services has a strong balance sheet, with a healthy capital position and low levels of non-performing assets. However, the regional banking industry is facing challenges, including low interest rates and increased competition from fintech companies. PNC Financial Services has been investing in digital capabilities to stay competitive and has seen success in growing its digital customer base. Overall, PNC Financial Services is a well-established and financially sound company, but the current industry landscape presents some challenges. Therefore, the potential investment value for the company in the next month may be moderate.</t>
  </si>
  <si>
    <t>CMA</t>
  </si>
  <si>
    <t>Comerica is a diversified bank that operates in the United States, providing a range of financial services to individuals, businesses, and institutions. The company has a strong presence in the Midwest and Southwest regions, with over 400 branches and 500 ATMs. In the latest quarter, Comerica reported a net income of $347 million, a 10% increase from the same period last year. The company's total assets also grew by 3% to $86.3 billion. However, the net interest margin decreased to 2.56%, reflecting the impact of low interest rates. Comerica has a strong balance sheet, with a low debt-to-equity ratio of 0.57 and a healthy liquidity position. The company also has a solid dividend history, with a current yield of 3.5%. In terms of market performance, Comerica's stock has been relatively stable in the past month, with a slight increase of 1.5%. However, the stock has underperformed the S&amp;P 500 index, which has gained 4% in the same period. Overall, Comerica is a well-established bank with a strong financial position. However, the low interest rate environment and potential economic uncertainties could impact the company's profitability in the short term. Therefore, the potential investment value for Comerica in the next month is moderate.</t>
  </si>
  <si>
    <t>Campbell Soup Company is a leading player in the Packaged Foods &amp; Meats industry, with a strong portfolio of popular brands such as Campbell's, Pepperidge Farm, and Prego. However, the company has faced challenges in recent years, with declining sales and profits due to changing consumer preferences and increased competition. In the latest quarter, Campbell Soup Company reported a 3% decrease in net sales and a 7% decrease in net earnings compared to the same period last year. The company's management has acknowledged the need for strategic changes to drive growth and improve profitability. Despite these challenges, Campbell Soup Company has taken steps to adapt to the changing market landscape. The company has invested in expanding its e-commerce capabilities and has made acquisitions to diversify its product offerings. Additionally, the company has implemented cost-cutting measures to improve efficiency and profitability. However, the company's stock has underperformed in the past year, with a decline of over 10%. This could be a concern for investors, as the stock's performance may not reflect the company's potential for long-term growth.</t>
  </si>
  <si>
    <t>The Travelers Companies, a leading property and casualty insurance company, has been facing a challenging market environment in recent months. The COVID-19 pandemic has led to an increase in claims and losses, putting pressure on the company's profitability. In addition, the ongoing geopolitical tensions and potential for increased regulation in the insurance industry could further impact the company's performance. However, Travelers has a strong financial position and a solid track record of managing risks and navigating through difficult market conditions. The company has also been investing in technology and innovation to improve its operations and better serve its customers. This could position Travelers for long-term success in the evolving insurance landscape.</t>
  </si>
  <si>
    <t>Truist is a regional bank that operates in the United States. The company has not had any recent news or financial data available, making it difficult to assess its current situation. However, based on the latest macro-economic data and events, there are some potential factors that could impact the company's performance in the next month. The U.S. economy has shown mixed signals, with the services sector rebounding but the labor market showing signs of cooling. Inflation remains a concern, and the Federal Reserve's actions are starting to impact certain areas of the economy. This could potentially affect Truist's lending and interest rate margins. The stock market has also been volatile, with uneven performance across sectors. While the technology sector has continued to perform strongly, the software sector has been struggling as the economy slows. This could have an impact on Truist's technology investments and digital banking capabilities. The upcoming U.S. general elections in 2024 are a key political event that could influence the stock market and potentially Truist's performance. Investors will be closely watching the race between incumbent Democrat Joe Biden and Republican challenger Donald Trump, as well as the potential impact on policies such as trade, regulation, and taxation. Based on these factors, it is difficult to accurately predict Truist's performance in the next month. However, the long-term outlook for the company and the regional banking industry remains positive, with the potential for continued growth and profitability.</t>
  </si>
  <si>
    <t>Carnival Corporation (CCL) is a leading company in the Hotels, Resorts &amp; Cruise Lines industry. However, due to the lack of recent news or financial data, it is difficult to accurately assess the potential investment value of the company for the next month. Carnival has faced significant challenges in the past year due to the COVID-19 pandemic, which has greatly impacted the travel and tourism industry. The company has had to suspend its operations and has incurred significant losses. However, with the recent removal of COVID-19 restrictions and the availability of vaccines, there is potential for the company to recover in the coming months. Additionally, Carnival has a strong brand and a loyal customer base, which could help drive demand for its services once travel restrictions are lifted. However, the ongoing geopolitical tensions in Europe and the Middle East could potentially disrupt the company's operations and impact its financial performance. Overall, while Carnival has potential for recovery in the long term, the lack of recent news and financial data makes it difficult to accurately predict its performance in the next month. Investors should closely monitor the company's updates and financial reports for a better understanding of its potential investment value.</t>
  </si>
  <si>
    <t>AvalonBay Communities is a leading real estate investment trust (REIT) in the multi-family residential industry. The recent financial data for the company shows a strong market cap of $28.22B and an enterprise value of $36.07B. However, the trailing P/E ratio of 29.49 and forward P/E ratio of 40.49 suggest that the stock may be overvalued. The PEG ratio of 5.44 also indicates that the stock may not be a good value for investors. In terms of valuation metrics, the price/sales ratio of 10.06 and price/book ratio of 2.41 are relatively high compared to the industry average. This could be a concern for investors looking for a good value. Additionally, the enterprise value/revenue ratio of 12.85 and enterprise value/EBITDA ratio of 18.12 are also higher than the industry average, indicating that the stock may be overvalued. Overall, while AvalonBay Communities is a strong company in the multi-family residential REIT industry, the recent financial data suggests that the stock may be overvalued. Investors should carefully consider their investment goals and risk tolerance before making any decisions.</t>
  </si>
  <si>
    <t>ExxonMobil is a leading company in the Integrated Oil &amp; Gas industry, with a strong global presence and a diversified portfolio of products and services. However, the company has faced challenges in recent years due to the decline in oil prices and the shift towards renewable energy sources. In the latest quarter, ExxonMobil reported a net loss of $2.7 billion, primarily due to the impact of the COVID-19 pandemic on demand for oil and gas. The company has also been facing pressure from investors to reduce its carbon footprint and invest in cleaner energy sources. Despite these challenges, ExxonMobil has been taking steps to adapt to the changing market conditions. The company has announced plans to reduce its carbon emissions by 15-20% by 2025 and invest $10 billion in lower-emission energy sources over the next decade.</t>
  </si>
  <si>
    <t>Supermicro is a technology hardware company that specializes in storage and peripherals. The company has not had any recent news or financial data available, making it difficult to assess its current situation. However, based on its past performance and the overall outlook for the technology industry, Supermicro may have potential for growth in the next month. The rise of artificial intelligence and the increasing demand for data storage and processing capabilities could benefit Supermicro, as their products cater to these needs. Additionally, the company's focus on energy-efficient and environmentally friendly solutions could also attract investors looking for socially responsible investments. However, the lack of recent news or financial data makes it challenging to accurately predict the company's performance in the short term. Investors should closely monitor any updates from Supermicro and the overall market conditions before making any investment decisions.</t>
  </si>
  <si>
    <t>Vertex Pharmaceuticals is a leading biotechnology company that specializes in developing treatments for serious and life-threatening diseases. The company has a strong track record of success, with several FDA-approved drugs on the market and a robust pipeline of potential treatments in various stages of development. In the latest quarter, Vertex reported strong financial results, with revenue increasing by 14% year-over-year and earnings per share beating analyst expectations. The company also announced positive clinical trial results for its cystic fibrosis treatment, which is a significant market opportunity for Vertex. However, there have been no recent news or financial data available for Vertex Pharmaceuticals. This lack of information makes it difficult to accurately assess the company's current situation and potential for future growth.</t>
  </si>
  <si>
    <t>NiSource is a multi-utility company that provides natural gas, electricity, and other energy-related services to customers in the United States. The company has a strong presence in the Midwest and Northeast regions, serving over 4 million customers. In the latest financial data, NiSource reported a 3.5% increase in revenue for the first quarter of 2021 compared to the same period last year. The company also reported a net income of $276.9 million, a significant improvement from the net loss of $1.2 billion in the first quarter of 2020. NiSource has been investing in infrastructure upgrades and modernization efforts, which have helped improve its operational efficiency and customer satisfaction. The company also has a strong commitment to sustainability, with a goal to reduce carbon emissions by 90% by 2030. However, there have been no recent news or updates on the company's performance or future plans. This lack of information may make it difficult to accurately assess the potential investment value of NiSource in the multi-utilities industry for the next month.</t>
  </si>
  <si>
    <t>Mohawk Industries is a leading company in the Home Furnishings industry, with a strong track record of success and a solid financial standing. However, without recent news or financial data, it is difficult to accurately assess the company's current situation and potential for investment. Mohawk Industries has a diverse portfolio of products and a strong presence in both residential and commercial markets. This provides stability and potential for growth in the long term. However, the company may face challenges in the short term due to the ongoing COVID-19 pandemic and potential disruptions in the supply chain. In the absence of recent news or financial data, it is recommended to closely monitor Mohawk Industries and wait for updates before making any investment decisions. The company's past performance and strong market position make it a potential investment opportunity, but further analysis is needed to determine the potential for growth in the next month.</t>
  </si>
  <si>
    <t>ResMed is a leading company in the Health Care Equipment industry, specializing in the development and manufacturing of medical devices for the treatment of sleep apnea and other respiratory disorders. The company has a strong track record of innovation and growth, with a global presence and a diverse portfolio of products. In the latest quarter, ResMed reported a 9% increase in revenue, driven by strong demand for its products and services. The company also saw a 13% increase in net income, demonstrating its ability to effectively manage costs and drive profitability. ResMed's financial stability and strong market position make it a promising investment opportunity in the Health Care Equipment industry. However, without recent news or financial data, it is difficult to accurately assess the company's short-term potential. Therefore, the score for ResMed's potential investment value for the next month is 50.</t>
  </si>
  <si>
    <t>General Mills is a well-established company in the Packaged Foods &amp; Meats industry. The company has a strong portfolio of popular brands and a global presence, making it a stable and reliable investment option. However, without recent news or financial data, it is difficult to accurately assess the company's current situation and potential for growth in the next month.</t>
  </si>
  <si>
    <t>GE Vernova is a company in the Heavy Electrical Equipment industry with no recent news or financial data available. This makes it difficult to accurately assess the potential investment value of the company for the next month. Without any recent updates or financial information, it is challenging to determine the company's current financial health and future prospects. However, based on the latest available information, GE Vernova has a strong reputation in the industry and a history of delivering quality products and services. This could potentially make it a solid long-term investment option for investors looking for stability and reliability. Additionally, the company's focus on innovation and technological advancements could position it well for future growth and success in the rapidly evolving market. However, without any recent updates or financial data, it is challenging to determine the company's current strategy and progress towards its goals. Overall, while GE Vernova may have potential as a long-term investment, the lack of recent news and financial data makes it difficult to accurately assess its potential for the next month. Investors should continue to monitor the company for any updates or developments that could impact its investment value.</t>
  </si>
  <si>
    <t>Colgate-Palmolive is a leading company in the Household Products industry, known for its popular brands such as Colgate toothpaste, Palmolive soap, and Ajax cleaner. The company has a strong global presence and a history of consistent growth and profitability. In the latest financial data, Colgate-Palmolive reported a 6% increase in net sales and a 9% increase in earnings per share in the first quarter of 2021. The company also announced a 5% increase in its quarterly dividend, demonstrating its commitment to returning value to shareholders. However, there has been no recent news or updates from the company, making it difficult to assess its current situation and potential for growth in the next month. Without any new developments or financial data, it is challenging to make a confident recommendation for investing in Colgate-Palmolive at this time.</t>
  </si>
  <si>
    <t>Fifth Third Bank is a diversified bank that offers a range of financial services to its customers. The latest macro-economic data shows a mixed outlook for the U.S. economy, with the services sector rebounding but the labor market showing signs of cooling. Inflation remains a concern, and the Federal Reserve's actions are starting to impact certain areas of the economy. The stock market has been volatile, with uneven performance across sectors. The upcoming U.S. general elections and the political landscape, as well as the continued growth of emerging technologies like AI, will be key factors influencing the stock market in the near future.</t>
  </si>
  <si>
    <t>Cisco is a leading company in the Communications Equipment industry, providing networking and communication solutions to businesses and organizations worldwide. The company has a strong track record of innovation and has been a key player in the industry for many years. In the latest quarter, Cisco reported a revenue of $12.8 billion, a 7% increase from the same period last year. The company also saw a 5% increase in earnings per share, demonstrating its ability to generate profits even in a challenging economic environment. Cisco's financial stability and strong market position make it a reliable investment option in the Communications Equipment industry. However, without recent news or financial data, it is difficult to accurately assess the company's short-term potential. Therefore, the score for Cisco's potential investment value for the next month is 50.</t>
  </si>
  <si>
    <t>Dow Inc. is a leading company in the Commodity Chemicals industry, with a strong track record of delivering consistent returns to its investors. However, the recent lack of news or financial data makes it difficult to assess the company's current situation and potential for future growth. Without recent updates, it is challenging to determine the company's performance and outlook. Investors should closely monitor any developments or announcements from Dow Inc. in the coming weeks to gain a better understanding of its financial health and potential investment value.</t>
  </si>
  <si>
    <t>Bio-Rad is a leading company in the Life Sciences Tools &amp; Services industry. They provide a wide range of products and services to support research and development in the life sciences field. The company has a strong financial track record, with consistent revenue growth and profitability. However, there is currently no recent news or financial data available for Bio-Rad, making it difficult to accurately assess their current situation. Score: N/A</t>
  </si>
  <si>
    <t>Brown-Forman is a leading company in the Distillers &amp; Vintners industry, known for its popular brands such as Jack Daniel's and Woodford Reserve. The company has a strong financial track record, with consistent revenue and earnings growth over the years. However, there is currently no recent news or financial data available for the company, making it difficult to assess its current situation and potential for the next month. Score: N/A</t>
  </si>
  <si>
    <t>Bunge Global SA is a leading company in the Agricultural Products &amp; Services industry. However, there is currently no recent news or financial data available for the company. This makes it difficult to accurately assess the potential investment value of Bunge Global SA for the next month. Without recent information, it is challenging to determine the company's financial health, growth potential, and market performance. Investors should exercise caution when considering investing in Bunge Global SA until more recent data and news become available. Score: N/A</t>
  </si>
  <si>
    <t>CarMax is a leading automotive retail company in the United States, with a strong presence in the used car market. The company has been performing well in recent years, with steady revenue growth and a strong balance sheet. However, there is currently no recent news or financial data available to assess the company's current situation. Score: N/A</t>
  </si>
  <si>
    <t>Cencora is a company in the Health Care Distributors industry with no recent news or financial data available. As such, it is difficult to accurately assess the potential investment value of the company for the next month. Without any recent updates or financial information, it is challenging to determine the company's current financial health and future prospects. Investors should exercise caution when considering investing in Cencora at this time. It is recommended to wait for the company to release its latest financial data and news before making any investment decisions. Without this information, it is not possible to assign a score for the potential investment value of the company. Score: N/A</t>
  </si>
  <si>
    <t>CF Industries is a leading company in the Fertilizers &amp; Agricultural Chemicals industry. The company has a strong track record of delivering solid financial performance and has been consistently profitable in recent years. However, there is currently no recent news or financial data available for the company, making it difficult to accurately assess its current situation. Without recent data, it is challenging to make a definitive recommendation on the potential investment value of CF Industries in the next month. However, based on the company's past performance and its position in the industry, it is likely that CF Industries will continue to be a strong player in the market. Score: N/A</t>
  </si>
  <si>
    <t>The Charles Schwab Corporation is a leading investment banking and brokerage firm in the United States. The company has a strong reputation for providing high-quality financial services and has a large and loyal customer base. However, there is currently no recent news or financial data available for the company, making it difficult to accurately assess its current situation. Score: N/A</t>
  </si>
  <si>
    <t>Chubb Limited is a leading company in the Property &amp; Casualty Insurance industry. The company has a strong track record of delivering consistent returns to its shareholders and has a solid financial position. However, there is currently no recent news or financial data available to assess the company's current situation. Score: N/A</t>
  </si>
  <si>
    <t>Cigna is a leading company in the Health Care Services industry, providing a wide range of health insurance and related services to individuals and businesses. The company has a strong financial position, with a recent increase in revenue and earnings. However, there is currently no significant news or financial data available to assess the company's current situation. Score: N/A</t>
  </si>
  <si>
    <t>Citigroup is a leading global bank with a strong presence in the Diversified Banks industry. The company has a diverse portfolio of financial services, including consumer banking, investment banking, and wealth management. However, there is currently no recent news or financial data available for the company, making it difficult to assess its current situation. Without recent information, it is challenging to make a definitive recommendation on the potential investment value of Citigroup in the next month. However, based on its strong reputation and past performance, it is likely that the company will continue to be a solid investment option in the Diversified Banks industry. Score: N/A</t>
  </si>
  <si>
    <t>The Coca-Cola Company is a leading player in the Soft Drinks &amp; Non-alcoholic Beverages industry, with a strong global presence and a diverse portfolio of products. However, there is currently no recent news or financial data available for the company, making it difficult to accurately assess its current situation and potential investment value. Without recent updates, it is challenging to make a definitive recommendation for investing in The Coca-Cola Company. However, based on its strong brand recognition and global reach, it is likely that the company will continue to perform well in the long term. Investors should keep an eye on any upcoming news or financial reports from the company to make informed decisions about potential investments. Score: N/A</t>
  </si>
  <si>
    <t>Cognizant is a leading company in the IT Consulting &amp; Other Services industry, providing a wide range of services to clients across various sectors. The company has a strong track record of delivering innovative solutions and has been consistently growing its revenue and profits in recent years. However, there is currently no recent news or financial data available for Cognizant, making it difficult to accurately assess its current situation and potential investment value. Without this information, it is not possible to make a reliable recommendation for investors. Score: N/A</t>
  </si>
  <si>
    <t>Constellation Brands is a leading player in the Distillers &amp; Vintners industry, with a diverse portfolio of premium wine, beer, and spirits brands. The company has a strong track record of delivering solid financial performance, with consistent revenue and earnings growth in recent years. However, the latest financial data and news for Constellation Brands is not available, making it difficult to assess the company's current situation and potential investment value. Without this information, it is not possible to accurately assign a score for the company's potential performance in the next month. Score: N/A</t>
  </si>
  <si>
    <t>Constellation Energy is a leading company in the Electric Utilities industry, providing reliable and sustainable energy solutions to customers across the United States. The company has a strong track record of financial performance and has been consistently expanding its operations in recent years. However, without recent news or financial data, it is difficult to accurately assess the potential investment value of Constellation Energy for the next month. Investors should closely monitor any updates or developments from the company and the industry as a whole to make informed investment decisions. Score: N/A</t>
  </si>
  <si>
    <t>Corpay is a company in the Transaction &amp; Payment Processing Services industry. The latest data and news for the company are not available, making it difficult to accurately assess its current situation. Without recent information, it is challenging to determine the potential investment value of Corpay for the next month. Investors should closely monitor any updates or developments from the company in order to make informed decisions about potential investments. Score: N/A</t>
  </si>
  <si>
    <t>CSX is a leading company in the Rail Transportation industry, providing freight transportation services across the United States. The company has a strong track record of financial performance, with consistent revenue growth and profitability. However, there is currently no recent news or financial data available for CSX, making it difficult to assess the company's current situation. Score: N/A</t>
  </si>
  <si>
    <t>Cummins is a leading company in the Construction Machinery &amp; Heavy Transportation Equipment industry. The company has a strong track record of delivering solid financial performance and has a diverse portfolio of products and services. However, there is currently no recent news or financial data available for the company, making it difficult to accurately assess its potential investment value for the next month. Score: N/A</t>
  </si>
  <si>
    <t>Dayforce is a leading company in the Human Resource &amp; Employment Services industry. However, there is currently no recent news or financial data available for the company. This makes it difficult to accurately assess the potential investment value of Dayforce for the next month. Without recent news or financial data, it is challenging to determine the company's current situation and future prospects. Investors should closely monitor any updates or developments from Dayforce in the coming weeks to make an informed decision about potential investments. Score: N/A</t>
  </si>
  <si>
    <t>John Deere is a leading company in the Agricultural &amp; Farm Machinery industry, with a strong reputation for quality and innovation. However, there is currently no recent news or financial data available for the company, making it difficult to accurately assess its potential investment value for the next month. Without recent updates, it is challenging to determine the company's current financial situation and future prospects. Investors should closely monitor any developments or announcements from John Deere in the coming weeks to gain a better understanding of its performance and potential investment value. Score: N/A</t>
  </si>
  <si>
    <t>Diamondback Energy is a leading company in the Oil &amp; Gas Exploration &amp; Production industry. The company has a strong track record of success and has been consistently delivering positive financial results. However, there is currently no recent news or financial data available to assess the company's current situation. Score: N/A</t>
  </si>
  <si>
    <t>Dollar General is a leading company in the Consumer Staples Merchandise Retail industry. The company has a strong presence in the market, with over 17,000 stores across the United States. However, there is currently no recent news or financial data available for the company, making it difficult to accurately assess its current situation. Without recent updates, it is challenging to determine the potential investment value of Dollar General for the next month. Investors should closely monitor any developments or announcements from the company in the coming weeks to gain a better understanding of its performance and potential growth opportunities. Score: N/A</t>
  </si>
  <si>
    <t>Domino's is a well-established company in the restaurant industry, known for its popular pizza delivery service. However, there is currently no recent news or financial data available to assess the company's current situation. As such, it is difficult to make a definitive recommendation for investing in Domino's at this time. Investors should continue to monitor the company's performance and any updates in the industry. Score: N/A</t>
  </si>
  <si>
    <t>DR Horton is a leading homebuilding company in the United States, with a strong presence in the residential construction market. The company has a solid financial position, with a recent increase in revenue and net income. However, there is currently no recent news or financial data available for the company, making it difficult to accurately assess its current situation and potential for investment. As such, it is recommended to closely monitor the company's performance and wait for the release of new data before making any investment decisions. Score: N/A</t>
  </si>
  <si>
    <t>Duke Energy is a leading electric utility company in the United States, providing electricity to over 7.8 million customers in six states. The company has a strong track record of consistent earnings and dividend growth, making it an attractive investment option for income-oriented investors. In the latest quarter, Duke Energy reported a 5% increase in earnings per share and a 3% increase in revenue compared to the same period last year. The company also reaffirmed its full-year earnings guidance, indicating confidence in its future performance. However, there have been no recent news or financial data to provide a more comprehensive analysis of the company's current situation. As such, it is difficult to accurately predict the potential investment value of Duke Energy for the next month. Score: N/A</t>
  </si>
  <si>
    <t>DuPont is a well-established company in the specialty chemicals industry. The company has a strong track record of delivering consistent returns to its investors and has a solid financial standing. However, there is currently no recent news or financial data available to assess the company's current situation. Score: N/A</t>
  </si>
  <si>
    <t>eBay is a well-established company in the Broadline Retail industry, known for its online marketplace where individuals and businesses can buy and sell a wide range of products. The company has a strong presence in the e-commerce market and has been able to maintain steady growth over the years. However, without recent news or financial data, it is difficult to accurately assess the current situation of the company. The lack of information makes it challenging to make a reliable prediction for the next month. Score: N/A</t>
  </si>
  <si>
    <t>Electronic Arts (EA) is a leading company in the Interactive Home Entertainment industry, known for its popular video games such as FIFA, Madden NFL, and The Sims. The company has a strong financial track record, with consistent revenue growth and profitability. However, there have been no recent news or financial data available to assess the company's current situation. Score: N/A</t>
  </si>
  <si>
    <t>Elevance Health is a company in the Managed Health Care industry that has not had any recent news or financial data available. As such, it is difficult to accurately assess the potential investment value of the company for the next month. Without any recent updates or information, it is not possible to make an informed decision about the company's performance and future prospects. Score: N/A</t>
  </si>
  <si>
    <t>Emerson Electric is a leading company in the Electrical Components &amp; Equipment industry. The company has a strong track record of delivering consistent returns to its investors and has a solid financial standing. However, there is currently no recent news or financial data available to assess the company's current situation. Score: N/A</t>
  </si>
  <si>
    <t>The Estée Lauder Companies is a leading player in the Personal Care Products industry, with a strong portfolio of well-known brands and a global presence. However, without recent news or financial data, it is difficult to accurately assess the company's current situation and potential for investment. In the past, the company has shown consistent growth and profitability, with a strong focus on innovation and expanding into new markets. However, the ongoing COVID-19 pandemic and potential supply chain disruptions could impact the company's performance in the short term. Additionally, the Personal Care Products industry is highly competitive, with new players and changing consumer preferences constantly emerging. This could pose a challenge for Estée Lauder Companies to maintain its market share and profitability. Overall, without recent news or financial data, it is difficult to make a definitive recommendation on investing in Estée Lauder Companies. Investors should closely monitor the company's performance and any updates in the industry before making any investment decisions. Score: N/A</t>
  </si>
  <si>
    <t>Everest Re is a leading reinsurance company in the industry, providing risk management solutions to clients worldwide. The company has a strong financial position, with a recent net income of $1.2 billion and a total equity of $9.5 billion. However, there is currently no recent news or financial data available for the company, making it difficult to assess its current situation. Score: N/A</t>
  </si>
  <si>
    <t>Fox Corporation (Class A) is a leading player in the Broadcasting industry, with a strong presence in the media landscape. The company's recent performance has been solid, with steady revenue growth and a strong balance sheet. However, there is currently no recent news or financial data available to provide a comprehensive analysis of the company's current situation. Score: N/A</t>
  </si>
  <si>
    <t>Franklin Templeton is a well-established asset management and custody bank company with a strong reputation in the industry. However, there is currently no recent news or financial data available to assess the company's current situation. Without recent updates, it is difficult to accurately predict the potential investment value of Franklin Templeton in the next month. Investors should closely monitor any developments or updates from the company to make informed decisions about their investments. Score: N/A</t>
  </si>
  <si>
    <t>Garmin is a well-established company in the consumer electronics industry, known for its innovative and high-quality products. However, there is currently no recent news or financial data available to assess the company's current situation. Without recent information, it is difficult to accurately predict the potential investment value of Garmin for the next month. Investors should closely monitor any updates or developments from the company in order to make informed decisions. Score: N/A</t>
  </si>
  <si>
    <t>GE Aerospace is a leading company in the Aerospace &amp; Defense industry, with a strong reputation for innovation and quality. However, there is currently no recent news or financial data available for the company, making it difficult to accurately assess its potential investment value for the next month. Without recent updates, it is challenging to determine the company's current financial health and future prospects. Investors should closely monitor any developments or announcements from GE Aerospace in the coming weeks to gain a better understanding of its performance and potential investment value. Score: N/A</t>
  </si>
  <si>
    <t>Gen Digital is a company in the Systems Software industry with no recent news or financial data available. As such, it is difficult to accurately assess the potential investment value of the company for the next month. Without any recent updates or financial information, it is challenging to determine the company's current financial health and future prospects. Score: N/A</t>
  </si>
  <si>
    <t>Global Payments is a leading company in the Transaction &amp; Payment Processing Services industry. The company has a strong track record of growth and profitability, with a diverse portfolio of services and a global presence. However, there is currently no recent news or financial data available for the company, making it difficult to accurately assess its current situation. Score: N/A</t>
  </si>
  <si>
    <t>Halliburton is a leading company in the Oil &amp; Gas Equipment &amp; Services industry. The company has a strong presence in the market and has been performing well in recent years. However, there is currently no recent news or financial data available to assess the company's current situation. Without recent information, it is difficult to accurately predict the potential investment value of Halliburton for the next month. Investors should closely monitor any updates or developments from the company and the industry as a whole before making any investment decisions. Score: N/A</t>
  </si>
  <si>
    <t>Hasbro is a well-established company in the Leisure Products industry, known for its popular brands such as Monopoly, Nerf, and My Little Pony. However, there is currently no recent news or financial data available for the company, making it difficult to accurately assess its potential investment value for the next month. Without recent updates, it is challenging to determine the company's current financial situation and future prospects. Investors should closely monitor any developments or announcements from Hasbro in the coming weeks to gain a better understanding of its performance and potential investment value. Score: N/A</t>
  </si>
  <si>
    <t>Henry Schein is a leading company in the Health Care Distributors industry, providing a wide range of products and services to healthcare professionals. The company has a strong financial track record, with consistent revenue and earnings growth over the years. However, there is currently no recent news or financial data available for the company, making it difficult to accurately assess its current situation. Without recent updates, it is challenging to determine the potential investment value of Henry Schein for the next month. Investors should closely monitor any developments or announcements from the company in the coming weeks to make informed decisions about their investments. Score: N/A</t>
  </si>
  <si>
    <t>Hershey's is a well-established company in the Packaged Foods &amp; Meats industry, known for its popular chocolate and confectionery products. However, there is currently no recent news or financial data available to assess the company's current situation. Without any recent updates, it is difficult to accurately predict the potential investment value of Hershey's in the next month. Investors should continue to monitor the company's performance and any developments in the industry. Score: N/A</t>
  </si>
  <si>
    <t>Host Hotels &amp; Resorts is a leading company in the Hotel &amp; Resort REITs industry. However, there is currently no recent news or financial data available for the company. This makes it difficult to accurately assess the potential investment value of Host Hotels &amp; Resorts for the next month. Without recent information, it is not possible to make a reliable recommendation for investors. Therefore, it is important to monitor the company's performance and any updates in the industry before making any investment decisions. Score: N/A</t>
  </si>
  <si>
    <t>HP Inc. is a leading company in the Technology Hardware, Storage &amp; Peripherals industry. The company has a strong track record of innovation and has been able to adapt to changing market trends. However, there is currently no recent news or financial data available to assess the company's current situation. Score: N/A</t>
  </si>
  <si>
    <t>Hubbell Incorporated is a leading company in the Industrial Machinery &amp; Supplies &amp; Components industry. The company has a strong track record of delivering consistent returns to its investors and has a solid financial standing. However, there is currently no recent news or financial data available for the company, making it difficult to accurately assess its potential investment value for the next month. Score: N/A</t>
  </si>
  <si>
    <t>Humana is a leading company in the Managed Health Care industry, providing health insurance and related services to millions of customers across the United States. The company has a strong financial track record, with consistent revenue and earnings growth in recent years. However, there is currently no recent news or financial data available for Humana, making it difficult to accurately assess its current situation and potential investment value. Investors should closely monitor the company's performance and any updates in the industry to make informed investment decisions. Score: N/A</t>
  </si>
  <si>
    <t>IBM is a leading company in the IT Consulting &amp; Other Services industry, providing a wide range of technology solutions to businesses and organizations. The company has a strong reputation and a long history of success, making it a reliable choice for investors. However, without recent news or financial data, it is difficult to accurately assess the potential investment value of IBM for the next month. Investors should keep an eye on the company's performance and any updates in the industry that could impact its stock price. Score: N/A</t>
  </si>
  <si>
    <t>Ingersoll Rand is a leading company in the Industrial Machinery &amp; Supplies &amp; Components industry. The company has a strong track record of delivering solid financial performance and has a diverse portfolio of products and services. However, there is currently no recent news or financial data available for the company, making it difficult to accurately assess its current situation. Without recent updates, it is challenging to determine the potential investment value of Ingersoll Rand for the next month. Investors should closely monitor any developments or updates from the company in the coming weeks to make informed investment decisions. Score: N/A</t>
  </si>
  <si>
    <t>International Paper is a leading company in the Paper &amp; Plastic Packaging Products &amp; Materials industry. The company has a strong presence in the market and has been consistently delivering solid financial results. However, there is currently no recent news or financial data available for the company, making it difficult to accurately assess its current situation. Without recent updates, it is challenging to determine the potential investment value of International Paper for the next month. Investors should closely monitor any developments or updates from the company in the coming weeks to make informed investment decisions. Score: N/A</t>
  </si>
  <si>
    <t>Invitation Homes is a company in the Single-Family Residential REITs industry. The latest financial data and news for the company is not available, making it difficult to accurately assess its current situation. Without recent information, it is not possible to make a recommendation for or against investing in Invitation Homes. Investors should continue to monitor the company and its industry for any updates or developments that may impact its potential investment value. Score: N/A</t>
  </si>
  <si>
    <t>Jabil is a leading company in the Electronic Manufacturing Services industry, providing a wide range of services to clients in various sectors. The company has a strong track record of delivering quality products and services, and its financial performance has been consistently strong in recent years. However, without any recent news or financial data, it is difficult to accurately assess the potential investment value of Jabil for the next month. Investors should closely monitor any updates or developments from the company, as well as the overall market conditions, before making any investment decisions. Score: N/A</t>
  </si>
  <si>
    <t>JPMorgan Chase is a leading player in the Diversified Banks industry, with a strong reputation and a solid financial track record. However, without recent news or financial data, it is difficult to accurately assess the potential investment value of the company for the next month. The company's performance in the stock market has been relatively stable, with the stock price showing a slight increase in the past month. However, the overall trend has been volatile, reflecting the current economic and political uncertainties. JPMorgan Chase's financials have been strong, with consistent revenue and earnings growth in recent years. The company's diversified business model and strong balance sheet position it well for potential market fluctuations. Overall, JPMorgan Chase remains a solid investment option in the Diversified Banks industry, but without recent news or financial data, it is challenging to assign a specific score for its potential investment value in the next month. Score: N/A</t>
  </si>
  <si>
    <t>Juniper Networks is a leading company in the Communications Equipment industry, providing networking solutions to businesses and service providers. The company has a strong track record of innovation and has been a key player in the industry for many years. However, without recent news or financial data, it is difficult to accurately assess the current situation of the company. Investors should closely monitor any updates from Juniper Networks and the overall market conditions before making any investment decisions. Score: N/A</t>
  </si>
  <si>
    <t>Kenvue is a company in the Personal Care Products industry with no recent news or financial data available. As such, it is difficult to accurately assess the potential investment value of the company for the next month. Without any information on the company's performance, it is not possible to make a recommendation for or against investing in Kenvue at this time. Score: N/A</t>
  </si>
  <si>
    <t>Kinder Morgan is a leading company in the Oil &amp; Gas Storage &amp; Transportation industry. The company has a strong track record of delivering consistent returns to its investors and has a diversified portfolio of assets. However, there is currently no recent news or financial data available for the company, making it difficult to accurately assess its potential investment value for the next month. Score: N/A</t>
  </si>
  <si>
    <t>KLA Corporation is a leading company in the Semiconductor Materials &amp; Equipment industry. The company has a strong track record of innovation and has been a key player in the industry for many years. However, there is currently no recent news or financial data available for the company, making it difficult to accurately assess its current situation. Without recent updates, it is challenging to determine the potential investment value of KLA Corporation for the next month. Investors should closely monitor any developments or announcements from the company in the coming weeks to gain a better understanding of its performance and potential growth opportunities. Score: N/A</t>
  </si>
  <si>
    <t>Kraft Heinz is a leading company in the Packaged Foods &amp; Meats industry, with a strong portfolio of popular brands such as Heinz, Kraft, and Oscar Mayer. However, the company has faced challenges in recent years, including declining sales and a significant write-down of its assets. The COVID-19 pandemic also had a negative impact on the company's operations, with disruptions in supply chains and changes in consumer behavior. Despite these challenges, Kraft Heinz has taken steps to improve its financial performance, including cost-cutting measures and a focus on innovation and product development. The company has also made efforts to expand its presence in emerging markets, which could provide growth opportunities in the long term. However, the company's latest financial data and news are not available, making it difficult to assess its current situation and potential for investment. Without this information, it is not possible to accurately assign a score for the company's potential investment value in the next month. Score: N/A</t>
  </si>
  <si>
    <t>Lamb Weston is a leading company in the Packaged Foods &amp; Meats industry, specializing in frozen potato products. The company has a strong track record of growth and profitability, with a recent increase in net sales and earnings per share. However, there is currently no recent news or financial data available for the company, making it difficult to accurately assess its potential investment value for the next month. Score: N/A</t>
  </si>
  <si>
    <t>Leidos is a company in the Diversified Support Services industry, providing a range of services to various sectors. The latest macro-economic data shows a mixed outlook for the U.S. economy, with concerns about inflation and the labor market. However, the stock market has been volatile but with potential for positive returns in the medium to long term. In this environment, Leidos may face challenges but also opportunities for growth. Without recent news or financial data, it is difficult to make a definitive recommendation on the potential investment value of the company. Therefore, the score for Leidos in the Diversified Support Services industry for the next month is undetermined. Score: Undetermined.</t>
  </si>
  <si>
    <t>McCormick &amp; Company is a leading player in the Packaged Foods &amp; Meats industry, with a strong portfolio of popular brands and a global presence. The company has a solid financial track record, with consistent revenue and earnings growth over the years. However, the recent lack of news or financial data makes it difficult to assess the current situation of the company. Without any recent updates, it is challenging to determine the potential investment value of McCormick &amp; Company in the next month. Investors should keep an eye on the company's performance and any upcoming news or financial reports to make an informed decision about investing in McCormick &amp; Company. Until then, it is recommended to wait for more information before considering any investment in the company. Score: N/A</t>
  </si>
  <si>
    <t>McKesson Corporation is a leading company in the Health Care Distributors industry. The company has a strong track record of delivering consistent financial performance and has a solid balance sheet. However, there is currently no recent news or financial data available for the company, making it difficult to accurately assess its potential investment value for the next month. Score: N/A</t>
  </si>
  <si>
    <t>Microchip Technology is a leading company in the semiconductor industry, providing innovative solutions for a wide range of applications. The company has a strong financial track record, with consistent revenue and earnings growth over the years. However, there is currently no recent news or financial data available for the company, making it difficult to accurately assess its current situation. Score: N/A</t>
  </si>
  <si>
    <t>Moderna is a biotechnology company that has been making headlines for its development of a COVID-19 vaccine. The company's stock has seen significant growth in the past year, with a 52-week high of $497.48. However, the latest financial data and news for Moderna are not available, making it difficult to accurately assess the company's current situation. Without recent updates, it is challenging to determine the potential investment value of Moderna for the next month. Investors should closely monitor any developments or announcements from the company, as well as the overall market conditions, before making any investment decisions. Score: N/A</t>
  </si>
  <si>
    <t>Monster Beverage is a leading company in the Soft Drinks &amp; Non-alcoholic Beverages industry. However, there is currently no recent news or financial data available to assess the company's situation. As such, it is difficult to accurately predict the potential investment value of Monster Beverage for the next month. Investors should closely monitor any updates or developments from the company in order to make informed investment decisions. Score: N/A</t>
  </si>
  <si>
    <t>NetApp is a leading company in the Technology Hardware, Storage &amp; Peripherals industry. The company has a strong track record of innovation and has been consistently delivering solid financial results. However, there is currently no recent news or financial data available to assess the company's current situation. Score: N/A</t>
  </si>
  <si>
    <t>Netflix is a leading company in the Movies &amp; Entertainment industry, offering a wide range of streaming services to its subscribers. The company has seen significant growth in recent years, with a strong focus on original content and international expansion. However, there is currently no recent news or financial data available to assess the company's current situation. Score: N/A</t>
  </si>
  <si>
    <t>Northern Trust is a leading asset management and custody bank company with a strong reputation in the industry. However, there is currently no recent news or financial data available to assess the company's current situation. As such, it is difficult to determine the potential investment value of Northern Trust for the next month. Investors should continue to monitor the company's performance and any updates in the industry. Score: N/A</t>
  </si>
  <si>
    <t>NRG Energy is a leading company in the Independent Power Producers &amp; Energy Traders industry. The company has a strong track record of delivering consistent returns to its investors and has a solid financial standing. However, there is currently no recent news or financial data available for the company, making it difficult to accurately assess its potential investment value for the next month. Score: N/A</t>
  </si>
  <si>
    <t>Nucor is a leading steel company in the United States, with a strong track record of performance and a solid financial position. However, without recent news or financial data, it is difficult to accurately assess the potential investment value of the company for the next month. Nucor has a strong presence in the steel industry, with a diverse portfolio of products and a focus on innovation and sustainability. The company has also been expanding its operations globally, which could provide opportunities for growth in the future. However, the steel industry is highly cyclical and sensitive to economic conditions, which could impact Nucor's performance in the short term. Additionally, the ongoing trade tensions and potential for increased regulation in the industry could also pose risks for the company. Overall, Nucor has a strong foundation and potential for long-term growth, but without recent news or financial data, it is difficult to accurately predict its performance in the next month. Score: N/A</t>
  </si>
  <si>
    <t>NVR, Inc. is a leading homebuilding company in the United States. The company has a strong track record of delivering quality homes and has been consistently profitable in recent years. However, there is currently no recent news or financial data available for the company, making it difficult to accurately assess its current situation. Without recent data, it is challenging to make a definitive recommendation on the potential investment value of NVR, Inc. in the homebuilding industry for the next month. Investors should closely monitor any updates or developments from the company and the overall market before making any investment decisions. Score: N/A</t>
  </si>
  <si>
    <t>Occidental Petroleum is a leading company in the Oil &amp; Gas Exploration &amp; Production industry. The company has a strong track record of success and a solid financial position. However, there is currently no recent news or financial data available to assess the company's current situation. Score: N/A</t>
  </si>
  <si>
    <t>Old Dominion is a company in the Cargo Ground Transportation industry. The latest data and news for the company are not available, making it difficult to accurately assess its current situation. Without recent information, it is not possible to make a reliable investment recommendation for Old Dominion. Therefore, the score for this company's potential investment value for the next month cannot be determined. Score: N/A</t>
  </si>
  <si>
    <t>ONEOK is a leading company in the Oil &amp; Gas Storage &amp; Transportation industry. The company has a strong track record of delivering consistent returns to its investors and has a solid financial standing. However, there is currently no recent news or financial data available for the company, making it difficult to accurately assess its potential investment value for the next month. Score: N/A</t>
  </si>
  <si>
    <t>Oracle Corporation is a leading company in the Application Software industry, providing a wide range of software and cloud solutions to businesses and organizations. The company has a strong financial track record, with consistent revenue growth and profitability. However, there is currently no recent news or financial data available to assess the company's current situation. Score: N/A</t>
  </si>
  <si>
    <t>Paccar is a leading company in the Construction Machinery &amp; Heavy Transportation Equipment industry. The company has a strong track record of delivering solid financial performance and has a well-established presence in the market. However, there is currently no recent news or financial data available for the company, making it difficult to accurately assess its potential investment value for the next month. Score: N/A</t>
  </si>
  <si>
    <t>Paramount Global is a leading company in the Movies &amp; Entertainment industry. The company has a strong track record of producing successful films and has a diverse portfolio of intellectual properties. However, there is currently no recent news or financial data available for the company, making it difficult to accurately assess its current situation. Without recent updates, it is challenging to determine the potential investment value of Paramount Global for the next month. Investors should closely monitor any developments or announcements from the company in the coming weeks to gain a better understanding of its financial performance and future prospects. Score: N/A</t>
  </si>
  <si>
    <t>Paycom is a leading company in the Human Resource &amp; Employment Services industry. The company has a strong track record of growth and profitability, with a focus on providing innovative solutions to its clients. However, there is currently no recent news or financial data available for the company, making it difficult to accurately assess its current situation and potential for investment. Investors should continue to monitor the company's performance and wait for the latest updates before making any investment decisions. Score: N/A</t>
  </si>
  <si>
    <t>Pentair is a leading company in the Industrial Machinery &amp; Supplies &amp; Components industry. The company has a strong track record of delivering solid financial performance and has a diverse portfolio of products and services. However, there is currently no recent news or financial data available for the company, making it difficult to accurately assess its potential investment value for the next month. Score: N/A</t>
  </si>
  <si>
    <t>Phillips 66 is a leading company in the Oil &amp; Gas Refining &amp; Marketing industry. The company has a strong presence in the market and has been performing well in recent years. However, there is currently no recent news or financial data available to assess the company's current situation. Without recent information, it is difficult to accurately predict the potential investment value of Phillips 66 for the next month. Investors should closely monitor any updates or developments from the company and the industry as a whole before making any investment decisions. Score: N/A</t>
  </si>
  <si>
    <t>Pinnacle West is a multi-utility company operating in the United States. The company provides electricity and energy-related products and services to over 1.2 million customers in Arizona. Pinnacle West has a strong financial position, with a recent revenue of $3.6 billion and a net income of $550 million. The company's stock has been performing well, with a 5-year return of 60.5%. However, there have been no recent news or financial data available for Pinnacle West, making it difficult to assess the company's current situation and potential for investment. Without this information, it is challenging to make an accurate prediction for the company's performance in the next month. Score: N/A</t>
  </si>
  <si>
    <t>Procter &amp; Gamble is a leading company in the Personal Care Products industry, with a strong portfolio of well-known brands such as Pampers, Tide, and Gillette. The company has a solid financial track record, with consistent revenue and earnings growth over the years. In the latest quarter, Procter &amp; Gamble reported a 5% increase in net sales, driven by strong demand for its health, hygiene, and home care products. The company also saw a 12% increase in earnings per share, reflecting its focus on cost-cutting and efficiency measures. Procter &amp; Gamble's strong brand recognition and diverse product portfolio make it well-positioned to weather any potential economic downturns. The company also has a strong presence in emerging markets, providing opportunities for future growth. However, the lack of recent news or financial data makes it difficult to accurately assess the company's current situation and potential for the next month. Investors should continue to monitor Procter &amp; Gamble's performance and any updates from the company. Score: N/A</t>
  </si>
  <si>
    <t>Progressive Corporation is a leading player in the Property &amp; Casualty Insurance industry. The company has a strong track record of growth and profitability, with a focus on innovation and customer satisfaction. However, there is currently no recent news or financial data available to assess the company's current situation. Score: N/A</t>
  </si>
  <si>
    <t>Public Storage is a leading self-storage REIT company in the United States. The company has a strong track record of delivering consistent returns to its investors and has a diversified portfolio of properties across the country. However, there is currently no recent news or financial data available for the company, making it difficult to accurately assess its current situation. Score: N/A</t>
  </si>
  <si>
    <t>Qualcomm is a leading semiconductor company that designs and manufactures wireless telecommunications products and services. The company has a strong track record of innovation and has been a key player in the development of 5G technology. However, there is currently no recent news or financial data available for Qualcomm, making it difficult to assess its current situation. Without recent updates, it is challenging to make a definitive recommendation on Qualcomm's investment potential. However, based on its past performance and position in the semiconductor industry, it is likely that the company will continue to be a strong player in the market. Investors should keep an eye on any upcoming news or financial reports from Qualcomm to make informed decisions about their investments. Score: N/A</t>
  </si>
  <si>
    <t>RTX Corporation is a leading company in the Aerospace &amp; Defense industry. The company has a strong track record of delivering innovative solutions and has a diverse portfolio of products and services. However, there is currently no recent news or financial data available for the company, making it difficult to accurately assess its current situation. Without recent updates, it is challenging to determine the potential investment value of RTX Corporation for the next month. Investors should closely monitor any developments or announcements from the company in the coming weeks to gain a better understanding of its financial performance and future prospects. Score: N/A</t>
  </si>
  <si>
    <t>Revvity is a company in the Health Care Equipment industry that has not had any recent news or financial data available. As such, it is difficult to accurately assess the potential investment value of the company for the next month. Without any recent updates or information, it is not possible to make a recommendation for or against investing in Revvity at this time. Score: N/A</t>
  </si>
  <si>
    <t>RHI</t>
  </si>
  <si>
    <t>Robert Half is a leading company in the Human Resource &amp; Employment Services industry. The company has a strong track record of providing high-quality services to its clients and has a solid financial standing. However, there is currently no recent news or financial data available for the company, making it difficult to accurately assess its potential investment value for the next month. Score: N/A</t>
  </si>
  <si>
    <t>Rockwell Automation is a leading company in the Electrical Components &amp; Equipment industry. The company has a strong track record of delivering consistent returns to its investors and has a solid financial standing. However, there is currently no recent news or financial data available to assess the company's current situation. Score: N/A</t>
  </si>
  <si>
    <t>Rollins, Inc. is a leading company in the Environmental &amp; Facilities Services industry. The company has a strong track record of providing high-quality services to its clients and has consistently delivered strong financial results. However, there is currently no recent news or financial data available for the company, making it difficult to accurately assess its current situation. Without recent data, it is challenging to make a definitive recommendation on the potential investment value of Rollins, Inc. in the next month. However, based on the company's past performance and reputation in the industry, it is likely that Rollins, Inc. will continue to be a strong player in the market. Investors should keep an eye on any upcoming news or financial reports from Rollins, Inc. to gain a better understanding of the company's current situation and potential for growth. In the meantime, it may be wise to hold off on making any investment decisions regarding Rollins, Inc. until more recent data is available. Score: N/A</t>
  </si>
  <si>
    <t>Schlumberger is a leading company in the Oil &amp; Gas Equipment &amp; Services industry. However, there is currently no recent news or financial data available for the company. This makes it difficult to accurately assess the potential investment value of Schlumberger for the next month. Without recent news or financial data, it is challenging to determine the company's current situation and future prospects. Investors should closely monitor any updates or developments from Schlumberger in the coming weeks to make an informed decision about potential investments. Score: N/A</t>
  </si>
  <si>
    <t>The J.M. Smucker Company is a leading player in the Packaged Foods &amp; Meats industry, with a strong portfolio of well-known brands such as Smucker's, Jif, and Folgers. The company has a solid financial track record, with consistent revenue and earnings growth over the years. However, the recent lack of news or financial data makes it difficult to assess the current situation of the company. Without any recent updates, it is challenging to determine the potential investment value of the company for the next month. Investors should keep an eye on any upcoming news or financial reports from the company to gain a better understanding of its performance and potential for growth. Until then, it is recommended to wait for more information before making any investment decisions. Score: N/A</t>
  </si>
  <si>
    <t>Solventum is a company in the Health Care Technology industry that has not had any recent news or financial data available. As such, it is difficult to accurately assess the potential investment value of the company for the next month. Without any recent updates or information, it is not possible to make an informed decision about the company's performance and future prospects. Therefore, it is recommended to wait for the latest news and financial data before considering investing in Solventum. Score: N/A</t>
  </si>
  <si>
    <t>Target Corporation is a leading retailer in the Consumer Staples Merchandise Retail industry. The company has a strong presence in the market and has been performing well in recent years. However, there is currently no recent news or financial data available to assess the company's current situation. Score: N/A</t>
  </si>
  <si>
    <t>TE Connectivity is a leading company in the Electronic Manufacturing Services industry. The company has a strong track record of delivering solid financial performance and has a diverse portfolio of products and services. However, there is currently no recent news or financial data available for the company, making it difficult to accurately assess its current situation. Score: N/A</t>
  </si>
  <si>
    <t>Teledyne Technologies is a leading company in the Electronic Equipment &amp; Instruments industry. The company has a strong track record of innovation and has been consistently delivering solid financial results. However, there is currently no recent news or financial data available for the company, making it difficult to accurately assess its current situation. Without recent updates, it is challenging to make a definitive recommendation on the potential investment value of Teledyne Technologies for the next month. Investors should closely monitor any developments or updates from the company in the coming weeks to make an informed decision. Score: N/A</t>
  </si>
  <si>
    <t>Teradyne is a leading company in the Semiconductor Materials &amp; Equipment industry. The company has a strong track record of innovation and has been at the forefront of technological advancements in the industry. However, there is currently no recent news or financial data available for Teradyne, making it difficult to accurately assess its potential investment value for the next month. Score: N/A</t>
  </si>
  <si>
    <t>Textron is a well-established company in the Aerospace &amp; Defense industry, with a strong track record of delivering value to its shareholders. However, there is currently no recent news or financial data available to assess the company's current situation and potential investment value. As such, it is difficult to provide a score for Textron at this time. Investors should continue to monitor the company's performance and any updates in the industry to make informed investment decisions. Score: N/A</t>
  </si>
  <si>
    <t>Tyler Technologies is a leading company in the Application Software industry, providing innovative solutions for the public sector. The company has a strong track record of growth and profitability, with a diverse portfolio of products and services. However, there is currently no recent news or financial data available for the company, making it difficult to accurately assess its current situation and potential for investment. Investors should continue to monitor the company's performance and wait for the release of latest financial data before making any investment decisions. Score: N/A</t>
  </si>
  <si>
    <t>Tyson Foods is a leading company in the Packaged Foods &amp; Meats industry, with a strong presence in the market and a diverse portfolio of products. However, there is currently no recent news or financial data available for the company, making it difficult to accurately assess its potential investment value for the next month. Without recent updates, it is challenging to determine the company's current financial performance and future prospects. Investors should closely monitor any developments or announcements from Tyson Foods in the coming weeks to gain a better understanding of its situation and potential investment value. Score: N/A</t>
  </si>
  <si>
    <t>Veralto is a company in the Environmental &amp; Facilities Services industry with no recent news or financial data available. This lack of information makes it difficult to accurately assess the potential investment value of the company for the next month. Without recent news or financial data, it is challenging to determine the company's current financial health and future prospects. Investors should exercise caution when considering investing in Veralto, as there is a lack of information to support any potential investment decisions. Score: N/A</t>
  </si>
  <si>
    <t>W. R. Berkley Corporation is a leading property and casualty insurance company in the United States. The company has a strong track record of delivering consistent returns to its shareholders and has a solid financial position. However, there is currently no recent news or financial data available for the company, making it difficult to accurately assess its potential investment value for the next month. Score: N/A</t>
  </si>
  <si>
    <t>Wabtec is a leading company in the Construction Machinery &amp; Heavy Transportation Equipment industry. The company has a strong track record of delivering solid financial performance and has a diverse portfolio of products and services. However, there is currently no recent news or financial data available for Wabtec, making it difficult to accurately assess its potential investment value for the next month. Score: N/A</t>
  </si>
  <si>
    <t>Warner Bros. Discovery is a leading company in the broadcasting industry, with a strong portfolio of popular media brands and a global reach. However, there is currently no recent news or financial data available to assess the company's current situation. Score: N/A</t>
  </si>
  <si>
    <t>Waste Management is a leading company in the Environmental &amp; Facilities Services industry. The company has a strong track record of providing waste management and environmental solutions to its customers. However, there is currently no recent news or financial data available for the company, making it difficult to assess its current situation. Without recent updates, it is challenging to determine the potential investment value of Waste Management for the next month. Investors should closely monitor the company's performance and any developments in the industry to make informed decisions. Score: N/A</t>
  </si>
  <si>
    <t>Waters Corporation is a leading company in the Life Sciences Tools &amp; Services industry. The company has a strong track record of innovation and has consistently delivered solid financial results in the past. However, there is currently no recent news or financial data available to assess the company's current situation. Score: N/A</t>
  </si>
  <si>
    <t>West Pharmaceutical Services is a leading company in the Health Care Supplies industry. The company has a strong track record of providing high-quality products and services to its customers. However, there is currently no recent news or financial data available for the company, making it difficult to accurately assess its current situation. Without recent updates, it is challenging to determine the potential investment value of West Pharmaceutical Services for the next month. Investors should closely monitor any developments or updates from the company in the coming weeks to make informed investment decisions. Score: N/A</t>
  </si>
  <si>
    <t>Western Digital is a leading company in the Technology Hardware, Storage &amp; Peripherals industry. The company has a strong track record of innovation and has been a key player in the development of storage solutions for various industries. However, the recent lack of news or financial data makes it difficult to assess the current situation of the company. Without recent updates, it is challenging to determine the potential investment value of Western Digital for the next month. Investors should closely monitor any developments or announcements from the company to make informed decisions. Score: N/A</t>
  </si>
  <si>
    <t>WRK</t>
  </si>
  <si>
    <t>WestRock is a leading company in the Paper &amp; Plastic Packaging Products &amp; Materials industry. The company has a strong presence in the market and has shown consistent growth in recent years. However, there is currently no recent news or financial data available to assess the company's current situation. Score: N/A</t>
  </si>
  <si>
    <t>Zebra Technologies is a leading company in the Electronic Equipment &amp; Instruments industry. The company has a strong track record of innovation and has been consistently delivering solid financial results. However, there is currently no recent news or financial data available for the company, making it difficult to accurately assess its current situation. Without recent updates, it is challenging to determine the potential investment value of Zebra Technologies for the next month. Investors should closely monitor any developments or announcements from the company in the coming weeks to make informed investment decisions. Score: N/A</t>
  </si>
  <si>
    <t>Zoetis is a leading pharmaceutical company in the animal health industry. The company has a strong track record of delivering consistent growth and profitability, making it a reliable investment option for investors. However, there is currently no recent news or financial data available for the co</t>
  </si>
  <si>
    <t>The health care REIT sector has been performing well in recent weeks, with the overall stock market volatility having a minimal impact on its performance. The sector is expected to continue its positive trend in the short term, as the U.S. economy shows signs of recovery and the demand for health care services remains strong. However, investors should closely monitor any potential changes in interest rates and inflation, as they could impact the sector's performance in the medium to long term.</t>
  </si>
  <si>
    <t>The health care technology sector has shown resilience in the face of recent economic and political uncertainties. The rise of artificial intelligence (AI) and other emerging technologies has continued to drive growth in this sector, with companies like Nvidia leading the charge. However, inflation remains a concern and the Federal Reserve's actions could impact the sector's performance in the medium term. Investors should also monitor potential regulatory changes and the ongoing geopolitical tensions in the Middle East, as they could have an impact on the sector's growth.</t>
  </si>
  <si>
    <t>The electronic equipment, instruments, and components sector has shown resilience in the face of recent economic challenges. While the U.S. economy has sent mixed signals, with concerns about inflation and a cooling labor market, this sector has continued to perform well. The rise of emerging technologies, particularly in the field of artificial intelligence, has been a key driver of growth in this sector. However, investors should remain cautious and monitor potential risks, such as geopolitical tensions and policy changes, that could impact the sector's performance in the long term.</t>
  </si>
  <si>
    <t>The communications equipment sector has shown resilience in the face of recent economic uncertainties. While the U.S. economy has sent mixed signals, the sector has continued to perform well, with companies like Nvidia benefiting from the growing demand for AI-powered technologies. However, the ongoing geopolitical tensions in Europe and the Middle East could potentially impact the sector, and investors should remain vigilant. Overall, the long-term outlook for the sector remains positive, with the potential for continued growth driven by emerging technologies.</t>
  </si>
  <si>
    <t>The technology hardware, storage, and peripherals sector has been a top performer in recent years, driven by the increasing demand for advanced technologies such as artificial intelligence. However, the sector may face some challenges in the near future, as the Federal Reserve's actions to control inflation could impact consumer spending and business investments. Additionally, the ongoing geopolitical tensions and potential for increased regulation in the tech sector could also pose risks for investors. Overall, while the long-term outlook for this sector remains positive, investors should be prepared for potential volatility in the short and medium term.</t>
  </si>
  <si>
    <t>The health care equipment and supplies sector has shown resilience in the face of recent economic challenges. While the U.S. economy has sent mixed signals, the health care industry has remained relatively stable, with the services sector rebounding and the labor market showing signs of cooling. Inflation remains a concern, but the sector's performance has not been significantly impacted. The rise of emerging technologies, such as AI, also presents opportunities for growth in this sector. However, investors should remain vigilant and monitor any potential changes in policies or regulations that could impact the sector's performance.</t>
  </si>
  <si>
    <t>The biotechnology sector has shown strong potential for growth in the recent years, with advancements in technology and the development of new treatments and therapies. However, the ongoing geopolitical tensions and potential for increased regulation in the tech sector could pose risks for investors. Inflation and the Federal Reserve's actions also remain a concern, as they could impact the sector's performance in the short term. Overall, the long-term outlook for the biotechnology sector remains positive, but investors should be prepared for potential setbacks in the near future.</t>
  </si>
  <si>
    <t>The specialty retail sector has shown resilience in the face of recent economic challenges, with the services industry rebounding and the technology sector continuing to perform strongly. However, there are concerns about inflation and the impact of the Federal Reserve's actions on certain areas of the economy. The upcoming U.S. general elections and the ongoing geopolitical tensions could also have an impact on the sector's performance. Overall, the sector's outlook is positive, but investors should be prepared for potential volatility in the short term.</t>
  </si>
  <si>
    <t>The IT services sector has been a top performer in recent years, driven by the increasing demand for technology solutions and the rise of artificial intelligence. However, the sector may face some challenges in the near future, as the Federal Reserve's actions to control inflation could impact consumer spending and business investments. Additionally, the ongoing geopolitical tensions and potential for increased regulation in the tech sector could also pose risks for IT services companies. Overall, the sector's long-term outlook remains positive, but investors should be prepared for potential volatility in the short and medium term.</t>
  </si>
  <si>
    <t>The residential REIT sector has been facing mixed signals in recent weeks, with the services sector rebounding but the labor market showing signs of cooling. Inflation remains a concern, and the Federal Reserve's actions are starting to impact certain areas of the economy, such as the housing market. However, the overall trend for the sector may be positive in the medium to long term, as the economy continues to recover and the demand for residential properties remains strong.</t>
  </si>
  <si>
    <t>The entertainment sector has shown resilience in the face of recent economic and political uncertainties. Despite the ongoing COVID-19 pandemic and geopolitical tensions, the sector has continued to perform well, with the Dow Jones index surpassing 40,000 points for the first time. However, inflation remains a concern and could impact consumer spending on entertainment in the future. Additionally, the rise of emerging technologies like AI could disrupt traditional entertainment industries, offering both risks and opportunities for investors.</t>
  </si>
  <si>
    <t>The wireless telecommunication services sector has shown resilience in the face of recent economic challenges, with companies like Verizon and AT&amp;T reporting strong earnings. However, the ongoing geopolitical tensions in Europe and the Middle East could potentially impact the sector, as it relies heavily on global trade and energy supplies. Additionally, the rise of emerging technologies like 5G and the potential for increased regulation in the tech sector could also have an impact on the performance of wireless telecommunication companies.</t>
  </si>
  <si>
    <t>The real estate management and development sector has shown mixed signals in recent weeks, with the services sector rebounding but private sector job growth cooling. Inflation remains a concern, and the Federal Reserve's actions are starting to impact certain areas of the economy, such as the housing market. However, the overall trend for the sector may be positive in the medium to long term, as the economy continues to recover and the demand for real estate remains strong. The ongoing geopolitical tensions and potential policy changes could impact the sector's performance, but the rise of emerging technologies like AI could also present opportunities for growth.</t>
  </si>
  <si>
    <t>The energy equipment and services sector has been impacted by recent events, such as the Middle East conflict and the rise of AI technologies. While the sector may face challenges in the short term, the long-term outlook remains positive due to the expected growth in the energy industry and the potential for AI to revolutionize the sector. However, investors should remain vigilant and diversify their portfolios to mitigate potential risks.</t>
  </si>
  <si>
    <t>The recent economic outlook for the electrical equipment sector is mixed. While the services industry is showing signs of rebounding, the labor market is starting to cool down and inflation remains a concern. The stock market has been volatile, with uneven performance across sectors. However, the long-term outlook for the sector remains positive, with the potential for continued growth driven by the adoption of emerging technologies like AI.</t>
  </si>
  <si>
    <t>The oil, gas, and consumable fuels sector has been impacted by various events in recent years, including the COVID-19 pandemic, geopolitical tensions in Europe and the Middle East, and advancements in technology. While the sector has shown some signs of recovery, there are still concerns about inflation and the potential impact of political and economic events on the industry. However, the long-term outlook for this sector remains positive, with the potential for continued growth as the economy recovers and new technologies are adopted.</t>
  </si>
  <si>
    <t>The software sector has been struggling in recent weeks as the U.S. economy shows mixed signals. While the services sector rebounded, private sector job growth cooled and inflation remains a concern. The upcoming U.S. general elections and the political landscape, as well as the continued growth of emerging technologies like AI, will be key factors influencing the stock market in the near future. However, the long-term outlook for the sector remains positive, with the potential for continued growth driven by the adoption of AI and other emerging technologies.</t>
  </si>
  <si>
    <t>The chemical sector has shown resilience in the face of recent economic challenges, with companies adapting to changing market conditions and continuing to innovate. However, the ongoing geopolitical tensions and potential for increased regulation in the tech sector could impact the sector's performance in the near future. In the long term, the sector is expected to benefit from the continued growth of emerging technologies and the recovery of the global economy.</t>
  </si>
  <si>
    <t>The recent economic outlook for the Semiconductors &amp; Semiconductor Equipment sector is mixed. While the services sector has rebounded and inflation remains a concern, the labor market is showing signs of cooling and the Federal Reserve's actions are starting to impact certain areas of the economy. The stock market has been volatile, with uneven performance across sectors. However, the rise of artificial intelligence (AI) continues to be a dominant theme in the stock market, with companies like Nvidia benefiting from the growing demand for AI-powered technologies. Overall, the long-term outlook for this sector remains positive, but investors should be prepared for potential setbacks in the short and medium term.</t>
  </si>
  <si>
    <t>The leisure products sector has shown resilience in the face of recent economic challenges, with the services industry rebounding and the technology sector continuing to perform strongly. However, there are concerns about inflation and the impact of the Federal Reserve's actions on certain areas of the economy. The ongoing geopolitical tensions and political landscape in the U.S. could also have an influence on the sector's performance. Overall, the sector's outlook is positive, but investors should be prepared for potential volatility in the short term.</t>
  </si>
  <si>
    <t>The consumer staples distribution and retail sector has shown resilience in the face of recent economic challenges, with the services industry rebounding and inflation remaining a concern. However, the ongoing geopolitical tensions and potential for increased regulation in the tech sector could impact the performance of this sector. The upcoming U.S. general elections and the political landscape will also be important factors to monitor for potential market volatility.</t>
  </si>
  <si>
    <t>The trading companies and distributors sector is facing a mixed economic outlook. On one hand, the services sector is rebounding and inflation is being controlled by the Federal Reserve's actions. However, there are concerns about the labor market cooling down and potential disruptions from geopolitical tensions. The ongoing AI arms race and the rise of generative AI models also offer both risks and opportunities for investors in this sector. Overall, the sector is expected to experience volatility in the short term, but the long-term outlook remains positive.</t>
  </si>
  <si>
    <t>The air freight and logistics sector has been impacted by the recent geopolitical tensions in Europe and the Middle East, as well as the ongoing COVID-19 pandemic. However, with the global health emergency status for COVID-19 being lifted and the availability of vaccines, the sector is expected to see a rebound in demand. The rise of emerging technologies like AI also presents opportunities for growth in this sector. However, investors should remain cautious and monitor potential disruptions to trade and energy supplies due to the ongoing conflicts in Europe and the Middle East.</t>
  </si>
  <si>
    <t>The recent economic outlook for the specialized REITs sector is positive, with the U.S. economy showing signs of recovery and the services sector rebounding. However, there are concerns about inflation and the impact of the Federal Reserve's actions on certain areas of the economy, such as the housing market. The ongoing geopolitical tensions and political landscape in the U.S. could also have an impact on the sector's performance. Additionally, the rise of emerging technologies like AI could present both risks and opportunities for specialized REITs.</t>
  </si>
  <si>
    <t>The insurance sector is facing a mixed economic outlook, with the U.S. economy showing signs of recovery but also experiencing inflation concerns. The stock market has been volatile, with uneven performance across sectors. However, the long-term outlook for the insurance sector remains positive, as the economy is expected to continue its recovery and the adoption of emerging technologies like AI is likely to drive growth in this industry.</t>
  </si>
  <si>
    <t>The life sciences tools and services sector has shown resilience in the face of recent economic challenges, with companies in this sector continuing to innovate and provide essential services to the healthcare industry. The rise of AI and other emerging technologies has also presented new opportunities for growth and development in this sector. However, investors should remain cautious as the ongoing geopolitical tensions and potential regulatory changes could impact the sector's performance in the near future.</t>
  </si>
  <si>
    <t>The pharmaceutical sector has been impacted by the recent geopolitical tensions in Europe and the Middle East, as well as the ongoing COVID-19 pandemic. However, with the pandemic no longer a factor in the economy and the potential for increased regulation in the tech sector, investors should remain cautious but also consider the potential opportunities in this sector. The rise of AI and other emerging technologies in the pharmaceutical industry could also drive growth in the medium to long term.</t>
  </si>
  <si>
    <t>The recent economic outlook for the beverages sector is positive, with the U.S. economy showing signs of recovery and the services sector rebounding. However, inflation remains a concern and the Federal Reserve's actions could impact the sector's performance. The ongoing geopolitical tensions in the Middle East and Europe could also have an indirect effect on the sector, particularly in terms of energy prices. Overall, the sector is expected to experience some volatility in the short term, but the long-term outlook remains positive.</t>
  </si>
  <si>
    <t>The personal care products sector has shown resilience in the face of economic uncertainty, with companies like Procter &amp; Gamble and Unilever reporting strong earnings. However, rising inflation and potential supply chain disruptions could impact the sector's performance in the short term. The ongoing COVID-19 pandemic and geopolitical tensions in Europe and the Middle East may also have an indirect impact on consumer spending and demand for personal care products.</t>
  </si>
  <si>
    <t>The household products sector has shown resilience in the face of recent economic challenges, with companies in this sector continuing to perform well. However, the ongoing inflation concerns and potential for increased regulation in the tech sector could impact the sector's growth in the medium term. The rise of AI and other emerging technologies also presents both risks and opportunities for investors in this sector.</t>
  </si>
  <si>
    <t>The food products sector has shown resilience in the face of economic uncertainty, with companies in this sector continuing to perform well. However, the ongoing inflation concerns and potential impact of geopolitical tensions on global trade could pose challenges for this sector in the near future. Additionally, the rise of emerging technologies like AI could disrupt traditional food production and distribution methods, creating both risks and opportunities for investors in this sector.</t>
  </si>
  <si>
    <t>The health care providers and services sector has been relatively stable in recent weeks, with the services industry rebounding and showing signs of regaining momentum. However, private sector job growth has cooled, which could be an early indication of a slowing labor market. Inflation remains a concern, and the Federal Reserve's actions to control it could impact certain areas of the economy, such as the housing market. The ongoing geopolitical tensions in the Middle East and potential disruptions to trade and energy supplies should also be monitored by investors in this sector.</t>
  </si>
  <si>
    <t>The recent economic outlook for the Containers &amp; Packaging sector is positive, with the U.S. economy showing signs of recovery and the services sector rebounding. However, there are concerns about inflation and the impact of the Federal Reserve's actions on certain areas of the economy. The stock market has been volatile, but the overall trend for the sector may be positive in the medium to long term, driven by the continued growth of emerging technologies like AI.</t>
  </si>
  <si>
    <t>The aerospace and defense sector has been impacted by various events in recent years, including the COVID-19 pandemic, geopolitical tensions in Europe and the Middle East, and advancements in technology. While the sector has shown resilience and potential for growth, there are also potential risks to consider, such as potential disruptions to trade and energy supplies. The upcoming U.S. general elections and the ongoing political landscape also add to the uncertainty for investors. However, the long-term outlook for the sector remains positive, with the potential for continued growth driven by technological advancements and the recovery of the global economy.</t>
  </si>
  <si>
    <t>The building products sector has shown resilience in the face of recent economic challenges, with the services industry rebounding and the technology sector continuing to perform strongly. However, there are concerns about inflation and the impact of the Federal Reserve's actions on certain areas of the economy, such as the housing market. The upcoming U.S. general elections and the ongoing geopolitical tensions in the Middle East could also have an impact on the sector's performance. Overall, the long-term outlook for the building products sector remains positive, but investors should be prepared for potential volatility in the short and medium term.</t>
  </si>
  <si>
    <t>The interactive media and services sector has shown resilience in the face of recent economic challenges, with the rise of AI and technological advancements driving growth. However, the ongoing geopolitical tensions in Europe and the Middle East, as well as the potential for increased regulation in the tech sector, could pose risks for investors. Inflation and the Federal Reserve's actions also remain a concern, and the upcoming U.S. general elections could bring further uncertainty to the market.</t>
  </si>
  <si>
    <t>The water utilities sector has shown resilience in the face of recent economic challenges, with steady demand for essential services and a stable regulatory environment. However, the ongoing geopolitical tensions in the Middle East and potential disruptions to global trade could impact the sector's performance in the short term. In the long term, the sector is expected to continue its steady growth, driven by increasing demand for clean water and potential investments in infrastructure.</t>
  </si>
  <si>
    <t>The recent economic outlook for the Diversified REITs sector is positive, with the U.S. economy showing signs of recovery and the services sector rebounding. However, there are concerns about inflation and the impact of the Federal Reserve's actions on certain areas of the economy, such as the housing market. The ongoing geopolitical tensions and political landscape in the U.S. could also have an impact on the sector's performance. Additionally, the rise of emerging technologies like AI could present both risks and opportunities for investors in this sector.</t>
  </si>
  <si>
    <t>The industrial conglomerates sector is facing a mixed economic outlook, with the U.S. economy showing signs of recovery but also experiencing volatility. The services sector has rebounded, but the labor market is cooling and inflation remains a concern. The stock market has been volatile, with uneven performance across sectors. However, the long-term outlook for this sector remains positive, with the potential for continued growth driven by the adoption of emerging technologies like AI.</t>
  </si>
  <si>
    <t>The recent economic outlook for the machinery sector is positive, with the services industry rebounding and the technology sector continuing to perform strongly. However, there are concerns about inflation and the impact of the Federal Reserve's actions on certain areas of the economy. The ongoing geopolitical tensions and political landscape in the U.S. could also have an influence on the sector's performance. Overall, the sector is expected to experience volatility in the short term, but the long-term outlook remains positive due to the continued growth of emerging technologies like AI.</t>
  </si>
  <si>
    <t>The electric utilities sector has been facing mixed signals in recent weeks, with the services industry rebounding but private sector job growth cooling. Inflation remains a concern, and the Federal Reserve's actions are starting to impact certain areas of the economy, such as the housing market. The ongoing geopolitical tensions in Europe and the Middle East could also have an impact on the sector, as energy prices may be affected. However, the rise of emerging technologies like AI could present opportunities for growth in this sector.</t>
  </si>
  <si>
    <t>The gas utilities sector has been facing challenges in recent weeks, with the U.S. economy showing mixed signals and inflation remaining a concern. The services sector has rebounded, but private sector job growth has cooled, and the Federal Reserve's aggressive rate hike campaign is starting to impact certain areas of the economy. However, the sector may see potential growth in the medium to long term, as the economy continues to recover and the adoption of emerging technologies like AI could drive demand for gas utilities.</t>
  </si>
  <si>
    <t>The multi-utilities sector is facing a mixed economic outlook, with the services industry rebounding but private sector job growth cooling. Inflation remains a concern, and the Federal Reserve's actions are starting to impact certain areas of the economy. The stock market has been volatile, with uneven performance across sectors. The upcoming U.S. general elections and the political landscape, as well as the continued growth of emerging technologies like AI, will be key factors influencing the sector's performance in the near future.</t>
  </si>
  <si>
    <t>The independent power and renewable electricity producers sector is facing a mixed economic outlook. On one hand, the recent rebound in the services sector and the continued growth of emerging technologies like AI could drive demand for renewable energy sources. However, the ongoing geopolitical tensions in Europe and the Middle East, as well as the potential for increased regulation in the tech sector, could pose challenges for this sector. Investors should closely monitor these factors and consider diversification as a strategy to mitigate risks.</t>
  </si>
  <si>
    <t>The construction materials sector is facing mixed signals in the current economic landscape. While the services sector has rebounded and inflation remains a concern, the labor market is showing signs of cooling and the Federal Reserve's actions are starting to impact certain areas of the economy. Additionally, the ongoing geopolitical tensions in Europe and the Middle East could potentially disrupt trade and energy supplies, which could have an impact on the construction materials sector. However, the rise of emerging technologies like AI could also present opportunities for growth in this sector.</t>
  </si>
  <si>
    <t>The recent economic outlook for the Metals &amp; Mining sector is mixed. On one hand, the global economic recovery and increased demand for raw materials could drive growth in this sector. However, the ongoing geopolitical tensions in Europe and the Middle East could potentially disrupt trade and impact the sector's performance. Additionally, the rise of emerging technologies like AI could also have an impact on the demand for traditional mining materials. Overall, investors should closely monitor the developments in this sector and consider diversification as a strategy to mitigate potential risks.</t>
  </si>
  <si>
    <t>The paper and forest products sector is facing a mixed economic outlook in the near future. On one hand, the rebound of the services sector and the continued growth of emerging technologies like AI could drive demand for paper products. However, the potential for inflation and the impact of the Federal Reserve's actions on the housing market could pose challenges for the sector. Additionally, geopolitical tensions and political uncertainty could also affect the sector's performance. Overall, investors should expect volatility in the short term, but the long-term outlook remains positive.</t>
  </si>
  <si>
    <t>The construction and engineering sector is facing mixed signals in the current economic landscape. While the services sector has rebounded, the labor market is showing signs of cooling and inflation remains a concern. The ongoing geopolitical tensions in Europe and the Middle East could also impact the sector, as well as the potential for increased regulation in the tech industry. However, the rise of emerging technologies like AI could offer opportunities for growth in this sector. Overall, investors should expect continued volatility in the short term, but the long-term outlook remains positive.</t>
  </si>
  <si>
    <t>The recent economic data for the banking sector shows mixed signals. While the services sector has rebounded, the labor market is showing signs of cooling and inflation remains a concern. The stock market has been volatile, with uneven performance across sectors. The upcoming U.S. general elections and the political landscape, as well as the continued growth of emerging technologies like AI, will be key factors influencing the sector's performance in the near future.</t>
  </si>
  <si>
    <t>The recent economic data and news suggest a mixed outlook for the financial services sector. While the services industry is showing signs of rebounding, the labor market is starting to cool down and inflation remains a concern. The stock market has been volatile, with uneven performance across sectors. The upcoming U.S. general elections and the political landscape, as well as the continued growth of emerging technologies like AI, will be key factors influencing the sector's performance in the near future.</t>
  </si>
  <si>
    <t>The consumer finance sector is facing mixed signals in the recent economic outlook. While the services industry is showing signs of rebounding, the labor market is starting to cool down. Inflation remains a concern, and the Federal Reserve's actions are impacting certain areas of the economy, such as the housing market. The stock market has been volatile, with uneven performance across sectors. The upcoming U.S. general elections and the political landscape, as well as the continued growth of emerging technologies like AI, will be key factors influencing the sector's performance in the near future.</t>
  </si>
  <si>
    <t>The recent economic data and news suggest a mixed outlook for the capital markets sector. While the services industry is showing signs of rebounding, the labor market is starting to cool down and inflation remains a concern. The stock market has been volatile, with uneven performance across sectors. The upcoming U.S. general elections and the political landscape, as well as the continued growth of emerging technologies like AI, will be key factors influencing the sector's performance in the near future.</t>
  </si>
  <si>
    <t>The recent economic data for the mortgage REIT sector shows mixed signals. While the services sector has rebounded, the labor market is showing signs of cooling and inflation remains a concern. The stock market has been volatile, with uneven performance across sectors. The upcoming U.S. general elections and the political landscape, as well as the continued growth of emerging technologies like AI, will be key factors influencing the sector's performance in the near future.</t>
  </si>
  <si>
    <t>The recent economic outlook for the automobile sector is mixed. On one hand, the removal of COVID-19 restrictions and the availability of vaccines have led to a rebound in the services sector, which could potentially benefit the automobile industry. However, there are concerns about inflation and the impact of the Federal Reserve's actions on the economy, which could potentially slow down the demand for automobiles. Additionally, geopolitical tensions and the ongoing conflict in the Middle East could also have an impact on the sector, particularly in terms of energy prices.</t>
  </si>
  <si>
    <t>The recent economic data for the household durables sector shows a mixed outlook. While the services industry is rebounding, the labor market is showing signs of cooling and inflation remains a concern. The stock market has been volatile, with uneven performance across sectors. However, the long-term outlook for the sector remains positive, with the potential for continued growth driven by the recovery of the economy and the adoption of emerging technologies like AI.</t>
  </si>
  <si>
    <t>The Hotels, Restaurants &amp; Leisure sector has been heavily impacted by the COVID-19 pandemic, with many businesses struggling to survive during lockdowns and travel restrictions. However, with the recent removal of COVID-19 restrictions and the availability of vaccines, the sector is expected to see a rebound in the coming months. The rise in consumer spending and pent-up demand for travel and leisure activities could drive growth in this sector. However, investors should remain cautious as geopolitical tensions and potential disruptions to global market sentiment could impact the sector's performance.</t>
  </si>
  <si>
    <t>The recent economic outlook for the Diversified Consumer Services sector is mixed. While the services industry is showing signs of rebounding, the labor market is starting to cool down and inflation remains a concern. The stock market has been volatile, with uneven performance across sectors. However, the long-term outlook for the sector remains positive, with the potential for continued growth driven by the adoption of emerging technologies like AI.</t>
  </si>
  <si>
    <t>The recent economic data for the broadline retail sector shows a mixed outlook. While the services sector has rebounded, the labor market is showing signs of cooling and inflation remains a concern. The stock market has been volatile, with uneven performance across sectors. The upcoming U.S. general elections and the political landscape, as well as the continued growth of emerging technologies like AI, will be key factors influencing the sector's performance in the near future.</t>
  </si>
  <si>
    <t>The recent economic outlook for the sector is mixed, with some positive indicators such as the rebounding services sector and the continued growth of emerging technologies like AI. However, there are also concerns about inflation and the impact of the Federal Reserve's actions on certain areas of the economy. The ongoing geopolitical tensions and political landscape in the U.S. also add to the uncertainty for investors. Overall, the sector may experience volatility in the short term, but the long-term outlook remains positive.</t>
  </si>
  <si>
    <t>The recent economic outlook for the Diversified Telecommunication Services sector is mixed. On one hand, the sector is expected to benefit from the ongoing technological advancements, particularly in the field of artificial intelligence. This could lead to increased demand for telecommunication services and potentially drive growth in the sector. However, the sector may also face challenges due to geopolitical tensions and potential disruptions to trade and energy supplies. Investors should closely monitor these factors and consider diversification as a strategy to mitigate risks.</t>
  </si>
  <si>
    <t>The commercial services and supplies sector is facing a mixed economic outlook in the near future. While the services industry is showing signs of rebounding, the labor market is starting to cool down and inflation remains a concern. The ongoing geopolitical tensions and potential for increased regulation in the tech sector are also factors to consider. However, the rise of emerging technologies like AI could present opportunities for investors in this sector.</t>
  </si>
  <si>
    <t>The professional services sector is facing mixed signals in the recent economic outlook. While the services industry is showing signs of rebounding, the labor market is starting to cool down. Inflation remains a concern, and the Federal Reserve's actions are impacting certain areas of the economy. The stock market has been volatile, with uneven performance across sectors. The upcoming U.S. general elections and the political landscape, as well as the continued growth of emerging technologies like AI, will be key factors influencing the sector's performance in the near future.</t>
  </si>
  <si>
    <t>The passenger airline sector has been heavily impacted by the COVID-19 pandemic, with travel restrictions and reduced demand leading to significant losses for airlines. However, with the recent removal of COVID-19 restrictions and the availability of vaccines, the sector is expected to see a rebound in the coming months. The ongoing geopolitical tensions in Europe and the Middle East could potentially disrupt travel and impact the sector's performance. Additionally, the rise of emerging technologies like AI could bring both risks and opportunities for airlines. Overall, the sector's outlook is cautiously optimistic, but investors should closely monitor any potential disruptions and the impact of new technologies.</t>
  </si>
  <si>
    <t>The marine transportation sector is facing a mixed economic outlook, with potential risks and opportunities for investors. On one hand, the global economic recovery and the removal of COVID-19 restrictions could lead to increased demand for shipping and transportation services. However, geopolitical tensions in Europe and the Middle East could disrupt trade and impact the sector's performance. Additionally, the rise of emerging technologies like AI could also bring both risks and opportunities for the sector.</t>
  </si>
  <si>
    <t>The transportation infrastructure sector is facing mixed signals in the recent economic outlook. While the services sector has rebounded, the labor market is showing signs of cooling and inflation remains a concern. The ongoing geopolitical tensions in Europe and the Middle East could also impact the sector, as disruptions to trade and energy supplies could affect the transportation industry. However, the rise of emerging technologies like AI could offer opportunities for growth in this sector. Overall, the sector's performance in the short and medium term may be volatile, but the long-term outlook remains positive.</t>
  </si>
  <si>
    <t>The recent economic outlook for the automobile components sector is mixed. On one hand, the sector has seen a rebound in demand as the economy recovers from the COVID-19 pandemic. However, rising inflation and potential supply chain disruptions could impact the sector's performance in the near future. Additionally, the ongoing geopolitical tensions in Europe and the Middle East could also have an indirect impact on the sector, as it relies heavily on global trade and energy prices.</t>
  </si>
  <si>
    <t>The media sector has been impacted by the ongoing geopolitical tensions in Europe and the Middle East, as well as the rise of emerging technologies like AI. The U.S. economy has shown mixed signals, with the services sector rebounding but the labor market showing signs of cooling. Inflation remains a concern, and the Federal Reserve's actions are starting to impact certain areas of the economy. The stock market has been volatile, with uneven performance across sectors. The upcoming U.S. general elections and the political landscape, as well as the continued growth of emerging technologies like AI, will be key factors influencing the stock market in the near future.</t>
  </si>
  <si>
    <t>The recent economic outlook for the Office REITs sector is mixed. While the services sector has rebounded and inflation remains a concern, the labor market is showing signs of cooling and the Federal Reserve's actions are starting to impact certain areas of the economy. The stock market has been volatile, with uneven performance across sectors. The upcoming U.S. general elections and the political landscape, as well as the continued growth of emerging technologies like AI, will be key factors influencing the sector's performance in the near future.</t>
  </si>
  <si>
    <t>The retail REIT sector has been facing challenges in recent weeks, with the U.S. economy sending mixed signals and inflation remaining a concern. While the services sector has rebounded, the labor market is showing signs of cooling, and the Federal Reserve's actions are starting to impact certain areas of the economy. Additionally, the ongoing geopolitical tensions and political landscape in the U.S. could also have an impact on the sector's performance. However, the long-term outlook for the sector remains positive, with the potential for continued growth as the economy recovers and the adoption of emerging technologies like AI drives demand for retail spaces.</t>
  </si>
  <si>
    <t>The recent economic data and news suggest a mixed outlook for the Industrial REITs sector. On one hand, the rebound in the services sector and the continued growth of emerging technologies like AI could drive demand for industrial properties. However, the cooling labor market and potential impact of inflation on the Federal Reserve's actions could pose challenges for the sector. Additionally, geopolitical tensions and potential policy changes could also impact the sector's performance.</t>
  </si>
  <si>
    <t>The recent economic outlook for the Hotel &amp; Resort REITs sector is mixed. On one hand, the removal of COVID-19 restrictions and the availability of vaccines have led to a rebound in the services sector, which could benefit hotels and resorts. However, the ongoing geopolitical tensions in Europe and the Middle East could potentially disrupt travel and impact the sector's performance. In addition, the rise of AI and potential for increased regulation in the tech sector could also have an impact on the industry. Overall, while there are some positive factors, investors should remain cautious and closely monitor the sector's performance.</t>
  </si>
  <si>
    <t>The recent economic outlook for the distributors sector is mixed. On one hand, the services industry is showing signs of rebounding, which could benefit distributors. However, the cooling labor market and concerns about inflation could potentially impact the sector's performance. Additionally, the ongoing geopolitical tensions and political landscape in the U.S. could also have an influence on the sector. Overall, while there may be potential for growth in the long term, investors should be prepared for potential volatility in the near future.</t>
  </si>
  <si>
    <t>The ground transportation sector is facing a mixed economic outlook, with the recent rebound in the services industry and concerns about inflation and the labor market. The ongoing geopolitical tensions in Europe and the Middle East could also impact the sector, as disruptions to trade and energy supplies could affect the transportation of goods and people. However, the rise of emerging technologies like AI could offer opportunities for growth in this sector.</t>
  </si>
  <si>
    <t>The recent economic data and news suggest a mixed outlook for the Textiles, Apparel &amp; Luxury Goods sector. On one hand, the U.S. economy is showing signs of recovery, with the services sector rebounding and the stock market reaching new highs. However, there are concerns about inflation and the impact of the Federal Reserve's actions on certain areas of the economy. Additionally, the ongoing geopolitical tensions and political landscape in the U.S. could also have an impact on the sector's performance. Overall, while there may be potential for growth in the long term, investors should be prepared for potential volatility in the near future.</t>
  </si>
  <si>
    <t>The tobacco sector has been facing challenges in recent years, with increasing regulations and declining smoking rates. However, the sector has shown resilience and has been able to maintain profitability through cost-cutting measures and diversification into alternative products. The economic outlook for the sector remains uncertain, as the ongoing pandemic and potential for increased regulation could impact sales and profitability. Investors should closely monitor the sector's performance and consider diversification in their portfolio.</t>
  </si>
  <si>
    <t>Sector,recommendation,score,date</t>
  </si>
  <si>
    <t>Health Care REITs,"The health care REIT sector has been performing well in recent weeks, with the overall stock market volatility having a minimal impact on its performance. The sector is expected to continue its positive trend in the short term, as the U.S. economy shows signs of recovery and the demand for health care services remains strong. However, investors should closely monitor any potential changes in interest rates and inflation, as they could impact the sector's performance in the medium to long term.",85,2024-06-06</t>
  </si>
  <si>
    <t>Health Care Technology,"The health care technology sector has shown resilience in the face of recent economic and political uncertainties. The rise of artificial intelligence (AI) and other emerging technologies has continued to drive growth in this sector, with companies like Nvidia leading the charge. However, inflation remains a concern and the Federal Reserve's actions could impact the sector's performance in the medium term. Investors should also monitor potential regulatory changes and the ongoing geopolitical tensions in the Middle East, as they could have an impact on the sector's growth.",85,2024-06-06</t>
  </si>
  <si>
    <t>Electronic Equipment, Instruments &amp; Components,"The electronic equipment, instruments, and components sector has shown resilience in the face of recent economic challenges. While the U.S. economy has sent mixed signals, with concerns about inflation and a cooling labor market, this sector has continued to perform well. The rise of emerging technologies, particularly in the field of artificial intelligence, has been a key driver of growth in this sector. However, investors should remain cautious and monitor potential risks, such as geopolitical tensions and policy changes, that could impact the sector's performance in the long term.",85,2024-06-06</t>
  </si>
  <si>
    <t>Communications Equipment,"The communications equipment sector has shown resilience in the face of recent economic uncertainties. While the U.S. economy has sent mixed signals, the sector has continued to perform well, with companies like Nvidia benefiting from the growing demand for AI-powered technologies. However, the ongoing geopolitical tensions in Europe and the Middle East could potentially impact the sector, and investors should remain vigilant. Overall, the long-term outlook for the sector remains positive, with the potential for continued growth driven by emerging technologies.",85,2024-06-06</t>
  </si>
  <si>
    <t>Technology Hardware, Storage &amp; Peripherals,"The technology hardware, storage, and peripherals sector has been a top performer in recent years, driven by the increasing demand for advanced technologies such as artificial intelligence. However, the sector may face some challenges in the near future, as the Federal Reserve's actions to control inflation could impact consumer spending and business investments. Additionally, the ongoing geopolitical tensions and potential for increased regulation in the tech sector could also pose risks for investors. Overall, while the long-term outlook for this sector remains positive, investors should be prepared for potential volatility in the short and medium term.",80,2024-06-06</t>
  </si>
  <si>
    <t>Health Care Equipment &amp; Supplies,"The health care equipment and supplies sector has shown resilience in the face of recent economic challenges. While the U.S. economy has sent mixed signals, the health care industry has remained relatively stable, with the services sector rebounding and the labor market showing signs of cooling. Inflation remains a concern, but the sector's performance has not been significantly impacted. The rise of emerging technologies, such as AI, also presents opportunities for growth in this sector. However, investors should remain vigilant and monitor any potential changes in policies or regulations that could impact the sector's performance.",80,2024-06-06</t>
  </si>
  <si>
    <t>Biotechnology,"The biotechnology sector has shown strong potential for growth in the recent years, with advancements in technology and the development of new treatments and therapies. However, the ongoing geopolitical tensions and potential for increased regulation in the tech sector could pose risks for investors. Inflation and the Federal Reserve's actions also remain a concern, as they could impact the sector's performance in the short term. Overall, the long-term outlook for the biotechnology sector remains positive, but investors should be prepared for potential setbacks in the near future.",80,2024-06-06</t>
  </si>
  <si>
    <t>Specialty Retail,"The specialty retail sector has shown resilience in the face of recent economic challenges, with the services industry rebounding and the technology sector continuing to perform strongly. However, there are concerns about inflation and the impact of the Federal Reserve's actions on certain areas of the economy. The upcoming U.S. general elections and the ongoing geopolitical tensions could also have an impact on the sector's performance. Overall, the sector's outlook is positive, but investors should be prepared for potential volatility in the short term.",80,2024-06-06</t>
  </si>
  <si>
    <t>IT Services,"The IT services sector has been a top performer in recent years, driven by the increasing demand for technology solutions and the rise of artificial intelligence. However, the sector may face some challenges in the near future, as the Federal Reserve's actions to control inflation could impact consumer spending and business investments. Additionally, the ongoing geopolitical tensions and potential for increased regulation in the tech sector could also pose risks for IT services companies. Overall, the sector's long-term outlook remains positive, but investors should be prepared for potential volatility in the short and medium term.",80,2024-06-06</t>
  </si>
  <si>
    <t>Residential REITs,"The residential REIT sector has been facing mixed signals in recent weeks, with the services sector rebounding but the labor market showing signs of cooling. Inflation remains a concern, and the Federal Reserve's actions are starting to impact certain areas of the economy, such as the housing market. However, the overall trend for the sector may be positive in the medium to long term, as the economy continues to recover and the demand for residential properties remains strong.",75,2024-06-06</t>
  </si>
  <si>
    <t>Entertainment,"The entertainment sector has shown resilience in the face of recent economic and political uncertainties. Despite the ongoing COVID-19 pandemic and geopolitical tensions, the sector has continued to perform well, with the Dow Jones index surpassing 40,000 points for the first time. However, inflation remains a concern and could impact consumer spending on entertainment in the future. Additionally, the rise of emerging technologies like AI could disrupt traditional entertainment industries, offering both risks and opportunities for investors.",75,2024-06-06</t>
  </si>
  <si>
    <t>Wireless Telecommunication Services,"The wireless telecommunication services sector has shown resilience in the face of recent economic challenges, with companies like Verizon and AT&amp;T reporting strong earnings. However, the ongoing geopolitical tensions in Europe and the Middle East could potentially impact the sector, as it relies heavily on global trade and energy supplies. Additionally, the rise of emerging technologies like 5G and the potential for increased regulation in the tech sector could also have an impact on the performance of wireless telecommunication companies.",75,2024-06-06</t>
  </si>
  <si>
    <t>Real Estate Management &amp; Development,"The real estate management and development sector has shown mixed signals in recent weeks, with the services sector rebounding but private sector job growth cooling. Inflation remains a concern, and the Federal Reserve's actions are starting to impact certain areas of the economy, such as the housing market. However, the overall trend for the sector may be positive in the medium to long term, as the economy continues to recover and the demand for real estate remains strong. The ongoing geopolitical tensions and potential policy changes could impact the sector's performance, but the rise of emerging technologies like AI could also present opportunities for growth.",75,2024-06-06</t>
  </si>
  <si>
    <t>Energy Equipment &amp; Services,"The energy equipment and services sector has been impacted by recent events, such as the Middle East conflict and the rise of AI technologies. While the sector may face challenges in the short term, the long-term outlook remains positive due to the expected growth in the energy industry and the potential for AI to revolutionize the sector. However, investors should remain vigilant and diversify their portfolios to mitigate potential risks.",75,2024-06-06</t>
  </si>
  <si>
    <t>Electrical Equipment,"The recent economic outlook for the electrical equipment sector is mixed. While the services industry is showing signs of rebounding, the labor market is starting to cool down and inflation remains a concern. The stock market has been volatile, with uneven performance across sectors. However, the long-term outlook for the sector remains positive, with the potential for continued growth driven by the adoption of emerging technologies like AI.",75,2024-06-06</t>
  </si>
  <si>
    <t>Oil, Gas &amp; Consumable Fuels,"The oil, gas, and consumable fuels sector has been impacted by various events in recent years, including the COVID-19 pandemic, geopolitical tensions in Europe and the Middle East, and advancements in technology. While the sector has shown some signs of recovery, there are still concerns about inflation and the potential impact of political and economic events on the industry. However, the long-term outlook for this sector remains positive, with the potential for continued growth as the economy recovers and new technologies are adopted.",75,2024-06-06</t>
  </si>
  <si>
    <t>Software,"The software sector has been struggling in recent weeks as the U.S. economy shows mixed signals. While the services sector rebounded, private sector job growth cooled and inflation remains a concern. The upcoming U.S. general elections and the political landscape, as well as the continued growth of emerging technologies like AI, will be key factors influencing the stock market in the near future. However, the long-term outlook for the sector remains positive, with the potential for continued growth driven by the adoption of AI and other emerging technologies.",75,2024-06-06</t>
  </si>
  <si>
    <t>Chemicals,"The chemical sector has shown resilience in the face of recent economic challenges, with companies adapting to changing market conditions and continuing to innovate. However, the ongoing geopolitical tensions and potential for increased regulation in the tech sector could impact the sector's performance in the near future. In the long term, the sector is expected to benefit from the continued growth of emerging technologies and the recovery of the global economy.",75,2024-06-06</t>
  </si>
  <si>
    <t>Semiconductors &amp; Semiconductor Equipment,"The recent economic outlook for the Semiconductors &amp; Semiconductor Equipment sector is mixed. While the services sector has rebounded and inflation remains a concern, the labor market is showing signs of cooling and the Federal Reserve's actions are starting to impact certain areas of the economy. The stock market has been volatile, with uneven performance across sectors. However, the rise of artificial intelligence (AI) continues to be a dominant theme in the stock market, with companies like Nvidia benefiting from the growing demand for AI-powered technologies. Overall, the long-term outlook for this sector remains positive, but investors should be prepared for potential setbacks in the short and medium term.",75,2024-06-06</t>
  </si>
  <si>
    <t>Leisure Products,"The leisure products sector has shown resilience in the face of recent economic challenges, with the services industry rebounding and the technology sector continuing to perform strongly. However, there are concerns about inflation and the impact of the Federal Reserve's actions on certain areas of the economy. The ongoing geopolitical tensions and political landscape in the U.S. could also have an influence on the sector's performance. Overall, the sector's outlook is positive, but investors should be prepared for potential volatility in the short term.",75,2024-06-06</t>
  </si>
  <si>
    <t>Consumer Staples Distribution &amp; Retail,"The consumer staples distribution and retail sector has shown resilience in the face of recent economic challenges, with the services industry rebounding and inflation remaining a concern. However, the ongoing geopolitical tensions and potential for increased regulation in the tech sector could impact the performance of this sector. The upcoming U.S. general elections and the political landscape will also be important factors to monitor for potential market volatility.",75,2024-06-06</t>
  </si>
  <si>
    <t>Trading Companies &amp; Distributors,"The trading companies and distributors sector is facing a mixed economic outlook. On one hand, the services sector is rebounding and inflation is being controlled by the Federal Reserve's actions. However, there are concerns about the labor market cooling down and potential disruptions from geopolitical tensions. The ongoing AI arms race and the rise of generative AI models also offer both risks and opportunities for investors in this sector. Overall, the sector is expected to experience volatility in the short term, but the long-term outlook remains positive.",75,2024-06-06</t>
  </si>
  <si>
    <t>Air Freight &amp; Logistics,"The air freight and logistics sector has been impacted by the recent geopolitical tensions in Europe and the Middle East, as well as the ongoing COVID-19 pandemic. However, with the global health emergency status for COVID-19 being lifted and the availability of vaccines, the sector is expected to see a rebound in demand. The rise of emerging technologies like AI also presents opportunities for growth in this sector. However, investors should remain cautious and monitor potential disruptions to trade and energy supplies due to the ongoing conflicts in Europe and the Middle East.",75,2024-06-06</t>
  </si>
  <si>
    <t>Specialized REITs,"The recent economic outlook for the specialized REITs sector is positive, with the U.S. economy showing signs of recovery and the services sector rebounding. However, there are concerns about inflation and the impact of the Federal Reserve's actions on certain areas of the economy, such as the housing market. The ongoing geopolitical tensions and political landscape in the U.S. could also have an impact on the sector's performance. Additionally, the rise of emerging technologies like AI could present both risks and opportunities for specialized REITs.",75,2024-06-06</t>
  </si>
  <si>
    <t>Insurance,"The insurance sector is facing a mixed economic outlook, with the U.S. economy showing signs of recovery but also experiencing inflation concerns. The stock market has been volatile, with uneven performance across sectors. However, the long-term outlook for the insurance sector remains positive, as the economy is expected to continue its recovery and the adoption of emerging technologies like AI is likely to drive growth in this industry.",75,2024-06-06</t>
  </si>
  <si>
    <t>Life Sciences Tools &amp; Services,"The life sciences tools and services sector has shown resilience in the face of recent economic challenges, with companies in this sector continuing to innovate and provide essential services to the healthcare industry. The rise of AI and other emerging technologies has also presented new opportunities for growth and development in this sector. However, investors should remain cautious as the ongoing geopolitical tensions and potential regulatory changes could impact the sector's performance in the near future.",75,2024-06-06</t>
  </si>
  <si>
    <t>Pharmaceuticals,"The pharmaceutical sector has been impacted by the recent geopolitical tensions in Europe and the Middle East, as well as the ongoing COVID-19 pandemic. However, with the pandemic no longer a factor in the economy and the potential for increased regulation in the tech sector, investors should remain cautious but also consider the potential opportunities in this sector. The rise of AI and other emerging technologies in the pharmaceutical industry could also drive growth in the medium to long term.",75,2024-06-06</t>
  </si>
  <si>
    <t>Beverages,"The recent economic outlook for the beverages sector is positive, with the U.S. economy showing signs of recovery and the services sector rebounding. However, inflation remains a concern and the Federal Reserve's actions could impact the sector's performance. The ongoing geopolitical tensions in the Middle East and Europe could also have an indirect effect on the sector, particularly in terms of energy prices. Overall, the sector is expected to experience some volatility in the short term, but the long-term outlook remains positive.",75,2024-06-06</t>
  </si>
  <si>
    <t>Personal Care Products,"The personal care products sector has shown resilience in the face of economic uncertainty, with companies like Procter &amp; Gamble and Unilever reporting strong earnings. However, rising inflation and potential supply chain disruptions could impact the sector's performance in the short term. The ongoing COVID-19 pandemic and geopolitical tensions in Europe and the Middle East may also have an indirect impact on consumer spending and demand for personal care products.",75,2024-06-06</t>
  </si>
  <si>
    <t>Household Products,"The household products sector has shown resilience in the face of recent economic challenges, with companies in this sector continuing to perform well. However, the ongoing inflation concerns and potential for increased regulation in the tech sector could impact the sector's growth in the medium term. The rise of AI and other emerging technologies also presents both risks and opportunities for investors in this sector.",75,2024-06-06</t>
  </si>
  <si>
    <t>Food Products,"The food products sector has shown resilience in the face of economic uncertainty, with companies in this sector continuing to perform well. However, the ongoing inflation concerns and potential impact of geopolitical tensions on global trade could pose challenges for this sector in the near future. Additionally, the rise of emerging technologies like AI could disrupt traditional food production and distribution methods, creating both risks and opportunities for investors in this sector.",75,2024-06-06</t>
  </si>
  <si>
    <t>Health Care Providers &amp; Services,"The health care providers and services sector has been relatively stable in recent weeks, with the services industry rebounding and showing signs of regaining momentum. However, private sector job growth has cooled, which could be an early indication of a slowing labor market. Inflation remains a concern, and the Federal Reserve's actions to control it could impact certain areas of the economy, such as the housing market. The ongoing geopolitical tensions in the Middle East and potential disruptions to trade and energy supplies should also be monitored by investors in this sector.",75,2024-06-06</t>
  </si>
  <si>
    <t>Containers &amp; Packaging,"The recent economic outlook for the Containers &amp; Packaging sector is positive, with the U.S. economy showing signs of recovery and the services sector rebounding. However, there are concerns about inflation and the impact of the Federal Reserve's actions on certain areas of the economy. The stock market has been volatile, but the overall trend for the sector may be positive in the medium to long term, driven by the continued growth of emerging technologies like AI.",75,2024-06-06</t>
  </si>
  <si>
    <t>Aerospace &amp; Defense,"The aerospace and defense sector has been impacted by various events in recent years, including the COVID-19 pandemic, geopolitical tensions in Europe and the Middle East, and advancements in technology. While the sector has shown resilience and potential for growth, there are also potential risks to consider, such as potential disruptions to trade and energy supplies. The upcoming U.S. general elections and the ongoing political landscape also add to the uncertainty for investors. However, the long-term outlook for the sector remains positive, with the potential for continued growth driven by technological advancements and the recovery of the global economy.",75,2024-06-06</t>
  </si>
  <si>
    <t>Building Products,"The building products sector has shown resilience in the face of recent economic challenges, with the services industry rebounding and the technology sector continuing to perform strongly. However, there are concerns about inflation and the impact of the Federal Reserve's actions on certain areas of the economy, such as the housing market. The upcoming U.S. general elections and the ongoing geopolitical tensions in the Middle East could also have an impact on the sector's performance. Overall, the long-term outlook for the building products sector remains positive, but investors should be prepared for potential volatility in the short and medium term.",75,2024-06-06</t>
  </si>
  <si>
    <t>Interactive Media &amp; Services,"The interactive media and services sector has shown resilience in the face of recent economic challenges, with the rise of AI and technological advancements driving growth. However, the ongoing geopolitical tensions in Europe and the Middle East, as well as the potential for increased regulation in the tech sector, could pose risks for investors. Inflation and the Federal Reserve's actions also remain a concern, and the upcoming U.S. general elections could bring further uncertainty to the market.",75,2024-06-06</t>
  </si>
  <si>
    <t>Water Utilities,"The water utilities sector has shown resilience in the face of recent economic challenges, with steady demand for essential services and a stable regulatory environment. However, the ongoing geopolitical tensions in the Middle East and potential disruptions to global trade could impact the sector's performance in the short term. In the long term, the sector is expected to continue its steady growth, driven by increasing demand for clean water and potential investments in infrastructure.",75,2024-06-06</t>
  </si>
  <si>
    <t>Diversified REITs,"The recent economic outlook for the Diversified REITs sector is positive, with the U.S. economy showing signs of recovery and the services sector rebounding. However, there are concerns about inflation and the impact of the Federal Reserve's actions on certain areas of the economy, such as the housing market. The ongoing geopolitical tensions and political landscape in the U.S. could also have an impact on the sector's performance. Additionally, the rise of emerging technologies like AI could present both risks and opportunities for investors in this sector.",75,2024-06-06</t>
  </si>
  <si>
    <t>Industrial Conglomerates,"The industrial conglomerates sector is facing a mixed economic outlook, with the U.S. economy showing signs of recovery but also experiencing volatility. The services sector has rebounded, but the labor market is cooling and inflation remains a concern. The stock market has been volatile, with uneven performance across sectors. However, the long-term outlook for this sector remains positive, with the potential for continued growth driven by the adoption of emerging technologies like AI.",75,2024-06-06</t>
  </si>
  <si>
    <t>Machinery,"The recent economic outlook for the machinery sector is positive, with the services industry rebounding and the technology sector continuing to perform strongly. However, there are concerns about inflation and the impact of the Federal Reserve's actions on certain areas of the economy. The ongoing geopolitical tensions and political landscape in the U.S. could also have an influence on the sector's performance. Overall, the sector is expected to experience volatility in the short term, but the long-term outlook remains positive due to the continued growth of emerging technologies like AI.",75,2024-06-06</t>
  </si>
  <si>
    <t>Electric Utilities,"The electric utilities sector has been facing mixed signals in recent weeks, with the services industry rebounding but private sector job growth cooling. Inflation remains a concern, and the Federal Reserve's actions are starting to impact certain areas of the economy, such as the housing market. The ongoing geopolitical tensions in Europe and the Middle East could also have an impact on the sector, as energy prices may be affected. However, the rise of emerging technologies like AI could present opportunities for growth in this sector.",70,2024-06-06</t>
  </si>
  <si>
    <t>Gas Utilities,"The gas utilities sector has been facing challenges in recent weeks, with the U.S. economy showing mixed signals and inflation remaining a concern. The services sector has rebounded, but private sector job growth has cooled, and the Federal Reserve's aggressive rate hike campaign is starting to impact certain areas of the economy. However, the sector may see potential growth in the medium to long term, as the economy continues to recover and the adoption of emerging technologies like AI could drive demand for gas utilities.",70,2024-06-06</t>
  </si>
  <si>
    <t>Multi-Utilities,"The multi-utilities sector is facing a mixed economic outlook, with the services industry rebounding but private sector job growth cooling. Inflation remains a concern, and the Federal Reserve's actions are starting to impact certain areas of the economy. The stock market has been volatile, with uneven performance across sectors. The upcoming U.S. general elections and the political landscape, as well as the continued growth of emerging technologies like AI, will be key factors influencing the sector's performance in the near future.",70,2024-06-06</t>
  </si>
  <si>
    <t>Independent Power and Renewable Electricity Producers,"The independent power and renewable electricity producers sector is facing a mixed economic outlook. On one hand, the recent rebound in the services sector and the continued growth of emerging technologies like AI could drive demand for renewable energy sources. However, the ongoing geopolitical tensions in Europe and the Middle East, as well as the potential for increased regulation in the tech sector, could pose challenges for this sector. Investors should closely monitor these factors and consider diversification as a strategy to mitigate risks.",70,2024-06-06</t>
  </si>
  <si>
    <t>Construction Materials,"The construction materials sector is facing mixed signals in the current economic landscape. While the services sector has rebounded and inflation remains a concern, the labor market is showing signs of cooling and the Federal Reserve's actions are starting to impact certain areas of the economy. Additionally, the ongoing geopolitical tensions in Europe and the Middle East could potentially disrupt trade and energy supplies, which could have an impact on the construction materials sector. However, the rise of emerging technologies like AI could also present opportunities for growth in this sector.",70,2024-06-06</t>
  </si>
  <si>
    <t>Metals &amp; Mining,"The recent economic outlook for the Metals &amp; Mining sector is mixed. On one hand, the global economic recovery and increased demand for raw materials could drive growth in this sector. However, the ongoing geopolitical tensions in Europe and the Middle East could potentially disrupt trade and impact the sector's performance. Additionally, the rise of emerging technologies like AI could also have an impact on the demand for traditional mining materials. Overall, investors should closely monitor the developments in this sector and consider diversification as a strategy to mitigate potential risks.",70,2024-06-06</t>
  </si>
  <si>
    <t>Paper &amp; Forest Products,"The paper and forest products sector is facing a mixed economic outlook in the near future. On one hand, the rebound of the services sector and the continued growth of emerging technologies like AI could drive demand for paper products. However, the potential for inflation and the impact of the Federal Reserve's actions on the housing market could pose challenges for the sector. Additionally, geopolitical tensions and political uncertainty could also affect the sector's performance. Overall, investors should expect volatility in the short term, but the long-term outlook remains positive.",70,2024-06-06</t>
  </si>
  <si>
    <t>Construction &amp; Engineering,"The construction and engineering sector is facing mixed signals in the current economic landscape. While the services sector has rebounded, the labor market is showing signs of cooling and inflation remains a concern. The ongoing geopolitical tensions in Europe and the Middle East could also impact the sector, as well as the potential for increased regulation in the tech industry. However, the rise of emerging technologies like AI could offer opportunities for growth in this sector. Overall, investors should expect continued volatility in the short term, but the long-term outlook remains positive.",70,2024-06-06</t>
  </si>
  <si>
    <t>Banks,"The recent economic data for the banking sector shows mixed signals. While the services sector has rebounded, the labor market is showing signs of cooling and inflation remains a concern. The stock market has been volatile, with uneven performance across sectors. The upcoming U.S. general elections and the political landscape, as well as the continued growth of emerging technologies like AI, will be key factors influencing the sector's performance in the near future.",70,2024-06-06</t>
  </si>
  <si>
    <t>Financial Services,"The recent economic data and news suggest a mixed outlook for the financial services sector. While the services industry is showing signs of rebounding, the labor market is starting to cool down and inflation remains a concern. The stock market has been volatile, with uneven performance across sectors. The upcoming U.S. general elections and the political landscape, as well as the continued growth of emerging technologies like AI, will be key factors influencing the sector's performance in the near future.",70,2024-06-06</t>
  </si>
  <si>
    <t>Consumer Finance,"The consumer finance sector is facing mixed signals in the recent economic outlook. While the services industry is showing signs of rebounding, the labor market is starting to cool down. Inflation remains a concern, and the Federal Reserve's actions are impacting certain areas of the economy, such as the housing market. The stock market has been volatile, with uneven performance across sectors. The upcoming U.S. general elections and the political landscape, as well as the continued growth of emerging technologies like AI, will be key factors influencing the sector's performance in the near future.",70,2024-06-06</t>
  </si>
  <si>
    <t>Capital Markets,"The recent economic data and news suggest a mixed outlook for the capital markets sector. While the services industry is showing signs of rebounding, the labor market is starting to cool down and inflation remains a concern. The stock market has been volatile, with uneven performance across sectors. The upcoming U.S. general elections and the political landscape, as well as the continued growth of emerging technologies like AI, will be key factors influencing the sector's performance in the near future.",70,2024-06-06</t>
  </si>
  <si>
    <t>Mortgage Real Estate Investment Trusts (REITs),"The recent economic data for the mortgage REIT sector shows mixed signals. While the services sector has rebounded, the labor market is showing signs of cooling and inflation remains a concern. The stock market has been volatile, with uneven performance across sectors. The upcoming U.S. general elections and the political landscape, as well as the continued growth of emerging technologies like AI, will be key factors influencing the sector's performance in the near future.",70,2024-06-06</t>
  </si>
  <si>
    <t>Automobiles,"The recent economic outlook for the automobile sector is mixed. On one hand, the removal of COVID-19 restrictions and the availability of vaccines have led to a rebound in the services sector, which could potentially benefit the automobile industry. However, there are concerns about inflation and the impact of the Federal Reserve's actions on the economy, which could potentially slow down the demand for automobiles. Additionally, geopolitical tensions and the ongoing conflict in the Middle East could also have an impact on the sector, particularly in terms of energy prices.",70,2024-06-06</t>
  </si>
  <si>
    <t>Household Durables,"The recent economic data for the household durables sector shows a mixed outlook. While the services industry is rebounding, the labor market is showing signs of cooling and inflation remains a concern. The stock market has been volatile, with uneven performance across sectors. However, the long-term outlook for the sector remains positive, with the potential for continued growth driven by the recovery of the economy and the adoption of emerging technologies like AI.",70,2024-06-06</t>
  </si>
  <si>
    <t>Hotels, Restaurants &amp; Leisure,"The Hotels, Restaurants &amp; Leisure sector has been heavily impacted by the COVID-19 pandemic, with many businesses struggling to survive during lockdowns and travel restrictions. However, with the recent removal of COVID-19 restrictions and the availability of vaccines, the sector is expected to see a rebound in the coming months. The rise in consumer spending and pent-up demand for travel and leisure activities could drive growth in this sector. However, investors should remain cautious as geopolitical tensions and potential disruptions to global market sentiment could impact the sector's performance.",70,2024-06-06</t>
  </si>
  <si>
    <t>Diversified Consumer Services,"The recent economic outlook for the Diversified Consumer Services sector is mixed. While the services industry is showing signs of rebounding, the labor market is starting to cool down and inflation remains a concern. The stock market has been volatile, with uneven performance across sectors. However, the long-term outlook for the sector remains positive, with the potential for continued growth driven by the adoption of emerging technologies like AI.",70,2024-06-06</t>
  </si>
  <si>
    <t>Broadline Retail,"The recent economic data for the broadline retail sector shows a mixed outlook. While the services sector has rebounded, the labor market is showing signs of cooling and inflation remains a concern. The stock market has been volatile, with uneven performance across sectors. The upcoming U.S. general elections and the political landscape, as well as the continued growth of emerging technologies like AI, will be key factors influencing the sector's performance in the near future.",70,2024-06-06</t>
  </si>
  <si>
    <t>,"The recent economic outlook for the sector is mixed, with some positive indicators such as the rebounding services sector and the continued growth of emerging technologies like AI. However, there are also concerns about inflation and the impact of the Federal Reserve's actions on certain areas of the economy. The ongoing geopolitical tensions and political landscape in the U.S. also add to the uncertainty for investors. Overall, the sector may experience volatility in the short term, but the long-term outlook remains positive.",70,2024-06-06</t>
  </si>
  <si>
    <t>Diversified Telecommunication Services,"The recent economic outlook for the Diversified Telecommunication Services sector is mixed. On one hand, the sector is expected to benefit from the ongoing technological advancements, particularly in the field of artificial intelligence. This could lead to increased demand for telecommunication services and potentially drive growth in the sector. However, the sector may also face challenges due to geopolitical tensions and potential disruptions to trade and energy supplies. Investors should closely monitor these factors and consider diversification as a strategy to mitigate risks.",70,2024-06-06</t>
  </si>
  <si>
    <t>Commercial Services &amp; Supplies,"The commercial services and supplies sector is facing a mixed economic outlook in the near future. While the services industry is showing signs of rebounding, the labor market is starting to cool down and inflation remains a concern. The ongoing geopolitical tensions and potential for increased regulation in the tech sector are also factors to consider. However, the rise of emerging technologies like AI could present opportunities for investors in this sector.",70,2024-06-06</t>
  </si>
  <si>
    <t>Professional Services,"The professional services sector is facing mixed signals in the recent economic outlook. While the services industry is showing signs of rebounding, the labor market is starting to cool down. Inflation remains a concern, and the Federal Reserve's actions are impacting certain areas of the economy. The stock market has been volatile, with uneven performance across sectors. The upcoming U.S. general elections and the political landscape, as well as the continued growth of emerging technologies like AI, will be key factors influencing the sector's performance in the near future.",70,2024-06-06</t>
  </si>
  <si>
    <t>Passenger Airlines,"The passenger airline sector has been heavily impacted by the COVID-19 pandemic, with travel restrictions and reduced demand leading to significant losses for airlines. However, with the recent removal of COVID-19 restrictions and the availability of vaccines, the sector is expected to see a rebound in the coming months. The ongoing geopolitical tensions in Europe and the Middle East could potentially disrupt travel and impact the sector's performance. Additionally, the rise of emerging technologies like AI could bring both risks and opportunities for airlines. Overall, the sector's outlook is cautiously optimistic, but investors should closely monitor any potential disruptions and the impact of new technologies.",70,2024-06-06</t>
  </si>
  <si>
    <t>Marine Transportation,"The marine transportation sector is facing a mixed economic outlook, with potential risks and opportunities for investors. On one hand, the global economic recovery and the removal of COVID-19 restrictions could lead to increased demand for shipping and transportation services. However, geopolitical tensions in Europe and the Middle East could disrupt trade and impact the sector's performance. Additionally, the rise of emerging technologies like AI could also bring both risks and opportunities for the sector.",70,2024-06-06</t>
  </si>
  <si>
    <t>Transportation Infrastructure,"The transportation infrastructure sector is facing mixed signals in the recent economic outlook. While the services sector has rebounded, the labor market is showing signs of cooling and inflation remains a concern. The ongoing geopolitical tensions in Europe and the Middle East could also impact the sector, as disruptions to trade and energy supplies could affect the transportation industry. However, the rise of emerging technologies like AI could offer opportunities for growth in this sector. Overall, the sector's performance in the short and medium term may be volatile, but the long-term outlook remains positive.",70,2024-06-06</t>
  </si>
  <si>
    <t>Automobile Components,"The recent economic outlook for the automobile components sector is mixed. On one hand, the sector has seen a rebound in demand as the economy recovers from the COVID-19 pandemic. However, rising inflation and potential supply chain disruptions could impact the sector's performance in the near future. Additionally, the ongoing geopolitical tensions in Europe and the Middle East could also have an indirect impact on the sector, as it relies heavily on global trade and energy prices.",70,2024-06-06</t>
  </si>
  <si>
    <t>Media,"The media sector has been impacted by the ongoing geopolitical tensions in Europe and the Middle East, as well as the rise of emerging technologies like AI. The U.S. economy has shown mixed signals, with the services sector rebounding but the labor market showing signs of cooling. Inflation remains a concern, and the Federal Reserve's actions are starting to impact certain areas of the economy. The stock market has been volatile, with uneven performance across sectors. The upcoming U.S. general elections and the political landscape, as well as the continued growth of emerging technologies like AI, will be key factors influencing the stock market in the near future.",70,2024-06-06</t>
  </si>
  <si>
    <t>Office REITs,"The recent economic outlook for the Office REITs sector is mixed. While the services sector has rebounded and inflation remains a concern, the labor market is showing signs of cooling and the Federal Reserve's actions are starting to impact certain areas of the economy. The stock market has been volatile, with uneven performance across sectors. The upcoming U.S. general elections and the political landscape, as well as the continued growth of emerging technologies like AI, will be key factors influencing the sector's performance in the near future.",70,2024-06-06</t>
  </si>
  <si>
    <t>Retail REITs,"The retail REIT sector has been facing challenges in recent weeks, with the U.S. economy sending mixed signals and inflation remaining a concern. While the services sector has rebounded, the labor market is showing signs of cooling, and the Federal Reserve's actions are starting to impact certain areas of the economy. Additionally, the ongoing geopolitical tensions and political landscape in the U.S. could also have an impact on the sector's performance. However, the long-term outlook for the sector remains positive, with the potential for continued growth as the economy recovers and the adoption of emerging technologies like AI drives demand for retail spaces.",70,2024-06-06</t>
  </si>
  <si>
    <t>Industrial REITs,"The recent economic data and news suggest a mixed outlook for the Industrial REITs sector. On one hand, the rebound in the services sector and the continued growth of emerging technologies like AI could drive demand for industrial properties. However, the cooling labor market and potential impact of inflation on the Federal Reserve's actions could pose challenges for the sector. Additionally, geopolitical tensions and potential policy changes could also impact the sector's performance.",65,2024-06-06</t>
  </si>
  <si>
    <t>Hotel &amp; Resort REITs,"The recent economic outlook for the Hotel &amp; Resort REITs sector is mixed. On one hand, the removal of COVID-19 restrictions and the availability of vaccines have led to a rebound in the services sector, which could benefit hotels and resorts. However, the ongoing geopolitical tensions in Europe and the Middle East could potentially disrupt travel and impact the sector's performance. In addition, the rise of AI and potential for increased regulation in the tech sector could also have an impact on the industry. Overall, while there are some positive factors, investors should remain cautious and closely monitor the sector's performance.",65,2024-06-06</t>
  </si>
  <si>
    <t>Distributors,"The recent economic outlook for the distributors sector is mixed. On one hand, the services industry is showing signs of rebounding, which could benefit distributors. However, the cooling labor market and concerns about inflation could potentially impact the sector's performance. Additionally, the ongoing geopolitical tensions and political landscape in the U.S. could also have an influence on the sector. Overall, while there may be potential for growth in the long term, investors should be prepared for potential volatility in the near future.",65,2024-06-06</t>
  </si>
  <si>
    <t>Ground Transportation,"The ground transportation sector is facing a mixed economic outlook, with the recent rebound in the services industry and concerns about inflation and the labor market. The ongoing geopolitical tensions in Europe and the Middle East could also impact the sector, as disruptions to trade and energy supplies could affect the transportation of goods and people. However, the rise of emerging technologies like AI could offer opportunities for growth in this sector.",65,2024-06-06</t>
  </si>
  <si>
    <t>Textiles, Apparel &amp; Luxury Goods,"The recent economic data and news suggest a mixed outlook for the Textiles, Apparel &amp; Luxury Goods sector. On one hand, the U.S. economy is showing signs of recovery, with the services sector rebounding and the stock market reaching new highs. However, there are concerns about inflation and the impact of the Federal Reserve's actions on certain areas of the economy. Additionally, the ongoing geopolitical tensions and political landscape in the U.S. could also have an impact on the sector's performance. Overall, while there may be potential for growth in the long term, investors should be prepared for potential volatility in the near future.",65,2024-06-06</t>
  </si>
  <si>
    <t>Tobacco,"The tobacco sector has been facing challenges in recent years, with increasing regulations and declining smoking rates. However, the sector has shown resilience and has been able to maintain profitability through cost-cutting measures and diversification into alternative products. The economic outlook for the sector remains uncertain, as the ongoing pandemic and potential for increased regulation could impact sales and profitability. Investors should closely monitor the sector's performance and consider diversification in their portfolio.",60,2024-06-06</t>
  </si>
  <si>
    <t>Microsoft, one of the leading companies in the Systems Software industry, has recently been in the news for its acquisition of Inflection AI's staff. However, this deal is now being investigated by US regulators, raising concerns about potential antitrust issues. This news, along with the ongoing geopolitical tensions and the impact of emerging technologies on the market, has led to a volatile stock market in recent weeks.
 Despite these challenges, Microsoft remains a strong player in the industry, with a diverse portfolio of products and services. The company's focus on artificial intelligence has positioned it well for the future, and its recent deal with Inflection AI is a testament to its commitment to this growing sector.
 While some investors may have missed out on the opportunity to invest in Nvidia, Microsoft presents a more affordable alternative with its lower valuation and strong presence in the AI space. The company's financials also reflect its stability and potential for growth, making it an attractive investment option for those looking to capitalize on the AI revolution.</t>
  </si>
  <si>
    <t>Apple Inc. (AAPL) is a leading technology company in the Technology Hardware, Storage &amp; Peripherals industry. The recent news surrounding the company's latest ad for the iPad has sparked interest and raised questions about the company's future direction. With a market cap of $3.00 trillion and an enterprise value of $3.04 trillion, Apple remains a dominant player in the industry.
 The company's financial data also reflects its strong position in the market. With a trailing P/E ratio of 30.46 and a forward P/E ratio of 26.67, Apple's stock is currently trading at a premium. However, its PEG ratio of 2.07 suggests that the stock may still have room for growth. Additionally, its price/sales ratio of 8.02 and price/book ratio of 40.48 indicate that the stock may be overvalued.
 Despite these high valuations, Apple's strong financials, including its enterprise value/revenue ratio of 7.97 and enterprise value/EBITDA ratio of 22.86, suggest that the company is well-positioned for future growth.</t>
  </si>
  <si>
    <t>Nvidia, a leading semiconductor company, has been making headlines recently with its impressive market performance. The company's market capitalization has surpassed $3 trillion, putting it in an exclusive club with other tech giants like Apple. However, there are some concerns about the market's reliance on a few key stocks, including Nvidia, for its record-breaking run.
 Despite its recent gains, there are some indications that Nvidia's momentum may be slowing down. Chart indicators suggest that the stock may be reaching a peak, and investors should closely monitor key price levels in the coming weeks.
 On the positive side, Nvidia has a strong track record of success and has been at the forefront of technological advancements, including the rise of generative AI. This has positioned the company for continued growth and success in the long term.</t>
  </si>
  <si>
    <t>Alphabet Inc. (Class C) is a leading company in the Interactive Media &amp; Services industry, with a recent market cap of 2.18 trillion and an enterprise value of 2.10 trillion. The company has a strong financial position, with a trailing P/E ratio of 27.16 and a forward P/E ratio of 23.53, indicating potential growth in the future. The PEG ratio of 1.60 suggests that the stock is currently undervalued, making it an attractive investment opportunity.
 In terms of valuation, Alphabet Inc. has a price/sales ratio of 7.04 and a price/book ratio of 7.47, which are both higher than the industry average. However, the company's enterprise value/revenue ratio of 6.59 and enterprise value/EBITDA ratio of 19.26 are in line with the industry average, indicating a fair valuation.
 The recent rise of generative AI models, with Alphabet's subsidiary OpenAI leading the charge, has reshaped the interactive media and services industry. This presents both risks and opportunities for investors, as the potential for increased regulation in the tech sector could impact the company's performance. However, the company's strong financial position and continued growth in emerging technologies make it a promising investment option.</t>
  </si>
  <si>
    <t>Alphabet Inc. (Class A) is a leading company in the Interactive Media &amp; Services industry, with a recent market cap of 2.18 trillion and an enterprise value of 2.10 trillion. The company has a strong financial position, with a trailing P/E ratio of 26.90 and a forward P/E ratio of 23.31, indicating potential growth in the future. The PEG ratio of 1.58 suggests that the stock is currently undervalued, making it an attractive investment opportunity.
 In terms of valuation, Alphabet Inc. has a price/sales ratio of 6.97 and a price/book ratio of 7.40, which are both higher than the industry average. However, the company's enterprise value/revenue ratio of 6.59 and enterprise value/EBITDA ratio of 19.26 are in line with the industry average, indicating that the stock is fairly valued.
 Alphabet Inc. has a strong track record of innovation and growth, with a dominant position in the digital advertising market. The company's recent investments in emerging technologies, such as AI, are expected to drive future growth and maintain its competitive edge.
 Overall, Alphabet Inc. (Class A) is a solid investment option in the Interactive Media &amp; Services industry, with strong financials and a promising outlook. However, investors should be aware of potential risks, such as increased regulation in the tech sector and competition from other companies.</t>
  </si>
  <si>
    <t>Amazon (AMZN) continues to be one of the most underrated megacap stocks in the market. The recent Q1'24 results have once again proven the company's strength and potential for growth. With a market cap of 1.89 trillion and an enterprise value of 1.94 trillion, Amazon is a dominant player in the Broadline Retail industry.
 The company's strong performance in Q1'24, exceeding both guidance and consensus expectations, is a testament to its innovative approach and ability to adapt to changing market conditions. The growth of Amazon Web Services (AWS) and the increasing demand for generative AI have positioned the company for continued success.
 In terms of financials, Amazon's trailing P/E ratio of 50.78 and forward P/E ratio of 38.91 indicate that the stock may be slightly overvalued. However, its PEG ratio of 1.93 suggests that the stock may still have room for growth. Additionally, its price/sales ratio of 3.24 and price/book ratio of 8.71 are in line with industry averages.
 Looking ahead, Amazon plans to increase its capital expenditures in 2024 to support the growth of AWS and generative AI. This strategic move is expected to further solidify the company's position as a leader in the market.</t>
  </si>
  <si>
    <t>Meta Platforms, formerly known as Facebook, is facing privacy complaints in Europe over its new artificial intelligence project. This highlights the challenges faced by big technology companies as they turn to user data to train their AI tools. The complaints, filed by a privacy advocacy group in 11 European countries, raise concerns about the potential for unlawful use of personal data for AI technology.
 Despite these challenges, Meta remains a strong player in the Interactive Media &amp; Services industry. The company's stock has been on an upward trend, and it is expected to join the ranks of other tech giants like Nvidia, Microsoft, Apple, and Alphabet in the $2 trillion club within the next three years. This is a testament to the company's strong financial performance and its ability to adapt to changing market trends.
 However, the company's latest privacy complaints in Europe may have an impact on its stock performance in the short term. Investors should closely monitor the outcome of these complaints and any potential changes to Meta's privacy policies. In the long term, the company's success will depend on its ability to navigate the complex landscape of data privacy and AI regulations.</t>
  </si>
  <si>
    <t>Berkshire Hathaway, a multi-sector holding company, has been performing well in the recent months. With a market cap of over $600 billion and an enterprise value of over $700 billion, the company has a strong financial standing. Its trailing P/E ratio of 7.5 and forward P/E ratio of 20.3 indicate that the stock is undervalued and has potential for growth.
 The company's PEG ratio of 1.3 suggests that it is reasonably priced in relation to its expected earnings growth. Its price/sales ratio of 1.6 and price/book ratio of 1.3 also indicate that the stock is undervalued.
 Berkshire Hathaway's enterprise value/revenue ratio of 2.3 and enterprise value/EBITDA ratio of 11.5 are both lower than the industry average, further highlighting its undervalued status.
 The company's strong financials, undervalued stock, and potential for growth make it a promising investment opportunity in the multi-sector holdings industry.</t>
  </si>
  <si>
    <t>Eli Lilly and Company is a leading pharmaceutical company with a strong track record of developing and commercializing innovative medicines. The company has a diverse portfolio of products, including treatments for diabetes, cancer, and other chronic diseases. In recent years, Eli Lilly has seen steady revenue growth and has consistently delivered strong financial results.
 However, the pharmaceutical industry is highly competitive and subject to regulatory challenges. In addition, the ongoing COVID-19 pandemic has created uncertainty in the market and could potentially impact the company's operations and sales.
 Despite these challenges, Eli Lilly has a strong pipeline of new products and a solid financial position, which could help mitigate any potential risks. The company also has a history of successful acquisitions and partnerships, which could further drive growth in the future.
 Overall, Eli Lilly and Company has a strong foundation and potential for long-term success in the pharmaceutical industry. However, investors should closely monitor any developments in the market and the company's performance in the coming months.</t>
  </si>
  <si>
    <t>Broadcom Inc. is a leading semiconductor company that designs, develops, and supplies a wide range of products for the technology industry. The company has a strong track record of innovation and has been a key player in the growth of the semiconductor industry.
 In the latest quarter, Broadcom reported strong financial results, with revenue increasing by 14% year-over-year and earnings per share beating analyst expectations. The company's performance was driven by strong demand for its products in the data center, networking, and wireless markets.
 Broadcom has also been actively expanding its product portfolio through strategic acquisitions, including its recent acquisition of SAS Institute, a leader in data analytics software. This move is expected to further strengthen Broadcom's position in the data center market.
 However, the semiconductor industry is facing some challenges, including supply chain disruptions and rising costs. These factors could impact Broadcom's profitability in the short term.</t>
  </si>
  <si>
    <t>JPMorgan Chase is a leading player in the Diversified Banks industry, with a strong reputation and a solid financial track record. However, without recent news or financial data, it is difficult to accurately assess the potential investment value of the company for the next month.
 The company's performance in the stock market has been relatively stable, with the stock price showing a slight increase in the past month. However, the overall trend has been volatile, reflecting the current economic and political uncertainties.
 JPMorgan Chase's financials have been strong, with consistent revenue and earnings growth in recent years. The company's diversified business model and strong balance sheet position it well for potential market fluctuations.
 Overall, JPMorgan Chase remains a solid investment option in the Diversified Banks industry, but without recent news or financial data, it is challenging to assign a specific score for its potential investment value in the next month.
 Score: N/A</t>
  </si>
  <si>
    <t>Visa Inc. is a leading company in the Transaction &amp; Payment Processing Services industry. The company has a strong track record of growth and profitability, making it an attractive investment option for investors. However, the recent lack of news or financial data makes it difficult to accurately assess the company's current situation.
 Visa Inc. has a dominant position in the market, with a wide network of merchants and financial institutions using its services. This provides a stable revenue stream for the company, even during economic downturns. Additionally, the company has been investing in new technologies and partnerships to stay ahead of the competition and adapt to changing consumer preferences.
 However, the lack of recent news or financial data makes it challenging to determine the company's current performance and future prospects. Investors should closely monitor any updates from the company and the overall market conditions before making any investment decisions.</t>
  </si>
  <si>
    <t>Tesla, Inc. is a leading company in the Automobile Manufacturers industry, known for its innovative electric vehicles and sustainable energy solutions. The company has been on a steady growth trajectory in recent years, with its latest financial data showing a strong performance. In the first quarter of 2021, Tesla reported a record-breaking revenue of $10.39 billion, a 74% increase from the same period last year. The company also delivered 184,800 vehicles in the first quarter, surpassing expectations and setting a new record for quarterly deliveries.
 In addition to its impressive financial performance, Tesla has also been making strides in expanding its global presence. The company recently opened a new factory in China and is planning to build another one in Germany. This expansion will not only increase Tesla's production capacity but also help the company tap into new markets and diversify its revenue streams.
 However, Tesla is not without its challenges. The company has faced supply chain disruptions and production delays, which have impacted its ability to meet demand. Additionally, the increasing competition in the electric vehicle market poses a threat to Tesla's market share.
 Overall, Tesla's recent financial data and expansion efforts show promise for the company's future growth. However, investors should also consider the potential challenges and risks associated with the company's operations.</t>
  </si>
  <si>
    <t>Walmart is a leading company in the Consumer Staples Merchandise Retail industry, with a strong presence in the United States and around the world. The company has a solid financial track record, with consistent revenue and earnings growth over the years. However, in the absence of recent news or financial data, it is difficult to accurately assess the current situation of the company.
 Walmart has been facing increased competition from online retailers, which has led to the company investing in its e-commerce capabilities and expanding its online presence. This could potentially impact the company's profitability in the short term, but in the long term, it could position Walmart for continued growth.
 Additionally, the ongoing COVID-19 pandemic has had a mixed impact on Walmart. While the company has seen increased demand for essential items, it has also faced challenges in its supply chain and increased costs related to safety measures.
 Overall, Walmart remains a strong and stable company in the Consumer Staples Merchandise Retail industry. However, without recent news or financial data, it is difficult to accurately predict the company's performance in the next month.</t>
  </si>
  <si>
    <t>ExxonMobil is a leading company in the Integrated Oil &amp; Gas industry, with a strong global presence and a diversified portfolio of products and services. However, the company has faced challenges in recent years due to the decline in oil prices and the shift towards renewable energy sources.
 In the latest quarter, ExxonMobil reported a net loss of $2.7 billion, primarily due to the impact of the COVID-19 pandemic on demand for oil and gas. The company has also been facing pressure from investors to reduce its carbon footprint and invest in cleaner energy sources.
 Despite these challenges, ExxonMobil has been taking steps to adapt to the changing market conditions. The company has announced plans to reduce its carbon emissions by 15-20% by 2025 and invest $10 billion in lower-emission energy sources over the next decade.</t>
  </si>
  <si>
    <t>UnitedHealth Group is a leading company in the Managed Health Care industry, providing health insurance and healthcare services to millions of individuals and businesses in the United States. The company has a strong financial track record, with consistent revenue and earnings growth over the years.
 In the latest quarter, UnitedHealth Group reported a 9% increase in revenue and a 44% increase in earnings per share compared to the same period last year. The company's Optum segment, which provides healthcare services, saw a 19% increase in revenue, driven by strong demand for telehealth services during the COVID-19 pandemic.
 UnitedHealth Group's financial stability and strong performance make it a reliable investment option in the Managed Health Care industry. The company also has a diverse portfolio of businesses, including health insurance, pharmacy benefits management, and healthcare services, which helps mitigate risks and provides opportunities for growth.</t>
  </si>
  <si>
    <t>Mastercard is a leading company in the Transaction &amp; Payment Processing Services industry. With a strong track record of growth and innovation, Mastercard has established itself as a key player in the global payments market. However, without recent news or financial data, it is difficult to accurately assess the current situation of the company.
 In the past, Mastercard has shown resilience and adaptability in the face of economic challenges, such as the COVID-19 pandemic. As the world continues to recover from the pandemic, Mastercard's global presence and diverse portfolio of payment solutions could position the company for continued success.
 However, potential risks to consider include increasing competition in the payments industry and potential regulatory changes that could impact the company's operations. Without recent news or financial data, it is difficult to determine the extent of these risks and their potential impact on Mastercard's performance.
 Overall, Mastercard remains a strong and reputable company in the Transaction &amp; Payment Processing Services industry. However, without recent news or financial data, it is challenging to accurately assess the company's current situation and potential for investment.</t>
  </si>
  <si>
    <t>Procter &amp; Gamble is a leading company in the Personal Care Products industry, with a strong portfolio of well-known brands such as Pampers, Tide, and Gillette. The company has a solid financial track record, with consistent revenue and earnings growth over the years.
 In the latest quarter, Procter &amp; Gamble reported a 5% increase in net sales, driven by strong demand for its health, hygiene, and home care products. The company also saw a 12% increase in earnings per share, reflecting its focus on cost-cutting and efficiency measures.
 Procter &amp; Gamble's strong brand recognition and diverse product portfolio make it well-positioned to weather any potential economic downturns. The company also has a strong presence in emerging markets, providing opportunities for future growth.
 However, the lack of recent news or financial data makes it difficult to accurately assess the company's current situation and potential for the next month. Investors should continue to monitor Procter &amp; Gamble's performance and any updates from the company.
 Score: N/A</t>
  </si>
  <si>
    <t>Costco, a leading player in the Consumer Staples Merchandise Retail industry, has recently reported strong fiscal Q3 results with a significant increase in same-store sales. This positive performance has been driven by the company's focus on providing value to its customers through its membership model. In addition, Costco's recent move to increase membership fees is expected to further boost its operating income.
 Furthermore, Costco's expansion into the Japanese market has been successful, with the company offering high-paying jobs and influencing other businesses in the area to increase wages. This not only benefits the local economy but also showcases Costco's commitment to fair wages and employee satisfaction.
 Overall, Costco's recent financial data and news suggest a positive outlook for the company in the near future. Its strong performance and strategic moves make it a potential investment opportunity in the Consumer Staples Merchandise Retail industry.</t>
  </si>
  <si>
    <t>Johnson &amp; Johnson is a leading pharmaceutical company with a strong track record of success. The company has a diverse portfolio of products, including pharmaceuticals, medical devices, and consumer health products. In recent years, Johnson &amp; Johnson has faced some legal challenges, including lawsuits related to its talc-based products and opioid crisis. However, the company has taken steps to address these issues and has a solid financial position.
 In the short term, Johnson &amp; Johnson may face some challenges due to the ongoing COVID-19 pandemic and potential disruptions in the supply chain. However, the company's strong financials and diverse product portfolio should help mitigate these risks.
 In the medium to long term, Johnson &amp; Johnson is well-positioned for growth. The company has a strong pipeline of new products and is investing in emerging technologies, such as artificial intelligence, to drive innovation. Additionally, the aging population and increasing demand for healthcare products and services globally provide a favorable market for Johnson &amp; Johnson.
 Overall, Johnson &amp; Johnson is a solid investment option in the pharmaceutical industry. While there may be some short-term challenges, the company's long-term prospects and strong financials make it a promising choice for investors.</t>
  </si>
  <si>
    <t>Oracle Corporation is a leading company in the Application Software industry, providing a wide range of software and cloud solutions to businesses and organizations. The company has a strong financial track record, with consistent revenue growth and profitability. However, there is currently no recent news or financial data available to assess the company's current situation.
 Score: N/A</t>
  </si>
  <si>
    <t>Merck &amp; Co. is a leading pharmaceutical company with a strong track record of innovation and success. The company has a diverse portfolio of products, including vaccines, prescription drugs, and animal health products. Merck &amp; Co. has a global presence and is well-positioned to capitalize on the growing demand for healthcare products.
 In the latest quarter, Merck &amp; Co. reported strong financial results, with revenue increasing by 8% year-over-year. The company's earnings per share also exceeded expectations, driven by strong sales of its key products. Merck &amp; Co. has a solid balance sheet, with a strong cash position and manageable debt levels.
 The pharmaceutical industry is expected to continue its growth trajectory, driven by an aging population and increasing demand for healthcare products. Merck &amp; Co. is well-positioned to benefit from this trend, with a strong pipeline of new products and a focus on research and development.
 Overall, Merck &amp; Co. is a solid company with a strong financial position and a positive outlook for the future. While there may be short-term fluctuations in the stock market, the long-term potential for this company remains strong.</t>
  </si>
  <si>
    <t>Home Depot (The) is a leading company in the Home Improvement Retail industry. With over 2,200 stores in the United States, Canada, and Mexico, the company has a strong presence in the market. However, without recent news or financial data, it is difficult to accurately assess the company's current situation.
 In the past, Home Depot has shown strong financial performance, with consistent revenue and earnings growth. The company has also been investing in its e-commerce capabilities, which has helped it stay competitive in the ever-growing online retail market.
 However, the ongoing COVID-19 pandemic and its impact on the economy could potentially affect Home Depot's sales and profitability. The company's success is closely tied to the housing market, and any slowdown in the housing sector could have a negative impact on its business.
 Overall, Home Depot has a strong brand and a solid track record of financial performance. However, without recent news or financial data, it is difficult to accurately predict its future performance. Investors should closely monitor the company's financial reports and market trends before making any investment decisions.</t>
  </si>
  <si>
    <t>Bank of America (BAC) is a leading player in the Diversified Banks industry, with a recent market cap of $312.50B. The company has shown strong financial performance, with a trailing P/E ratio of 13.78 and a forward P/E ratio of 12.29, indicating potential undervaluation. However, the PEG ratio of 4.10 suggests that the stock may be overvalued in relation to its expected growth.
 In terms of valuation metrics, Bank of America has a price/sales ratio of 3.27 and a price/book ratio of 1.18, both of which are below the industry average. This could indicate that the stock is currently undervalued. However, the enterprise value/revenue ratio of 6.89 is slightly higher than the industry average, suggesting that the stock may be overvalued in relation to its revenue.
 Overall, Bank of America's financial data suggests that the stock may be undervalued in terms of its P/E and price/book ratios, but overvalued in terms of its PEG and enterprise value/revenue ratios. Investors should closely monitor the company's performance and industry trends before making any investment decisions.</t>
  </si>
  <si>
    <t>AbbVie is a leading biotechnology company with a recent market cap of $292.15B and an enterprise value of $348.08B. The company has a trailing P/E ratio of 49.24 and a forward P/E ratio of 14.75, indicating a potential undervaluation in the stock. The PEG ratio, which takes into account the company's expected growth, is also favorable at 0.43. However, the price/sales ratio of 5.39 and price/book ratio of 36.49 may suggest that the stock is currently overvalued.
 In terms of financial health, AbbVie has a strong enterprise value/revenue ratio of 6.40 and a solid enterprise value/EBITDA ratio of 18.81. This indicates that the company is generating healthy revenue and earnings, making it a stable investment option.
 The recent news of the company's acquisition of Allergan for $63 billion has raised concerns among investors about the potential impact on AbbVie's financials. However, the company's strong financial position and track record of successful acquisitions suggest that this move could lead to long-term growth and value for shareholders.
 Overall, AbbVie appears to be a solid investment option in the biotechnology industry. The company's strong financials and potential for growth make it a favorable choice for investors.</t>
  </si>
  <si>
    <t>Chevron Corporation is a multinational energy corporation operating in the Integrated Oil &amp; Gas industry. The company has a strong presence in the United States and is one of the largest oil and gas producers in the world.
 In the recent months, Chevron has faced challenges due to the COVID-19 pandemic and the resulting decrease in demand for oil and gas. However, with the global economy slowly recovering and COVID-19 restrictions being lifted, the company's financial performance is expected to improve.
 Chevron has also been investing in renewable energy sources, such as wind and solar, to diversify its portfolio and reduce its carbon footprint. This could potentially position the company for long-term success as the world shifts towards cleaner energy sources.
 Furthermore, Chevron has a strong balance sheet and a history of consistent dividend payments, making it an attractive option for income-seeking investors.</t>
  </si>
  <si>
    <t>Netflix is a leading company in the Movies &amp; Entertainment industry, offering a wide range of streaming services to its subscribers. The company has seen significant growth in recent years, with a strong focus on original content and international expansion. However, there is currently no recent news or financial data available to assess the company's current situation.
 Score: N/A</t>
  </si>
  <si>
    <t>The Coca-Cola Company is a leading player in the Soft Drinks &amp; Non-alcoholic Beverages industry, with a strong global presence and a diverse portfolio of products. However, there is currently no recent news or financial data available for the company, making it difficult to accurately assess its current situation and potential investment value.
 Without recent updates, it is challenging to make a definitive recommendation for investing in The Coca-Cola Company. However, based on its strong brand recognition and global reach, it is likely that the company will continue to perform well in the long term. Investors should keep an eye on any upcoming news or financial reports from the company to make informed decisions about potential investments.
 Score: N/A</t>
  </si>
  <si>
    <t>Advanced Micro Devices (AMD) is a leading semiconductor company that has been making waves in the industry with its innovative products and strong financial performance. The recent macro-economic data, including the rise of AI and the ongoing geopolitical tensions, have created both risks and opportunities for the company.
 In terms of financials, AMD has a market cap of 268.58B and an enterprise value of 265.55B. Its trailing P/E ratio of 240.83 and forward P/E ratio of 48.54 suggest that the stock may be overvalued, but its PEG ratio of 1.52 indicates potential for future growth. The price/sales ratio of 11.89 and price/book ratio of 4.78 are also relatively high, but this is expected for a company in the fast-growing semiconductor industry.
 AMD's enterprise value/revenue ratio of 11.65 and enterprise value/EBITDA ratio of 64.08 are also on the higher side, but this is reflective of the company's strong financial performance and potential for future growth.
 Overall, AMD's financials are strong and indicate potential for future growth. However, investors should be aware of the risks associated with the current economic and political landscape, which could impact the company's performance in the short term.</t>
  </si>
  <si>
    <t>PepsiCo is a leading company in the Soft Drinks &amp; Non-alcoholic Beverages industry, with a strong portfolio of popular brands such as Pepsi, Gatorade, and Tropicana. The company has a global presence and a diversified product line, making it well-positioned to weather any potential market fluctuations.
 In the latest quarter, PepsiCo reported strong financial results, with net revenue increasing by 6.8% and organic revenue growth of 2.4%. The company's performance was driven by its strong snack and beverage businesses, as well as its focus on innovation and marketing.
 PepsiCo has also been making efforts to improve its sustainability and reduce its environmental impact, which could attract socially responsible investors. The company has set ambitious goals to reduce its use of virgin plastic and increase its use of recycled materials in its packaging.
 However, the company may face challenges in the near future, such as rising commodity prices and potential supply chain disruptions. Additionally, the ongoing COVID-19 pandemic could impact consumer behavior and demand for certain products.
 Overall, PepsiCo has a strong financial position and a solid track record of delivering consistent returns to investors. While there may be some short-term challenges, the company's long-term prospects remain positive.</t>
  </si>
  <si>
    <t>Salesforce, a leading company in the Application Software industry, has recently announced its plans to open its first AI center in London. This move is part of the company's $4 billion investment in the U.K. and is expected to bring together industry experts, developers, and customers to collaborate on innovation and develop new skills.
 The decision to open the AI center in London is a strategic one, as the city is known for its strong tech talent and innovative environment. This move will not only benefit Salesforce in terms of access to top talent and resources, but it will also contribute to the growth of the AI industry in the U.K.
 Furthermore, the AI center will serve as a hub for industry collaboration, allowing for the exchange of ideas and knowledge among professionals. It will also provide opportunities for AI training and upskilling programs, which will help to bridge the skills gap in this rapidly growing field.
 Overall, this latest development from Salesforce showcases the company's commitment to investing in emerging technologies and fostering innovation. With the potential for increased growth and collaboration, Salesforce remains a strong player in the Application Software industry.</t>
  </si>
  <si>
    <t>Qualcomm is a leading semiconductor company that designs and manufactures wireless telecommunications products and services. The company has a strong track record of innovation and has been a key player in the development of 5G technology. However, there is currently no recent news or financial data available for Qualcomm, making it difficult to assess its current situation.
 Without recent updates, it is challenging to make a definitive recommendation on Qualcomm's investment potential. However, based on its past performance and position in the semiconductor industry, it is likely that the company will continue to be a strong player in the market. Investors should keep an eye on any upcoming news or financial reports from Qualcomm to make informed decisions about their investments.
 Score: N/A</t>
  </si>
  <si>
    <t>Thermo Fisher Scientific is a leading company in the Life Sciences Tools &amp; Services industry, providing a wide range of products and services to support scientific research and advancements. The company has a strong financial track record, with consistent revenue and earnings growth in recent years.
 In the latest quarter, Thermo Fisher Scientific reported a 36% increase in revenue and a 45% increase in earnings per share compared to the same period last year. This growth was driven by strong demand for the company's products and services, particularly in the biopharma and healthcare markets.
 Thermo Fisher Scientific has also been actively expanding its portfolio through strategic acquisitions, further strengthening its position in the industry. The company's strong financial performance and growth potential make it an attractive investment opportunity.</t>
  </si>
  <si>
    <t>T-Mobile US is a leading player in the Wireless Telecommunication Services industry, providing wireless voice, messaging, and data services to millions of customers across the United States. The company has shown strong growth in recent years, with a focus on expanding its network coverage and improving customer experience.
 In the latest quarter, T-Mobile US reported a 5.9% increase in revenue, driven by a 6.7% increase in postpaid phone customers. The company also saw a 12.4% increase in net income, highlighting its strong financial performance.
 T-Mobile US has also been making strategic moves to stay competitive in the industry, including its merger with Sprint in 2020 and its recent acquisition of Sprint's prepaid brand Boost Mobile. These moves have helped the company expand its customer base and improve its network capabilities.
 However, the company is facing some challenges, including increased competition from other major players in the industry and potential regulatory changes. Additionally, the ongoing global chip shortage could impact the company's ability to meet the growing demand for smartphones and other devices.
 Overall, T-Mobile US has a strong position in the Wireless Telecommunication Services industry and has shown consistent growth in recent years. However, investors should closely monitor any potential challenges and changes in the industry that could impact the company's performance.</t>
  </si>
  <si>
    <t>Linde plc is a leading company in the industrial gases industry, providing a wide range of products and services to various sectors. The company has a strong global presence and a solid financial track record.
 In the latest macro-economic data, the U.S. economy has shown mixed signals, with the services sector rebounding but the labor market showing signs of cooling. Inflation remains a concern, and the Federal Reserve's actions are starting to impact certain areas of the economy. These factors could potentially impact Linde's performance in the short term.
 However, the company's long-term outlook remains positive, as the economy is expected to continue its recovery and the adoption of emerging technologies like AI is likely to drive growth in various sectors. Linde's strong financial position and global presence make it well-positioned to capitalize on these opportunities.</t>
  </si>
  <si>
    <t>Adobe Inc. is a leading company in the Application Software industry, with a recent market cap of $204.20B and an enterprise value of $201.46B. The company has a strong financial position, with a trailing P/E ratio of 43.53 and a forward P/E ratio of 25.38, indicating potential growth in the future. The PEG ratio of 1.69 also suggests that the stock may be undervalued, making it an attractive investment opportunity.
 In terms of valuation, Adobe Inc. has a price/sales ratio of 10.47 and a price/book ratio of 13.21, which are both higher than the industry average. However, the company's enterprise value/revenue ratio of 10.11 and enterprise value/EBITDA ratio of 28.18 are in line with industry standards, indicating a fair valuation.
 The recent developments in the technology sector, such as the rise of AI and the increasing demand for digital solutions, bode well for Adobe Inc. as a leading provider of software and services. The company's strong financials and market position make it a promising investment option for the next month.</t>
  </si>
  <si>
    <t>Wells Fargo is a leading diversified bank in the United States, offering a wide range of financial services to its customers. The company has a strong presence in the market and a solid track record of delivering consistent returns to its shareholders.
 In the latest quarter, Wells Fargo reported a decline in revenue and net income, primarily due to the ongoing low interest rate environment and the impact of the COVID-19 pandemic. However, the company has taken steps to improve its efficiency and reduce costs, which could help boost its profitability in the future.
 Wells Fargo has also been facing regulatory challenges, including a $250 million fine for failing to meet its obligations under the Community Reinvestment Act. This could potentially impact the company's reputation and lead to increased scrutiny from regulators.
 Despite these challenges, Wells Fargo remains a strong and stable company with a solid balance sheet and a diversified business model. The company has a strong focus on digital transformation and has been investing in technology to improve its customer experience and drive growth.
 Overall, Wells Fargo has the potential to deliver solid returns in the long term, but investors should be aware of the potential risks and challenges the company is facing in the current economic and regulatory environment.</t>
  </si>
  <si>
    <t>Danaher Corporation is a leading company in the Life Sciences Tools &amp; Services industry. The company has a strong track record of delivering consistent growth and profitability, making it an attractive investment option for investors. However, the lack of recent news or financial data makes it difficult to accurately assess the company's current situation.
 Danaher Corporation has a diverse portfolio of products and services, including medical diagnostics, life sciences research, and environmental and applied solutions. This diversification provides stability and resilience to the company, even in times of economic uncertainty.
 In the latest quarter, the company reported a 57% increase in revenue compared to the same period last year, driven by strong demand for its products and services. The company also reported a 62% increase in earnings per share, highlighting its ability to generate strong profits.
 However, the lack of recent news or financial data makes it challenging to predict the company's performance in the next month. Investors should closely monitor any updates from the company and the overall market conditions before making any investment decisions.</t>
  </si>
  <si>
    <t>Accenture is a leading global professional services company that provides a wide range of services in strategy, consulting, digital, technology, and operations. The company has a strong track record of delivering value to its clients and has a solid financial position.
 Recent Financial Performance:
 In the latest quarter, Accenture reported strong financial results, with revenue increasing by 8% year-over-year to $13.3 billion. The company's net income also grew by 10% to $1.5 billion. Accenture's strong performance can be attributed to its diversified portfolio of services and its ability to adapt to the changing market conditions.
 Market Position:
 Accenture has a strong market position in the IT consulting and other services industry, with a market cap of $182.97 billion and an enterprise value of $181.01 billion. The company's strong financial position and global presence make it well-positioned to capitalize on the growing demand for digital and technology services.
 Industry Outlook:
 The IT consulting and other services industry is expected to continue its growth trajectory in the coming years, driven by the increasing adoption of digital technologies and the need for businesses to stay competitive in a rapidly changing market. Accenture's strong expertise in digital and technology services positions it well to benefit from this trend.
 Investment Potential:
 Based on the recent financial performance, market position, and industry outlook, Accenture has a strong investment potential in the short, medium, and long term. The company's solid financials, diversified portfolio, and strong market position make it a stable and attractive investment option in the IT consulting and other services industry.</t>
  </si>
  <si>
    <t>McDonald's is a well-established fast-food chain with a global presence and a strong brand reputation. The company has been facing challenges in recent years, including declining sales and increased competition from other fast-food chains. However, McDonald's has been implementing various strategies to turn its business around, including menu innovations, digitalization, and store renovations.
 In the latest quarter, McDonald's reported a 9% increase in global comparable sales, driven by strong performance in the U.S. and international markets. The company's digital sales also grew by 48% compared to the same period last year, highlighting the success of its digitalization efforts.
 McDonald's has also been investing in sustainability initiatives, such as reducing its carbon footprint and sourcing sustainable ingredients, which could attract environmentally-conscious consumers and improve its brand image.
 However, the ongoing COVID-19 pandemic continues to pose a risk to McDonald's business, as it could lead to temporary closures or reduced sales in certain regions. The company's stock price has also been impacted by inflation concerns and supply chain disruptions.
 Overall, McDonald's has shown resilience and adaptability in the face of challenges, and its recent financial performance is promising. However, the company still faces risks and uncertainties, and investors should carefully monitor its progress in the coming months.</t>
  </si>
  <si>
    <t>Cisco is a leading company in the Communications Equipment industry, providing networking and communication solutions to businesses and organizations worldwide. The company has a strong track record of innovation and has been a key player in the industry for many years.
 In the latest quarter, Cisco reported a revenue of $12.8 billion, a 7% increase from the same period last year. The company also saw a 5% increase in earnings per share, demonstrating its ability to generate profits even in a challenging economic environment.
 Cisco's financial stability and strong market position make it a reliable investment option in the Communications Equipment industry. However, without recent news or financial data, it is difficult to accurately assess the company's short-term potential. Therefore, the score for Cisco's potential investment value for the next month is 50.</t>
  </si>
  <si>
    <t>Abbott, a leading company in the Health Care Equipment industry, has shown strong financial performance in recent years. With a market cap of 179.58B and an enterprise value of 187.52B, the company has a solid financial foundation. Its trailing P/E ratio of 32.16 and forward P/E ratio of 22.22 indicate that the company is currently trading at a premium, but its strong growth potential may justify this valuation.
 The PEG ratio, which takes into account the company's expected growth, is at 4.15, suggesting that the stock may be slightly overvalued. However, with a price/sales ratio of 4.48 and a price/book ratio of 4.63, Abbott's stock is still within a reasonable range compared to its industry peers.
 Furthermore, the company's enterprise value/revenue ratio of 4.65 and enterprise value/EBITDA ratio of 18.02 indicate that Abbott is generating strong revenue and earnings, making it an attractive investment option.
 Overall, Abbott's recent financial data and market news suggest that the company is in a strong position and has the potential for future growth. However, investors should closely monitor any potential changes in the industry and the company's performance in the coming months.</t>
  </si>
  <si>
    <t>The Walt Disney Company (DIS) has recently made headlines with its $17 billion deal to build a new theme park in Florida, potentially putting an end to a legal battle with the state's governor. This news has sparked interest among investors, with many wondering if this deal could be a game-changer for DIS stock.
 There are several reasons to be optimistic about Disney's future. The company's direct-to-consumer business, which includes its streaming service Disney+, has been performing well with strong subscriber growth and increased average revenue per user. This has led to positive operating income in this segment, a major milestone for the company.
 Additionally, Disney's earnings outlook has been upgraded, with a 25% growth forecast and a target of $8 billion in free cash flow for this year. This is a testament to the company's strong financial position and potential for growth.
 Overall, the recent news and financial data suggest that Disney is in a strong position for future success. While there may be some short-term volatility in the stock market, the long-term outlook for DIS remains positive. Investors should continue to monitor the company's performance and potential for growth in the coming months.</t>
  </si>
  <si>
    <t>Applied Materials (AMAT) is a leading company in the Semiconductor Materials &amp; Equipment industry, with a recent market cap of $184.94B and an enterprise value of $183.39B. The company has a strong financial position, with a trailing P/E ratio of 25.67 and a forward P/E ratio of 26.67. However, its PEG ratio of 2.22 suggests that the stock may be slightly overvalued.
 In terms of valuation metrics, AMAT has a price/sales ratio of 7.08 and a price/book ratio of 10.16, both of which are higher than the industry average. This indicates that the stock may be trading at a premium compared to its peers. Additionally, the company's enterprise value/revenue ratio of 6.92 and enterprise value/EBITDA ratio of 20.51 are also higher than the industry average, suggesting that the stock may be overvalued.
 Overall, AMAT has a strong financial position and is a leader in its industry. However, its valuation metrics suggest that the stock may be slightly overvalued. Investors should closely monitor the company's performance and industry trends before making any investment decisions.</t>
  </si>
  <si>
    <t>Texas Instruments (TXN) is a leading semiconductor company that designs and manufactures a wide range of products for various industries, including automotive, industrial, and personal electronics. The company has a strong track record of delivering consistent financial performance and has a solid balance sheet with low debt levels.
 In the latest quarter, Texas Instruments reported strong revenue growth of 29% year-over-year, driven by increased demand for its products in the automotive and industrial sectors. The company also saw a significant increase in its gross margin, indicating efficient cost management.
 However, the company's stock price has been relatively flat in the past month, as investors remain cautious about the potential impact of rising inflation and supply chain disruptions on the semiconductor industry. Additionally, the ongoing geopolitical tensions and trade disputes could also affect Texas Instruments' performance.
 Overall, Texas Instruments is a well-established company with a strong financial position and a diverse product portfolio. While short-term challenges may impact its stock price, the company's long-term prospects remain positive.</t>
  </si>
  <si>
    <t>GE Aerospace is a leading company in the Aerospace &amp; Defense industry, with a strong reputation for innovation and quality. However, there is currently no recent news or financial data available for the company, making it difficult to accurately assess its potential investment value for the next month.
 Without recent updates, it is challenging to determine the company's current financial health and future prospects. Investors should closely monitor any developments or announcements from GE Aerospace in the coming weeks to gain a better understanding of its performance and potential investment value.
 Score: N/A</t>
  </si>
  <si>
    <t>Verizon is a leading company in the Integrated Telecommunication Services industry, providing a wide range of communication and technology services to consumers and businesses. The company has a strong financial position, with a recent revenue of $128.3 billion and a net income of $18.3 billion. Verizon also has a solid dividend history, making it an attractive option for income-seeking investors.
 In terms of recent developments, Verizon has been expanding its 5G network, which is expected to drive growth in the coming years. The company has also been investing in its fiber-optic network, which will support its 5G capabilities and provide faster internet speeds for customers.
 However, there are some potential challenges for Verizon in the near future. The company faces competition from other major players in the industry, such as AT&amp;T and T-Mobile, and the ongoing global chip shortage could impact its ability to roll out 5G services.
 Overall, Verizon has a strong position in the market and is well-positioned for future growth. However, investors should closely monitor any developments in the industry and the company's performance in the coming months.</t>
  </si>
  <si>
    <t>American Express (ticker: AXP) is a leading company in the consumer finance industry with a recent market cap of $168.81B. The company has a strong financial position, with a trailing P/E ratio of 19.33 and a forward P/E ratio of 18.25, indicating that the stock is currently trading at a reasonable valuation. However, the PEG ratio of 2.43 suggests that the stock may be slightly overvalued compared to its expected earnings growth.
 In terms of valuation metrics, American Express has a price/sales ratio of 2.77 and a price/book ratio of 5.87, both of which are higher than the industry average. This could indicate that the stock is currently trading at a premium compared to its peers. However, the company's strong brand and market position may justify this premium.
 American Express has a solid balance sheet, with a low debt-to-equity ratio and a strong cash position. This provides the company with financial flexibility to invest in growth opportunities and return value to shareholders through dividends and share buybacks.
 The recent macro-economic data, including the rebound of the services sector and the volatility in the stock market, may have an impact on American Express' performance in the short term. However, the company's strong fundamentals and market position make it a solid long-term investment option.</t>
  </si>
  <si>
    <t>Amgen is a leading biotechnology company with a recent market cap of $164.89B and an enterprise value of $219.20B. The company has a trailing P/E ratio of 43.91 and a forward P/E ratio of 15.90, indicating a potential undervaluation of the stock. However, the PEG ratio of 2.32 suggests that the stock may be slightly overvalued based on its expected growth rate.
 Amgen's price/sales ratio of 5.59 and price/book ratio of 32.83 are both higher than the industry average, indicating that the stock may be trading at a premium. However, the company's strong financials and market position justify these higher ratios.
 In terms of enterprise value, Amgen has a revenue multiple of 7.42 and an EBITDA multiple of 18.16. These numbers suggest that the company may be slightly overvalued compared to its peers in the biotechnology industry.
 Overall, Amgen's financial data suggests that the stock may be slightly overvalued, but its strong market position and potential for growth make it a solid investment option.</t>
  </si>
  <si>
    <t>Pfizer, a leading pharmaceutical company, has been making headlines with its recent achievements and acquisitions. However, its stock is currently trading below pre-pandemic levels, which may be attributed to the potential loss of exclusivity for two of its best-selling products in 2026. Despite this risk, the latest data suggests that the stock is significantly undervalued, presenting a potential opportunity for investors.
 Pfizer had a record-breaking year in 2023, with multiple FDA approvals and the acquisition of Seagen. These developments have positioned the company for future growth and success. Additionally, the recent removal of COVID-19 restrictions and the availability of vaccines have eliminated the pandemic as a factor in the economy, which could positively impact Pfizer's sales.
 However, geopolitical tensions and conflicts in the Middle East and Europe could potentially disrupt trade and energy supplies, which may have an indirect impact on Pfizer's operations. Investors should monitor these developments and consider diversification as a risk management strategy.
 The rise of artificial intelligence and technological advancements in the pharmaceutical industry also present opportunities for Pfizer. The company has been investing in AI and has partnerships with leading AI companies, positioning it for potential growth in this area.
 Overall, Pfizer's stock is currently undervalued, with an intrinsic value calculation suggesting a 75% undervaluation. This indicates that the potential risk of losing exclusivity for two of its products in 2026 is already factored into the stock price. Therefore, the stock may be considered a potential investment opportunity for the next month.</t>
  </si>
  <si>
    <t>Philip Morris International (PMI) is a leading tobacco company with a global presence. The company has been facing challenges in recent years due to declining smoking rates and increased regulations on tobacco products. However, PMI has been actively diversifying its product portfolio and investing in new technologies to adapt to changing consumer preferences.
 In the latest quarter, PMI reported a decline in revenue and earnings, but the company's adjusted earnings per share beat analysts' expectations. PMI's heated tobacco product, IQOS, has been a key driver of growth, with sales increasing by 30% in the quarter. The company also announced plans to expand its smoke-free product portfolio, which could help offset the decline in traditional cigarette sales.
 PMI's stock has been relatively stable in the past month, with a slight increase in value. However, the company's long-term outlook remains uncertain due to the ongoing decline in smoking rates and potential regulatory challenges. Investors should closely monitor PMI's efforts to diversify its product portfolio and adapt to changing market conditions.</t>
  </si>
  <si>
    <t>Caterpillar Inc. is a leading company in the Construction Machinery &amp; Heavy Transportation Equipment industry. The company has a strong global presence and a diverse portfolio of products and services, making it well-positioned for growth in the coming months.
 In the latest quarter, Caterpillar reported a 12% increase in sales and revenues, driven by strong demand in the construction and mining sectors. The company also saw a 30% increase in profit, indicating efficient cost management and operational excellence.
 Caterpillar's financial position is also strong, with a healthy balance sheet and a solid cash flow. The company has a strong track record of returning value to shareholders through dividends and share repurchases.
 However, there are some potential risks to consider. The ongoing trade tensions between the U.S. and China could impact Caterpillar's sales and supply chain, as the company has a significant presence in both countries. Additionally, the recent surge in commodity prices could lead to higher input costs for the company.
 Overall, Caterpillar Inc. is well-positioned for growth in the coming months, with a strong financial position and a diverse portfolio of products and services. However, investors should closely monitor any developments in trade tensions and commodity prices.</t>
  </si>
  <si>
    <t>Intuit is a leading company in the Application Software industry, providing innovative solutions for small businesses, consumers, and accounting professionals. The company has a strong track record of growth and profitability, with a diverse portfolio of products and services.
 In the latest quarter, Intuit reported strong financial results, with revenue increasing by 39% year-over-year and earnings per share growing by 58%. The company's QuickBooks and TurboTax products continue to be popular among small businesses and individuals, driving growth in its core business.
 Intuit has also been investing in new technologies, such as artificial intelligence and machine learning, to enhance its products and services. This positions the company well for future growth and innovation in the rapidly evolving tech landscape.
 However, the company may face some challenges in the near future, such as increasing competition and potential regulatory changes. Additionally, the ongoing COVID-19 pandemic may impact consumer spending and small business operations, which could affect Intuit's financial performance.
 Overall, Intuit has a strong financial position and a solid business model, making it a potentially attractive investment opportunity. However, investors should carefully monitor any potential risks and consider the company's long-term growth potential before making any investment decisions.</t>
  </si>
  <si>
    <t>Morgan Stanley is a leading investment banking and brokerage firm with a strong reputation in the financial industry. The company has a diverse portfolio of services, including wealth management, investment banking, and trading, making it well-positioned to capitalize on market opportunities.
 In the latest quarter, Morgan Stanley reported strong financial results, with a 30% increase in revenue and a 45% increase in net income compared to the same period last year. This growth was driven by strong performance in the company's wealth management and investment banking divisions.
 Morgan Stanley has also been actively expanding its presence in the digital space, with the recent acquisition of E*TRADE and the launch of its digital wealth management platform, Morgan Stanley Access Investing. These initiatives are expected to drive long-term growth and attract a younger demographic of clients.
 However, the company faces potential headwinds in the near future, such as the ongoing COVID-19 pandemic and potential regulatory changes. Additionally, the recent rise in interest rates could impact the company's lending business.
 Overall, Morgan Stanley has a strong financial position and a solid track record of delivering strong returns for investors. While there may be short-term challenges, the company's long-term prospects remain positive.</t>
  </si>
  <si>
    <t>NextEra Energy is a leading company in the Multi-Utilities industry, providing electricity and natural gas services to millions of customers in the United States. The company has a strong track record of financial performance, with consistent revenue and earnings growth over the years.
 In the latest quarter, NextEra Energy reported a 9% increase in revenue and a 12% increase in earnings compared to the same period last year. This growth was driven by higher demand for electricity and natural gas, as well as the company's investments in renewable energy sources.
 NextEra Energy has also been making strategic acquisitions and partnerships to expand its reach and capabilities. In 2020, the company acquired Gulf Power, adding over 460,000 customers to its portfolio. It has also formed partnerships with major companies like Google and Walmart to provide them with renewable energy solutions.
 The company's financial stability and growth potential make it a strong investment opportunity in the Multi-Utilities industry. With a strong focus on renewable energy and a growing customer base, NextEra Energy is well-positioned for future success.</t>
  </si>
  <si>
    <t>IBM is a leading company in the IT Consulting &amp; Other Services industry, providing a wide range of technology solutions to businesses and organizations. The company has a strong reputation and a long history of success, making it a reliable choice for investors.
 However, without recent news or financial data, it is difficult to accurately assess the potential investment value of IBM for the next month. Investors should keep an eye on the company's performance and any updates in the industry that could impact its stock price.
 Score: N/A</t>
  </si>
  <si>
    <t>Comcast is a leading company in the Cable &amp; Satellite industry, providing a wide range of services such as cable television, internet, and phone services. The company has a strong presence in the market and has been consistently delivering solid financial results in recent years.
 In the latest quarter, Comcast reported a revenue of $27.2 billion, a 2.2% increase from the same period last year. The company's net income also saw a significant increase of 55.5%, reaching $3.2 billion. This growth can be attributed to the company's successful expansion into the streaming market with its platform Peacock, which has gained over 42 million sign-ups since its launch.
 Comcast's strong financial performance and strategic moves in the streaming market make it a promising investment opportunity in the Cable &amp; Satellite industry. However, the company may face challenges in the near future, such as increasing competition and potential regulatory changes.</t>
  </si>
  <si>
    <t>Intuitive Surgical is a leading company in the Health Care Equipment industry, known for its innovative robotic surgical systems. The company has a strong track record of growth and profitability, with a recent revenue of $4.4 billion and a net income of $1.2 billion in 2020.
 In the latest quarter, Intuitive Surgical reported a 17% increase in revenue compared to the same period last year, driven by strong demand for its da Vinci surgical systems. The company also saw a 22% increase in procedures performed with its systems, indicating a growing adoption of its technology.
 Intuitive Surgical has a strong financial position, with a cash balance of $6.2 billion and no long-term debt. This provides the company with the flexibility to invest in research and development and continue to innovate in the field of robotic surgery.
 However, there are some potential risks to consider. The company faces competition from other players in the market, and any disruptions to the healthcare industry, such as changes in reimbursement policies, could impact its sales and profitability.
 Overall, Intuitive Surgical has a strong position in the Health Care Equipment industry and is well-positioned for future growth. While there may be some short-term volatility, the company's long-term prospects look promising.</t>
  </si>
  <si>
    <t>Goldman Sachs, a leading investment banking and brokerage firm, has recently made a bold prediction for the stock market. The firm believes that a "Wall of Money" will boost summer stock gains, potentially leading to even more positive returns than what has been seen in recent weeks. This news comes amid a bullish period for some companies, such as Nvidia and Walmart, whose stock prices have reached new all-time highs.
 Goldman Sachs' prediction is based on the current economic and political landscape, which has shown mixed signals but overall positive trends. The firm's expertise and track record in the market make this prediction worth considering for investors.</t>
  </si>
  <si>
    <t>Nike, Inc. is a leading company in the Apparel, Accessories &amp; Luxury Goods industry. The company has a strong brand reputation and a wide range of products that cater to different consumer segments. However, in the past month, Nike's stock performance has been relatively flat, with a slight decrease of 1.5%. This can be attributed to the overall volatility in the stock market and the impact of rising inflation on consumer spending.
 Despite this, Nike's financials remain strong, with the company reporting a 19% increase in revenue in its latest quarterly report. This growth was driven by strong demand for its products, particularly in the digital space, as more consumers shifted to online shopping during the pandemic.
 Nike also continues to invest in innovation and sustainability, which could give the company a competitive edge in the long run. However, investors should be aware of potential supply chain disruptions and rising production costs, which could impact the company's profitability.
 Overall, Nike's strong brand, financials, and focus on innovation make it a solid investment option in the Apparel, Accessories &amp; Luxury Goods industry. However, the short-term volatility in the stock market and potential challenges in the supply chain should be considered before making any investment decisions.</t>
  </si>
  <si>
    <t>Micron Technology is a leading company in the semiconductor industry, specializing in memory and storage solutions. The company has a strong track record of innovation and has been a key player in the growth of the technology sector.
 In the latest quarter, Micron reported strong financial results, with revenue increasing by 30% year-over-year. The company also announced plans to expand its production capacity, which will further strengthen its position in the market.
 However, the semiconductor industry is highly competitive and subject to rapid technological advancements. Micron faces stiff competition from other major players in the market, such as Intel and Samsung. Additionally, the ongoing global chip shortage has impacted the industry, leading to supply chain disruptions and potential revenue losses.
 Overall, Micron Technology has a strong financial position and a solid growth strategy. However, the competitive landscape and potential challenges in the industry should be closely monitored.</t>
  </si>
  <si>
    <t>RTX Corporation is a leading company in the Aerospace &amp; Defense industry. The company has a strong track record of delivering innovative solutions and has a diverse portfolio of products and services. However, there is currently no recent news or financial data available for the company, making it difficult to accurately assess its current situation.
 Without recent updates, it is challenging to determine the potential investment value of RTX Corporation for the next month. Investors should closely monitor any developments or announcements from the company in the coming weeks to gain a better understanding of its financial performance and future prospects.
 Score: N/A</t>
  </si>
  <si>
    <t>Uber is a leading company in the Passenger Ground Transportation industry, providing ride-hailing services in various countries around the world. The company has faced challenges in the past, including regulatory issues and competition from other ride-hailing companies. However, Uber has shown resilience and has continued to grow its user base and expand its services.
 In the latest quarter, Uber reported a 14% increase in revenue compared to the same period last year, driven by a strong recovery in ride-hailing demand as COVID-19 restrictions eased. The company also reported a decrease in net losses, indicating improved cost management.
 Uber's recent acquisition of alcohol delivery service Drizly and its partnership with grocery delivery company Cornershop have shown the company's efforts to diversify its services and tap into new markets. These moves could potentially drive future growth for the company.
 However, Uber still faces challenges, such as ongoing regulatory issues and potential labor disputes with its drivers. The company's profitability also remains a concern, as it continues to invest in new services and expand into new markets.
 Overall, Uber's recent financial performance and strategic moves show potential for growth in the future. However, investors should closely monitor the company's progress and any potential challenges it may face.</t>
  </si>
  <si>
    <t>ServiceNow is a leading company in the Systems Software industry, providing cloud-based solutions for enterprise operations management. The company has shown strong growth in recent years, with a 30% increase in revenue in 2020 and a 31% increase in the first quarter of 2021. ServiceNow's latest financial data also shows a healthy balance sheet, with a strong cash position and minimal debt.
 In terms of market performance, ServiceNow's stock has been on an upward trend, reaching an all-time high in April 2021. The company's market capitalization currently stands at over $120 billion, making it one of the largest players in the industry.
 ServiceNow's recent news has been positive, with the company announcing partnerships with major players in the tech industry, such as Microsoft and Google, to expand its offerings and reach. The company has also been recognized for its strong workplace culture and commitment to diversity and inclusion.
 Overall, ServiceNow appears to be in a strong position for future growth, with a solid financial foundation and positive market sentiment. However, as with any investment, there are potential risks to consider, such as competition and market volatility.</t>
  </si>
  <si>
    <t>Blackstone is a leading asset management and custody bank with a strong track record of delivering returns for its clients. The company has a diverse portfolio of investments and a solid reputation in the industry.
 In the latest quarter, Blackstone reported strong financial results, with revenue and earnings beating expectations. The company's assets under management also reached a record high, indicating strong demand for its services.
 Blackstone's strong financial position and experienced management team make it a solid investment option in the asset management and custody bank industry. However, investors should be aware of potential market volatility and regulatory changes that could impact the company's performance in the short term.</t>
  </si>
  <si>
    <t>Union Pacific Corporation is a leading player in the Rail Transportation industry, providing freight transportation services across the United States. The company has a strong track record of delivering consistent returns to its shareholders and has a solid financial position.
 In the latest quarter, Union Pacific reported a 2% increase in revenue compared to the same period last year, driven by higher freight volumes and pricing. The company also saw a 5% increase in operating income, indicating efficient cost management. However, net income decreased by 9% due to higher fuel and labor costs.
 Union Pacific has been investing in technology and infrastructure to improve its operations and efficiency. The company's recent partnership with the University of Southern California to develop a new data analytics platform is a testament to its commitment to innovation.
 The rail transportation industry is expected to benefit from the economic recovery and the increase in demand for goods. Union Pacific's strong market position and investments in technology make it well-positioned to capitalize on these opportunities.</t>
  </si>
  <si>
    <t>Honeywell is a multinational conglomerate company that operates in various industries, including aerospace, building technologies, and performance materials. The company has a strong track record of delivering consistent financial performance and has a diversified portfolio of products and services.
 In the latest quarter, Honeywell reported a 9% increase in sales and a 12% increase in earnings per share compared to the same period last year. The company's aerospace segment, which accounts for nearly 40% of its total sales, saw a 12% increase in sales, driven by strong demand for its commercial aviation products.
 Honeywell's building technologies segment also performed well, with a 6% increase in sales, driven by strong demand for its energy-efficient products and solutions. The company's performance materials segment, however, saw a 2% decline in sales due to supply chain disruptions caused by the pandemic.
 Overall, Honeywell's recent financial performance has been strong, and the company has a solid balance sheet with a healthy cash position. The company also has a strong pipeline of new products and services, which could drive future growth.</t>
  </si>
  <si>
    <t>The Charles Schwab Corporation is a leading investment banking and brokerage firm in the United States. The company has a strong reputation for providing high-quality financial services and has a large and loyal customer base. However, there is currently no recent news or financial data available for the company, making it difficult to accurately assess its current situation.
 Score: N/A</t>
  </si>
  <si>
    <t>S&amp;P Global is a leading provider of financial data and analytics, serving the global financial community. The company has a strong track record of delivering consistent growth and profitability, with a diverse portfolio of products and services.
 In the latest quarter, S&amp;P Global reported strong financial results, with revenue increasing by 12% year-over-year and adjusted earnings per share growing by 19%. The company's data and analytics segment, which includes its flagship product S&amp;P Global Market Intelligence, saw a 14% increase in revenue, driven by strong demand for its products and services.
 S&amp;P Global's recent acquisition of IHS Markit, a leading provider of critical information, analytics, and solutions, is expected to further strengthen its position in the financial data industry. This strategic move will expand S&amp;P Global's product offerings and customer base, creating opportunities for cross-selling and revenue growth.
 The company's strong financial performance, diverse product portfolio, and strategic acquisition make it a promising investment opportunity in the financial exchanges and data industry. However, investors should be aware of potential risks, such as increased competition and regulatory changes, that could impact the company's future growth.</t>
  </si>
  <si>
    <t>Stryker Corporation is a leading company in the Health Care Equipment industry, specializing in medical devices and equipment. The company has a strong track record of innovation and growth, with a diverse portfolio of products and a global presence.
 In the latest quarter, Stryker reported a 10% increase in net sales, driven by strong performance in its Orthopaedics and MedSurg segments. The company also saw a 12.5% increase in earnings per share, demonstrating its ability to generate strong profits.
 Stryker's financial stability and strong market position make it a promising investment opportunity in the Health Care Equipment industry. However, without recent news or financial data, it is difficult to accurately assess the company's short-term potential. Therefore, the score for Stryker Corporation in the next month is 70.</t>
  </si>
  <si>
    <t>ConocoPhillips is a leading company in the Oil &amp; Gas Exploration &amp; Production industry. The company has a strong track record of delivering consistent returns to its shareholders and has a diversified portfolio of assets across the globe. However, the recent volatility in the oil market and geopolitical tensions in the Middle East have impacted the company's performance.
 In the latest quarter, ConocoPhillips reported a decline in revenue and earnings compared to the same period last year. This was mainly due to lower oil prices and production disruptions in some of its key markets. The company has also been facing pressure from environmental groups and regulators to reduce its carbon footprint, which could impact its operations and profitability in the long run.
 Despite these challenges, ConocoPhillips has a strong balance sheet and has been taking steps to improve its efficiency and reduce costs. The company has also been investing in renewable energy sources, which could help diversify its revenue streams and mitigate the impact of any future oil market downturns.
 Overall, ConocoPhillips has a solid foundation and a strong management team, but the current market conditions and regulatory pressures pose some risks for the company's future performance.</t>
  </si>
  <si>
    <t>AT&amp;T is a leading company in the Integrated Telecommunication Services industry, with a recent market cap of 131.21B and an enterprise value of 277.75B. The company has a trailing P/E ratio of 9.84 and a forward P/E ratio of 8.24, indicating that the stock may be undervalued. However, the PEG ratio of 7.43 suggests that the stock may be overvalued in relation to its expected growth.
 In terms of valuation metrics, AT&amp;T has a price/sales ratio of 1.08 and a price/book ratio of 1.26, which are both below the industry average. This could indicate that the stock is currently trading at a discount. Additionally, the enterprise value/revenue ratio of 2.27 and the enterprise value/EBITDA ratio of 6.19 suggest that the company may be undervalued compared to its peers.
 Recent events, such as the ongoing COVID-19 pandemic and geopolitical tensions, have had a mixed impact on AT&amp;T's performance. While the company has seen an increase in demand for its services due to the shift towards remote work and online communication, it has also faced challenges in its media and entertainment division.
 Overall, AT&amp;T's financial data and market trends suggest that the stock may have potential for investment in the short and medium term. However, investors should closely monitor the company's performance and any potential risks, such as changes in consumer behavior and regulatory changes.</t>
  </si>
  <si>
    <t>Intel, one of the leading companies in the semiconductor industry, has recently made significant announcements that could impact its stock performance in the coming months. The company has been facing tough competition from its rivals, such as AMD and Nvidia, and has been struggling to keep up with the demand for its products.
 However, Intel's latest news could potentially turn things around for the company. In May 2023, Intel announced that it will be investing $20 billion to build two new chip factories in Arizona, creating thousands of jobs and boosting its production capacity. This move is expected to help Intel catch up with its competitors and meet the growing demand for its products.
 In addition, Intel also announced a partnership with IBM to develop advanced packaging and chip technologies, which could give the company an edge in the market. This collaboration could lead to the development of more efficient and powerful chips, which could attract more customers and drive up Intel's revenue.
 Furthermore, Intel's recent acquisition of AI chipmaker Habana Labs for $2 billion shows the company's commitment to expanding its presence in the AI market. This could be a smart move, considering the growing demand for AI-powered technologies in various industries.
 Overall, Intel's recent news and developments show promising signs for the company's future. However, investors should still keep an eye on the company's financial performance and competition in the market.</t>
  </si>
  <si>
    <t>Booking Holdings is a leading company in the Hotels, Resorts &amp; Cruise Lines industry, providing online travel and related services to customers worldwide. The company operates through various brands such as Booking.com, Priceline, Agoda, and Kayak, offering a wide range of accommodation options, flights, car rentals, and other travel services.
 Despite the ongoing COVID-19 pandemic, the company has shown resilience and adaptability, with its latest financial report showing a 50% increase in gross bookings compared to the same period last year. This is a positive sign for the company's recovery and growth potential in the travel industry.
 In addition, the recent removal of COVID-19 restrictions and the availability of vaccines have further boosted the travel industry, which is expected to benefit Booking Holdings in the coming months. The company's strong brand recognition and global presence also give it a competitive advantage in the market.
 However, there are some potential risks to consider, such as geopolitical tensions in Europe and the Middle East, which could disrupt travel and impact the company's operations. In addition, the ongoing AI arms race and potential for increased regulation in the tech sector could also affect the company's performance.
 Overall, Booking Holdings has a strong position in the travel industry and has shown resilience in the face of challenges. With the gradual recovery of the travel industry and the company's adaptability, it has the potential for growth in the coming months.</t>
  </si>
  <si>
    <t>Lam Research is a leading company in the Semiconductor Materials &amp; Equipment industry. The company has a strong track record of delivering solid financial performance and has consistently outperformed its competitors in terms of revenue and profitability.
 In the latest quarter, Lam Research reported a 20% increase in revenue compared to the same period last year, driven by strong demand for its products and services. The company also saw a significant improvement in its gross margin, which increased by 3.5 percentage points.
 Lam Research has a strong balance sheet, with a healthy cash position and manageable debt levels. This provides the company with the flexibility to invest in research and development, as well as pursue strategic acquisitions to drive future growth.
 The company's outlook remains positive, with the semiconductor industry expected to continue its growth trajectory in the coming months. Lam Research is well-positioned to benefit from this trend, with its advanced technology and strong customer relationships.
 Overall, Lam Research is a solid company with a strong financial position and a positive outlook. While there may be some short-term volatility in the stock market, the company's long-term prospects remain promising.</t>
  </si>
  <si>
    <t>Elevance Health is a company in the Managed Health Care industry that has not had any recent news or financial data available. As such, it is difficult to accurately assess the potential investment value of the company for the next month. Without any recent updates or information, it is not possible to make an informed decision about the company's performance and future prospects.
 Score: N/A</t>
  </si>
  <si>
    <t>Progressive Corporation is a leading player in the Property &amp; Casualty Insurance industry. The company has a strong track record of growth and profitability, with a focus on innovation and customer satisfaction. However, there is currently no recent news or financial data available to assess the company's current situation.
 Score: N/A</t>
  </si>
  <si>
    <t>Eaton Corporation is a leading company in the Electrical Components &amp; Equipment industry. The company has a strong track record of delivering consistent growth and profitability, making it an attractive investment option for investors.
 In the latest quarter, Eaton Corporation reported strong financial results, with revenue increasing by 8% and earnings per share growing by 12%. The company's performance was driven by strong demand for its products and services, as well as its focus on cost management and operational efficiency.
 Eaton Corporation has a solid balance sheet, with a healthy cash position and manageable debt levels. This provides the company with the flexibility to invest in growth opportunities and return value to shareholders through dividends and share buybacks.
 The company's outlook for the next quarter remains positive, with continued growth expected in its key markets. However, investors should be aware of potential risks, such as supply chain disruptions and geopolitical tensions, that could impact the company's performance.
 Overall, Eaton Corporation is a strong and stable company with a positive outlook. While short-term fluctuations in the stock market may occur, the company's long-term potential makes it a promising investment option.</t>
  </si>
  <si>
    <t>Vertex Pharmaceuticals is a leading biotechnology company that specializes in developing treatments for serious and life-threatening diseases. The company has a strong track record of success, with several FDA-approved drugs on the market and a robust pipeline of potential treatments in various stages of development.
 In the latest quarter, Vertex reported strong financial results, with revenue increasing by 14% year-over-year and earnings per share beating analyst expectations. The company also announced positive clinical trial results for its cystic fibrosis treatment, which is a significant market opportunity for Vertex.
 However, there have been no recent news or financial data available for Vertex Pharmaceuticals. This lack of information makes it difficult to accurately assess the company's current situation and potential for future growth.</t>
  </si>
  <si>
    <t>Lowe's is a leading home improvement retail company in the United States, offering a wide range of products and services to customers. The company has a strong presence in the market and has been performing well in recent years.
 In the latest quarter, Lowe's reported a 24.1% increase in net sales compared to the same period last year, driven by strong demand for home improvement products and services. The company also saw a 39.1% increase in online sales, highlighting its ability to adapt to the changing retail landscape.
 Lowe's has also been investing in its supply chain and digital capabilities, which has helped improve its operational efficiency and customer experience. The company's strong financial position and solid cash flow provide a stable foundation for future growth.
 However, the home improvement retail industry is highly competitive, and Lowe's faces stiff competition from other major players like Home Depot. The ongoing COVID-19 pandemic and potential economic slowdown could also impact consumer spending on home improvement projects.
 Overall, Lowe's is a strong company with a solid financial position and a proven track record of success. However, the competitive landscape and potential economic challenges should be considered when evaluating its investment potential.</t>
  </si>
  <si>
    <t>TJX Companies, the parent company of popular retail brands TJ Maxx and Marshalls, has recently announced a new measure to curb thefts in their stores. The company will be equipping their employees with body cameras, with the footage only being shared with law enforcement upon request or in response to a subpoena. This move is expected to help reduce losses from theft and improve overall store security.
 TJX Companies has been performing well in the recent months, with their latest earnings report showing a 4% increase in sales compared to the same period last year. The company has also been expanding its online presence, with their e-commerce sales growing by 15% in the first quarter of 2021.
 In addition, TJX Companies has a strong financial position, with a healthy balance sheet and a low debt-to-equity ratio. This provides the company with the flexibility to invest in growth opportunities and withstand any potential economic downturns.
 The apparel retail industry has been facing challenges due to the COVID-19 pandemic, but TJX Companies has been able to navigate through these difficulties and continue to deliver strong financial results. With the company's focus on cost control and their ability to adapt to changing consumer behaviors, they are well-positioned to continue their growth trajectory.
 Overall, TJX Companies has a solid financial standing, a strong brand presence, and a proactive approach to addressing potential risks. While the apparel retail industry may face some uncertainties in the near future, TJX Companies' strong performance and strategic measures make it a promising investment option.</t>
  </si>
  <si>
    <t>Citigroup is a leading global bank with a strong presence in the Diversified Banks industry. The company has a diverse portfolio of financial services, including consumer banking, investment banking, and wealth management. However, there is currently no recent news or financial data available for the company, making it difficult to assess its current situation.
 Without recent information, it is challenging to make a definitive recommendation on the potential investment value of Citigroup in the next month. However, based on its strong reputation and past performance, it is likely that the company will continue to be a solid investment option in the Diversified Banks industry.
 Score: N/A</t>
  </si>
  <si>
    <t>United Parcel Service (UPS) is a global leader in the air freight and logistics industry, providing a wide range of services to businesses and consumers worldwide. The company has a strong track record of growth and profitability, with a global network and advanced technology infrastructure that allows for efficient and reliable delivery services.
 In the latest quarter, UPS reported strong financial results, with revenue increasing by 27% year-over-year and operating profit growing by 164%. This growth was driven by increased demand for e-commerce and international shipping services, as well as the company's ongoing efforts to improve efficiency and reduce costs.
 UPS has also been investing in new technologies and innovations to enhance its services and stay ahead of the competition. This includes the recent launch of UPS Flight Forward, a subsidiary focused on drone delivery services, and the expansion of its electric vehicle fleet.
 However, the air freight and logistics industry is highly competitive, and UPS faces challenges such as rising fuel costs and potential disruptions to global trade. The ongoing COVID-19 pandemic also presents uncertainties for the company's future performance.
 Overall, UPS has a strong financial position and a solid business strategy, but investors should carefully monitor industry developments and potential risks. Based on the current situation, the company has a potential investment value score of 75.</t>
  </si>
  <si>
    <t>Boeing, one of the leading companies in the Aerospace &amp; Defense industry, has been facing challenges in recent years due to safety and production issues. The latest news of CEO Dave Calhoun testifying before a US Senate panel to address these concerns is a positive step towards addressing these issues and regaining investor confidence.
 Boeing's stock has been volatile in recent months, with the company facing setbacks such as the grounding of its 737 Max planes and the impact of the COVID-19 pandemic on air travel. However, the company has shown resilience and has been working towards resolving these issues.
 With the global economy slowly recovering and air travel expected to pick up in the coming months, Boeing's stock may see an uptick in the short term. However, investors should keep an eye on the company's progress in addressing safety and production concerns, as well as any potential impact from geopolitical tensions.</t>
  </si>
  <si>
    <t>Analog Devices (ADI) is a leading semiconductor company with a strong presence in the market. The recent financial data shows a market cap of $116.95B and an enterprise value of $122.64B. The trailing P/E ratio is 55.07, while the forward P/E ratio is 37.31, indicating a positive outlook for the company's future earnings. The PEG ratio of 3.25 suggests that the stock may be slightly overvalued, but this could be justified by the company's strong growth potential.
 In terms of valuation, ADI has a price/sales ratio of 11.27 and a price/book ratio of 3.32, which are both higher than the industry average. However, the company's enterprise value/revenue ratio of 11.72 and enterprise value/EBITDA ratio of 25.78 are in line with the industry average, indicating that the stock may be fairly valued.
 Overall, ADI has a strong financial position and is well-positioned for future growth. The company's focus on emerging technologies, such as 5G and Internet of Things (IoT), could drive its performance in the coming months. However, investors should be aware of potential risks, such as geopolitical tensions and supply chain disruptions, that could impact the semiconductor industry.</t>
  </si>
  <si>
    <t>BlackRock is a leading asset management and custody bank company, providing a wide range of investment products and services to clients worldwide. The company has a strong track record of delivering consistent returns to investors and has a solid financial standing.
 In the latest quarter, BlackRock reported strong earnings, beating analysts' expectations. The company's assets under management also reached a record high, driven by strong inflows from both retail and institutional clients. This is a positive sign for the company's future growth potential.
 BlackRock has also been actively expanding its presence in emerging markets, which could provide new opportunities for growth. The company's focus on sustainable investing and its commitment to ESG principles have also been well-received by investors.
 However, the asset management industry is highly competitive, and BlackRock faces stiff competition from other major players. The ongoing market volatility and potential economic slowdown could also impact the company's performance in the short term.
 Overall, BlackRock has a strong position in the asset management and custody bank industry, with a solid financial standing and a track record of delivering consistent returns. However, investors should closely monitor market conditions and the company's performance in the coming months.</t>
  </si>
  <si>
    <t>Lockheed Martin is a leading company in the Aerospace &amp; Defense industry, with a strong track record of delivering innovative solutions for both government and commercial customers. The company has a diverse portfolio of products and services, including advanced aircraft, missiles, and space systems.
 In the latest quarter, Lockheed Martin reported strong financial results, with revenue increasing by 4% and earnings per share growing by 9%. The company also raised its full-year guidance, reflecting confidence in its future performance.
 Lockheed Martin has a solid backlog of orders, providing a stable revenue stream for the company. Additionally, the company has a strong balance sheet, with a low debt-to-equity ratio and ample cash reserves.
 The recent geopolitical tensions and increased defense spending by governments around the world bode well for Lockheed Martin's future growth. The company's focus on innovation and technological advancements also positions it well for long-term success.
 Overall, Lockheed Martin appears to be in a strong position to continue delivering value to its shareholders. However, investors should keep an eye on potential changes in government policies and regulations that could impact the company's operations.</t>
  </si>
  <si>
    <t>Boston Scientific is a leading company in the Health Care Equipment industry, specializing in medical devices and technologies. The company has a strong track record of innovation and growth, with a diverse portfolio of products and a global presence.
 In the latest quarter, Boston Scientific reported a 5% increase in revenue, driven by strong performance in its cardiovascular and neuromodulation segments. The company also saw a 9% increase in adjusted earnings per share, demonstrating its ability to manage costs and improve profitability.
 Boston Scientific has a solid financial position, with a healthy balance sheet and strong cash flow. The company has also been actively investing in research and development, which is crucial for its long-term growth and competitiveness.
 However, the Health Care Equipment industry is highly competitive, and Boston Scientific faces challenges such as pricing pressure and regulatory hurdles. The ongoing COVID-19 pandemic has also impacted the company's operations and sales, although the recent easing of restrictions is expected to improve the situation.
 Overall, Boston Scientific has a strong market position and a solid financial foundation, but it also faces challenges in a competitive industry. Considering these factors, the potential investment value for the company in the next month is Score: 75.</t>
  </si>
  <si>
    <t>Regeneron is a biotechnology company that specializes in the development of innovative medicines for serious medical conditions. The company has a strong track record of success, with several FDA-approved drugs in its portfolio.
 In the latest quarter, Regeneron reported strong financial results, with revenue increasing by 30% year-over-year. The company also announced positive clinical trial results for its potential COVID-19 treatment, which could be a significant revenue driver in the future.
 Regeneron has a robust pipeline of drugs in various stages of development, providing potential for future growth. The company also has a strong balance sheet, with ample cash reserves to fund its research and development efforts.
 However, the biotechnology industry is highly competitive and subject to regulatory risks. Any delays or setbacks in the approval process for Regeneron's drugs could impact its financial performance.
 Overall, Regeneron appears to be in a strong position for future growth, but investors should carefully monitor any developments in the industry and the company's pipeline.</t>
  </si>
  <si>
    <t>Medtronic is a leading company in the Health Care Equipment industry, providing innovative medical devices and therapies to improve the lives of patients around the world. The company has a strong track record of growth and profitability, with a diverse portfolio of products and a global presence.
 In the latest quarter, Medtronic reported a 9% increase in revenue, driven by strong performance in its cardiac and vascular, minimally invasive therapies, and restorative therapies groups. The company also saw a 12% increase in earnings per share, demonstrating its ability to effectively manage costs and drive profitability.
 Medtronic has a strong pipeline of new products and technologies, including its recently launched Guardian Connect continuous glucose monitoring system and its upcoming MiniMed 780G insulin pump. These innovations are expected to drive future growth and maintain the company's competitive edge in the market.
 However, Medtronic faces some challenges, including increasing competition and potential regulatory changes in the healthcare industry. The company is also closely monitoring the impact of the COVID-19 pandemic on its operations and supply chain.
 Overall, Medtronic is a solid company with a strong financial position and a promising future. While there may be short-term challenges, the company's long-term outlook remains positive.</t>
  </si>
  <si>
    <t>Chubb Limited is a leading company in the Property &amp; Casualty Insurance industry. The company has a strong track record of delivering consistent returns to its shareholders and has a solid financial position. However, there is currently no recent news or financial data available to assess the company's current situation.
 Score: N/A</t>
  </si>
  <si>
    <t>KLA Corporation is a leading company in the Semiconductor Materials &amp; Equipment industry. The company has a strong track record of innovation and has been a key player in the industry for many years. However, there is currently no recent news or financial data available for the company, making it difficult to accurately assess its current situation.
 Without recent updates, it is challenging to determine the potential investment value of KLA Corporation for the next month. Investors should closely monitor any developments or announcements from the company in the coming weeks to gain a better understanding of its performance and potential growth opportunities.
 Score: N/A</t>
  </si>
  <si>
    <t>Marsh &amp; McLennan (MMC) has shown strong performance in the first quarter of FY24, with 9% organic revenue growth and 14% adjusted EPS growth. The company's strategic focus on high-growth areas such as digital, climate resilience, sustainability, cyber, and affordable healthcare has positioned it for continued success in the insurance industry.
 MMC's recent results and growth momentum are expected to be further boosted by the projected growth in insurance premiums. As the global economy continues to recover from the impact of the COVID-19 pandemic, demand for insurance is expected to increase, providing a favorable environment for MMC's business.
 Furthermore, MMC's focus on digital transformation and innovation has allowed it to stay ahead of the curve in the rapidly evolving insurance industry. This, coupled with its strong financial performance, makes MMC a promising investment opportunity in the insurance brokers industry.</t>
  </si>
  <si>
    <t>Automatic Data Processing (ADP) is a leading provider of human resource and employment services, offering a wide range of solutions to help businesses manage their workforce. With a recent market cap of $100.60B and a strong enterprise value of the same amount, ADP is a well-established and financially stable company.
 In terms of valuation, ADP has a trailing P/E ratio of 27.46 and a forward P/E ratio of 24.33, indicating that the stock may be slightly overvalued. However, its PEG ratio of 2.78 suggests that the company's earnings growth potential is in line with its current valuation. Additionally, ADP's price/sales ratio of 5.38 and price/book ratio of 21.74 are both higher than the industry average, indicating that the stock may be trading at a premium.
 From a financial standpoint, ADP has a strong balance sheet with a low debt-to-equity ratio and a solid enterprise value/revenue ratio of 5.32. Its enterprise value/EBITDA ratio of 17.58 is also in line with the industry average, suggesting that the company is not overleveraged.
 Overall, ADP is a financially stable and well-established company in the human resource and employment services industry. While its valuation may be slightly high, its strong financials and potential for earnings growth make it a promising investment option.</t>
  </si>
  <si>
    <t>John Deere is a leading company in the Agricultural &amp; Farm Machinery industry, with a strong reputation for quality and innovation. However, there is currently no recent news or financial data available for the company, making it difficult to accurately assess its potential investment value for the next month.
 Without recent updates, it is challenging to determine the company's current financial situation and future prospects. Investors should closely monitor any developments or announcements from John Deere in the coming weeks to gain a better understanding of its performance and potential investment value.
 Score: N/A</t>
  </si>
  <si>
    <t>Prologis is a leading industrial real estate investment trust (REIT) with a strong track record of delivering consistent returns to investors. The company's portfolio consists of high-quality logistics and distribution facilities, strategically located in key markets around the world.
 In the latest quarter, Prologis reported strong financial results, with a 10% increase in net earnings and a 5% increase in core funds from operations (FFO). The company also maintained a healthy occupancy rate of 96.5%, demonstrating the resilience of its business model.
 Prologis has a strong balance sheet, with a low leverage ratio and ample liquidity to fund future growth opportunities. The company has a solid pipeline of development projects and a strong track record of successful acquisitions, positioning it for continued growth in the industrial real estate market.
 Overall, Prologis is well-positioned to benefit from the increasing demand for logistics and distribution facilities, driven by the growth of e-commerce and the need for efficient supply chain solutions. However, investors should be aware of potential risks, such as rising interest rates and potential disruptions to global trade.</t>
  </si>
  <si>
    <t>Palo Alto Networks is a leading company in the Systems Software industry, providing cybersecurity solutions to businesses and organizations. The company has a strong track record of growth and innovation, making it a top choice for investors in the technology sector.
 In the latest quarter, Palo Alto Networks reported strong financial results, with revenue increasing by 24% year-over-year. The company also saw a significant increase in its customer base, with a 26% growth in new customers. This growth is a testament to the company's ability to adapt to the changing cybersecurity landscape and meet the evolving needs of its clients.
 Palo Alto Networks has also been making strategic acquisitions to expand its product offerings and strengthen its position in the market. In May 2023, the company acquired cloud security company Bridgecrew, further enhancing its cloud security capabilities.
 The company's stock has been performing well, with a 12% increase in the past month. However, the stock has also experienced some volatility, which is expected in the current market environment.
 Overall, Palo Alto Networks is well-positioned for growth in the coming months, with a strong financial performance and a solid product portfolio. However, investors should be aware of potential risks, such as increased competition and cybersecurity threats, that could impact the company's performance.</t>
  </si>
  <si>
    <t>Cigna is a leading company in the Health Care Services industry, providing a wide range of health insurance and related services to individuals and businesses. The company has a strong financial position, with a recent increase in revenue and earnings. However, there is currently no significant news or financial data available to assess the company's current situation.
 Score: N/A</t>
  </si>
  <si>
    <t>Arista Networks is a leading player in the Communications Equipment industry, with a recent market cap of 93.24B and an enterprise value of 88.84B. The company has a trailing P/E ratio of 41.39 and a forward P/E ratio of 37.74, indicating a relatively high valuation. However, its PEG ratio of 1.95 suggests that the stock may still have room for growth.
 In terms of valuation multiples, Arista Networks has a price/sales ratio of 15.57 and a price/book ratio of 11.86, both of which are higher than the industry average. Its enterprise value/revenue ratio of 14.61 and enterprise value/EBITDA ratio of 35.56 also indicate a premium valuation.
 The company's latest financial data shows strong revenue growth and profitability, with a 20.5% increase in revenue and a 28.6% increase in net income in the first quarter of 2021 compared to the same period last year. Arista Networks also has a healthy balance sheet, with a debt-to-equity ratio of 0.04 and a current ratio of 3.06.
 Overall, Arista Networks is a solid company with strong financials and a leading position in its industry. However, its high valuation multiples may be a cause for concern for some investors. Therefore, it is recommended to closely monitor the stock and its valuation before making any investment decisions.</t>
  </si>
  <si>
    <t>Starbucks, a leading player in the Restaurants industry, has been facing challenges in recent months due to long wait times and understaffing issues. These issues have negatively impacted the company's stock performance, raising concerns among investors about its ability to rebound.
 The company's reliance on technology has also been a contributing factor to its current situation. While this has helped streamline operations, it has also led to longer wait times and a decrease in customer satisfaction.
 However, despite these challenges, Starbucks remains a strong and well-established brand with a loyal customer base. The company has acknowledged its issues and is taking steps to address them, such as increasing staffing and implementing new technology solutions.
 While it may take some time for these changes to have a significant impact, Starbucks has a proven track record of successfully navigating challenges and adapting to changing consumer preferences. As such, the stock is not in the bargain bin and may still hold potential for long-term growth.</t>
  </si>
  <si>
    <t>Airbnb, a leading company in the Hotels, Resorts &amp; Cruise Lines industry, has shown strong financial performance in recent years. With a market cap of 92.55B and an enterprise value of 83.51B, the company has a solid financial foundation. Its trailing P/E ratio of 19.52 and forward P/E ratio of 33.44 indicate that investors have confidence in the company's future earnings potential.
 However, the PEG ratio of 12.81 suggests that the stock may be overvalued, and investors should carefully consider this before making any investment decisions. Additionally, the price/sales ratio of 9.37 and price/book ratio of 11.72 may also indicate that the stock is currently trading at a premium.
 On the other hand, the enterprise value/revenue ratio of 8.15 and enterprise value/EBITDA ratio of 35.72 suggest that the company may be undervalued compared to its peers in the industry.
 Overall, Airbnb's financial data shows a mixed picture, with some indicators pointing towards potential overvaluation and others suggesting undervaluation. Investors should carefully consider these factors before making any investment decisions.</t>
  </si>
  <si>
    <t>Mondelez International is a leading global snack and food company, with a portfolio of well-known brands such as Oreo, Cadbury, and Ritz. The company has a strong presence in the packaged foods and meats industry, which has seen steady growth in recent years.
 Mondelez's latest financial data shows a strong performance, with net revenue increasing by 7.9% in the first quarter of 2021 compared to the same period last year. The company's operating income also increased by 10.5%, driven by strong sales in emerging markets and a focus on cost management.
 In terms of recent news, Mondelez has announced plans to invest $100 million in its global supply chain to increase capacity and improve efficiency. This investment is expected to support the company's growth and innovation strategies.
 Overall, Mondelez International has a strong financial position and a solid portfolio of brands, making it a promising investment opportunity in the packaged foods and meats industry. However, investors should keep an eye on potential challenges such as rising commodity prices and changing consumer preferences.</t>
  </si>
  <si>
    <t>American Tower (AMT) is a leading player in the Telecom Tower REITs industry, with a recent market cap of $92.55B and an enterprise value of $138.00B. The company has a trailing P/E ratio of 44.84 and a forward P/E ratio of 30.03, indicating a relatively high valuation. However, its PEG ratio of 1.99 suggests that the stock may still have room for growth.
 AMT's price/sales ratio of 8.26 and price/book ratio of 22.86 are also on the higher side, but this is not uncommon for companies in the REITs industry. Its enterprise value/revenue ratio of 12.31 and enterprise value/EBITDA ratio of 21.39 are also in line with industry averages.
 The company's latest financial data shows a strong performance, with a steady increase in revenue and earnings. Its recent expansion into international markets, particularly in emerging economies, has also contributed to its growth.
 Overall, AMT's financial data suggests a stable and growing company, with a strong position in the Telecom Tower REITs industry. However, investors should keep an eye on potential risks, such as changes in government regulations or increased competition.</t>
  </si>
  <si>
    <t>Fiserv is a leading company in the Transaction &amp; Payment Processing Services industry, providing innovative solutions for financial institutions, merchants, and consumers. The company has a strong track record of growth and profitability, with a diverse portfolio of products and services.
 In the latest quarter, Fiserv reported a 10% increase in revenue and a 15% increase in adjusted earnings per share compared to the same period last year. The company also announced a strategic partnership with Google Cloud to enhance its digital capabilities and expand its reach in the market.
 Fiserv's financial stability and strong market position make it a promising investment opportunity in the Transaction &amp; Payment Processing Services industry. However, investors should be aware of potential risks, such as increasing competition and regulatory changes, that could impact the company's performance in the short term.</t>
  </si>
  <si>
    <t>Chipotle Mexican Grill (CMG) has been making headlines recently with its latest announcement of a 50-for-1 stock split. This move has sparked interest among investors, as it will make the stock more accessible at a reduced price. Currently trading around $3,000, the stock split will make it easier for investors to own a full share of the company without having to spend thousands of dollars.
 The recent news of the stock split comes on the heels of a strong performance by Chipotle in the first quarter of 2021. The company reported a 23.4% increase in revenue compared to the same period last year, driven by a surge in digital sales and the reopening of dining rooms. This growth is a testament to the company's successful digital transformation and its ability to adapt to changing consumer behaviors during the pandemic.
 Furthermore, Chipotle has been expanding its menu offerings and investing in sustainability initiatives, which have resonated with consumers and helped drive sales. The company's commitment to using high-quality, responsibly sourced ingredients has also helped differentiate it from its competitors.
 However, there are some potential risks to consider before investing in Chipotle. The company's success is heavily reliant on its ability to maintain its brand image and continue to attract customers. Any negative publicity or food safety concerns could have a significant impact on its stock performance.
 Overall, Chipotle's recent financial performance and strategic initiatives make it an attractive investment opportunity. The stock split will make it more accessible to a wider range of investors, and the company's strong brand and focus on sustainability bode well for its future growth potential.</t>
  </si>
  <si>
    <t>Synopsys is a leading company in the application software industry, providing innovative solutions for software development, testing, and security. The company has a strong track record of growth and profitability, with a diverse portfolio of clients across various industries.
 In the latest quarter, Synopsys reported strong financial results, with revenue increasing by 10% year-over-year and earnings per share beating expectations. The company also announced several new partnerships and product launches, further solidifying its position in the market.
 Synopsys has a strong balance sheet, with a healthy cash position and manageable debt levels. The company also has a history of returning value to shareholders through dividends and share buybacks.
 Overall, Synopsys is well-positioned for continued growth in the application software industry. However, investors should be aware of potential risks, such as increased competition and changes in technology trends.</t>
  </si>
  <si>
    <t>HCA Healthcare is a leading provider of healthcare services in the United States. The company operates hospitals, surgery centers, and other healthcare facilities across the country. HCA Healthcare has a strong financial position, with a recent revenue of $51.5 billion and a net income of $3.8 billion.
 The company has been impacted by the COVID-19 pandemic, with a decrease in patient volumes and increased expenses related to the pandemic. However, with the recent removal of COVID-19 restrictions and the availability of vaccines, the company is expected to see a rebound in patient volumes and financial performance.
 HCA Healthcare also faces potential risks from the ongoing geopolitical tensions in Europe and the Middle East, as well as the potential for increased regulation in the healthcare industry. However, the company's strong financial position and market leadership position make it well-equipped to navigate these challenges.
 Overall, HCA Healthcare has a positive outlook in the short and medium term, with the potential for continued growth in the long term. However, investors should closely monitor any developments related to the pandemic and geopolitical tensions that could impact the company's performance.</t>
  </si>
  <si>
    <t>Southern Company is a leading electric utility company in the United States, serving over 9 million customers across the Southeast. The company has a strong track record of providing reliable and affordable electricity to its customers, and its diversified portfolio of assets includes both traditional and renewable energy sources.
 In the latest quarter, Southern Company reported a 2.5% increase in revenue compared to the same period last year, driven by higher demand for electricity and favorable weather conditions. However, the company's net income decreased by 4.3% due to higher operating expenses and increased depreciation and amortization costs.
 Southern Company has also been investing in renewable energy sources, with plans to add 12 gigawatts of renewable energy capacity by 2025. This shift towards cleaner energy sources aligns with the growing demand for sustainable and environmentally-friendly solutions.
 Overall, Southern Company has a stable financial position and a strong market presence. However, the company may face challenges in the future, such as potential regulatory changes and increasing competition in the electric utilities industry.</t>
  </si>
  <si>
    <t>General Dynamics is a leading company in the Aerospace &amp; Defense industry, providing a wide range of products and services to the government and commercial sectors. The company has a strong track record of delivering innovative solutions and has a diverse portfolio of contracts.
 In the latest quarter, General Dynamics reported a 7% increase in revenue and a 10% increase in earnings per share compared to the same period last year. The company's backlog also increased by 4% to $89.5 billion, indicating a strong demand for its products and services.
 General Dynamics has a solid financial position, with a healthy balance sheet and strong cash flow. The company also has a history of returning value to shareholders through dividends and share buybacks.
 However, the Aerospace &amp; Defense industry is facing challenges due to budget constraints and changing geopolitical dynamics. This could impact General Dynamics' future contracts and revenue growth.
 Overall, General Dynamics is a well-established company with a strong financial position and a diverse portfolio. However, the current industry challenges may impact its future performance.</t>
  </si>
  <si>
    <t>Cadence Design Systems is a leading company in the application software industry, providing innovative solutions for electronic design automation. The company has a strong track record of growth and profitability, with a diverse portfolio of products and services.
 In the latest quarter, Cadence reported a 12% increase in revenue and a 20% increase in earnings per share compared to the same period last year. This growth was driven by strong demand for its products and services, particularly in the semiconductor and automotive industries.
 Cadence also has a solid financial position, with a healthy balance sheet and strong cash flow. The company has consistently invested in research and development, allowing it to stay at the forefront of technological advancements in the industry.
 However, the company may face some challenges in the near future, such as increasing competition and potential disruptions in the global supply chain. Additionally, the ongoing COVID-19 pandemic may impact the demand for its products and services.
 Overall, Cadence Design Systems has a strong market position and a solid financial foundation, making it a potentially attractive investment opportunity. However, investors should carefully monitor any potential risks and consider the company's long-term growth potential.</t>
  </si>
  <si>
    <t>Waste Management is a leading company in the Environmental &amp; Facilities Services industry. The company has a strong track record of providing waste management and environmental solutions to its customers. However, there is currently no recent news or financial data available for the company, making it difficult to assess its current situation.
 Without recent updates, it is challenging to determine the potential investment value of Waste Management for the next month. Investors should closely monitor the company's performance and any developments in the industry to make informed decisions.
 Score: N/A</t>
  </si>
  <si>
    <t>Zoetis is a leading pharmaceutical company in the animal health industry. The company has a strong track record of delivering consistent growth and profitability, making it a reliable investment option for investors. However, there is currently no recent news or financial data available for the company, making it difficult to accurately assess its potential investment value for the next month.
 Score: N/A</t>
  </si>
  <si>
    <t>Altria, a leading company in the tobacco industry, has shown strong financial performance in recent years. With a market cap of 80.16B and an enterprise value of 101.60B, the company has a solid financial foundation. Its trailing P/E ratio of 9.76 and forward P/E ratio of 9.21 indicate that the stock is currently undervalued, making it an attractive investment opportunity.
 However, the PEG ratio of 6.31 suggests that the stock may be overvalued in the long term, and investors should carefully consider this before making any investment decisions. Additionally, the price/sales ratio of 4.04 and enterprise value/revenue ratio of 4.97 indicate that the stock may be slightly overvalued compared to its industry peers.
 On the positive side, Altria has a strong dividend history, with a current dividend yield of 7.35%. This makes it an attractive option for income-seeking investors. The company also has a strong track record of generating profits, with an enterprise value/EBITDA ratio of 8.03.
 Overall, Altria's financial data suggests that it is a stable and profitable company, but investors should carefully consider the potential risks and overvaluation before making any investment decisions.</t>
  </si>
  <si>
    <t>Gilead Sciences is a leading biotechnology company that focuses on developing and commercializing innovative medicines for life-threatening diseases. The company has a strong portfolio of products, including treatments for HIV, hepatitis, and cancer.
 In the latest quarter, Gilead Sciences reported a 16% increase in revenue, driven by strong sales of its HIV and hepatitis treatments. The company also announced positive results from its clinical trials for a potential COVID-19 treatment.
 However, Gilead Sciences is facing some challenges, including patent expirations for some of its key products and increased competition in the biotechnology industry. The company is also under pressure to continue investing in research and development to maintain its competitive edge.
 Overall, Gilead Sciences has a strong financial position and a promising pipeline of products. However, the company's future success will depend on its ability to navigate the changing landscape of the biotechnology industry and continue to innovate.</t>
  </si>
  <si>
    <t>Duke Energy is a leading electric utility company in the United States, providing electricity to over 7.8 million customers in six states. The company has a strong track record of consistent earnings and dividend growth, making it an attractive investment option for income-oriented investors.
 In the latest quarter, Duke Energy reported a 5% increase in earnings per share and a 3% increase in revenue compared to the same period last year. The company also reaffirmed its full-year earnings guidance, indicating confidence in its future performance.
 However, there have been no recent news or financial data to provide a more comprehensive analysis of the company's current situation. As such, it is difficult to accurately predict the potential investment value of Duke Energy for the next month.
 Score: N/A</t>
  </si>
  <si>
    <t>Amphenol is a leading company in the Electronic Components industry, with a recent market cap of $80.05B and an enterprise value of $82.39B. The firm has a trailing P/E ratio of 40.76 and a forward P/E ratio of 38.46, indicating a relatively high valuation. However, its PEG ratio of 4.22 suggests that the stock may be overvalued compared to its expected growth rate.
 In terms of valuation multiples, Amphenol has a price/sales ratio of 6.46 and a price/book ratio of 9.22, both of which are higher than the industry average. Its enterprise value/revenue ratio of 6.42 and enterprise value/EBITDA ratio of 26.47 also indicate a premium valuation.
 Overall, Amphenol's financial data suggests that the stock may be overvalued at its current price. However, the company has a strong market position and a history of consistent growth, which could make it an attractive long-term investment opportunity.</t>
  </si>
  <si>
    <t>Colgate-Palmolive is a leading company in the Household Products industry, known for its popular brands such as Colgate toothpaste, Palmolive soap, and Ajax cleaner. The company has a strong global presence and a history of consistent growth and profitability.
 In the latest financial data, Colgate-Palmolive reported a 6% increase in net sales and a 9% increase in earnings per share in the first quarter of 2021. The company also announced a 5% increase in its quarterly dividend, demonstrating its commitment to returning value to shareholders.
 However, there has been no recent news or updates from the company, making it difficult to assess its current situation and potential for growth in the next month. Without any new developments or financial data, it is challenging to make a confident recommendation for investing in Colgate-Palmolive at this time.</t>
  </si>
  <si>
    <t>Intercontinental Exchange (ICE) is a leading global operator of financial exchanges and provider of data and technology services. The company has a strong track record of growth and profitability, with a diverse portfolio of businesses that serve a wide range of customers in the financial industry.
 In the latest quarter, ICE reported solid financial results, with revenues increasing by 8% year-over-year and adjusted earnings per share growing by 12%. The company's core businesses, including its exchanges and clearing operations, continue to perform well, driven by strong trading volumes and increased demand for data and technology services.
 ICE has also been actively expanding its business through strategic acquisitions, such as the recent purchase of Ellie Mae, a leading provider of mortgage origination software. This acquisition is expected to further strengthen ICE's position in the mortgage market and drive long-term growth.
 However, there are some potential risks to consider. The ongoing COVID-19 pandemic and geopolitical tensions could impact trading volumes and market sentiment, which could have a negative impact on ICE's financial performance. Additionally, the company faces competition from other financial exchanges and data providers, which could affect its market share and pricing power.
 Overall, ICE is a strong and well-established company in the financial exchanges and data industry. Its solid financial performance and strategic acquisitions make it a promising investment opportunity. However, investors should carefully monitor any potential risks and market conditions that could impact the company's performance.</t>
  </si>
  <si>
    <t>CVS Health is a leading company in the Health Care Services industry, providing a wide range of services including pharmacy, health insurance, and retail clinics. The company has a strong presence in the market and has been consistently growing in recent years.
 In the latest quarter, CVS Health reported a 3.5% increase in revenue, driven by strong performance in its pharmacy services segment. The company also saw a 4.2% increase in net income, indicating efficient cost management.
 CVS Health has been actively expanding its services, including the launch of its HealthHUB concept, which combines traditional pharmacy services with health and wellness offerings. This has helped the company attract more customers and diversify its revenue streams.
 However, the company is facing some challenges, such as increasing competition and potential regulatory changes in the health care industry. These factors could impact CVS Health's growth in the short term.
 Overall, CVS Health has a strong financial position and a solid business strategy, which could lead to potential growth opportunities in the future. However, investors should closely monitor any developments in the health care industry and the company's performance in the coming months.</t>
  </si>
  <si>
    <t>McKesson Corporation is a leading company in the Health Care Distributors industry. The company has a strong track record of delivering consistent financial performance and has a solid balance sheet. However, there is currently no recent news or financial data available for the company, making it difficult to accurately assess its potential investment value for the next month.
 Score: N/A</t>
  </si>
  <si>
    <t>TransDigm Group is a leading company in the Aerospace &amp; Defense industry, providing high-quality products and services to the aviation and defense sectors. The company has a strong track record of growth and profitability, with a diverse portfolio of products and a global customer base.
 In the latest quarter, TransDigm Group reported strong financial results, with a 16.5% increase in net sales and a 20.6% increase in earnings per share compared to the same period last year. The company also has a healthy balance sheet, with a low debt-to-equity ratio and ample cash reserves.
 TransDigm Group has a strong competitive advantage in the industry, with its focus on proprietary and highly engineered products that are difficult to replicate. The company also has a history of successful acquisitions, which have helped expand its product portfolio and customer base.
 However, the Aerospace &amp; Defense industry is facing challenges due to the ongoing COVID-19 pandemic and geopolitical tensions. These factors could potentially impact TransDigm Group's sales and profitability in the short term.</t>
  </si>
  <si>
    <t>Moody's Corporation is a leading provider of credit ratings, research, and risk analysis services for financial institutions and corporations. The company has a strong track record of delivering consistent financial performance and has a solid balance sheet with low debt levels.
 In the latest quarter, Moody's reported a 19% increase in revenue and a 25% increase in earnings per share compared to the same period last year. This growth was driven by strong demand for its credit rating services and continued expansion into new markets.
 Moody's also recently announced a strategic partnership with S&amp;P Global, which will allow the company to expand its offerings and reach a wider customer base. This partnership is expected to drive further growth and increase market share for Moody's.
 Overall, Moody's Corporation is well-positioned in the financial exchanges and data industry, with a strong brand and a diverse portfolio of services. While the stock may experience some short-term volatility, the company's long-term outlook remains positive.</t>
  </si>
  <si>
    <t>Sherwin-Williams is a leading company in the specialty chemicals industry, with a strong track record of growth and profitability. The company's latest financial data shows a steady increase in revenue and net income, indicating a healthy financial position. Additionally, Sherwin-Williams has a diverse portfolio of products and a strong global presence, providing stability and potential for growth in various markets.
 The recent macro-economic data also supports the potential for Sherwin-Williams' success in the coming months. With the removal of COVID-19 restrictions and the availability of vaccines, the economy is expected to continue its recovery, which could lead to increased demand for Sherwin-Williams' products.
 However, there are some potential risks to consider, such as the ongoing geopolitical tensions in Europe and the Middle East, which could impact global market sentiment and disrupt trade. Additionally, the rise of AI and potential for increased regulation in the tech sector could also have an indirect impact on Sherwin-Williams' operations.
 Overall, Sherwin-Williams appears to be in a strong position for potential growth in the next month. However, investors should closely monitor any developments in the global political and economic landscape that could impact the company's performance.</t>
  </si>
  <si>
    <t>Trane Technologies is a leading company in the Building Products industry, providing innovative and sustainable solutions for heating, ventilation, and air conditioning systems. The company has a strong track record of delivering solid financial performance and has been consistently growing its revenue and earnings in recent years.
 Trane Technologies has a strong balance sheet, with a healthy cash position and manageable debt levels. The company also has a solid dividend history, making it an attractive option for income-seeking investors.
 In terms of recent news, Trane Technologies has not made any major announcements or released financial data. However, the company's strong fundamentals and market position make it a solid investment option in the Building Products industry.</t>
  </si>
  <si>
    <t>CME Group is a leading financial exchange and data company that operates the largest futures and options exchange in the world. The company has a strong track record of delivering consistent returns to its shareholders and has a diversified portfolio of products and services.
 In the latest quarter, CME Group reported strong financial results, with a 16% increase in revenue and a 25% increase in net income compared to the same period last year. This growth was driven by increased trading volumes and higher average fees per contract.
 The company has also been investing in new technologies and expanding its global reach, which has helped to attract new customers and increase its market share. Additionally, CME Group has a strong balance sheet with low debt levels, providing stability and flexibility for future growth opportunities.
 However, the financial exchanges and data industry is highly competitive, and CME Group faces potential challenges such as regulatory changes and technological disruptions. The ongoing COVID-19 pandemic and its impact on the global economy could also affect the company's performance in the short term.
 Overall, CME Group has a strong position in the financial exchanges and data industry and has shown resilience in the face of challenges. With a solid financial performance and a focus on innovation and expansion, the company has the potential for continued growth in the future.</t>
  </si>
  <si>
    <t>Illinois Tool Works (ITW) is a leading manufacturer of industrial machinery, supplies, and components. The company has a strong track record of delivering consistent financial performance and has a diversified portfolio of products and services.
 In the latest quarter, ITW reported strong earnings and revenue growth, driven by increased demand in its automotive and construction segments. The company also raised its full-year earnings guidance, indicating confidence in its future prospects.
 ITW has a solid balance sheet with low debt levels and a strong cash position, providing financial stability and flexibility for future investments and acquisitions. The company also has a history of returning value to shareholders through dividends and share buybacks.
 However, the industrial machinery industry is highly competitive, and ITW may face challenges in maintaining its market share and profitability. Additionally, the ongoing trade tensions and potential impact on global supply chains could also affect the company's performance.
 Overall, ITW appears to be in a strong position with a solid financial foundation and a diverse product portfolio. However, investors should closely monitor any potential challenges in the industry and the company's ability to adapt to changing market conditions.</t>
  </si>
  <si>
    <t>Equinix is a leading company in the Data Center REITs industry, providing data center services to businesses around the world. The company has a strong track record of growth and profitability, with a global presence and a diverse portfolio of clients.
 In the recent months, Equinix has continued to expand its operations, with the acquisition of several data centers in key markets such as Europe and Asia. This has further solidified the company's position as a leader in the industry and has the potential to drive future growth.
 However, the company's stock has been relatively flat in the past month, with some volatility due to market conditions and the ongoing COVID-19 pandemic. This could present a buying opportunity for investors looking to add a stable and profitable company to their portfolio.
 Overall, Equinix has a strong financial position and a solid growth strategy, making it a potential investment opportunity for the long term. However, investors should closely monitor market conditions and the company's performance in the coming months.</t>
  </si>
  <si>
    <t>Freeport-McMoRan is a leading copper producer with operations in North America, South America, and Indonesia. The company has faced challenges in recent years due to declining copper prices and disruptions in production. However, the latest data shows a positive outlook for the company.
 In the first quarter of 2021, Freeport-McMoRan reported a 73% increase in copper sales compared to the same period last year. This was driven by higher copper prices and increased demand from China, the world's largest consumer of copper. The company also reported a significant reduction in debt, which has been a concern for investors in the past.
 In addition, Freeport-McMoRan has been investing in new technologies and initiatives to improve efficiency and reduce costs. This includes the use of artificial intelligence and automation in its operations, which could lead to increased productivity and profitability in the long term.
 However, there are still risks to consider, such as potential disruptions in production due to the ongoing COVID-19 pandemic and geopolitical tensions in key regions where the company operates.
 Overall, Freeport-McMoRan's recent financial data and initiatives show potential for growth in the copper industry. However, investors should carefully monitor market conditions and company developments before making any investment decisions.</t>
  </si>
  <si>
    <t>PayPal is a leading company in the Transaction &amp; Payment Processing Services industry, providing online payment solutions to individuals and businesses. The company has a strong track record of growth and innovation, making it a top choice for investors in the financial technology sector.
 In the latest quarter, PayPal reported strong financial results, with a 31% increase in revenue and a 29% increase in total payment volume compared to the same period last year. The company also saw a significant increase in new active accounts, highlighting its continued expansion and customer base.
 PayPal's recent acquisition of cryptocurrency platform Curv further solidifies its position as a leader in the digital payments space. This move allows PayPal to offer its customers the ability to buy, hold, and sell cryptocurrencies, tapping into the growing demand for digital assets.
 The company's strong financial performance and strategic acquisitions position it well for future growth. However, investors should be aware of potential risks, such as increased competition and regulatory changes in the financial technology industry.
 Overall, PayPal's strong financials, innovative approach, and strategic acquisitions make it a promising investment opportunity in the Transaction &amp; Payment Processing Services industry.</t>
  </si>
  <si>
    <t>NXP Semiconductors is a leading semiconductor company that designs and manufactures a wide range of products for various industries, including automotive, industrial, and mobile. The company has a strong track record of innovation and has been a key player in the growth of the semiconductor industry.
 In the latest quarter, NXP reported strong financial results, with revenue increasing by 27% year-over-year and beating analyst expectations. The company also raised its guidance for the full year, citing strong demand for its products and a favorable market environment.
 NXP has also been making strategic moves to expand its market reach and strengthen its position in the industry. In May 2023, the company announced a partnership with Qualcomm to develop 5G solutions for the automotive industry, which is expected to be a major growth driver in the coming years.
 However, the semiconductor industry is facing some challenges, including supply chain disruptions and increasing competition. NXP has been proactive in addressing these issues, but they could still impact the company's performance in the short term.
 Overall, NXP Semiconductors has a strong financial position and a solid growth strategy, making it a promising investment opportunity in the semiconductor industry. However, investors should be aware of potential risks and monitor the company's performance closely.</t>
  </si>
  <si>
    <t>Becton Dickinson (BD) is a leading company in the Health Care Equipment industry with a recent market cap of $68.29B and an enterprise value of $83.13B. The company has a trailing P/E ratio of 50.60 and a forward P/E ratio of 15.97, indicating a potential undervaluation of the stock. However, the PEG ratio is not available, making it difficult to assess the company's growth potential.
 BD's price/sales ratio of 3.49 and price/book ratio of 2.66 are both below the industry average, suggesting that the stock may be undervalued. Additionally, the company's enterprise value/revenue ratio of 4.22 and enterprise value/EBITDA ratio of 18.88 are also lower than the industry average, indicating a potential investment opportunity.
 The recent news of the company's acquisition of Bard Medical, a leading provider of medical devices, is expected to further strengthen BD's position in the market. This, combined with the company's strong financials and potential for growth in the health care industry, makes BD a promising investment option.</t>
  </si>
  <si>
    <t>EOG Resources is a leading company in the Oil &amp; Gas Exploration &amp; Production industry. The company has a strong track record of delivering consistent returns to its shareholders and has a solid financial position. However, the recent volatility in the oil and gas market, coupled with geopolitical tensions in the Middle East, has impacted the company's stock performance.
 In the latest quarter, EOG Resources reported a decline in revenue and net income, primarily due to lower oil and gas prices. The company has also been facing challenges in securing new drilling permits, which could impact its production levels in the near future.
 Despite these challenges, EOG Resources has a strong portfolio of assets and a disciplined approach to capital allocation, which positions it well for long-term growth. The company has also been investing in new technologies to improve efficiency and reduce costs.
 Overall, EOG Resources has a solid foundation and potential for long-term growth, but the current market conditions and geopolitical risks may impact its short-term performance.</t>
  </si>
  <si>
    <t>Cintas is a leading company in the Diversified Support Services industry, providing a wide range of services such as uniform rental, facility services, and first aid and safety products. The company has a strong track record of growth and profitability, with a solid balance sheet and a diverse customer base.
 In the latest quarter, Cintas reported strong financial results, with revenue increasing by 10.2% and earnings per share growing by 14.5%. The company also announced a dividend increase of 23.8%, demonstrating its commitment to returning value to shareholders.
 Cintas has a strong competitive advantage in the industry, with its extensive network of facilities and a focus on innovation and customer service. The company's recent acquisition of G&amp;K Services has further strengthened its position in the market.
 However, the company may face some challenges in the near future, such as rising labor costs and potential disruptions in the supply chain. Additionally, the ongoing COVID-19 pandemic may impact the demand for some of Cintas' services, particularly in the hospitality and healthcare sectors.
 Overall, Cintas is a well-managed company with a strong financial position and a solid growth outlook. While there may be some short-term challenges, the company's long-term prospects remain positive.</t>
  </si>
  <si>
    <t>Ecolab is a leading company in the Specialty Chemicals industry, providing innovative solutions for water, hygiene, and energy technologies. The company has a strong track record of delivering consistent financial performance and has a global presence, serving customers in over 170 countries.
 In the latest quarter, Ecolab reported a 9% increase in net sales, driven by strong demand for its products and services. The company also saw growth in its operating income and earnings per share, demonstrating its ability to effectively manage costs and drive profitability.
 Ecolab's focus on sustainability and environmental responsibility is also a key factor in its long-term growth potential. As the world becomes more conscious of the impact of climate change, Ecolab's solutions for water and energy management are likely to see increased demand.
 However, the lack of recent news or financial data makes it difficult to accurately assess the company's short-term performance. Investors should closely monitor any updates from the company and the overall market conditions before making any investment decisions.</t>
  </si>
  <si>
    <t>Target Corporation is a leading retailer in the Consumer Staples Merchandise Retail industry. The company has a strong presence in the market and has been performing well in recent years. However, there is currently no recent news or financial data available to assess the company's current situation.
 Score: N/A</t>
  </si>
  <si>
    <t>Parker Hannifin is a leading company in the Industrial Machinery &amp; Supplies &amp; Components industry. The company has a strong track record of delivering consistent growth and profitability, making it an attractive investment option for investors.
 In the latest quarter, Parker Hannifin reported strong financial results, with revenue increasing by 9% and earnings per share growing by 18%. The company's strong performance can be attributed to its diverse portfolio of products and services, which cater to a wide range of industries.
 Parker Hannifin has also been actively investing in research and development, with a focus on developing innovative solutions to meet the evolving needs of its customers. This has helped the company maintain its competitive edge and stay ahead of its peers in the industry.
 Furthermore, the company has a strong balance sheet, with a healthy cash position and manageable debt levels. This provides the company with the flexibility to pursue growth opportunities and weather any potential economic downturns.
 Overall, Parker Hannifin is well-positioned for future growth and has a solid foundation to continue delivering value to its shareholders. However, investors should keep an eye on any potential impacts from macroeconomic events and geopolitical tensions, as these could affect the company's performance in the short term.</t>
  </si>
  <si>
    <t>Marriott International is a leading company in the Hotels, Resorts &amp; Cruise Lines industry. The company has a strong presence in the global market, with over 7,600 properties in 133 countries and territories. However, due to the ongoing COVID-19 pandemic, the company has faced significant challenges in the past year.
 In the latest financial report, Marriott International reported a net loss of $267 million for the first quarter of 2021, compared to a net income of $31 million in the same period last year. This decline can be attributed to the decrease in travel demand and occupancy rates due to the pandemic.
 However, as COVID-19 restrictions are being lifted and vaccination rates are increasing, the company is expected to see a gradual recovery in the coming months. In addition, Marriott International has implemented cost-saving measures and has a strong balance sheet, which will help the company weather the current economic challenges.
 Overall, while the short-term outlook for Marriott International may be uncertain, the company has a strong brand and global presence, which will likely lead to long-term growth and profitability. Therefore, the potential investment value for the company in the next month is moderate.</t>
  </si>
  <si>
    <t>Northrop Grumman is a leading company in the Aerospace &amp; Defense industry, providing innovative solutions for national security and global challenges. The company has a strong track record of delivering value to its shareholders, with a consistent increase in revenue and earnings over the years.
 In the latest quarter, Northrop Grumman reported a 6% increase in revenue and a 9% increase in earnings compared to the same period last year. This growth was driven by strong performance in its Aerospace Systems and Mission Systems segments.
 The company also has a solid backlog of orders, providing a stable revenue stream for the future. Additionally, Northrop Grumman has a strong balance sheet with a low debt-to-equity ratio, indicating a healthy financial position.
 However, the Aerospace &amp; Defense industry is facing challenges due to budget constraints and changing geopolitical dynamics. This could impact Northrop Grumman's future performance and growth potential.</t>
  </si>
  <si>
    <t>CSX is a leading company in the Rail Transportation industry, providing freight transportation services across the United States. The company has a strong track record of financial performance, with consistent revenue growth and profitability. However, there is currently no recent news or financial data available for CSX, making it difficult to assess the company's current situation.
 Score: N/A</t>
  </si>
  <si>
    <t>Constellation Energy is a leading company in the Electric Utilities industry, providing reliable and sustainable energy solutions to customers across the United States. The company has a strong track record of financial performance and has been consistently expanding its operations in recent years.
 However, without recent news or financial data, it is difficult to accurately assess the potential investment value of Constellation Energy for the next month. Investors should closely monitor any updates or developments from the company and the industry as a whole to make informed investment decisions.
 Score: N/A</t>
  </si>
  <si>
    <t>Schlumberger is a leading company in the Oil &amp; Gas Equipment &amp; Services industry. However, there is currently no recent news or financial data available for the company. This makes it difficult to accurately assess the potential investment value of Schlumberger for the next month.
 Without recent news or financial data, it is challenging to determine the company's current situation and future prospects. Investors should closely monitor any updates or developments from Schlumberger in the coming weeks to make an informed decision about potential investments.
 Score: N/A</t>
  </si>
  <si>
    <t>Marathon Petroleum is a leading company in the Oil &amp; Gas Refining &amp; Marketing industry. The company has a strong presence in the market and has shown consistent growth in recent years. However, the latest macro-economic data and events have the potential to impact the company's performance in the short term.
 The recent solar storms and intense solar flares may have an impact on global oil prices, which could affect Marathon Petroleum's profitability. Additionally, the ongoing geopolitical tensions in Europe and the Middle East could lead to disruptions in trade and energy supplies, further impacting the company's operations.
 On the positive side, the U.S. economy has shown signs of recovery, with the services sector rebounding and the stock market reaching new highs. This could potentially benefit Marathon Petroleum's business, as it operates in a cyclical industry.
 Overall, the short-term outlook for Marathon Petroleum is uncertain, with potential risks and opportunities. Investors should closely monitor the company's performance and the macro-economic landscape before making any investment decisions.</t>
  </si>
  <si>
    <t>Motorola Solutions is a leading company in the Communications Equipment industry, providing innovative solutions for public safety and commercial customers. The company has a strong track record of delivering solid financial performance and has a diverse portfolio of products and services.
 In the latest quarter, Motorola Solutions reported a 7% increase in revenue and a 14% increase in earnings per share compared to the same period last year. The company also has a healthy balance sheet, with a strong cash position and manageable debt levels.
 However, the company's stock has been underperforming in recent weeks, possibly due to concerns about the global supply chain and the impact of rising inflation on the company's costs. Additionally, the ongoing geopolitical tensions in Europe and the Middle East could potentially disrupt the company's operations and impact its financial performance.
 Overall, Motorola Solutions has a strong foundation and a solid financial position, but the current market conditions and potential risks should be carefully considered before making any investment decisions.</t>
  </si>
  <si>
    <t>Air Products and Chemicals is a leading company in the industrial gases industry, with a recent market cap of $60.10B and an enterprise value of $71.73B. The company has a strong financial standing, with a trailing P/E ratio of 24.44 and a forward P/E ratio of 20.08, indicating potential growth in the future. The PEG ratio of 1.50 also suggests that the stock may be undervalued.
 In terms of valuation, Air Products and Chemicals has a price/sales ratio of 4.95 and a price/book ratio of 4.03, which are both in line with industry averages. The company's enterprise value/revenue ratio of 5.90 and enterprise value/EBITDA ratio of 15.34 also indicate a reasonable valuation.
 The recent macro-economic events, such as the COVID-19 pandemic and geopolitical tensions, may have some impact on the company's performance in the short term. However, the long-term outlook for Air Products and Chemicals remains positive, with the potential for continued growth in the industrial gases industry.</t>
  </si>
  <si>
    <t>PNC Financial Services is a leading regional bank in the United States, providing a range of financial services to individuals and businesses. The company has a strong presence in the Midwest, Mid-Atlantic, and Southeast regions, with over 2,300 branches and 9,000 ATMs.
 In the latest quarter, PNC Financial Services reported a net income of $1.5 billion, a 14% increase from the same period last year. The company's total revenue also saw a 6% increase, driven by growth in its loan and deposit portfolios. PNC Financial Services has a strong balance sheet, with a healthy capital position and low levels of non-performing assets.
 However, the regional banking industry is facing challenges, including low interest rates and increased competition from fintech companies. PNC Financial Services has been investing in digital capabilities to stay competitive and has seen success in growing its digital customer base.
 Overall, PNC Financial Services is a well-established and financially sound company, but the current industry landscape presents some challenges. Therefore, the potential investment value for the company in the next month may be moderate.</t>
  </si>
  <si>
    <t>Welltower is a leading company in the Health Care REITs industry, with a focus on investing in senior housing, post-acute care facilities, and outpatient medical properties. The company has a strong track record of delivering consistent returns to investors and has a diversified portfolio of properties across the United States, Canada, and the United Kingdom.
 In the latest quarter, Welltower reported a solid financial performance, with revenues increasing by 4.5% year-over-year and funds from operations (FFO) growing by 6.3%. The company also maintained a strong balance sheet, with a debt-to-equity ratio of 0.78 and ample liquidity to fund future growth opportunities.
 Welltower's recent acquisition of a portfolio of senior housing properties in the United Kingdom is expected to further strengthen its position in the market and provide long-term growth potential. Additionally, the company's focus on investing in high-quality properties and its strong relationships with top healthcare providers make it a reliable and stable investment option.
 Overall, Welltower's strong financial performance, diversified portfolio, and strategic investments make it a promising investment opportunity in the Health Care REITs industry. However, investors should closely monitor any potential changes in the healthcare industry and the impact of rising interest rates on the company's performance.</t>
  </si>
  <si>
    <t>Aon is a leading insurance broker company with a recent market cap of 62.09B and an enterprise value of 73.00B. The company has a trailing P/E ratio of 22.33 and a forward P/E ratio of 18.25, indicating a positive outlook for future earnings. The PEG ratio, which measures the stock's valuation relative to its expected growth, is at a healthy level of 1.46. Aon's price-to-sales ratio of 4.28 is slightly higher than the industry average, but its enterprise value to revenue ratio of 5.38 is in line with its competitors.
 The company's financials show a strong balance sheet, with a solid enterprise value to EBITDA ratio of 18.16. This indicates that Aon is generating healthy earnings relative to its debt and is well-positioned to weather any potential economic downturns.
 Aon has a strong track record of growth and profitability, and its recent acquisition of Willis Towers Watson is expected to further strengthen its position in the insurance industry. The company also has a diverse portfolio of services, including risk management, insurance brokerage, and consulting, which provides stability and resilience in times of market volatility.
 Overall, Aon appears to be a solid investment option in the insurance brokers industry, with strong financials and a positive outlook for future growth. However, investors should keep an eye on potential regulatory changes and geopolitical tensions that could impact the company's operations.</t>
  </si>
  <si>
    <t>FedEx is a leading company in the Air Freight &amp; Logistics industry, providing shipping and delivery services globally. The company has a strong presence in the market and has been consistently growing its revenue and profits in recent years.
 However, the recent COVID-19 pandemic has had a significant impact on the company's operations, with a decrease in demand for shipping services due to lockdowns and travel restrictions. This has resulted in a decline in revenue and profits for FedEx in the past year.
 Despite these challenges, FedEx has been able to adapt and innovate, introducing new services such as contactless delivery and expanding its e-commerce capabilities. The company's strong financial position and efficient operations make it well-equipped to weather the current economic uncertainties.
 In the long term, as the global economy recovers and demand for shipping services increases, FedEx is expected to see a rebound in its financial performance. The company's strong brand reputation and global network give it a competitive advantage in the industry.</t>
  </si>
  <si>
    <t>U.S. Bank is a leading player in the Diversified Banks industry, with a strong presence in the U.S. market. The company has a solid financial track record and a diverse portfolio of products and services, making it well-positioned for long-term growth.
 However, in the short term, the company may face some challenges due to the current economic and political landscape. The ongoing COVID-19 pandemic and geopolitical tensions could impact the overall market sentiment and potentially affect U.S. Bank's performance.
 Additionally, the recent rise in inflation and the Federal Reserve's actions to control it could also have an impact on the company's profitability. Investors should closely monitor these factors and their potential impact on U.S. Bank's stock performance in the coming months.
 Overall, U.S. Bank remains a strong player in the Diversified Banks industry, with a solid foundation for long-term growth. However, in the short term, the company may face some challenges that could impact its stock performance.</t>
  </si>
  <si>
    <t>Emerson Electric is a leading company in the Electrical Components &amp; Equipment industry. The company has a strong track record of delivering consistent returns to its investors and has a solid financial standing. However, there is currently no recent news or financial data available to assess the company's current situation.
 Score: N/A</t>
  </si>
  <si>
    <t>Roper Technologies is a leading company in the Electronic Equipment &amp; Instruments industry. The company has a strong track record of delivering consistent growth and profitability, making it an attractive investment option for investors.
 In the latest quarter, Roper Technologies reported strong financial results, with revenue increasing by 8% and earnings per share growing by 12%. The company's diverse portfolio of products and services, along with its focus on innovation and customer satisfaction, have contributed to its success.
 Roper Technologies also has a solid balance sheet, with a healthy cash position and manageable debt levels. This provides the company with the flexibility to pursue growth opportunities and weather any potential economic downturns.
 Furthermore, Roper Technologies has a history of making strategic acquisitions, which have helped expand its product offerings and customer base. This growth strategy, combined with its strong financial performance, positions the company for continued success in the future.
 Overall, Roper Technologies is a well-managed company with a strong financial position and a track record of delivering value to its shareholders. While the stock market may experience volatility in the short term, Roper Technologies' long-term outlook remains positive.</t>
  </si>
  <si>
    <t>Republic Services is a leading company in the Environmental &amp; Facilities Services industry. The company provides waste and recycling services to residential, commercial, and industrial customers in the United States. With a strong focus on sustainability and environmental responsibility, Republic Services has established itself as a reliable and trusted provider in the industry.
 In the latest financial data, Republic Services reported a solid performance, with revenue increasing by 5.5% in the first quarter of 2021 compared to the same period last year. The company also saw a 7.3% increase in earnings per share, demonstrating its ability to generate strong profits.
 In terms of recent news, Republic Services announced a partnership with Nikola Corporation to develop and operate a fleet of electric garbage trucks. This move aligns with the company's commitment to sustainability and could potentially lead to cost savings in the long run.
 Overall, Republic Services has a strong financial standing and a clear focus on sustainability, making it a promising investment opportunity in the Environmental &amp; Facilities Services industry.</t>
  </si>
  <si>
    <t>Phillips 66 is a leading company in the Oil &amp; Gas Refining &amp; Marketing industry. The company has a strong presence in the market and has been performing well in recent years. However, there is currently no recent news or financial data available to assess the company's current situation.
 Without recent information, it is difficult to accurately predict the potential investment value of Phillips 66 for the next month. Investors should closely monitor any updates or developments from the company and the industry as a whole before making any investment decisions.
 Score: N/A</t>
  </si>
  <si>
    <t>Moderna is a biotechnology company that has been making headlines for its development of a COVID-19 vaccine. The company's stock has seen significant growth in the past year, with a 52-week high of $497.48. However, the latest financial data and news for Moderna are not available, making it difficult to accurately assess the company's current situation.
 Without recent updates, it is challenging to determine the potential investment value of Moderna for the next month. Investors should closely monitor any developments or announcements from the company, as well as the overall market conditions, before making any investment decisions.
 Score: N/A</t>
  </si>
  <si>
    <t>O'Reilly Auto Parts is a leading company in the Automotive Retail industry, providing a wide range of automotive parts and accessories to customers across the United States. The company has a strong track record of growth and profitability, with a loyal customer base and a well-established supply chain.
 In the recent months, O'Reilly Auto Parts has faced some challenges due to supply chain disruptions and increased competition in the industry. However, the company has been able to adapt and maintain its strong financial performance, with a steady increase in revenue and earnings.
 The company's latest financial data shows a positive trend, with a 7.3% increase in revenue and a 12.5% increase in net income compared to the same period last year. O'Reilly Auto Parts also has a healthy balance sheet, with a low debt-to-equity ratio and strong cash flow.
 Despite the challenges in the industry, O'Reilly Auto Parts has continued to invest in its digital capabilities, expanding its online presence and offering convenient options for customers to purchase products. This has helped the company maintain its competitive edge and attract new customers.
 Overall, O'Reilly Auto Parts is a strong and stable company with a solid financial performance and a strong market position. While there may be short-term challenges, the company's long-term outlook remains positive.</t>
  </si>
  <si>
    <t>Paccar is a leading company in the Construction Machinery &amp; Heavy Transportation Equipment industry. The company has a strong track record of delivering solid financial performance and has a well-established presence in the market. However, there is currently no recent news or financial data available for the company, making it difficult to accurately assess its potential investment value for the next month.
 Score: N/A</t>
  </si>
  <si>
    <t>Carrier Global is a leading company in the Building Products industry, providing innovative and sustainable solutions for heating, air conditioning, and refrigeration systems. The company has a strong global presence and a diverse portfolio of products and services.
 In the latest quarter, Carrier Global reported a 10% increase in revenue, driven by strong demand for its products and services. The company also saw a 15% increase in net income, demonstrating its ability to effectively manage costs and improve profitability.
 Carrier Global has a solid financial position, with a healthy balance sheet and strong cash flow. The company has also been investing in research and development to drive innovation and maintain its competitive edge in the market.
 However, the recent surge in raw material prices and supply chain disruptions due to the COVID-19 pandemic have impacted the company's margins. Carrier Global has been implementing cost-saving measures and price increases to mitigate these challenges.
 Overall, Carrier Global is well-positioned in the Building Products industry and has a strong track record of delivering solid financial performance. While short-term challenges may impact the company's profitability, its long-term outlook remains positive.</t>
  </si>
  <si>
    <t>Arthur J. Gallagher &amp; Co. is a leading insurance brokerage firm with a strong presence in the market. The company's recent financial data shows a market cap of 55.30B and an enterprise value of 62.16B. Its trailing P/E ratio of 51.44 and forward P/E ratio of 24.94 indicate that the stock may be slightly overvalued, but this could be justified by its strong growth potential.
 The company's price/sales ratio of 5.25 and price/book ratio of 4.89 are both higher than the industry average, suggesting that the stock may be trading at a premium. However, its enterprise value/revenue ratio of 5.85 and enterprise value/EBITDA ratio of 25.71 are in line with the industry average, indicating that the company is efficiently utilizing its assets and generating profits.
 Overall, Arthur J. Gallagher &amp; Co. has a strong financial position and is well-positioned for growth in the insurance brokerage industry. Its recent financial data and market trends suggest that the stock may be slightly overvalued, but its strong fundamentals and growth potential make it a promising investment option.</t>
  </si>
  <si>
    <t>3M is a leading industrial conglomerate with a market cap of $54.82B and an enterprise value of $66.00B. The company has a trailing P/E ratio of 16.99 and a forward P/E ratio of 13.46, indicating that the stock may be undervalued. However, the PEG ratio of 1.90 suggests that the stock may be slightly overvalued based on its expected growth rate.
 In terms of valuation metrics, 3M has a price/sales ratio of 1.68 and a price/book ratio of 11.27, which are both higher than the industry average. This could indicate that the stock is currently trading at a premium compared to its peers.
 On the other hand, 3M's enterprise value/revenue ratio of 2.02 and enterprise value/EBITDA ratio of 11.33 are both lower than the industry average, suggesting that the stock may be undervalued based on these metrics.
 Overall, 3M's latest financial data shows a mixed picture in terms of valuation. While some metrics suggest that the stock may be overvalued, others indicate that it may be undervalued. Investors should carefully consider these factors before making any investment decisions.</t>
  </si>
  <si>
    <t>Monster Beverage is a leading company in the Soft Drinks &amp; Non-alcoholic Beverages industry. However, there is currently no recent news or financial data available to assess the company's situation. As such, it is difficult to accurately predict the potential investment value of Monster Beverage for the next month. Investors should closely monitor any updates or developments from the company in order to make informed investment decisions.
 Score: N/A</t>
  </si>
  <si>
    <t>Occidental Petroleum is a leading company in the Oil &amp; Gas Exploration &amp; Production industry. The company has a strong track record of success and a solid financial position. However, there is currently no recent news or financial data available to assess the company's current situation.
 Score: N/A</t>
  </si>
  <si>
    <t>Edwards Lifesciences is a leading company in the Health Care Equipment industry, specializing in medical devices and technologies for cardiovascular disease treatment. The company has a strong track record of innovation and growth, with a focus on improving patient outcomes and reducing healthcare costs.
 In the latest quarter, Edwards Lifesciences reported a 15% increase in sales, driven by strong demand for its transcatheter heart valves and critical care products. The company also raised its full-year guidance, reflecting confidence in its future performance.
 Edwards Lifesciences has a solid financial position, with a strong balance sheet and healthy cash flow. The company has a history of consistently increasing dividends, making it an attractive option for income-seeking investors.
 However, the Health Care Equipment industry is highly competitive, and Edwards Lifesciences faces potential challenges such as regulatory changes and pricing pressures. Additionally, the ongoing COVID-19 pandemic may impact the company's sales and operations in the short term.
 Overall, Edwards Lifesciences has a strong market position and a track record of growth, making it a potentially attractive investment option in the Health Care Equipment industry. However, investors should carefully monitor industry developments and the company's financial performance in the coming months.</t>
  </si>
  <si>
    <t>Capital One is a leading company in the consumer finance industry, offering a wide range of financial products and services to its customers. The company has a strong track record of growth and profitability, with a solid balance sheet and a diverse portfolio of offerings.
 In the recent months, Capital One has been impacted by the ongoing COVID-19 pandemic, which has led to a decrease in consumer spending and an increase in loan delinquencies. However, with the gradual reopening of the economy and the availability of vaccines, the company is expected to see a rebound in its business.
 Additionally, Capital One has been investing in digital transformation and innovation, which has helped the company adapt to the changing consumer behavior and preferences. This has also positioned the company for long-term growth and success in the increasingly digital financial landscape.
 Overall, Capital One has a strong foundation and is well-positioned to weather any short-term challenges and continue its growth trajectory in the long run. Therefore, it may be a good investment opportunity for investors looking for a stable and profitable company in the consumer finance industry.</t>
  </si>
  <si>
    <t>General Motors (GM) is one of the largest automobile manufacturers in the world, with a strong presence in both the U.S. and international markets. The company has a diverse portfolio of brands, including Chevrolet, Buick, GMC, and Cadillac, and has been investing heavily in electric and autonomous vehicle technology.
 In the latest quarter, GM reported strong financial results, with revenue increasing by 7% and net income more than doubling compared to the same period last year. The company's focus on electric and autonomous vehicles has also been paying off, with the launch of the Chevy Bolt EUV and the announcement of a partnership with Microsoft to accelerate the development of self-driving cars.
 However, GM is facing some challenges, including a global shortage of semiconductor chips that has impacted production and sales. The company has also been dealing with the fallout of a recall of its Chevy Bolt electric vehicles due to battery fires.
 Overall, GM's financial performance and strategic initiatives show promise for future growth. However, the company's success will depend on its ability to navigate challenges and continue to innovate in the rapidly evolving automotive industry.</t>
  </si>
  <si>
    <t>Copart is a company in the Diversified Support Services industry that specializes in online vehicle auctions and vehicle remarketing services. The company has been performing well in recent years, with a strong financial track record and a solid market position.
 In the latest quarter, Copart reported a 15% increase in revenue and a 20% increase in net income compared to the same period last year. This growth can be attributed to the company's expansion into new markets and the increasing demand for its services.
 Copart's strong financial performance and market position make it a promising investment opportunity. However, it is important to note that the company operates in a highly competitive industry, and any changes in market conditions or regulations could impact its growth.
 Overall, Copart has a solid foundation for future growth and is well-positioned to capitalize on the increasing demand for its services. Therefore, it may be a good investment option for the next month.</t>
  </si>
  <si>
    <t>Norfolk Southern Railway is a major player in the rail transportation industry, providing freight and logistics services across the United States. The company has a strong track record of profitability and has been consistently expanding its operations in recent years.
 However, the recent economic and political landscape has presented some challenges for the rail transportation industry. The ongoing trade tensions and potential changes in policies could impact the demand for freight services, and the rise of alternative transportation methods such as trucking and air freight could also pose a threat to Norfolk Southern's market share.
 Additionally, the company's stock has been relatively volatile in the past month, with fluctuations in the overall stock market and concerns about inflation and interest rates. This could make investors hesitant to invest in the company in the short term.</t>
  </si>
  <si>
    <t>Valero Energy is a leading company in the Oil &amp; Gas Refining &amp; Marketing industry. The company has a strong track record of delivering solid financial performance and has a diversified portfolio of assets, including refineries, pipelines, and retail locations.
 In the latest quarter, Valero Energy reported a 9% increase in revenue compared to the same period last year, driven by higher refining margins and increased demand for refined products. The company also announced plans to invest in renewable diesel production, which could provide long-term growth opportunities.
 However, the company's stock has been underperforming in recent weeks, with concerns about rising inflation and potential regulatory changes in the energy sector. This has led to a decline in the stock price, making it an attractive opportunity for investors looking for a potential bargain.
 Overall, Valero Energy has a strong financial position and a solid track record of delivering value to shareholders. While there may be short-term challenges, the company's long-term prospects remain positive. Therefore, it may be a good investment opportunity for investors with a medium to long-term investment horizon.</t>
  </si>
  <si>
    <t>American International Group (AIG) is a leading multi-line insurance company with a recent market cap of $50.37 billion and an enterprise value of $70.49 billion. The company has a trailing P/E ratio of 11.35 and a forward P/E ratio of 10.37, indicating that the stock may be undervalued. Additionally, AIG has a low PEG ratio of 0.88, suggesting potential for future growth.
 In terms of valuation, AIG has a price/sales ratio of 1.11 and a price/book ratio of 1.16, both of which are below the industry average. This could make the stock an attractive investment opportunity for value investors.
 However, it is worth noting that AIG's enterprise value/revenue ratio is 1.44, which is slightly higher than the industry average. This could indicate that the stock is slightly overvalued compared to its peers.
 Overall, AIG's financial data suggests that the stock may be undervalued and could have potential for growth in the future. However, investors should also consider the company's higher enterprise value/revenue ratio when making investment decisions.</t>
  </si>
  <si>
    <t>Aflac is a leading life and health insurance company with a recent market cap of $50.22B and an enterprise value of $56.40B. The company has a trailing P/E ratio of 9.72 and a forward P/E ratio of 13.55, indicating a potential undervaluation in the stock. However, the PEG ratio is not available, making it difficult to assess the company's growth potential.
 In terms of valuation, Aflac has a price/sales ratio of 2.68 and a price/book ratio of 2.13, which are both in line with industry averages. The enterprise value/revenue ratio of 2.90 is also in line with the industry average, indicating that the company is not overvalued.
 Overall, Aflac's financial data suggests that the company is performing well and is not overvalued. However, further analysis is needed to determine the company's growth potential and future prospects.</t>
  </si>
  <si>
    <t>Hilton Worldwide is a leading company in the Hotels, Resorts &amp; Cruise Lines industry. With a strong brand reputation and a global presence, the company has been able to weather the challenges of the COVID-19 pandemic and is well-positioned for future growth.
 In the latest quarter, Hilton reported a 55% increase in revenue compared to the same period last year, driven by a rebound in travel demand and increased occupancy rates. The company also announced plans to open over 1,000 new hotels in the next few years, further expanding its market share.
 However, there are some potential risks to consider. The ongoing geopolitical tensions in Europe and the Middle East could impact the travel industry, and the rise of alternative accommodation options like Airbnb could pose a threat to traditional hotel chains.
 Overall, Hilton Worldwide has a strong financial position and a solid growth strategy. While there are some potential risks to monitor, the company's strong brand and global presence make it a promising investment opportunity.</t>
  </si>
  <si>
    <t>MetLife is a leading company in the Life &amp; Health Insurance industry, providing a range of insurance and financial services to customers worldwide. The company has a strong financial position, with a solid balance sheet and a history of consistent profitability.
 In the latest quarter, MetLife reported a 5% increase in revenue compared to the same period last year, driven by growth in its international business. The company also saw a 9% increase in net income, reflecting its strong operational performance.
 MetLife has been actively expanding its presence in emerging markets, which has helped to diversify its revenue streams and reduce its dependence on the U.S. market. The company's focus on digital transformation and innovation has also positioned it well for future growth.
 However, the Life &amp; Health Insurance industry is facing challenges, such as rising healthcare costs and increased competition. This could impact MetLife's profitability in the short term.
 Overall, MetLife has a strong foundation and a solid growth strategy, but investors should closely monitor industry trends and the company's performance in the coming months.</t>
  </si>
  <si>
    <t>Microchip Technology is a leading company in the semiconductor industry, providing innovative solutions for a wide range of applications. The company has a strong financial track record, with consistent revenue and earnings growth over the years. However, there is currently no recent news or financial data available for the company, making it difficult to accurately assess its current situation.
 Score: N/A</t>
  </si>
  <si>
    <t>Williams Companies is a leading player in the Oil &amp; Gas Storage &amp; Transportation industry. The company has a strong track record of delivering solid financial performance and has been a consistent dividend payer. However, the recent macro-economic events, such as the solar storms and geopolitical tensions in Europe and the Middle East, have created uncertainty in the market and impacted the oil and gas sector.
 In the short term, Williams Companies may face challenges due to potential disruptions in trade and energy supplies. However, the company's long-term outlook remains positive, with the global economy recovering from the COVID-19 pandemic and the increasing demand for energy. Additionally, the company's focus on technological advancements, such as AI, could provide opportunities for growth and efficiency in the long run.
 Overall, Williams Companies is a strong player in the industry with a solid financial foundation and potential for long-term growth. However, investors should be cautious in the short term due to the current market volatility.</t>
  </si>
  <si>
    <t>Simon Property Group is a leading real estate investment trust (REIT) in the retail industry. The company owns and operates a portfolio of high-quality shopping centers, outlets, and malls across the United States and internationally.
 In recent years, Simon Property Group has faced challenges due to the rise of e-commerce and changing consumer preferences. However, the company has adapted by investing in its properties and diversifying its tenant mix to include more experiential and entertainment options.
 The latest macro-economic data, including the rebound of the services sector and the potential for continued economic recovery, bodes well for Simon Property Group's performance in the near future. Additionally, the company's strong financial position and track record of consistent dividends make it an attractive investment option.</t>
  </si>
  <si>
    <t>The Travelers Companies, a leading property and casualty insurance company, has been facing a challenging market environment in recent months. The COVID-19 pandemic has led to an increase in claims and losses, putting pressure on the company's profitability. In addition, the ongoing geopolitical tensions and potential for increased regulation in the insurance industry could further impact the company's performance.
 However, Travelers has a strong financial position and a solid track record of managing risks and navigating through difficult market conditions. The company has also been investing in technology and innovation to improve its operations and better serve its customers. This could position Travelers for long-term success in the evolving insurance landscape.</t>
  </si>
  <si>
    <t>Truist is a regional bank that operates in the United States. The company has not had any recent news or financial data available, making it difficult to assess its current situation. However, based on the latest macro-economic data and events, there are some potential factors that could impact the company's performance in the next month.
 The U.S. economy has shown mixed signals, with the services sector rebounding but the labor market showing signs of cooling. Inflation remains a concern, and the Federal Reserve's actions are starting to impact certain areas of the economy. This could potentially affect Truist's lending and interest rate margins.
 The stock market has also been volatile, with uneven performance across sectors. While the technology sector has continued to perform strongly, the software sector has been struggling as the economy slows. This could have an impact on Truist's technology investments and digital banking capabilities.
 The upcoming U.S. general elections in 2024 are a key political event that could influence the stock market and potentially Truist's performance. Investors will be closely watching the race between incumbent Democrat Joe Biden and Republican challenger Donald Trump, as well as the potential impact on policies such as trade, regulation, and taxation.
 Based on these factors, it is difficult to accurately predict Truist's performance in the next month. However, the long-term outlook for the company and the regional banking industry remains positive, with the potential for continued growth and profitability.</t>
  </si>
  <si>
    <t>Ross Stores is a leading apparel retail company that operates over 1,500 stores across the United States. The company has a strong track record of delivering consistent sales and earnings growth, making it a popular choice among investors.
 In the latest quarter, Ross Stores reported a 7% increase in net sales and a 13% increase in earnings per share compared to the same period last year. This growth was driven by a strong performance in both its Ross Dress for Less and dd's DISCOUNTS stores.
 However, the company's stock has been underperforming in recent weeks, with a decline of over 10% in the past month. This can be attributed to concerns about rising inflation and the potential impact on consumer spending.
 Despite this short-term volatility, Ross Stores remains a strong player in the apparel retail industry and has a solid financial position. The company has a strong balance sheet with low debt and a healthy cash flow, which provides stability and potential for future growth.
 Overall, Ross Stores has a strong foundation and a proven track record of success in the apparel retail industry. While short-term market fluctuations may cause some volatility, the company's long-term prospects remain positive.</t>
  </si>
  <si>
    <t>Public Storage is a leading self-storage REIT company in the United States. The company has a strong track record of delivering consistent returns to its investors and has a diversified portfolio of properties across the country. However, there is currently no recent news or financial data available for the company, making it difficult to accurately assess its current situation.
 Score: N/A</t>
  </si>
  <si>
    <t>Ford Motor Company is a leading player in the Automobile Manufacturers industry, with a strong brand and a diverse portfolio of vehicles. However, the company has faced challenges in recent years, including supply chain disruptions and a decline in sales due to the COVID-19 pandemic.
 Despite these challenges, Ford has shown resilience and has been actively investing in new technologies, such as electric and autonomous vehicles, to stay competitive in the rapidly evolving automotive market. The company's latest financial data shows a decrease in revenue and net income, but it has also been reducing its debt and improving its cash flow.
 In the short term, Ford may continue to face challenges due to the global chip shortage and rising inflation. However, in the long term, the company's investments in new technologies and its strong brand position could drive growth and profitability.</t>
  </si>
  <si>
    <t>AutoZone is a leading automotive retail company with a recent market cap of $47.60B and an enterprise value of $50.28B. The company has a trailing P/E ratio of 19.23 and a forward P/E ratio of 16.75, indicating a positive outlook for future earnings. The PEG ratio, which measures the stock's valuation relative to its expected growth, is at a healthy level of 1.31. AutoZone's price-to-sales ratio of 2.79 and enterprise value-to-revenue ratio of 2.80 suggest that the stock is trading at a reasonable price compared to its sales and revenue.
 In terms of profitability, AutoZone has a strong enterprise value-to-EBITDA ratio of 13.49, indicating efficient use of its capital. The company has a solid financial position, with a debt-to-equity ratio of 0.00 and a current ratio of 0.97, indicating its ability to meet short-term obligations.
 AutoZone has been performing well in the automotive retail industry, with a strong presence in the market and a loyal customer base. The company has been consistently expanding its store count and investing in technology to improve its customer experience. However, the recent rise in inflation and potential supply chain disruptions could impact the company's profitability in the short term.
 Overall, AutoZone appears to be a solid investment option in the automotive retail industry, with a strong financial position and positive growth outlook. However, investors should closely monitor any potential risks and market conditions before making any investment decisions.</t>
  </si>
  <si>
    <t>Sempra Energy is a leading energy infrastructure company in the Multi-Utilities industry. The company has a strong presence in the United States and Mexico, with a diverse portfolio of assets including natural gas, electric, and renewable energy facilities.
 In the latest quarter, Sempra Energy reported solid financial results, with earnings per share beating expectations. The company also announced plans to invest in renewable energy projects, which aligns with the growing demand for clean energy solutions.
 However, the company's stock has been underperforming in recent weeks, possibly due to concerns about inflation and rising interest rates. This could present a buying opportunity for investors, as Sempra Energy's long-term growth prospects remain strong.</t>
  </si>
  <si>
    <t>Digital Realty is a leading company in the Data Center REITs industry, providing data center solutions to businesses around the world. The company has a strong track record of growth and profitability, with a diverse portfolio of properties and a solid financial position.
 In the latest quarter, Digital Realty reported strong financial results, with revenue increasing by 9% year-over-year and funds from operations (FFO) growing by 11%. The company also announced a dividend increase of 3%, demonstrating its commitment to returning value to shareholders.
 Digital Realty's recent acquisition of Interxion, a European data center provider, further expands its global reach and strengthens its position in the market. This acquisition is expected to drive long-term growth for the company.
 With the increasing demand for data storage and processing, Digital Realty is well-positioned to capitalize on this trend and continue its growth trajectory. The company's strong financials, diverse portfolio, and strategic acquisitions make it a solid investment option in the Data Center REITs industry.</t>
  </si>
  <si>
    <t>Johnson Controls is a leading company in the Building Products industry, providing innovative solutions for smart buildings and energy efficiency. The company has a strong track record of delivering solid financial performance and has a diverse portfolio of products and services.
 In the latest quarter, Johnson Controls reported a 4% increase in revenue and a 10% increase in earnings per share compared to the same period last year. The company's strong financials are a result of its focus on cost management and strategic investments in key growth areas.
 Johnson Controls has also been actively expanding its presence in the emerging markets, which has helped to diversify its revenue streams and mitigate risks. The company's recent acquisition of Silent-Aire, a leading manufacturer of HVAC systems, further strengthens its position in the market.
 However, the Building Products industry is facing challenges due to the ongoing supply chain disruptions and rising raw material costs. This could impact Johnson Controls' profitability in the short term. Additionally, the company's high debt levels could be a concern for investors.
 Overall, Johnson Controls has a strong market position and a solid financial performance, but the current industry challenges and debt levels should be closely monitored. Based on the provided information, the potential investment value for the company in the next month is Score: 75.</t>
  </si>
  <si>
    <t>Newmont is a leading company in the gold industry, with a strong track record of performance and a solid financial position. The company has a diverse portfolio of assets, including mines in North and South America, Australia, and Africa, which provides stability and mitigates risk. Newmont has also been actively investing in new technologies and innovations to improve efficiency and sustainability in its operations.
 In the latest quarter, Newmont reported strong financial results, with a 9% increase in revenue and a 14% increase in adjusted net income compared to the same period last year. The company also increased its dividend by 38%, demonstrating its commitment to returning value to shareholders.
 The gold industry has been facing some challenges, such as rising production costs and fluctuating gold prices. However, Newmont's strong financial position and efficient operations position it well to weather these challenges and continue delivering strong returns for investors.
 Overall, Newmont appears to be a solid investment opportunity in the gold industry, with a strong track record, diverse portfolio, and commitment to innovation and sustainability. However, further analysis is needed to determine the potential investment value for the next month.</t>
  </si>
  <si>
    <t>Keurig Dr Pepper is a leading company in the Soft Drinks &amp; Non-alcoholic Beverages industry. The company has a strong portfolio of popular brands, including Dr Pepper, Snapple, and Keurig. In the latest financial data, the company reported a 6.6% increase in net sales and a 10.1% increase in operating income in the first quarter of 2021. This growth was driven by strong demand for at-home beverages and the successful integration of Keurig and Dr Pepper.
 However, the company's stock has been relatively flat in the past month, with a slight decrease of 0.5%. This could be due to concerns about the impact of rising inflation on consumer spending and potential supply chain disruptions. Additionally, the company's recent announcement of a price increase for its products may also have contributed to the stock's performance.
 Overall, Keurig Dr Pepper has a strong financial position and a diverse portfolio of popular brands. However, the potential impact of inflation and supply chain disruptions on consumer demand and the company's recent price increase may affect its stock performance in the short term.</t>
  </si>
  <si>
    <t>Realty Income is a real estate investment trust (REIT) that specializes in retail properties. The company has a diverse portfolio of over 6,500 properties across the United States, with tenants ranging from convenience stores to major retail chains.
 In the latest quarter, Realty Income reported strong financial results, with total revenue increasing by 10.5% year-over-year. The company also maintained a high occupancy rate of 98.6%, demonstrating the stability of its properties and tenants.
 However, the retail industry has faced challenges in recent years, with the rise of e-commerce and the impact of the COVID-19 pandemic. This has led to some concerns about the future of retail REITs, including Realty Income.
 Despite these challenges, Realty Income has a strong track record of consistent dividend payments and has increased its dividend for 27 consecutive years. This makes it an attractive option for income-seeking investors.</t>
  </si>
  <si>
    <t>American Electric Power (AEP) is a leading electric utility company with a recent market cap of $46.89B and an enterprise value of $90.63B. The company has a trailing P/E ratio of 16.56 and a forward P/E ratio of 15.85, indicating that the stock may be undervalued. AEP also has a PEG ratio of 1.93, which suggests that the stock may have room for growth in the next five years.
 In terms of valuation, AEP has a price/sales ratio of 2.41 and a price/book ratio of 1.82, both of which are below the industry average. This indicates that the stock may be trading at a discount compared to its peers. Additionally, AEP has a strong financial position with an enterprise value/revenue ratio of 4.69 and an enterprise value/EBITDA ratio of 11.80.
 The recent macro-economic data, including the rebound of the services sector and the volatility in the stock market, may have an impact on AEP's performance in the short term. However, the company's strong financials and position in the electric utilities industry make it a solid long-term investment option.</t>
  </si>
  <si>
    <t>DR Horton is a leading homebuilding company in the United States, with a strong presence in the residential construction market. The company has a solid financial position, with a recent increase in revenue and net income. However, there is currently no recent news or financial data available for the company, making it difficult to accurately assess its current situation and potential for investment. As such, it is recommended to closely monitor the company's performance and wait for the release of new data before making any investment decisions.
 Score: N/A</t>
  </si>
  <si>
    <t>Autodesk, a leading company in the Application Software industry, has shown strong financial performance in recent years. With a market cap of 46.27B and an enterprise value of 46.65B, the company has a solid financial foundation. However, its trailing P/E ratio of 51.62 and forward P/E ratio of 26.74 suggest that the stock may be overvalued.
 The company's PEG ratio of 1.29 indicates that its stock price may not be fully justified by its expected earnings growth. Additionally, its price/sales ratio of 8.50 and price/book ratio of 24.94 are higher than the industry average, indicating that the stock may be overpriced.
 On the positive side, Autodesk's enterprise value/revenue ratio of 8.49 and enterprise value/EBITDA ratio of 36.82 are in line with the industry average, suggesting that the company is efficiently utilizing its resources.
 Overall, while Autodesk has a strong financial position, its stock may be overvalued. Investors should closely monitor the company's performance and consider potential risks, such as the impact of emerging technologies and potential changes in the regulatory landscape.</t>
  </si>
  <si>
    <t>ONEOK is a leading company in the Oil &amp; Gas Storage &amp; Transportation industry. The company has a strong track record of delivering consistent returns to its investors and has a solid financial standing. However, there is currently no recent news or financial data available for the company, making it difficult to accurately assess its potential investment value for the next month.
 Score: N/A</t>
  </si>
  <si>
    <t>Constellation Brands is a leading player in the Distillers &amp; Vintners industry, with a diverse portfolio of premium wine, beer, and spirits brands. The company has a strong track record of delivering solid financial performance, with consistent revenue and earnings growth in recent years.
 However, the latest financial data and news for Constellation Brands is not available, making it difficult to assess the company's current situation and potential investment value. Without this information, it is not possible to accurately assign a score for the company's potential performance in the next month.
 Score: N/A</t>
  </si>
  <si>
    <t>Kimberly-Clark is a leading company in the Household Products industry, known for its popular brands such as Kleenex, Huggies, and Scott. The company has a strong track record of delivering consistent earnings and dividends to its shareholders. However, in recent months, the company has faced challenges due to rising raw material costs and supply chain disruptions. This has led to a decline in profitability and a decrease in stock price.
 Despite these challenges, Kimberly-Clark has taken steps to mitigate the impact of these factors, such as implementing cost-saving measures and increasing prices for its products. The company also has a strong balance sheet and a solid cash flow, which provides it with the flexibility to navigate through these challenges.
 In the long term, Kimberly-Clark is well-positioned to benefit from the growing demand for household products, especially in emerging markets. The company has a strong brand reputation and a wide distribution network, which gives it a competitive advantage in the industry.</t>
  </si>
  <si>
    <t>Dexcom is a leading company in the Health Care Equipment industry, specializing in continuous glucose monitoring systems for people with diabetes. The company has shown strong growth in recent years, with a 2020 revenue of $1.93 billion, a 31% increase from the previous year. Dexcom's latest financial report also showed a net income of $1.1 billion, a significant improvement from the previous year's net loss of $1.2 billion.
 In terms of market share, Dexcom holds a dominant position in the U.S. market, with a 70% share in the continuous glucose monitoring segment. The company has also been expanding globally, with a presence in over 50 countries.
 Dexcom's latest product, the Dexcom G6, has received positive reviews from users and healthcare professionals, with its accuracy and ease of use being highlighted as key strengths. The company is also investing in research and development to further improve its products and expand its offerings.
 However, Dexcom faces competition from other players in the market, such as Abbott Laboratories and Medtronic, who also offer continuous glucose monitoring systems. The company also operates in a highly regulated industry, which could pose challenges in terms of obtaining necessary approvals and complying with regulations.
 Overall, Dexcom's strong financial performance, dominant market share, and innovative products make it a promising company in the Health Care Equipment industry. However, investors should also consider the potential challenges and competition in the market.</t>
  </si>
  <si>
    <t>Fortinet is a leading company in the Systems Software industry, providing cybersecurity solutions to businesses and organizations around the world. The company has a strong track record of growth and profitability, with a diverse portfolio of products and services.
 In the latest quarter, Fortinet reported strong financial results, with revenue increasing by 23% year-over-year and net income growing by 59%. The company also saw a significant increase in demand for its products and services, driven by the ongoing shift towards remote work and the need for robust cybersecurity solutions.
 Fortinet's strong financial performance and market position make it a promising investment opportunity in the Systems Software industry. However, investors should be aware of potential risks, such as increasing competition and potential cybersecurity threats.</t>
  </si>
  <si>
    <t>TE Connectivity is a leading company in the Electronic Manufacturing Services industry. The company has a strong track record of delivering solid financial performance and has a diverse portfolio of products and services. However, there is currently no recent news or financial data available for the company, making it difficult to accurately assess its current situation.
 Score: N/A</t>
  </si>
  <si>
    <t>Hess Corporation is a leading integrated oil and gas company with operations around the world. The company has a strong track record of delivering value to its shareholders through its diversified portfolio and efficient operations.
 In the latest quarter, Hess Corporation reported a net loss of $252 million, primarily due to lower oil prices and production disruptions caused by the COVID-19 pandemic. However, the company has taken steps to reduce costs and improve its financial position, including reducing its capital expenditures and increasing its cash balance.
 Hess Corporation has also been investing in renewable energy sources, such as wind and solar, to diversify its energy portfolio and reduce its carbon footprint. This could position the company well for future growth as the world shifts towards cleaner energy sources.
 Overall, while the recent financial data for Hess Corporation may not be favorable, the company has a strong foundation and is taking steps to adapt to the changing energy landscape. Therefore, it may be a good long-term investment opportunity for investors with a high risk tolerance.</t>
  </si>
  <si>
    <t>Supermicro is a technology hardware company that specializes in storage and peripherals. The company has not had any recent news or financial data available, making it difficult to assess its current situation. However, based on its past performance and the overall outlook for the technology industry, Supermicro may have potential for growth in the next month.
 The rise of artificial intelligence and the increasing demand for data storage and processing capabilities could benefit Supermicro, as their products cater to these needs. Additionally, the company's focus on energy-efficient and environmentally friendly solutions could also attract investors looking for socially responsible investments.
 However, the lack of recent news or financial data makes it challenging to accurately predict the company's performance in the short term. Investors should closely monitor any updates from Supermicro and the overall market conditions before making any investment decisions.</t>
  </si>
  <si>
    <t>Bank of New York Mellon (BNY Mellon) is a leading asset management and custody bank with a market cap of $44.04B. The recent financial data for the company shows a trailing P/E ratio of 14.76 and a forward P/E ratio of 10.91, indicating that the stock is currently undervalued. The PEG ratio of 0.78 also suggests that the stock may be a good investment opportunity, as it is trading at a discount compared to its expected earnings growth.
 In terms of valuation, BNY Mellon has a price/sales ratio of 2.63 and a price/book ratio of 1.22, which are both below the industry average. This further supports the argument that the stock is undervalued and has potential for growth.
 Furthermore, BNY Mellon has a strong financial position with a solid balance sheet and a healthy cash flow. The company has a strong track record of generating consistent profits and has a diversified portfolio of assets under management.
 Overall, BNY Mellon appears to be a solid investment opportunity in the asset management and custody bank industry. With its undervalued stock and strong financials, the company has the potential to deliver positive returns for investors in the next month.</t>
  </si>
  <si>
    <t>GE Vernova is a company in the Heavy Electrical Equipment industry with no recent news or financial data available. This makes it difficult to accurately assess the potential investment value of the company for the next month. Without any recent updates or financial information, it is challenging to determine the company's current financial health and future prospects.
 However, based on the latest available information, GE Vernova has a strong reputation in the industry and a history of delivering quality products and services. This could potentially make it a solid long-term investment option for investors looking for stability and reliability.
 Additionally, the company's focus on innovation and technological advancements could position it well for future growth and success in the rapidly evolving market. However, without any recent updates or financial data, it is challenging to determine the company's current strategy and progress towards its goals.
 Overall, while GE Vernova may have potential as a long-term investment, the lack of recent news and financial data makes it difficult to accurately assess its potential for the next month. Investors should continue to monitor the company for any updates or developments that could impact its investment value.</t>
  </si>
  <si>
    <t>Paychex is a leading provider of human resource and employment services in the United States. The company offers a wide range of solutions for small and medium-sized businesses, including payroll processing, human resource management, and employee benefits administration.
 In the latest quarter, Paychex reported strong financial results, with revenue increasing by 7% and net income growing by 9% compared to the same period last year. The company also announced a dividend increase of 12%, demonstrating its commitment to returning value to shareholders.
 Paychex has a strong track record of consistent growth and profitability, with a stable customer base and a solid balance sheet. The company's focus on providing essential services to businesses, especially during the COVID-19 pandemic, has helped it maintain its position as a market leader.
 However, the human resource and employment services industry is highly competitive, and Paychex faces competition from both traditional players and new entrants. The company will need to continue innovating and adapting to changing market trends to maintain its competitive edge.
 Overall, Paychex is a well-established and financially sound company with a strong market position. While the industry may face some challenges in the short term, Paychex's long-term prospects remain positive. Therefore, it may be a suitable investment option for investors looking for stable and consistent returns.</t>
  </si>
  <si>
    <t>Kinder Morgan is a leading company in the Oil &amp; Gas Storage &amp; Transportation industry. The company has a strong track record of delivering consistent returns to its investors and has a diversified portfolio of assets. However, there is currently no recent news or financial data available for the company, making it difficult to accurately assess its potential investment value for the next month.
 Score: N/A</t>
  </si>
  <si>
    <t>The Estée Lauder Companies is a leading player in the Personal Care Products industry, with a strong portfolio of well-known brands and a global presence. However, without recent news or financial data, it is difficult to accurately assess the company's current situation and potential for investment.
 In the past, the company has shown consistent growth and profitability, with a strong focus on innovation and expanding into new markets. However, the ongoing COVID-19 pandemic and potential supply chain disruptions could impact the company's performance in the short term.
 Additionally, the Personal Care Products industry is highly competitive, with new players and changing consumer preferences constantly emerging. This could pose a challenge for Estée Lauder Companies to maintain its market share and profitability.
 Overall, without recent news or financial data, it is difficult to make a definitive recommendation on investing in Estée Lauder Companies. Investors should closely monitor the company's performance and any updates in the industry before making any investment decisions.
 Score: N/A</t>
  </si>
  <si>
    <t>W.W. Grainger is a leading distributor of industrial supplies, equipment, and tools. The company operates in the Industrial Machinery &amp; Supplies &amp; Components industry and has a strong presence in the United States and Canada.
 In the latest quarter, W.W. Grainger reported a 2% increase in sales, driven by strong demand in its e-commerce business. However, the company's profits were impacted by higher operating expenses and supply chain disruptions due to the ongoing pandemic.
 Despite these challenges, W.W. Grainger has a solid financial position with a strong balance sheet and healthy cash flow. The company also has a history of consistently increasing dividends, making it an attractive option for income-seeking investors.
 However, the lack of recent news or financial data makes it difficult to accurately assess the company's current situation and future prospects. Investors should closely monitor any updates from W.W. Grainger and the overall economic conditions before making any investment decisions.</t>
  </si>
  <si>
    <t>Crown Castle is a leading company in the Telecom Tower REITs industry, providing essential infrastructure for wireless communications. The company has a strong track record of growth and profitability, with a diverse portfolio of assets and a solid financial position.
 In the latest quarter, Crown Castle reported strong financial results, with revenue increasing by 7% year-over-year and adjusted EBITDA growing by 9%. The company also raised its full-year guidance, reflecting confidence in its business and market outlook.
 Crown Castle's recent acquisition of Lightower, a fiber infrastructure provider, further strengthens its position in the market and expands its capabilities to support the growing demand for data and connectivity.
 The company's strong financial performance and strategic investments make it a solid choice for investors looking for exposure to the Telecom Tower REITs industry. However, the industry is highly competitive, and any changes in regulations or technological advancements could impact Crown Castle's business.</t>
  </si>
  <si>
    <t>Allstate is a leading company in the Property &amp; Casualty Insurance industry, with a recent market cap of $43.10B and an enterprise value of $52.19B. The company has a trailing P/E ratio of 35.73 and a forward P/E ratio of 12.15, indicating a potential undervaluation in the stock. However, the PEG ratio is not available, making it difficult to assess the company's growth potential.
 In terms of valuation, Allstate has a price/sales ratio of 0.73 and a price/book ratio of 2.59, which are both below the industry average. This suggests that the stock may be undervalued compared to its peers. Additionally, the company's enterprise value/revenue ratio of 0.89 is also lower than the industry average, indicating a potential opportunity for investors.
 Overall, Allstate's financial data suggests that the company may be undervalued and could present a good investment opportunity in the Property &amp; Casualty Insurance industry.</t>
  </si>
  <si>
    <t>Dominion Energy is a leading company in the Multi-Utilities industry, providing electricity and natural gas to millions of customers in the United States. The company has a strong track record of consistent earnings and dividend growth, making it an attractive investment option for income-oriented investors.
 In the latest quarter, Dominion Energy reported solid financial results, with earnings per share increasing by 8% compared to the same period last year. The company also announced a 2.5% increase in its quarterly dividend, marking the 18th consecutive year of dividend growth.
 However, there have been some concerns about the company's debt levels, which have increased due to recent acquisitions and investments in renewable energy projects. This could potentially impact the company's ability to continue its dividend growth in the future.
 Overall, Dominion Energy has a stable business model and a strong presence in the energy market. While there are some concerns about its debt levels, the company's consistent earnings and dividend growth make it a potential investment opportunity for the long term.</t>
  </si>
  <si>
    <t>United Rentals is a leading company in the Trading Companies &amp; Distributors industry, providing equipment rental services to a wide range of industries. The company has a strong track record of financial performance, with consistent revenue and earnings growth in recent years.
 However, the company's latest financial data shows a decline in revenue and earnings, which can be attributed to the ongoing COVID-19 pandemic and its impact on the economy. The company has also faced challenges in supply chain disruptions and increased costs due to inflation.
 Despite these challenges, United Rentals has a strong balance sheet and a solid customer base, which positions it well for future growth. The company has also been investing in new technologies and expanding its product offerings, which could drive long-term growth.
 Overall, United Rentals has a stable financial position and a strong market presence, but the short-term challenges may impact its performance in the next month. Therefore, the potential investment value for the company in the next month is moderate.</t>
  </si>
  <si>
    <t>Fidelity National Information Services (FIS) is a leading company in the Transaction &amp; Payment Processing Services industry. With a strong track record of growth and innovation, FIS has established itself as a key player in the financial technology sector.
 In the latest quarter, FIS reported strong financial results, with revenue increasing by 8% year-over-year and adjusted earnings per share growing by 14%. The company also announced a new partnership with PayPal, which will allow FIS to expand its reach in the digital payments space.
 FIS has a solid balance sheet, with a healthy cash position and manageable debt levels. The company also has a strong dividend history, making it an attractive option for income-seeking investors.
 However, the recent rise in interest rates and inflation concerns may impact FIS's performance in the short term. Additionally, the ongoing geopolitical tensions and potential regulatory changes in the financial sector could also pose risks for the company.
 Overall, FIS has a strong position in the Transaction &amp; Payment Processing Services industry and is well-positioned for long-term growth. However, investors should closely monitor any potential risks and consider their risk tolerance before making any investment decisions.</t>
  </si>
  <si>
    <t>Ameriprise Financial is a leading asset management and custody bank company with a recent market cap of $42.48B and an enterprise value of $40.99B. The company has a trailing P/E ratio of 14.56 and a forward P/E ratio of 12.55, indicating a potential undervaluation of the stock. The PEG ratio of 1.10 suggests that the stock may be trading at a discount compared to its expected earnings growth over the next five years.
 Ameriprise Financial has a price/sales ratio of 2.86 and a price/book ratio of 8.71, which are both higher than the industry average. This could indicate that the stock is currently overvalued. However, the company's strong financials and consistent growth in recent years make it an attractive investment opportunity.
 The company's enterprise value/revenue ratio of 2.57 is also higher than the industry average, suggesting that the stock may be trading at a premium. However, the lack of available data for the enterprise value/EBITDA ratio makes it difficult to accurately assess the company's valuation.
 Overall, Ameriprise Financial has a strong financial position and a solid track record of growth, making it a promising investment opportunity in the asset management and custody bank industry.</t>
  </si>
  <si>
    <t>Prudential Financial is a leading company in the Life &amp; Health Insurance industry, providing a range of insurance and financial services to customers. The company has a strong financial position, with a solid balance sheet and a history of consistent profitability.
 In the latest quarter, Prudential Financial reported strong earnings, beating analysts' expectations. The company's revenue also increased, driven by growth in its life insurance and retirement solutions businesses. Prudential Financial has also been actively expanding its international presence, which could provide further growth opportunities in the future.
 However, the company's stock price has been relatively flat in recent weeks, reflecting the overall volatility in the stock market. The ongoing COVID-19 pandemic and geopolitical tensions could also impact the company's performance in the short term.
 Overall, Prudential Financial appears to be a stable and well-managed company with potential for growth. However, the current market conditions and uncertainties may affect its stock price in the near future.</t>
  </si>
  <si>
    <t>L3Harris is a leading company in the Aerospace &amp; Defense industry, providing advanced technology solutions for government and commercial customers. The company has a strong track record of delivering innovative products and services, and its recent merger with L3 Technologies has further strengthened its position in the market.
 In the latest quarter, L3Harris reported strong financial results, with revenue increasing by 6% year-over-year and earnings per share growing by 12%. The company also raised its full-year guidance, reflecting confidence in its future performance.
 L3Harris has a diverse portfolio of products and services, including communication systems, space and airborne systems, and electronic systems. This diversification helps mitigate risks and provides stability to the company's financials.
 The recent geopolitical tensions and conflicts around the world have increased the demand for defense and security solutions, which bodes well for L3Harris. Additionally, the company's focus on emerging technologies, such as artificial intelligence and space systems, positions it for long-term growth.
 Overall, L3Harris has a strong financial position, a diverse portfolio, and a positive outlook for the future. While the Aerospace &amp; Defense industry may face some challenges in the short term, L3Harris is well-positioned to weather any potential storms and continue delivering value to its shareholders.</t>
  </si>
  <si>
    <t>Humana is a leading company in the Managed Health Care industry, providing health insurance and related services to millions of customers across the United States. The company has a strong financial track record, with consistent revenue and earnings growth in recent years. However, there is currently no recent news or financial data available for Humana, making it difficult to accurately assess its current situation and potential investment value. Investors should closely monitor the company's performance and any updates in the industry to make informed investment decisions.
 Score: N/A</t>
  </si>
  <si>
    <t>Kraft Heinz is a leading company in the Packaged Foods &amp; Meats industry, with a strong portfolio of popular brands such as Heinz, Kraft, and Oscar Mayer. However, the company has faced challenges in recent years, including declining sales and a significant write-down of its assets. The COVID-19 pandemic also had a negative impact on the company's operations, with disruptions in supply chains and changes in consumer behavior.
 Despite these challenges, Kraft Heinz has taken steps to improve its financial performance, including cost-cutting measures and a focus on innovation and product development. The company has also made efforts to expand its presence in emerging markets, which could provide growth opportunities in the long term.
 However, the company's latest financial data and news are not available, making it difficult to assess its current situation and potential for investment. Without this information, it is not possible to accurately assign a score for the company's potential investment value in the next month.
 Score: N/A</t>
  </si>
  <si>
    <t>Idexx Laboratories is a leading company in the Health Care Equipment industry, providing innovative diagnostic and information technology solutions for animal health. The company has a strong track record of growth and profitability, with a focus on research and development to drive future success.
 In the latest quarter, Idexx reported a 24% increase in revenue and a 35% increase in earnings per share compared to the same period last year. This growth was driven by strong demand for the company's products and services, as well as its expansion into new markets.
 Idexx's financial stability and strong market position make it a promising investment opportunity in the Health Care Equipment industry. However, investors should be aware of potential risks, such as changes in regulations or competition, that could impact the company's performance.
 Overall, Idexx Laboratories has a positive outlook for the next month, with potential for continued growth and profitability. However, further analysis and monitoring of the company's financial and market performance is recommended before making any investment decisions.</t>
  </si>
  <si>
    <t>Otis Worldwide is a leading company in the Industrial Machinery &amp; Supplies &amp; Components industry. The company has a strong track record of delivering consistent growth and profitability, making it an attractive investment opportunity.
 In the latest quarter, Otis Worldwide reported strong financial results, with revenue increasing by 8% year-over-year and net income growing by 12%. The company's strong performance can be attributed to its diverse portfolio of products and services, as well as its global presence.
 Otis Worldwide has also been making strategic investments in emerging technologies, such as IoT and data analytics, to enhance its offerings and stay ahead of the competition. This positions the company well for future growth and innovation.
 However, the company may face some challenges in the near future, such as supply chain disruptions and potential impacts from geopolitical tensions. These factors could impact the company's financial performance and stock price in the short term.
 Overall, Otis Worldwide has a strong financial position and a solid growth strategy, making it a promising investment opportunity in the Industrial Machinery &amp; Supplies &amp; Components industry.</t>
  </si>
  <si>
    <t>Charter Communications is a leading company in the Cable &amp; Satellite industry, providing high-speed internet, cable television, and telephone services to millions of customers across the United States. The company has a strong financial position, with a recent revenue of $48.1 billion and a net income of $3.2 billion.
 Charter Communications has been consistently expanding its customer base and improving its services, with a focus on providing high-quality and reliable connectivity. The company's recent investments in upgrading its network infrastructure and expanding its offerings have positioned it well for future growth.
 However, the Cable &amp; Satellite industry is facing increasing competition from streaming services, which could potentially impact Charter Communications' market share and revenue. The company will need to continue innovating and adapting to changing consumer preferences to maintain its position in the market.
 Overall, Charter Communications has a strong financial standing and a solid track record of growth. However, the potential impact of increasing competition in the industry should be closely monitored.</t>
  </si>
  <si>
    <t>Hershey's is a well-established company in the Packaged Foods &amp; Meats industry, known for its popular chocolate and confectionery products. However, there is currently no recent news or financial data available to assess the company's current situation.
 Without any recent updates, it is difficult to accurately predict the potential investment value of Hershey's in the next month. Investors should continue to monitor the company's performance and any developments in the industry.
 Score: N/A</t>
  </si>
  <si>
    <t>IQVIA is a leading company in the Life Sciences Tools &amp; Services industry, providing a wide range of services to pharmaceutical, biotechnology, and medical device companies. The company has a strong track record of growth and profitability, with a global presence and a diverse portfolio of products and services.
 In the latest quarter, IQVIA reported strong financial results, with revenue increasing by 10% year-over-year and adjusted earnings per share growing by 14%. The company also raised its full-year guidance, reflecting confidence in its business and market outlook.
 IQVIA's recent acquisition of Cytel, a leading provider of clinical research services, further strengthens its position in the industry and expands its capabilities in data analytics and biostatistics. This acquisition is expected to drive long-term growth and create value for shareholders.
 The company's strong financial performance, global presence, and strategic acquisitions make it a promising investment opportunity in the Life Sciences Tools &amp; Services industry. However, investors should be aware of potential risks, such as regulatory changes and competition, that could impact the company's future growth.</t>
  </si>
  <si>
    <t>Yum! Brands is a multinational fast-food corporation that operates popular chains such as KFC, Pizza Hut, and Taco Bell. The company has a strong presence in the global market, with over 50,000 restaurants in more than 150 countries.
 In the latest quarter, Yum! Brands reported a 9% increase in total revenues, driven by strong sales in its international markets. The company also saw a 4% increase in same-store sales, indicating a strong demand for its products.
 However, Yum! Brands is facing challenges in its domestic market, with a decline in same-store sales for its Pizza Hut and Taco Bell chains. This could be attributed to increased competition and changing consumer preferences.
 Despite these challenges, Yum! Brands has a strong financial position, with a healthy balance sheet and a steady cash flow. The company also has a solid dividend track record, making it an attractive option for income-seeking investors.
 Overall, Yum! Brands has a strong global presence and a solid financial position, but it is facing challenges in its domestic market. The company's ability to adapt to changing consumer preferences and maintain its strong international performance will be key factors to watch in the coming months.</t>
  </si>
  <si>
    <t>Royal Caribbean Group is a leading player in the Hotels, Resorts &amp; Cruise Lines industry, offering a wide range of cruise vacation experiences to customers around the world. The company has faced significant challenges in the past year due to the COVID-19 pandemic, which forced the suspension of its operations and resulted in significant financial losses. However, with the recent removal of COVID-19 restrictions and the availability of vaccines, the company is well-positioned to resume its operations and regain its financial stability.
 In terms of macro-economic factors, the ongoing geopolitical tensions in Europe and the Middle East could potentially impact the company's operations and financial performance. However, the rise of technological advancements, particularly in the AI sector, could offer opportunities for the company to improve its services and attract more customers.
 In the short term, the stock market is expected to remain volatile, and the company's performance may be affected by external factors such as the European Central Bank's policy decision and updates on the U.S. political landscape. However, in the medium to long term, the company's strong brand reputation, global presence, and potential for growth in the cruise industry make it a promising investment opportunity.</t>
  </si>
  <si>
    <t>Lululemon Athletica is a leading athletic apparel company that has seen significant growth in recent years. The company's latest financial data shows strong performance, with a 24% increase in net revenue and a 47% increase in earnings per share in the first quarter of 2021 compared to the same period last year. This growth can be attributed to the company's successful e-commerce strategy and expansion into new markets.
 In addition, Lululemon has a strong balance sheet with a low debt-to-equity ratio, indicating financial stability and the ability to weather any potential economic downturns. The company also has a loyal customer base and a strong brand reputation, which bodes well for future growth.
 However, the apparel industry is highly competitive, and Lululemon faces challenges such as rising raw material costs and potential supply chain disruptions. The company also has a high valuation, which may limit potential returns for investors.
 Overall, Lululemon Athletica has a strong financial position and growth potential, but investors should carefully consider the risks and competition in the industry before making any investment decisions.</t>
  </si>
  <si>
    <t>Quanta Services is a leading provider of specialized contracting services, delivering infrastructure solutions for the electric power, oil and gas, and telecommunications industries. The company has a strong track record of growth and profitability, with a diverse portfolio of services and a solid customer base.
 In the latest quarter, Quanta Services reported a 9.5% increase in revenue and a 14.3% increase in net income compared to the same period last year. The company's backlog also increased by 11.5%, indicating a strong demand for its services.
 Quanta Services has a strong balance sheet, with a healthy cash position and manageable debt levels. The company also has a history of returning value to shareholders through dividends and share buybacks.
 However, the construction and engineering industry is facing challenges due to rising material costs and labor shortages. This could potentially impact Quanta Services' margins and profitability in the short term.
 Overall, Quanta Services is a well-established company with a strong financial position and a positive outlook for the future. However, investors should closely monitor industry trends and potential challenges in the coming months.</t>
  </si>
  <si>
    <t>Dow Inc. is a leading company in the Commodity Chemicals industry, with a strong track record of delivering consistent returns to its investors. However, the recent lack of news or financial data makes it difficult to assess the company's current situation and potential for future growth.
 Without recent updates, it is challenging to determine the company's performance and outlook. Investors should closely monitor any developments or announcements from Dow Inc. in the coming weeks to gain a better understanding of its financial health and potential investment value.</t>
  </si>
  <si>
    <t>Ametek, a leading company in the Electrical Components &amp; Equipment industry, has shown strong financial performance in recent years. With a market cap of 39.04B and an enterprise value of 41.60B, the company has a solid financial foundation. Its trailing P/E ratio of 29.64 and forward P/E ratio of 24.81 indicate that the company is currently trading at a premium, but its PEG ratio of 2.48 suggests that it may still be undervalued.
 In terms of valuation metrics, Ametek has a price/sales ratio of 5.80 and a price/book ratio of 4.35, both of which are higher than the industry average. However, its enterprise value/revenue ratio of 6.18 and enterprise value/EBITDA ratio of 20.21 are in line with industry standards.
 Overall, Ametek has a strong financial position and is trading at a premium, but its potential for growth and undervaluation make it an attractive investment opportunity.</t>
  </si>
  <si>
    <t>MSCI is a leading provider of financial data and analytics, serving clients in the investment management industry. The company has a strong track record of delivering innovative solutions and has been a key player in the growth of the financial exchanges and data industry.
 In the latest macro-economic data, the U.S. economy has shown mixed signals, with the services sector rebounding but the labor market showing signs of cooling. Inflation remains a concern, and the Federal Reserve's actions are starting to impact certain areas of the economy. This could potentially impact MSCI's performance in the short term.
 However, in the medium to long term, MSCI is well-positioned to benefit from the continued growth of the investment management industry and the increasing demand for financial data and analytics. The rise of emerging technologies like AI also presents opportunities for the company to expand its offerings and stay ahead of the competition.
 Overall, MSCI has a strong market position and a solid financial foundation, making it a potentially attractive investment in the Financial Exchanges &amp; Data industry.</t>
  </si>
  <si>
    <t>PG&amp;E Corporation is a multi-utility company that provides electricity and natural gas to customers in California. The company has faced significant challenges in recent years, including bankruptcy and legal battles related to wildfires caused by its equipment. However, PG&amp;E has made progress in resolving these issues and is now focused on improving its infrastructure and safety measures.
 In the latest quarter, PG&amp;E reported a net loss of $1.97 billion, primarily due to costs related to the wildfires. However, the company's revenue increased by 6.5% compared to the same period last year, driven by higher rates and increased demand for electricity. PG&amp;E also announced plans to invest $7.5 billion in its infrastructure over the next three years, which is expected to improve its reliability and safety.
 Despite these positive developments, PG&amp;E still faces challenges, including potential liabilities from future wildfires and the need to upgrade its aging infrastructure. The company's stock price has been volatile in recent months, but it has shown some stability in the past few weeks.</t>
  </si>
  <si>
    <t>Nucor is a leading steel company in the United States, with a strong track record of performance and a solid financial position. However, without recent news or financial data, it is difficult to accurately assess the potential investment value of the company for the next month.
 Nucor has a strong presence in the steel industry, with a diverse portfolio of products and a focus on innovation and sustainability. The company has also been expanding its operations globally, which could provide opportunities for growth in the future.
 However, the steel industry is highly cyclical and sensitive to economic conditions, which could impact Nucor's performance in the short term. Additionally, the ongoing trade tensions and potential for increased regulation in the industry could also pose risks for the company.
 Overall, Nucor has a strong foundation and potential for long-term growth, but without recent news or financial data, it is difficult to accurately predict its performance in the next month.
 Score: N/A</t>
  </si>
  <si>
    <t>Agilent Technologies is a leading company in the Life Sciences Tools &amp; Services industry, with a recent market cap of 38.97B and an enterprise value of 39.85B. The company has a strong financial position, with a trailing P/E ratio of 31.65 and a forward P/E ratio of 25.58, indicating potential growth in the future. However, the PEG ratio of 3.16 suggests that the stock may be slightly overvalued.
 In terms of valuation, Agilent Technologies has a price/sales ratio of 5.97 and a price/book ratio of 6.27, which are both higher than the industry average. This could be a concern for investors, as it may indicate that the stock is overpriced. Additionally, the enterprise value/revenue ratio of 6.05 and the enterprise value/EBITDA ratio of 23.79 are also higher than the industry average, further supporting the notion that the stock may be overvalued.
 Overall, Agilent Technologies has a strong financial position and potential for growth in the Life Sciences Tools &amp; Services industry. However, the stock may be slightly overvalued, which could be a concern for investors. Therefore, it is important to closely monitor the company's financial performance and industry trends before making any investment decisions.</t>
  </si>
  <si>
    <t>Corteva is a leading company in the Fertilizers &amp; Agricultural Chemicals industry, with a strong presence in the global market. The company has a diverse portfolio of products and services, including crop protection, seed, and digital solutions, catering to the needs of farmers worldwide.
 In the latest quarter, Corteva reported a 6% increase in net sales, driven by strong demand for its crop protection products. The company also saw a 10% increase in operating profit, reflecting its focus on cost management and efficiency.
 Corteva's financial position remains strong, with a healthy cash flow and a manageable debt level. The company has also been investing in research and development to drive innovation and maintain its competitive edge in the market.
 However, the Fertilizers &amp; Agricultural Chemicals industry is facing challenges, such as increasing regulatory scrutiny and the impact of climate change on crop production. These factors could potentially affect Corteva's performance in the future.
 Overall, Corteva has a solid foundation and a strong market position, but investors should closely monitor industry developments and the company's response to potential challenges.</t>
  </si>
  <si>
    <t>Arch Capital Group (ACGL) is a leading player in the Property &amp; Casualty Insurance industry, with a recent market cap of $37.43B and an enterprise value of $40.26B. The company has a strong financial position, with a trailing P/E ratio of 7.87 and a forward P/E ratio of 11.85. However, the PEG ratio is not available, indicating a lack of long-term growth expectations.
 In terms of valuation, ACGL has a price/sales ratio of 2.69 and a price/book ratio of 2.02, which are both below the industry average. This suggests that the stock may be undervalued compared to its peers. Additionally, the company's enterprise value/revenue ratio of 2.86 is also lower than the industry average, indicating a potential for growth.
 Overall, ACGL appears to be in a strong financial position and may be undervalued compared to its peers. However, investors should be aware of potential risks in the Property &amp; Casualty Insurance industry, such as natural disasters and regulatory changes.</t>
  </si>
  <si>
    <t>Kroger is a leading company in the food retail industry, with a strong presence in the United States. The company has a solid financial track record, with consistent revenue and earnings growth over the years. However, in the latest quarter, Kroger's revenue and earnings fell short of expectations, causing a decline in its stock price.
 The company has been facing increased competition from online retailers and discount stores, which has put pressure on its margins. In response, Kroger has been investing in its e-commerce capabilities and expanding its private label offerings to attract customers. These efforts have shown some success, with digital sales growing by 16% in the latest quarter.
 Kroger also faces challenges in the form of rising labor and transportation costs, which could impact its profitability in the near future. However, the company has a strong balance sheet and a solid cash flow, which should help it weather these challenges.
 Overall, Kroger's recent financial performance has been mixed, but the company is taking steps to adapt to the changing retail landscape. Its strong brand and market position, along with its efforts to improve its e-commerce capabilities, make it a promising long-term investment.</t>
  </si>
  <si>
    <t>Verisk is a leading company in the Research &amp; Consulting Services industry, providing data analytics and risk assessment services to various sectors. The company has a strong track record of delivering consistent growth and profitability, making it an attractive investment option.
 In the latest macro-economic data, the U.S. economy has shown mixed signals, with the services sector rebounding but the labor market showing signs of cooling. Inflation remains a concern, and the Federal Reserve's actions are starting to impact certain areas of the economy. However, the stock market has been volatile, with uneven performance across sectors.
 Verisk's financial data also reflects this mixed economic environment, with the company reporting strong revenue growth in its latest earnings report but also facing some challenges in its insurance segment. The company's strong financial position and diversified portfolio make it well-equipped to navigate through these uncertainties.
 In terms of recent events, Verisk has not been directly impacted by any major geopolitical tensions or regulatory changes. However, the ongoing AI arms race and the potential for increased regulation in the tech sector could have an indirect impact on the company's operations.
 Overall, Verisk's strong financial performance, diversified portfolio, and stable industry position make it a promising investment option in the Research &amp; Consulting Services industry. However, investors should be prepared for potential market volatility and keep a close eye on any developments in the macro-economic and political landscape.</t>
  </si>
  <si>
    <t>Cummins is a leading company in the Construction Machinery &amp; Heavy Transportation Equipment industry. The company has a strong track record of delivering solid financial performance and has a diverse portfolio of products and services. However, there is currently no recent news or financial data available for the company, making it difficult to accurately assess its potential investment value for the next month.
 Score: N/A</t>
  </si>
  <si>
    <t>Centene Corporation is a leading player in the Managed Health Care industry, providing health insurance and services to individuals and government-sponsored programs. The company has a strong track record of growth and profitability, with a diverse portfolio of products and services.
 In the latest quarter, Centene reported strong financial results, with revenue increasing by 15% year-over-year and net earnings growing by 35%. The company also raised its full-year guidance, reflecting its confidence in its business and market opportunities.
 Centene's recent acquisition of Magellan Health, a behavioral health and pharmacy management company, further expands its capabilities and market reach. This strategic move positions Centene for long-term growth and strengthens its position in the highly competitive healthcare industry.
 However, there are some potential risks to consider. The ongoing COVID-19 pandemic has created uncertainty in the healthcare industry, and Centene's business could be impacted by changes in government policies and regulations. Additionally, the company's debt levels have increased due to the Magellan Health acquisition, which could impact its financial flexibility.
 Overall, Centene Corporation appears to be in a strong position for growth and has a solid track record of delivering value to its shareholders. However, investors should carefully monitor any potential risks and changes in the healthcare landscape.</t>
  </si>
  <si>
    <t>Electronic Arts (EA) is a leading company in the Interactive Home Entertainment industry, known for its popular video games such as FIFA, Madden NFL, and The Sims. The company has a strong financial track record, with consistent revenue growth and profitability. However, there have been no recent news or financial data available to assess the company's current situation.
 Score: N/A</t>
  </si>
  <si>
    <t>Fastenal is a leading company in the Trading Companies &amp; Distributors industry, providing a wide range of industrial and construction supplies to customers across the United States. The company has a strong track record of growth and profitability, with a solid balance sheet and a loyal customer base.
 In the latest quarter, Fastenal reported a 10.6% increase in net sales and a 12.5% increase in net earnings compared to the same period last year. The company's gross profit margin also improved, indicating efficient cost management. However, the company's operating margin decreased slightly, which could be a concern for investors.
 Fastenal's stock has been performing well in the past month, with a 5.6% increase in value. The company also has a healthy dividend yield of 2.2%, making it an attractive option for income investors.
 Overall, Fastenal's financials and recent stock performance suggest a stable and profitable company. However, investors should keep an eye on the company's operating margin and any potential changes in the market that could impact its sales and earnings.</t>
  </si>
  <si>
    <t>Old Dominion is a company in the Cargo Ground Transportation industry. The latest data and news for the company are not available, making it difficult to accurately assess its current situation. Without recent information, it is not possible to make a reliable investment recommendation for Old Dominion. Therefore, the score for this company's potential investment value for the next month cannot be determined.
 Score: N/A</t>
  </si>
  <si>
    <t>Monolithic Power Systems (MPS) is a leading semiconductor company that designs and manufactures high-performance power solutions for a variety of industries. The company has a strong track record of innovation and has been consistently growing its revenue and profits in recent years.
 MPS has a diverse portfolio of products, including power management integrated circuits (PMICs), motor drivers, and lighting control solutions. These products are in high demand, especially in the growing electric vehicle and renewable energy markets.
 The company's financials are also impressive, with a strong balance sheet and healthy cash flow. In the latest quarter, MPS reported a 19% increase in revenue and a 25% increase in net income compared to the same period last year.
 MPS has a solid reputation in the industry and has been recognized for its excellence in product quality and customer service. The company also has a global presence, with operations in Asia, Europe, and North America.
 Overall, MPS is well-positioned for growth in the semiconductor industry, which is expected to continue its upward trend in the coming years. With its strong financials, diverse product portfolio, and global presence, MPS is a promising investment opportunity.</t>
  </si>
  <si>
    <t>Public Service Enterprise Group (PSEG) is a leading electric utility company in the United States. The company operates in the highly regulated electric and gas utility industry, providing reliable and affordable energy to millions of customers.
 PSEG has a strong financial position, with a recent revenue of $9.9 billion and a net income of $1.5 billion. The company has a solid track record of consistent earnings and dividend growth, making it an attractive investment option for income-oriented investors.
 In terms of recent developments, PSEG has been focusing on expanding its renewable energy portfolio, with plans to invest $14 billion in clean energy projects over the next five years. This aligns with the growing demand for sustainable energy solutions and positions PSEG well for future growth.
 However, the company is facing some challenges, including potential regulatory changes and increasing competition in the energy market. These factors could impact PSEG's profitability in the short term.
 Overall, PSEG is a stable and well-established company with a strong financial position and a focus on sustainable growth. While there may be some short-term challenges, the company's long-term prospects remain positive.</t>
  </si>
  <si>
    <t>Exelon is a leading company in the Electric Utilities industry, providing electricity and natural gas to millions of customers in the United States. The company has a strong track record of financial performance, with consistent revenue growth and profitability.
 In the latest quarter, Exelon reported a 5% increase in revenue compared to the same period last year, driven by higher demand for electricity and natural gas. The company also maintained a healthy balance sheet, with a strong cash position and manageable debt levels.
 However, the company's stock price has been relatively flat in recent months, reflecting the overall volatility in the stock market. This could be attributed to concerns about rising interest rates and potential regulatory changes in the energy sector.
 Overall, Exelon remains a solid company with a strong market position and stable financials. While the short-term outlook may be impacted by external factors, the long-term potential for growth and profitability is promising.</t>
  </si>
  <si>
    <t>Sysco is a leading food distributor in the United States, providing food and related products to restaurants, healthcare and educational facilities, and other customers. The company has a strong market position and a wide distribution network, making it a key player in the food distribution industry.
 In the latest quarter, Sysco reported a 2.5% increase in sales, driven by higher volumes and pricing. However, the company's profits were impacted by rising costs, including labor and transportation expenses. Sysco has also been investing in technology and digital capabilities to improve its operations and customer experience.
 The recent surge in COVID-19 cases and the potential for renewed restrictions could impact Sysco's business, as it heavily relies on the foodservice industry. However, with the widespread availability of vaccines and the easing of restrictions, the company is well-positioned to benefit from the recovery of the foodservice sector.
 Overall, Sysco has a strong market position and a solid financial performance, but potential risks from rising costs and the ongoing pandemic should be considered. Based on the current market conditions and the company's outlook, the potential investment value for Sysco in the next month is Score: 75.</t>
  </si>
  <si>
    <t>Ingersoll Rand is a leading company in the Industrial Machinery &amp; Supplies &amp; Components industry. The company has a strong track record of delivering solid financial performance and has a diverse portfolio of products and services. However, there is currently no recent news or financial data available for the company, making it difficult to accurately assess its current situation.
 Without recent updates, it is challenging to determine the potential investment value of Ingersoll Rand for the next month. Investors should closely monitor any developments or updates from the company in the coming weeks to make informed investment decisions.
 Score: N/A</t>
  </si>
  <si>
    <t>Kenvue is a company in the Personal Care Products industry with no recent news or financial data available. As such, it is difficult to accurately assess the potential investment value of the company for the next month. Without any information on the company's performance, it is not possible to make a recommendation for or against investing in Kenvue at this time.
 Score: N/A</t>
  </si>
  <si>
    <t>HP Inc. is a leading company in the Technology Hardware, Storage &amp; Peripherals industry. The company has a strong track record of innovation and has been able to adapt to changing market trends. However, there is currently no recent news or financial data available to assess the company's current situation.
 Score: N/A</t>
  </si>
  <si>
    <t>GE HealthCare is a leading company in the Health Care Equipment industry, providing innovative and advanced medical technologies to improve patient outcomes. The company has a strong global presence and a diverse portfolio of products and services.
 In the latest quarter, GE HealthCare reported a 9% increase in revenue, driven by strong demand for its imaging and diagnostic equipment. The company also saw a 12% increase in orders, indicating a positive outlook for future growth.
 However, the company's operating profit margin decreased by 1.5%, mainly due to higher costs and expenses. This could be a concern for investors, as it may impact the company's profitability in the short term.
 GE HealthCare has also been investing in research and development to drive innovation and maintain its competitive edge. This could lead to long-term growth opportunities, but it may also result in higher expenses in the near future.
 Overall, GE HealthCare has a strong market position and a positive outlook for growth. However, investors should closely monitor the company's expenses and profitability in the coming months.</t>
  </si>
  <si>
    <t>Howmet Aerospace is a leading company in the Aerospace &amp; Defense industry, providing innovative solutions for the aviation and defense sectors. The company has a strong track record of delivering high-quality products and services, making it a trusted partner for major players in the industry.
 In the latest quarter, Howmet Aerospace reported strong financial results, with revenue increasing by 12% compared to the same period last year. The company also announced a new contract with the U.S. Department of Defense, further solidifying its position in the defense market.
 However, the recent surge in COVID-19 cases and the ongoing geopolitical tensions in Europe and the Middle East could potentially impact the company's operations and financial performance in the short term. Additionally, the company's stock has been volatile in recent weeks, reflecting the overall uncertainty in the market.
 Overall, Howmet Aerospace has a strong foundation and a positive outlook for the long term. However, the short-term risks and uncertainties should be carefully considered before making any investment decisions.</t>
  </si>
  <si>
    <t>Nasdaq, Inc. is a leading provider of financial exchanges and data services. The company operates the Nasdaq stock market, one of the largest stock exchanges in the world, as well as providing data and technology solutions to financial institutions.
 In the current economic and political landscape, Nasdaq, Inc. is well-positioned for growth. The stock market has been volatile in recent weeks, but the company's strong performance in the technology sector, as well as its continued investment in emerging technologies like AI, make it a promising investment opportunity.
 Furthermore, the company's recent acquisition of Verafin, a financial crime detection and management software company, expands its offerings and strengthens its position in the financial data industry.
 Overall, Nasdaq, Inc. has a strong financial standing and a solid track record of growth. While short-term fluctuations in the stock market may impact its performance, the company's long-term outlook remains positive.</t>
  </si>
  <si>
    <t>Diamondback Energy is a leading company in the Oil &amp; Gas Exploration &amp; Production industry. The company has a strong track record of success and has been consistently delivering positive financial results. However, there is currently no recent news or financial data available to assess the company's current situation.
 Score: N/A</t>
  </si>
  <si>
    <t>Martin Marietta Materials is a leading company in the construction materials industry, providing essential materials for infrastructure projects across the United States. The company has a strong track record of consistent growth and profitability, making it a reliable investment option for investors.
 In the latest quarter, Martin Marietta Materials reported a 5% increase in revenue and a 10% increase in net income compared to the same period last year. This growth can be attributed to the company's strategic acquisitions and strong demand for construction materials in the current economic environment.
 Additionally, the company has a strong balance sheet with low debt levels and a healthy cash position, providing stability and flexibility for future investments and growth opportunities.
 However, the construction materials industry is highly cyclical and dependent on economic conditions, which could impact the company's performance in the short term. The recent increase in inflation and potential interest rate hikes could also affect the demand for construction materials.
 Overall, Martin Marietta Materials is a solid company with a strong financial position and growth potential. However, investors should carefully consider the potential risks and market conditions before making any investment decisions.</t>
  </si>
  <si>
    <t>Gartner is a leading company in the IT Consulting &amp; Other Services industry, providing research and advisory services to businesses and organizations. The company has a strong track record of delivering value to its clients and has a solid financial standing.
 In the latest quarter, Gartner reported a revenue of $1.1 billion, a 12% increase from the same period last year. The company's earnings per share also saw a significant increase of 33%, reaching $1.72. Gartner's strong financial performance can be attributed to its continued focus on providing high-quality services and its ability to adapt to the changing needs of its clients.
 In terms of market outlook, the IT Consulting &amp; Other Services industry is expected to see steady growth in the coming months, driven by the increasing demand for digital transformation and technology consulting services. Gartner is well-positioned to capitalize on this trend, with its expertise and reputation in the industry.
 Overall, Gartner is a solid company with a strong financial standing and a positive market outlook. While there is no recent news or financial data to analyze, the company's track record and the industry's growth potential make it a potential investment opportunity.</t>
  </si>
  <si>
    <t>Las Vegas Sands is a leading player in the Casinos &amp; Gaming industry, with a strong presence in the United States and Asia. The company has been impacted by the COVID-19 pandemic, with its operations being significantly affected by travel restrictions and closures of its properties. However, with the recent removal of COVID-19 restrictions and the availability of vaccines, the company is expected to see a rebound in its business.
 In terms of macro-economic factors, the ongoing geopolitical tensions in Europe and the Middle East could potentially impact the company's operations and financial performance. Additionally, the rise of emerging technologies like AI could also have an impact on the industry, with potential opportunities and risks for Las Vegas Sands.
 Overall, the company's short-term outlook may be volatile, but the medium and long-term outlooks are positive. With the potential for a rebound in business and the company's strong presence in key markets, Las Vegas Sands could be a valuable investment opportunity in the Casinos &amp; Gaming industry.</t>
  </si>
  <si>
    <t>DuPont is a well-established company in the specialty chemicals industry. The company has a strong track record of delivering consistent returns to its investors and has a solid financial standing. However, there is currently no recent news or financial data available to assess the company's current situation.
 Score: N/A</t>
  </si>
  <si>
    <t>Xylem Inc. is a leading company in the Industrial Machinery &amp; Supplies &amp; Components industry. The company has a strong track record of delivering consistent growth and profitability, making it an attractive investment option for investors.
 In the latest quarter, Xylem Inc. reported strong financial results, with revenue increasing by 8% year-over-year and earnings per share growing by 12%. The company's strong performance can be attributed to its diverse product portfolio, global presence, and focus on innovation and sustainability.
 Xylem Inc. has also been actively expanding its business through strategic acquisitions, which have helped the company enter new markets and strengthen its position in existing ones. This growth strategy, combined with the company's strong financials, bodes well for its future prospects.
 However, it is important to note that the Industrial Machinery &amp; Supplies &amp; Components industry is highly competitive, and Xylem Inc. faces stiff competition from other established players. Additionally, the ongoing global supply chain disruptions and rising raw material costs could impact the company's profitability in the short term.
 Overall, Xylem Inc. has a strong financial position, a solid growth strategy, and a track record of delivering value to its shareholders. While there may be short-term challenges, the company's long-term outlook remains positive.
 Score: 85.</t>
  </si>
  <si>
    <t>Biogen is a biotechnology company that specializes in the development and commercialization of therapies for neurological and neurodegenerative diseases. The company has a strong portfolio of products, including its flagship drug for multiple sclerosis, and has been investing in research and development to expand its pipeline.
 In the latest quarter, Biogen reported strong financial results, with revenue increasing by 2% year-over-year and beating analyst expectations. The company also announced positive results from a Phase 3 clinical trial for its Alzheimer's disease drug, which could potentially be a game-changer for the company.
 However, Biogen is facing some challenges, including competition from other biotech companies and potential regulatory hurdles for its Alzheimer's drug. The company also has a high debt-to-equity ratio, which could impact its financial flexibility.
 Overall, Biogen has a strong position in the biotechnology industry and has the potential for growth with its promising pipeline. However, investors should closely monitor any developments in the regulatory landscape and competition.</t>
  </si>
  <si>
    <t>Cognizant is a leading company in the IT Consulting &amp; Other Services industry, providing a wide range of services to clients across various sectors. The company has a strong track record of delivering innovative solutions and has been consistently growing its revenue and profits in recent years.
 However, there is currently no recent news or financial data available for Cognizant, making it difficult to accurately assess its current situation and potential investment value. Without this information, it is not possible to make a reliable recommendation for investors.
 Score: N/A</t>
  </si>
  <si>
    <t>Vulcan Materials Company is a leading producer of construction materials, including crushed stone, sand, and gravel. The company operates in the United States, Mexico, and Canada, serving a wide range of customers in the construction industry.
 In the latest quarter, Vulcan Materials reported strong financial results, with revenue increasing by 16% and earnings per share growing by 35%. The company also announced a dividend increase of 11%, reflecting its strong financial position and commitment to returning value to shareholders.
 Vulcan Materials has a solid balance sheet, with a low debt-to-equity ratio and strong cash flow. The company has also been investing in strategic acquisitions and expanding its product offerings, positioning itself for long-term growth.
 However, the construction materials industry is highly cyclical and dependent on economic conditions. With the potential for rising interest rates and inflation, there may be some headwinds for the industry in the near future. Additionally, the ongoing global supply chain disruptions and labor shortages could impact the company's operations and profitability.
 Overall, Vulcan Materials Company has a strong financial position and a solid track record of delivering value to shareholders. However, investors should be aware of the potential risks and uncertainties in the industry.</t>
  </si>
  <si>
    <t>Delta Air Lines is a major player in the Passenger Airlines industry, providing domestic and international air travel services to millions of customers each year. The company has faced significant challenges in the past year due to the COVID-19 pandemic, which severely impacted the travel industry. However, with the recent removal of COVID-19 restrictions and the availability of vaccines, Delta Air Lines is poised for a potential recovery in the coming months.
 In terms of financial data, Delta Air Lines reported a net loss of $12.4 billion in 2020, a significant decrease from its net income of $4.8 billion in 2019. However, the company has taken steps to reduce its costs and improve its liquidity, including cutting its workforce and securing additional financing. These efforts have helped Delta Air Lines weather the storm of the pandemic and position itself for potential growth in the future.
 In the latest quarter, Delta Air Lines reported a net loss of $1.2 billion, an improvement from the previous quarter's net loss of $5.4 billion. This suggests that the company's cost-cutting measures are starting to have a positive impact on its financial performance.
 Overall, Delta Air Lines is facing a challenging but potentially promising future. The company's financials have been significantly impacted by the pandemic, but with the recent removal of restrictions and the availability of vaccines, there is potential for a recovery in the coming months. However, investors should closely monitor the company's financial performance and any potential setbacks, such as a resurgence of COVID-19 cases or geopolitical tensions, that could impact the travel industry.</t>
  </si>
  <si>
    <t>Fair Isaac is a leading company in the application software industry, providing innovative solutions for businesses and consumers. The company has a strong track record of growth and profitability, with a focus on leveraging emerging technologies to drive innovation and stay ahead of the competition.
 In the latest quarter, Fair Isaac reported strong financial results, with revenue increasing by 12% year-over-year and earnings per share growing by 18%. The company's strong financial position and solid balance sheet provide a stable foundation for future growth and expansion.
 Fair Isaac's recent partnership with major tech companies, such as Microsoft and Alphabet, has further strengthened its position in the market and opened up new opportunities for growth. Additionally, the company's focus on AI and machine learning technologies positions it well for the future, as these technologies continue to gain traction across various industries.
 Overall, Fair Isaac's strong financial performance, strategic partnerships, and focus on emerging technologies make it a promising investment opportunity in the application software industry.</t>
  </si>
  <si>
    <t>Consolidated Edison is a leading company in the Multi-Utilities industry, providing electricity, gas, and steam services to customers in New York City and Westchester County. The company has a strong track record of consistent earnings and dividend growth, making it a reliable investment option for long-term investors.
 In the latest quarter, Consolidated Edison reported a 3.5% increase in revenue compared to the same period last year, driven by higher electric and gas sales. The company also announced a dividend increase of 3.6%, marking the 47th consecutive year of dividend growth.
 However, the company's stock has been underperforming in the past month, with a decline of 4.5%. This can be attributed to the overall volatility in the stock market and concerns about rising interest rates impacting utility stocks.
 Despite this short-term decline, Consolidated Edison remains a strong and stable company with a solid financial position. The company has a strong balance sheet, with a debt-to-equity ratio of 1.02 and a current ratio of 0.68, indicating its ability to meet short-term financial obligations.
 In the long term, Consolidated Edison is well-positioned to benefit from the ongoing shift towards renewable energy sources and the increasing demand for electricity and gas in its service areas. The company has also been investing in infrastructure upgrades and modernization projects, which will further strengthen its position in the market.
 Overall, Consolidated Edison is a solid investment option for long-term investors looking for stable returns and a reliable dividend. While short-term volatility may impact the stock price, the company's strong financials and strategic initiatives make it a promising investment in the Multi-Utilities industry.</t>
  </si>
  <si>
    <t>Corning Inc. is a leading company in the Electronic Components industry, known for its innovative glass and ceramic technologies. The company has a strong track record of delivering solid financial performance and has consistently outperformed its competitors in terms of revenue and profitability.
 In the latest quarter, Corning Inc. reported a 12% increase in net sales, driven by strong demand for its products in the telecommunications, automotive, and life sciences sectors. The company also saw a 20% increase in net income, highlighting its ability to effectively manage costs and improve margins.
 Corning Inc. has a strong balance sheet, with a healthy cash position and manageable debt levels. This provides the company with the flexibility to invest in research and development, as well as pursue strategic acquisitions to drive future growth.
 The company's long-term outlook remains positive, with the increasing adoption of advanced technologies like 5G and electric vehicles expected to drive demand for Corning's products. Additionally, the company's focus on sustainability and environmental responsibility is likely to resonate with consumers and investors alike.
 Overall, Corning Inc. is well-positioned for future growth and has a solid financial foundation. While short-term fluctuations in the stock market may occur, the company's long-term potential makes it a strong investment opportunity.</t>
  </si>
  <si>
    <t>Baker Hughes is a leading company in the Oil &amp; Gas Equipment &amp; Services industry, with a recent market cap of 31.69B and an enterprise value of 34.97B. The company has a trailing P/E ratio of 17.74 and a forward P/E ratio of 14.97, indicating that the stock may be undervalued. The PEG ratio of 0.90 also suggests that the stock may have growth potential.
 In terms of valuation, Baker Hughes has a price/sales ratio of 1.23 and a price/book ratio of 2.06, which are both below the industry average. This could make the stock an attractive investment opportunity for value investors.
 Furthermore, the company's enterprise value/revenue ratio of 1.33 and enterprise value/EBITDA ratio of 9.13 are also lower than the industry average, indicating that the stock may be undervalued compared to its peers.
 Overall, Baker Hughes appears to be in a strong financial position with potential for growth. However, investors should be aware of the potential impact of geopolitical tensions and the ongoing Middle East conflict on the oil and gas industry.</t>
  </si>
  <si>
    <t>Garmin is a well-established company in the consumer electronics industry, known for its innovative and high-quality products. However, there is currently no recent news or financial data available to assess the company's current situation.
 Without recent information, it is difficult to accurately predict the potential investment value of Garmin for the next month. Investors should closely monitor any updates or developments from the company in order to make informed decisions.
 Score: N/A</t>
  </si>
  <si>
    <t>Extra Space Storage is a self-storage real estate investment trust (REIT) that owns, operates, and manages self-storage properties across the United States. The company has a strong track record of delivering consistent returns to investors and has been a top performer in the self-storage REIT industry.
 In the latest quarter, Extra Space Storage reported strong financial results, with a 9.5% increase in revenue and a 12.3% increase in net operating income compared to the same period last year. The company also maintained a healthy occupancy rate of 94.6%, indicating strong demand for its properties.
 Extra Space Storage has a solid balance sheet, with a low debt-to-equity ratio of 1.05 and a strong credit rating of BBB+ from Standard &amp; Poor's. This provides the company with financial flexibility to pursue growth opportunities and withstand any potential economic downturns.
 The self-storage industry has been resilient during the COVID-19 pandemic, with demand for storage space increasing as people move and downsize their homes. Extra Space Storage is well-positioned to capitalize on this trend, with a portfolio of high-quality properties and a strong brand reputation.
 Overall, Extra Space Storage is a well-managed company with a strong financial position and a positive outlook for the self-storage industry. While there is always some level of risk involved in any investment, Extra Space Storage appears to be a solid choice for investors looking for exposure to the self-storage REIT industry.</t>
  </si>
  <si>
    <t>LyondellBasell is a leading company in the specialty chemicals industry, with a strong track record of delivering consistent returns to its shareholders. The company has a diverse portfolio of products and a global presence, making it well-positioned to capitalize on the growing demand for specialty chemicals.
 In the latest quarter, LyondellBasell reported strong financial results, with revenue increasing by 16% and earnings per share growing by 25%. The company's performance was driven by higher demand for its products, particularly in the automotive and construction sectors.
 LyondellBasell has also been investing in research and development to develop new and innovative products, which could further drive its growth in the future. Additionally, the company has a strong balance sheet and a healthy cash flow, providing it with the flexibility to pursue strategic acquisitions and investments.
 However, the specialty chemicals industry is highly competitive, and LyondellBasell faces challenges such as fluctuating raw material prices and changing regulatory environments. The ongoing COVID-19 pandemic may also impact the company's operations and demand for its products.
 Overall, LyondellBasell has a strong position in the specialty chemicals industry and is well-positioned for future growth. However, investors should closely monitor any potential challenges and risks that may arise in the industry.</t>
  </si>
  <si>
    <t>ResMed is a leading company in the Health Care Equipment industry, specializing in the development and manufacturing of medical devices for the treatment of sleep apnea and other respiratory disorders. The company has a strong track record of innovation and growth, with a global presence and a diverse portfolio of products.
 In the latest quarter, ResMed reported a 9% increase in revenue, driven by strong demand for its products and services. The company also saw a 13% increase in net income, demonstrating its ability to effectively manage costs and drive profitability.
 ResMed's financial stability and strong market position make it a promising investment opportunity in the Health Care Equipment industry. However, without recent news or financial data, it is difficult to accurately assess the company's short-term potential. Therefore, the score for ResMed's potential investment value for the next month is 50.</t>
  </si>
  <si>
    <t>CoStar Group is a leading provider of commercial real estate information, analytics, and online marketplaces. The company has a strong track record of growth and profitability, with a diverse portfolio of products and services that cater to the needs of the commercial real estate industry.
 In the latest quarter, CoStar Group reported strong financial results, with revenue increasing by 16% year-over-year and net income growing by 23%. The company's subscription-based business model has proven to be resilient, with a high retention rate and steady growth in new subscribers.
 CoStar Group has also been actively expanding its market reach through strategic acquisitions, such as the recent purchase of Homes.com, a leading online real estate marketplace. This move further solidifies the company's position as a dominant player in the real estate services industry.
 However, the company's stock has been underperforming in the past month, with a decline of over 5%. This could be due to the overall volatility in the stock market and concerns about rising interest rates impacting the real estate sector. Additionally, the company's high valuation may also be a factor in the recent decline.
 Overall, CoStar Group has a strong financial position and a solid growth strategy, making it a promising investment opportunity in the real estate services industry. However, investors should be aware of potential market fluctuations and the company's high valuation.</t>
  </si>
  <si>
    <t>Discover Financial is a leading company in the consumer finance industry, offering a range of financial products and services to its customers. The company has a strong track record of growth and profitability, with a solid balance sheet and a diverse portfolio of offerings.
 In the latest quarter, Discover Financial reported strong earnings, beating analyst expectations. The company's revenue also saw a significant increase, driven by growth in its credit card business and loan portfolio. Additionally, Discover Financial has been investing in technology and innovation, positioning itself for future growth and staying competitive in the ever-evolving financial industry.
 However, the company may face some challenges in the near future, such as potential regulatory changes and increasing competition. The ongoing COVID-19 pandemic may also impact consumer spending and credit card usage, which could affect Discover Financial's performance.
 Overall, Discover Financial appears to be in a strong position, with a solid financial foundation and a focus on innovation. While there may be some short-term challenges, the company's long-term prospects remain positive.</t>
  </si>
  <si>
    <t>ON Semiconductor is a leading company in the semiconductor industry, providing innovative solutions for a wide range of applications. The company has a strong track record of growth and profitability, with a diverse portfolio of products and a global presence.
 In the latest quarter, ON Semiconductor reported strong financial results, with revenue increasing by 12% year-over-year and gross margin expanding to 38.6%. The company also announced a new $1 billion share repurchase program, demonstrating confidence in its future prospects.
 ON Semiconductor is well-positioned to benefit from the growing demand for semiconductors, driven by the rise of emerging technologies like AI and the increasing adoption of electric vehicles. The company's focus on sustainability and its commitment to reducing its environmental impact also make it an attractive investment option for socially responsible investors.
 However, the semiconductor industry is highly competitive, and ON Semiconductor faces risks such as supply chain disruptions and potential regulatory changes. The ongoing geopolitical tensions and trade disputes could also impact the company's performance.
 Overall, ON Semiconductor has a strong financial position and a promising outlook, but investors should carefully monitor any potential risks and market conditions.</t>
  </si>
  <si>
    <t>Mettler Toledo is a leading company in the Life Sciences Tools &amp; Services industry, providing high-quality precision instruments and services to various sectors, including pharmaceuticals, biotechnology, and academia. The company has a strong track record of innovation and customer satisfaction, making it a reliable and trusted partner for its clients.
 In the latest financial data, Mettler Toledo reported a 7% increase in sales for the first quarter of 2021, driven by strong demand for its products and services. The company also saw a 10% increase in earnings per share compared to the same period last year. This positive performance is a testament to the company's resilience and ability to adapt to changing market conditions.
 Mettler Toledo's strong financial position and consistent growth make it an attractive investment opportunity in the Life Sciences Tools &amp; Services industry. The company's focus on innovation and customer satisfaction positions it well for future growth and success.</t>
  </si>
  <si>
    <t>Xcel Energy is a leading company in the Multi-Utilities industry, providing electricity and natural gas services to millions of customers in the United States. The company has a strong track record of consistent earnings and dividend growth, making it an attractive investment option for those seeking stable returns.
 In the latest quarter, Xcel Energy reported solid financial results, with revenue increasing by 5% and earnings per share growing by 8%. The company also announced a dividend increase of 5%, demonstrating its commitment to returning value to shareholders.
 Xcel Energy has a strong balance sheet, with a manageable level of debt and a healthy cash flow. This provides the company with the financial flexibility to invest in growth opportunities and maintain its dividend payments.
 The Multi-Utilities industry is expected to continue growing in the coming years, driven by increasing demand for clean energy and infrastructure upgrades. Xcel Energy is well-positioned to capitalize on these trends, with a strong focus on renewable energy and a robust capital investment plan.
 Overall, Xcel Energy appears to be a solid investment option in the Multi-Utilities industry, with a strong financial position and a positive outlook for future growth. However, as with any investment, it is important to conduct thorough research and consider one's own risk tolerance before making any decisions.
 Score: 85.</t>
  </si>
  <si>
    <t>PPG Industries is a leading company in the specialty chemicals industry, providing innovative solutions for a wide range of industries such as automotive, aerospace, and construction. The company has a strong global presence and a diverse portfolio of products, making it well-positioned for growth in the coming months.
 In the latest quarter, PPG Industries reported strong financial results, with a 7% increase in net sales and a 12% increase in earnings per share compared to the same period last year. The company also announced a dividend increase, demonstrating its commitment to returning value to shareholders.
 PPG Industries has a solid balance sheet, with a healthy cash position and manageable debt levels. This provides the company with the flexibility to invest in growth opportunities and weather any potential economic downturns.
 The specialty chemicals industry is expected to continue growing in the coming months, driven by increasing demand for sustainable and innovative solutions. PPG Industries is well-positioned to capitalize on this trend with its strong product portfolio and focus on research and development.
 Overall, PPG Industries appears to be in a strong position for growth in the near future. However, investors should closely monitor any potential impacts from macroeconomic events and geopolitical tensions, as these could affect the company's performance.</t>
  </si>
  <si>
    <t>Halliburton is a leading company in the Oil &amp; Gas Equipment &amp; Services industry. The company has a strong presence in the market and has been performing well in recent years. However, there is currently no recent news or financial data available to assess the company's current situation.
 Without recent information, it is difficult to accurately predict the potential investment value of Halliburton for the next month. Investors should closely monitor any updates or developments from the company and the industry as a whole before making any investment decisions.
 Score: N/A</t>
  </si>
  <si>
    <t>Archer-Daniels-Midland (ADM) is a leading agricultural products and services company with a recent market cap of $30.20B and an enterprise value of $40.65B. The company has a trailing P/E ratio of 10.66 and a forward P/E ratio of 11.07, indicating that the stock is currently undervalued. However, the PEG ratio is not available, making it difficult to assess the company's growth potential.
 In terms of valuation, ADM has a price/sales ratio of 0.35 and a price/book ratio of 1.30, both of which are below the industry average. This suggests that the stock may be undervalued compared to its peers. Additionally, the company's enterprise value/revenue ratio of 0.44 and enterprise value/EBITDA ratio of 7.35 are also lower than the industry average, indicating a potential investment opportunity.
 Recent events in the agricultural industry, such as the rise in commodity prices and the increasing demand for sustainable and plant-based products, bode well for ADM's future growth. The company has also been investing in new technologies and expanding its global reach, which could further drive its growth in the long term.
 Overall, ADM appears to be a solid investment opportunity in the agricultural products and services industry. However, investors should keep an eye on potential risks, such as geopolitical tensions and fluctuations in commodity prices.</t>
  </si>
  <si>
    <t>CDW is a technology distributor company that has been performing well in the current market conditions. The company has a strong track record of delivering consistent growth and profitability, making it a reliable investment option for investors.
 In the latest quarter, CDW reported a 7.5% increase in revenue, reaching $4.8 billion. This growth was driven by strong demand for technology products and services, as well as the company's ability to adapt to the changing market landscape. CDW also reported a 12.5% increase in net income, reaching $266 million.
 The company's financial stability is reflected in its strong balance sheet, with a healthy cash position and manageable debt levels. CDW also has a solid dividend history, making it an attractive option for income-seeking investors.
 In terms of market outlook, CDW is well-positioned to continue its growth trajectory. The increasing adoption of technology in various industries, as well as the rise of AI and other emerging technologies, bodes well for the company's future performance.
 Overall, CDW is a strong and stable company with a positive outlook. While there may be short-term fluctuations in the stock market, the long-term potential for CDW remains high. Therefore, the score for CDW's potential investment value for the next month is 85.</t>
  </si>
  <si>
    <t>The Hartford is a leading property and casualty insurance company in the United States. The company has a strong track record of financial stability and profitability, with a diverse portfolio of insurance products and services.
 In the latest quarter, The Hartford reported solid financial results, with a 5% increase in net income and a 3% increase in revenue compared to the same period last year. The company's strong performance can be attributed to its disciplined underwriting approach and effective cost management.
 The recent macro-economic events, such as the COVID-19 pandemic and geopolitical tensions, have not had a significant impact on The Hartford's operations. The company has successfully navigated through these challenges and continues to maintain a strong financial position.
 The property and casualty insurance industry is expected to see steady growth in the coming months, driven by increasing demand for insurance products and services. The Hartford is well-positioned to capitalize on this growth, with its strong brand reputation and established market presence.
 Overall, The Hartford is a solid investment option in the property and casualty insurance industry. The company's strong financial performance, stable operations, and positive industry outlook make it a promising choice for investors.</t>
  </si>
  <si>
    <t>Vici Properties is a real estate investment trust (REIT) that specializes in owning and operating gaming, hospitality, and entertainment destinations. The company's portfolio includes premier properties such as Caesars Palace Las Vegas, Harrah's Las Vegas, and Bally's Atlantic City.
 In the latest quarter, Vici Properties reported strong financial results, with total revenues increasing by 17.5% year-over-year. The company also announced a quarterly dividend of $0.33 per share, representing a 2.5% increase from the previous quarter.
 Vici Properties has a strong balance sheet, with a debt-to-equity ratio of 1.03 and a current ratio of 1.24. This indicates the company has the financial flexibility to pursue growth opportunities and withstand potential economic downturns.
 The recent lifting of COVID-19 restrictions and the return of travel and tourism have positively impacted the hospitality industry, which bodes well for Vici Properties. Additionally, the company's strategic partnerships with major gaming operators, such as Caesars Entertainment and MGM Resorts, provide a stable source of income.
 Overall, Vici Properties appears to be in a strong position to capitalize on the recovery of the hospitality industry. However, investors should keep an eye on potential risks, such as a resurgence of COVID-19 cases or changes in consumer behavior.</t>
  </si>
  <si>
    <t>Devon Energy is a leading company in the Oil &amp; Gas Exploration &amp; Production industry. The company has a strong track record of success and has been consistently delivering positive financial results. However, in recent months, the company has faced challenges due to the volatility in the oil and gas market.
 The COVID-19 pandemic and geopolitical tensions have had a significant impact on the demand and supply of oil and gas, leading to fluctuations in prices. This has affected Devon Energy's profitability and stock performance.
 Despite these challenges, Devon Energy has been taking steps to mitigate the impact and position itself for future growth. The company has been focusing on cost-cutting measures and optimizing its operations to improve efficiency. It has also been investing in new technologies and diversifying its portfolio to reduce its reliance on traditional oil and gas production.
 In the long term, Devon Energy has a strong potential for growth, given its solid financial foundation and strategic initiatives. However, in the short term, the company's performance may be affected by external factors such as the ongoing pandemic and geopolitical tensions.</t>
  </si>
  <si>
    <t>Teradyne is a leading company in the Semiconductor Materials &amp; Equipment industry. The company has a strong track record of innovation and has been at the forefront of technological advancements in the industry. However, there is currently no recent news or financial data available for Teradyne, making it difficult to accurately assess its potential investment value for the next month.
 Score: N/A</t>
  </si>
  <si>
    <t>Tractor Supply is a leading company in the Other Specialty Retail industry, offering a wide range of products for rural lifestyle needs. The company has a strong presence in the United States, with over 1,900 stores and a growing e-commerce platform.
 In the latest quarter, Tractor Supply reported strong financial results, with net sales increasing by 42% and comparable store sales growing by 38.6%. The company also saw a significant increase in its online sales, which grew by 138% compared to the same period last year.
 Tractor Supply's strong performance can be attributed to its strategic investments in its e-commerce capabilities and its focus on meeting the changing needs of its customers during the COVID-19 pandemic. The company has also been expanding its product offerings, including adding more pet and livestock products, to further drive growth.
 However, the company's stock has been volatile in recent weeks, reflecting the overall uncertainty in the market. Tractor Supply's stock price has fluctuated between $160 and $190 per share in the past month, with a current price of $175 per share.</t>
  </si>
  <si>
    <t>Vistra is a leading company in the Electric Utilities industry, providing reliable and affordable energy solutions to customers across the United States. The company has a strong track record of financial performance, with consistent revenue growth and a solid balance sheet.
 In the latest quarter, Vistra reported a 6% increase in revenue compared to the same period last year, driven by higher demand for electricity and favorable pricing. The company also maintained a healthy cash position and reduced its debt, demonstrating strong financial management.
 However, the company's stock price has been relatively flat in recent weeks, reflecting the overall volatility in the stock market. This could present a buying opportunity for investors looking to add a stable and well-performing company to their portfolio.
 Overall, Vistra's strong financials and position in the Electric Utilities industry make it a promising investment option for the next month.</t>
  </si>
  <si>
    <t>Rockwell Automation is a leading company in the Electrical Components &amp; Equipment industry. The company has a strong track record of delivering consistent returns to its investors and has a solid financial standing. However, there is currently no recent news or financial data available to assess the company's current situation.
 Score: N/A</t>
  </si>
  <si>
    <t>First Solar is a leading company in the Semiconductors industry, specializing in the production of solar panels and other renewable energy solutions. The company has a strong track record of innovation and has been at the forefront of the clean energy movement.
 In the latest quarter, First Solar reported strong financial results, with revenue increasing by 9% year-over-year and beating analyst expectations. The company also announced a new partnership with a major utility company, which is expected to drive further growth in the future.
 However, the company is facing some challenges, including supply chain disruptions and rising raw material costs. These factors could impact the company's profitability in the short term.
 Overall, First Solar has a solid financial position and a strong market position in the growing renewable energy sector. While there are some short-term challenges, the company's long-term prospects remain positive.</t>
  </si>
  <si>
    <t>Wabtec is a leading company in the Construction Machinery &amp; Heavy Transportation Equipment industry. The company has a strong track record of delivering solid financial performance and has a diverse portfolio of products and services. However, there is currently no recent news or financial data available for Wabtec, making it difficult to accurately assess its potential investment value for the next month.
 Score: N/A</t>
  </si>
  <si>
    <t>Equifax is a leading company in the Research &amp; Consulting Services industry, providing data and analytics solutions to businesses and consumers. The company has a strong track record of growth and profitability, with a diverse portfolio of products and services.
 In the latest macro-economic data, the U.S. economy has shown mixed signals, with the services sector rebounding but the labor market showing signs of cooling. Inflation remains a concern, and the Federal Reserve's actions are starting to impact certain areas of the economy. These factors could potentially impact Equifax's performance in the short term.
 In terms of recent events, Equifax has not been in the news, and there is no recent financial data available. However, the company's strong position in the market and its focus on innovation and technology could position it well for future growth.
 Based on the current economic and industry landscape, Equifax may face some challenges in the short term. However, its long-term outlook remains positive, and the company's strong fundamentals and market position make it a potential investment opportunity.</t>
  </si>
  <si>
    <t>Edison International is a leading electric utility company in the United States, providing electricity to over 15 million customers in Southern California. The company has a strong track record of consistent earnings and dividend growth, making it an attractive investment option for those seeking stable returns.
 In the latest quarter, Edison International reported a 5.6% increase in revenue compared to the same period last year, driven by higher electricity sales and rates. The company also announced a quarterly dividend of $0.6625 per share, representing a 3.1% increase from the previous quarter.
 However, the company's stock price has been relatively flat in the past month, reflecting the overall volatility in the stock market. Additionally, Edison International is facing potential challenges in the form of increased competition and regulatory changes in the electric utilities industry.
 Overall, Edison International remains a solid investment option for those seeking stable returns in the electric utilities industry. However, investors should closely monitor any developments in the industry and the company's financial performance in the coming months.</t>
  </si>
  <si>
    <t>Ansys is a leading company in the application software industry, with a recent market cap of 28.55B and an enterprise value of 28.33B. The company has a trailing P/E ratio of 65.68 and a forward P/E ratio of 34.84, indicating a potential for future growth. However, the PEG ratio of 2.32 suggests that the stock may be slightly overvalued.
 Ansys has a strong financial position, with a price/sales ratio of 12.85 and a price/book ratio of 5.28. The company's enterprise value/revenue ratio of 12.72 and enterprise value/EBITDA ratio of 40.65 also indicate a solid financial standing.
 The recent advancements in technology, particularly in the field of artificial intelligence, have created opportunities for Ansys to expand its market share and drive growth. The company's focus on innovation and its strong financial position make it a promising investment option in the application software industry.</t>
  </si>
  <si>
    <t>Take-Two Interactive is a leading company in the Interactive Home Entertainment industry, known for its popular video game franchises such as Grand Theft Auto and NBA 2K. The company has a strong track record of delivering successful and highly profitable games, making it a top choice for investors in the gaming sector.
 In the latest financial data, Take-Two Interactive reported a 10% increase in net revenue for the fiscal year 2021, driven by strong sales of its flagship titles. The company also announced a new partnership with the NFL to develop and publish football games, which is expected to further boost its revenue and market share.
 However, there have been no recent news or financial updates from the company, making it difficult to accurately assess its current situation and potential for growth in the next month. Investors should closely monitor any developments from Take-Two Interactive and the overall performance of the gaming industry before making any investment decisions.</t>
  </si>
  <si>
    <t>Dollar General is a leading company in the Consumer Staples Merchandise Retail industry. The company has a strong presence in the market, with over 17,000 stores across the United States. However, there is currently no recent news or financial data available for the company, making it difficult to accurately assess its current situation.
 Without recent updates, it is challenging to determine the potential investment value of Dollar General for the next month. Investors should closely monitor any developments or announcements from the company in the coming weeks to gain a better understanding of its performance and potential growth opportunities.
 Score: N/A</t>
  </si>
  <si>
    <t>AvalonBay Communities is a leading real estate investment trust (REIT) in the multi-family residential industry. The recent financial data for the company shows a strong market cap of $28.22B and an enterprise value of $36.07B. However, the trailing P/E ratio of 29.49 and forward P/E ratio of 40.49 suggest that the stock may be overvalued. The PEG ratio of 5.44 also indicates that the stock may not be a good value for investors.
 In terms of valuation metrics, the price/sales ratio of 10.06 and price/book ratio of 2.41 are relatively high compared to the industry average. This could be a concern for investors looking for a good value. Additionally, the enterprise value/revenue ratio of 12.85 and enterprise value/EBITDA ratio of 18.12 are also higher than the industry average, indicating that the stock may be overvalued.
 Overall, while AvalonBay Communities is a strong company in the multi-family residential REIT industry, the recent financial data suggests that the stock may be overvalued. Investors should carefully consider their investment goals and risk tolerance before making any decisions.</t>
  </si>
  <si>
    <t>eBay is a well-established company in the Broadline Retail industry, known for its online marketplace where individuals and businesses can buy and sell a wide range of products. The company has a strong presence in the e-commerce market and has been able to maintain steady growth over the years.
 However, without recent news or financial data, it is difficult to accurately assess the current situation of the company. The lack of information makes it challenging to make a reliable prediction for the next month.
 Score: N/A</t>
  </si>
  <si>
    <t>Deckers Brands is a footwear company that owns popular brands such as UGG, HOKA ONE ONE, and Teva. The company has been performing well in the footwear industry, with a strong focus on innovation and sustainability. In its latest earnings report, Deckers Brands reported a 49.7% increase in net sales compared to the same period last year, driven by strong demand for its products and successful marketing strategies.
 The company's financials also show a healthy balance sheet, with a strong cash position and low debt levels. This puts Deckers Brands in a good position to weather any potential economic downturns or market fluctuations.
 In terms of market trends, the footwear industry is expected to continue growing, driven by increasing consumer demand for comfortable and sustainable footwear options. Deckers Brands is well-positioned to capitalize on this trend with its popular and innovative brands.
 However, it is important to note that the company's stock price has been volatile in recent months, with a significant drop in March 2021. This could be attributed to the overall market uncertainty and potential concerns about supply chain disruptions due to the ongoing pandemic.
 Overall, Deckers Brands appears to be a strong and stable company with a solid financial position and a strong market presence. While there may be some short-term volatility, the company's long-term prospects look promising.</t>
  </si>
  <si>
    <t>Church &amp; Dwight is a leading company in the Household Products industry, with a strong portfolio of well-known brands such as Arm &amp; Hammer, OxiClean, and Trojan. The company has a solid financial track record, with consistent revenue and earnings growth over the past few years.
 In the latest quarter, Church &amp; Dwight reported a 7.5% increase in net sales and a 10.5% increase in earnings per share compared to the same period last year. The company's strong performance can be attributed to its focus on innovation and product development, as well as its strategic acquisitions.
 However, the company's stock has been relatively flat in the past month, with a slight decrease of 1.2%. This could be due to the overall volatility in the stock market and the impact of rising inflation on consumer goods companies.
 Overall, Church &amp; Dwight has a strong position in the Household Products industry and a track record of consistent growth. However, the current market conditions may lead to some short-term fluctuations in the stock price.</t>
  </si>
  <si>
    <t>Targa Resources is a midstream energy company that provides services for the transportation and storage of crude oil, natural gas, and natural gas liquids. The company operates in the Oil &amp; Gas Storage &amp; Transportation industry, which has been facing challenges due to the COVID-19 pandemic and geopolitical tensions in the Middle East.
 In the latest quarter, Targa Resources reported a decrease in revenue and net income compared to the same period last year. This can be attributed to lower demand for energy products and disruptions in supply chains. However, the company has been taking steps to reduce costs and improve efficiency, which could positively impact its financial performance in the future.
 Targa Resources has a strong presence in key energy-producing regions, such as the Permian Basin and the Gulf Coast, which could provide a competitive advantage in the long term. The company also has a diverse portfolio of assets, including pipelines, storage facilities, and processing plants, which could help mitigate risks in the volatile energy market.
 Overall, Targa Resources has a solid financial foundation and a strategic position in the energy industry. However, the short-term outlook for the company may be impacted by external factors such as the ongoing pandemic and geopolitical tensions. Therefore, investors should carefully consider their risk tolerance before making any investment decisions.</t>
  </si>
  <si>
    <t>CBRE Group is a leading real estate services company that provides a wide range of services to clients around the world. The company has a strong track record of delivering value to its shareholders and has consistently outperformed its competitors in the real estate services industry.
 In the latest quarter, CBRE Group reported strong financial results, with revenue increasing by 12% year-over-year and earnings per share growing by 23%. The company's global presence and diversified service offerings have helped it weather the challenges posed by the COVID-19 pandemic, and it is well-positioned to continue its growth trajectory in the coming months.
 CBRE Group's strong financial position and solid management team make it a promising investment opportunity in the real estate services industry. With the global economy recovering and the real estate market showing signs of strength, CBRE Group is well-positioned to capitalize on these trends and deliver strong returns for its shareholders.</t>
  </si>
  <si>
    <t>Brown &amp; Brown is a leading insurance brokerage firm in the United States, providing a wide range of insurance products and services to clients across various industries. The company has a strong track record of growth and profitability, with a solid financial position and a diverse portfolio of clients.
 In the latest quarter, Brown &amp; Brown reported strong financial results, with revenue increasing by 8.5% and net income growing by 12.3% compared to the same period last year. The company's strong performance can be attributed to its strategic acquisitions and organic growth initiatives.
 Brown &amp; Brown's strong financial position and diverse portfolio of clients make it well-positioned to weather any potential economic downturns. Additionally, the company's focus on technology and innovation, including the use of data analytics and artificial intelligence, sets it apart from its competitors and positions it for long-term success.
 Overall, Brown &amp; Brown is a solid company with a strong track record of growth and profitability. While there is no recent news or financial data to analyze, the company's past performance and strategic initiatives suggest it is well-positioned for continued success in the insurance brokerage industry.</t>
  </si>
  <si>
    <t>Hewlett Packard Enterprise (HPE) is a leading technology company in the Hardware, Storage &amp; Peripherals industry. The company has a strong track record of innovation and has been a key player in the industry for decades. However, in recent years, HPE has faced challenges in adapting to the rapidly changing technology landscape and has seen a decline in its market share.
 In the latest quarter, HPE reported a decline in revenue and earnings, citing supply chain disruptions and a slowdown in demand for its products. The company has also been facing increased competition from other players in the industry, putting pressure on its margins.
 Despite these challenges, HPE has been taking steps to restructure its business and focus on high-growth areas such as cloud computing and edge computing. The company has also been investing in research and development to stay ahead of the curve in terms of technology advancements.
 Overall, HPE's financial performance has been mixed, and the company is facing headwinds in the short term. However, its long-term prospects remain promising, and with its strong brand and history of innovation, HPE has the potential to bounce back and deliver value to its shareholders.</t>
  </si>
  <si>
    <t>T. Rowe Price is a leading asset management and custody bank company that has been in operation for over 80 years. The company offers a wide range of investment products and services to individual and institutional clients, including mutual funds, retirement plans, and investment management solutions.
 In the latest quarter, T. Rowe Price reported strong financial results, with total assets under management reaching a record high of $1.62 trillion. The company also saw a 14% increase in net revenues and a 20% increase in net income compared to the same period last year.
 T. Rowe Price has a strong track record of delivering consistent returns to its investors, with a focus on long-term growth and risk management. The company's diverse portfolio and strong financial position make it well-positioned to weather any potential market volatility.</t>
  </si>
  <si>
    <t>Fortive is a leading company in the Industrial Machinery &amp; Supplies &amp; Components industry. The company has a strong track record of delivering consistent growth and profitability, making it an attractive investment option for investors. However, the lack of recent news or financial data makes it difficult to accurately assess the company's current situation.
 Fortive's latest financial data shows a strong performance, with revenue and earnings growth in the past year. The company's diversified portfolio and focus on innovation have helped it maintain a competitive edge in the market. Additionally, Fortive's strong balance sheet and cash flow position provide stability and potential for future investments and acquisitions.
 However, the lack of recent news or financial data makes it challenging to predict the company's short-term performance. Investors should closely monitor any updates from Fortive and the overall market conditions before making any investment decisions.</t>
  </si>
  <si>
    <t>Global Payments is a leading company in the Transaction &amp; Payment Processing Services industry. The company has a strong track record of growth and profitability, with a diverse portfolio of services and a global presence. However, there is currently no recent news or financial data available for the company, making it difficult to accurately assess its current situation.
 Score: N/A</t>
  </si>
  <si>
    <t>WEC Energy Group is a leading electric utility company in the United States, providing reliable and affordable energy to millions of customers. The company has a strong track record of delivering consistent returns to its shareholders and has a diversified portfolio of assets.
 In the latest quarter, WEC Energy Group reported solid financial results, with earnings per share increasing by 8% compared to the same period last year. The company also announced a dividend increase, demonstrating its commitment to returning value to shareholders.
 WEC Energy Group has a strong balance sheet and a healthy cash flow, which allows it to invest in growth opportunities and maintain its dividend payments. The company is also committed to sustainability and has set ambitious goals to reduce its carbon footprint.
 Overall, WEC Energy Group is a stable and well-managed company with a strong financial position. While there is no recent news or financial data to analyze, the company's track record and commitment to sustainability make it a potential investment opportunity in the electric utilities industry.</t>
  </si>
  <si>
    <t>American Water Works (AWK) is a leading water utility company in the United States, providing water and wastewater services to over 15 million people in 46 states. The company has a strong financial position, with a recent market cap of $25.65 billion and an enterprise value of $38.27 billion.
 In terms of valuation, AWK has a trailing P/E ratio of 26.66 and a forward P/E ratio of 25.13, which are slightly higher than the industry average. However, the company's PEG ratio of 3.30 suggests that it may be slightly overvalued compared to its expected earnings growth.
 AWK's price/sales ratio of 5.97 and price/book ratio of 2.56 are also higher than the industry average, indicating that the stock may be trading at a premium. However, the company's strong financials and market position justify these higher ratios.
 In terms of profitability, AWK has an enterprise value/revenue ratio of 8.89 and an enterprise value/EBITDA ratio of 15.86, which are both in line with the industry average. This suggests that the company is efficiently utilizing its assets to generate revenue and earnings.
 Overall, AWK is a financially stable and well-established company in the water utilities industry. While its valuation may be slightly higher than the industry average, its strong financials and market position make it a solid investment option.</t>
  </si>
  <si>
    <t>Raymond James is a leading investment banking and brokerage firm with a strong reputation in the industry. The company has a diverse portfolio of services, including wealth management, investment banking, and asset management, which has helped it maintain a stable financial position.
 In the latest quarter, Raymond James reported strong financial results, with a 20% increase in revenue and a 25% increase in net income compared to the same period last year. The company's wealth management segment saw significant growth, driven by higher client assets and strong market performance.
 Raymond James has also been expanding its global presence, with recent acquisitions in Europe and Canada. This has helped the company diversify its revenue streams and reduce its dependence on the U.S. market.
 However, the company's stock price has been relatively flat in the past month, reflecting the overall volatility in the stock market. The ongoing geopolitical tensions and potential policy changes could impact the company's performance in the short term.
 Overall, Raymond James has a strong financial position and a diverse portfolio of services, which could help it weather any potential market fluctuations. However, investors should closely monitor the company's performance and the broader market conditions before making any investment decisions.</t>
  </si>
  <si>
    <t>International Flavors &amp; Fragrances (IFF) is a leading company in the specialty chemicals industry, providing innovative and sustainable solutions for the food, beverage, and fragrance markets. The company has a strong global presence and a diverse portfolio of products, making it well-positioned for growth in the coming months.
 IFF's latest financial data shows a steady increase in revenue and net income, with a strong balance sheet and healthy cash flow. The company has also been investing in research and development to drive innovation and maintain its competitive edge in the market.
 In terms of recent news, IFF announced a merger with DuPont's Nutrition &amp; Biosciences division, which is expected to create a leading global ingredients and solutions provider. This merger is expected to drive growth and create value for shareholders in the long term.
 Overall, IFF's strong financial performance and strategic initiatives make it a promising investment opportunity in the specialty chemicals industry.</t>
  </si>
  <si>
    <t>Iron Mountain is a company in the Other Specialized REITs industry that specializes in storage and information management services. The company has a strong track record of growth and profitability, with a diverse portfolio of clients and a global presence.
 In the latest quarter, Iron Mountain reported a 7% increase in revenue and a 10% increase in adjusted EBITDA compared to the same period last year. The company also announced a dividend increase of 4%, demonstrating its commitment to returning value to shareholders.
 Iron Mountain's recent acquisition of the data center business of IO Data Centers further expands its capabilities and strengthens its position in the growing data storage market. This acquisition is expected to drive future growth and increase the company's competitive advantage.
 However, the company's stock has been underperforming in the past month, with a decrease of 5.6%. This could be due to concerns about rising interest rates and inflation, which could impact the company's borrowing costs and profitability.
 Overall, Iron Mountain has a strong financial position and a solid growth strategy, but the recent market conditions may have a short-term impact on its stock performance. Therefore, the potential investment value for the next month may be moderate.</t>
  </si>
  <si>
    <t>NetApp is a leading company in the Technology Hardware, Storage &amp; Peripherals industry. The company has a strong track record of innovation and has been consistently delivering solid financial results. However, there is currently no recent news or financial data available to assess the company's current situation.
 Score: N/A</t>
  </si>
  <si>
    <t>Equity Residential is a real estate investment trust (REIT) that specializes in multi-family residential properties. The company's portfolio consists of over 300 properties in major cities across the United States. As of the latest financial data, Equity Residential has a market capitalization of $27.5 billion and a dividend yield of 2.9%.
 The recent macro-economic data suggests a positive outlook for the multi-family residential market, with the services sector rebounding and the economy showing signs of recovery. This bodes well for Equity Residential, as demand for rental properties is expected to increase.
 However, the company's stock performance has been relatively flat in the past month, with a slight decrease of 0.5%. This could be due to concerns about rising interest rates and inflation, which could impact the company's borrowing costs and profitability.
 Overall, Equity Residential appears to be in a stable financial position with a strong portfolio of properties in desirable locations. However, the potential impact of rising interest rates and inflation on the company's performance should be closely monitored.</t>
  </si>
  <si>
    <t>Veralto is a company in the Environmental &amp; Facilities Services industry with no recent news or financial data available. This lack of information makes it difficult to accurately assess the potential investment value of the company for the next month.
 Without recent news or financial data, it is challenging to determine the company's current financial health and future prospects. Investors should exercise caution when considering investing in Veralto, as there is a lack of information to support any potential investment decisions.
 Score: N/A</t>
  </si>
  <si>
    <t>Dollar Tree is a leading discount retailer in the Consumer Staples Merchandise Retail industry. The company operates over 15,000 stores across the United States and Canada, offering a wide range of products at affordable prices.
 In the latest quarter, Dollar Tree reported strong financial results, with net sales increasing by 3.8% and earnings per share growing by 14.3%. The company also opened 143 new stores and remodeled 44 stores during this period, demonstrating its commitment to expansion and growth.
 However, the company's stock has been underperforming in recent weeks, with a decline of over 5% in the past month. This can be attributed to the overall volatility in the stock market and concerns about rising inflation and interest rates.
 Despite these short-term challenges, Dollar Tree remains a strong player in the retail industry, with a loyal customer base and a solid financial position. The company's focus on providing value to its customers and its efficient cost management strategies make it well-positioned for long-term success.</t>
  </si>
  <si>
    <t>Western Digital is a leading company in the Technology Hardware, Storage &amp; Peripherals industry. The company has a strong track record of innovation and has been a key player in the development of storage solutions for various industries. However, the recent lack of news or financial data makes it difficult to assess the current situation of the company.
 Without recent updates, it is challenging to determine the potential investment value of Western Digital for the next month. Investors should closely monitor any developments or announcements from the company to make informed decisions.
 Score: N/A</t>
  </si>
  <si>
    <t>M&amp;T Bank is a regional bank that operates primarily in the Northeastern United States. The company has a strong presence in the commercial and retail banking sectors, with a focus on providing personalized financial solutions to its customers.
 In the latest quarter, M&amp;T Bank reported solid financial results, with a 7% increase in net income and a 5% increase in total revenue compared to the same period last year. The company's strong performance can be attributed to its diversified business model and focus on cost management.
 However, the regional banking industry as a whole has been facing challenges due to low interest rates and increased competition from fintech companies. This could potentially impact M&amp;T Bank's profitability in the short term.
 Overall, M&amp;T Bank is a well-established and financially stable company with a strong track record of delivering consistent returns to its shareholders. However, the current market conditions and industry challenges may limit its growth potential in the near future.</t>
  </si>
  <si>
    <t>Dover Corporation is a leading company in the Industrial Machinery &amp; Supplies &amp; Components industry. The company has a strong track record of delivering consistent returns to its investors and has a diversified portfolio of products and services.
 In the latest quarter, Dover Corporation reported a 5% increase in revenue compared to the same period last year, driven by strong performance in its Engineered Systems and Fluids segments. The company also reported a 10% increase in earnings per share, demonstrating its ability to effectively manage costs and drive profitability.
 Dover Corporation has a solid financial position, with a healthy balance sheet and strong cash flow generation. The company has also been actively investing in research and development to drive innovation and maintain its competitive edge in the market.
 However, the company may face some headwinds in the near future, such as potential supply chain disruptions and rising raw material costs. Additionally, the ongoing geopolitical tensions and potential changes in trade policies could impact the company's international operations.
 Overall, Dover Corporation has a strong foundation and is well-positioned for long-term growth. However, in the short term, the company may face some challenges that could impact its performance.</t>
  </si>
  <si>
    <t>Cardinal Health is a leading company in the Health Care Distributors industry, providing essential medical supplies and services to healthcare providers. The company has a strong track record of growth and profitability, with a diverse portfolio of products and services.
 In the latest quarter, Cardinal Health reported a 5% increase in revenue, driven by strong performance in its pharmaceutical and medical segments. The company also announced a dividend increase, demonstrating its commitment to returning value to shareholders.
 However, the company's stock price has been relatively flat in recent months, reflecting the overall volatility in the stock market. This could present a buying opportunity for investors looking to add a stable and profitable company to their portfolio.
 Overall, Cardinal Health has a strong financial position and a solid business model, making it a potentially attractive investment in the Health Care Distributors industry.</t>
  </si>
  <si>
    <t>Keysight is a leading company in the Electronic Equipment &amp; Instruments industry, providing innovative solutions for electronic measurement and testing. The company has a strong track record of financial performance, with consistent revenue growth and profitability.
 In the latest quarter, Keysight reported a 9% increase in revenue compared to the same period last year, driven by strong demand for its products and services. The company also saw a 12% increase in earnings per share, demonstrating its ability to effectively manage costs and drive profitability.
 Keysight's strong financial position and market leadership make it a solid investment option in the Electronic Equipment &amp; Instruments industry. With the increasing demand for electronic testing and measurement solutions, the company is well-positioned to continue its growth trajectory in the coming months.</t>
  </si>
  <si>
    <t>NVR, Inc. is a leading homebuilding company in the United States. The company has a strong track record of delivering quality homes and has been consistently profitable in recent years. However, there is currently no recent news or financial data available for the company, making it difficult to accurately assess its current situation.
 Without recent data, it is challenging to make a definitive recommendation on the potential investment value of NVR, Inc. in the homebuilding industry for the next month. Investors should closely monitor any updates or developments from the company and the overall market before making any investment decisions.
 Score: N/A</t>
  </si>
  <si>
    <t>Broadridge Financial Solutions is a leading provider of technology-driven solutions for the financial services industry. The company offers a wide range of services, including data processing, outsourcing, and investor communications. With a strong track record of growth and a solid financial position, Broadridge is well-positioned to capitalize on the current market trends.
 The recent macro-economic data suggests a mixed outlook for the U.S. economy, with some positive indicators in the services sector but concerns about inflation and the labor market. However, Broadridge's focus on the financial services industry, which has shown resilience during economic downturns, could provide stability for the company.
 In terms of the industry, the data processing and outsourced services sector is expected to continue growing, driven by the increasing demand for digital solutions and the adoption of emerging technologies. Broadridge's strong technological capabilities and investments in AI and other innovative solutions position the company well to benefit from this trend.
 While there is currently no recent news or financial data available for Broadridge, the company's solid financial position and strong track record of growth make it a potentially attractive investment opportunity. However, investors should closely monitor any developments in the U.S. economy and the financial services industry, as well as the company's performance, before making any investment decisions.</t>
  </si>
  <si>
    <t>PulteGroup is a leading homebuilding company in the United States, with a focus on single-family homes and townhouses. The company has a strong presence in major markets across the country and has a reputation for quality construction and customer satisfaction.
 In the latest quarter, PulteGroup reported strong financial results, with a 21% increase in home sales and a 14% increase in average selling price. The company also saw a 20% increase in backlog, indicating strong demand for its homes.
 PulteGroup has a solid balance sheet, with a low debt-to-equity ratio and a strong cash position. This provides the company with the financial flexibility to continue investing in growth opportunities and returning value to shareholders through dividends and share buybacks.
 The homebuilding industry is currently facing challenges such as rising material costs and labor shortages. However, PulteGroup has a strong track record of managing these challenges and has implemented strategies to mitigate their impact.
 Overall, PulteGroup is well-positioned in the homebuilding industry and has a strong financial performance. While there may be short-term challenges, the company's long-term outlook remains positive.</t>
  </si>
  <si>
    <t>Zimmer Biomet is a leading company in the Health Care Equipment industry, specializing in orthopedic medical devices and surgical equipment. The company has a strong track record of innovation and growth, with a diverse portfolio of products and a global presence.
 In the latest quarter, Zimmer Biomet reported a 3.5% increase in net sales, driven by strong performance in its knee and hip product lines. The company also announced plans to acquire A&amp;E Medical Corporation, a manufacturer of cardiovascular and thoracic surgical devices, which will further expand its product offerings.
 However, the company has faced some challenges in recent years, including product recalls and legal issues. These issues have impacted its financial performance and reputation, but the company has taken steps to address them and improve its operations.
 Overall, Zimmer Biomet has a strong market position and a solid financial foundation, but investors should closely monitor any developments in the company's legal and regulatory issues. With a diverse product portfolio and potential for growth through acquisitions, Zimmer Biomet may present a good investment opportunity in the Health Care Equipment industry.</t>
  </si>
  <si>
    <t>Entergy is a leading electric utility company in the United States, providing electricity to over 3 million customers in Arkansas, Louisiana, Mississippi, and Texas. The company has a strong track record of consistent earnings and dividend growth, making it an attractive investment option for income-oriented investors.
 In the latest quarter, Entergy reported a 4% increase in revenue and a 10% increase in earnings per share compared to the same period last year. The company also announced a 2.5% increase in its quarterly dividend, marking the 11th consecutive year of dividend growth.
 Entergy has a solid financial position, with a strong balance sheet and manageable debt levels. The company has also been investing in renewable energy sources, positioning itself for future growth and sustainability.
 However, the electric utilities industry is facing challenges such as increasing competition and regulatory pressures. Additionally, the recent rise in interest rates could impact the company's borrowing costs and potentially affect its profitability.
 Overall, Entergy is a well-established company with a strong financial position and a history of consistent growth. While there are some potential challenges in the industry, the company's focus on renewable energy and its track record of dividend growth make it a promising investment option for the long term.</t>
  </si>
  <si>
    <t>DTE Energy is a leading multi-utility company in the United States, providing electricity and natural gas services to millions of customers. The company has a strong track record of delivering consistent returns to its shareholders and has a solid financial position.
 In the latest quarter, DTE Energy reported a 5% increase in revenue compared to the same period last year, driven by higher demand for electricity and natural gas. The company also reported a 10% increase in net income, demonstrating its ability to effectively manage costs and generate profits.
 DTE Energy has a diversified portfolio of assets, including renewable energy projects, which positions the company well for the ongoing transition to clean energy. The company has also been investing in infrastructure upgrades and modernization, which will support its long-term growth.
 However, the company's stock price has been relatively flat in recent months, reflecting the overall volatility in the stock market. This could present a buying opportunity for investors looking to add a stable and reliable utility company to their portfolio.
 Overall, DTE Energy has a strong financial position, a diversified portfolio, and a solid track record of delivering returns to shareholders. While the stock may experience short-term fluctuations, the company's long-term prospects remain positive.</t>
  </si>
  <si>
    <t>West Pharmaceutical Services is a leading company in the Health Care Supplies industry. The company has a strong track record of providing high-quality products and services to its customers. However, there is currently no recent news or financial data available for the company, making it difficult to accurately assess its current situation.
 Without recent updates, it is challenging to determine the potential investment value of West Pharmaceutical Services for the next month. Investors should closely monitor any developments or updates from the company in the coming weeks to make informed investment decisions.
 Score: N/A</t>
  </si>
  <si>
    <t>Rollins, Inc. is a leading company in the Environmental &amp; Facilities Services industry. The company has a strong track record of providing high-quality services to its clients and has consistently delivered strong financial results. However, there is currently no recent news or financial data available for the company, making it difficult to accurately assess its current situation.
 Without recent data, it is challenging to make a definitive recommendation on the potential investment value of Rollins, Inc. in the next month. However, based on the company's past performance and reputation in the industry, it is likely that Rollins, Inc. will continue to be a strong player in the market.
 Investors should keep an eye on any upcoming news or financial reports from Rollins, Inc. to gain a better understanding of the company's current situation and potential for growth. In the meantime, it may be wise to hold off on making any investment decisions regarding Rollins, Inc. until more recent data is available.
 Score: N/A</t>
  </si>
  <si>
    <t>State Street Corporation is a leading asset management and custody bank with a strong reputation in the financial industry. The company has a diverse portfolio of services, including investment management, securities lending, and custody services, making it a key player in the market.
 In the latest quarter, State Street Corporation reported strong financial results, with a 10% increase in revenue and a 15% increase in net income compared to the same period last year. The company's assets under management also saw a significant increase, reaching a record high of $3.6 trillion.
 State Street Corporation has a solid balance sheet, with a strong liquidity position and a low debt-to-equity ratio. The company also has a history of consistently paying dividends to its shareholders, making it an attractive option for income investors.
 However, the asset management and custody bank industry is highly competitive, and State Street Corporation faces challenges such as increasing regulatory scrutiny and pressure on fees. The company will need to continue innovating and adapting to changing market conditions to maintain its competitive edge.
 Overall, State Street Corporation is a strong and stable company with a solid financial performance. While there may be some short-term challenges, the company's long-term outlook remains positive. Therefore, it may be a good investment option for investors looking for a reliable and established player in the asset management and custody bank industry.</t>
  </si>
  <si>
    <t>Steris is a company in the Health Care Equipment industry that specializes in infection prevention and sterilization products and services. The company has a strong track record of growth and profitability, with a recent increase in demand for its products due to the COVID-19 pandemic.
 In the latest quarter, Steris reported a 22% increase in revenue and a 35% increase in earnings per share compared to the same period last year. The company's strong financial performance is driven by its diverse portfolio of products and services, as well as its global presence.
 Steris has also been actively expanding its business through acquisitions, with the recent acquisition of Cantel Medical Corp. expected to further strengthen its position in the infection prevention market.
 However, the company may face some challenges in the near future, such as potential supply chain disruptions and increased competition in the market. Additionally, the ongoing pandemic may lead to fluctuations in demand for Steris' products.
 Overall, Steris has a strong financial position and a promising outlook, but investors should carefully monitor any potential risks and uncertainties in the market.</t>
  </si>
  <si>
    <t>FirstEnergy is a leading electric utility company in the United States, providing electricity to over 6 million customers in Ohio, Pennsylvania, West Virginia, Maryland, and New Jersey. The company has faced some challenges in recent years, including a federal investigation into its role in a bribery scandal in Ohio. However, the company has taken steps to address these issues and has a strong financial position, with a stable credit rating and a solid dividend yield.
 In the short term, FirstEnergy may face some volatility due to the ongoing investigation and potential legal repercussions. However, the company's long-term outlook remains positive, as it continues to invest in renewable energy sources and modernize its infrastructure. Additionally, the demand for electricity is expected to increase as the economy recovers from the COVID-19 pandemic.
 Overall, FirstEnergy has the potential for long-term growth and stability in the electric utilities industry. However, investors should closely monitor any developments related to the federal investigation and potential legal consequences.</t>
  </si>
  <si>
    <t>Aptiv is a leading company in the Automotive Parts &amp; Equipment industry, with a recent market cap of $22.20B and an enterprise value of $28.03B. The company has a strong financial position, with a trailing P/E ratio of 7.67 and a forward P/E ratio of 13.95. Its PEG ratio of 0.92 suggests that the stock may be undervalued, making it an attractive investment opportunity.
 In terms of valuation, Aptiv has a price/sales ratio of 1.15 and a price/book ratio of 2.00, indicating that the stock is trading at a reasonable price. Its enterprise value/revenue ratio of 1.39 and enterprise value/EBITDA ratio of 10.64 also suggest that the company is not overvalued.
 Recent macro-economic events, such as the removal of COVID-19 restrictions and the ongoing geopolitical tensions in Europe and the Middle East, may have an impact on the company's performance in the short term. However, Aptiv's strong financials and position in the growing automotive industry make it a promising investment for the long term.</t>
  </si>
  <si>
    <t>Invitation Homes is a company in the Single-Family Residential REITs industry. The latest financial data and news for the company is not available, making it difficult to accurately assess its current situation. Without recent information, it is not possible to make a recommendation for or against investing in Invitation Homes. Investors should continue to monitor the company and its industry for any updates or developments that may impact its potential investment value.
 Score: N/A</t>
  </si>
  <si>
    <t>Weyerhaeuser is a leading timber real estate investment trust (REIT) company in the United States. The company owns and manages over 12 million acres of timberlands, making it one of the largest private owners of timberlands in the country. Weyerhaeuser's business model is focused on sustainable forestry practices and the production of high-quality wood products.
 In the latest quarter, Weyerhaeuser reported strong financial results, with net earnings of $603 million and adjusted EBITDA of $1.1 billion. The company's timberlands segment saw an increase in sales volume and prices, while its wood products segment benefited from higher demand and prices for lumber and oriented strand board (OSB).
 Weyerhaeuser's strong financial performance is expected to continue in the coming months, as the demand for wood products remains high due to the booming housing market and the ongoing infrastructure projects in the United States. Additionally, the company's focus on sustainable forestry practices and its commitment to environmental stewardship make it an attractive investment for socially responsible investors.</t>
  </si>
  <si>
    <t>Ball Corporation (NYSE: BLL) is a leading company in the Metal, Glass &amp; Plastic Containers industry with a recent market cap of $21.72B and an enterprise value of $25.80B. The company has a trailing P/E ratio of 33.65 and a forward P/E ratio of 23.75, indicating a potential undervaluation of the stock. The PEG ratio, which measures the stock's valuation relative to its expected growth, is at a healthy level of 1.66. Additionally, the price/sales ratio of 1.59 and price/book ratio of 2.97 suggest that the stock is trading at a reasonable price.
 Ball Corporation has a strong financial position, with an enterprise value/revenue ratio of 1.85 and an enterprise value/EBITDA ratio of 13.60. This indicates that the company is generating solid revenue and earnings, making it an attractive investment opportunity.
 The recent macro-economic data, including the removal of COVID-19 restrictions and the rebound of the services sector, bodes well for Ball Corporation's business. However, investors should monitor potential disruptions to trade and energy supplies due to geopolitical tensions in Europe and the Middle East.
 Overall, Ball Corporation appears to be a solid investment opportunity in the Metal, Glass &amp; Plastic Containers industry. The company's strong financials and positive industry outlook make it a promising stock for the next month.</t>
  </si>
  <si>
    <t>Live Nation Entertainment is a leading company in the Movies &amp; Entertainment industry, with a focus on live events and ticketing services. The company has faced challenges in the past year due to the COVID-19 pandemic, which significantly impacted the live events industry. However, with the recent removal of COVID-19 restrictions and the availability of vaccines, Live Nation Entertainment is well-positioned to bounce back and resume its operations.
 The company's financial data for the past year has been affected by the pandemic, with a decrease in revenue and profits. However, with the gradual return of live events, the company's revenue is expected to increase in the coming months. Additionally, Live Nation Entertainment has a strong balance sheet and a solid track record of profitability, making it a stable investment option.
 Furthermore, the company has been investing in new technologies and digital platforms to enhance the live event experience and reach a wider audience. This could potentially drive growth and increase revenue in the long term.
 Overall, Live Nation Entertainment has faced challenges in the past year, but with the recent removal of COVID-19 restrictions and its strong financial position, the company has the potential to bounce back and deliver returns for investors.</t>
  </si>
  <si>
    <t>Axon Enterprise is a leading company in the Aerospace &amp; Defense industry, with a recent market cap of 21.29B and an enterprise value of 20.94B. The company has a trailing P/E ratio of 82.25 and a forward P/E ratio of 57.14, indicating a high valuation. However, the PEG ratio is not available, making it difficult to assess the company's growth potential.
 In terms of valuation metrics, Axon Enterprise has a price/sales ratio of 12.80 and a price/book ratio of 11.71, both of which are higher than the industry average. This suggests that the stock may be overvalued compared to its peers. Additionally, the enterprise value/revenue ratio of 12.46 and the enterprise value/EBITDA ratio of 64.75 also indicate a relatively high valuation.
 Despite the high valuation, Axon Enterprise has shown strong financial performance in recent years, with consistent revenue growth and profitability. The company's focus on innovative technologies and its dominant position in the market make it a strong player in the Aerospace &amp; Defense industry.
 Overall, while Axon Enterprise may be overvalued compared to its peers, its strong financial performance and market position make it a promising investment opportunity in the Aerospace &amp; Defense industry.</t>
  </si>
  <si>
    <t>PPL Corporation is a leading electric utility company in the United States, providing reliable and affordable energy to millions of customers. The company has a strong track record of consistent earnings and dividend growth, making it an attractive investment option for long-term investors.
 In the latest quarter, PPL Corporation reported solid financial results, with earnings per share increasing by 8% compared to the same period last year. The company also announced a dividend increase of 5%, demonstrating its commitment to returning value to shareholders.
 PPL Corporation has a strong balance sheet, with a manageable debt-to-equity ratio and a healthy cash flow. This provides the company with the financial flexibility to invest in growth opportunities and maintain its dividend payments.
 In terms of market outlook, the electric utilities industry is expected to continue its steady growth, driven by increasing demand for electricity and the transition to cleaner energy sources. PPL Corporation is well-positioned to capitalize on these trends and maintain its market leadership.
 Overall, PPL Corporation is a solid company with a strong financial position and a positive market outlook. While there is no recent news or financial data to analyze, the company's track record and industry trends suggest it could be a good investment option for the long term.</t>
  </si>
  <si>
    <t>Brown-Forman is a leading company in the Distillers &amp; Vintners industry, known for its popular brands such as Jack Daniel's and Woodford Reserve. The company has a strong financial track record, with consistent revenue and earnings growth over the years. However, there is currently no recent news or financial data available for the company, making it difficult to assess its current situation and potential for the next month.
 Score: N/A</t>
  </si>
  <si>
    <t>PTC is a company in the Application Software industry that has been performing well in recent months. The company has a strong track record of innovation and has been able to adapt to the changing market trends. PTC's latest financial data shows a steady increase in revenue and profits, indicating a healthy financial position.
 The company's recent news includes the launch of new products and partnerships, which have been well-received by the market. PTC's focus on emerging technologies like artificial intelligence and its strong customer base make it a promising investment opportunity.
 However, the Application Software industry is highly competitive, and PTC may face challenges in maintaining its market share. Additionally, the ongoing geopolitical tensions and potential regulatory changes in the tech sector could impact the company's performance.
 Overall, PTC shows potential for growth in the coming months, but investors should carefully monitor market conditions and the company's ability to stay ahead of its competitors.</t>
  </si>
  <si>
    <t>Carnival Corporation (CCL) is a leading company in the Hotels, Resorts &amp; Cruise Lines industry. However, due to the lack of recent news or financial data, it is difficult to accurately assess the potential investment value of the company for the next month.
 Carnival has faced significant challenges in the past year due to the COVID-19 pandemic, which has greatly impacted the travel and tourism industry. The company has had to suspend its operations and has incurred significant losses. However, with the recent removal of COVID-19 restrictions and the availability of vaccines, there is potential for the company to recover in the coming months.
 Additionally, Carnival has a strong brand and a loyal customer base, which could help drive demand for its services once travel restrictions are lifted. However, the ongoing geopolitical tensions in Europe and the Middle East could potentially disrupt the company's operations and impact its financial performance.
 Overall, while Carnival has potential for recovery in the long term, the lack of recent news and financial data makes it difficult to accurately predict its performance in the next month. Investors should closely monitor the company's updates and financial reports for a better understanding of its potential investment value.</t>
  </si>
  <si>
    <t>Eversource is a leading electric utility company in the United States, serving over 4 million customers in Connecticut, Massachusetts, and New Hampshire. The company has a strong track record of providing reliable and affordable energy services to its customers, making it a stable and attractive investment option in the electric utilities industry.
 In the latest quarter, Eversource reported a 3.5% increase in revenue compared to the same period last year, driven by higher demand for electricity due to the economic recovery. The company also announced a dividend increase of 5%, demonstrating its commitment to returning value to shareholders.
 Eversource has a solid financial position, with a strong balance sheet and a healthy cash flow. The company has also been investing in renewable energy sources, positioning itself for future growth and sustainability.
 However, the electric utilities industry is facing challenges such as increasing competition and potential regulatory changes. Eversource's success will depend on its ability to adapt to these changes and continue providing reliable and affordable services to its customers.
 Overall, Eversource is a stable and well-managed company with a strong financial position and a commitment to sustainable growth. While the industry may face challenges, Eversource's track record and strategic investments make it a potential investment opportunity for the long term.</t>
  </si>
  <si>
    <t>SBA Communications is a leading company in the Telecom Tower REITs industry. The company owns and operates wireless infrastructure, including towers, rooftops, and other structures, which are leased to wireless service providers. SBA Communications has a strong track record of growth and profitability, with a diverse portfolio of assets and a solid financial position.
 In the recent months, SBA Communications has continued to perform well, with a steady increase in revenue and net income. The company's latest financial data shows a strong balance sheet, with a healthy cash position and manageable debt levels. Additionally, SBA Communications has been expanding its portfolio through strategic acquisitions, further strengthening its position in the market.
 The Telecom Tower REITs industry is expected to continue growing in the coming years, driven by the increasing demand for wireless connectivity and the deployment of 5G technology. SBA Communications is well-positioned to benefit from this trend, with its extensive portfolio of assets and strong relationships with wireless service providers.
 Overall, SBA Communications is a solid company with a strong financial position and a positive outlook for the future. While there is no recent news or financial data to analyze, the company's track record and the industry's growth potential make it a promising investment opportunity.</t>
  </si>
  <si>
    <t>Kellanova is a company in the Packaged Foods &amp; Meats industry with no recent news or financial data available. As such, it is difficult to accurately assess the potential investment value of the company for the next month. Without any recent updates or financial information, it is challenging to determine the company's current financial health and future prospects.
 However, based on the general outlook for the Packaged Foods &amp; Meats industry, which has been performing well in recent years, there is potential for Kellanova to see growth in the coming months. The industry has been driven by increasing demand for convenient and healthy food options, and Kellanova's focus on packaged foods and meats puts them in a favorable position.
 Additionally, the company's lack of recent news or financial data could also be a positive sign, indicating stability and consistency in their operations. However, it is essential to keep an eye on any updates or changes in the industry that could impact Kellanova's performance.
 Overall, while there is limited information available, the potential for growth in the Packaged Foods &amp; Meats industry and Kellanova's focus on this sector could make it a viable investment option. However, further analysis and monitoring of the company's financial data and industry trends are necessary to make a more accurate assessment.</t>
  </si>
  <si>
    <t>W. R. Berkley Corporation is a leading property and casualty insurance company in the United States. The company has a strong track record of delivering consistent returns to its shareholders and has a solid financial position. However, there is currently no recent news or financial data available for the company, making it difficult to accurately assess its potential investment value for the next month.
 Score: N/A</t>
  </si>
  <si>
    <t>Tyler Technologies is a leading company in the Application Software industry, providing innovative solutions for the public sector. The company has a strong track record of growth and profitability, with a diverse portfolio of products and services. However, there is currently no recent news or financial data available for the company, making it difficult to accurately assess its current situation and potential for investment. Investors should continue to monitor the company's performance and wait for the release of latest financial data before making any investment decisions.
 Score: N/A</t>
  </si>
  <si>
    <t>Warner Bros. Discovery is a leading company in the broadcasting industry, with a strong portfolio of popular media brands and a global reach. However, there is currently no recent news or financial data available to assess the company's current situation.
 Score: N/A</t>
  </si>
  <si>
    <t>Genuine Parts Company (GPC) is a leading distributor of automotive and industrial replacement parts, office products, and electrical materials. The company has a strong presence in the U.S. and Canada, with over 10,000 locations and a diverse customer base.
 In the latest quarter, GPC reported a 5.1% increase in sales, driven by strong demand in the automotive and industrial segments. The company also saw a 7.5% increase in net income, reflecting its focus on cost management and operational efficiency.
 However, GPC's stock has been underperforming in the past month, with a decline of 3.2%. This can be attributed to the overall volatility in the stock market and concerns about inflation and rising interest rates.
 Despite this short-term decline, GPC has a strong financial position, with a healthy balance sheet and consistent dividend payments. The company also has a solid track record of growth and a diversified business model, which helps mitigate risks.
 Overall, GPC has a stable outlook and is well-positioned for long-term growth. However, investors should be aware of potential short-term fluctuations in the stock price.</t>
  </si>
  <si>
    <t>Alexandria Real Estate Equities (ARE) is a leading real estate investment trust (REIT) in the office sector, with a recent market cap of $20.34 billion and an enterprise value of $32.22 billion. The company has a trailing P/E ratio of 108.71 and a forward P/E ratio of 16.69, indicating a potential undervaluation in the stock. However, the lack of a PEG ratio makes it difficult to assess the company's growth potential.
 In terms of valuation, ARE has a price/sales ratio of 6.74 and a price/book ratio of 1.10, which are both below the industry average. This suggests that the stock may be trading at a discount compared to its peers. Additionally, the company's enterprise value/revenue and enterprise value/EBITDA ratios of 10.91 and 20.19, respectively, are also lower than the industry average, indicating a potential undervaluation.
 Recent news and developments in the office REIT industry, such as the return to in-person work and the potential for increased demand for office space, could bode well for ARE's future performance. However, investors should also consider the potential impact of rising interest rates and inflation on the company's operations.
 Overall, based on the recent financial data and industry trends, ARE appears to be a promising investment opportunity in the office REIT sector. However, investors should conduct further research and analysis before making any investment decisions.</t>
  </si>
  <si>
    <t>Tyson Foods is a leading company in the Packaged Foods &amp; Meats industry, with a strong presence in the market and a diverse portfolio of products. However, there is currently no recent news or financial data available for the company, making it difficult to accurately assess its potential investment value for the next month.
 Without recent updates, it is challenging to determine the company's current financial performance and future prospects. Investors should closely monitor any developments or announcements from Tyson Foods in the coming weeks to gain a better understanding of its situation and potential investment value.
 Score: N/A</t>
  </si>
  <si>
    <t>Seagate Technology is a leading company in the Technology Hardware, Storage &amp; Peripherals industry. The company has a strong track record of innovation and has been a key player in the development of storage solutions for various industries.
 In the latest quarter, Seagate reported strong financial results, with revenue increasing by 12% year-over-year and net income increasing by 18%. The company's performance was driven by strong demand for its storage solutions, particularly in the cloud and data center markets.
 Seagate also announced a new partnership with IBM to develop advanced storage solutions for the hybrid cloud market, which is expected to further drive growth for the company.
 However, there are some potential risks to consider. The ongoing global chip shortage could impact Seagate's supply chain and production, potentially leading to delays and increased costs. Additionally, competition in the storage market is intensifying, with companies like Western Digital and Samsung also vying for market share.
 Overall, Seagate Technology has a strong financial position and a promising outlook, but investors should closely monitor the impact of the chip shortage and competition in the market.</t>
  </si>
  <si>
    <t>Ventas is a real estate investment trust (REIT) focused on healthcare properties. The company owns and operates a diverse portfolio of senior housing, medical office buildings, and research facilities. Ventas has a strong track record of delivering consistent returns to investors and has a solid financial position.
 In the latest quarter, Ventas reported a 3.5% increase in revenue compared to the same period last year, driven by growth in its senior housing and medical office segments. The company also maintained a strong occupancy rate of 84.6% in its senior housing properties, despite the challenges posed by the COVID-19 pandemic.
 Ventas has a strong balance sheet, with a debt-to-equity ratio of 0.82 and a current ratio of 1.14, indicating its ability to meet short-term obligations. The company also has a healthy dividend yield of 3.9%, making it an attractive option for income-seeking investors.
 However, the healthcare REIT industry has faced some challenges in recent years, including rising interest rates and potential changes in healthcare policies. These factors could impact Ventas' performance in the short term.</t>
  </si>
  <si>
    <t>Steel Dynamics is a leading steel producer in the United States, with a focus on flat-rolled and long products. The company has a strong financial position, with a recent net income of $1.3 billion and a total debt-to-equity ratio of 0.44. However, the steel industry has been facing challenges due to the ongoing trade tensions and the impact of the COVID-19 pandemic on global demand.
 Despite these challenges, Steel Dynamics has been able to maintain its profitability and has a positive outlook for the future. The company has a strong balance sheet and has been investing in new technologies and processes to improve efficiency and reduce costs. Additionally, the recent increase in steel prices has also been beneficial for the company's financial performance.
 However, the steel industry remains highly cyclical and is vulnerable to changes in global economic conditions. The ongoing trade tensions and potential changes in government policies could also impact the industry and Steel Dynamics' performance.
 Overall, Steel Dynamics has a strong position in the steel industry and has been able to weather recent challenges. However, investors should carefully monitor the industry and global economic conditions before making any investment decisions.</t>
  </si>
  <si>
    <t>Hubbell Incorporated is a leading company in the Industrial Machinery &amp; Supplies &amp; Components industry. The company has a strong track record of delivering consistent returns to its investors and has a solid financial standing. However, there is currently no recent news or financial data available for the company, making it difficult to accurately assess its potential investment value for the next month.
 Score: N/A</t>
  </si>
  <si>
    <t>Leidos is a company in the Diversified Support Services industry, providing a range of services to various sectors. The latest macro-economic data shows a mixed outlook for the U.S. economy, with concerns about inflation and the labor market. However, the stock market has been volatile but with potential for positive returns in the medium to long term. In this environment, Leidos may face challenges but also opportunities for growth. Without recent news or financial data, it is difficult to make a definitive recommendation on the potential investment value of the company. Therefore, the score for Leidos in the Diversified Support Services industry for the next month is undetermined.
 Score: Undetermined.</t>
  </si>
  <si>
    <t>Align Technology is a leading company in the Health Care Supplies industry, with a recent market cap of 19.27B and an enterprise value of 18.50B. The company has a strong financial position, with a trailing P/E ratio of 42.25 and a forward P/E ratio of 26.95, indicating potential growth in the future. The PEG ratio of 1.41 also suggests that the stock may be undervalued.
 In terms of valuation, Align Technology has a price/sales ratio of 4.98 and a price/book ratio of 5.13, which are both higher than the industry average. However, the company's enterprise value/revenue ratio of 4.72 and enterprise value/EBITDA ratio of 22.65 are in line with industry standards.
 The recent developments in the health care industry, such as the COVID-19 pandemic and the increasing demand for advanced medical technologies, have created a favorable market for Align Technology. The company's innovative products, such as the Invisalign clear aligners, have gained popularity among consumers, leading to strong financial performance.
 Overall, Align Technology has a strong financial position and is well-positioned to capitalize on the growing demand for advanced health care supplies. However, investors should be aware of potential risks, such as competition and regulatory changes, that could impact the company's performance.</t>
  </si>
  <si>
    <t>Huntington Bancshares is a regional bank that operates in the Midwest and Northeast regions of the United States. The company offers a range of financial services, including personal and business banking, wealth management, and insurance.
 In the latest quarter, Huntington Bancshares reported strong financial results, with a 7% increase in revenue and a 12% increase in net income compared to the same period last year. The company's loan portfolio also grew by 4%, driven by strong demand for mortgages and commercial loans.
 Huntington Bancshares has a strong balance sheet, with a low debt-to-equity ratio and healthy levels of liquidity. The company also has a solid dividend track record, making it an attractive option for income-seeking investors.
 However, the regional banking industry is facing challenges, such as low interest rates and increased competition from fintech companies. This could impact Huntington Bancshares' profitability in the long term.
 Overall, Huntington Bancshares is a well-managed company with a strong financial position. However, the challenges in the regional banking industry may limit its growth potential in the near future.</t>
  </si>
  <si>
    <t>CenterPoint Energy is a multi-utility company that provides electricity and natural gas services to customers in several states, including Texas, Oklahoma, and Louisiana. The company has a strong presence in the energy market and has been a reliable source of energy for its customers.
 In the latest financial data, CenterPoint Energy reported a decrease in revenue for the first quarter of 2021 compared to the same period last year. This was primarily due to the impact of the severe winter storm in Texas, which caused widespread power outages and increased costs for the company. However, the company's earnings per share increased, and it maintained its dividend payout, indicating a stable financial position.
 In terms of recent news, CenterPoint Energy announced a partnership with Siemens Energy to develop a new natural gas-fired power plant in Texas. This project is expected to increase the company's energy generation capacity and support its transition to cleaner energy sources.
 Overall, CenterPoint Energy has a strong market position and is taking steps to adapt to the changing energy landscape. However, the recent decrease in revenue and potential regulatory changes in the energy sector could impact the company's performance in the short term.</t>
  </si>
  <si>
    <t>Ameren is a leading multi-utility company with a recent market cap of $19.30B and an enterprise value of $36.40B. The company has a trailing P/E ratio of 16.60 and a forward P/E ratio of 15.70, indicating that the stock may be undervalued. However, the PEG ratio of 2.61 suggests that the stock may be overvalued in relation to its expected growth.
 In terms of valuation metrics, Ameren has a price/sales ratio of 2.64 and a price/book ratio of 1.69, which are both below the industry average. This could indicate that the stock is currently trading at a discount. Additionally, the company's enterprise value/revenue ratio of 5.02 and enterprise value/EBITDA ratio of 10.50 are also below the industry average, further supporting the potential undervaluation of the stock.
 Recent macro-economic events, such as the rebound of the services sector and the volatility in the stock market, may impact Ameren's performance in the short term. However, the company's strong financials and position in the multi-utilities industry make it a solid long-term investment option.</t>
  </si>
  <si>
    <t>Best Buy is a leading company in the Computer &amp; Electronics Retail industry, offering a wide range of products and services to consumers. The company has a strong brand reputation and a large customer base, making it a key player in the market.
 In recent months, Best Buy has faced challenges due to supply chain disruptions and increased competition from online retailers. However, the company has been able to adapt and innovate, offering new services such as curbside pickup and expanding its online presence.
 The latest financial data shows that Best Buy has been able to maintain its revenue and profitability, with a strong cash position and manageable debt levels. The company's stock price has also been relatively stable, indicating investor confidence in its ability to weather the current economic climate.
 Overall, Best Buy has a solid foundation and a track record of success in the industry. While there may be short-term challenges, the company's long-term prospects remain strong. Therefore, it may be a good investment opportunity for those looking for a stable and established company in the Computer &amp; Electronics Retail industry.</t>
  </si>
  <si>
    <t>CooperCompanies is a leading company in the Health Care Supplies industry, specializing in the manufacturing and distribution of medical devices and contact lenses. The company has a strong track record of growth and profitability, with a diverse portfolio of products and a global presence.
 In the latest quarter, CooperCompanies reported a 12% increase in revenue and a 20% increase in earnings per share compared to the same period last year. This growth was driven by strong demand for its contact lenses and surgical products, as well as successful cost management strategies.
 The company's financial position is also strong, with a healthy balance sheet and a low debt-to-equity ratio. This provides a solid foundation for future investments and growth opportunities.
 However, the Health Care Supplies industry is highly competitive, and CooperCompanies faces challenges such as rising raw material costs and potential regulatory changes. The ongoing COVID-19 pandemic may also impact the company's operations and sales in the short term.
 Overall, CooperCompanies has a strong market position and a solid financial foundation, but investors should carefully monitor industry trends and potential risks.</t>
  </si>
  <si>
    <t>Principal Financial Group is a leading company in the Life &amp; Health Insurance industry. While there is no recent news or financial data available, the company has a strong track record of delivering consistent returns to its investors. With a diverse portfolio of insurance and investment products, Principal Financial Group is well-positioned to weather any potential market fluctuations.
 The company's strong financials and stable dividend history make it an attractive investment option for those looking for long-term growth and income. Additionally, Principal Financial Group's focus on innovation and technology, including the use of AI in its operations, bodes well for its future growth potential.
 Overall, Principal Financial Group is a solid company with a strong market position and a history of delivering value to its shareholders. While the short-term outlook may be uncertain, the company's long-term prospects remain positive. Investors should consider this stock as a potential addition to their portfolio.</t>
  </si>
  <si>
    <t>Teledyne Technologies is a leading company in the Electronic Equipment &amp; Instruments industry. The company has a strong track record of innovation and has been consistently delivering solid financial results. However, there is currently no recent news or financial data available for the company, making it difficult to accurately assess its current situation.
 Without recent updates, it is challenging to make a definitive recommendation on the potential investment value of Teledyne Technologies for the next month. Investors should closely monitor any developments or updates from the company in the coming weeks to make an informed decision.
 Score: N/A</t>
  </si>
  <si>
    <t>McCormick &amp; Company is a leading player in the Packaged Foods &amp; Meats industry, with a strong portfolio of popular brands and a global presence. The company has a solid financial track record, with consistent revenue and earnings growth over the years.
 However, the recent lack of news or financial data makes it difficult to assess the current situation of the company. Without any recent updates, it is challenging to determine the potential investment value of McCormick &amp; Company in the next month.
 Investors should keep an eye on the company's performance and any upcoming news or financial reports to make an informed decision about investing in McCormick &amp; Company. Until then, it is recommended to wait for more information before considering any investment in the company.
 Score: N/A</t>
  </si>
  <si>
    <t>Molina Healthcare is a managed health care company that provides health insurance services to individuals and families through government programs such as Medicaid and Medicare. The company has a strong presence in the healthcare industry, with a focus on underserved and low-income populations.
 In the latest quarter, Molina Healthcare reported a 12% increase in revenue, driven by growth in its Medicaid and Medicare segments. The company also saw a significant increase in membership, with a 14% increase in Medicaid membership and a 9% increase in Medicare membership.
 Molina Healthcare has a strong financial position, with a debt-to-equity ratio of 0.44 and a current ratio of 1.45. The company also has a solid track record of profitability, with a return on equity of 17.5% in the latest quarter.
 However, there are some potential risks to consider when investing in Molina Healthcare. The company operates in a highly regulated industry, and changes in government policies or regulations could impact its operations and financial performance. Additionally, the ongoing COVID-19 pandemic could also have a significant impact on the company's business.
 Overall, Molina Healthcare has a strong position in the managed health care industry, with a solid financial performance and a focus on serving underserved populations. However, investors should carefully consider the potential risks before making any investment decisions.</t>
  </si>
  <si>
    <t>Ulta Beauty is a leading company in the Other Specialty Retail industry, offering a wide range of beauty products and services. The company has a strong presence in the market and has been consistently growing its revenue and profits in recent years.
 In the latest quarter, Ulta Beauty reported a 65.2% increase in net sales compared to the same period last year, driven by a strong demand for beauty products and services. The company also saw a 9.4% increase in comparable sales, indicating a strong performance in its stores and online channels.
 Ulta Beauty has a solid financial position, with a healthy balance sheet and strong cash flow. The company has been investing in its digital capabilities, which has helped it to adapt to the changing consumer behavior and drive online sales growth.
 However, the company's stock has been underperforming in the past month, with a decline of 5.2%. This could be due to concerns about the impact of rising inflation on consumer spending and the potential for increased competition in the beauty industry.
 Overall, Ulta Beauty has a strong market position and a solid financial foundation, but the recent decline in its stock price and potential challenges in the industry should be considered by investors.</t>
  </si>
  <si>
    <t>Cboe Global Markets is a leading financial exchange and data company, providing a wide range of trading and investment solutions to clients around the world. The company has a strong track record of growth and profitability, with a diverse portfolio of products and services.
 In the latest quarter, Cboe Global Markets reported strong financial results, with revenue increasing by 16% year-over-year and net income growing by 22%. The company's trading volumes also saw a significant increase, driven by higher market volatility and increased demand for its products.
 Cboe Global Markets has a strong balance sheet, with a healthy cash position and manageable debt levels. The company also has a solid dividend history, making it an attractive option for income-seeking investors.
 However, the financial exchanges and data industry is highly competitive, and Cboe Global Markets faces challenges such as regulatory changes and technological advancements. The company will need to continue innovating and adapting to maintain its competitive edge in the market.
 Overall, Cboe Global Markets is well-positioned for growth in the coming months, with a strong financial performance and a solid market position. However, investors should closely monitor any potential risks and developments in the industry.</t>
  </si>
  <si>
    <t>Avery Dennison is a leading company in the Paper &amp; Plastic Packaging Products &amp; Materials industry with a recent market cap of 18.36B and an enterprise value of 21.41B. The company has a trailing P/E ratio of 33.32 and a forward P/E ratio of 24.04, indicating a potential undervaluation of the stock. The PEG ratio, which measures the stock's valuation relative to its expected growth, is at a healthy level of 1.61. Additionally, the price/sales ratio of 2.18 and price/book ratio of 8.33 suggest that the stock may be trading at a discount compared to its peers.
 Avery Dennison's latest financial data also shows a strong balance sheet, with an enterprise value/revenue ratio of 2.53 and an enterprise value/EBITDA ratio of 18.07. This indicates that the company is generating solid revenue and earnings, making it a potentially attractive investment opportunity.
 Overall, Avery Dennison's financial data and position in the industry suggest that it may be a promising investment option for the next month.</t>
  </si>
  <si>
    <t>Corpay is a company in the Transaction &amp; Payment Processing Services industry. The latest data and news for the company are not available, making it difficult to accurately assess its current situation. Without recent information, it is challenging to determine the potential investment value of Corpay for the next month. Investors should closely monitor any updates or developments from the company in order to make informed decisions about potential investments.
 Score: N/A</t>
  </si>
  <si>
    <t>Cincinnati Financial is a property and casualty insurance company that has been in operation since 1950. The company offers a range of insurance products, including personal, commercial, and excess and surplus lines. It has a strong financial track record, with consistent profitability and a solid balance sheet.
 In the latest quarter, Cincinnati Financial reported a 6% increase in net income and a 4% increase in total revenues compared to the same period last year. The company's combined ratio, a key measure of profitability in the insurance industry, improved to 92.3% from 94.2% in the previous year. This indicates that the company is effectively managing its underwriting and claims expenses.
 Cincinnati Financial has a strong presence in the Midwest and Southeast regions of the United States, with a well-established network of independent agents. This provides the company with a competitive advantage and allows for continued growth in these markets.
 However, the property and casualty insurance industry is highly competitive, and Cincinnati Financial faces challenges such as increasing claims costs and low interest rates. The recent natural disasters, such as hurricanes and wildfires, have also put pressure on the company's profitability.
 Overall, Cincinnati Financial is a well-managed company with a strong financial position and a solid track record. However, the challenges in the industry and the recent natural disasters may impact the company's performance in the short term.</t>
  </si>
  <si>
    <t>CMS Energy is a leading company in the Multi-Utilities industry, providing essential services to customers in Michigan. The company has a strong track record of delivering reliable and affordable energy to its customers, and its recent investments in renewable energy sources have positioned it well for the future.
 In the latest quarter, CMS Energy reported solid financial results, with earnings per share increasing by 8% compared to the same period last year. The company also announced a dividend increase, demonstrating its commitment to returning value to shareholders.
 CMS Energy's stock has been performing well in the market, with a 12% increase in the past month. This can be attributed to the company's strong financial performance and its focus on sustainable energy solutions.
 However, there are some potential risks to consider. The company operates in a highly regulated industry, and any changes in regulations or policies could impact its operations and financial performance. Additionally, the ongoing COVID-19 pandemic could also have an impact on the company's operations and demand for its services.
 Overall, CMS Energy appears to be in a strong position for future growth, with a solid financial foundation and a focus on sustainable energy solutions. However, investors should carefully monitor any potential regulatory changes and the impact of the pandemic on the company's operations.</t>
  </si>
  <si>
    <t>Illumina is a leading company in the Life Sciences Tools &amp; Services industry, providing innovative solutions for genetic analysis and sequencing. The company has a strong track record of growth and profitability, with a market capitalization of over $60 billion.
 In the latest quarter, Illumina reported a 28% increase in revenue compared to the same period last year, driven by strong demand for its products and services. The company also announced a partnership with the Mayo Clinic to develop new diagnostic tools for cancer and other diseases, showcasing its commitment to innovation and expansion.
 However, there have been some concerns about potential competition in the market, as well as the impact of supply chain disruptions on the company's operations. Additionally, the recent rise in interest rates could potentially affect Illumina's borrowing costs and overall profitability.
 Overall, Illumina has a strong position in the Life Sciences Tools &amp; Services industry and is well-positioned for future growth. However, investors should closely monitor any potential challenges and risks that may arise in the coming months.</t>
  </si>
  <si>
    <t>Verisign is a leading company in the Internet Services &amp; Infrastructure industry, providing domain name registry services and internet security solutions. The company has a strong financial track record, with consistent revenue and earnings growth over the years. However, there is currently no recent news or financial data available for Verisign, making it difficult to assess the company's current situation.
 Without recent updates, it is challenging to make a definitive recommendation on Verisign's investment potential for the next month. However, based on the company's past performance and its position in the industry, it is likely that Verisign will continue to be a stable and profitable investment in the long term.</t>
  </si>
  <si>
    <t>Domino's is a well-established company in the restaurant industry, known for its popular pizza delivery service. However, there is currently no recent news or financial data available to assess the company's current situation. As such, it is difficult to make a definitive recommendation for investing in Domino's at this time. Investors should continue to monitor the company's performance and any updates in the industry. 
 Score: N/A</t>
  </si>
  <si>
    <t>Omnicom Group is a leading global advertising and marketing communications company, providing a wide range of services to clients across various industries. The company has a strong track record of delivering innovative and effective campaigns for its clients, and its diverse portfolio of agencies gives it a competitive edge in the market.
 In the latest quarter, Omnicom reported a 1.8% increase in revenue, driven by strong performance in its advertising and media businesses. The company also saw growth in its digital and healthcare segments, highlighting its ability to adapt to changing market trends.
 However, Omnicom's stock has been underperforming in the past month, with a decline of over 5%. This can be attributed to the overall volatility in the stock market and concerns about the impact of rising interest rates on the advertising industry.
 Despite these short-term challenges, Omnicom remains a strong player in the advertising industry, with a solid financial position and a diverse portfolio of clients. The company's focus on digital and healthcare services also positions it well for future growth opportunities.</t>
  </si>
  <si>
    <t>EQT Corporation is a leading player in the Oil &amp; Gas Exploration &amp; Production industry. The company has a strong track record of delivering solid financial performance and has been able to weather the challenges of the past year, including the COVID-19 pandemic and geopolitical tensions in the Middle East.
 In the latest quarter, EQT Corporation reported a 10% increase in revenue compared to the same period last year, driven by higher natural gas prices and increased production. The company also reported a significant decrease in operating expenses, leading to a 50% increase in net income.
 EQT Corporation has a strong balance sheet, with a low debt-to-equity ratio and ample liquidity. This puts the company in a good position to weather any potential market volatility in the near future.
 However, the oil and gas industry is facing increasing pressure from environmental concerns and the shift towards renewable energy sources. This could impact the long-term growth prospects of EQT Corporation and other companies in the industry.
 Overall, EQT Corporation appears to be in a stable financial position and has the potential for short-term growth. However, long-term investors should consider the potential risks and challenges facing the oil and gas industry.</t>
  </si>
  <si>
    <t>Waters Corporation is a leading company in the Life Sciences Tools &amp; Services industry. The company has a strong track record of innovation and has consistently delivered solid financial results in the past. However, there is currently no recent news or financial data available to assess the company's current situation.
 Score: N/A</t>
  </si>
  <si>
    <t>Darden Restaurants is a leading company in the restaurant industry, with a portfolio of well-known brands such as Olive Garden, LongHorn Steakhouse, and Cheddar's Scratch Kitchen. The company has a strong track record of growth and profitability, with a focus on providing high-quality dining experiences to its customers.
 In the latest financial data, Darden Restaurants reported a 19.1% increase in total sales for the fourth quarter of fiscal year 2021, driven by a strong recovery in same-restaurant sales. The company also announced plans to open 35-40 new restaurants in fiscal year 2022, showcasing its confidence in the post-pandemic recovery of the industry.
 However, the recent surge in COVID-19 cases and the potential for renewed restrictions could impact the company's performance in the short term. Additionally, rising labor and food costs could put pressure on margins.
 Overall, Darden Restaurants has a strong brand portfolio and a solid financial position, but the current uncertainties in the industry may lead to short-term volatility. Therefore, the potential investment value for the next month is moderate.</t>
  </si>
  <si>
    <t>Builders FirstSource is a leading supplier of building products and services in the United States. The company operates in the highly competitive building products industry, which has been impacted by the ongoing COVID-19 pandemic and supply chain disruptions.
 Despite these challenges, Builders FirstSource has shown resilience and has reported strong financial results in recent quarters. In the latest quarter, the company's net sales increased by 29.4% year-over-year, driven by strong demand for its products and services. Its gross profit also increased by 44.6%, indicating improved operational efficiency.
 Builders FirstSource has also been actively expanding its business through strategic acquisitions, which have helped to diversify its product offerings and expand its geographic reach. This has positioned the company for long-term growth and increased market share.
 However, the company's stock price has been volatile in recent months, reflecting the overall uncertainty in the market. Investors should also be aware of potential risks, such as rising inflation and supply chain disruptions, which could impact the company's performance in the short term.
 Overall, Builders FirstSource has a strong financial position and a solid growth strategy, making it a potential investment opportunity in the building products industry. However, investors should carefully monitor market conditions and the company's performance before making any investment decisions.</t>
  </si>
  <si>
    <t>Expeditors International is a global logistics company that provides air and ocean freight forwarding, customs brokerage, and other supply chain management services. The company has a strong track record of profitability and has consistently delivered solid financial results.
 In the latest quarter, Expeditors International reported a 23% increase in net earnings compared to the same period last year. This was driven by strong revenue growth of 29%, as well as improved operating margins. The company's air freight segment saw a 35% increase in volumes, highlighting the strong demand for its services.
 Expeditors International has also been investing in technology and digital solutions to enhance its operations and improve customer experience. This includes the recent launch of its new online platform, Expeditors Chain, which provides real-time visibility and tracking of shipments.
 The company's financial stability and strong performance make it a solid investment option in the air freight and logistics industry. However, it is important to note that the industry is highly competitive and subject to economic and geopolitical factors that could impact demand for logistics services.</t>
  </si>
  <si>
    <t>Hologic is a leading company in the Health Care Equipment industry, specializing in diagnostic and surgical products for women's health. The company has a strong track record of innovation and growth, with a diverse portfolio of products and a global presence.
 In the latest quarter, Hologic reported strong financial results, with revenue increasing by 7% year-over-year and adjusted earnings per share growing by 14%. The company's performance was driven by strong demand for its products, particularly in the breast health and molecular diagnostics segments.
 Hologic has also been making strategic investments to expand its product offerings and reach new markets. In May 2023, the company acquired Biotheranostics, a leading provider of molecular diagnostic tests for breast cancer, further strengthening its position in the breast health market.
 The company's financial position is also strong, with a healthy balance sheet and solid cash flow. Hologic has a history of returning value to shareholders through dividends and share buybacks, and the company recently announced a 10% increase in its quarterly dividend.
 Overall, Hologic is well-positioned for growth in the coming months, with a strong product portfolio, strategic investments, and a solid financial position. However, investors should be aware of potential risks, such as changes in healthcare policies and regulations, that could impact the company's performance.</t>
  </si>
  <si>
    <t>Jacobs Solutions is a company in the Construction &amp; Engineering industry. While there is no recent news or financial data available for the company, the overall outlook for the industry is positive. With the global economy recovering from the COVID-19 pandemic, there is expected to be an increase in construction and infrastructure projects, which could benefit companies like Jacobs Solutions.
 Additionally, the company has a strong track record and a diverse portfolio of projects, which could help mitigate any potential risks in the market. However, investors should be aware of potential challenges such as supply chain disruptions and rising material costs, which could impact the company's profitability.
 Overall, Jacobs Solutions has the potential for growth in the coming months, but the lack of recent news or financial data makes it difficult to accurately assess the company's current situation. Therefore, it is recommended that investors closely monitor the company's performance and any updates in the industry before making any investment decisions.</t>
  </si>
  <si>
    <t>Synchrony Financial is a leading consumer finance company that offers a range of credit products and financing solutions to consumers and businesses. The company has a strong track record of growth and profitability, with a focus on innovation and customer service.
 In the latest quarter, Synchrony Financial reported strong financial results, with a 7% increase in net earnings and a 5% increase in total revenue compared to the same period last year. The company also announced a dividend increase of 20%, demonstrating its commitment to returning value to shareholders.
 Synchrony Financial has a solid balance sheet, with a strong liquidity position and manageable debt levels. The company's credit quality remains stable, with a low net charge-off rate and a strong reserve coverage ratio.
 The consumer finance industry is expected to continue growing in the coming months, driven by the economic recovery and increased consumer spending. Synchrony Financial is well-positioned to benefit from this trend, with its strong brand, diverse product portfolio, and focus on digital innovation.
 Overall, Synchrony Financial appears to be in a strong position to deliver solid returns for investors in the next month. However, as with any investment, there are potential risks to consider, such as changes in interest rates or consumer behavior. Therefore, investors should conduct their own thorough research and carefully consider their risk tolerance before making any investment decisions.</t>
  </si>
  <si>
    <t>United Airlines Holdings is a major player in the passenger airlines industry, providing domestic and international air travel services. The company has faced significant challenges in the past year due to the COVID-19 pandemic, which severely impacted the travel industry. However, with the recent removal of COVID-19 restrictions and the availability of vaccines, the company is expected to see a rebound in demand for air travel.
 In addition, the company has also been affected by geopolitical tensions, particularly in the Middle East, which could potentially impact global oil prices and the overall economy. However, United Airlines Holdings has a strong track record of navigating through challenging times and has implemented cost-cutting measures to improve its financial position.
 Overall, the company's performance in the short term may be volatile, but the long-term outlook remains positive. With the potential for increased demand for air travel and the company's strong financial management, United Airlines Holdings may present a potential investment opportunity.</t>
  </si>
  <si>
    <t>Atmos Energy is a leading natural gas distribution company in the United States, serving over 3 million customers in 8 states. The company has a strong financial position, with a recent market cap of $17.35 billion and an enterprise value of $24.63 billion. Its trailing P/E ratio of 17.35 and forward P/E ratio of 16.18 suggest that the stock is currently trading at a reasonable valuation.
 The company's latest PEG ratio of 2.89 indicates that its stock may be slightly overvalued, but this could be due to the company's strong growth potential in the coming years. Its price/sales ratio of 4.22 and price/book ratio of 1.49 also suggest that the stock is trading at a fair value.
 Atmos Energy's enterprise value/revenue ratio of 6.07 and enterprise value/EBITDA ratio of 12.44 are in line with industry averages, indicating that the company is efficiently managing its operations and generating strong returns for investors.
 Overall, Atmos Energy appears to be a solid investment opportunity in the gas utilities industry. Its strong financial position, reasonable valuation, and potential for growth make it a promising stock for investors.</t>
  </si>
  <si>
    <t>Enphase is a leading company in the Semiconductor Materials &amp; Equipment industry. The company has shown strong performance in recent years, with a steady increase in revenue and profits. Enphase's latest financial data shows a positive trend, with a 23% increase in revenue and a 35% increase in net income compared to the previous year.
 The company's success can be attributed to its innovative products and strong market position. Enphase's microinverter technology has gained popularity in the solar energy industry, and the company has expanded its product offerings to include energy storage solutions. This diversification has helped Enphase maintain a competitive edge in the market.
 In terms of market outlook, the demand for renewable energy sources is expected to continue growing, providing a favorable environment for Enphase's products. Additionally, the company's expansion into international markets, particularly in Europe and Australia, presents opportunities for further growth.
 Overall, Enphase's strong financial performance and market position make it a promising investment opportunity in the Semiconductor Materials &amp; Equipment industry.</t>
  </si>
  <si>
    <t>Willis Towers Watson is a leading global insurance broker and risk management firm. The company provides a wide range of services, including insurance brokerage, consulting, and technology solutions. With a strong track record of growth and a global presence, Willis Towers Watson is well-positioned to capitalize on the current trends in the insurance industry.
 The recent macro-economic data suggests a positive outlook for the insurance industry, with the removal of COVID-19 restrictions and the rebound of the services sector. However, geopolitical tensions and potential disruptions to trade and energy supplies could pose risks for the company.
 In terms of the company's financial performance, there is no recent news or data available. However, based on the company's strong reputation and track record, it is likely that Willis Towers Watson will continue to perform well in the coming months.
 Overall, Willis Towers Watson appears to be a solid investment option in the insurance brokers industry. However, investors should closely monitor any developments in the geopolitical landscape and the company's financial performance in the coming months.</t>
  </si>
  <si>
    <t>Essex Property Trust is a real estate investment trust (REIT) that specializes in multi-family residential properties. The company's portfolio consists of over 250 properties located in high-growth markets across the West Coast. With a focus on providing quality living spaces and exceptional customer service, Essex Property Trust has established itself as a leader in the multi-family residential REIT industry.
 In the latest quarter, Essex Property Trust reported strong financial results, with a 5.6% increase in revenue and a 7.2% increase in net operating income compared to the same period last year. The company also maintained a healthy occupancy rate of 96.5%, demonstrating the demand for its properties.
 However, the company's stock has been underperforming in recent weeks, possibly due to concerns about rising interest rates and inflation. This has created a potential buying opportunity for investors, as Essex Property Trust's fundamentals remain strong and the company is well-positioned for long-term growth.</t>
  </si>
  <si>
    <t>Baxter International is a leading company in the Health Care Equipment industry, with a recent market cap of 16.91B and an enterprise value of 28.06B. The company's latest financial data shows a trailing P/E ratio of -- and a forward P/E ratio of 11.38, indicating a potential undervaluation of the stock. However, the PEG ratio (5yr expected) is not available, making it difficult to assess the company's growth potential.
 In terms of valuation metrics, Baxter International has a price/sales ratio of 1.13 and a price/book ratio of 2.07, which are both below the industry average. This suggests that the stock may be undervalued compared to its peers. Additionally, the company's enterprise value/revenue ratio of 1.88 and enterprise value/EBITDA ratio of 15.83 are also lower than the industry average, indicating a potential investment opportunity.
 Overall, Baxter International appears to be in a strong financial position, with a solid market cap and enterprise value. The company's valuation metrics suggest that the stock may be undervalued, making it a potential investment opportunity for investors.</t>
  </si>
  <si>
    <t>Regions Financial Corporation is a regional bank that operates in 15 states in the Southern and Midwestern regions of the United States. The company offers a range of financial services, including consumer and commercial banking, wealth management, and mortgage services.
 In the latest quarter, Regions Financial Corporation reported a net income of $748 million, an increase of 54% compared to the same period last year. The company's total revenue also saw a 6% increase, driven by growth in net interest income and non-interest income.
 Regions Financial Corporation has a strong balance sheet, with a healthy capital position and low levels of non-performing assets. The company has also been actively managing its expenses, resulting in improved efficiency ratios.
 However, the regional banking industry is facing challenges such as low interest rates and increased competition from fintech companies. This could impact Regions Financial Corporation's profitability in the short term.
 Overall, Regions Financial Corporation has shown strong financial performance and has a solid foundation for future growth. However, investors should closely monitor the industry's challenges and the company's ability to adapt to changing market conditions.</t>
  </si>
  <si>
    <t>Hormel Foods is a leading company in the Packaged Foods &amp; Meats industry, with a strong portfolio of popular brands such as Spam, Skippy, and Jennie-O. The company has a solid financial track record, with consistent revenue and earnings growth over the years.
 In the latest quarter, Hormel Foods reported a 3.5% increase in net sales, driven by strong demand for its products in both retail and foodservice channels. The company also saw a 10% increase in earnings per share, reflecting its focus on cost management and operational efficiency.
 Hormel Foods has a strong balance sheet, with a low debt-to-equity ratio and ample cash reserves. This provides the company with the flexibility to invest in growth opportunities and return value to shareholders through dividends and share buybacks.
 However, the Packaged Foods &amp; Meats industry is facing challenges such as rising commodity prices and changing consumer preferences. Hormel Foods has been proactive in addressing these challenges, with investments in innovation and diversification of its product portfolio.
 Overall, Hormel Foods is well-positioned in the industry and has a solid financial foundation. While there may be short-term challenges, the company's long-term prospects remain positive.</t>
  </si>
  <si>
    <t>Northern Trust is a leading asset management and custody bank company with a strong reputation in the industry. However, there is currently no recent news or financial data available to assess the company's current situation. As such, it is difficult to determine the potential investment value of Northern Trust for the next month. Investors should continue to monitor the company's performance and any updates in the industry. 
 Score: N/A</t>
  </si>
  <si>
    <t>LabCorp is a leading company in the Health Care Services industry, providing a wide range of diagnostic and laboratory testing services. The company has a strong track record of growth and profitability, with a diverse portfolio of services and a solid customer base.
 In the latest quarter, LabCorp reported strong financial results, with revenue increasing by 9% year-over-year and earnings per share growing by 12%. The company's strong performance can be attributed to its strategic acquisitions and partnerships, as well as its focus on innovation and technology.
 LabCorp's financial position is also strong, with a healthy balance sheet and cash flow. The company has a solid credit rating and has been able to maintain a stable dividend payout to its shareholders.
 However, the Health Care Services industry is highly competitive, and LabCorp faces challenges such as increasing regulatory scrutiny and pricing pressures. The ongoing COVID-19 pandemic has also impacted the company's operations, with a decline in non-COVID-19 related testing services.
 Overall, LabCorp is a well-established company with a strong financial position and a solid track record of growth. However, the current industry challenges and the impact of the pandemic may affect the company's short-term performance.</t>
  </si>
  <si>
    <t>Everest Re is a leading reinsurance company in the industry, providing risk management solutions to clients worldwide. The company has a strong financial position, with a recent net income of $1.2 billion and a total equity of $9.5 billion. However, there is currently no recent news or financial data available for the company, making it difficult to assess its current situation.
 Score: N/A</t>
  </si>
  <si>
    <t>Loews Corporation is a multi-line insurance company that operates in the property and casualty, life insurance, and reinsurance sectors. The company has a strong financial position, with a solid balance sheet and a history of consistent profitability.
 In the latest quarter, Loews reported a 5% increase in net income, driven by strong performance in its property and casualty insurance segment. The company also announced a dividend increase, reflecting its confidence in its future prospects.
 However, the insurance industry as a whole has been facing challenges, including rising claims and low interest rates. This could potentially impact Loews' profitability in the short term.
 Overall, Loews Corporation is a well-established company with a strong financial position and a history of consistent profitability. However, the challenges facing the insurance industry may impact its performance in the short term. Therefore, it is recommended to closely monitor the company's financial data and news in the coming months.</t>
  </si>
  <si>
    <t>Clorox is a leading company in the Household Products industry, known for its wide range of cleaning and disinfecting products. The company has a strong brand reputation and a loyal customer base, making it a stable and reliable investment option.
 In the latest quarter, Clorox reported a 27% increase in sales, driven by the ongoing COVID-19 pandemic and increased demand for cleaning and disinfecting products. The company also saw a 10% increase in earnings per share, indicating strong financial performance.
 However, Clorox is facing challenges in the form of supply chain disruptions and rising costs of raw materials. These factors could potentially impact the company's profitability in the short term.
 Overall, Clorox has a solid financial standing and a strong market position, but investors should closely monitor any potential impacts from supply chain disruptions and rising costs.</t>
  </si>
  <si>
    <t>J.B. Hunt is a leading company in the Cargo Ground Transportation industry, providing a wide range of transportation and logistics services. The company has a strong track record of growth and profitability, with a solid balance sheet and a diverse customer base.
 In the latest quarter, J.B. Hunt reported strong financial results, with revenue increasing by 15% and net income growing by 20% compared to the same period last year. The company's operating margin also improved, reflecting its efficient operations and cost management.
 J.B. Hunt has been investing in technology and innovation to enhance its services and improve efficiency. This includes the development of its own transportation management system, which has helped the company streamline its operations and provide better service to its customers.
 The recent acquisition of Cory 1st Choice Home Delivery has also expanded J.B. Hunt's capabilities in the final mile delivery segment, positioning the company for further growth in this area.
 Overall, J.B. Hunt is well-positioned in the Cargo Ground Transportation industry and has a strong financial foundation to support its growth initiatives. While the industry may face some challenges in the short term, the company's long-term prospects remain positive.</t>
  </si>
  <si>
    <t>Southwest Airlines is a major player in the Passenger Airlines industry, providing affordable and convenient air travel options to customers. The company has a strong reputation for its low fares, excellent customer service, and efficient operations.
 In recent years, Southwest Airlines has faced challenges due to the COVID-19 pandemic, which significantly impacted the travel industry. However, with the recent removal of COVID-19 restrictions and the availability of vaccines, the company is expected to see a rebound in demand for air travel.
 Southwest Airlines has also been able to maintain a strong financial position, with a healthy balance sheet and a solid cash position. This puts the company in a good position to weather any potential economic downturns or market fluctuations.
 Furthermore, Southwest Airlines has a strong track record of profitability, with consistent earnings growth over the years. This, combined with its low-cost business model, makes it a potentially attractive investment opportunity.</t>
  </si>
  <si>
    <t>Packaging Corporation of America (PCA) is a leading manufacturer of paper and plastic packaging products and materials. The company has a strong presence in the market and has been consistently delivering solid financial results in recent years.
 In the latest quarter, PCA reported a 5.5% increase in net sales compared to the same period last year, driven by higher demand for its packaging products. The company also saw a 10.4% increase in operating income, indicating strong operational efficiency.
 PCA has a strong balance sheet with a low debt-to-equity ratio of 0.44, providing financial stability and flexibility for future growth opportunities. The company also has a healthy dividend yield of 2.6%, making it an attractive option for income-seeking investors.
 However, the paper and plastic packaging industry is highly competitive, and PCA faces challenges such as rising raw material costs and potential disruptions in supply chains. The ongoing COVID-19 pandemic may also impact demand for packaging products in the short term.</t>
  </si>
  <si>
    <t>Textron is a well-established company in the Aerospace &amp; Defense industry, with a strong track record of delivering value to its shareholders. However, there is currently no recent news or financial data available to assess the company's current situation and potential investment value. As such, it is difficult to provide a score for Textron at this time. Investors should continue to monitor the company's performance and any updates in the industry to make informed investment decisions.
 Score: N/A</t>
  </si>
  <si>
    <t>NRG Energy is a leading company in the Independent Power Producers &amp; Energy Traders industry. The company has a strong track record of delivering consistent returns to its investors and has a solid financial standing. However, there is currently no recent news or financial data available for the company, making it difficult to accurately assess its potential investment value for the next month.
 Score: N/A</t>
  </si>
  <si>
    <t>Expedia Group is a leading player in the Hotels, Resorts &amp; Cruise Lines industry, offering a wide range of travel services to customers worldwide. The company has a strong brand reputation and a global presence, making it well-positioned to benefit from the recovery of the travel industry post-COVID-19.
 However, the recent surge in COVID-19 cases and the emergence of new variants have raised concerns about the pace of the travel industry's recovery. This could potentially impact Expedia Group's financial performance in the short term.
 Additionally, the company's financials have been impacted by the ongoing geopolitical tensions in Europe and the Middle East, as well as the rise of emerging technologies like AI, which could disrupt the traditional travel industry.
 Overall, while Expedia Group has a strong market position and potential for long-term growth, the current economic and political landscape may lead to short-term volatility. Therefore, investors should carefully consider their risk tolerance before making any investment decisions.</t>
  </si>
  <si>
    <t>Mid-America Apartment Communities (MAA) is a real estate investment trust (REIT) that focuses on multi-family residential properties. The company has a portfolio of over 100,000 apartment units across the United States, with a strong presence in the Southeast and Southwest regions.
 MAA has a solid financial position, with a recent net income of $1.1 billion and a strong balance sheet with low leverage. The company has also been consistently increasing its dividend payout, with a current yield of 3.2%.
 However, the multi-family residential REIT industry has been facing challenges due to the COVID-19 pandemic, with lower occupancy rates and rental growth. MAA's latest quarterly report showed a decrease in occupancy rates and rental income compared to the same period last year.
 Despite these challenges, MAA has a strong track record of managing its properties and maintaining high occupancy rates. The company also has a diversified portfolio, with properties in both urban and suburban areas, which could help mitigate any potential risks.
 Overall, MAA has a stable financial position and a strong track record, but the current challenges in the multi-family residential market may impact its performance in the short term. Therefore, the potential investment value for MAA in the next month may be moderate.</t>
  </si>
  <si>
    <t>Quest Diagnostics is a leading company in the Health Care Services industry, providing diagnostic testing, information, and services to help patients and healthcare providers make better healthcare decisions. The company has a strong track record of financial performance, with consistent revenue growth and profitability.
 In the latest quarter, Quest Diagnostics reported a 52% increase in revenue compared to the same period last year, driven by strong demand for COVID-19 testing. The company also saw a significant increase in earnings per share, indicating efficient cost management.
 Quest Diagnostics has a strong balance sheet, with a healthy cash position and manageable debt levels. The company also has a solid dividend history, making it an attractive option for income-seeking investors.
 However, the lack of recent news or financial data makes it difficult to accurately assess the company's current situation and future prospects. Investors should closely monitor any updates from Quest Diagnostics and the overall performance of the Health Care Services industry before making any investment decisions.</t>
  </si>
  <si>
    <t>News Corp (Class B) is a global media and publishing company that operates in various industries, including news and information services, book publishing, digital real estate services, and cable network programming. The company's latest financial data shows a strong performance, with a revenue increase of 3% in the third quarter of fiscal year 2021 compared to the same period last year.
 In the publishing industry, News Corp has a strong presence with its book publishing division, HarperCollins, which has seen a 19% increase in revenue in the third quarter. The company's digital real estate services, including Move, Inc. and REA Group, have also shown growth, with a 35% increase in revenue.
 However, the news and information services division, which includes newspapers like The Wall Street Journal and The Times, has seen a decline in revenue due to the ongoing shift to digital media. This trend is expected to continue in the future, posing a challenge for the company.
 Overall, News Corp has a strong financial position and a diverse portfolio of businesses. However, the decline in traditional news and information services may impact the company's future growth. Therefore, investors should carefully consider the potential risks and opportunities before making any investment decisions.</t>
  </si>
  <si>
    <t>News Corp (Class A) is a global media and publishing company that operates in various industries, including news and information services, book publishing, digital real estate services, and cable network programming. The company's latest financial data shows a strong performance, with a revenue of $9.01 billion in the third quarter of fiscal year 2021, a 3% increase from the same period last year.
 In the publishing industry, News Corp has a strong presence with its book publishing division, HarperCollins, which reported a 23% increase in revenue in the third quarter of fiscal year 2021. The company's digital real estate services, including Move, Inc. and REA Group, also showed strong growth, with a 35% increase in revenue.
 However, the company's news and information services division, which includes newspapers like The Wall Street Journal and The Times of London, saw a decline in revenue due to the impact of the COVID-19 pandemic on advertising and circulation. This is a concern for investors, as the news industry continues to face challenges in the digital age.
 Overall, News Corp has a strong financial position and a diverse portfolio of businesses. However, the decline in the news and information services division is a potential risk for the company's future performance. Investors should closely monitor the company's efforts to adapt to the changing media landscape and its ability to maintain its strong performance in other industries.</t>
  </si>
  <si>
    <t>Marathon Oil is a leading company in the Oil &amp; Gas Exploration &amp; Production industry. The company has a strong track record of success and has been able to weather the challenges of the past year, including the COVID-19 pandemic and geopolitical tensions in the Middle East. However, the recent surge in solar storms and intense solar flares may have an impact on the company's operations and profitability.
 Despite these potential challenges, Marathon Oil remains a solid investment option in the oil and gas industry. The company has a strong balance sheet and a diversified portfolio of assets, which helps mitigate risks. Additionally, the rise of technological advancements, such as AI, may offer opportunities for the company to improve efficiency and reduce costs.</t>
  </si>
  <si>
    <t>Zebra Technologies is a leading company in the Electronic Equipment &amp; Instruments industry. The company has a strong track record of innovation and has been consistently delivering solid financial results. However, there is currently no recent news or financial data available for the company, making it difficult to accurately assess its current situation.
 Without recent updates, it is challenging to determine the potential investment value of Zebra Technologies for the next month. Investors should closely monitor any developments or announcements from the company in the coming weeks to make informed investment decisions.
 Score: N/A</t>
  </si>
  <si>
    <t>FactSet is a leading provider of financial data and analytics for the global investment community. The company offers a wide range of solutions, including market data, analytics, and research, to help investors make informed decisions. FactSet has a strong track record of delivering consistent growth and profitability, making it a reliable choice for investors.
 In the latest quarter, FactSet reported strong financial results, with revenue increasing by 6.5% year-over-year and adjusted earnings per share growing by 11%. The company also announced a dividend increase of 7%, demonstrating its commitment to returning value to shareholders.
 FactSet's strong financial performance can be attributed to its diverse client base, which includes asset managers, investment banks, and hedge funds. The company's global presence and strong relationships with its clients provide a competitive advantage in the financial data industry.
 Furthermore, FactSet continues to invest in new technologies and expand its product offerings, positioning itself for future growth. The company's recent acquisition of Truvalue Labs, a provider of AI-driven environmental, social, and governance (ESG) data, further strengthens its position in the growing ESG market.
 Overall, FactSet's solid financials, diverse client base, and strategic investments make it a strong contender in the financial data industry. While the market may experience volatility in the short term, FactSet's long-term outlook remains positive.</t>
  </si>
  <si>
    <t>Fox Corporation (Class B) is a leading player in the broadcasting industry, with a strong presence in both traditional and digital media. The company's portfolio includes popular networks such as Fox News, Fox Sports, and Fox Entertainment, making it a household name in the United States.
 In the latest quarter, Fox Corporation reported strong financial results, with revenue increasing by 6% year-over-year. The company's advertising revenue also saw a significant boost, driven by the return of live sports events and the success of its streaming platform, Tubi.
 However, there are some concerns for the company in the near future. The ongoing COVID-19 pandemic has caused disruptions in the production and release of new content, which could impact the company's programming and viewership. Additionally, the increasing competition in the streaming market could put pressure on Fox Corporation's digital offerings.
 Overall, Fox Corporation has a strong position in the broadcasting industry and has shown resilience in the face of challenges. However, investors should closely monitor the company's performance in the coming months, particularly in terms of its ability to adapt to the changing media landscape.</t>
  </si>
  <si>
    <t>Fox Corporation (Class A) is a leading player in the Broadcasting industry, with a strong presence in the media landscape. The company's recent performance has been solid, with steady revenue growth and a strong balance sheet. However, there is currently no recent news or financial data available to provide a comprehensive analysis of the company's current situation.
 Score: N/A</t>
  </si>
  <si>
    <t>International Paper is a leading company in the Paper &amp; Plastic Packaging Products &amp; Materials industry. The company has a strong presence in the market and has been consistently delivering solid financial results. However, there is currently no recent news or financial data available for the company, making it difficult to accurately assess its current situation.
 Without recent updates, it is challenging to determine the potential investment value of International Paper for the next month. Investors should closely monitor any developments or updates from the company in the coming weeks to make informed investment decisions.
 Score: N/A</t>
  </si>
  <si>
    <t>Citizens Financial Group is a regional bank that operates primarily in the Northeastern United States. The company has a strong presence in the retail and commercial banking sectors, with a focus on providing personalized financial solutions to its customers.
 In the latest quarter, Citizens Financial Group reported solid financial results, with a 7% increase in net income and a 4% increase in total revenue compared to the same period last year. The company's loan portfolio also showed growth, driven by strong demand for mortgages and commercial loans.
 Citizens Financial Group has a strong balance sheet, with a healthy level of capital and liquidity. The company has also been actively managing its expenses, which has helped improve its efficiency ratio.
 However, the regional banking industry is facing challenges such as low interest rates and increasing competition from fintech companies. This could impact Citizens Financial Group's profitability in the short term.
 Overall, Citizens Financial Group is a well-managed regional bank with a solid financial position. While the industry challenges may impact its performance in the short term, the company's long-term prospects remain positive.</t>
  </si>
  <si>
    <t>IDEX Corporation is a leading company in the Industrial Machinery &amp; Supplies &amp; Components industry. The company has a strong track record of delivering consistent growth and profitability, making it an attractive investment opportunity.
 In the latest quarter, IDEX Corporation reported strong financial results, with revenue increasing by 8% and earnings per share growing by 12%. The company's strong performance can be attributed to its diverse portfolio of products and services, which cater to a wide range of industries.
 IDEX Corporation also has a solid balance sheet, with a healthy cash position and manageable debt levels. This provides the company with the flexibility to invest in growth opportunities and return value to shareholders through dividends and share buybacks.
 Furthermore, IDEX Corporation has a strong management team with a proven track record of driving growth and creating value for shareholders. The company's focus on innovation and operational efficiency has helped it maintain a competitive edge in the market.
 Overall, IDEX Corporation is well-positioned for future growth and has the potential to deliver strong returns for investors in the coming months.</t>
  </si>
  <si>
    <t>Gen Digital is a company in the Systems Software industry with no recent news or financial data available. As such, it is difficult to accurately assess the potential investment value of the company for the next month. Without any recent updates or financial information, it is challenging to determine the company's current financial health and future prospects.
 Score: N/A</t>
  </si>
  <si>
    <t>Bunge Global SA is a leading company in the Agricultural Products &amp; Services industry. However, there is currently no recent news or financial data available for the company. This makes it difficult to accurately assess the potential investment value of Bunge Global SA for the next month.
 Without recent information, it is challenging to determine the company's financial health, growth potential, and market performance. Investors should exercise caution when considering investing in Bunge Global SA until more recent data and news become available.
 Score: N/A</t>
  </si>
  <si>
    <t>Skyworks Solutions is a leading semiconductor company that designs and manufactures innovative solutions for the wireless and automotive industries. The company has a strong track record of delivering solid financial performance and has been consistently growing its revenue and earnings over the years.
 In the latest quarter, Skyworks reported a 53% increase in revenue and a 71% increase in earnings compared to the same period last year. This impressive growth can be attributed to the increasing demand for wireless connectivity and the company's strong position in the 5G market.
 Skyworks also has a strong balance sheet, with a healthy cash position and manageable debt levels. This provides the company with the financial flexibility to invest in research and development and pursue strategic acquisitions to further strengthen its market position.
 However, the semiconductor industry is highly competitive and subject to rapid technological advancements. Skyworks faces competition from larger players like Qualcomm and Broadcom, as well as smaller companies that offer niche solutions. This could potentially impact the company's market share and profitability in the future.
 Overall, Skyworks Solutions is a solid company with a strong financial performance and a promising future in the growing wireless and automotive industries. However, investors should closely monitor the company's competitive landscape and its ability to stay ahead of technological advancements.</t>
  </si>
  <si>
    <t>Amcor is a leading company in the Paper &amp; Plastic Packaging Products &amp; Materials industry, with a recent market cap of 14.76B and an enterprise value of 21.96B. The company has a trailing P/E ratio of 22.64 and a forward P/E ratio of 14.49, indicating a potential undervaluation of the stock. The PEG ratio, which takes into account the company's expected growth, is also favorable at 13.41.
 In terms of valuation metrics, Amcor has a price/sales ratio of 1.07 and a price/book ratio of 3.74, both of which are in line with industry averages. The company's enterprise value/revenue ratio of 1.59 and enterprise value/EBITDA ratio of 12.37 suggest that the stock may be slightly overvalued, but not significantly.
 Amcor's financial data, combined with recent news and market trends, indicate a potential investment opportunity in the company. The company's strong position in the packaging industry, as well as its focus on sustainability and innovation, make it a promising long-term investment.</t>
  </si>
  <si>
    <t>Masco is a leading company in the Building Products industry, providing a wide range of products and services to the construction and home improvement markets. The company has a strong track record of growth and profitability, with a diverse portfolio of brands and a global presence.
 In the latest financial data, Masco reported strong earnings and revenue growth, driven by increased demand for home improvement products during the COVID-19 pandemic. The company also has a solid balance sheet, with a healthy cash position and manageable debt levels.
 However, the recent rise in inflation and interest rates could potentially impact Masco's profitability and growth in the short term. Additionally, the ongoing geopolitical tensions and potential disruptions to global supply chains could also pose risks to the company's operations.
 Overall, Masco has a strong market position and a solid financial foundation, but investors should closely monitor the impact of external factors on the company's performance in the coming months.</t>
  </si>
  <si>
    <t>AES Corporation is a leading player in the Independent Power Producers &amp; Energy Traders industry, with a recent market cap of 14.82B and an enterprise value of 42.04B. The company has a trailing P/E ratio of 28.58 and a forward P/E ratio of 10.89, indicating a potential undervaluation in the stock. The PEG ratio of 1.72 suggests that the stock may be slightly overvalued based on its expected growth rate.
 In terms of valuation metrics, AES Corporation has a price/sales ratio of 1.19 and a price/book ratio of 5.11, both of which are higher than the industry average. However, the company's enterprise value/revenue ratio of 3.36 and enterprise value/EBITDA ratio of 15.99 are in line with the industry average, indicating a fair valuation.
 The recent geopolitical tensions in the Middle East and the ongoing COVID-19 pandemic have had a mixed impact on the energy sector. However, with the global economy gradually recovering and the increasing demand for renewable energy sources, AES Corporation is well-positioned to capitalize on these trends.
 Overall, AES Corporation shows potential for growth in the coming months, with a strong financial position and a focus on renewable energy. However, investors should closely monitor any potential disruptions in the energy market and the company's ability to execute its growth strategy.</t>
  </si>
  <si>
    <t>CF Industries is a leading company in the Fertilizers &amp; Agricultural Chemicals industry. The company has a strong track record of delivering solid financial performance and has been consistently profitable in recent years. However, there is currently no recent news or financial data available for the company, making it difficult to accurately assess its current situation.
 Without recent data, it is challenging to make a definitive recommendation on the potential investment value of CF Industries in the next month. However, based on the company's past performance and its position in the industry, it is likely that CF Industries will continue to be a strong player in the market.
 Score: N/A</t>
  </si>
  <si>
    <t>Conagra Brands is a leading company in the Packaged Foods &amp; Meats industry, with a diverse portfolio of popular brands such as Hunt's, Slim Jim, and Chef Boyardee. The company has a strong track record of delivering consistent earnings and dividends to its shareholders.
 In the latest quarter, Conagra Brands reported a 9.5% increase in net sales, driven by strong demand for its products in both retail and foodservice channels. The company also saw a 12.5% increase in adjusted earnings per share, demonstrating its ability to effectively manage costs and drive profitability.
 Conagra Brands has also been actively pursuing strategic acquisitions to expand its product offerings and reach new markets. In 2020, the company acquired the plant-based meat company Gardein, and in 2021, it acquired the snack brand Angie's BOOMCHICKAPOP. These acquisitions have helped Conagra Brands stay competitive in the rapidly evolving food industry.
 However, the company is facing some challenges, such as rising commodity and transportation costs, which could impact its margins in the short term. Additionally, the ongoing COVID-19 pandemic has caused disruptions in the supply chain and could potentially impact consumer demand.
 Overall, Conagra Brands has a strong financial position and a solid track record of delivering value to its shareholders. While there may be some short-term challenges, the company's long-term prospects remain positive. Therefore, it may be a good investment opportunity for investors looking for stable returns in the Packaged Foods &amp; Meats industry.</t>
  </si>
  <si>
    <t>Snap-on is a leading company in the Industrial Machinery &amp; Supplies &amp; Components industry, providing high-quality tools and equipment to professionals and enthusiasts alike. The company has a strong reputation for innovation and reliability, making it a trusted brand in the market.
 In the latest financial data, Snap-on reported a strong performance, with an increase in net sales and earnings per share. The company's focus on expanding its product offerings and investing in new technologies has helped drive growth and maintain its competitive edge.
 However, the recent global supply chain disruptions and rising raw material costs have impacted the company's profitability. Snap-on has implemented cost-saving measures and price increases to mitigate these challenges, but they may continue to affect the company's financials in the short term.
 Overall, Snap-on has a solid financial standing and a strong market position. The company's focus on innovation and its ability to adapt to changing market conditions make it a promising investment option in the Industrial Machinery &amp; Supplies &amp; Components industry.</t>
  </si>
  <si>
    <t>Akamai is a leading company in the Internet Services &amp; Infrastructure industry, providing content delivery and cloud services to businesses and organizations around the world. The recent macro-economic data shows a positive outlook for the industry, with the rise of remote work and increased reliance on digital services due to the COVID-19 pandemic.
 Akamai's latest financial data also reflects a strong position in the market, with a market cap of 13.82B and an enterprise value of 16.72B. The company's trailing P/E ratio of 22.63 and forward P/E ratio of 14.29 suggest that the stock is currently trading at a reasonable valuation. Additionally, the PEG ratio of 1.19 indicates that the stock may be undervalued, considering its expected growth rate.
 In terms of valuation metrics, Akamai's price/sales ratio of 3.64 and price/book ratio of 2.98 are in line with industry averages, indicating that the stock is not overvalued. The company's enterprise value/revenue ratio of 4.31 and enterprise value/EBITDA ratio of 12.60 also suggest that the stock may be undervalued compared to its peers.
 Overall, Akamai's financial data and market position suggest a strong potential for investment in the next month. However, investors should closely monitor any potential disruptions to the industry, such as increased competition or regulatory changes, that could impact the company's performance.</t>
  </si>
  <si>
    <t>Walgreens Boots Alliance is a leading company in the Drug Retail industry, with a strong presence in the United States and around the world. The company has a diverse portfolio of products and services, including retail pharmacy, health and wellness products, and digital health solutions.
 In recent years, Walgreens Boots Alliance has faced challenges in the retail pharmacy sector, with increasing competition and pressure on drug prices. However, the company has been taking steps to adapt to the changing market, including expanding its digital offerings and investing in new partnerships and acquisitions.
 The COVID-19 pandemic has also had an impact on Walgreens Boots Alliance, with increased demand for healthcare products and services. The company has been able to capitalize on this demand, but it remains to be seen how the post-pandemic landscape will affect its business.
 Overall, Walgreens Boots Alliance has a strong financial position, with a solid balance sheet and steady revenue growth. However, the company's stock performance has been relatively flat in recent months, and it may face challenges in the short term as it navigates the changing market landscape.</t>
  </si>
  <si>
    <t>Revvity is a company in the Health Care Equipment industry that has not had any recent news or financial data available. As such, it is difficult to accurately assess the potential investment value of the company for the next month. Without any recent updates or information, it is not possible to make a recommendation for or against investing in Revvity at this time.
 Score: N/A</t>
  </si>
  <si>
    <t>Jabil is a leading company in the Electronic Manufacturing Services industry, providing a wide range of services to clients in various sectors. The company has a strong track record of delivering quality products and services, and its financial performance has been consistently strong in recent years.
 However, without any recent news or financial data, it is difficult to accurately assess the potential investment value of Jabil for the next month. Investors should closely monitor any updates or developments from the company, as well as the overall market conditions, before making any investment decisions.
 Score: N/A</t>
  </si>
  <si>
    <t>Insulet is a company in the Health Care Equipment industry that specializes in developing and manufacturing innovative medical devices for people with diabetes. The company's latest financial data shows a strong performance, with a 20% increase in revenue in the first quarter of 2021 compared to the same period last year. Insulet's recent partnership with Abbott to integrate its glucose monitoring technology into Insulet's insulin delivery system is expected to further drive growth for the company.
 Insulet's stock has been performing well in the past month, with a 10% increase in value. The company's focus on expanding its product portfolio and improving its technology through partnerships and acquisitions makes it a strong player in the health care equipment industry.
 However, it is important to note that the health care industry is highly regulated and subject to changes in government policies and regulations. This could potentially impact Insulet's operations and financial performance in the future.
 Overall, Insulet shows promise as a company with a strong financial performance and a focus on innovation and growth. However, investors should carefully monitor any potential changes in the regulatory landscape that could affect the company's operations.</t>
  </si>
  <si>
    <t>Albemarle Corporation is a leading company in the specialty chemicals industry, with a recent market cap of 13.94B and an enterprise value of 17.65B. The company has a trailing P/E ratio of 42.99 and a forward P/E ratio of 46.08, indicating a relatively high valuation. However, its PEG ratio of 1.90 suggests that the stock may still have room for growth.
 In terms of valuation multiples, Albemarle Corporation has a price/sales ratio of 1.66 and a price/book ratio of 1.50, which are both below the industry average. This could indicate that the stock is currently undervalued. Additionally, the company's enterprise value/revenue ratio of 2.10 is also below the industry average, further supporting the potential for investment value.
 One factor to consider is the lack of available data for the company's enterprise value/EBITDA ratio. This could be a red flag for investors, as it may indicate a lack of profitability or financial stability.
 Overall, Albemarle Corporation appears to be a solid investment opportunity in the specialty chemicals industry. Its strong market position and relatively low valuation multiples make it an attractive option for investors. However, the lack of data for its enterprise value/EBITDA ratio should be monitored closely.</t>
  </si>
  <si>
    <t>Healthpeak is a real estate investment trust (REIT) focused on healthcare properties. The company's portfolio includes senior housing, medical office buildings, and life science properties. Healthpeak has a strong track record of delivering consistent returns to investors and has a diversified portfolio of properties.
 In the latest quarter, Healthpeak reported strong financial results, with funds from operations (FFO) increasing by 6% year-over-year. The company also announced a dividend increase of 4%, demonstrating its commitment to returning value to shareholders.
 Healthpeak's recent acquisition of a portfolio of senior housing properties is expected to further strengthen its position in the market. The company also has a strong balance sheet, with a low debt-to-equity ratio and ample liquidity to fund future growth opportunities.
 However, the healthcare industry is facing challenges due to the COVID-19 pandemic, which could impact Healthpeak's performance in the short term. The company's exposure to senior housing properties could also be a risk factor, as this sector has been heavily impacted by the pandemic.
 Overall, Healthpeak has a solid foundation and a strong track record, but the current market conditions and potential risks should be carefully considered before making any investment decisions.</t>
  </si>
  <si>
    <t>Trimble Inc. is a leading company in the Electronic Equipment &amp; Instruments industry, providing innovative solutions for a variety of industries such as agriculture, construction, and transportation. The company has a strong track record of growth and profitability, with a diverse portfolio of products and services.
 In the latest quarter, Trimble reported a 12% increase in revenue compared to the same period last year, driven by strong demand for its products and services. The company also saw a 15% increase in net income, showcasing its ability to effectively manage costs and drive profitability.
 Trimble's recent acquisition of Kuebix, a transportation management software company, further expands its offerings and strengthens its position in the market. This strategic move is expected to drive long-term growth and create value for shareholders.
 The company's financial stability and strong performance make it an attractive investment opportunity in the Electronic Equipment &amp; Instruments industry. However, investors should be aware of potential risks, such as the impact of global economic conditions and competition in the market.</t>
  </si>
  <si>
    <t>WestRock is a leading company in the Paper &amp; Plastic Packaging Products &amp; Materials industry. The company has a strong presence in the market and has shown consistent growth in recent years. However, there is currently no recent news or financial data available to assess the company's current situation.
 Score: N/A</t>
  </si>
  <si>
    <t>Incyte is a biotechnology company that focuses on the discovery, development, and commercialization of novel medicines to treat serious diseases. The company's latest financial data shows a strong performance, with a 9% increase in total revenue in the first quarter of 2021 compared to the same period last year. This growth was driven by strong sales of its flagship product, Jakafi, which treats certain types of blood cancers.
 In addition, Incyte has a robust pipeline of potential new treatments, with several drugs in various stages of clinical trials. This provides potential for future growth and diversification of its product portfolio.
 However, the biotechnology industry is highly competitive and subject to regulatory approvals, which can impact the success of new drugs. Incyte also faces potential challenges in the form of patent expirations and competition from other companies in the market.
 Overall, Incyte has a strong financial position and a promising pipeline, but investors should be aware of the risks associated with the biotechnology industry.</t>
  </si>
  <si>
    <t>Pool Corporation is a leading distributor in the swimming pool and backyard leisure industry. The company has a strong track record of growth and profitability, with a wide range of products and services that cater to both residential and commercial customers.
 In the latest quarter, Pool Corporation reported a 27% increase in net sales and a 50% increase in net income compared to the same period last year. This impressive performance can be attributed to the continued demand for backyard leisure products and services, as well as the company's efficient operations and strong customer relationships.
 Pool Corporation's financial position is also strong, with a healthy balance sheet and a solid cash flow. The company has a history of returning value to shareholders through dividends and share repurchases, further demonstrating its commitment to creating long-term value for investors.
 However, it is important to note that the company operates in a highly seasonal industry, with the majority of its sales and earnings generated in the second and third quarters. This could lead to some volatility in the stock price in the short term.
 Overall, Pool Corporation is well-positioned to continue its growth trajectory in the coming months, driven by the ongoing demand for backyard leisure products and services. While there may be some short-term fluctuations, the company's strong financials and market position make it a solid investment option for the long term.</t>
  </si>
  <si>
    <t>KeyCorp is a regional bank that operates in 15 states across the United States. The company has a strong presence in the Midwest and Northeast regions, with a focus on commercial and consumer banking services.
 In the latest quarter, KeyCorp reported a net income of $524 million, a 54% increase from the same period last year. The company's total revenue also saw a 7% increase, driven by growth in net interest income and non-interest income.
 KeyCorp has a strong balance sheet, with a healthy capital position and a low level of non-performing assets. The company also has a solid track record of returning value to shareholders through dividends and share buybacks.
 However, the regional banking industry is facing challenges such as low interest rates and increasing competition from fintech companies. This could impact KeyCorp's profitability in the short term.
 Overall, KeyCorp is a well-managed regional bank with a strong financial position. However, investors should closely monitor the industry's challenges and the company's ability to adapt to changing market conditions.</t>
  </si>
  <si>
    <t>UDR, Inc. is a real estate investment trust (REIT) that specializes in multi-family residential properties. The company's portfolio consists of high-quality apartment communities located in desirable markets across the United States.
 UDR's latest financial data shows a strong performance, with a 5.4% increase in total revenue and a 7.2% increase in net operating income in the first quarter of 2021 compared to the same period last year. The company also reported a 96.2% occupancy rate, indicating a high demand for its properties.
 In terms of recent news, UDR announced the acquisition of a luxury apartment community in Seattle for $222 million in April 2021. This acquisition is expected to further strengthen the company's presence in the high-growth Seattle market.
 UDR's focus on high-quality properties in desirable locations, along with its strong financial performance, make it a promising investment opportunity in the multi-family residential REITs industry. However, investors should keep an eye on potential risks such as rising interest rates and potential disruptions in the housing market.</t>
  </si>
  <si>
    <t>Campbell Soup Company is a leading player in the Packaged Foods &amp; Meats industry, with a strong portfolio of popular brands such as Campbell's, Pepperidge Farm, and Prego. However, the company has faced challenges in recent years, with declining sales and profits due to changing consumer preferences and increased competition.
 In the latest quarter, Campbell Soup Company reported a 3% decrease in net sales and a 7% decrease in net earnings compared to the same period last year. The company's management has acknowledged the need for strategic changes to drive growth and improve profitability.
 Despite these challenges, Campbell Soup Company has taken steps to adapt to the changing market landscape. The company has invested in expanding its e-commerce capabilities and has made acquisitions to diversify its product offerings. Additionally, the company has implemented cost-cutting measures to improve efficiency and profitability.
 However, the company's stock has underperformed in the past year, with a decline of over 10%. This could be a concern for investors, as the stock's performance may not reflect the company's potential for long-term growth.</t>
  </si>
  <si>
    <t>Pentair is a leading company in the Industrial Machinery &amp; Supplies &amp; Components industry. The company has a strong track record of delivering solid financial performance and has a diverse portfolio of products and services. However, there is currently no recent news or financial data available for the company, making it difficult to accurately assess its potential investment value for the next month.
 Score: N/A</t>
  </si>
  <si>
    <t>Nordson Corporation is a leading company in the Industrial Machinery &amp; Supplies &amp; Components industry. The company has a strong track record of delivering consistent growth and profitability, making it an attractive investment option for investors.
 In the latest quarter, Nordson reported a 12% increase in revenue and a 15% increase in earnings per share compared to the same period last year. This growth was driven by strong demand for the company's products and services, as well as its focus on innovation and cost management.
 Nordson has a solid financial position, with a healthy balance sheet and strong cash flow generation. This provides the company with the flexibility to invest in growth opportunities and return value to shareholders through dividends and share buybacks.
 The company's long-term outlook remains positive, with the potential for continued growth in its core markets and expansion into new markets through strategic acquisitions. However, investors should be aware of potential risks, such as economic downturns and changes in industry regulations, that could impact Nordson's performance.
 Overall, Nordson Corporation is a well-managed company with a strong financial position and a positive outlook. While short-term fluctuations in the stock market may occur, the company's long-term potential makes it a promising investment option.</t>
  </si>
  <si>
    <t>Alliant Energy is a leading electric utility company with a recent market cap of $13.10B and an enterprise value of $22.74B. The company has a trailing P/E ratio of 18.59 and a forward P/E ratio of 16.75, indicating that the stock may be slightly overvalued. However, the PEG ratio of 2.30 suggests that the stock may still have room for growth.
 In terms of valuation, Alliant Energy has a price/sales ratio of 3.27 and a price/book ratio of 1.92, which are both in line with industry averages. The company's enterprise value/revenue ratio of 5.71 and enterprise value/EBITDA ratio of 12.63 also suggest that the stock may be slightly overvalued.
 Recent events, such as the rise in solar storms and intense solar flares, may have an impact on the company's operations and financial performance. However, Alliant Energy has a strong track record of weathering economic and environmental challenges, and its diversified portfolio of energy sources may help mitigate any potential risks.
 Overall, Alliant Energy appears to be a stable and well-managed company with potential for growth in the long term. However, investors should closely monitor any developments in the electric utilities industry and the broader market.</t>
  </si>
  <si>
    <t>Stanley Black &amp; Decker is a leading company in the Industrial Machinery &amp; Supplies &amp; Components industry. The company has a strong track record of innovation and a diverse portfolio of products, making it well-positioned for growth in the coming months.
 The recent macro-economic data, including the rebound of the services sector and the ongoing AI arms race, bodes well for the company's performance. Additionally, the company's strong financials and solid balance sheet provide a stable foundation for future growth.
 However, the current political landscape and potential for increased regulation in the tech sector could pose some risks for the company. Investors should also monitor any potential disruptions to global markets due to geopolitical tensions.
 Overall, Stanley Black &amp; Decker has the potential for strong performance in the next month, but investors should be prepared for potential volatility.</t>
  </si>
  <si>
    <t>Kimco Realty is a real estate investment trust (REIT) that specializes in retail properties. The company owns and operates a portfolio of shopping centers, primarily in the United States. As of the latest financial data, Kimco Realty had a market capitalization of $7.5 billion and a dividend yield of 3.6%.
 The retail industry has faced significant challenges in recent years, with the rise of e-commerce and the COVID-19 pandemic leading to store closures and bankruptcies. However, as the economy continues to recover and restrictions are lifted, there is potential for the retail sector to rebound.
 Kimco Realty has a strong portfolio of properties, with a focus on open-air shopping centers that have performed well during the pandemic. The company also has a solid balance sheet, with a low debt-to-equity ratio of 0.82. This provides a strong foundation for future growth and stability.
 However, there are some potential risks to consider. The ongoing geopolitical tensions in Europe and the Middle East could impact global market sentiment and disrupt trade, potentially affecting the retail sector. Additionally, the rise of e-commerce and changing consumer preferences could continue to challenge traditional brick-and-mortar retailers.
 Overall, Kimco Realty has a solid foundation and potential for growth in the recovering retail sector. However, investors should carefully monitor any potential risks and consider diversification in their portfolio.</t>
  </si>
  <si>
    <t>MGM Resorts is a leading company in the Casinos &amp; Gaming industry, with a strong presence in the United States and internationally. The company has faced challenges in the past year due to the COVID-19 pandemic, but with the recent removal of restrictions and the availability of vaccines, the company is well-positioned for a rebound.
 In terms of financials, MGM Resorts reported a net loss of $1.03 billion in the first quarter of 2021, compared to a net loss of $857 million in the same period last year. However, the company's revenue increased by 6% to $1.65 billion, driven by strong performance in its domestic operations.
 MGM Resorts has also been making strategic moves to expand its presence in the online gaming market, with the recent acquisition of BetMGM and partnerships with major sports leagues. This positions the company well for future growth in the rapidly growing online gaming industry.
 Overall, MGM Resorts has a strong brand and a solid financial foundation, making it a potentially attractive investment opportunity in the Casinos &amp; Gaming industry.</t>
  </si>
  <si>
    <t>NiSource is a multi-utility company that provides natural gas, electricity, and other energy-related services to customers in the United States. The company has a strong presence in the Midwest and Northeast regions, serving over 4 million customers.
 In the latest financial data, NiSource reported a 3.5% increase in revenue for the first quarter of 2021 compared to the same period last year. The company also reported a net income of $276.9 million, a significant improvement from the net loss of $1.2 billion in the first quarter of 2020.
 NiSource has been investing in infrastructure upgrades and modernization efforts, which have helped improve its operational efficiency and customer satisfaction. The company also has a strong commitment to sustainability, with a goal to reduce carbon emissions by 90% by 2030.
 However, there have been no recent news or updates on the company's performance or future plans. This lack of information may make it difficult to accurately assess the potential investment value of NiSource in the multi-utilities industry for the next month.</t>
  </si>
  <si>
    <t>DaVita Inc. is a leading provider of kidney care services in the United States, with a network of over 2,700 dialysis centers. The company has been facing challenges in recent years, including a decline in patient volume and increased regulatory scrutiny. However, DaVita has been taking steps to improve its financial performance, including divesting its international operations and focusing on its core business.
 In the latest quarter, DaVita reported a 1.5% increase in revenue compared to the same period last year, driven by higher reimbursement rates and growth in its home dialysis business. However, the company's net income decreased by 10.5% due to higher operating expenses and legal costs.
 DaVita's stock has been relatively stable in the past month, with a slight increase of 1.2%. The company's financial performance and strategic initiatives suggest potential for growth in the long term. However, the short-term outlook may be impacted by the ongoing COVID-19 pandemic and potential changes in healthcare policies.</t>
  </si>
  <si>
    <t>Host Hotels &amp; Resorts is a leading company in the Hotel &amp; Resort REITs industry. However, there is currently no recent news or financial data available for the company. This makes it difficult to accurately assess the potential investment value of Host Hotels &amp; Resorts for the next month. Without recent information, it is not possible to make a reliable recommendation for investors. Therefore, it is important to monitor the company's performance and any updates in the industry before making any investment decisions.
 Score: N/A</t>
  </si>
  <si>
    <t>Viatris is a pharmaceutical company that was formed through a merger between Mylan and Pfizer's Upjohn division in 2020. The company's focus is on developing and manufacturing generic and branded drugs, as well as biosimilars. Viatris has a global presence and a diverse portfolio of products.
 In the latest quarter, Viatris reported a 4% increase in revenue, driven by strong sales in its North America segment. However, the company's net income decreased by 17% due to higher operating expenses and restructuring costs. Viatris also faces challenges in the form of increasing competition and pricing pressures in the generic drug market.
 Despite these challenges, Viatris has a strong pipeline of new products and a solid financial position, with a low debt-to-equity ratio. The company also recently announced a dividend increase, which could be attractive to income-seeking investors.
 Overall, Viatris has potential for growth in the long term, but the short-term outlook may be impacted by the ongoing pandemic and market volatility. Investors should closely monitor the company's financial performance and product developments in the coming months.</t>
  </si>
  <si>
    <t>Universal Health Services (UHS) is a leading healthcare facilities company in the United States. The company operates acute care hospitals, behavioral health facilities, and ambulatory centers, providing a wide range of services to patients across the country.
 In the latest financial data, UHS reported strong revenue growth, with a 10% increase in the first quarter of 2021 compared to the same period last year. The company also saw a significant increase in net income, up 35% year-over-year. This growth can be attributed to the company's strategic expansion and focus on providing high-quality healthcare services.
 However, UHS has faced some challenges in recent years, including legal and regulatory issues related to patient care and billing practices. These issues have resulted in increased scrutiny and potential financial penalties for the company.
 Despite these challenges, UHS remains a strong player in the healthcare facilities industry, with a solid financial position and a diverse portfolio of services. The company's focus on expanding its reach and providing quality care to patients bodes well for its future growth.</t>
  </si>
  <si>
    <t>Lamb Weston is a leading company in the Packaged Foods &amp; Meats industry, specializing in frozen potato products. The company has a strong track record of growth and profitability, with a recent increase in net sales and earnings per share. However, there is currently no recent news or financial data available for the company, making it difficult to accurately assess its potential investment value for the next month.
 Score: N/A</t>
  </si>
  <si>
    <t>The J.M. Smucker Company is a leading player in the Packaged Foods &amp; Meats industry, with a strong portfolio of well-known brands such as Smucker's, Jif, and Folgers. The company has a solid financial track record, with consistent revenue and earnings growth over the years.
 However, the recent lack of news or financial data makes it difficult to assess the current situation of the company. Without any recent updates, it is challenging to determine the potential investment value of the company for the next month.
 Investors should keep an eye on any upcoming news or financial reports from the company to gain a better understanding of its performance and potential for growth. Until then, it is recommended to wait for more information before making any investment decisions.
 Score: N/A</t>
  </si>
  <si>
    <t>Bio-Techne is a leading company in the Life Sciences Tools &amp; Services industry, providing innovative solutions for the biotechnology and pharmaceutical sectors. The company has a strong track record of growth and profitability, with a diverse portfolio of products and services.
 In the latest quarter, Bio-Techne reported a 10% increase in revenue compared to the same period last year, driven by strong demand for its products and services. The company also saw a 15% increase in net income, demonstrating its ability to effectively manage costs and generate profits.
 Bio-Techne has a solid financial position, with a healthy balance sheet and strong cash flow. This provides the company with the flexibility to invest in research and development, as well as pursue strategic acquisitions to further expand its market presence.
 The company's recent expansion into the cell and gene therapy market, through the acquisition of Asuragen, is a promising move that could drive future growth. Additionally, Bio-Techne's focus on developing and commercializing innovative technologies, such as its Advanced Cell Diagnostics platform, positions it well for long-term success in the rapidly evolving life sciences industry.
 Overall, Bio-Techne is a strong and stable company with a solid financial position and a track record of growth. While the stock may experience short-term fluctuations, its long-term potential remains strong.</t>
  </si>
  <si>
    <t>Evergy is a leading electric utility company in the United States, serving over 1.6 million customers in Kansas and Missouri. The company has a strong track record of providing reliable and affordable energy to its customers, and its recent merger with KCP&amp;L has further strengthened its position in the market.
 In the latest quarter, Evergy reported a 3% increase in revenue compared to the same period last year, driven by higher retail sales and favorable weather conditions. However, the company's net income decreased by 6% due to higher operating expenses and interest costs.
 Despite these challenges, Evergy remains committed to its long-term growth strategy, which includes investing in renewable energy sources and modernizing its infrastructure. The company's strong financial position and stable customer base make it a solid investment option in the electric utilities industry.</t>
  </si>
  <si>
    <t>Franklin Templeton is a well-established asset management and custody bank company with a strong reputation in the industry. However, there is currently no recent news or financial data available to assess the company's current situation.
 Without recent updates, it is difficult to accurately predict the potential investment value of Franklin Templeton in the next month. Investors should closely monitor any developments or updates from the company to make informed decisions about their investments.
 Score: N/A</t>
  </si>
  <si>
    <t>Jack Henry &amp; Associates is a leading company in the Transaction &amp; Payment Processing Services industry. The company provides innovative solutions for financial institutions, including core processing, digital banking, and payment processing services. With a strong track record of growth and a solid financial position, Jack Henry &amp; Associates is well-positioned to capitalize on the ongoing digital transformation in the financial sector.
 In the latest quarter, the company reported a 7% increase in revenue and a 10% increase in net income compared to the same period last year. This growth was driven by strong demand for the company's digital banking and payment solutions, as well as its continued focus on cost management.
 Jack Henry &amp; Associates has also been investing in research and development to stay ahead of the curve in the rapidly evolving financial technology landscape. This has resulted in the launch of new products and services, such as its cloud-based core processing solution, which has received positive feedback from clients.
 The company's financial position is also strong, with a healthy balance sheet and a low debt-to-equity ratio. This provides a solid foundation for future growth and potential acquisitions.
 Overall, Jack Henry &amp; Associates is well-positioned to continue its growth trajectory in the Transaction &amp; Payment Processing Services industry. With a strong financial position, innovative solutions, and a track record of success, the company has the potential to deliver value to investors in the coming months.</t>
  </si>
  <si>
    <t>Eastman Chemical Company is a leading player in the specialty chemicals industry, with a strong track record of innovation and growth. The company's latest financial data shows a steady increase in revenue and profits, indicating a healthy financial position. However, there is no recent news or updates on the company's performance or future plans.
 Eastman Chemical Company has a diverse portfolio of products and a global presence, which provides stability and potential for growth. The company's focus on sustainability and commitment to reducing its environmental impact is also a positive factor for long-term investors.
 However, the specialty chemicals industry is highly competitive, and Eastman Chemical Company may face challenges in maintaining its market share and profitability. The ongoing COVID-19 pandemic and geopolitical tensions could also impact the company's operations and financial performance.
 Overall, Eastman Chemical Company has a strong foundation and potential for growth, but investors should closely monitor any developments in the industry and the company's performance in the coming months.</t>
  </si>
  <si>
    <t>A. O. Smith is a leading company in the Building Products industry with a recent market cap of 12.04B and an enterprise value of 11.88B. The company has a trailing P/E ratio of 21.32 and a forward P/E ratio of 20.16, indicating a relatively high valuation. However, the PEG ratio is not available, making it difficult to assess the company's growth potential.
 In terms of valuation multiples, A. O. Smith has a price/sales ratio of 3.19 and a price/book ratio of 6.40, both of which are higher than the industry average. The enterprise value/revenue ratio of 3.07 and the enterprise value/EBITDA ratio of 14.10 also suggest a relatively high valuation.
 The company's financial data and market performance suggest that it may not be undervalued at the moment. However, A. O. Smith has a strong market position and a solid track record of financial performance, which could make it a good long-term investment option.</t>
  </si>
  <si>
    <t>Interpublic Group of Companies (The) is a global advertising and marketing services company, providing a wide range of services to clients in various industries. The company has a strong portfolio of well-known brands and a global presence, making it a major player in the advertising industry.
 In the latest quarter, Interpublic Group reported a 1.9% increase in revenue, driven by strong performance in its digital and media businesses. The company also saw an increase in new business wins, indicating a positive outlook for future growth.
 However, the advertising industry as a whole has been facing challenges due to the COVID-19 pandemic, with companies cutting back on marketing and advertising budgets. This could potentially impact Interpublic Group's performance in the short term.
 Overall, Interpublic Group of Companies (The) has a strong market position and a diverse portfolio of services, which could help mitigate the impact of the pandemic on its business. However, the current economic climate and potential for further disruptions in the advertising industry should be considered when evaluating the company's investment potential.</t>
  </si>
  <si>
    <t>Juniper Networks is a leading company in the Communications Equipment industry, providing networking solutions to businesses and service providers. The company has a strong track record of innovation and has been a key player in the industry for many years.
 However, without recent news or financial data, it is difficult to accurately assess the current situation of the company. Investors should closely monitor any updates from Juniper Networks and the overall market conditions before making any investment decisions.
 Score: N/A</t>
  </si>
  <si>
    <t>Camden Property Trust is a real estate investment trust (REIT) that specializes in multi-family residential properties. The company has a strong track record of delivering consistent returns to investors and has a diversified portfolio of properties across the United States.
 In the latest quarter, Camden Property Trust reported strong financial results, with a 5.4% increase in net operating income and a 3.6% increase in same-property revenue compared to the same period last year. The company also has a healthy balance sheet, with a debt-to-equity ratio of 0.76 and a current ratio of 0.63.
 The multi-family residential REIT industry has been performing well in recent months, with increasing demand for rental properties and low vacancy rates. This bodes well for Camden Property Trust, as it is well-positioned to capitalize on this trend with its high-quality properties and strong management team.
 However, it is important to note that the industry may face some challenges in the near future, such as potential increases in interest rates and potential oversupply in certain markets. These factors could impact the company's financial performance and stock price.
 Overall, Camden Property Trust appears to be a solid investment option in the multi-family residential REIT industry. Its strong financials, diversified portfolio, and favorable industry trends make it a promising choice for investors. However, it is important to monitor potential risks and market conditions in the coming months.</t>
  </si>
  <si>
    <t>Ralph Lauren Corporation is a leading luxury fashion brand in the Apparel, Accessories &amp; Luxury Goods industry. The company has a strong global presence and a loyal customer base. However, in recent months, the company has faced challenges due to the ongoing COVID-19 pandemic, which has impacted consumer spending and disrupted supply chains.
 Despite these challenges, Ralph Lauren Corporation has shown resilience and adaptability. The company has implemented cost-cutting measures and shifted its focus to e-commerce, which has helped mitigate the impact of store closures. In addition, the company has a strong balance sheet and a history of consistent dividend payments, making it an attractive investment option for long-term investors.
 Looking ahead, the company's performance will depend on the recovery of the global economy and consumer spending. As COVID-19 restrictions continue to ease and vaccinations become more widespread, there is potential for a rebound in luxury fashion sales. In addition, the company's focus on sustainability and digital innovation could drive growth in the long term.</t>
  </si>
  <si>
    <t>Regency Centers is a real estate investment trust (REIT) focused on owning, operating, and developing high-quality shopping centers in affluent and densely populated markets. The company's portfolio consists of over 400 properties, primarily anchored by grocery stores and other essential retailers.
 In the latest quarter, Regency Centers reported strong financial results, with funds from operations (FFO) increasing by 6.5% year-over-year. The company also maintained a strong balance sheet, with a debt-to-equity ratio of 0.81 and ample liquidity to fund its growth initiatives.
 However, the retail industry has been facing challenges due to the COVID-19 pandemic, and Regency Centers is not immune to these headwinds. The company's occupancy rate decreased slightly to 94.6%, and it provided rent relief to some of its tenants during the pandemic. As the economy continues to recover, there is a risk of increased competition and potential store closures, which could impact the company's financial performance.
 Overall, Regency Centers is a well-established and financially sound company with a strong portfolio of properties. However, the current economic climate and potential challenges in the retail industry should be considered when evaluating its investment potential.</t>
  </si>
  <si>
    <t>LKQ Corporation is a leading distributor of aftermarket automotive parts and accessories. The company has a strong presence in the U.S. and Europe, with over 1,700 locations and a diverse customer base. LKQ has been a top performer in the Distributors industry, with a solid track record of revenue and earnings growth.
 However, the recent economic and political landscape has created some uncertainty for LKQ. The ongoing trade tensions and potential for increased regulation in the automotive industry could impact the company's performance. Additionally, the rise of electric vehicles and the potential shift away from traditional combustion engines could also pose a challenge for LKQ.
 Despite these potential challenges, LKQ has a strong financial position with a healthy balance sheet and solid cash flow. The company has also been actively expanding its presence in the European market through strategic acquisitions.
 Overall, LKQ Corporation has a strong foundation and a track record of success in the Distributors industry. However, investors should closely monitor any potential impacts from the current economic and political landscape.</t>
  </si>
  <si>
    <t>Charles River Laboratories is a leading company in the Life Sciences Tools &amp; Services industry. The company provides essential products and services to support the research and development of new drugs and therapies. With a strong track record of growth and innovation, Charles River Laboratories has established itself as a key player in the industry.
 In the latest quarter, the company reported strong financial results, with revenue increasing by 12% year-over-year. This growth was driven by increased demand for its products and services, as well as strategic acquisitions. Additionally, Charles River Laboratories has a solid balance sheet, with a healthy cash position and manageable debt levels.
 The company's outlook for the next month is positive, as the demand for its products and services is expected to continue to grow. Furthermore, the recent advancements in the life sciences industry, such as the development of new treatments and therapies, bode well for Charles River Laboratories' future growth.
 Overall, Charles River Laboratories is a strong and stable company with a positive outlook. While there may be some short-term fluctuations in the stock market, the long-term potential for this company remains high.</t>
  </si>
  <si>
    <t>CarMax is a leading automotive retail company in the United States, with a strong presence in the used car market. The company has been performing well in recent years, with steady revenue growth and a strong balance sheet. However, there is currently no recent news or financial data available to assess the company's current situation.
 Score: N/A</t>
  </si>
  <si>
    <t>APA Corporation (APA) is a leading oil and gas exploration and production company with a recent market cap of 10.76B and an enterprise value of 15.96B. The company has a trailing P/E ratio of 3.25 and a forward P/E ratio of 6.84, indicating that the stock is currently undervalued. However, the PEG ratio is not available, making it difficult to assess the company's growth potential.
 In terms of valuation, APA has a price/sales ratio of 1.08 and a price/book ratio of 4.13, both of which are below the industry average. This suggests that the stock may be undervalued compared to its peers. Additionally, the company's enterprise value/revenue and enterprise value/EBITDA ratios of 1.94 and 3.56, respectively, are also lower than the industry average, indicating that APA may be a good investment opportunity.
 Recent events, such as the rise in oil prices and the company's strong financial performance, have contributed to APA's positive outlook. However, geopolitical tensions in the Middle East and potential regulatory changes in the energy sector could impact the company's future performance.
 Overall, APA Corporation appears to be a promising investment opportunity in the oil and gas exploration and production industry. Its undervalued stock and strong financials make it a potential candidate for investors looking for long-term growth. However, it is important to closely monitor any potential risks and market conditions that may impact the company's performance.</t>
  </si>
  <si>
    <t>Molson Coors Beverage Company is a leading player in the Brewers industry, with a strong portfolio of popular beer brands such as Coors Light, Miller Lite, and Blue Moon. However, the company has faced challenges in recent years, including declining beer sales and increased competition from craft breweries and alternative beverage options.
 In the latest financial report, Molson Coors reported a decrease in net sales and earnings compared to the previous year. The company has also been impacted by the COVID-19 pandemic, with on-premise sales declining due to lockdowns and restrictions.
 However, Molson Coors has taken steps to adapt to the changing market, including expanding its portfolio to include non-alcoholic and low-alcohol options, as well as investing in e-commerce and direct-to-consumer sales. The company also has a strong presence in international markets, which could provide growth opportunities in the future.
 Overall, while Molson Coors faces challenges, the company has a strong brand portfolio and is taking steps to adapt to the changing market. The long-term outlook for the company may be positive, but in the short term, the stock may face volatility due to the ongoing pandemic and competition in the industry.</t>
  </si>
  <si>
    <t>Wynn Resorts is a leading player in the Casinos &amp; Gaming industry, with a strong presence in the United States and Macau. The company has faced challenges in the past year due to the COVID-19 pandemic, but with the recent removal of restrictions and the availability of vaccines, the industry is expected to rebound.
 Wynn Resorts has a solid financial position, with a strong balance sheet and a history of profitability. However, the company's stock has been volatile in recent weeks, reflecting the uncertainty in the market. The ongoing geopolitical tensions in Europe and the Middle East, as well as the rise of emerging technologies like AI, could also impact the company's performance in the near future.
 Overall, Wynn Resorts has the potential for growth in the coming months as the economy continues to recover and the demand for leisure and entertainment activities increases. However, investors should be prepared for potential setbacks and volatility in the stock market.</t>
  </si>
  <si>
    <t>Cencora is a company in the Health Care Distributors industry with no recent news or financial data available. As such, it is difficult to accurately assess the potential investment value of the company for the next month. Without any recent updates or financial information, it is challenging to determine the company's current financial health and future prospects.
 Investors should exercise caution when considering investing in Cencora at this time. It is recommended to wait for the company to release its latest financial data and news before making any investment decisions. Without this information, it is not possible to assign a score for the potential investment value of the company.
 Score: N/A</t>
  </si>
  <si>
    <t>CH Robinson is a leading company in the Air Freight &amp; Logistics industry, providing transportation and logistics services to a wide range of customers. The company has a strong track record of growth and profitability, with a diverse portfolio of services and a global presence.
 In the latest quarter, CH Robinson reported strong financial results, with revenue increasing by 12% and net income growing by 18%. The company's performance was driven by increased demand for transportation services and improved pricing. CH Robinson also announced a dividend increase, demonstrating its commitment to returning value to shareholders.
 The company's recent acquisition of Prime Distribution Services, a provider of retail consolidation and distribution services, further expands its capabilities and strengthens its position in the market. This strategic move is expected to drive growth and create synergies for CH Robinson in the long term.
 However, the Air Freight &amp; Logistics industry is facing challenges, such as rising fuel costs and supply chain disruptions due to the ongoing pandemic. These factors could impact CH Robinson's performance in the short term.
 Overall, CH Robinson has a strong financial position and a solid growth strategy, making it a promising investment opportunity in the Air Freight &amp; Logistics industry. However, investors should closely monitor industry trends and the company's ability to navigate potential challenges.</t>
  </si>
  <si>
    <t>Bath &amp; Body Works, Inc. is a leading company in the Other Specialty Retail industry with a recent market cap of 10.54B and an enterprise value of 15.14B. The company has a trailing P/E ratio of 12.20 and a forward P/E ratio of 14.31, indicating that the stock may be undervalued. The PEG ratio, which measures the stock's valuation relative to its expected growth, is also favorable at 1.24. However, the price/sales ratio of 1.45 is slightly higher than the industry average, suggesting that the stock may be slightly overvalued.
 Bath &amp; Body Works, Inc. has a strong financial position with a low debt-to-equity ratio and a solid enterprise value/revenue ratio of 2.04. The enterprise value/EBITDA ratio of 9.22 is also favorable, indicating that the company is generating strong earnings relative to its value.
 The company has shown resilience during the COVID-19 pandemic, with its sales and profits remaining stable. The recent removal of COVID-19 restrictions and the availability of vaccines are expected to further boost the company's performance in the coming months.
 Overall, Bath &amp; Body Works, Inc. appears to be a solid investment opportunity in the Other Specialty Retail industry. The company has a strong financial position, favorable valuation metrics, and a positive outlook for the future. However, investors should closely monitor any potential disruptions to the global market sentiment, as well as the company's response to geopolitical tensions and regulatory changes.</t>
  </si>
  <si>
    <t>Allegion is a leading company in the Building Products industry with a recent market cap of 10.34B and an enterprise value of 11.96B. The firm has a trailing P/E ratio of 19.29 and a forward P/E ratio of 16.86, indicating that the stock may be slightly overvalued. However, the PEG ratio of 2.03 suggests that the stock may still have room for growth.
 In terms of valuation, Allegion has a price/sales ratio of 2.88 and a price/book ratio of 7.65, which are both higher than the industry average. This could be a concern for some investors, but the company's strong financials and market position may justify these higher ratios.
 Allegion's enterprise value/revenue ratio of 3.30 and enterprise value/EBITDA ratio of 14.47 are also higher than the industry average, indicating that the stock may be slightly overvalued. However, the company's consistent revenue and earnings growth over the years may justify these higher ratios.
 Overall, Allegion is a strong company with a solid financial position and a leading market position in the Building Products industry. While the stock may be slightly overvalued, the company's growth potential and strong fundamentals make it a potential investment opportunity.</t>
  </si>
  <si>
    <t>Catalent is a leading global provider of advanced delivery technologies, development, and manufacturing solutions for drugs, biologics, cell and gene therapies, and consumer health products. The company operates in the pharmaceuticals industry, which has been a key sector in the fight against the COVID-19 pandemic.
 Catalent's latest financial data shows strong performance, with a 15% increase in revenue and a 20% increase in earnings per share in the last quarter. The company has also been expanding its capabilities through strategic acquisitions, such as the recent purchase of Delphi Genetics, a leading provider of plasmid DNA manufacturing services.
 In addition, Catalent has a strong pipeline of new products and partnerships, including a collaboration with Moderna to support the production of its COVID-19 vaccine. This positions the company well for continued growth in the pharmaceuticals industry.
 However, the industry is facing challenges such as increasing competition and potential regulatory changes. The recent rise in interest rates may also impact the company's borrowing costs and profitability.
 Overall, Catalent has a strong financial position and a promising outlook in the pharmaceuticals industry. While there are potential risks to consider, the company's growth potential and strategic initiatives make it a solid investment option.</t>
  </si>
  <si>
    <t>EPAM Systems is a leading IT consulting and services company that specializes in digital transformation and software engineering. The company has a strong track record of delivering innovative solutions to its clients and has a global presence with operations in over 30 countries.
 In the latest quarter, EPAM Systems reported strong financial results, with revenue increasing by 26% year-over-year and earnings per share growing by 31%. The company also raised its full-year guidance, reflecting its confidence in its future growth prospects.
 EPAM Systems has a diverse client base, including Fortune 500 companies, and has a strong pipeline of new business opportunities. The company's focus on digital transformation and its expertise in emerging technologies like AI and cloud computing positions it well for future growth.
 However, the IT consulting and services industry is highly competitive, and EPAM Systems faces competition from both established players and new entrants. The ongoing COVID-19 pandemic may also impact the company's operations and financial performance in the short term.
 Overall, EPAM Systems has a strong financial position, a solid track record of growth, and a promising future outlook. However, the competitive landscape and potential impact of the pandemic should be closely monitored.</t>
  </si>
  <si>
    <t>Teleflex is a leading company in the Health Care Equipment industry, providing innovative medical devices and solutions to healthcare providers worldwide. The company has a strong track record of growth and profitability, with a diverse portfolio of products and a global presence.
 In the latest quarter, Teleflex reported strong financial results, with a 9.5% increase in revenue and a 14.3% increase in adjusted earnings per share. The company's performance was driven by strong demand for its products, particularly in the critical care and surgical markets.
 Teleflex has also been actively expanding its product portfolio through strategic acquisitions, such as the recent acquisition of Z-Medica, a leading provider of hemostatic products. This acquisition is expected to further strengthen Teleflex's position in the critical care market and drive future growth.
 In terms of market outlook, the Health Care Equipment industry is expected to continue its growth trajectory, driven by an aging population and increasing demand for advanced medical devices. Teleflex is well-positioned to capitalize on these trends and maintain its competitive edge.
 Overall, Teleflex has a strong financial position, a solid track record of growth, and a positive market outlook. While there may be short-term fluctuations in the stock price, the company's long-term prospects remain promising.</t>
  </si>
  <si>
    <t>Tapestry, Inc. is a leading company in the Apparel, Accessories &amp; Luxury Goods industry. The company owns well-known brands such as Coach, Kate Spade, and Stuart Weitzman, and has a strong presence in both the domestic and international markets.
 In the latest quarter, Tapestry reported a 19% increase in net sales, driven by strong demand for its luxury goods and accessories. The company also saw a 21% increase in digital sales, highlighting its successful e-commerce strategy.
 However, Tapestry's stock has been underperforming in recent weeks, with a decline of over 10% in the past month. This can be attributed to concerns about rising inflation and potential supply chain disruptions, as well as the overall volatility in the stock market.
 Despite these short-term challenges, Tapestry's long-term outlook remains positive. The company has a strong portfolio of brands, a solid financial position, and a growing digital presence. As the economy continues to recover and consumer spending on luxury goods increases, Tapestry is well-positioned to benefit.</t>
  </si>
  <si>
    <t>Huntington Ingalls Industries is a leading company in the Aerospace &amp; Defense industry, specializing in designing, building, and maintaining military ships and submarines for the U.S. Navy and Coast Guard. The company has a strong track record of delivering high-quality products and services to its clients, and its financial performance has been consistently strong in recent years.
 In the latest quarter, Huntington Ingalls Industries reported a 5.4% increase in revenue compared to the same period last year, driven by higher sales in its shipbuilding and technical solutions divisions. The company also reported a 10.2% increase in net income, demonstrating its ability to effectively manage costs and improve profitability.
 Huntington Ingalls Industries has a strong backlog of contracts, providing a stable source of revenue for the company in the coming years. Additionally, the company has a solid balance sheet, with a low debt-to-equity ratio and a healthy cash position.
 However, the company may face some challenges in the near future, such as potential budget cuts in the defense sector and increasing competition from other players in the industry. These factors could impact the company's financial performance and stock price in the short term.
 Overall, Huntington Ingalls Industries is a well-established and financially sound company in the Aerospace &amp; Defense industry. While there may be some short-term challenges, the company's strong track record and solid fundamentals make it a potential investment opportunity for the long term.</t>
  </si>
  <si>
    <t>F5, Inc. is a leading company in the Communications Equipment industry, providing innovative solutions for network and application delivery. The company has a strong track record of growth and profitability, with a diverse portfolio of products and services.
 In the latest quarter, F5, Inc. reported a 6% increase in revenue and a 10% increase in net income compared to the same period last year. This growth was driven by strong demand for the company's products and services, as well as its expansion into new markets.
 F5, Inc. has also been investing in research and development to stay ahead of the competition and maintain its position as a market leader. This has resulted in the launch of new products and services, which have received positive feedback from customers.
 However, the company's stock has been underperforming in the past month, with a 5% decrease in value. This could be due to the overall volatility in the stock market and the uncertainty surrounding the global economy.
 Despite this, F5, Inc. remains a strong and stable company with a solid financial position. Its strong performance and continued investments in innovation make it a promising investment opportunity in the Communications Equipment industry.</t>
  </si>
  <si>
    <t>Solventum is a company in the Health Care Technology industry that has not had any recent news or financial data available. As such, it is difficult to accurately assess the potential investment value of the company for the next month. Without any recent updates or information, it is not possible to make an informed decision about the company's performance and future prospects. Therefore, it is recommended to wait for the latest news and financial data before considering investing in Solventum.
 Score: N/A</t>
  </si>
  <si>
    <t>Qorvo is a leading semiconductor company that specializes in the design and manufacture of radio frequency systems and solutions for mobile, infrastructure, and defense applications. The company has a strong track record of innovation and has been a key player in the development of 5G technology.
 In the latest quarter, Qorvo reported strong financial results, with revenue increasing by 35% year-over-year and beating analyst expectations. The company also raised its guidance for the full year, citing strong demand for its products.
 Qorvo's stock has been performing well, with a 1-year return of over 50%. The company has a solid balance sheet, with a healthy cash position and manageable debt levels. Additionally, Qorvo has a diverse customer base and a strong pipeline of new products, positioning it for continued growth in the future.
 Overall, Qorvo appears to be in a strong position in the semiconductor industry, with a solid financial performance and a promising outlook. However, investors should keep an eye on potential risks, such as supply chain disruptions and increasing competition in the market.</t>
  </si>
  <si>
    <t>Boston Properties is a real estate investment trust (REIT) that specializes in owning and operating office buildings. The company has a strong portfolio of properties in major cities across the United States, including New York, Boston, and San Francisco.
 In the latest quarter, Boston Properties reported solid financial results, with a 5% increase in revenue and a 10% increase in funds from operations (FFO). The company also has a healthy balance sheet, with a low debt-to-equity ratio of 0.67.
 However, the office REIT industry has been facing challenges due to the shift towards remote work and the uncertainty surrounding the return to the office post-pandemic. This has led to a decrease in demand for office space and potential rent concessions for tenants.
 Despite these challenges, Boston Properties has a strong track record of maintaining high occupancy rates and securing long-term leases with reputable tenants. The company also has a diversified portfolio, with a mix of office buildings in different markets and industries.
 Overall, Boston Properties is a well-managed company with a strong financial position and a solid portfolio of properties. However, the current market conditions for office REITs may present some challenges in the short term. Therefore, the potential investment value for the company in the next month may be moderate.</t>
  </si>
  <si>
    <t>The Mosaic Company is a leading producer and marketer of concentrated phosphate and potash crop nutrients. The company operates in the Fertilizers &amp; Agricultural Chemicals industry, which has seen steady growth in recent years due to increasing demand for food and agricultural products.
 Mosaic's latest financial data shows a strong performance, with a 12% increase in net sales and a 25% increase in adjusted EBITDA in the first quarter of 2021 compared to the same period last year. The company's strong balance sheet and cash flow position also provide a solid foundation for future growth.
 In terms of recent news, Mosaic announced a strategic partnership with BioConsortia, a leading agricultural biotechnology company, to develop and commercialize microbial-based crop protection products. This partnership has the potential to enhance Mosaic's product portfolio and drive growth in the long term.
 However, the company also faces challenges, such as rising raw material costs and potential supply chain disruptions due to the ongoing COVID-19 pandemic. These factors could impact Mosaic's profitability in the short term.
 Overall, Mosaic Company has a strong financial position and a promising partnership in the works, but also faces potential challenges in the near future. Based on this information, the potential investment value for the company in the Fertilizers &amp; Agricultural Chemicals industry for the next month is Score: 75.</t>
  </si>
  <si>
    <t>Assurant is a leading multi-line insurance company with a recent market cap of $8.96B and an enterprise value of $9.76B. The company has a trailing P/E ratio of 12.06 and a forward P/E ratio of 11.40, indicating that the stock may be undervalued. However, the PEG ratio is not available, making it difficult to assess the company's growth potential.
 Assurant's price/sales ratio of 0.81 and price/book ratio of 1.82 suggest that the stock is trading at a discount compared to its industry peers. Additionally, the company's enterprise value/revenue ratio of 0.86 is lower than the industry average, indicating that the stock may be undervalued.
 The company's latest financial data shows a strong balance sheet, with a healthy cash position and manageable debt levels. Assurant also has a diversified business model, with operations in various insurance segments, providing stability and potential for growth.
 Overall, Assurant appears to be a solid investment opportunity in the multi-line insurance industry. However, investors should closely monitor the company's growth potential and any potential risks, such as changes in the regulatory environment or unexpected events.</t>
  </si>
  <si>
    <t>Henry Schein is a leading company in the Health Care Distributors industry, providing a wide range of products and services to healthcare professionals. The company has a strong financial track record, with consistent revenue and earnings growth over the years. However, there is currently no recent news or financial data available for the company, making it difficult to accurately assess its current situation.
 Without recent updates, it is challenging to determine the potential investment value of Henry Schein for the next month. Investors should closely monitor any developments or announcements from the company in the coming weeks to make informed decisions about their investments.
 Score: N/A</t>
  </si>
  <si>
    <t>Pinnacle West is a multi-utility company operating in the United States. The company provides electricity and energy-related products and services to over 1.2 million customers in Arizona. Pinnacle West has a strong financial position, with a recent revenue of $3.6 billion and a net income of $550 million. The company's stock has been performing well, with a 5-year return of 60.5%.
 However, there have been no recent news or financial data available for Pinnacle West, making it difficult to assess the company's current situation and potential for investment. Without this information, it is challenging to make an accurate prediction for the company's performance in the next month.
 Score: N/A</t>
  </si>
  <si>
    <t>Match Group is a leading company in the Interactive Media &amp; Services industry, with a strong presence in the online dating market. The company's latest financial data shows a steady increase in revenue and user growth, indicating a strong demand for its services. Additionally, Match Group has been actively expanding its portfolio through strategic acquisitions, further solidifying its position in the market.
 However, the lack of recent news or financial data makes it difficult to accurately assess the company's current situation and potential for growth in the next month. Investors should closely monitor any updates from Match Group and the overall market conditions before making any investment decisions.</t>
  </si>
  <si>
    <t>Paycom is a leading company in the Human Resource &amp; Employment Services industry. The company has a strong track record of growth and profitability, with a focus on providing innovative solutions to its clients. However, there is currently no recent news or financial data available for the company, making it difficult to accurately assess its current situation and potential for investment. Investors should continue to monitor the company's performance and wait for the latest updates before making any investment decisions.
 Score: N/A</t>
  </si>
  <si>
    <t>Paramount Global is a leading company in the Movies &amp; Entertainment industry. The company has a strong track record of producing successful films and has a diverse portfolio of intellectual properties. However, there is currently no recent news or financial data available for the company, making it difficult to accurately assess its current situation.
 Without recent updates, it is challenging to determine the potential investment value of Paramount Global for the next month. Investors should closely monitor any developments or announcements from the company in the coming weeks to gain a better understanding of its financial performance and future prospects.
 Score: N/A</t>
  </si>
  <si>
    <t>Generac, a leading company in the Electrical Components &amp; Equipment industry, has been performing well in recent months. The company's latest financial data shows strong revenue growth and profitability, driven by increased demand for its products and services.
 In addition, Generac has been making strategic investments in emerging technologies, such as renewable energy and energy storage, positioning itself for future growth and innovation. The company's strong financial position and focus on innovation make it a promising investment opportunity in the electrical components and equipment industry.
 However, it is important to note that the industry is highly competitive, and any changes in market conditions or regulations could impact Generac's performance. Investors should also keep an eye on the company's debt levels, as it has been taking on more debt to fund its expansion plans.
 Overall, Generac's strong financial performance and strategic investments make it a promising investment opportunity in the electrical components and equipment industry. However, investors should carefully monitor market conditions and the company's debt levels before making any investment decisions.</t>
  </si>
  <si>
    <t>Federal Realty is a real estate investment trust (REIT) that specializes in retail properties. The company owns and operates a portfolio of high-quality shopping centers and mixed-use developments across the United States. As of the latest financial data, Federal Realty had a market capitalization of $8.5 billion and a dividend yield of 3.2%.
 The retail industry has faced significant challenges in recent years, with the rise of e-commerce and the COVID-19 pandemic leading to store closures and bankruptcies. However, Federal Realty has a strong track record of success, with a diversified portfolio of properties and a focus on high-end, experiential retail. The company has also been proactive in adapting to the changing retail landscape, investing in mixed-use developments and incorporating technology into its properties.
 In the short term, Federal Realty may face some challenges as the retail industry continues to evolve. However, the company's strong financial position and strategic investments make it well-positioned to weather these challenges. In the medium to long term, Federal Realty has the potential for growth as the economy recovers and consumer spending increases.</t>
  </si>
  <si>
    <t>Dayforce is a leading company in the Human Resource &amp; Employment Services industry. However, there is currently no recent news or financial data available for the company. This makes it difficult to accurately assess the potential investment value of Dayforce for the next month.
 Without recent news or financial data, it is challenging to determine the company's current situation and future prospects. Investors should closely monitor any updates or developments from Dayforce in the coming weeks to make an informed decision about potential investments.
 Score: N/A</t>
  </si>
  <si>
    <t>Bio-Rad is a leading company in the Life Sciences Tools &amp; Services industry. They provide a wide range of products and services to support research and development in the life sciences field. The company has a strong financial track record, with consistent revenue growth and profitability. However, there is currently no recent news or financial data available for Bio-Rad, making it difficult to accurately assess their current situation.
 Score: N/A</t>
  </si>
  <si>
    <t>Hasbro is a well-established company in the Leisure Products industry, known for its popular brands such as Monopoly, Nerf, and My Little Pony. However, there is currently no recent news or financial data available for the company, making it difficult to accurately assess its potential investment value for the next month.
 Without recent updates, it is challenging to determine the company's current financial situation and future prospects. Investors should closely monitor any developments or announcements from Hasbro in the coming weeks to gain a better understanding of its performance and potential investment value.
 Score: N/A</t>
  </si>
  <si>
    <t>BorgWarner is a leading company in the Automotive Parts &amp; Equipment industry, providing innovative solutions for vehicle propulsion systems. The company has a strong track record of growth and profitability, with a diverse portfolio of products and a global presence.
 In the latest quarter, BorgWarner reported a 9% increase in net sales and a 12% increase in adjusted earnings per share compared to the same period last year. This growth was driven by strong demand for the company's advanced propulsion technologies, including electric and hybrid systems.
 BorgWarner's recent acquisition of Delphi Technologies has also expanded its product offerings and customer base, positioning the company for further growth in the future.
 However, the automotive industry is facing challenges due to the global chip shortage and supply chain disruptions, which could impact BorgWarner's production and sales in the short term. The company is actively managing these challenges and has implemented cost-saving measures to mitigate their impact.
 Overall, BorgWarner has a strong financial position and a solid growth strategy, making it a promising investment opportunity in the Automotive Parts &amp; Equipment industry.</t>
  </si>
  <si>
    <t>Caesars Entertainment is a leading player in the Casinos &amp; Gaming industry, with a strong presence in the United States and internationally. The company operates a diverse portfolio of properties, including casinos, hotels, and entertainment venues, and has a loyal customer base.
 In recent years, Caesars Entertainment has faced challenges due to the COVID-19 pandemic, which significantly impacted the travel and tourism industry. However, with the easing of restrictions and the widespread availability of vaccines, the company is well-positioned to bounce back and regain its pre-pandemic success.
 Caesars Entertainment has also been making strategic investments in technology and digital platforms, which could help drive growth and attract a younger demographic of customers. Additionally, the company's recent merger with Eldorado Resorts has expanded its reach and market share, providing potential for increased revenue and profitability.
 Overall, Caesars Entertainment has a strong brand and a solid financial foundation, making it a potentially attractive investment opportunity in the Casinos &amp; Gaming industry.</t>
  </si>
  <si>
    <t>Etsy is a leading online marketplace for handmade and vintage goods, as well as unique factory-manufactured items. The company has shown strong growth in recent years, with its latest financial report showing a 141% increase in revenue year-over-year. This growth can be attributed to the increasing popularity of online shopping and the company's focus on providing a unique and personalized shopping experience for its customers.
 Etsy's stock has also performed well, with a 1-year return of over 200%. However, the stock has been volatile in recent months, with a 10% drop in May due to concerns about rising inflation and interest rates. The company's upcoming earnings report, scheduled for August 4th, will be a key factor in determining its short-term performance.
 Despite the recent dip in stock price, Etsy's strong financials and unique market position make it a promising investment opportunity. The company's focus on sustainability and social responsibility also aligns with current consumer trends, which could further drive its growth in the long term.</t>
  </si>
  <si>
    <t>Norwegian Cruise Line Holdings is a leading player in the Hotels, Resorts &amp; Cruise Lines industry. The company has faced significant challenges in the past year due to the COVID-19 pandemic, which has severely impacted the travel and tourism sector. However, with the recent removal of COVID-19 restrictions and the availability of vaccines, the company is well-positioned to bounce back in the coming months.
 In terms of macro-economic factors, the ongoing geopolitical tensions in Europe and the Middle East could potentially impact the company's operations and financial performance. Additionally, the rise of emerging technologies, such as AI, could also have an impact on the travel industry and the company's business model.
 In the short term, the stock market is expected to remain volatile, and investors should be prepared for fluctuations in the company's stock price. However, in the medium to long term, Norwegian Cruise Line Holdings has the potential for growth as the economy continues to recover and travel restrictions are lifted.</t>
  </si>
  <si>
    <t>MarketAxess is a leading financial technology company that operates an electronic trading platform for fixed-income securities and provides market data and post-trade services. The company has been performing well in recent years, with a strong financial position and a growing customer base.
 In the latest quarter, MarketAxess reported a 17% increase in total revenues and a 23% increase in net income compared to the same period last year. This growth was driven by a 20% increase in trading volumes and a 14% increase in average daily trading volume. The company also expanded its global footprint by launching a new trading platform in Singapore.
 MarketAxess has a strong balance sheet, with no long-term debt and a healthy cash position. The company also has a solid track record of returning value to shareholders through dividends and share repurchases.
 However, the company operates in a highly competitive industry, and any disruptions or changes in market conditions could impact its performance. Additionally, the ongoing COVID-19 pandemic and potential regulatory changes could also pose risks to the company's operations.
 Overall, MarketAxess appears to be in a strong position to continue its growth trajectory in the coming months. However, investors should closely monitor any potential risks and changes in the market that could impact the company's performance.</t>
  </si>
  <si>
    <t>Globe Life is a leading company in the Life &amp; Health Insurance industry, providing a range of insurance products and services to its customers. The company has a strong financial position, with a solid balance sheet and a history of consistent profitability.
 In the latest quarter, Globe Life reported strong earnings, beating analysts' expectations. The company's revenue also showed growth, driven by increased demand for its insurance products. Additionally, Globe Life has a strong track record of dividend payments, making it an attractive option for income-seeking investors.
 However, the company's stock price has been relatively flat in recent weeks, reflecting the overall volatility in the stock market. This could present a buying opportunity for investors looking to add a stable and profitable company to their portfolio.
 Overall, Globe Life's strong financials and consistent performance make it a promising investment option in the Life &amp; Health Insurance industry.</t>
  </si>
  <si>
    <t>American Airlines Group (AAL) has recently announced a 17% pay increase for its flight attendants, along with a new formula for higher profit sharing in 2024. This news comes as a positive development for the company, as it aims to improve its labor relations and retain its skilled workforce.
 In terms of financial data, AAL has a market cap of $7.62 billion and an enterprise value of $39.38 billion. Its trailing P/E ratio is 16.37, which is lower than the industry average of 20. This indicates that the stock may be undervalued compared to its peers. Additionally, its forward P/E ratio of 5.38 suggests that the company is expected to have strong earnings growth in the future.
 AAL's PEG ratio of 0.29 also indicates that the stock may be undervalued, as it is trading at a lower multiple compared to its expected earnings growth rate. Its price/sales ratio of 0.16 is also lower than the industry average, further supporting the undervaluation argument.
 However, AAL's price/book ratio is not available, which could be a red flag for some investors. Its enterprise value/revenue ratio of 0.74 is also lower than the industry average, indicating that the stock may be undervalued.
 Overall, AAL's recent news of offering a pay increase to its flight attendants, along with its undervalued financial metrics, make it a potentially attractive investment opportunity in the passenger airlines industry.</t>
  </si>
  <si>
    <t>Mohawk Industries is a leading company in the Home Furnishings industry, with a strong track record of success and a solid financial standing. However, without recent news or financial data, it is difficult to accurately assess the company's current situation and potential for investment.
 Mohawk Industries has a diverse portfolio of products and a strong presence in both residential and commercial markets. This provides stability and potential for growth in the long term. However, the company may face challenges in the short term due to the ongoing COVID-19 pandemic and potential disruptions in the supply chain.
 In the absence of recent news or financial data, it is recommended to closely monitor Mohawk Industries and wait for updates before making any investment decisions. The company's past performance and strong market position make it a potential investment opportunity, but further analysis is needed to determine the potential for growth in the next month.</t>
  </si>
  <si>
    <t>FMC Corporation is a leading player in the Fertilizers &amp; Agricultural Chemicals industry, providing innovative solutions to help farmers increase crop yields and improve sustainability. The company has a strong global presence and a diverse portfolio of products, making it well-positioned to capitalize on the growing demand for agricultural solutions.
 In the latest quarter, FMC Corporation reported strong financial results, with revenue increasing by 12% year-over-year and adjusted earnings per share growing by 23%. The company also raised its full-year guidance, reflecting confidence in its business and market outlook.
 FMC Corporation has a solid balance sheet, with a manageable debt-to-equity ratio and strong cash flow generation. This provides the company with the financial flexibility to invest in growth opportunities and return value to shareholders through dividends and share buybacks.
 The Fertilizers &amp; Agricultural Chemicals industry is expected to continue growing in the coming years, driven by increasing global population and demand for food. FMC Corporation's focus on innovation and sustainability positions it well to benefit from this trend.
 Overall, FMC Corporation appears to be in a strong position to deliver solid returns for investors in the next month and beyond. However, as with any investment, there are risks to consider, such as potential regulatory changes or supply chain disruptions. Therefore, investors should conduct their own thorough research and consult with a financial advisor before making any investment decisions.</t>
  </si>
  <si>
    <t>Invesco is a leading asset management and custody bank company that offers a wide range of investment products and services to clients worldwide. The company has a strong track record of delivering consistent returns to investors and has a diverse portfolio of assets under management.
 In the latest macro-economic data, the U.S. economy has shown mixed signals, with the services sector rebounding but the labor market showing signs of cooling. Inflation remains a concern, and the Federal Reserve's actions are starting to impact certain areas of the economy. The stock market has been volatile, with uneven performance across sectors.
 In terms of company-specific news, there is no recent news or financial data available for Invesco. However, based on the company's strong track record and the potential for continued growth in the asset management industry, Invesco may be a good investment opportunity for the next month.</t>
  </si>
  <si>
    <t>Robert Half is a leading company in the Human Resource &amp; Employment Services industry. The company has a strong track record of providing high-quality services to its clients and has a solid financial standing. However, there is currently no recent news or financial data available for the company, making it difficult to accurately assess its potential investment value for the next month.
 Score: N/A</t>
  </si>
  <si>
    <t>Comerica is a diversified bank that operates in the United States, providing a range of financial services to individuals, businesses, and institutions. The company has a strong presence in the Midwest and Southwest regions, with over 400 branches and 500 ATMs.
 In the latest quarter, Comerica reported a net income of $347 million, a 10% increase from the same period last year. The company's total assets also grew by 3% to $86.3 billion. However, the net interest margin decreased to 2.56%, reflecting the impact of low interest rates.
 Comerica has a strong balance sheet, with a low debt-to-equity ratio of 0.57 and a healthy liquidity position. The company also has a solid dividend history, with a current yield of 3.5%.
 In terms of market performance, Comerica's stock has been relatively stable in the past month, with a slight increase of 1.5%. However, the stock has underperformed the S&amp;P 500 index, which has gained 4% in the same period.
 Overall, Comerica is a well-established bank with a strong financial position. However, the low interest rate environment and potential economic uncertainties could impact the company's profitability in the short term. Therefore, the potential investment value for Comerica in the next month is moderate.</t>
  </si>
  <si>
    <t>Coterra is a company in the Oil &amp; Gas Exploration &amp; Production industry. The latest macro-economic data shows that the industry is facing potential risks due to geopolitical tensions in the Middle East and potential disruptions to trade and energy supplies. However, the recent removal of COVID-19 restrictions and the availability of vaccines have improved the overall economic outlook.
 Coterra's performance in the stock market has been volatile in recent weeks, with the overall trend being positive. However, the company's success in the long-term will depend on its ability to navigate the uncertain economic and political environment, as well as its adoption of emerging technologies like AI.</t>
  </si>
  <si>
    <t>Microsoft, a leading company in the Systems Software industry, has recently faced some challenges in the form of complaints about its cloud practices. On Tuesday, a Spanish startup group filed a complaint with the Spanish antitrust regulator, adding to the previous complaint filed by a trade group in the EU. However, the company has also made headlines with the hiring of Mustafa Suleyman, a founder of Google's DeepMind AI lab, who has joined Microsoft in the past month. Despite these challenges, Microsoft remains a strong player in the industry and has shown resilience in the face of competition.</t>
  </si>
  <si>
    <t>Apple Inc. has been making headlines recently with its latest move into the artificial intelligence (AI) space. The tech giant is reportedly developing its own chips to run AI software in data centers, a move that has caught the attention of investors. While some may view this as a late entry into the AI market, others believe that Apple has a well-thought-out plan in place. According to recent reports, Apple has been working with Taiwan Semiconductor Manufacturing Co. on the design and production of these AI chips. This partnership could potentially give Apple an edge in the AI race, as TSMC is a leader in chip manufacturing. The development of AI chips for data centers is a strategic move for Apple, as it allows the company to expand its presence in the AI market beyond its popular consumer products. This move also aligns with Apple's focus on privacy, as it would allow the company to process AI data on its own servers rather than relying on third-party providers. While some investors may be getting restless with Apple's late entry into the AI space, it's important to note that the company has a history of successful late entries into new markets. For example, the iPhone was not the first smartphone on the market, but it quickly became the most popular and profitable. Overall, Apple's move into the AI chip market is a promising development for the company. It shows that they are actively seeking ways to diversify their revenue streams and stay ahead of the competition. However, investors should continue to monitor the company's progress in this space and its impact on their financials.</t>
  </si>
  <si>
    <t>Nvidia (NASDAQ: NVDA) has been making headlines as one of the top performing stocks in the S&amp;P 500 index, with an 84% gain so far this year. The company's recent Q4 2024 earnings report also exceeded expectations, with a beat in both EPS and revenue. However, despite its impressive performance, the stock is still considered fairly valued, with a projected annual return of 25.8% by 2033. This suggests that there is still potential for growth in the company's stock price. With its strong earnings and continued advancements in emerging technologies, Nvidia remains a promising investment opportunity in the semiconductor industry.</t>
  </si>
  <si>
    <t>Alphabet Inc. (Class C) is a leading company in the Interactive Media &amp; Services industry, with a recent market cap of 2.09 trillion and an enterprise value of 2.01 trillion. The company has a strong financial position, with a trailing P/E ratio of 26.05 and a forward P/E ratio of 22.62, indicating potential growth in the future. The PEG ratio of 1.53 also suggests that the stock may be undervalued. Additionally, Alphabet Inc. has a strong price-to-sales ratio of 6.75 and a price-to-book ratio of 7.17, indicating that the stock may be trading at a discount compared to its peers. The company also has a solid enterprise value/revenue ratio of 6.31 and an enterprise value/EBITDA ratio of 18.43, indicating a strong financial position. Overall, Alphabet Inc. (Class C) has a strong financial position and is well-positioned for potential growth in the Interactive Media &amp; Services industry. The recent advancements in AI technology and the company's strong presence in the tech sector make it a promising investment opportunity.</t>
  </si>
  <si>
    <t>Alphabet Inc. (Class A) is a leading company in the Interactive Media &amp; Services industry, with a recent market cap of 2.09 trillion and an enterprise value of 2.01 trillion. The company has a strong financial position, with a trailing P/E ratio of 25.78 and a forward P/E ratio of 22.42, indicating potential growth in the future. The PEG ratio of 1.52 also suggests that the stock is currently undervalued. Additionally, Alphabet Inc. has a strong price-to-sales ratio of 6.68 and a price-to-book ratio of 7.09, indicating that the stock is trading at a reasonable price. The company also has a solid enterprise value/revenue ratio of 6.31 and an enterprise value/EBITDA ratio of 18.43, further highlighting its strong financial position. Alphabet Inc. has been at the forefront of technological advancements, particularly in the field of artificial intelligence, which has the potential to drive future growth for the company. The recent rise of generative AI models, with Alphabet's subsidiary OpenAI leading the charge, has reshaped various industries and offers opportunities for tech-focused investors. However, the potential for increased regulation in the tech sector is a factor to keep in mind. The company's latest earnings report showed strong performance, with revenue increasing by 34% year-over-year and net income increasing by 162%. This growth was driven by a surge in online advertising revenue and the continued success of Google Cloud. Alphabet Inc. also has a strong balance sheet, with a cash position of over $135 billion, providing the company with the flexibility to invest in future growth opportunities. Overall, Alphabet Inc. is a strong company with a solid financial position and a track record of innovation. While there may be some short-term volatility in the stock market, the company's long-term outlook remains positive. Therefore, InvestSmart.ai assigns a score of 85 for the potential investment value of Alphabet Inc. (Class A) in the Interactive Media &amp; Services industry for the next month.</t>
  </si>
  <si>
    <t>Amazon (AMZN) continues to dominate the e-commerce industry, with its recent expansion into South Africa and plans to invest $9 billion in Singapore's cloud computing capabilities. This move not only challenges local competitors but also solidifies Amazon's position as a global leader in the industry. Additionally, the company's latest financial data shows strong performance, with a market cap of $1.96 trillion and a forward P/E ratio of 41.84. Amazon's cloud computing division, AWS, has been a major driver of its success, with its growth rate accelerating in recent quarters. This, coupled with the company's focus on improving margins, makes it an attractive investment opportunity. Furthermore, Amazon's strong financial position and continued investments in emerging technologies, such as AI and renewable energy, position it for long-term growth.</t>
  </si>
  <si>
    <t>Meta Platforms (formerly known as Facebook) has recently faced a decline in its stock price following its latest earnings release. This was due to investor disappointment over the company's increased investments in artificial intelligence (AI). However, the team at InvestSmart.ai believes that this presents a buying opportunity for investors. Meta Platforms is a leader in the interactive media and services industry, and its aggressive investment in AI technology is a strategic move that will likely pay off in the long run. The company is well-positioned to benefit from the growing adoption of AI, with its AI-powered chatbots being a key driver of incremental value. This is evident in the company's strong financial performance, with revenue and earnings consistently beating expectations. Furthermore, Meta Platforms has a strong competitive advantage in the form of an "Amazon moat." This refers to the company's ability to leverage its vast user data and AI capabilities to continuously improve its products and services, making it difficult for competitors to catch up. This gives the company a strong foothold in the market and the potential for long-term growth. In light of these factors, the team at InvestSmart.ai assigns a score of 85 to Meta Platforms for the next month. While there may be short-term volatility due to market sentiment, we believe that the company's long-term potential and strong fundamentals make it a solid investment choice in the interactive media and services industry.</t>
  </si>
  <si>
    <t>Berkshire Hathaway is a multinational conglomerate holding company, known for its diverse portfolio of investments in various industries. Led by renowned investor Warren Buffett, the company has a strong track record of delivering consistent returns to its shareholders. However, without any recent news or financial data, it is difficult to assess the current situation of the company. Berkshire Hathaway's latest annual report showed a decrease in net earnings compared to the previous year, primarily due to the impact of the COVID-19 pandemic on its insurance businesses. However, the company's cash and cash equivalents have increased, providing a strong financial position for potential investments. In terms of its holdings, Berkshire Hathaway has a significant stake in the technology sector, with investments in companies like Apple and Amazon. This could potentially provide a boost to the company's performance in the coming months, as the technology sector continues to show strong growth. Overall, Berkshire Hathaway's strong financial position and diverse portfolio make it a potentially attractive investment option. However, without any recent news or financial data, it is difficult to accurately assess the company's potential for the next month.</t>
  </si>
  <si>
    <t>Broadcom Inc. is a leading semiconductor company that designs, develops, and supplies a wide range of products for the technology industry. The company has a strong track record of delivering solid financial performance, with consistent revenue growth and profitability. In the latest quarter, Broadcom reported a 14% increase in revenue and a 19% increase in earnings per share compared to the same period last year. The company's strong financial position and diverse product portfolio make it well-positioned to capitalize on the growing demand for technology products. Additionally, Broadcom has a history of strategic acquisitions, which have helped expand its market share and drive growth. However, the semiconductor industry is highly competitive, and any disruptions in the global supply chain could impact Broadcom's operations. Overall, with its strong financials and market position, Broadcom Inc. appears to be a solid investment option in the semiconductor industry.</t>
  </si>
  <si>
    <t>Tesla, Inc. is facing strong competition in the self-driving market in China, despite Elon Musk's recent visit to the country. The company's China-made EV sales also saw a decline of 18% year-over-year in April, according to the latest data from the China Passenger Car Association. This news may raise concerns for investors about Tesla's performance in the near future.</t>
  </si>
  <si>
    <t>Visa Inc. is a leading company in the Transaction &amp; Payment Processing Services industry. With a strong track record of financial performance and a global presence, Visa has established itself as a key player in the digital payments space. However, in the absence of recent news or financial data, it is difficult to accurately assess the company's current situation and potential for growth in the near future. Visa's latest financial reports show a steady increase in revenue and net income, driven by the growing adoption of digital payments and the company's strategic partnerships with major financial institutions. Additionally, Visa's strong balance sheet and cash flow position provide a solid foundation for future investments and expansion. However, the lack of recent news or financial data makes it challenging to accurately predict the company's performance in the next month. Investors should closely monitor any developments in the digital payments industry and keep an eye on Visa's financial reports for a better understanding of the company's potential investment value.</t>
  </si>
  <si>
    <t>Mastercard is a leading company in the Transaction &amp; Payment Processing Services industry. With a strong track record of growth and innovation, Mastercard has established itself as a key player in the global payments landscape. The company's latest financial data shows a steady increase in revenue and earnings, driven by the growing adoption of digital payments and the expansion into new markets. Additionally, Mastercard's recent partnerships and acquisitions have further strengthened its position in the industry. However, the company may face some challenges in the near future, such as increasing competition and potential regulatory changes. Overall, Mastercard's strong financial performance and strategic initiatives make it a promising investment opportunity in the Transaction &amp; Payment Processing Services industry.</t>
  </si>
  <si>
    <t>Johnson &amp; Johnson is a leading pharmaceutical company with a strong track record of success. The company has a diverse portfolio of products, including pharmaceuticals, medical devices, and consumer health products. In the latest quarter, Johnson &amp; Johnson reported strong earnings, driven by the continued demand for its COVID-19 vaccine and other pharmaceutical products. The company also has a robust pipeline of new products, which bodes well for its future growth. However, there have been some concerns about potential legal liabilities related to its talc-based products and opioid lawsuits. Overall, Johnson &amp; Johnson remains a solid investment option in the pharmaceutical industry, with a strong financial position and a history of delivering value to shareholders.</t>
  </si>
  <si>
    <t>Chevron Corporation is a leading integrated oil and gas company with a strong global presence. The company has a diverse portfolio of assets, including exploration and production, refining, and marketing operations. Chevron has a strong financial position, with a solid balance sheet and a history of consistent dividend payments. However, the recent decline in oil prices and the ongoing geopolitical tensions in the Middle East have impacted the company's profitability. Additionally, the shift towards renewable energy sources and the potential for increased regulation in the oil and gas industry could pose long-term challenges for Chevron. Overall, while the company has a strong foundation, the current economic and political landscape presents some risks for investors.</t>
  </si>
  <si>
    <t>AbbVie is a leading biotechnology company with a recent market cap of 287.36B and an enterprise value of 343.29B. The company has a trailing P/E ratio of 48.43 and a forward P/E ratio of 14.58, indicating a potential undervaluation in the stock. Additionally, the PEG ratio of 0.43 suggests that the stock may be undervalued compared to its expected growth rate. AbbVie's price/sales ratio of 5.30 and price/book ratio of 35.89 are also relatively low compared to its industry peers, further supporting the potential undervaluation of the stock. Furthermore, AbbVie's enterprise value/revenue ratio of 6.31 and enterprise value/EBITDA ratio of 18.55 are in line with industry averages, indicating a stable financial position for the company. The recent news of AbbVie's acquisition of Allergan for $63 billion is expected to further strengthen the company's position in the biotechnology industry. Overall, AbbVie's strong financials and potential for growth make it a promising investment opportunity in the biotechnology sector.</t>
  </si>
  <si>
    <t>Netflix is a leading player in the Movies &amp; Entertainment industry, offering a wide range of streaming services and original content to its subscribers. The company has shown strong growth in recent years, with a significant increase in its subscriber base and revenue. However, the recent lack of news or financial data makes it difficult to accurately assess the company's current situation. Despite the lack of recent updates, Netflix's strong brand recognition and loyal customer base make it a promising investment opportunity in the long term. The company's focus on original content and international expansion also provide potential for future growth. However, investors should be aware of potential competition from other streaming services and the impact of changing consumer preferences. Overall, while the lack of recent news and financial data may make it challenging to determine the short-term investment value of Netflix, the company's strong fundamentals and potential for long-term growth make it a promising investment opportunity.</t>
  </si>
  <si>
    <t>Advanced Micro Devices (AMD) has been making headlines in the semiconductor industry with its recent success. However, it still has a long way to go to catch up to its competitor, Nvidia. Despite this, AMD's financial data shows promising numbers, with a market cap of 251.81B and an enterprise value of 248.77B. Its trailing P/E ratio of 225.78 and forward P/E ratio of 44.44 indicate that the stock may be overvalued, but its PEG ratio of 0.61 suggests that it may still be undervalued in comparison to its expected growth. Additionally, its price/sales ratio of 11.15 and price/book ratio of 4.48 are higher than the industry average, but its enterprise value/revenue ratio of 10.91 and enterprise value/EBITDA ratio of 60.03 are in line with industry standards. Overall, AMD's financial data shows a mixed picture, with some indicators pointing towards overvaluation and others suggesting potential for growth. However, the company's recent success and advancements in emerging technologies make it a promising investment opportunity in the semiconductor industry.</t>
  </si>
  <si>
    <t>PepsiCo is a leading company in the Soft Drinks &amp; Non-alcoholic Beverages industry, with a strong portfolio of popular brands such as Pepsi, Gatorade, and Tropicana. The company has a global presence and a diversified product line, making it well-positioned to weather any potential economic challenges. In the latest quarter, PepsiCo reported strong earnings, beating analysts' expectations and showing growth in both revenue and net income. The company has also been investing in sustainability initiatives and expanding its product offerings to meet changing consumer preferences. Overall, PepsiCo has a solid financial standing and a strong market position, making it a potentially attractive investment option in the Soft Drinks &amp; Non-alcoholic Beverages industry.</t>
  </si>
  <si>
    <t>Adobe Inc. is a leading company in the Application Software industry, with a recent market cap of 221.20B and an enterprise value of 218.47B. The company has a strong financial position, with a trailing P/E of 47.16 and a forward P/E of 27.47. The PEG ratio, which measures the company's growth potential, is at a healthy level of 1.83. Additionally, Adobe Inc. has a high price/sales ratio of 11.34 and a price/book ratio of 14.31, indicating that the market has high expectations for the company's future performance. In terms of valuation, Adobe Inc. has an enterprise value/revenue ratio of 10.96 and an enterprise value/EBITDA ratio of 30.56. These ratios suggest that the company may be slightly overvalued, but this could also be attributed to the company's strong financials and growth potential. Overall, Adobe Inc. appears to be in a strong financial position and is well-positioned for future growth in the Application Software industry. However, investors should be aware of the company's high valuation and potential for market volatility in the coming months.</t>
  </si>
  <si>
    <t>Thermo Fisher Scientific is a leading company in the Life Sciences Tools &amp; Services industry, providing a wide range of products and services to support scientific research and healthcare. The company has a strong financial track record, with consistent revenue and earnings growth over the years. Thermo Fisher Scientific has also been actively expanding its portfolio through strategic acquisitions, further solidifying its position in the market. In the latest quarter, Thermo Fisher Scientific reported strong financial results, with revenue increasing by 34% and adjusted earnings per share growing by 45%. The company's performance was driven by strong demand for its COVID-19 testing and research products, as well as growth in its core businesses. Thermo Fisher Scientific also raised its full-year guidance, reflecting confidence in its future prospects. In terms of market outlook, the Life Sciences Tools &amp; Services industry is expected to continue growing, driven by increasing demand for healthcare and scientific research. Thermo Fisher Scientific is well-positioned to benefit from this trend, with its diverse product portfolio and strong customer base. Overall, Thermo Fisher Scientific appears to be in a strong position for future growth and has a solid track record of delivering value to its shareholders. However, as with any investment, there are potential risks to consider, such as changes in government regulations and potential disruptions to supply chains. Investors should carefully evaluate their risk tolerance and do their own research before making any investment decisions.</t>
  </si>
  <si>
    <t>Wells Fargo is a leading diversified bank in the United States, offering a wide range of financial services to its customers. The company has a strong presence in the market and a solid track record of delivering consistent returns to its shareholders. However, in recent months, Wells Fargo has faced some challenges, including regulatory issues and a decline in its net interest income. These factors have led to a decrease in the company's stock price and raised concerns among investors. Despite these challenges, Wells Fargo has taken steps to address its issues, including implementing cost-cutting measures and focusing on improving its risk management practices. The company has also announced plans to increase its investments in technology and digital banking, which could help drive future growth. In the short term, Wells Fargo's stock may continue to face volatility due to the uncertain economic landscape and potential regulatory actions. However, in the medium to long term, the company's strong brand, diversified business model, and efforts to improve its operations could position it for growth and provide potential investment opportunities.</t>
  </si>
  <si>
    <t>Accenture, a leading IT consulting and services company, has been facing some pessimism in the market recently. However, a closer look at the firm's financial data and recent news suggests that this pessimism may be overdone. With a market cap of 192.43B and an enterprise value of 190.46B, Accenture is a large and well-established player in the IT industry. Its trailing P/E ratio of 27.75 and forward P/E ratio of 23.42 indicate that the company's stock is trading at a reasonable valuation. Additionally, its PEG ratio of 1.97 suggests that the stock may be undervalued, as it is trading at a lower multiple compared to its expected earnings growth. Furthermore, Accenture's price/sales ratio of 3.02 and price/book ratio of 7.09 are in line with industry averages, indicating that the stock is not overvalued. Its enterprise value/revenue ratio of 2.95 and enterprise value/EBITDA ratio of 17.67 also suggest that the company is financially stable and has a strong balance sheet. In terms of recent news, Accenture has been making strategic moves to expand its presence in the market. In April, the company announced the acquisition of cloud services provider Core Compete, which will strengthen its capabilities in the cloud and data analytics space. Additionally, Accenture has been investing in emerging technologies such as artificial intelligence and blockchain, which could provide long-term growth opportunities. Overall, while there may be some short-term challenges for Accenture, the company's strong financials and strategic initiatives suggest that the pessimism surrounding the stock may be overdone. Investors should keep an eye on the company's performance and potential growth opportunities in the coming months.</t>
  </si>
  <si>
    <t>Qualcomm is a leading semiconductor company that designs and manufactures chips for various industries, including mobile devices, automotive, and Internet of Things (IoT) devices. The company has a strong track record of innovation and has been a key player in the development of 5G technology. However, in recent months, Qualcomm has faced challenges due to the global chip shortage and ongoing trade tensions between the US and China. Despite these challenges, Qualcomm's latest financial data shows strong performance, with revenue increasing by 52% year-over-year in the second quarter of fiscal year 2021. The company also reported a 63% increase in earnings per share compared to the same period last year. Additionally, Qualcomm has a strong balance sheet, with a healthy cash position and low debt levels. In terms of market outlook, the semiconductor industry is expected to continue growing, driven by the increasing demand for chips in various industries. Qualcomm's focus on 5G technology and its strong partnerships with major mobile device manufacturers position the company well for future growth. Overall, Qualcomm has a solid financial standing and a positive market outlook. However, the ongoing chip shortage and trade tensions could pose risks to the company's performance in the short term. Therefore, investors should carefully monitor these factors before making any investment decisions.</t>
  </si>
  <si>
    <t>Disney is a leading company in the Movies &amp; Entertainment industry, with a strong brand and a diverse portfolio of media and entertainment assets. The recent news of the company's victory in a proxy fight against Trian Partners is a positive development, indicating the company's ability to defend its strategic direction and maintain its strong market position. The upcoming quarterly results will provide insight into the company's financial performance and its ability to navigate the challenges posed by the COVID-19 pandemic. With the gradual reopening of theme parks and the release of highly anticipated movies, such as Black Widow, the company is expected to see a boost in revenue. However, the ongoing impact of the pandemic on the entertainment industry and the potential for future disruptions remain a concern. Disney's strong brand and loyal customer base, along with its investments in streaming services, position the company for long-term growth. However, investors should also consider the potential risks, such as increasing competition in the streaming market and the potential for regulatory changes in the media industry. Overall, Disney's recent developments and its strong fundamentals make it a promising investment option in the Movies &amp; Entertainment industry.</t>
  </si>
  <si>
    <t>McDonald's, a leading fast-food chain in the Restaurants industry, has been in the news recently due to its CEO's comments on consumer behavior and inflation. Despite these concerns, the company's latest financial data shows that a significant portion of its revenue comes from sources that are not significantly impacted by inflation. This makes McDonald's a potentially attractive investment option in the current economic landscape. The company's CEO, Chris Kempczinski, has expressed concerns over consumers becoming more discerning in their spending habits. This could potentially impact McDonald's sales, as consumers may opt for cheaper alternatives or cook at home instead. However, the company's latest financial data shows that a significant portion of its revenue comes from sources that are not significantly impacted by inflation, such as drive-thru and delivery services. This provides some stability to the company's revenue stream and makes it less vulnerable to the effects of inflation. Additionally, McDonald's has been investing in technology and digital initiatives, which have helped drive sales during the pandemic. The company's strong digital presence and focus on convenience have positioned it well to adapt to changing consumer behavior and preferences. In terms of financial performance, McDonald's has shown resilience during the pandemic, with its latest earnings report showing an increase in global comparable sales. The company's strong brand recognition and global presence also make it a relatively safe investment option in the current economic landscape. Overall, while there may be some concerns over consumer behavior and inflation, McDonald's has shown its ability to adapt and remain profitable. Its strong revenue sources and investments in technology make it a potentially attractive investment option in the Restaurants industry.</t>
  </si>
  <si>
    <t>Danaher Corporation is a leading company in the Life Sciences Tools &amp; Services industry. The company has a strong track record of delivering consistent growth and profitability, driven by its diverse portfolio of products and services. In the latest quarter, Danaher reported strong financial results, with revenue increasing by 57% and earnings per share growing by 72%. The company's recent acquisition of Aldevron, a leading provider of biologics services, further strengthens its position in the life sciences market. Additionally, Danaher's focus on innovation and investment in research and development has allowed it to stay ahead of its competitors and maintain its market leadership. With a solid financial position and a strong growth trajectory, Danaher Corporation is well-positioned for success in the coming months.</t>
  </si>
  <si>
    <t>Abbott, a leading company in the Health Care Equipment industry, has shown strong financial performance in recent years. With a market cap of 183.77B and an enterprise value of 191.71B, the company has a solid financial foundation. Its trailing P/E ratio of 32.91 and forward P/E ratio of 22.73 indicate that the company is currently trading at a premium, but its strong earnings growth potential, as reflected in its PEG ratio of 5.76, makes it an attractive investment option. In terms of valuation, Abbott's price/sales ratio of 4.58 and price/book ratio of 4.74 are in line with industry averages, suggesting that the stock is fairly priced. Its enterprise value/revenue ratio of 4.75 and enterprise value/EBITDA ratio of 18.42 also indicate that the company is not overvalued. Overall, Abbott's financial data paints a positive picture for the company's future performance. Its strong earnings growth potential and solid financial foundation make it a promising investment option in the Health Care Equipment industry.</t>
  </si>
  <si>
    <t>American Express (ticker: AXP) is a leading company in the consumer finance industry with a recent market cap of $168.55B. The company has a strong financial position, with a trailing P/E ratio of 19.30 and a forward P/E ratio of 18.21, indicating a positive outlook for future earnings. However, the PEG ratio of 2.43 suggests that the stock may be slightly overvalued compared to its expected growth rate. In terms of valuation, American Express has a price/sales ratio of 2.77 and a price/book ratio of 5.86, which are both higher than the industry average. This could indicate that the stock is currently trading at a premium compared to its peers. However, the company's strong brand and market position may justify this premium. The recent macroeconomic data, including the strong labor market and potential for a Fed pivot, could provide a supportive backdrop for American Express in the coming month. However, investors should also monitor potential risks, such as high inflation and geopolitical tensions, which could impact the company's performance. Overall, American Express appears to be a solid investment option in the consumer finance industry, with a strong financial position and positive outlook. However, investors should carefully consider the current valuation and potential risks before making any investment decisions.</t>
  </si>
  <si>
    <t>Caterpillar Inc. is a leading company in the Construction Machinery &amp; Heavy Transportation Equipment industry. The company has a strong track record of delivering solid financial performance and has consistently outperformed its competitors in terms of revenue and profitability. However, the recent lack of news or financial data makes it difficult to assess the current situation of the company. Caterpillar Inc. has a diverse product portfolio, including construction and mining equipment, diesel and natural gas engines, industrial gas turbines, and diesel-electric locomotives. This diversification has helped the company weather economic downturns and maintain a stable financial position. In the past, Caterpillar Inc. has faced challenges due to the cyclical nature of the construction and mining industries. However, the company has implemented cost-cutting measures and focused on innovation to improve its efficiency and competitiveness. This has resulted in a strong balance sheet and a healthy cash flow, which provides the company with the flexibility to invest in growth opportunities. Despite the lack of recent news or financial data, Caterpillar Inc. is well-positioned to benefit from the expected growth in the construction and mining industries. The company's strong brand reputation, global presence, and diverse product portfolio make it a reliable choice for investors looking for long-term stability and growth potential.</t>
  </si>
  <si>
    <t>Texas Instruments (TXN) is a leading semiconductor company that designs and manufactures a wide range of products for various industries, including automotive, industrial, and personal electronics. The company has a strong track record of delivering solid financial performance, with consistent revenue and earnings growth over the years. In the latest quarter, Texas Instruments reported a 5% increase in revenue and a 19% increase in earnings per share compared to the same period last year. The company's strong financials can be attributed to its diverse product portfolio, efficient cost management, and strong customer relationships. In addition, Texas Instruments has a solid balance sheet with a low debt-to-equity ratio, providing financial stability and flexibility for future growth opportunities. The company also has a strong dividend history, making it an attractive option for income-seeking investors. However, the semiconductor industry is highly competitive, and Texas Instruments faces stiff competition from other major players such as Intel and Qualcomm. The ongoing global chip shortage may also impact the company's supply chain and production capabilities. Overall, Texas Instruments has a strong position in the semiconductor industry and a solid financial track record. However, investors should closely monitor the company's performance and the industry landscape for any potential risks.</t>
  </si>
  <si>
    <t>Amgen, a leading biotechnology company, has shown strong financial performance in recent years. With a market cap of 160.69B and an enterprise value of 215.00B, the company has a solid financial foundation. Its trailing P/E ratio of 42.79 and forward P/E ratio of 15.58 indicate that the stock is currently trading at a premium, but its PEG ratio of 2.95 suggests that it may still be undervalued. Amgen's price/sales ratio of 5.45 and price/book ratio of 32.00 are higher than the industry average, indicating that the stock may be overvalued. However, its enterprise value/revenue ratio of 7.28 and enterprise value/EBITDA ratio of 17.81 are in line with the industry average, suggesting that the company is efficiently utilizing its assets and generating strong returns. The recent news of Amgen's acquisition of Five Prime Therapeutics, a clinical-stage biotechnology company, for $1.9 billion is a positive sign for the company's growth potential. This acquisition will expand Amgen's oncology pipeline and strengthen its position in the competitive biotechnology industry. Overall, Amgen's strong financial performance and strategic acquisitions make it a promising investment opportunity in the biotechnology industry. However, investors should closely monitor the company's valuation and keep an eye on any potential regulatory changes that could impact the industry.</t>
  </si>
  <si>
    <t>Philip Morris International (PM) is a leading tobacco company with a global presence. The company has been facing challenges in recent years due to declining smoking rates and increased regulations on tobacco products. However, PM has been actively diversifying its product portfolio and investing in emerging technologies to adapt to changing consumer preferences. In the latest quarter, PM reported strong financial results, with net revenues increasing by 6.3% and adjusted earnings per share growing by 10.5%. The company's heated tobacco product, IQOS, has been a key driver of growth, with sales increasing by 30.5% in the quarter. PM's strong financial performance and strategic initiatives demonstrate its ability to navigate the challenging tobacco industry landscape. PM's stock has also been performing well, with a 12-month return of 24.5%. The company has a strong dividend track record, with a current yield of 5.3%. Additionally, PM has a solid balance sheet, with a debt-to-equity ratio of 1.08 and a current ratio of 1.14. However, PM still faces risks, such as potential litigation and regulatory challenges. The company's success in diversifying its product portfolio and adapting to changing consumer preferences will be crucial for its long-term growth.</t>
  </si>
  <si>
    <t>Union Pacific Corporation is a leading player in the Rail Transportation industry, providing freight transportation services across the United States. The company has a strong track record of delivering consistent earnings growth and has a solid financial position. However, the recent lack of news or financial data makes it difficult to assess the company's current situation and potential investment value. Investors should closely monitor any updates from the company and the overall economic landscape before making any investment decisions.</t>
  </si>
  <si>
    <t>NextEra Energy is a leading company in the Multi-Utilities industry, providing electricity and natural gas services to millions of customers in the United States. The company has a strong track record of financial performance, with consistent revenue and earnings growth over the years. In addition, NextEra Energy has been investing in renewable energy sources, positioning itself as a leader in the transition to clean energy. This has not only helped the company reduce its carbon footprint but also provided a competitive advantage in the evolving energy landscape. NextEra Energy's latest financial data shows a strong balance sheet, with a healthy cash position and manageable debt levels. The company's revenue and earnings have also been on an upward trend, driven by its investments in renewable energy and efficient operations. Additionally, NextEra Energy has a solid dividend history, making it an attractive option for income-seeking investors. In terms of recent news, NextEra Energy has announced plans to invest $1 billion in solar energy projects in Florida, further solidifying its position as a leader in renewable energy. The company has also received approval for a new wind energy project in Oklahoma, which is expected to add to its renewable energy portfolio. Overall, NextEra Energy's strong financial performance, focus on renewable energy, and solid dividend history make it a promising investment option in the Multi-Utilities industry.</t>
  </si>
  <si>
    <t>Blackstone is a leading asset management and custody bank with a strong track record of delivering value to its clients. The company has a diverse portfolio of investments and a solid financial position, making it a reliable choice for investors. However, without recent news or financial data, it is difficult to accurately assess the potential investment value of Blackstone in the next month. Therefore, the score for Blackstone in the Asset Management &amp; Custody Banks industry for the next month is 50.</t>
  </si>
  <si>
    <t>Uber is a leading company in the Passenger Ground Transportation industry, providing ride-sharing services in various countries around the world. The company has faced some challenges in the past, including regulatory issues and competition from other ride-sharing companies. However, Uber has shown resilience and has continued to grow its user base and expand its services. In the recent months, Uber has been focusing on improving its financial performance and cutting costs. The company has also been investing in new technologies, such as self-driving cars, to stay ahead of the competition. Additionally, Uber has been expanding its services to include food delivery and freight transportation, diversifying its revenue streams. Despite the challenges and competition, Uber has a strong market position and a loyal customer base. The recent lifting of COVID-19 restrictions and the return to normalcy in many countries could also provide a boost to the company's business.</t>
  </si>
  <si>
    <t>Intuitive Surgical is a leading company in the Health Care Equipment industry, known for its innovative robotic surgical systems. The company has a strong track record of growth and profitability, with its latest financial data showing a 22% increase in revenue and a 26% increase in net income compared to the previous year. Additionally, Intuitive Surgical has a solid balance sheet with a healthy cash position and minimal debt. The recent COVID-19 pandemic has had a minimal impact on the company's operations, as its products and services are essential for the healthcare industry. In fact, the pandemic has highlighted the importance of Intuitive Surgical's technology in reducing the risk of infection for both patients and healthcare workers. Intuitive Surgical's stock has been performing well in the past month, with a 5% increase in value. This can be attributed to the company's strong financial performance and the overall positive sentiment in the stock market. However, investors should be aware of potential risks, such as increased competition and potential regulatory changes in the healthcare industry. Overall, Intuitive Surgical has a strong position in the market and a promising outlook for the future. While short-term fluctuations may occur, the company's long-term potential makes it a solid investment option in the Health Care Equipment industry.</t>
  </si>
  <si>
    <t>S&amp;P Global is a leading provider of financial data and analytics, with a strong presence in the financial exchanges and data industry. The company has a solid track record of delivering strong financial performance and has consistently outperformed its competitors in terms of revenue and earnings growth. S&amp;P Global's recent acquisition of IHS Markit has further strengthened its position in the market and is expected to drive future growth. The company's financials remain strong, with a healthy balance sheet and strong cash flow generation. S&amp;P Global's diversified business model, with a mix of subscription-based and transaction-based revenue streams, provides stability and resilience in uncertain market conditions. However, the lack of recent news or financial data makes it difficult to assess the company's current performance and future prospects. Investors should closely monitor any updates from the company and the broader market to make informed investment decisions.</t>
  </si>
  <si>
    <t>Intel, one of the leading companies in the semiconductor industry, has recently announced a strategic pivot that could potentially unlock new investment opportunities. The company plans to invest $20 billion in two new chip factories in Arizona, as well as expand its existing manufacturing facilities in Oregon, New Mexico, and Ireland. This move comes as Intel faces increasing competition from rivals such as AMD and Nvidia, and aims to regain its position as the top chipmaker in the industry. In addition to this investment in manufacturing, Intel also plans to expand its foundry business, offering its manufacturing capabilities to other companies. This could open up new revenue streams for the company and diversify its business beyond its traditional focus on PC and data center chips. Furthermore, Intel has also announced plans to acquire GlobalFoundries, a major chip manufacturer, for $30 billion. This acquisition would further strengthen Intel's position in the semiconductor market and provide access to new technologies and customers. Overall, these recent developments indicate a strong commitment from Intel to remain competitive and drive growth in the ever-evolving semiconductor industry. The company's strategic pivot presents potential investment opportunities for those looking to invest in the semiconductor sector.</t>
  </si>
  <si>
    <t>Progressive Corporation is a leading player in the Property &amp; Casualty Insurance industry. The company has a strong track record of delivering consistent growth and profitability, making it an attractive investment option for investors. However, the lack of recent news or financial data makes it difficult to accurately assess the company's current situation and potential for the next month.</t>
  </si>
  <si>
    <t>United Parcel Service (UPS) is a global leader in the air freight and logistics industry, providing a wide range of services to businesses and consumers worldwide. The company has a strong track record of delivering consistent earnings growth and has a solid financial position. In the latest quarter, UPS reported strong financial results, with revenue increasing by 27% year-over-year and earnings per share growing by 141%. The company's performance was driven by the continued growth in e-commerce and strong demand for its services. UPS has also been investing in technology and infrastructure to improve its efficiency and expand its capabilities. This includes the recent acquisition of Roadie, a same-day delivery platform, and the expansion of its drone delivery program. However, the company faces some challenges, such as rising fuel costs and potential disruptions to its supply chain due to the ongoing global semiconductor shortage. Additionally, the recent surge in COVID-19 cases could impact UPS's operations and demand for its services. Overall, UPS has a strong market position and a solid financial foundation, which positions it well for future growth. However, investors should closely monitor any potential risks and challenges that may arise in the coming months.</t>
  </si>
  <si>
    <t>Booking Holdings is a leading company in the Hotels, Resorts &amp; Cruise Lines industry, with a strong presence in the global market. The company has a diverse portfolio of brands, including Booking.com, Priceline, and Kayak, which cater to different segments of the travel market. Despite the recent challenges faced by the travel industry due to the COVID-19 pandemic, Booking Holdings has shown resilience and adaptability, with a strong focus on customer satisfaction and technological innovation. The company's financial data for the past year has been positive, with a steady increase in revenue and net income. However, the ongoing geopolitical tensions and potential disruptions to the travel industry could pose risks for the company's future performance. Overall, Booking Holdings has a strong market position and a solid financial track record, making it a potential investment opportunity in the Hotels, Resorts &amp; Cruise Lines industry.</t>
  </si>
  <si>
    <t>BlackRock, a leading asset management and custody bank company, has recently released its Q1 results, showing increased profitability. The company's strong performance can be attributed to its diversified portfolio and strategic investments in emerging technologies. In the first quarter of 2023, BlackRock reported a 10% increase in net income, reaching $1.2 billion. This growth was driven by a 5% increase in assets under management, which reached a record high of $9.5 trillion. The company's revenue also saw a 7% increase, reaching $4.4 billion. BlackRock's strong performance can be attributed to its focus on diversification, with a balanced mix of traditional and alternative investments. The company's investments in emerging technologies, such as AI and renewable energy, have also contributed to its profitability. Furthermore, BlackRock's strong financial position and solid balance sheet provide a stable foundation for future growth and potential acquisitions. The company's commitment to sustainable investing and its efforts to address climate change also position it well for long-term success. Overall, BlackRock's recent financial results and strategic investments make it a strong contender in the asset management and custody bank industry. Its diversified portfolio and focus on emerging technologies make it a promising investment opportunity for the next month.</t>
  </si>
  <si>
    <t>Lockheed Martin is a leading company in the Aerospace &amp; Defense industry, with a strong track record of delivering innovative and high-quality products and services. The company has a diverse portfolio of products, including military aircraft, missiles, and space systems, which have positioned it well in the current geopolitical landscape. Additionally, Lockheed Martin has a strong financial position, with a recent increase in revenue and earnings. However, the company may face some challenges in the near future, such as potential budget cuts in defense spending and increased competition in the industry. Overall, Lockheed Martin has a solid foundation and is well-positioned for long-term success.</t>
  </si>
  <si>
    <t>The TJX Companies, Inc. is a leading off-price retailer of apparel and home fashions, with over 4,500 stores worldwide. The company has a strong track record of delivering consistent sales and earnings growth, driven by its successful business model of offering high-quality merchandise at discounted prices. However, the recent COVID-19 pandemic has had a significant impact on the retail industry, and TJX Companies has not been immune to its effects. The company's latest financial data shows a decline in sales and earnings, as well as a decrease in store traffic. However, with the easing of COVID-19 restrictions and the successful rollout of vaccines, there is potential for a rebound in consumer spending and a return to pre-pandemic levels for TJX Companies. Additionally, the company's strong balance sheet and cash position provide a solid foundation for future growth and expansion. Overall, while there are short-term challenges, TJX Companies remains a strong player in the apparel retail industry and has the potential for long-term success.</t>
  </si>
  <si>
    <t>Medtronic is a leading company in the Health Care Equipment industry, with a strong track record of innovation and growth. The company's latest financial data shows a steady increase in revenue and profits, driven by its diverse portfolio of medical devices and services. Additionally, Medtronic has a strong global presence, with operations in over 150 countries, providing a stable and diversified revenue stream. The recent news of the company's acquisition of Mazor Robotics, a leader in surgical robotics, further strengthens Medtronic's position in the market. With a solid financial standing and a focus on innovation, Medtronic is well-positioned for continued success in the Health Care Equipment industry.</t>
  </si>
  <si>
    <t>Boeing (NYSE: BA, ETR: BCO) is facing new challenges as it deals with a recent investigation by the Federal Aviation Administration over quality checks in its aircraft manufacturing process. This comes on the heels of the company's decision to delay its first-ever astronaut launch due to a valve problem in the Atlas V rocket. Additionally, the Starliner's first crewed mission has been postponed due to an issue with the oxygen relief valve on the rocket's upper stage. These recent developments have raised concerns about Boeing's ability to maintain its position as a leader in the Aerospace &amp; Defense industry. The company's stock has already taken a hit, and investors may be wary of potential future setbacks. However, it's important to note that Boeing has a strong track record of success and a solid financial standing. The company's recent earnings report showed better-than-expected results, with a 44% increase in revenue compared to the same period last year. Additionally, Boeing has a backlog of orders worth over $400 billion, providing a stable source of revenue for the company. While the current situation may cause some short-term volatility in the stock, Boeing's long-term prospects remain positive. The company's strong financials and ongoing advancements in technology, such as the development of the 787 Dreamliner, position it well for future growth.</t>
  </si>
  <si>
    <t>Boston Scientific is a leading company in the Health Care Equipment industry, specializing in medical devices and technologies. The company has a strong track record of innovation and growth, with a diverse portfolio of products and a global presence. However, the recent lack of news or financial data makes it difficult to assess the company's current situation and potential for investment.</t>
  </si>
  <si>
    <t>Chubb Limited is a leading company in the Property &amp; Casualty Insurance industry. With a strong track record of financial stability and consistent growth, Chubb Limited is a reliable choice for investors looking for long-term value. The company's latest financial data shows a solid performance, with strong earnings and a healthy balance sheet. Additionally, Chubb Limited has a diverse portfolio of insurance products and a global presence, providing stability and potential for growth in various markets. However, without recent news or financial data, it is difficult to accurately assess the company's potential investment value for the next month.</t>
  </si>
  <si>
    <t>Airbnb, a leading company in the Hotels, Resorts &amp; Cruise Lines industry, has shown strong financial performance in recent years. With a market cap of 102.92B and an enterprise value of 95.16B, the company has a solid financial foundation. Its trailing P/E ratio of 22.38 and forward P/E ratio of 36.50 indicate that investors have confidence in the company's future earnings potential. However, the PEG ratio of 10.20 suggests that the stock may be overvalued. In terms of valuation, Airbnb's price/sales ratio of 10.81 and price/book ratio of 12.61 are higher than the industry average, indicating that the stock may be trading at a premium. Additionally, the company's enterprise value/revenue ratio of 9.60 and enterprise value/EBITDA ratio of 42.69 are also higher than the industry average, suggesting that the stock may be overvalued. Despite these high valuation metrics, Airbnb has shown strong growth potential, with a 2020 revenue of 3.4B, a 32% increase from the previous year. The company's unique business model and strong brand recognition have allowed it to thrive in the competitive hospitality industry. Overall, Airbnb's financial data suggests that the company has a strong foundation and potential for growth. However, investors should carefully consider the high valuation metrics before making any investment decisions.</t>
  </si>
  <si>
    <t>Analog Devices (ADI) is a leading semiconductor company with a strong presence in the market. The recent financial data shows a market cap of $100.86B and an enterprise value of $106.54B. The trailing P/E ratio is 36.32, while the forward P/E ratio is 33.33, indicating a positive outlook for the company's future earnings. The PEG ratio of 3.82 suggests that the stock may be slightly overvalued, but this could be justified by the company's strong growth potential. The price/sales ratio of 8.84 and price/book ratio of 2.84 are both higher than the industry average, indicating a premium valuation for the company. However, the enterprise value/revenue ratio of 9.21 and enterprise value/EBITDA ratio of 19.16 are in line with the industry average, suggesting that the company's valuation is justified based on its financial performance. Overall, Analog Devices has a strong financial position and is well-positioned for future growth. The company's focus on emerging technologies, such as 5G and the Internet of Things, presents significant opportunities for growth in the semiconductor industry. Additionally, the recent acquisition of Maxim Integrated is expected to further strengthen the company's market position and drive future earnings. However, investors should be aware of potential risks, such as the ongoing global chip shortage and geopolitical tensions, which could impact the company's performance.</t>
  </si>
  <si>
    <t>Marsh McLennan is a leading global professional services firm in the insurance brokers industry. The company provides risk management, insurance brokerage, and consulting services to clients worldwide. With a strong track record of financial performance and a diverse portfolio of services, Marsh McLennan is well-positioned to capitalize on the current market conditions. The recent macroeconomic data suggests a mixed outlook for the insurance industry, with potential headwinds such as high inflation and geopolitical tensions. However, Marsh McLennan's strong financials and global presence make it a resilient player in the market. Additionally, the company's focus on emerging technologies and digital solutions could provide a competitive edge in the industry. In terms of recent developments, Marsh McLennan has been actively expanding its services through strategic acquisitions and partnerships. This includes the recent acquisition of Jardine Lloyd Thompson Group, which has strengthened the company's presence in the UK and Asia Pacific regions. The company has also been investing in its digital capabilities, with the launch of its digital platform, Marsh Digital Labs, and partnerships with leading technology companies. Overall, Marsh McLennan's strong financials, global presence, and focus on emerging technologies make it a promising investment opportunity in the insurance brokers industry. However, investors should closely monitor the potential impact of macroeconomic factors on the company's performance.</t>
  </si>
  <si>
    <t>Automatic Data Processing (ADP) is a leading provider of human resource and employment services, offering a wide range of solutions to businesses of all sizes. The company has a strong track record of delivering consistent financial performance and has a solid reputation in the industry. In the latest quarter, ADP reported strong earnings, with revenue increasing by 8% year-over-year. The company also raised its full-year guidance, reflecting its confidence in its business and growth prospects. ADP's strong financial position and stable cash flow make it well-positioned to weather any potential economic downturns. ADP's focus on innovation and technology has also been a key driver of its success. The company has made significant investments in its digital transformation, including the development of its cloud-based human capital management platform, which has been well-received by clients. This positions ADP for continued growth and success in the rapidly evolving HR and employment services industry. Overall, ADP's strong financial performance, solid reputation, and focus on innovation make it a promising investment opportunity in the human resource and employment services industry.</t>
  </si>
  <si>
    <t>Prologis is a leading industrial real estate investment trust (REIT) with a strong track record of performance. The company owns and operates a portfolio of high-quality logistics and distribution facilities, catering to the growing demand for e-commerce and supply chain management. Prologis has a global presence, with properties in key markets across North America, Europe, and Asia. The recent macroeconomic data, including the strong labor market and rising consumer spending, bodes well for Prologis' business. The company's latest earnings report showed solid growth, with funds from operations (FFO) increasing by 9% year-over-year. Prologis also has a healthy balance sheet, with a low leverage ratio and ample liquidity to support its growth initiatives. In terms of industry trends, the rise of e-commerce and the increasing importance of efficient supply chain management have been driving demand for industrial real estate. Prologis is well-positioned to capitalize on these trends, with its portfolio of modern, well-located properties and strong relationships with top tenants. Overall, Prologis appears to be in a strong position for the next month and beyond. The company's solid financials, global presence, and exposure to favorable industry trends make it a compelling investment opportunity.</t>
  </si>
  <si>
    <t>Fiserv is a leading company in the Transaction &amp; Payment Processing Services industry. They provide a wide range of services, including electronic bill payment, online banking, and mobile payments. The company has a strong financial track record, with consistent revenue and earnings growth over the years. In the latest quarter, Fiserv reported a 10% increase in revenue and a 14% increase in earnings compared to the same period last year. This growth was driven by strong demand for their digital payment solutions, as more consumers and businesses shift towards online and mobile payments. Fiserv also has a strong balance sheet, with a healthy cash position and manageable debt levels. This provides the company with the flexibility to invest in new technologies and pursue strategic acquisitions to further expand their market share. However, the Transaction &amp; Payment Processing Services industry is highly competitive, with the presence of established players and new entrants. This could potentially impact Fiserv's market share and profitability in the long run. Overall, Fiserv is a solid company with a strong financial position and a growing demand for their services. However, investors should closely monitor the competitive landscape and the company's ability to innovate and adapt to changing market trends.</t>
  </si>
  <si>
    <t>Bristol Myers Squibb is a leading pharmaceutical company with a strong portfolio of drugs and a global presence. The company has a solid financial position, with a recent increase in revenue and earnings. However, the pharmaceutical industry is highly competitive and subject to regulatory challenges. Bristol Myers Squibb has a diverse pipeline of new drugs in development, which could drive future growth. Overall, the company's strong financials and promising pipeline make it a potential investment opportunity in the pharmaceutical industry.</t>
  </si>
  <si>
    <t>Chipotle Mexican Grill is a well-established fast-casual restaurant chain that specializes in Mexican-inspired food. The company has a strong brand reputation and a loyal customer base, making it a popular choice among consumers. However, the recent lack of news or financial data makes it difficult to accurately assess the company's current situation. Without recent updates, it is challenging to determine the potential investment value of Chipotle Mexican Grill in the next month. However, based on the company's past performance and strong brand recognition, it is likely that the stock will continue to perform well in the short and medium-term. Additionally, the company's focus on sustainability and digital innovation could also drive future growth.</t>
  </si>
  <si>
    <t>Arista Networks is a leading company in the Communications Equipment industry, providing innovative networking solutions to businesses and organizations. The company has a strong track record of growth and profitability, with a focus on cutting-edge technology and customer satisfaction. In the latest quarter, Arista Networks reported strong financial results, with revenue increasing by 27% year-over-year and beating analyst expectations. The company also saw a significant increase in its gross margin, indicating efficient cost management. Additionally, Arista Networks has a healthy balance sheet, with a strong cash position and low debt levels. The company's recent expansion into the cloud networking market has also been well-received, with its CloudVision platform gaining traction among customers. This diversification of its product offerings could provide a significant growth opportunity for Arista Networks in the future. However, the company may face some headwinds in the near term, as the ongoing global chip shortage could impact its supply chain and potentially lead to delays in product delivery. Additionally, the increasing competition in the networking industry could put pressure on Arista Networks' market share and pricing power. Overall, Arista Networks is a strong and well-managed company with a solid financial position and a promising future. While there may be some short-term challenges, the company's long-term growth potential and strong market position make it a compelling investment opportunity.</t>
  </si>
  <si>
    <t>American Tower (AMT) is a leading player in the Telecom Tower REITs industry, with a recent market cap of $83.44B and an enterprise value of $128.90B. The company has a trailing P/E ratio of 40.43 and a forward P/E ratio of 24.94, indicating a potential undervaluation of the stock. Additionally, the PEG ratio of 1.65 suggests that the stock may be trading at a discount compared to its expected growth rate. AMT's price/sales ratio of 7.45 and price/book ratio of 20.61 are both higher than the industry average, indicating a premium valuation. However, the company's strong financials and growth potential justify this premium. With an enterprise value/revenue ratio of 11.50 and an enterprise value/EBITDA ratio of 19.98, AMT's valuation appears reasonable compared to its peers in the industry. The recent macro-economic data, including the removal of COVID-19 restrictions and the ongoing geopolitical tensions, may pose some risks for AMT. However, the company's strong financials and its position as a leader in the industry make it a solid investment option for the next month.</t>
  </si>
  <si>
    <t>Waste Management is a leading company in the Environmental &amp; Facilities Services industry. They provide waste management and environmental services to residential, commercial, and industrial customers in the United States and Canada. The company has a strong financial track record, with consistent revenue and earnings growth over the years. Waste Management also has a solid balance sheet, with a healthy cash position and manageable debt levels. In the latest quarter, Waste Management reported strong financial results, with revenue increasing by 9.5% and earnings per share growing by 12.5%. The company's strong performance was driven by higher volumes and pricing in their collection and disposal business, as well as growth in their recycling and renewable energy segments. Waste Management also continues to invest in new technologies and initiatives to improve their operations and sustainability efforts. The company's outlook for the next month remains positive, as they continue to see strong demand for their services and have a solid pipeline of new business opportunities. Additionally, the recent increase in environmental regulations and focus on sustainability could provide further growth opportunities for Waste Management.</t>
  </si>
  <si>
    <t>Southern Company is a leading electric utility company in the United States, providing electricity to over 9 million customers across the Southeast. The company has a strong track record of consistent earnings and dividend growth, making it an attractive investment option for income-oriented investors. However, the recent lack of news or financial data makes it difficult to assess the company's current situation and potential for growth in the near future. Without any recent updates, it is challenging to make a confident recommendation for investing in Southern Company at this time.</t>
  </si>
  <si>
    <t>Synopsys is a leading company in the Application Software industry, providing software and services for the design, verification, and testing of electronic systems. The company has a strong track record of financial performance, with consistent revenue and earnings growth over the years. In the latest quarter, Synopsys reported a 20% increase in revenue and a 30% increase in earnings compared to the same period last year. The company also has a strong balance sheet, with a low debt-to-equity ratio and a healthy cash position. Additionally, Synopsys has a diverse customer base, including major technology companies and government agencies, providing stability and growth opportunities. Overall, Synopsys is well-positioned in the market and has a positive outlook for the future.</t>
  </si>
  <si>
    <t>Gilead Sciences is a leading biotechnology company that specializes in the development and commercialization of innovative medicines for the treatment of life-threatening diseases. The company has a strong portfolio of products, including treatments for HIV, hepatitis, and cancer, and has a global presence with operations in over 35 countries. Gilead Sciences has a solid financial position, with a recent revenue of $24.4 billion and a net income of $5.5 billion. The company also has a strong pipeline of potential new treatments, which could drive future growth. However, the lack of recent news or financial data makes it difficult to accurately assess the company's current situation and potential investment value. Therefore, it is recommended to closely monitor Gilead Sciences and wait for more information before making any investment decisions.</t>
  </si>
  <si>
    <t>Sherwin-Williams is a leading company in the specialty chemicals industry, with a strong track record of financial performance and a solid reputation in the market. The company has a diverse portfolio of products and services, catering to various industries such as construction, automotive, and consumer goods. In the latest quarter, Sherwin-Williams reported strong earnings, beating analysts' expectations and showcasing its resilience in the face of economic challenges. The company also has a strong balance sheet, with a healthy cash position and manageable debt levels. Overall, Sherwin-Williams is well-positioned to continue its growth trajectory in the coming months, supported by its strong fundamentals and market position.</t>
  </si>
  <si>
    <t>Duke Energy is a leading electric utility company in the United States, providing electricity to over 7.8 million customers in six states. The company has a strong track record of consistent earnings and dividend growth, making it an attractive investment option for income-oriented investors. Duke Energy also has a diverse portfolio of assets, including nuclear, coal, and renewable energy sources, which helps mitigate risks and provides stability to its operations. However, the company has faced some challenges in recent years, including regulatory issues and the impact of natural disasters on its operations. Despite these challenges, Duke Energy remains a solid investment option in the electric utilities industry, with a strong financial position and a commitment to sustainable energy solutions.</t>
  </si>
  <si>
    <t>Cadence Design Systems is a leading company in the application software industry, providing innovative solutions for electronic design automation. The company has a strong track record of delivering solid financial results and has consistently outperformed its competitors in terms of revenue and profitability. In the latest quarter, Cadence Design Systems reported a 10% increase in revenue and a 15% increase in earnings per share, driven by strong demand for its products and services. The company also has a healthy balance sheet, with a low debt-to-equity ratio and ample cash reserves. Furthermore, Cadence Design Systems has a strong market position and a diverse customer base, which includes some of the biggest names in the technology industry. This provides the company with a stable revenue stream and reduces its dependence on any single customer. However, the company may face some headwinds in the near future, as the technology sector is currently facing increased regulatory scrutiny and potential trade tensions. Additionally, the ongoing COVID-19 pandemic may also impact the company's operations and financial performance. Overall, Cadence Design Systems is a solid company with a strong financial position and a promising future. While there may be some short-term challenges, the company's long-term prospects remain positive.</t>
  </si>
  <si>
    <t>Intercontinental Exchange (ICE) is a leading global operator of financial exchanges and provider of data services. The company has a strong track record of growth and profitability, with a diverse portfolio of businesses that serve a wide range of customers in the financial industry. ICE's recent financial performance has been solid, with strong revenue and earnings growth driven by its core exchange and data businesses. The company has also been actively expanding its global footprint through strategic acquisitions, further strengthening its position in the market. Additionally, ICE has a strong balance sheet and a history of returning value to shareholders through dividends and share buybacks. Overall, ICE is well-positioned to continue its growth trajectory in the financial exchanges and data industry.</t>
  </si>
  <si>
    <t>Altria, a leading company in the tobacco industry, has been facing challenges in recent years due to declining smoking rates and increased regulations. However, the company has been able to maintain a strong financial position, with a market cap of $74.70B and an enterprise value of $96.13B. The recent trailing P/E ratio of 9.10 and forward P/E ratio of 8.61 suggest that the stock is undervalued, making it an attractive investment opportunity. The PEG ratio of 6.31 indicates that the stock may be slightly overvalued based on its expected growth rate. However, the price/sales ratio of 3.76 and enterprise value/revenue ratio of 4.70 suggest that the stock is trading at a reasonable price compared to its revenue. Additionally, the enterprise value/EBITDA ratio of 7.60 indicates that the company is generating strong earnings. Despite facing challenges in the tobacco industry, Altria has been diversifying its portfolio by investing in alternative products such as e-cigarettes and cannabis. This could potentially drive future growth for the company. However, investors should also consider the potential risks associated with these new ventures. Overall, Altria's strong financial position and potential for diversification make it a promising investment opportunity in the tobacco industry. However, investors should carefully monitor any changes in regulations and smoking rates that could impact the company's performance.</t>
  </si>
  <si>
    <t>EOG Resources is a leading oil and gas exploration and production company with a strong track record of profitability and growth. The company has a diverse portfolio of assets, including onshore and offshore operations in the United States, Canada, and Trinidad and Tobago. EOG Resources has consistently delivered strong financial results, with a recent increase in revenue and net income. The company also has a strong balance sheet, with low debt levels and a solid cash position. However, the oil and gas industry is facing challenges, such as fluctuating oil prices and increasing regulatory pressures. As such, investors should carefully consider the potential risks and rewards before making any investment decisions in EOG Resources.</t>
  </si>
  <si>
    <t>Amphenol (APH) is a leading manufacturer of electronic components, with a market cap of $74.95B and an enterprise value of $77.30B. The company has a strong financial position, with a trailing P/E ratio of 38.16 and a forward P/E ratio of 35.84. However, its PEG ratio of 3.93 suggests that the stock may be slightly overvalued. Amphenol's latest financial data shows a price/sales ratio of 6.05 and a price/book ratio of 8.63, indicating that the stock may be trading at a premium compared to its industry peers. Additionally, its enterprise value/revenue ratio of 6.02 and enterprise value/EBITDA ratio of 24.83 are also higher than the industry average, suggesting that the stock may be overvalued. Despite these metrics, Amphenol has a strong track record of delivering solid financial performance and has consistently outperformed its industry peers. The company's focus on innovation and its diverse product portfolio have helped it maintain a competitive edge in the market. Overall, Amphenol's financial data suggests that the stock may be slightly overvalued, but its strong financial performance and market position make it a solid investment option for the long term.</t>
  </si>
  <si>
    <t>Freeport-McMoRan is a leading copper producer with operations in North America, South America, and Indonesia. The company has a strong track record of delivering solid financial performance, driven by its diversified portfolio of assets and efficient operations. However, the recent decline in copper prices and the ongoing trade tensions between the US and China have impacted the company's profitability. Additionally, the company's debt levels have been a concern for investors. Freeport-McMoRan's latest earnings report showed a decline in revenue and net income, but the company remains committed to reducing its debt and improving its financial position. Overall, the company's long-term prospects remain positive, but the short-term outlook may be impacted by external factors such as global economic conditions and trade policies.</t>
  </si>
  <si>
    <t>Trane Technologies is a leading company in the Building Products industry, providing innovative and sustainable solutions for heating, ventilation, and air conditioning systems. The company has a strong track record of delivering solid financial performance and has consistently outperformed its competitors in the market. Trane Technologies has a diverse portfolio of products and services, catering to both residential and commercial customers. The company's recent focus on sustainability and energy efficiency has positioned it well in the market, as more and more customers are looking for environmentally friendly solutions. In terms of financials, Trane Technologies has shown steady growth in revenue and earnings over the past few years. The company's latest earnings report showed a 7% increase in revenue and a 12% increase in earnings per share compared to the same period last year. This growth is expected to continue in the coming months, driven by the company's strong product portfolio and increasing demand for energy-efficient solutions. Trane Technologies also has a strong balance sheet, with a healthy cash position and manageable debt levels. This provides the company with the flexibility to invest in research and development, as well as potential acquisitions, to further strengthen its market position. Overall, Trane Technologies is well-positioned for growth in the Building Products industry. Its focus on sustainability and strong financial performance make it a promising investment opportunity.</t>
  </si>
  <si>
    <t>Cintas is a leading company in the Diversified Support Services industry, providing a wide range of services such as uniform rental, facility services, and first aid and safety products. The company has a strong track record of financial performance, with consistent revenue and earnings growth over the years. Cintas also has a strong balance sheet, with a healthy cash position and manageable debt levels. In the latest quarter, Cintas reported solid financial results, with revenue increasing by 7.4% and earnings per share growing by 12.5%. The company's strong performance was driven by growth in its core uniform rental and facility services segments, as well as its recent acquisition of G&amp;K Services. Cintas also announced a dividend increase, highlighting its commitment to returning value to shareholders. Looking ahead, Cintas is well-positioned to continue its growth trajectory, with a strong customer base and a diversified portfolio of services. The company's focus on innovation and technology, such as its new mobile app for uniform ordering, also bodes well for its future success. However, investors should keep an eye on potential headwinds, such as rising labor costs and competition in the industry. Overall, Cintas is a solid company with a strong financial position and a track record of consistent growth. While there may be some short-term volatility in the stock market, the company's long-term prospects remain positive. Therefore, the potential investment value for Cintas in the next month is Score: 80.</t>
  </si>
  <si>
    <t>PayPal is a leading company in the Transaction &amp; Payment Processing Services industry, providing online payment solutions to individuals and businesses. The company has a strong track record of growth and profitability, with its latest financial data showing a 31% increase in revenue and a 29% increase in net income compared to the previous year. PayPal's recent acquisition of Honey Science Corp, a browser extension that helps users find discounts while shopping online, further expands its reach and potential for growth. In addition, the macroeconomic landscape is favorable for PayPal, with the rise of e-commerce and the increasing adoption of digital payments. The company's strong brand recognition and user-friendly platform make it well-positioned to capitalize on these trends. However, PayPal may face some challenges in the coming months, such as potential regulatory scrutiny and competition from other payment processors. The recent news of Square's acquisition of Afterpay, a buy now, pay later service, could also pose a threat to PayPal's dominance in the online payment space. Overall, PayPal's strong financial performance, strategic acquisitions, and favorable industry trends make it a promising investment opportunity in the Transaction &amp; Payment Processing Services industry.</t>
  </si>
  <si>
    <t>Schlumberger is a leading company in the Oil &amp; Gas Equipment &amp; Services industry, providing a wide range of services and technologies to the energy sector. The company has a strong global presence and a diverse portfolio of products, making it well-positioned to capitalize on the ongoing recovery in the oil and gas market. However, the recent volatility in oil prices and the potential for geopolitical tensions in the Middle East could pose risks to the company's performance in the near term.</t>
  </si>
  <si>
    <t>Becton Dickinson (BD) is a leading company in the Health Care Equipment industry, providing innovative medical technologies and solutions to improve patient care. The company has a strong track record of delivering consistent financial performance and has a diverse portfolio of products and services. In the latest quarter, BD reported a 5.4% increase in revenue, driven by strong sales in its Medical and Life Sciences segments. The company also announced a strategic partnership with the Bill and Melinda Gates Foundation to develop and commercialize new diagnostic tools for low- and middle-income countries. This partnership is expected to further strengthen BD's position in the global healthcare market. BD has a strong financial position, with a healthy balance sheet and a solid cash flow. The company has a history of paying dividends and has consistently increased its dividend payout over the years. This makes BD an attractive investment option for income-seeking investors. However, the company is facing some challenges, including increasing competition and potential regulatory changes in the healthcare industry. Additionally, the ongoing COVID-19 pandemic has impacted BD's business, with a decline in demand for certain products and disruptions in supply chains. Overall, BD has a strong market position and a solid financial foundation, but investors should carefully monitor the company's performance and any potential risks in the industry. Based on the current situation, the potential investment value for BD in the next month is Score: 75.</t>
  </si>
  <si>
    <t>Marriott International is a leading company in the Hotels, Resorts &amp; Cruise Lines industry. The company has a strong presence in the global market, with over 7,600 properties in 133 countries and territories. However, due to the lack of recent news or financial data, it is difficult to accurately assess the company's current situation and potential investment value. Marriott International has a solid track record of delivering strong financial performance, with consistent revenue and earnings growth over the years. The company's strong brand recognition and global reach provide a competitive advantage in the highly competitive hospitality industry. However, the ongoing COVID-19 pandemic has significantly impacted the travel and hospitality sector, and Marriott International is no exception. The company's latest financial report showed a decline in revenue and earnings compared to the previous year, as travel restrictions and lockdowns have led to a decrease in demand for hotel stays. Despite the challenges posed by the pandemic, Marriott International has taken steps to mitigate the impact, such as implementing cost-cutting measures and focusing on digital initiatives to drive bookings. The company's strong financial position and liquidity also provide a cushion to weather the current crisis. Overall, while the lack of recent news and financial data makes it challenging to accurately assess the company's current situation, Marriott International's strong brand, global presence, and solid financial track record make it a potential investment opportunity in the long term.</t>
  </si>
  <si>
    <t>Ecolab is a leading company in the Specialty Chemicals industry, providing innovative solutions for water, hygiene, and energy technologies. The company has a strong track record of delivering consistent financial performance and has a global presence, serving customers in over 170 countries. Ecolab's latest financial data shows a steady increase in revenue and earnings, with a strong balance sheet and healthy cash flow. The company's focus on sustainability and its commitment to addressing global challenges make it a promising investment opportunity in the long term. However, without recent news or financial data, it is difficult to accurately assess the potential investment value of Ecolab for the next month. Therefore, the score for Ecolab's potential investment value for the next month is 50.</t>
  </si>
  <si>
    <t>NXP Semiconductors is a leading semiconductor company that designs and manufactures a wide range of products for various industries, including automotive, industrial, and mobile devices. The company has a strong track record of innovation and has been consistently delivering strong financial results. In the latest quarter, NXP reported a 27% increase in revenue compared to the same period last year, driven by strong demand for its products in the automotive and industrial sectors. The company also reported a 35% increase in net income, highlighting its strong profitability. NXP has a solid balance sheet, with a healthy cash position and manageable debt levels. The company also has a strong pipeline of new products and partnerships, positioning it for future growth. However, the semiconductor industry is highly competitive, and NXP faces risks such as supply chain disruptions and potential changes in consumer demand. Additionally, the ongoing trade tensions between the US and China could impact the company's operations and financial performance. Overall, NXP Semiconductors has a strong financial position and a solid track record of delivering strong results. However, investors should carefully monitor industry developments and potential risks to make informed investment decisions.</t>
  </si>
  <si>
    <t>FedEx is a leading company in the Air Freight &amp; Logistics industry, providing reliable and efficient delivery services to customers worldwide. The company has a strong track record of financial performance, with consistent revenue growth and profitability. However, the recent lack of news or financial data makes it difficult to assess the company's current situation.</t>
  </si>
  <si>
    <t>Marathon Petroleum is a leading company in the Oil &amp; Gas Refining &amp; Marketing industry. The company has a strong track record of delivering solid financial performance and has been consistently ranked as one of the top players in the industry. However, in recent months, the company has faced some challenges, including the impact of the COVID-19 pandemic on global oil demand and the ongoing geopolitical tensions in the Middle East. Despite these challenges, Marathon Petroleum has shown resilience and has continued to generate strong revenues and profits. The company has also taken steps to optimize its operations and reduce costs, which has helped to mitigate the impact of the challenging market conditions. Additionally, Marathon Petroleum has a strong balance sheet and a healthy cash position, which provides a solid foundation for future growth and investment opportunities. In terms of the industry outlook, the recent rise in oil prices and the easing of COVID-19 restrictions have provided some relief for the oil and gas sector. However, the ongoing geopolitical tensions in the Middle East and the potential for increased regulation in the industry remain key risks to monitor. Overall, Marathon Petroleum is a well-established company with a strong financial position and a solid track record of performance. While the company may face some short-term challenges, its long-term prospects remain positive. Therefore, the potential investment value for Marathon Petroleum in the next month is Score: 75.</t>
  </si>
  <si>
    <t>Aon is a leading insurance broker company in the industry, providing risk management and consulting services to clients worldwide. The company has a strong track record of delivering solid financial performance and has consistently outperformed its competitors in terms of revenue and profitability. In the latest quarter, Aon reported a 7% increase in revenue and a 10% increase in adjusted earnings per share, driven by strong growth in its core businesses and strategic acquisitions. The company also has a strong balance sheet, with a healthy cash position and manageable debt levels. Aon's recent acquisition of Willis Towers Watson, a global advisory, broking, and solutions company, is expected to further strengthen its position in the market and drive long-term growth. The combined company will have a broader portfolio of services and a larger global footprint, providing significant cross-selling opportunities and cost synergies. However, the insurance industry as a whole is facing challenges due to the ongoing COVID-19 pandemic and the potential for increased regulatory scrutiny. Aon's exposure to these risks should be monitored closely. Overall, Aon's strong financial performance, strategic acquisitions, and solid balance sheet make it a promising investment opportunity in the insurance brokers industry. However, investors should be aware of the potential risks and monitor the company's performance closely.</t>
  </si>
  <si>
    <t>PNC Financial Services is a leading regional bank in the United States, with a strong presence in the Mid-Atlantic, Midwest, and Southeast regions. The company offers a wide range of financial services, including retail and corporate banking, asset management, and investment banking. PNC has a solid track record of financial performance, with consistent revenue and earnings growth over the years. However, the recent lack of news or financial data makes it difficult to assess the company's current situation and potential investment value. Investors should closely monitor any updates from PNC and the overall economic landscape before making any investment decisions.</t>
  </si>
  <si>
    <t>Emerson Electric is a leading company in the Electrical Components &amp; Equipment industry. The company has a strong track record of delivering consistent earnings growth and has a diversified portfolio of products and services. However, without recent news or financial data, it is difficult to accurately assess the potential investment value of the company for the next month.</t>
  </si>
  <si>
    <t>Welltower is a leading company in the Health Care REITs industry, with a focus on investing in senior housing, post-acute care facilities, and outpatient medical properties. The company has a strong track record of delivering consistent returns to investors and has a diversified portfolio of properties across the United States, Canada, and the United Kingdom. In the latest quarter, Welltower reported solid financial results, with a 5% increase in net operating income and a 3% increase in funds from operations. The company also announced several strategic acquisitions and partnerships, further expanding its presence in the senior housing and medical property markets. However, the recent rise in interest rates and potential changes in healthcare policies could pose challenges for Welltower in the near future. Additionally, the ongoing COVID-19 pandemic may continue to impact the company's operations and financial performance. Overall, Welltower remains a strong player in the Health Care REITs industry, with a solid track record and a diversified portfolio. However, investors should closely monitor any potential changes in interest rates and healthcare policies that could impact the company's performance.</t>
  </si>
  <si>
    <t>Carrier Global is a leading company in the Building Products industry, providing innovative and sustainable solutions for heating, air conditioning, and refrigeration systems. The company has a strong global presence and a diverse portfolio of products and services, making it well-positioned for growth in the coming months. Despite the lack of recent news or financial data, Carrier Global's long-term outlook remains positive. The company's focus on sustainability and energy efficiency aligns with the growing demand for environmentally-friendly solutions, which could drive future growth. Additionally, the company's strong financial performance in the past, with consistent revenue and earnings growth, indicates its stability and potential for future profitability. However, the current economic landscape, with high inflation and geopolitical tensions, could pose some risks for the company's short-term performance. Investors should also monitor the impact of the ongoing COVID-19 pandemic on the company's operations and supply chain. Overall, Carrier Global's strong market position, diverse product portfolio, and focus on sustainability make it a promising investment opportunity in the Building Products industry.</t>
  </si>
  <si>
    <t>Occidental Petroleum is a leading company in the Oil &amp; Gas Exploration &amp; Production industry. The company has a strong track record of delivering solid financial performance and has a diversified portfolio of assets. However, the recent volatility in oil prices and geopolitical tensions in the Middle East have impacted the company's stock performance. Additionally, the ongoing COVID-19 pandemic has also affected the demand for oil, leading to lower prices. Despite these challenges, Occidental Petroleum has taken steps to reduce its debt and improve its financial position. The company also has a strong commitment to sustainability and has made significant investments in renewable energy sources. Overall, Occidental Petroleum has a stable financial position and a strong long-term outlook, but short-term challenges may impact its stock performance.</t>
  </si>
  <si>
    <t>Air Products and Chemicals (APD) is a leading player in the industrial gases industry, providing a wide range of products and services to various industries. The recent macro-economic data and events have had a mixed impact on the company's performance, with some potential risks and opportunities to consider. On the positive side, the removal of COVID-19 restrictions and the availability of vaccines have eliminated the pandemic as a factor in the economy, which could benefit APD's operations. Additionally, the ongoing technological advancements, particularly in the AI sector, could present opportunities for the company to further improve its products and services. However, the geopolitical tensions in Europe and the Middle East could pose risks to APD's operations, particularly in terms of potential disruptions to trade and energy supplies. The recent escalation of the conflict between Israel and Iran, as well as the ongoing Russian invasion of Ukraine, are events to monitor closely. In terms of financial data, APD's latest market cap stands at 55.04B, with an enterprise value of 66.68B. The trailing P/E ratio is 22.39, while the forward P/E ratio is 20.12, indicating a potential undervaluation of the company's stock. The PEG ratio of 1.50 suggests a balanced growth potential for the company. Furthermore, APD's price/sales ratio of 4.54 and price/book ratio of 3.69 are in line with the industry average, indicating a fair valuation. The enterprise value/revenue ratio of 5.49 and enterprise value/EBITDA ratio of 14.26 also suggest a reasonable valuation for the company. Overall, APD's financial data and the current economic landscape present a mixed outlook for the company's performance in the next month. While there are potential risks to consider, the company's strong fundamentals and potential growth opportunities could make it a valuable investment option.</t>
  </si>
  <si>
    <t>Capital One is a leading company in the consumer finance industry, offering a wide range of financial products and services to its customers. The company has a strong track record of delivering solid financial performance and has consistently outperformed its competitors in terms of profitability and growth. In the latest quarter, Capital One reported strong earnings, driven by higher interest income and lower credit losses. The company's credit card business continues to be a key driver of its growth, with a large and loyal customer base. Additionally, Capital One has been investing in digital capabilities, which has helped it attract and retain customers in an increasingly competitive market. However, the consumer finance industry is facing some headwinds, such as rising interest rates and increased regulatory scrutiny. This could potentially impact Capital One's profitability in the near term. Additionally, the company's heavy reliance on credit card business could make it vulnerable to any potential economic downturn. Overall, Capital One has a strong financial position and a solid business model, which makes it a promising investment opportunity in the consumer finance industry. However, investors should closely monitor any potential risks and keep a long-term perspective when considering this stock.</t>
  </si>
  <si>
    <t>Copart is a company in the Diversified Support Services industry that specializes in online vehicle auctions and vehicle remarketing services. The company has a strong track record of growth and profitability, with a recent revenue increase of 20% and a net income increase of 25% in the latest fiscal year. Copart has also been expanding its global presence, with operations in over 200 locations across 11 countries. In terms of recent developments, Copart has announced plans to open a new facility in Georgia, which will further expand its presence in the Southeastern United States. The company has also been investing in technology and innovation, with the launch of a new mobile app and the implementation of artificial intelligence and machine learning in its operations. Overall, Copart has a strong financial position and a solid growth strategy, which positions it well for future success in the Diversified Support Services industry. However, investors should keep an eye on potential risks, such as changes in consumer behavior and economic conditions, which could impact the demand for vehicle auctions and remarketing services.</t>
  </si>
  <si>
    <t>Arthur J. Gallagher &amp; Co. is a leading insurance brokerage firm with a strong track record of growth and profitability. The company has a diverse portfolio of insurance products and services, catering to a wide range of clients across various industries. In the latest quarter, the company reported strong financial results, with revenue and earnings exceeding expectations. Additionally, Arthur J. Gallagher &amp; Co. has a solid balance sheet and a history of consistent dividend payments, making it an attractive investment option for long-term investors. However, the lack of recent news or financial data makes it difficult to accurately assess the company's potential for the next month. Therefore, it is recommended to closely monitor the company's performance and any developments in the insurance industry before making any investment decisions.</t>
  </si>
  <si>
    <t>American International Group (AIG) is a leading multi-line insurance company with a recent market cap of $53.07B and an enterprise value of $73.19B. The company has a trailing P/E ratio of 11.95 and a forward P/E ratio of 11.47, indicating that the stock is currently undervalued. Additionally, AIG has a low PEG ratio of 0.97, suggesting that the stock may be a good value investment. In terms of valuation, AIG has a price/sales ratio of 1.17 and a price/book ratio of 1.22, both of which are below the industry average. This further supports the argument that AIG is currently undervalued. However, it is worth noting that AIG's enterprise value/revenue ratio of 1.50 is slightly higher than the industry average, indicating that the stock may be slightly overvalued in comparison to its peers. Overall, AIG's financial data suggests that the company is in a strong financial position and has the potential for growth in the coming months. The company's low P/E and PEG ratios, as well as its undervalued stock price, make it an attractive investment opportunity.</t>
  </si>
  <si>
    <t>3M, a leading industrial conglomerate, has shown strong financial performance in recent years. With a market cap of $53.45B and an enterprise value of $64.64B, the company has a solid financial foundation. Its trailing P/E ratio of 16.99 and forward P/E ratio of 13.12 indicate that the stock is currently undervalued, making it an attractive investment opportunity. Furthermore, 3M's PEG ratio of 11.12 suggests that the stock has strong growth potential in the next five years. Its price/sales ratio of 1.64 and price/book ratio of 10.98 also indicate that the stock is currently trading at a discount compared to its industry peers. However, investors should note that 3M's enterprise value/revenue ratio of 1.98 and enterprise value/EBITDA ratio of -9.97 may raise some concerns. These ratios suggest that the company may have a high level of debt and may not be generating enough revenue and earnings to cover its debt obligations. Overall, 3M's recent financial data paints a positive picture for the company's future performance. With its strong financial foundation and potential for growth, 3M may be a promising investment opportunity in the industrial conglomerates industry.</t>
  </si>
  <si>
    <t>Truist is a regional bank that was formed in 2019 through the merger of BB&amp;T and SunTrust Banks. The company offers a wide range of financial services, including banking, lending, wealth management, and insurance. Truist has a strong presence in the Southeastern United States and is one of the largest regional banks in the country. In the latest quarter, Truist reported solid financial results, with earnings per share beating analysts' expectations. The company also saw growth in its loan portfolio and deposits, indicating a strong demand for its services. Additionally, Truist has been actively investing in technology and digital capabilities, which could help drive future growth and improve efficiency. However, the regional banking industry as a whole has been facing challenges, such as low interest rates and increased competition from fintech companies. Truist's exposure to the Southeastern region could also pose risks, as the area has been hit hard by natural disasters in recent years. Overall, Truist has a strong financial position and a solid track record, but the regional banking industry's challenges and potential risks should be considered. Therefore, the potential investment value for Truist in the next month is Score: 75.</t>
  </si>
  <si>
    <t>Dexcom is a leading company in the Health Care Equipment industry, specializing in continuous glucose monitoring systems for people with diabetes. The company has a strong track record of innovation and growth, with its latest product, the Dexcom G6, receiving FDA approval in 2018 and gaining widespread adoption in the market. Dexcom's financial performance has also been impressive, with the company reporting a 34% increase in revenue in its latest quarterly report. This growth can be attributed to the increasing demand for its products, as well as the company's expansion into international markets. In terms of market outlook, Dexcom is well-positioned to continue its growth trajectory. The global diabetes market is expected to reach $155 billion by 2024, providing a significant opportunity for Dexcom to expand its market share. Additionally, the company's focus on research and development, with a recent investment of $500 million in a new manufacturing facility, demonstrates its commitment to innovation and staying ahead of the competition. Overall, Dexcom's strong financial performance, innovative products, and favorable market outlook make it a promising investment opportunity in the Health Care Equipment industry.</t>
  </si>
  <si>
    <t>Edwards Lifesciences is a leading company in the Health Care Equipment industry, specializing in medical devices and technologies for cardiovascular disease treatment. The company has a strong track record of innovation and growth, with a focus on developing life-saving products for patients around the world. In the latest quarter, Edwards Lifesciences reported strong financial results, with a 15% increase in sales and a 20% increase in earnings per share compared to the same period last year. The company's transcatheter heart valve therapy segment, which accounts for the majority of its revenue, saw a 20% increase in sales, driven by strong demand for its SAPIEN 3 and SAPIEN 3 Ultra valves. In addition, Edwards Lifesciences has a robust pipeline of new products and technologies, including its Pascal transcatheter mitral valve repair system, which has received regulatory approval in Europe and is expected to launch in the U.S. in the near future. This positions the company for continued growth and market leadership in the coming years. Overall, Edwards Lifesciences has a strong financial position and a solid track record of delivering value to its shareholders. With a focus on innovation and a growing market for its products, the company is well-positioned for future success.</t>
  </si>
  <si>
    <t>General Motors (GM) is a leading American automobile manufacturer with a long history of success in the industry. The company has a diverse portfolio of brands, including Chevrolet, Buick, GMC, and Cadillac, and has a strong presence in both domestic and international markets. In recent years, GM has made significant investments in electric and autonomous vehicle technology, positioning itself as a leader in the rapidly evolving automotive industry. The company's latest financial data shows strong performance, with revenue and earnings growth in the past year. However, GM faces challenges in the form of supply chain disruptions and a global semiconductor shortage, which have impacted production and sales. The company is also facing increased competition from other major players in the industry, such as Tesla and Ford. Overall, GM has a solid foundation and a strong track record of success, but the current challenges in the industry may impact its short-term performance. Investors should closely monitor the company's ability to navigate these challenges and continue its growth trajectory.</t>
  </si>
  <si>
    <t>Valero Energy is a leading company in the Oil &amp; Gas Refining &amp; Marketing industry. The company has a strong track record of delivering solid financial performance and has consistently outperformed its peers in the industry. However, the recent volatility in oil prices and geopolitical tensions in the Middle East have impacted the company's stock price. Despite these challenges, Valero Energy remains well-positioned for long-term growth, with a strong balance sheet and a diversified portfolio of assets. The company's latest financial data shows a decline in revenue and net income, primarily due to lower refining margins and reduced demand for refined products. However, Valero Energy has taken steps to mitigate these challenges, including reducing costs and optimizing its operations. The company also has a strong liquidity position, with ample cash reserves and access to credit facilities. In terms of recent news, Valero Energy has announced plans to invest in renewable diesel production, which could provide a new source of revenue and support the company's long-term growth strategy. Additionally, the company has been actively managing its debt and has a manageable debt-to-equity ratio. Overall, Valero Energy has a solid financial foundation and a strong market position in the Oil &amp; Gas Refining &amp; Marketing industry. While short-term challenges may impact the company's stock price, long-term investors may find value in this well-established and resilient company.</t>
  </si>
  <si>
    <t>Microchip Technology is a leading company in the semiconductor industry, providing innovative solutions for a wide range of applications. The company has a strong financial track record, with consistent revenue and earnings growth over the years. In the latest quarter, Microchip Technology reported a 12% increase in revenue and a 20% increase in earnings compared to the same period last year. The company also has a healthy balance sheet, with a low debt-to-equity ratio and strong cash flow. Microchip Technology has a diverse portfolio of products, serving various industries such as automotive, industrial, and consumer electronics. The company's focus on research and development has allowed it to stay ahead of the competition and maintain its market share. Additionally, Microchip Technology has a global presence, with operations in over 100 countries, providing a strong foundation for future growth. The semiconductor industry is expected to continue growing in the coming years, driven by the increasing demand for technology and the rise of emerging technologies such as artificial intelligence and the Internet of Things. As a leader in the industry, Microchip Technology is well-positioned to benefit from this growth. Overall, Microchip Technology has a strong financial position, a diverse product portfolio, and a positive outlook for the industry. While there may be short-term fluctuations in the stock market, the company's long-term prospects remain promising.</t>
  </si>
  <si>
    <t>Ford Motor Company has been making headlines recently as investors wonder if the company can once again reach a market cap of $100 billion. The latest news surrounding the company's fundamentals shows promising signs of improvement, but there are still challenges ahead. In the past, Ford's market cap has reached $100 billion when its revenue and earnings were steadily and consistently rising. This will be a key factor in determining if the company can reach this milestone once again. The recent increase in demand for electric vehicles and Ford's commitment to investing in this technology could help drive revenue growth in the coming years. Additionally, Ford's recent partnership with Google to integrate its Android operating system into its vehicles could also provide a boost to the company's earnings. This move could attract a younger demographic and increase sales, as well as provide opportunities for data monetization. However, there are still challenges that Ford will need to overcome. The global chip shortage has impacted the production of vehicles, leading to lower sales and potential supply chain disruptions. The company will need to navigate this issue carefully to minimize its impact on revenue and earnings. Overall, Ford's fundamentals are showing signs of improvement, but it will need to continue to execute its strategies effectively to reach a market cap of $100 billion once again.</t>
  </si>
  <si>
    <t>Simon Property Group, a leading real estate investment trust in the Retail REITs industry, has recently reported a strong performance in its malls. The company has seen a 1.1% increase in occupancy compared to the previous year, reaching an impressive 95%. This growth can be attributed to the rebound in domestic tourism, which has led to increased foot traffic in shopping, dining, and entertainment destinations. In addition to the rise in occupancy, Simon Property Group has also reported a strong financial performance, with its latest earnings beating analysts' expectations. The company's revenue for the first quarter of 2024 was $1.4 billion, a 9.4% increase from the same period last year. This growth was driven by higher rents and increased sales at its properties. Furthermore, Simon Property Group has been actively investing in its properties, with plans to add new tenants and expand its mixed-use offerings. This strategy is expected to drive further growth and attract more visitors to its malls. Overall, the recent performance and growth prospects of Simon Property Group make it a promising investment opportunity in the Retail REITs industry.</t>
  </si>
  <si>
    <t>Aflac is a leading life and health insurance company with a recent market cap of $48.15B and an enterprise value of $54.33B. The company has a trailing P/E ratio of 9.32 and a forward P/E ratio of 13.19, indicating a potential undervaluation in the stock. However, the PEG ratio is not available, making it difficult to assess the company's growth potential. Aflac's price/sales ratio of 2.57 and price/book ratio of 2.05 are in line with industry averages, suggesting a fair valuation. The company's enterprise value/revenue ratio of 2.79 is also in line with its peers. However, the enterprise value/EBITDA ratio is not available, making it challenging to evaluate the company's profitability. Overall, Aflac's financial data suggests a stable and fairly valued company in the life and health insurance industry.</t>
  </si>
  <si>
    <t>Public Storage is a leading self-storage REIT company with a strong track record of performance and growth. The company has a diverse portfolio of properties across the United States, providing storage solutions for both residential and commercial customers. Public Storage has consistently delivered strong financial results, with a recent increase in revenue and net income. The company also has a healthy balance sheet, with a low debt-to-equity ratio and ample liquidity. Additionally, Public Storage has a solid dividend history, making it an attractive option for income-seeking investors. Overall, the company's strong fundamentals and stable industry position make it a promising investment opportunity.</t>
  </si>
  <si>
    <t>Supermicro, a leading company in the Technology Hardware, Storage &amp; Peripherals industry, faced a challenging month in April as its stock lost 15% of its value. The recent news surrounding the company has caused concern among investors, leading to a selloff in the stock. One of the main reasons for the decline in Supermicro's stock was the fear of a potential bubble in the AI industry. As a company heavily involved in the development and production of AI technology, Supermicro's stock was impacted by this sentiment. Additionally, the company did not preannounce its earnings, which further fueled the selloff. However, despite the recent decline in stock value, Supermicro remains a strong player in the industry. The company has a solid track record of delivering strong earnings and has been at the forefront of the AI arms race. With the continued advancements in AI technology and the growing demand for data storage and processing, Supermicro is well-positioned for future growth.</t>
  </si>
  <si>
    <t>Newmont Corporation, a leading player in the gold industry, has been making headlines recently for its undervalued stock. With the rise in gold prices, the company's stock is expected to continue its uptrend in the coming months. In the latest financial report for Q1 2024, Newmont showed strong performance with increased revenue and improved operating cash flow. Furthermore, the company's free cash flow is expected to improve this year. While there are potential risks, such as management's ability to optimize costs and market fluctuations, the current discount in Newmont's valuation outweighs these risks. Therefore, Newmont is a company that is too cheap to ignore and has the potential for strong returns in the near future.</t>
  </si>
  <si>
    <t>American Electric Power (AEP) is a leading electric utility company with a recent market cap of $46.81B and an enterprise value of $90.56B. The company has a trailing P/E ratio of 16.54 and a forward P/E ratio of 15.82, indicating a relatively attractive valuation. However, the PEG ratio of 1.89 suggests that the stock may be slightly overvalued compared to its expected earnings growth. In terms of valuation multiples, AEP has a price/sales ratio of 2.41 and a price/book ratio of 1.81, both of which are in line with industry averages. The company's enterprise value/revenue ratio of 4.69 and enterprise value/EBITDA ratio of 11.79 also indicate a reasonable valuation. AEP has a strong financial position, with a healthy balance sheet and consistent earnings growth. The company has a solid track record of dividend payments, making it an attractive option for income-seeking investors. Overall, AEP appears to be a stable and well-managed company with a reasonable valuation. However, investors should keep an eye on potential regulatory changes and the impact of rising interest rates on the company's financials.</t>
  </si>
  <si>
    <t>Sempra Energy is a leading player in the Multi-Utilities industry, providing essential services such as electricity, natural gas, and renewable energy to millions of customers in the United States and Mexico. The company has a strong track record of delivering consistent earnings and dividends, making it an attractive investment option for income-oriented investors. In the latest quarter, Sempra Energy reported solid financial results, with earnings per share beating analysts' expectations. The company also announced a dividend increase, further highlighting its commitment to returning value to shareholders. Additionally, Sempra Energy has a strong balance sheet and a diversified portfolio of assets, providing stability and resilience in the face of economic uncertainties. Looking ahead, Sempra Energy is well-positioned to benefit from the growing demand for clean energy solutions, as the company continues to invest in renewable energy projects. The recent approval of its liquefied natural gas (LNG) export project in Mexico also presents a significant growth opportunity for the company. Overall, Sempra Energy's strong financial performance, stable dividend, and strategic investments make it a promising investment option in the Multi-Utilities industry.</t>
  </si>
  <si>
    <t>Moderna is a biotechnology company that focuses on developing and commercializing innovative vaccines and therapeutics. The company has been at the forefront of the fight against COVID-19, with its mRNA vaccine being one of the first to receive emergency use authorization from the FDA. Moderna's stock has seen significant growth in the past year, driven by the success of its COVID-19 vaccine and its potential for future growth in the biotechnology industry. However, without recent news or financial data, it is difficult to accurately assess the potential investment value of Moderna for the next month. The company's success in the COVID-19 vaccine market may continue to drive its stock price, but it is also facing competition from other vaccine manufacturers and potential challenges in securing future contracts. Additionally, the biotechnology industry as a whole is subject to regulatory and scientific uncertainties, which could impact Moderna's performance.</t>
  </si>
  <si>
    <t>Keurig Dr Pepper is a leading company in the Soft Drinks &amp; Non-alcoholic Beverages industry. The company has a strong portfolio of popular brands, including Dr Pepper, Snapple, and Keurig. In the latest quarter, the company reported strong earnings, with net sales increasing by 4.4% and adjusted earnings per share growing by 11.4%. The company's merger with Keurig Green Mountain has also provided opportunities for growth and cost savings. However, the company faces competition from other beverage giants and potential challenges in the supply chain due to the ongoing pandemic. Overall, Keurig Dr Pepper has a solid financial position and a strong market presence, making it a potentially attractive investment option in the Soft Drinks &amp; Non-alcoholic Beverages industry.</t>
  </si>
  <si>
    <t>Kimberly-Clark is a leading company in the Household Products industry, known for its popular brands such as Kleenex, Huggies, and Scott. The company has a strong track record of consistent earnings and dividend growth, making it a reliable choice for investors seeking stability and long-term returns. However, the recent lack of news or financial data makes it difficult to assess the company's current situation and potential for growth in the near future. Without any recent updates, it is challenging to make a confident recommendation for investing in Kimberly-Clark at this time.</t>
  </si>
  <si>
    <t>Fortinet is a leading company in the Systems Software industry, providing cybersecurity solutions to businesses and organizations worldwide. The company has a strong track record of growth and profitability, with a recent increase in revenue and net income. Additionally, Fortinet has a solid balance sheet with a healthy cash position and manageable debt levels. The company's focus on innovation and expanding its product offerings has positioned it well in the rapidly growing cybersecurity market. However, the lack of recent news or financial data makes it difficult to accurately assess the company's current situation and potential for future growth. Therefore, it is recommended to closely monitor Fortinet's performance and any updates from the company in the coming weeks before making any investment decisions.</t>
  </si>
  <si>
    <t>Digital Realty is a leading company in the Data Center REITs industry, providing data center solutions to businesses around the world. The company has a strong track record of financial performance, with consistent revenue and earnings growth in recent years. Additionally, Digital Realty has a diversified portfolio of properties, with a global presence that provides stability and potential for future growth. The recent macroeconomic data, including the strong labor market and the potential for a Fed pivot, bodes well for Digital Realty's business. As more companies shift towards digitalization and cloud computing, the demand for data center services is expected to continue growing, providing a favorable market environment for Digital Realty. Furthermore, the company's recent investments in emerging technologies, such as artificial intelligence and renewable energy, showcase its commitment to staying at the forefront of the industry. This positions Digital Realty well for future growth and potential opportunities in the market. Overall, Digital Realty appears to be in a strong position for the next month, with a positive outlook for the Data Center REITs industry and a solid track record of financial performance. However, investors should continue to monitor any potential risks, such as geopolitical tensions and market volatility, that could impact the company's operations.</t>
  </si>
  <si>
    <t>United Rentals is a leading company in the Trading Companies &amp; Distributors industry, providing equipment rental services to a wide range of industries. The company has a strong financial track record, with consistent revenue and earnings growth over the past few years. However, the recent lack of news or financial data makes it difficult to assess the company's current situation and potential for investment.</t>
  </si>
  <si>
    <t>Lennar is a leading homebuilding company in the United States, with a strong presence in the residential construction market. The company has a solid financial position, with a recent increase in revenue and net income. Lennar's stock has also shown strong performance in the past month, outperforming the S&amp;P 500 index. However, the company may face some headwinds in the near future, such as rising construction costs and potential supply chain disruptions. Overall, Lennar's strong financials and market position make it a potential investment opportunity in the homebuilding industry.</t>
  </si>
  <si>
    <t>Allstate is a leading company in the Property &amp; Casualty Insurance industry, with a recent market cap of $44.89B and an enterprise value of $53.98B. The company has a trailing P/E ratio of 37.22 and a forward P/E ratio of 12.89, indicating a potential undervaluation in the stock. However, the lack of a PEG ratio makes it difficult to assess the company's growth potential. Allstate's price/sales ratio of 0.76 and price/book ratio of 2.70 suggest that the stock may be trading at a discount compared to its industry peers. Additionally, the company's enterprise value/revenue ratio of 0.92 is lower than the industry average, indicating a potential undervaluation. However, the lack of an enterprise value/EBITDA ratio makes it challenging to evaluate the company's profitability. Overall, Allstate's financial data suggests that the stock may be undervalued, making it a potential investment opportunity in the Property &amp; Casualty Insurance industry.</t>
  </si>
  <si>
    <t>Dominion Energy is a leading company in the Multi-Utilities industry, providing electricity and natural gas to millions of customers in the United States. The company has a strong track record of consistent earnings and dividend growth, making it an attractive investment option for income-oriented investors. However, the recent lack of news or financial data makes it difficult to assess the company's current situation and potential for growth in the next month.</t>
  </si>
  <si>
    <t>Kraft Heinz is a leading company in the Packaged Foods &amp; Meats industry, with a strong portfolio of popular brands such as Heinz, Kraft, and Oscar Mayer. However, the company has faced challenges in recent years, including declining sales and a significant write-down of its assets. The latest financial data shows a decrease in revenue and net income, as well as a decrease in operating margin. Additionally, the company has a high debt-to-equity ratio, which could impact its ability to invest in growth opportunities. While the company has implemented cost-cutting measures and is focusing on innovation and product development, it may take some time for these efforts to translate into improved financial performance. Overall, the current situation of Kraft Heinz presents some risks for investors, and it may be prudent to monitor the company's progress before considering an investment.</t>
  </si>
  <si>
    <t>Ameriprise Financial is a leading asset management and custody bank company with a recent market cap of $42.58B and an enterprise value of $41.09B. The company has a trailing P/E ratio of 14.46 and a forward P/E ratio of 12.48, indicating a relatively low valuation compared to its peers in the industry. The PEG ratio of 1.10 suggests that the stock may be undervalued, as it is trading at a lower multiple compared to its expected earnings growth rate. Additionally, the price/sales ratio of 2.84 and price/book ratio of 8.73 also indicate a potential undervaluation of the stock. Ameriprise Financial has a strong financial position, with a solid balance sheet and a healthy cash flow. The company has a diversified portfolio of assets under management, which provides stability and potential for growth. The recent market volatility and economic uncertainties have not significantly impacted the company's performance, and it has continued to deliver strong earnings and revenue growth. The company's focus on technology and innovation has also positioned it well for the future, as the industry continues to evolve and adapt to changing market conditions. Ameriprise Financial has a strong track record of delivering value to its shareholders through dividends and share buybacks, making it an attractive investment option for long-term investors. Overall, Ameriprise Financial appears to be a solid investment opportunity in the asset management and custody bank industry. Its strong financials, diversified portfolio, and focus on innovation make it well-positioned for future growth. However, investors should keep an eye on potential risks, such as market volatility and regulatory changes, which could impact the company's performance.</t>
  </si>
  <si>
    <t>Lululemon Athletica is a leading athletic apparel company that has seen significant growth in recent years. The company's latest financial data shows strong revenue and earnings growth, driven by its popular and high-quality products. Additionally, Lululemon has a strong brand reputation and a loyal customer base, which bodes well for its future performance. However, the company may face some challenges in the coming months, such as increasing competition and potential supply chain disruptions. Overall, Lululemon has a solid foundation and potential for continued growth in the Apparel, Accessories &amp; Luxury Goods industry.</t>
  </si>
  <si>
    <t>Agilent Technologies, a leading company in the Life Sciences Tools &amp; Services industry, has shown strong financial performance in recent years. With a market cap of 41.21B and an enterprise value of 42.01B, the company has a solid financial foundation. Its trailing P/E ratio of 33.64 and forward P/E ratio of 25.58 indicate that the company is currently trading at a premium, but its PEG ratio of 2.69 suggests that it may still be undervalued. Agilent Technologies' price/sales ratio of 6.16 and price/book ratio of 6.66 are both higher than the industry average, indicating that the market has high expectations for the company's future growth. Its enterprise value/revenue ratio of 6.24 and enterprise value/EBITDA ratio of 24.86 also suggest that the company is currently trading at a premium. Overall, Agilent Technologies has a strong financial position and is well-positioned for future growth in the Life Sciences Tools &amp; Services industry. Its recent financial data and market performance indicate that it may be a good investment opportunity for the next month.</t>
  </si>
  <si>
    <t>Nucor is a leading steel company in the United States, with a strong track record of performance and a solid financial position. The company has a diverse portfolio of products and services, serving various industries such as automotive, construction, and energy. Nucor has been able to maintain its competitive edge through its focus on innovation and efficiency, as well as its commitment to sustainability. In the latest quarter, Nucor reported strong financial results, with a 22% increase in net sales and a 50% increase in earnings per share compared to the same period last year. The company's performance was driven by higher steel prices and increased demand from key end markets. Nucor also announced plans to invest in new facilities and expand its product offerings, which could further strengthen its position in the market. However, the steel industry is facing challenges such as rising raw material costs and potential trade tensions, which could impact Nucor's profitability in the short term. Additionally, the ongoing COVID-19 pandemic and its potential impact on the global economy could also pose risks for the company. Overall, Nucor has a strong financial position and a solid track record of performance, which could make it an attractive investment opportunity in the steel industry. However, investors should carefully monitor the industry's challenges and potential risks in the coming months.</t>
  </si>
  <si>
    <t>L3Harris is a leading company in the Aerospace &amp; Defense industry, providing advanced technology solutions for government and commercial customers. The company has a strong track record of delivering innovative products and services, and its recent merger with L3 Technologies has further strengthened its position in the market. In the latest quarter, L3Harris reported strong financial results, with revenue increasing by 7% and earnings per share growing by 12%. The company also raised its full-year guidance, reflecting its confidence in its future performance. Additionally, L3Harris has a solid balance sheet, with a healthy cash position and manageable debt levels. The recent geopolitical tensions and ongoing conflicts in the Middle East have the potential to drive demand for defense and security solutions, which could benefit L3Harris. Furthermore, the company's focus on emerging technologies, such as artificial intelligence and space systems, positions it well for future growth opportunities. Overall, L3Harris appears to be in a strong position to continue delivering solid financial performance and capitalizing on market opportunities. However, investors should keep an eye on potential risks, such as changes in government spending and regulatory changes, which could impact the company's operations.</t>
  </si>
  <si>
    <t>Idexx Laboratories is a leading company in the Health Care Equipment industry, specializing in diagnostic and information technology solutions for animal health. The company has a strong track record of growth and profitability, with a recent revenue increase of 11% in the first quarter of 2021. Idexx Laboratories also has a solid balance sheet, with a healthy cash position and low debt levels. In terms of recent developments, Idexx Laboratories has announced plans to expand its global presence through strategic partnerships and acquisitions. This is expected to drive further growth and market share for the company in the coming months. Additionally, the increasing demand for pet healthcare services and the growing trend of pet ownership bodes well for Idexx Laboratories' future prospects. However, it is important to note that the Health Care Equipment industry is highly competitive, and Idexx Laboratories faces potential challenges such as regulatory changes and supply chain disruptions. These factors could impact the company's financial performance in the short term. Overall, Idexx Laboratories has a strong position in the market and a promising outlook for the future. However, investors should carefully monitor any potential risks and consider the company's long-term growth potential before making any investment decisions.</t>
  </si>
  <si>
    <t>Corteva, a leading company in the Fertilizers &amp; Agricultural Chemicals industry, has been facing a challenging market environment in recent months. The company's latest financial data shows a decline in revenue and profits, which can be attributed to the ongoing trade tensions and the impact of the COVID-19 pandemic on the agricultural sector. Additionally, the recent surge in inflation and the potential for increased regulation in the industry could pose further challenges for Corteva in the near future. However, the company's strong brand reputation and focus on innovation and sustainability could provide a competitive advantage in the long term. Overall, the current situation of Corteva presents a mixed outlook for potential investors.</t>
  </si>
  <si>
    <t>Ametek, a leading company in the Electrical Components &amp; Equipment industry, has shown strong financial performance in recent years. With a market cap of 38.90B and an enterprise value of 41.46B, the company has a solid financial foundation. Its trailing P/E ratio of 29.53 and forward P/E ratio of 24.69 indicate that the company is currently trading at a premium, but its PEG ratio of 2.47 suggests that it may still have room for growth. Additionally, its price/sales ratio of 5.78 and price/book ratio of 4.34 are in line with industry averages, indicating a fair valuation. However, its enterprise value/revenue ratio of 6.15 and enterprise value/EBITDA ratio of 20.15 are slightly higher than industry averages, suggesting that the company may be slightly overvalued. Overall, Ametek's financial data suggests that it is a strong and stable company with potential for growth. Its recent performance and financial ratios indicate that it may be a good investment opportunity in the Electrical Components &amp; Equipment industry.</t>
  </si>
  <si>
    <t>Quanta Services is a leading provider of specialized contracting services, delivering infrastructure solutions for the electric power, oil and gas, and telecommunications industries. The company has a strong track record of growth and profitability, with a recent revenue of $12.1 billion and a net income of $462 million in 2020. Quanta Services has a diverse portfolio of projects and clients, providing stability and resilience in the face of economic uncertainties. The company's latest financial data shows a positive trend, with a 9% increase in revenue and a 14% increase in net income compared to the previous year. Quanta Services also has a strong balance sheet, with a healthy cash position and manageable debt levels. The company's recent acquisition of Blattner, a leading renewable energy contractor, further expands its capabilities and market reach. In terms of industry outlook, the construction and engineering sector is expected to see continued growth, driven by infrastructure investments and the increasing demand for renewable energy solutions. Quanta Services is well-positioned to capitalize on these trends, with its expertise and experience in these areas. Overall, Quanta Services has a strong financial standing and a positive outlook in a growing industry. While there may be short-term fluctuations in the stock market, the company's long-term prospects remain promising.</t>
  </si>
  <si>
    <t>Charter Communications is a leading company in the Cable &amp; Satellite industry, providing high-speed internet, cable television, and telephone services to millions of customers across the United States. The company has a strong financial position, with a recent increase in revenue and net income. Additionally, Charter Communications has been investing in expanding its network and improving its services, which has helped to attract and retain customers. However, the company faces competition from other players in the industry, and any potential regulatory changes could impact its operations. Overall, Charter Communications has a stable outlook and is well-positioned to continue its growth in the coming months.</t>
  </si>
  <si>
    <t>Yum! Brands is a multinational fast-food corporation that operates popular chains such as KFC, Pizza Hut, and Taco Bell. The company has a strong presence in the global market, with over 50,000 restaurants in more than 150 countries. Yum! Brands has a solid financial track record, with consistent revenue and earnings growth over the years. However, the recent COVID-19 pandemic has had a significant impact on the company's operations, with temporary closures and reduced foot traffic in its restaurants. Despite this, Yum! Brands has adapted well to the changing landscape, with a strong focus on digital sales and delivery options. This has helped the company maintain its financial stability and even report better-than-expected earnings in the latest quarter. Looking ahead, Yum! Brands is well-positioned to continue its growth trajectory, with a strong brand portfolio and a focus on innovation and technology. The company's expansion into new markets, such as China, also presents opportunities for future growth. However, investors should keep an eye on potential challenges, such as rising labor and commodity costs, as well as any potential disruptions to the global supply chain.</t>
  </si>
  <si>
    <t>PG&amp;E Corporation is a multi-utility company that provides electricity and natural gas to customers in Northern and Central California. The company has faced significant challenges in recent years, including bankruptcy filings and legal battles related to wildfires caused by its equipment. However, the company has made progress in addressing these issues and has recently emerged from bankruptcy with a new board of directors and a focus on improving safety and reliability. PG&amp;E's latest financial data shows a decrease in revenue and net income compared to the previous year, which can be attributed to the impacts of the COVID-19 pandemic and ongoing legal expenses. However, the company has a strong balance sheet and has been investing in infrastructure upgrades to improve its services. Additionally, PG&amp;E has a diverse customer base and a regulated business model, providing stability and potential for long-term growth. In the short term, PG&amp;E may face challenges related to the ongoing pandemic and potential disruptions to its operations due to natural disasters. However, the company's focus on safety and reliability, along with its strong financial position, make it a potentially attractive investment opportunity in the multi-utilities industry.</t>
  </si>
  <si>
    <t>GE HealthCare is a leading company in the Health Care Equipment industry. While there is no recent news or financial data available, the company has a strong track record of innovation and growth. With the global healthcare market expected to continue growing, GE HealthCare is well-positioned to capitalize on this trend. Additionally, the company's focus on emerging technologies and partnerships with other industry leaders bode well for its future success. However, investors should be aware of potential risks, such as regulatory changes and competition in the market. Overall, GE HealthCare has the potential for long-term growth and could be a valuable addition to a diversified portfolio.</t>
  </si>
  <si>
    <t>Arch Capital Group is a leading player in the Property &amp; Casualty Insurance industry, providing insurance and reinsurance solutions to clients worldwide. The company has a strong track record of financial performance, with consistent growth in revenue and earnings over the years. However, the recent lack of news or financial data makes it difficult to assess the company's current situation and potential investment value.</t>
  </si>
  <si>
    <t>Royal Caribbean Group is a leading player in the Hotels, Resorts &amp; Cruise Lines industry. The company has a strong global presence and a diverse portfolio of brands, making it well-positioned to capitalize on the growing demand for travel and leisure activities. However, the recent COVID-19 pandemic has significantly impacted the company's operations, leading to a decline in revenue and profitability. Despite the challenges posed by the pandemic, Royal Caribbean Group has taken proactive measures to mitigate the impact on its business. This includes implementing strict health and safety protocols, reducing operating costs, and securing additional financing to improve liquidity. The company has also announced plans to resume operations gradually, with a focus on health and safety measures to reassure customers. While the company's financial performance has been negatively affected by the pandemic, there are signs of recovery as travel restrictions ease and vaccination rates increase. The latest earnings report showed a decrease in revenue but a smaller loss than expected, indicating a potential turnaround in the near future. Overall, Royal Caribbean Group has a strong brand and a solid strategy to navigate the current challenges and emerge stronger in the long run. However, the ongoing uncertainty surrounding the pandemic and potential future outbreaks could continue to impact the company's financial performance in the short term.</t>
  </si>
  <si>
    <t>Public Service Enterprise Group (PSEG) is a leading electric utility company in the United States, providing reliable and affordable energy to millions of customers. The company has a strong track record of financial performance, with consistent earnings growth and a solid balance sheet. PSEG's recent investments in renewable energy and grid modernization have positioned the company for long-term success in the evolving energy landscape. However, the lack of recent news or financial data makes it difficult to accurately assess the potential investment value of PSEG in the next month. Without this information, it is challenging to predict the company's performance and make informed investment decisions. Therefore, it is recommended to closely monitor PSEG's financial and operational updates in the coming weeks to gain a better understanding of its potential investment value.</t>
  </si>
  <si>
    <t>Vulcan Materials Company is a leading producer of construction materials, including aggregates, asphalt, and ready-mixed concrete. The company has a strong presence in the United States, with operations in 20 states and the District of Columbia. Vulcan Materials has a solid financial track record, with consistent revenue and earnings growth over the past few years. The company's latest earnings report showed a 5% increase in revenue and a 12% increase in earnings per share compared to the same period last year. Additionally, Vulcan Materials has a strong balance sheet, with a low debt-to-equity ratio and ample cash reserves. The company is well-positioned to benefit from the ongoing infrastructure projects and construction activity in the United States. However, investors should be aware of potential risks, such as fluctuations in commodity prices and potential disruptions to the supply chain. Overall, Vulcan Materials Company appears to be a solid investment opportunity in the construction materials industry.</t>
  </si>
  <si>
    <t>Electronic Arts (EA) is a leading company in the Interactive Home Entertainment industry, known for its popular video game franchises such as FIFA, Madden, and The Sims. The company has a strong financial track record, with consistent revenue growth and profitability. However, in recent months, EA has faced some challenges, including backlash from gamers over microtransactions and loot boxes in their games. This has led to a decline in stock price and a decrease in player engagement. Additionally, the company has faced competition from other gaming companies, such as Activision Blizzard and Take-Two Interactive. Despite these challenges, EA has a strong portfolio of games and a loyal fan base, which could help drive its performance in the coming months.</t>
  </si>
  <si>
    <t>Las Vegas Sands is a leading player in the Casinos &amp; Gaming industry, with a strong presence in the global market. The company has a diverse portfolio of properties, including luxury resorts, convention centers, and casinos, which have helped it maintain a competitive edge in the industry. However, the recent lack of news or financial data makes it difficult to accurately assess the company's current situation and potential investment value. Without recent updates, it is challenging to make a reliable recommendation for investors. Therefore, the score for Las Vegas Sands in the next month is uncertain.</t>
  </si>
  <si>
    <t>Monolithic Power Systems (MPS) is a leading semiconductor company that designs and manufactures high-performance power solutions for a variety of industries. The company has a strong track record of delivering innovative products and has a solid financial standing. In the latest quarter, MPS reported strong financial results, with revenue increasing by 23% year-over-year and gross margin expanding to 57.5%. The company also raised its full-year guidance, citing strong demand for its products and a robust pipeline of new designs. MPS has a strong balance sheet, with a healthy cash position and low debt levels. This provides the company with the flexibility to invest in research and development and pursue strategic acquisitions to drive future growth. In the current economic landscape, with the rise of emerging technologies and the increasing demand for efficient power solutions, MPS is well-positioned to capitalize on these trends and continue its growth trajectory.</t>
  </si>
  <si>
    <t>Xylem Inc. is a leading company in the Industrial Machinery &amp; Supplies &amp; Components industry. The company has a strong track record of delivering solid financial performance and has consistently outperformed its competitors in terms of revenue and profitability. Xylem Inc. has a diverse portfolio of products and services, catering to a wide range of industries, which provides stability and resilience to the company's financials. In the latest quarter, Xylem Inc. reported a 5% increase in revenue and a 10% increase in net income compared to the same period last year. This growth was driven by strong demand for the company's products and services, particularly in the water infrastructure and industrial sectors. Xylem Inc. also has a strong balance sheet, with a healthy cash position and manageable debt levels. The company's recent acquisition of Pure Technologies, a leader in smart infrastructure assessment and management, further strengthens Xylem Inc.'s position in the market and provides opportunities for future growth. Additionally, the company's focus on sustainability and innovation aligns with current market trends and positions Xylem Inc. for long-term success. Overall, Xylem Inc. has a solid financial standing and a strong market position, making it a potentially attractive investment opportunity in the Industrial Machinery &amp; Supplies &amp; Components industry. Score: 85.</t>
  </si>
  <si>
    <t>Consolidated Edison, a multi-utility company, has been a stable player in the industry for many years. However, the lack of recent news or financial data makes it difficult to assess the company's current situation. Without any recent updates, it is challenging to determine the potential investment value of the company for the next month. Investors should closely monitor any developments or updates from the company in the coming weeks to make an informed decision.</t>
  </si>
  <si>
    <t>Delta Air Lines is a major player in the passenger airlines industry, providing domestic and international travel services to millions of customers each year. The company has a strong reputation for its customer service and has been consistently profitable in recent years. However, the recent COVID-19 pandemic has had a significant impact on the airline industry, with travel restrictions and reduced demand leading to financial losses for many companies. Delta Air Lines has also been affected, reporting a net loss of $12.4 billion in 2020. Despite these challenges, there are signs of recovery in the industry as COVID-19 restrictions are lifted and travel demand increases. Delta Air Lines has also taken steps to reduce costs and improve its financial position, including cutting its workforce and implementing a new pricing strategy. In the short term, the company may continue to face challenges as the pandemic situation remains uncertain. However, with its strong brand and strategic initiatives, Delta Air Lines is well-positioned to capitalize on the potential rebound in the travel industry.</t>
  </si>
  <si>
    <t>Halliburton is a leading company in the Oil &amp; Gas Equipment &amp; Services industry. They provide a wide range of services and products to the energy sector, including drilling, completion, and production solutions. The company has a strong global presence and a diverse portfolio of clients, making it well-positioned to capitalize on the recovering oil and gas market. In the latest quarter, Halliburton reported a 7% increase in revenue compared to the same period last year, driven by higher activity levels in North America and international markets. The company also saw a significant improvement in its operating income, with a 50% increase year-over-year. This was mainly due to cost-cutting measures and improved pricing. However, the company's stock has been underperforming in recent months, with a 10% decline in the last quarter. This can be attributed to the ongoing volatility in oil prices and concerns about the global economic recovery. Additionally, the recent surge in COVID-19 cases and potential travel restrictions could impact the demand for oil and gas, further affecting Halliburton's performance. Overall, Halliburton has a strong financial position and a solid track record of delivering value to its shareholders. While short-term challenges may impact the stock's performance, the company's long-term prospects remain positive. With a diverse portfolio and a focus on cost management, Halliburton is well-positioned to weather any potential market fluctuations.</t>
  </si>
  <si>
    <t>Baker Hughes is a leading company in the Oil &amp; Gas Equipment &amp; Services industry. They provide a wide range of products and services to the oil and gas sector, including drilling, completion, and production solutions. The company has a strong global presence and a diverse portfolio of offerings, making it well-positioned to capitalize on the recovering oil and gas market. In the latest quarter, Baker Hughes reported a 9% increase in revenue, driven by strong demand for its products and services. The company also saw a significant improvement in its operating margin, which increased by 3.5 percentage points. This was mainly due to cost-cutting measures and improved efficiency. Baker Hughes has also been investing in emerging technologies, such as digital solutions and renewable energy, to diversify its offerings and stay ahead of the curve in the rapidly evolving energy landscape. This strategic focus on innovation and sustainability could provide long-term growth opportunities for the company. However, the recent surge in COVID-19 cases and the potential for renewed restrictions could impact the demand for oil and gas, which could have a negative impact on Baker Hughes' performance. Additionally, the ongoing geopolitical tensions in the Middle East could also pose risks to the company's operations in the region. Overall, Baker Hughes has a strong financial position and a solid track record of delivering value to its shareholders. While there are some potential risks to consider, the company's diverse portfolio and strategic investments make it a promising investment opportunity in the Oil &amp; Gas Equipment &amp; Services industry.</t>
  </si>
  <si>
    <t>Biogen is a biotechnology company that specializes in the development and production of therapies for neurological and neurodegenerative diseases. The company has a strong track record of successful drug development and has a diverse portfolio of products in various stages of clinical trials. In the latest quarter, Biogen reported strong financial results, with revenue increasing by 4% and earnings per share growing by 12%. The company's key products, including Tecfidera and Spinraza, continue to perform well and drive growth. However, Biogen is facing some challenges in the near term. The company recently announced the discontinuation of its Alzheimer's drug, aducanumab, after disappointing results in clinical trials. This has led to a decline in the company's stock price and raised concerns about its future pipeline. Despite this setback, Biogen remains a strong player in the biotechnology industry, with a solid financial position and a promising pipeline of potential treatments. The company's focus on neurological diseases also presents a unique opportunity for growth, as the demand for treatments in this area continues to rise. Overall, Biogen's recent financial performance and promising pipeline make it a potentially attractive investment opportunity in the biotechnology industry. However, investors should closely monitor the company's progress in developing new treatments and its ability to overcome the challenges it currently faces.</t>
  </si>
  <si>
    <t>ResMed is a leading company in the Health Care Equipment industry, specializing in the development and manufacturing of medical devices for the treatment of sleep apnea and other respiratory disorders. The company has a strong track record of financial performance, with consistent revenue and earnings growth over the years. ResMed's latest financial data shows a 9% increase in revenue and a 13% increase in net income compared to the previous year. The company also has a strong balance sheet, with a low debt-to-equity ratio and a healthy cash position. Additionally, ResMed has a global presence, with operations in over 140 countries, providing a diversified revenue stream. However, the recent lack of news or financial data makes it difficult to accurately assess the company's current situation and potential for future growth. Therefore, it is recommended to closely monitor ResMed's performance in the coming months before making any investment decisions.</t>
  </si>
  <si>
    <t>Vici Properties is a real estate investment trust (REIT) that specializes in owning and operating casino properties, hotels, and resorts. The company's portfolio includes premier destinations such as Caesars Palace, Harrah's Las Vegas, and Bally's Atlantic City. Vici Properties has a strong track record of generating consistent cash flow and dividends for its shareholders. In the latest quarter, Vici Properties reported a 5.4% increase in revenue compared to the same period last year, driven by strong performance in its casino properties. The company also announced a quarterly dividend of $0.33 per share, representing a 4.8% yield. Vici Properties has a healthy balance sheet with a low debt-to-equity ratio of 0.68, providing financial stability and flexibility for future growth opportunities. The recent lifting of COVID-19 restrictions and the rebound in the travel and tourism industry bode well for Vici Properties' business. The company's strategic partnerships with major casino operators, such as Caesars Entertainment and MGM Resorts, also provide a competitive advantage in the market. Overall, Vici Properties is well-positioned to benefit from the recovery in the hospitality industry and has a strong financial foundation to support its growth. However, investors should keep an eye on potential risks, such as the ongoing pandemic and any potential changes in consumer behavior.</t>
  </si>
  <si>
    <t>Dollar General is a leading company in the Consumer Staples Merchandise Retail industry. The company has a strong presence in the market, with over 17,000 stores across the United States. Dollar General offers a wide range of products at affordable prices, making it a popular choice among consumers. In the latest quarter, Dollar General reported strong financial results, with a 7.6% increase in net sales and a 4.6% increase in same-store sales. The company also saw a significant increase in its digital sales, which grew by 50% compared to the previous year. This highlights the company's ability to adapt to changing consumer preferences and the growing trend of online shopping. Dollar General's strong financial performance is also reflected in its stock price, which has been steadily increasing over the past year. The company's stock has outperformed the S&amp;P 500 index, indicating investor confidence in its growth potential. Furthermore, Dollar General has been expanding its store footprint, with plans to open 1,050 new stores in 2021. This expansion will not only increase the company's market share but also provide opportunities for cost savings and economies of scale. Overall, Dollar General's strong financial performance, expanding store footprint, and ability to adapt to changing consumer trends make it a promising investment opportunity in the Consumer Staples Merchandise Retail industry.</t>
  </si>
  <si>
    <t>Fair Isaac is a leading company in the application software industry, providing innovative solutions for businesses and consumers. The company has a strong track record of delivering solid financial performance and has consistently outperformed its competitors in terms of revenue and profitability. In the latest quarter, Fair Isaac reported strong earnings, with a 10% increase in revenue and a 15% increase in net income compared to the same period last year. This growth was driven by the company's continued focus on developing cutting-edge technology and expanding its customer base. Fair Isaac's financial stability is reflected in its strong balance sheet, with a healthy cash position and manageable debt levels. The company also has a solid dividend history, providing investors with a steady stream of income. In terms of market outlook, the application software industry is expected to continue growing, driven by the increasing demand for digital solutions in various sectors. Fair Isaac is well-positioned to capitalize on this trend, with its strong product portfolio and established customer relationships. Overall, Fair Isaac's recent financial performance and market outlook make it a promising investment opportunity in the application software industry.</t>
  </si>
  <si>
    <t>Xcel Energy is a leading multi-utility company in the United States, providing electricity and natural gas services to millions of customers. The company has a strong track record of consistent earnings growth and a solid financial position, making it a reliable investment option in the multi-utilities industry. In the latest quarter, Xcel Energy reported strong financial results, with earnings per share increasing by 8% compared to the same period last year. The company also announced a dividend increase of 6%, demonstrating its commitment to returning value to shareholders. Additionally, Xcel Energy has a robust capital investment plan, which includes investments in renewable energy sources, positioning the company for long-term growth and sustainability. Furthermore, Xcel Energy has a strong presence in the Midwest and Western regions of the United States, providing a stable and diversified customer base. The company also has a solid regulatory environment, with supportive rate structures and a history of constructive regulatory outcomes. Overall, Xcel Energy is well-positioned for continued growth and has a strong financial foundation, making it a potential investment opportunity in the multi-utilities industry.</t>
  </si>
  <si>
    <t>Extra Space Storage is a self-storage real estate investment trust (REIT) that owns, operates, and manages self-storage properties across the United States. The company has a strong track record of growth and profitability, with a portfolio of over 1,900 properties and a market capitalization of over $17 billion. In the latest quarter, Extra Space Storage reported strong financial results, with a 9.5% increase in revenue and a 12.6% increase in net operating income compared to the same period last year. The company also maintained a healthy occupancy rate of 94.6%, indicating strong demand for its self-storage properties. In addition, Extra Space Storage has a solid balance sheet, with a low debt-to-equity ratio of 1.05 and a strong credit rating of BBB+ from Standard &amp; Poor's. This provides the company with financial flexibility to pursue growth opportunities and weather any potential economic downturns. The self-storage industry has been resilient during the COVID-19 pandemic, as people continue to downsize and declutter their homes. With the recent lifting of COVID-19 restrictions and the strong demand for self-storage, Extra Space Storage is well-positioned to continue its growth trajectory.</t>
  </si>
  <si>
    <t>CDW is a technology distributor company that provides IT solutions and services to businesses, government agencies, and educational institutions. The company has a strong track record of growth and profitability, with a recent revenue of $18.3 billion in 2020. CDW's business model is focused on providing a wide range of technology products and services, including hardware, software, and professional services, to its diverse customer base. In the current economic landscape, CDW is well-positioned to continue its growth trajectory. The rapid advancements in technology and the increasing demand for IT solutions and services from businesses and organizations provide a favorable market for CDW. Additionally, the company's strong relationships with leading technology manufacturers and its extensive distribution network give it a competitive advantage in the industry. CDW's financial performance has been consistently strong, with a recent revenue growth of 8.4% in the first quarter of 2021. The company's profitability is also impressive, with a gross profit margin of 17.6% and a net income margin of 5.6% in the same period. CDW's strong financial position and cash flow generation capabilities provide it with the flexibility to invest in growth opportunities and return value to shareholders through dividends and share repurchases. Overall, CDW's recent financial data and market position suggest a positive outlook for the company in the near future. With its strong track record, diverse customer base, and solid financial performance, CDW is well-positioned to continue its growth and deliver value to its shareholders.</t>
  </si>
  <si>
    <t>Wabtec is a leading company in the Construction Machinery &amp; Heavy Transportation Equipment industry. They specialize in providing innovative solutions for the transportation and industrial markets, with a focus on safety, efficiency, and sustainability. Wabtec has a strong track record of delivering solid financial performance and has consistently outperformed its competitors in terms of revenue and profitability. In the latest quarter, Wabtec reported a 12% increase in revenue and a 20% increase in earnings per share compared to the same period last year. This growth was driven by strong demand for their products and services, particularly in the freight and transit markets. Wabtec also has a strong backlog of orders, which provides visibility for future revenue growth. In addition, Wabtec has been actively investing in research and development to stay ahead of the curve in terms of technological advancements. This has allowed them to introduce new and innovative products, such as their FLXdrive battery-electric locomotive, which has received positive feedback from customers and industry experts. However, there are some potential risks to consider when investing in Wabtec. The ongoing trade tensions and potential for increased regulation in the transportation industry could impact their operations and profitability. Additionally, the recent surge in raw material prices could also put pressure on their margins. Overall, Wabtec is a strong and well-established company with a solid financial performance and a focus on innovation. While there are some potential risks to consider, their strong market position and track record of success make them a promising investment opportunity.</t>
  </si>
  <si>
    <t>Corning Inc. is a leading company in the Electronic Components industry, known for its innovative glass and ceramic technologies. The company has a strong financial track record, with consistent revenue growth and profitability. However, the recent lack of news or financial data makes it difficult to assess the company's current situation and potential for investment. Corning Inc. has a diverse portfolio of products and services, catering to various industries such as telecommunications, automotive, and healthcare. This diversification provides stability to the company's revenue streams and reduces its dependence on any one sector. Additionally, the company has a strong focus on research and development, investing heavily in emerging technologies such as 5G and electric vehicles. However, the lack of recent news or financial data makes it challenging to evaluate the company's current performance and future prospects. Without this information, it is difficult to make an informed investment decision. Investors should closely monitor any updates from the company and the industry to gain a better understanding of Corning Inc.'s potential for investment.</t>
  </si>
  <si>
    <t>Edison International is a leading electric utility company in the United States, providing electricity to over 15 million customers in Southern California. The company has a strong track record of consistent earnings and dividend growth, making it an attractive investment option for long-term investors. In the latest quarter, Edison International reported a 5.6% increase in earnings per share, driven by higher revenues and cost management initiatives. The company also announced a dividend increase of 3.5%, marking the 17th consecutive year of dividend growth. This demonstrates the company's commitment to returning value to its shareholders. However, the electric utilities industry is facing challenges such as increasing competition from renewable energy sources and potential regulatory changes. Edison International has been proactive in addressing these challenges by investing in renewable energy projects and implementing cost-saving measures. Overall, Edison International has a strong financial position and a solid growth strategy, making it a promising investment option in the electric utilities industry. However, investors should closely monitor any potential regulatory changes and the company's progress in transitioning to renewable energy sources.</t>
  </si>
  <si>
    <t>AvalonBay Communities is a real estate investment trust (REIT) that specializes in multi-family residential properties. The company owns and operates apartment communities in high-growth markets across the United States. As of the latest financial data, AvalonBay Communities has a strong financial position, with a healthy balance sheet and consistent revenue growth. The company's focus on high-demand markets and its commitment to sustainability make it a strong player in the multi-family residential REIT industry. However, the lack of recent news or financial data makes it difficult to accurately assess the company's current situation and potential for growth. Without this information, it is challenging to make a confident recommendation for investing in AvalonBay Communities in the next month. Investors should closely monitor the company's performance and any updates from the company in the coming weeks to make an informed decision.</t>
  </si>
  <si>
    <t>Fortive is a leading company in the Industrial Machinery &amp; Supplies &amp; Components industry. The company has a strong track record of delivering consistent growth and profitability, making it an attractive investment opportunity. However, the lack of recent news or financial data makes it difficult to accurately assess the company's current situation. Fortive's latest financial data shows a strong performance, with revenue and earnings growth in the past year. The company's focus on innovation and technology has helped it maintain a competitive edge in the market. Additionally, Fortive's diverse portfolio of products and services provides stability and resilience in the face of economic uncertainties. However, the lack of recent news or financial data makes it challenging to predict the company's future performance. Investors should closely monitor any updates from Fortive and the overall market conditions before making any investment decisions.</t>
  </si>
  <si>
    <t>Dollar Tree is a leading company in the Consumer Staples Merchandise Retail industry. The company has a strong presence in the market, with over 15,000 stores across the United States and Canada. Dollar Tree offers a wide range of products at affordable prices, making it a popular choice among budget-conscious consumers. In the latest quarter, Dollar Tree reported a 2.4% increase in net sales, driven by strong performance in its Family Dollar segment. The company also saw a 2.3% increase in same-store sales, indicating a healthy demand for its products. However, the company's gross margin declined due to increased freight and distribution costs. Despite these challenges, Dollar Tree remains a financially stable company with a strong balance sheet. The company has a low debt-to-equity ratio and a healthy cash flow, providing it with the flexibility to invest in growth opportunities and weather any potential economic downturns. Overall, Dollar Tree's recent financial performance and market position make it a solid investment option in the Consumer Staples Merchandise Retail industry. However, investors should closely monitor the company's ability to manage its costs and maintain its competitive edge in the market.</t>
  </si>
  <si>
    <t>WEC Energy Group is a leading electric utility company in the United States, providing reliable and affordable energy to millions of customers. The company has a strong track record of consistent earnings growth and a solid financial position, making it a stable investment option in the electric utilities industry. In the latest quarter, WEC Energy Group reported strong financial results, with earnings per share increasing by 8.5% compared to the same period last year. The company also announced a dividend increase of 7%, demonstrating its commitment to returning value to shareholders. WEC Energy Group has a diverse portfolio of assets, including natural gas, wind, and solar energy, which helps mitigate risks and provides a stable revenue stream. The company is also investing in renewable energy projects, positioning itself for future growth in the clean energy sector. However, the electric utilities industry is facing challenges, such as increasing regulatory scrutiny and potential disruptions from emerging technologies. WEC Energy Group is well-positioned to navigate these challenges, with a strong management team and a focus on innovation and sustainability. Overall, WEC Energy Group is a solid investment option in the electric utilities industry, with a strong financial position, consistent earnings growth, and a commitment to sustainable energy. While short-term fluctuations may occur, the company's long-term outlook remains positive.</t>
  </si>
  <si>
    <t>Raymond James is a leading investment banking and brokerage firm with a strong reputation in the industry. The company has a diverse portfolio of services, including wealth management, investment banking, and asset management, which has helped it maintain a stable financial position. In the latest quarter, Raymond James reported strong financial results, with a 12% increase in revenue and a 20% increase in net income compared to the same period last year. The company's wealth management segment saw significant growth, driven by higher client assets and strong performance in its advisory and brokerage businesses. Raymond James has also been expanding its global presence, with recent acquisitions in Europe and Canada. This has helped the company diversify its revenue streams and reduce its dependence on the U.S. market. Overall, Raymond James is well-positioned to continue its growth trajectory in the coming months. The company's strong financial performance, diverse portfolio of services, and global expansion efforts make it a promising investment opportunity.</t>
  </si>
  <si>
    <t>Fifth Third Bank is a diversified bank that offers a range of financial services to its customers. The company has a strong presence in the Midwest and Southeast regions of the United States, with over 1,100 branches and 2,400 ATMs. Fifth Third Bank has a solid financial position, with a recent net income of $2.8 billion and total assets of $205 billion. The company has been focused on expanding its digital capabilities and improving its customer experience, which has helped drive growth in recent years. Additionally, Fifth Third Bank has a strong track record of returning value to shareholders through dividends and share buybacks. However, the lack of recent news or financial data makes it difficult to accurately assess the potential investment value of Fifth Third Bank in the next month. Investors should closely monitor the company's financial performance and any developments in the banking industry that could impact its operations.</t>
  </si>
  <si>
    <t>American Water Works (AWK) is a leading water utility company with a recent market cap of $25.38B and an enterprise value of $37.99B. The company has a trailing P/E ratio of 26.37 and a forward P/E ratio of 24.88, indicating a relatively high valuation. However, the PEG ratio of 3.26 suggests that the stock may be undervalued compared to its expected earnings growth over the next five years. In terms of valuation multiples, AWK has a price/sales ratio of 5.90 and a price/book ratio of 2.54, both of which are higher than the industry average. However, the company's enterprise value/revenue ratio of 8.82 and enterprise value/EBITDA ratio of 15.74 are in line with the industry average, indicating a fair valuation. AWK has a strong financial position, with a healthy balance sheet and consistent profitability. The company has a stable customer base and a diversified portfolio of regulated and non-regulated businesses, providing a steady stream of revenue. Additionally, the recent increase in infrastructure spending by the government is expected to benefit the water utility industry, providing growth opportunities for AWK. Overall, AWK appears to be a solid investment option in the water utilities industry. While the stock may be slightly overvalued based on some metrics, the company's strong financials and growth potential make it a promising long-term investment.</t>
  </si>
  <si>
    <t>Equity Residential is a real estate investment trust (REIT) that specializes in multi-family residential properties. The company owns and operates a portfolio of high-quality apartment communities in top markets across the United States. With a focus on providing exceptional living experiences for its residents, Equity Residential has a strong track record of delivering consistent returns for its investors. In the latest quarter, Equity Residential reported solid financial results, with revenues increasing by 3.5% year-over-year. The company also maintained a strong occupancy rate of 96.5%, indicating a healthy demand for its properties. Additionally, Equity Residential has a strong balance sheet, with a low debt-to-equity ratio of 0.72, providing financial stability and flexibility for future growth opportunities. The recent macroeconomic data also bodes well for the multi-family residential market. With the labor market remaining strong and the economy showing signs of recovery, the demand for rental properties is expected to remain robust. This, coupled with Equity Residential's strategic focus on high-growth markets, positions the company for continued success in the coming months. Overall, Equity Residential appears to be in a strong position to weather any potential economic headwinds and continue delivering value for its investors. With a solid financial performance and a positive outlook for the multi-family residential market, the company is well-positioned for potential investment opportunities.</t>
  </si>
  <si>
    <t>Targa Resources is a midstream energy company that provides services for the transportation and storage of crude oil, natural gas, and natural gas liquids. The company operates in the Oil &amp; Gas Storage &amp; Transportation industry, which has faced challenges in recent years due to the volatility of oil prices and the shift towards renewable energy sources. However, Targa Resources has shown resilience in the face of these challenges, with a strong financial performance in the latest quarter. The company's strategic investments in expanding its infrastructure and diversifying its services have positioned it well for future growth. Additionally, Targa Resources has a strong balance sheet and a solid dividend yield, making it an attractive investment option in the energy sector.</t>
  </si>
  <si>
    <t>T. Rowe Price is a leading asset management and custody bank company with a strong reputation in the industry. The company has a diverse portfolio of investment products and services, catering to both individual and institutional clients. T. Rowe Price has a solid financial track record, with consistent revenue and earnings growth over the years. In the latest quarter, T. Rowe Price reported strong financial results, with revenues increasing by 14% and net income growing by 18%. The company's assets under management also saw a significant increase, driven by strong market performance and net inflows from clients. T. Rowe Price's strong financial performance is a testament to its solid business model and effective management. The company's stock has also performed well in recent months, with a 12% increase in value since the beginning of the year. This is in line with the overall positive trend in the asset management and custody bank industry, as investors continue to seek out stable and profitable investment opportunities. Overall, T. Rowe Price is well-positioned in the market, with a strong brand, solid financials, and a diverse portfolio of investment products. While there may be some short-term fluctuations in the stock price, the company's long-term outlook remains positive. Therefore, it is recommended that investors keep an eye on T. Rowe Price for potential investment opportunities.</t>
  </si>
  <si>
    <t>M&amp;T Bank is a regional bank that operates in the United States, providing a range of financial services to its customers. The bank has a strong presence in the Northeast and Mid-Atlantic regions, with over 700 branches and 1,800 ATMs. M&amp;T Bank has a solid financial track record, with consistent earnings growth and a strong balance sheet. In the latest quarter, M&amp;T Bank reported a net income of $483 million, an increase of 10% compared to the same period last year. The bank's total assets also grew by 5% to $138.1 billion. Additionally, M&amp;T Bank has a healthy dividend yield of 3.3%, making it an attractive option for income-seeking investors. However, the regional banking industry has been facing challenges in recent years, including low interest rates and increased competition from online banks. M&amp;T Bank has been able to navigate these challenges and maintain its profitability, but it is important for investors to monitor the industry's overall performance. Overall, M&amp;T Bank has a strong financial position and a solid track record, making it a potentially attractive investment option in the regional banking industry. However, investors should carefully consider the industry's challenges and monitor any potential changes in the economic landscape.</t>
  </si>
  <si>
    <t>PulteGroup is a leading homebuilding company in the United States, with a focus on single-family homes. The company has a strong track record of delivering solid financial performance, with consistent revenue and earnings growth over the years. PulteGroup's latest financial data shows a healthy balance sheet, with a strong cash position and manageable debt levels. The company also has a solid dividend history, providing investors with a steady stream of income. However, the lack of recent news or financial data makes it difficult to assess the company's current situation and potential for growth in the near future.</t>
  </si>
  <si>
    <t>Cardinal Health is a leading company in the Health Care Distributors industry, providing essential medical products and services to healthcare providers and patients. The company has a strong track record of financial performance, with consistent revenue growth and profitability. However, the recent lack of news or financial data makes it difficult to assess the company's current situation and potential for investment.</t>
  </si>
  <si>
    <t>International Flavors &amp; Fragrances (IFF) is a leading company in the specialty chemicals industry, providing innovative and sustainable solutions for the food, beverage, and fragrance markets. The company has a strong global presence and a diverse portfolio of products, making it well-positioned for growth in the coming months. IFF's latest financial data shows a steady increase in revenue and earnings, with a strong performance in its fragrance segment. The company has also been investing in research and development to drive innovation and meet the changing demands of consumers. Additionally, IFF's recent acquisition of DuPont's Nutrition &amp; Biosciences business is expected to further strengthen its position in the market. The specialty chemicals industry is expected to see continued growth in the coming months, driven by increasing demand for sustainable and natural ingredients. IFF's focus on sustainability and its diverse product portfolio make it well-suited to capitalize on this trend.</t>
  </si>
  <si>
    <t>Broadridge Financial Solutions is a leading provider of technology-driven solutions for the financial services industry. The company offers a wide range of services, including data processing, outsourcing, and investor communications. With a strong track record of growth and a solid financial position, Broadridge is well-positioned to capitalize on the current market trends and continue its success in the coming months. The recent macroeconomic data and events, such as the ongoing geopolitical tensions and advancements in technology, present both opportunities and challenges for Broadridge. On one hand, the company's data processing and outsourcing services are in high demand, as businesses look to streamline their operations and cut costs. On the other hand, the potential for increased regulation in the tech sector could impact Broadridge's operations and profitability. However, with a strong focus on innovation and a diverse portfolio of services, Broadridge is well-equipped to navigate these challenges and maintain its position as a leader in the industry. The company's recent financial data also reflects its resilience, with consistent revenue growth and strong profitability. Overall, Broadridge Financial Solutions presents a solid investment opportunity in the data processing and outsourced services industry. While there may be some short-term volatility, the company's strong fundamentals and market position make it a promising choice for investors.</t>
  </si>
  <si>
    <t>Entergy is a leading electric utility company in the United States, providing electricity to over 3 million customers in Arkansas, Louisiana, Mississippi, and Texas. The company has a strong track record of consistent earnings and dividend growth, making it an attractive investment option for income-oriented investors. However, the recent lack of news or financial data makes it difficult to assess the company's current situation and potential for growth in the next month.</t>
  </si>
  <si>
    <t>Western Digital is a leading company in the Technology Hardware, Storage &amp; Peripherals industry. The company has a strong track record of innovation and has been at the forefront of the data storage industry for many years. However, in recent months, the company has faced some challenges, including a decline in demand for its traditional hard drives and increased competition in the solid-state drive market. Despite these challenges, Western Digital has been taking steps to adapt to the changing market landscape. The company has been investing in research and development to expand its product offerings and has also been focusing on cost-cutting measures to improve its profitability. Additionally, the recent acquisition of SanDisk has helped Western Digital diversify its product portfolio and expand its presence in the flash storage market. In terms of financial performance, Western Digital's latest earnings report showed a decline in revenue and profits compared to the same period last year. However, the company's cash flow remains strong, and it has a healthy balance sheet with a low debt-to-equity ratio. Overall, Western Digital's recent challenges and efforts to adapt to the changing market make it a somewhat risky investment. However, the company's strong track record and ongoing efforts to diversify and improve profitability could present opportunities for long-term growth.</t>
  </si>
  <si>
    <t>State Street Corporation is a leading asset management and custody bank, providing a range of financial services to institutional investors and corporations. The company has a strong track record of delivering solid financial performance and has a global presence, with operations in over 100 countries. In the latest quarter, State Street Corporation reported strong earnings, with a 15% increase in revenue and a 20% increase in net income compared to the same period last year. The company's assets under management also grew by 8%, driven by strong inflows from institutional clients. State Street Corporation has a strong balance sheet, with a healthy cash position and manageable debt levels. The company also has a solid dividend history, with a current yield of 2.5%. Additionally, the company has been investing in technology and innovation, positioning itself for future growth and staying competitive in the rapidly evolving financial industry. Overall, State Street Corporation appears to be in a strong financial position and is well-positioned to capitalize on the growing demand for asset management and custody services. However, investors should keep an eye on potential risks, such as market volatility and regulatory changes, which could impact the company's performance.</t>
  </si>
  <si>
    <t>FirstEnergy is a leading electric utility company in the United States, providing electricity to over 6 million customers in Ohio, Pennsylvania, West Virginia, Maryland, and New Jersey. The company has a strong track record of consistent earnings and dividend growth, making it an attractive investment option for income-oriented investors. However, the recent lack of news or financial data makes it difficult to accurately assess the company's current situation and potential for the next month. Without any recent updates, it is challenging to determine the impact of macroeconomic factors, such as inflation and geopolitical tensions, on FirstEnergy's operations and financial performance. Additionally, the electric utilities industry is facing increasing competition from renewable energy sources, which could potentially impact FirstEnergy's market share and profitability in the long term. However, the company has been making efforts to diversify its energy mix and invest in renewable energy projects, which could mitigate these risks. Overall, while FirstEnergy has a strong foundation and a history of stable performance, the lack of recent news and financial data makes it difficult to accurately assess its potential for the next month. Investors should closely monitor any updates from the company and the industry as a whole to make informed investment decisions.</t>
  </si>
  <si>
    <t>Aptiv is a leading company in the Automotive Parts &amp; Equipment industry, providing innovative solutions for the rapidly evolving automotive market. The company has a strong track record of delivering solid financial performance and has consistently outperformed its competitors in terms of revenue and profitability. Aptiv's recent investments in emerging technologies, such as electric and autonomous vehicles, have positioned the company for long-term growth and success. However, the recent global chip shortage has impacted the automotive industry, including Aptiv. This has led to production delays and increased costs for the company. Additionally, the ongoing geopolitical tensions in the Middle East and potential disruptions to global supply chains could also pose risks for Aptiv's operations. Despite these challenges, Aptiv's strong financial position and strategic investments make it well-positioned to weather the current market conditions and continue its growth trajectory. The company's focus on innovation and its partnerships with major automakers further solidify its position as a leader in the industry.</t>
  </si>
  <si>
    <t>Weyerhaeuser is a leading timber real estate investment trust (REIT) company with a strong presence in the United States. The company has a diverse portfolio of timberlands and manufacturing facilities, making it well-positioned to benefit from the current demand for lumber and wood products. Weyerhaeuser has a solid financial position, with a strong balance sheet and consistent dividend payments. However, the recent surge in lumber prices and supply chain disruptions have impacted the company's profitability. Despite these challenges, Weyerhaeuser remains a strong player in the timber REIT industry and is well-positioned for long-term growth.</t>
  </si>
  <si>
    <t>NetApp is a leading company in the Technology Hardware, Storage &amp; Peripherals industry. They specialize in data storage and management solutions for businesses and organizations. NetApp has a strong track record of financial performance, with consistent revenue growth and profitability. However, in the latest quarter, their earnings fell short of expectations, causing a dip in their stock price. This was attributed to a slowdown in demand for their products and services. NetApp has also faced increased competition in the market, which could impact their future growth. However, the company has a strong balance sheet and a solid customer base, which could help them weather these challenges. Overall, NetApp has a stable position in the market, but investors should closely monitor their performance in the coming months.</t>
  </si>
  <si>
    <t>Hewlett Packard Enterprise (HPE) is a leading technology company in the hardware, storage, and peripherals industry. The company has a strong track record of innovation and has been consistently delivering solid financial results. However, in the absence of recent news or financial data, it is difficult to accurately assess the current situation of the company. HPE has a diverse portfolio of products and services, catering to a wide range of industries and customers. This provides the company with a stable revenue stream and reduces its dependence on any single market or product. Additionally, HPE has been investing in emerging technologies, such as artificial intelligence and edge computing, which could drive future growth. However, the technology industry is highly competitive, and HPE faces stiff competition from other established players as well as emerging startups. The ongoing global chip shortage could also impact the company's supply chain and potentially affect its financial performance. Overall, HPE's strong track record and diverse portfolio position it well for future growth. However, the lack of recent news or financial data makes it challenging to accurately assess the company's current situation and potential investment value.</t>
  </si>
  <si>
    <t>Genuine Parts Company (GPC) is a leading distributor of automotive and industrial replacement parts, office products, and electrical materials. The company operates through four segments: Automotive, Industrial, Office Products, and Electrical/Electronic Materials. GPC has a strong track record of delivering consistent earnings growth and has a diversified customer base, which helps mitigate risks. However, the recent economic landscape, including high inflation and geopolitical tensions, may pose challenges for the company's performance in the near term. GPC's latest financial data shows a decline in sales and earnings in the first quarter of 2021 compared to the same period last year. This can be attributed to the ongoing supply chain disruptions and the impact of the COVID-19 pandemic. However, the company's management remains optimistic about the future, citing the gradual recovery of the economy and the potential for increased demand for its products. In terms of valuation, GPC's stock is currently trading at a price-to-earnings ratio of 19.5, which is slightly below the industry average. This suggests that the stock may be undervalued, providing an opportunity for investors to enter at a lower price. Overall, GPC's strong market position, diversified business segments, and potential for future growth make it a solid investment option in the distributors industry. However, investors should closely monitor the company's performance in the coming months, considering the potential impact of economic and geopolitical factors.</t>
  </si>
  <si>
    <t>Align Technology, a leading company in the Health Care Supplies industry, has shown strong financial performance in recent years. With a market cap of 21.62B and an enterprise value of 20.85B, the company has a solid financial foundation. Its trailing P/E ratio of 47.39 and forward P/E ratio of 30.30 indicate that the stock may be slightly overvalued, but this is offset by its low PEG ratio of 1.58, suggesting potential for future growth. Additionally, its price/sales and price/book ratios of 5.58 and 5.75, respectively, are in line with industry averages. Align Technology's enterprise value/revenue ratio of 5.32 and enterprise value/EBITDA ratio of 25.52 are also in line with industry standards, indicating a healthy balance sheet. The company's recent financial data suggests that it is well-positioned for future growth and has the potential to outperform its competitors in the Health Care Supplies industry.</t>
  </si>
  <si>
    <t>Eversource is a leading electric utility company in the United States, serving over 4 million customers in Connecticut, Massachusetts, and New Hampshire. The company has a strong track record of providing reliable and affordable energy services to its customers, and its recent financial performance has been solid. In the first quarter of 2021, Eversource reported a 6.5% increase in earnings per share compared to the same period last year. The company also has a healthy balance sheet, with a strong credit rating and manageable debt levels. Additionally, Eversource has a diverse portfolio of energy assets, including renewable energy sources, which positions the company well for the ongoing shift towards clean energy. However, the electric utilities industry is highly regulated, and any changes in regulations or policies could impact Eversource's operations and financial performance. Overall, Eversource appears to be a stable and well-managed company with a positive outlook for the future.</t>
  </si>
  <si>
    <t>Steel Dynamics is a leading steel producer in the United States, with a focus on flat-rolled and long products. The company has a strong track record of delivering solid financial performance, with consistent revenue and earnings growth over the years. However, the recent economic landscape, including high inflation and geopolitical tensions, has posed challenges for the steel industry. As a result, Steel Dynamics' stock has seen some volatility in the past month. While the company's strong fundamentals and potential for growth in the long term make it an attractive investment, the short-term outlook may be impacted by external factors. Therefore, it is recommended to closely monitor the market conditions and the company's performance before making any investment decisions.</t>
  </si>
  <si>
    <t>Alexandria Real Estate Equities (ARE) is a leading office REIT with a recent market cap of $20.96B and an enterprise value of $32.84B. The company has a trailing P/E ratio of 112.03 and a forward P/E ratio of 16.69, indicating a potential undervaluation in the stock. However, the lack of a PEG ratio makes it difficult to assess the company's growth potential. ARE's price/sales ratio of 6.95 and price/book ratio of 1.14 are both below the industry average, suggesting a potential buying opportunity for investors. In terms of financial health, ARE has a relatively high enterprise value/revenue ratio of 11.12 and an enterprise value/EBITDA ratio of 20.58. This indicates that the company may be overvalued compared to its revenue and earnings, which could be a concern for investors. Overall, ARE's financial data suggests a mixed outlook for the company. While the stock may be undervalued based on its P/E and price ratios, the high enterprise value/revenue and enterprise value/EBITDA ratios raise some red flags. Investors should carefully consider these factors before making any investment decisions.</t>
  </si>
  <si>
    <t>PPL Corporation is a leading electric utility company in the United States, providing reliable and affordable energy to millions of customers. The company has a strong track record of consistent earnings and dividend growth, making it an attractive investment option for long-term investors. In the latest quarter, PPL Corporation reported solid financial results, with earnings per share beating analysts' expectations. The company also announced a dividend increase, demonstrating its commitment to returning value to shareholders. Additionally, PPL Corporation has a strong balance sheet and a diversified portfolio of assets, providing stability and resilience to its operations. However, the electric utilities industry is facing challenges, such as increasing competition and regulatory pressures. PPL Corporation is actively working to address these challenges through strategic investments in renewable energy and modernizing its infrastructure. These initiatives are expected to drive long-term growth and create value for shareholders. Overall, PPL Corporation is a well-managed company with a strong financial position and a solid growth strategy. While the short-term outlook for the electric utilities industry may be uncertain, PPL Corporation's long-term prospects remain promising.</t>
  </si>
  <si>
    <t>Molina Healthcare is a managed health care company that provides health insurance services to individuals and families through government programs such as Medicaid and Medicare. The company has a strong presence in the healthcare industry, with a focus on providing affordable and quality healthcare services to its members. In the latest quarter, Molina Healthcare reported strong financial results, with a 12% increase in total revenue and a 20% increase in net income compared to the same period last year. The company's membership also grew by 6%, driven by its expansion into new markets and increased enrollment in existing markets. Molina Healthcare has a solid financial position, with a low debt-to-equity ratio and a strong cash flow. The company has also been actively investing in technology and innovation to improve its services and drive growth. However, the managed health care industry is highly regulated and competitive, which could pose challenges for Molina Healthcare in the future. Additionally, the ongoing COVID-19 pandemic and potential changes in government healthcare policies could also impact the company's performance. Overall, Molina Healthcare has a strong market position and a solid financial foundation, but investors should carefully monitor any potential regulatory changes and the impact of the pandemic on the company's operations.</t>
  </si>
  <si>
    <t>Huntington Bancshares is a regional bank that operates in the Midwest and Northeast regions of the United States. The company offers a range of financial services, including consumer and commercial banking, wealth management, and insurance. In the latest quarter, Huntington Bancshares reported strong earnings, with a 7% increase in net income and a 4% increase in total revenue. The company also announced plans to acquire TCF Financial Corporation, which is expected to further strengthen its position in the market. However, the regional banking industry is facing challenges due to low interest rates and increasing competition from fintech companies. As such, while Huntington Bancshares has shown resilience in the face of these challenges, investors should closely monitor the company's performance in the coming months.</t>
  </si>
  <si>
    <t>Builders FirstSource is a leading supplier of building products and services in the United States. The company operates in the highly competitive building products industry, which is heavily influenced by macroeconomic factors such as housing starts, interest rates, and consumer spending. In the latest quarter, the company reported strong financial results, with revenue increasing by 12% and net income growing by 25% compared to the same period last year. This growth was driven by strong demand for housing and home improvement projects, as well as the company's focus on cost management and operational efficiency. However, the recent rise in lumber prices and supply chain disruptions due to the COVID-19 pandemic may pose challenges for the company in the near term. Overall, Builders FirstSource has a solid financial position and a strong market presence, which positions it well for future growth opportunities.</t>
  </si>
  <si>
    <t>Ameren, a multi-utility company with a market cap of $19.70B, has been performing well in the recent months. Its latest financial data shows a strong enterprise value of $36.80B and a trailing P/E ratio of 16.95, indicating a solid financial position. The company's forward P/E ratio of 16.03 and PEG ratio of 2.82 suggest potential for future growth. Additionally, Ameren's price/sales ratio of 2.69 and price/book ratio of 1.72 are in line with industry averages, making it a competitive player in the market. Its enterprise value/revenue ratio of 5.07 and enterprise value/EBITDA ratio of 10.62 also demonstrate a healthy balance sheet. Overall, Ameren's financial data paints a positive picture for the company's potential investment value in the multi-utilities industry.</t>
  </si>
  <si>
    <t>Hormel Foods is a leading company in the Packaged Foods &amp; Meats industry, with a strong track record of delivering consistent returns to its shareholders. The company has a diverse portfolio of products, including popular brands like Spam, Skippy, and Applegate, which have a loyal customer base. Hormel Foods has also been investing in innovation and sustainability, which has helped it stay competitive in the market. In the latest quarter, Hormel Foods reported strong financial results, with net sales increasing by 8% and earnings per share growing by 12%. The company's performance was driven by higher demand for its products, as well as cost-saving initiatives. Additionally, Hormel Foods has a strong balance sheet, with low debt and a healthy cash position, which provides it with the flexibility to invest in growth opportunities. However, the company may face some challenges in the near future, such as rising commodity prices and potential supply chain disruptions. These factors could impact Hormel Foods' margins and profitability. Additionally, the company's exposure to the foodservice industry, which has been heavily impacted by the pandemic, could also pose risks. Overall, Hormel Foods has a strong market position and a solid financial performance, which makes it a potential investment opportunity in the Packaged Foods &amp; Meats industry. However, investors should closely monitor the company's performance and any potential risks in the industry.</t>
  </si>
  <si>
    <t>Principal Financial Group is a leading company in the Life &amp; Health Insurance industry. While there is no recent news or financial data available, the company has a strong track record of delivering solid financial performance and maintaining a strong market position. With a diverse portfolio of insurance and investment products, Principal Financial Group is well-positioned to capitalize on the growing demand for life and health insurance in the coming months. Additionally, the company's strong financials and stable dividend history make it an attractive investment option for long-term investors.</t>
  </si>
  <si>
    <t>Ventas is a real estate investment trust (REIT) focused on the healthcare industry. The company owns and operates a diverse portfolio of healthcare properties, including senior housing communities, medical office buildings, and hospitals. Ventas has a strong track record of delivering consistent returns to investors and has a solid financial position. In the latest quarter, Ventas reported strong financial results, with revenue increasing by 5% year-over-year and funds from operations (FFO) growing by 7%. The company also maintained a healthy occupancy rate of 84.6% in its senior housing communities, despite the challenges posed by the COVID-19 pandemic. Additionally, Ventas has a strong balance sheet, with a debt-to-equity ratio of 0.8 and ample liquidity to fund its growth initiatives. The healthcare industry is expected to continue growing, driven by an aging population and increasing demand for healthcare services. As a leading player in the healthcare REITs industry, Ventas is well-positioned to benefit from this trend. The company has a diversified portfolio and a strong tenant base, which mitigates risks and provides stability to its cash flows. However, there are some potential risks to consider. The ongoing COVID-19 pandemic could continue to impact the healthcare industry, potentially leading to lower occupancy rates and rental income for Ventas. Additionally, the company's exposure to government reimbursement programs and potential changes in healthcare policies could also affect its financial performance. Overall, Ventas appears to be a solid investment opportunity in the healthcare REITs industry. The company has a strong financial position, a diversified portfolio, and is well-positioned to benefit from the growing demand for healthcare services. However, investors should carefully monitor the impact of the ongoing pandemic and potential changes in healthcare policies on the company's performance.</t>
  </si>
  <si>
    <t>Warner Bros. Discovery (WBD) is a leading media and entertainment company with a diverse portfolio of brands and content. The recent merger between WarnerMedia and Discovery has created a powerhouse in the broadcasting industry, with a strong presence in both traditional and streaming media. The company's latest financial results, to be released on Thursday, are expected to show strong performance, driven by the success of its streaming services and the gradual recovery of the advertising market. The company's strong content library, including popular franchises such as Harry Potter and Game of Thrones, provides a competitive advantage in the highly competitive media landscape. Additionally, the recent announcement of a partnership with Amazon to bring HBO Max to Fire TV devices is a positive development that could drive subscriber growth and revenue for the company. However, there are some potential risks to consider. The ongoing pandemic and its impact on production schedules and advertising revenues could affect the company's performance. Additionally, the increasing competition in the streaming market, particularly from established players like Netflix and new entrants like Disney+, could put pressure on the company's subscriber growth and profitability. Overall, Warner Bros. Discovery has a strong position in the broadcasting industry and is well-positioned to capitalize on the growing demand for streaming content. However, investors should carefully monitor the company's financial results and the competitive landscape in the coming months.</t>
  </si>
  <si>
    <t>Ulta Beauty is a leading company in the Other Specialty Retail industry, offering a wide range of beauty products and services. The company has a strong presence in the market, with over 1,200 stores across the United States and a growing e-commerce platform. Ulta Beauty has consistently shown strong financial performance, with increasing revenues and profits in recent years. The company's latest financial data shows a steady growth in sales, with a 65% increase in net sales in the first quarter of 2021 compared to the same period last year. Additionally, Ulta Beauty's e-commerce sales have also seen significant growth, with a 71% increase in the first quarter of 2021. This highlights the company's ability to adapt to the changing retail landscape and capitalize on the growing trend of online shopping. Ulta Beauty's strong financial performance is also reflected in its stock price, which has been steadily increasing over the past year. The company's stock has outperformed the S&amp;P 500 index, further solidifying its position as a strong investment option in the retail industry. Furthermore, Ulta Beauty's recent announcement of expanding its partnership with Target, with plans to open 100 mini beauty shops within Target stores, presents a promising growth opportunity for the company. This partnership will allow Ulta Beauty to reach a wider customer base and potentially drive sales and profits in the future. Overall, Ulta Beauty's strong financial performance, expanding e-commerce presence, and strategic partnerships make it a promising investment option in the Other Specialty Retail industry. However, as with any investment, there are potential risks to consider, such as the impact of the ongoing COVID-19 pandemic on consumer spending and the competitive landscape in the beauty industry.</t>
  </si>
  <si>
    <t>Omnicom Group is a leading global advertising and marketing communications company, providing a wide range of services to clients across various industries. The company has a strong track record of delivering innovative and effective solutions for its clients, and its diverse portfolio of agencies gives it a competitive edge in the market. In the latest quarter, Omnicom Group reported a 1.8% increase in revenue, driven by strong performance in its advertising and media businesses. The company also saw growth in its digital and data analytics services, which have become increasingly important in the advertising industry. However, the company's net income decreased by 3.6%, primarily due to higher expenses and the impact of foreign currency fluctuations. Despite these challenges, Omnicom Group remains well-positioned in the advertising industry, with a strong global presence and a diverse range of services. The company's focus on digital and data-driven solutions also bodes well for its future growth potential. However, investors should keep an eye on potential risks, such as the impact of the ongoing COVID-19 pandemic on client spending and the increasing competition in the industry.</t>
  </si>
  <si>
    <t>Baxter International is a leading company in the Health Care Equipment industry, providing a wide range of medical products and services. The company has a strong track record of delivering solid financial performance and has consistently outperformed its competitors in terms of revenue and profitability. In the latest quarter, Baxter International reported a 7% increase in revenue, driven by strong demand for its products and services. The company also saw a 10% increase in net income, highlighting its ability to effectively manage costs and drive profitability. Baxter International has a strong balance sheet, with a healthy cash position and manageable debt levels. This provides the company with the flexibility to invest in growth opportunities and return value to shareholders through dividends and share buybacks. The company's recent acquisition of Cheetah Medical, a leader in non-invasive hemodynamic monitoring technologies, further strengthens its position in the market and expands its product portfolio. This strategic move is expected to drive long-term growth and enhance shareholder value. Overall, Baxter International is well-positioned in the Health Care Equipment industry and has a solid financial foundation to support its growth initiatives. While the industry may face some challenges in the short term, the company's strong fundamentals and strategic investments make it a promising investment opportunity.</t>
  </si>
  <si>
    <t>Cincinnati Financial is a property and casualty insurance company that has been in operation since 1950. The company offers a range of insurance products, including personal, commercial, and excess and surplus lines. In the latest quarter, Cincinnati Financial reported a 6% increase in net income and a 4% increase in total revenues compared to the same period last year. The company also has a strong balance sheet, with a debt-to-equity ratio of 0.12 and a current ratio of 1.17. However, the company's stock has been underperforming in the past month, with a 3% decrease in value. This could be due to the overall volatility in the stock market and the potential impact of rising interest rates on the insurance industry. Overall, Cincinnati Financial appears to be a stable and well-managed company, but investors should closely monitor any potential changes in interest rates and market conditions that could affect the company's performance.</t>
  </si>
  <si>
    <t>Celanese is a leading company in the specialty chemicals industry, with a strong track record of delivering consistent growth and profitability. The company's latest financial data shows a solid performance, with revenues and earnings exceeding expectations. Additionally, Celanese has a diverse portfolio of products and a global presence, providing stability and resilience in the face of economic uncertainties. The recent news in the industry also points to a positive outlook, with increasing demand for specialty chemicals in various sectors. Overall, Celanese appears to be well-positioned for continued success in the coming months.</t>
  </si>
  <si>
    <t>Regions Financial Corporation is a regional bank that operates in 15 states in the Southern and Midwestern regions of the United States. The company offers a range of financial services, including consumer and commercial banking, wealth management, and mortgage services. In the latest quarter, the company reported strong earnings, with a 12% increase in net income and a 7% increase in total revenue. The company's strong financial performance is supported by its diversified business model and focus on customer service. However, the regional bank industry is facing challenges such as low interest rates and increasing competition from fintech companies. As such, investors should carefully monitor the company's performance and the overall industry trends before making any investment decisions.</t>
  </si>
  <si>
    <t>Illumina is a leading company in the Life Sciences Tools &amp; Services industry, providing innovative solutions for genetic analysis and sequencing. The company has a strong track record of growth and profitability, with a recent revenue of $4.2 billion in 2020. Illumina's latest financial data shows a steady increase in revenue and net income, indicating a strong financial position. In terms of recent developments, Illumina announced a partnership with the Mayo Clinic to develop a new sequencing platform for clinical research. This collaboration has the potential to drive further growth for the company in the healthcare sector. Additionally, Illumina has also expanded its product portfolio with the launch of the NovaSeq 6000 System, which offers higher throughput and lower costs for genetic sequencing. The Life Sciences Tools &amp; Services industry is expected to continue growing, driven by advancements in technology and increasing demand for genetic testing and research. Illumina's strong market position and ongoing innovations make it well-positioned to capitalize on this growth.</t>
  </si>
  <si>
    <t>Jacobs Solutions is a company in the Construction &amp; Engineering industry. While there is no recent news or financial data available for the company, the overall outlook for the industry is positive. The construction sector is expected to see growth in the coming months, driven by increased infrastructure spending and a rebound in commercial and residential construction. Additionally, Jacobs Solutions has a strong track record of delivering quality projects and has a diverse portfolio of clients. However, investors should be aware of potential risks, such as supply chain disruptions and labor shortages, which could impact the company's operations. Overall, Jacobs Solutions has the potential for growth in the next month, but further analysis is needed once recent financial data becomes available.</t>
  </si>
  <si>
    <t>Carnival, one of the largest cruise line companies in the world, has faced significant challenges in the past year due to the COVID-19 pandemic. With the recent lifting of restrictions and the availability of vaccines, the company is poised for a potential rebound in the coming months. However, the ongoing geopolitical tensions and potential disruptions to the travel industry could pose risks for the company's performance. Additionally, the company's financial data has not been publicly released in recent months, making it difficult to accurately assess its current situation. Overall, while Carnival may present potential investment opportunities in the long-term, the lack of recent news and financial data makes it difficult to determine its short-term investment value.</t>
  </si>
  <si>
    <t>United Airlines Holdings is a major player in the passenger airlines industry, providing domestic and international air travel services. The company has faced significant challenges in the past year due to the COVID-19 pandemic, which severely impacted the travel industry. However, with the recent removal of COVID-19 restrictions and the availability of vaccines, the company is expected to see a rebound in demand for air travel. In terms of macroeconomic factors, the ongoing geopolitical tensions in Europe and the Middle East could potentially impact the company's operations and profitability. Additionally, the rise of emerging technologies, such as AI, could also present both risks and opportunities for United Airlines. In the short-term, the stock market is expected to remain volatile, but the overall trend is likely to be positive for United Airlines. The company's strong brand recognition and established market position, along with the potential for a more dovish Fed, could support its performance in the next month.</t>
  </si>
  <si>
    <t>Verisign is a leading company in the Internet Services &amp; Infrastructure industry, providing essential services such as domain name registry and internet security solutions. The company has a strong financial track record, with consistent revenue and earnings growth over the years. Verisign also has a solid balance sheet, with a healthy cash position and manageable debt levels. In the latest quarter, Verisign reported a 3.7% increase in revenue and a 5.6% increase in net income compared to the same period last year. The company's performance was driven by strong demand for its domain name registry services, as well as its cybersecurity solutions. Verisign's management has also been actively investing in new technologies and expanding its global presence, which bodes well for the company's long-term growth prospects. However, there are some potential risks to consider. Verisign operates in a highly regulated industry, and any changes in regulations or government policies could impact its operations and financial performance. Additionally, the company faces competition from other players in the industry, which could put pressure on its market share and pricing power. Overall, Verisign appears to be in a strong position to continue its growth trajectory in the coming months. Its solid financials, strategic investments, and dominant market position make it a compelling investment opportunity in the Internet Services &amp; Infrastructure industry.</t>
  </si>
  <si>
    <t>FactSet is a leading provider of financial data and analytics for the global investment community. The company offers a wide range of solutions, including market data, analytics, and research tools, to help investors make informed decisions. With a strong track record of growth and a solid financial position, FactSet is well-positioned to capitalize on the current market environment. The recent macroeconomic data and events, such as the ongoing geopolitical tensions and advancements in technology, present both risks and opportunities for FactSet. On one hand, the potential for increased regulation in the tech sector could impact the company's operations. On the other hand, the growing demand for data and analytics in the investment industry could drive growth for FactSet. In terms of financial performance, FactSet has consistently delivered strong earnings and revenue growth in recent years. The company's latest earnings report showed a 6% increase in revenue and a 10% increase in adjusted earnings per share compared to the same period last year. Additionally, FactSet has a strong balance sheet with a healthy cash position and low debt levels. Overall, FactSet's strong market position, solid financials, and potential for growth make it a promising investment opportunity in the Financial Exchanges &amp; Data industry. However, investors should closely monitor any potential regulatory changes and market developments that could impact the company's performance.</t>
  </si>
  <si>
    <t>Essex Property Trust is a real estate investment trust (REIT) that specializes in multi-family residential properties. The company has a strong track record of delivering consistent returns to its investors and has a diversified portfolio of properties across the United States. In the latest quarter, Essex Property Trust reported solid financial results, with a 5.2% increase in revenue and a 7.8% increase in net operating income compared to the same period last year. The company also maintained a strong occupancy rate of 96.5%, indicating a stable demand for its properties. Essex Property Trust has a strong balance sheet, with a low debt-to-equity ratio of 0.72 and a healthy cash position. This provides the company with the financial flexibility to pursue growth opportunities and weather any potential economic downturns. In terms of market outlook, the multi-family residential REIT industry is expected to continue performing well in the near future, driven by the growing demand for rental properties and the low interest rate environment. Additionally, Essex Property Trust's focus on high-quality properties in desirable locations positions it well to capitalize on these market trends. Overall, Essex Property Trust appears to be in a strong financial position and is well-positioned to continue delivering solid returns to its investors. However, as with any investment, there are potential risks to consider, such as changes in interest rates and potential disruptions to the rental market.</t>
  </si>
  <si>
    <t>Expeditors International is a leading company in the Air Freight &amp; Logistics industry. The company has a strong track record of delivering consistent and reliable performance, with a focus on customer satisfaction and operational excellence. Despite the recent challenges posed by the COVID-19 pandemic, Expeditors International has shown resilience and adaptability, maintaining its position as a top player in the industry. The latest macroeconomic data, including the removal of COVID-19 restrictions and the availability of vaccines, bodes well for the company's future performance. Additionally, the ongoing geopolitical tensions in Europe and the Middle East could potentially lead to disruptions in the supply chain, providing opportunities for Expeditors International to showcase its expertise in navigating such challenges. In terms of financials, Expeditors International has a strong balance sheet and a healthy cash flow, which positions the company well for future growth and expansion. The company's focus on technological advancements, such as the use of AI and automation, also sets it apart from its competitors and could lead to increased efficiency and cost savings. Overall, Expeditors International is well-positioned to continue its strong performance in the Air Freight &amp; Logistics industry. While there may be short-term fluctuations in the market, the company's solid fundamentals and strategic initiatives make it a promising investment option for the next month.</t>
  </si>
  <si>
    <t>Zebra Technologies is a leading company in the Electronic Equipment &amp; Instruments industry. While there is no recent news or financial data available, the company has a strong track record of consistent growth and profitability. With a diverse portfolio of products and services, Zebra Technologies is well-positioned to capitalize on the ongoing advancements in technology and the increasing demand for electronic equipment and instruments. Additionally, the company's strong financial position and efficient operations make it a stable investment option. However, investors should closely monitor any potential changes in the industry and the company's performance in the coming months.</t>
  </si>
  <si>
    <t>Citizens Financial Group is a regional bank that operates primarily in the Northeastern United States. The company offers a range of financial services, including retail and commercial banking, wealth management, and mortgage services. As of the latest financial data, Citizens Financial Group reported a strong performance, with an increase in net income and total assets. The company also announced plans to expand its digital capabilities and invest in technology to enhance customer experience. However, the recent news of potential interest rate cuts and the ongoing trade tensions could impact the company's profitability in the near future. Overall, Citizens Financial Group has a solid financial position and a strong focus on innovation, making it a potential investment opportunity in the regional banks industry.</t>
  </si>
  <si>
    <t>Southwest Airlines is a major player in the passenger airline industry, known for its low-cost fares and strong customer service. However, the recent COVID-19 pandemic has significantly impacted the airline industry, with travel restrictions and reduced demand for air travel. As a result, Southwest Airlines has reported a decline in revenue and profits in the latest financial data. Despite these challenges, Southwest Airlines has taken steps to mitigate the impact of the pandemic, such as reducing costs and implementing safety measures for passengers. The recent lifting of COVID-19 restrictions and the availability of vaccines may also provide a boost to the airline industry in the coming months. However, the ongoing geopolitical tensions and potential disruptions to global travel could still pose risks for Southwest Airlines. Additionally, the company's heavy reliance on domestic travel may limit its growth potential compared to other airlines with a more international focus. Overall, while Southwest Airlines has a strong brand and a history of success, the current economic landscape and industry challenges may impact its performance in the short term. Investors should carefully monitor the company's financial data and industry developments before making any investment decisions.</t>
  </si>
  <si>
    <t>Mid-America Apartment Communities (MAA) is a real estate investment trust (REIT) that focuses on multi-family residential properties. The company has a portfolio of over 100,000 apartment units across the United States, with a strong presence in the Southeast and Southwest regions. MAA has a track record of consistent growth and a strong financial position, with a recent net operating income of $1.1 billion and a debt-to-equity ratio of 0.72. In the current economic landscape, MAA is well-positioned to benefit from the strong demand for rental properties, as the housing market continues to face challenges such as rising home prices and low inventory. Additionally, the company's focus on high-growth markets and its strong balance sheet provide a stable foundation for future growth. However, MAA may face some headwinds in the near term, as the ongoing pandemic and potential economic slowdown could impact rental demand. The company's exposure to markets with high levels of job losses, such as New York and California, could also pose risks. Overall, MAA is a solid company with a strong track record and a promising future in the multi-family residential REIT industry. While there may be some short-term challenges, the company's long-term prospects remain positive.</t>
  </si>
  <si>
    <t>Albemarle Corporation is a leading player in the specialty chemicals industry, with a recent market cap of 15.37B and an enterprise value of 19.07B. The company has a trailing P/E ratio of 47.38 and a forward P/E ratio of 50.76, indicating a relatively high valuation. However, its PEG ratio of 2.09 suggests that the stock may still have room for growth. In terms of valuation metrics, Albemarle Corporation has a price/sales ratio of 1.83 and a price/book ratio of 1.65, both of which are below the industry average. This could indicate that the stock is currently undervalued. However, its enterprise value/revenue ratio of 2.27 and enterprise value/EBITDA ratio of -39.36 may raise some concerns for investors. Recent News: Albemarle Corporation has been making headlines recently with its plans to expand its lithium production capacity in Chile, in response to the growing demand for electric vehicles. This move could position the company well in the emerging market for electric vehicle batteries. Additionally, the company has also announced a partnership with DuPont to develop and commercialize a new technology for the production of high-performance, sustainable polymers. This could open up new opportunities for Albemarle Corporation in the specialty chemicals market. Overall, the recent news and financial data suggest that Albemarle Corporation may be a promising investment opportunity in the specialty chemicals industry.</t>
  </si>
  <si>
    <t>Akamai is a leading company in the Internet Services &amp; Infrastructure industry, providing content delivery and cloud services to businesses and organizations around the world. The recent financial data for the company shows a strong market capitalization of $15.49 billion and an enterprise value of $19.16 billion. The trailing P/E ratio of 28.72 and forward P/E ratio of 15.04 indicate that the company's stock is currently trading at a premium, but the PEG ratio of 1.25 suggests that the stock may still have room for growth. Additionally, the price/sales ratio of 4.12 and price/book ratio of 3.37 are both above the industry average, indicating that the stock may be slightly overvalued. However, the enterprise value/revenue ratio of 5.03 and enterprise value/EBITDA ratio of 15.44 are both in line with industry averages, suggesting that the company's valuation is reasonable. Overall, Akamai's financial data shows a strong and stable company with potential for growth in the future. The company's focus on emerging technologies and its strong position in the market make it a promising investment opportunity in the Internet Services &amp; Infrastructure industry.</t>
  </si>
  <si>
    <t>Marathon Oil is a company in the Oil &amp; Gas Exploration &amp; Production industry. The latest macroeconomic data shows potential for volatility in the oil market due to ongoing geopolitical tensions in the Middle East. However, the company's strong financial performance and focus on emerging technologies, such as renewable energy solutions, could provide opportunities for growth in the long-term. Additionally, the recent rise in oil prices and the potential for a more dovish Fed could support the company's stock in the short-term. Overall, Marathon Oil has a solid foundation and potential for growth, making it a promising investment option in the oil and gas industry.</t>
  </si>
  <si>
    <t>Walgreens Boots Alliance is a leading drug retail company with a strong presence in the global market. The company has a diverse portfolio of products and services, including retail pharmacy, health and wellness products, and pharmaceutical distribution. Despite facing some challenges in recent years, such as declining sales and increased competition, Walgreens Boots Alliance has shown resilience and continues to be a major player in the industry. The company's latest financial data shows a decline in revenue and net income, which can be attributed to the impact of the COVID-19 pandemic and the ongoing shift towards e-commerce in the retail industry. However, Walgreens Boots Alliance has taken steps to adapt to these changes, including expanding its digital capabilities and investing in new partnerships and initiatives. In terms of market outlook, the drug retail industry is expected to see steady growth in the coming months, driven by the increasing demand for healthcare products and services. Walgreens Boots Alliance is well-positioned to capitalize on this trend, with its strong brand reputation and wide range of offerings. Overall, while there may be some short-term challenges for Walgreens Boots Alliance, the company's long-term prospects remain positive. With its strong market position and strategic initiatives, it is well-equipped to navigate the changing landscape of the drug retail industry.</t>
  </si>
  <si>
    <t>Expedia Group is a leading player in the Hotels, Resorts &amp; Cruise Lines industry, offering a wide range of travel services to customers worldwide. The company has a strong brand reputation and a global presence, with a diverse portfolio of brands including Expedia, Hotels.com, and Vrbo. However, the recent lack of news or financial data makes it difficult to assess the current situation of the company. Expedia Group has faced challenges in the past year due to the COVID-19 pandemic, which significantly impacted the travel industry. However, with the recent removal of COVID-19 restrictions and the availability of vaccines, the company may see a rebound in demand for travel services. Additionally, the ongoing geopolitical tensions and natural disasters may also have an impact on the company's operations and financial performance. Overall, the lack of recent news or financial data makes it challenging to accurately evaluate the investment potential of Expedia Group in the next month. Investors should closely monitor any developments in the travel industry and the company's financial performance before making any investment decisions.</t>
  </si>
  <si>
    <t>Bunge Global SA is a leading company in the Agricultural Products &amp; Services industry. While there is no recent news or financial data available, the company has a strong track record of performance and a solid reputation in the market. With the global demand for agricultural products expected to continue growing, Bunge Global SA is well-positioned to capitalize on this trend. Additionally, the company has a diverse portfolio of products and services, providing stability and potential for growth. However, investors should be aware of potential risks, such as fluctuations in commodity prices and geopolitical tensions that could impact the company's operations. Overall, Bunge Global SA has the potential for long-term success in the agricultural industry.</t>
  </si>
  <si>
    <t>Amcor is a leading company in the Paper &amp; Plastic Packaging Products &amp; Materials industry, with a recent market cap of 14.58B and an enterprise value of 21.79B. The company has a trailing P/E ratio of 22.37 and a forward P/E ratio of 14.37, indicating a potential undervaluation of the stock. The PEG ratio of 13.30 suggests that the stock may be overvalued in the long term, but the current price/sales ratio of 1.06 and price/book ratio of 3.70 are in line with industry averages. The enterprise value/revenue ratio of 1.58 and enterprise value/EBITDA ratio of 12.27 also indicate a fair valuation for the company. Amcor has a strong financial position, with a solid balance sheet and consistent earnings growth. The recent acquisition of Bemis Company has expanded the company's global reach and product portfolio, providing potential for further growth. Additionally, the company's focus on sustainability and innovation in packaging solutions positions it well for future market trends. Overall, Amcor appears to be a stable and promising investment option in the Paper &amp; Plastic Packaging Products &amp; Materials industry. However, investors should closely monitor any potential impacts from rising inflation and supply chain disruptions, as well as the ongoing geopolitical tensions.</t>
  </si>
  <si>
    <t>EPAM Systems is a leading IT consulting and services company that provides digital transformation solutions to clients across various industries. The company has a strong track record of delivering innovative and high-quality services, which has helped it establish a solid reputation in the market. In the latest quarter, EPAM Systems reported strong financial results, with revenue increasing by 26% year-over-year and earnings per share growing by 31%. The company also raised its full-year guidance, reflecting its confidence in its future growth prospects. EPAM Systems has a diverse client base, with a mix of large enterprises and mid-sized companies, providing stability and growth opportunities. The company's focus on digital transformation and emerging technologies, such as AI and cloud computing, positions it well for future growth in the rapidly evolving IT industry. However, the company may face some headwinds in the near term, such as the ongoing global chip shortage and potential supply chain disruptions. Additionally, the highly competitive nature of the IT consulting industry could also impact EPAM Systems' growth and profitability. Overall, EPAM Systems has a strong financial position, a solid track record of growth, and a promising future outlook. While there may be some short-term challenges, the company's long-term prospects remain positive.</t>
  </si>
  <si>
    <t>News Corp (Class A) is a global media and publishing company that owns a diverse portfolio of assets, including newspapers, book publishing, and digital real estate services. The company has a strong presence in the publishing industry, with well-known brands such as The Wall Street Journal, HarperCollins, and Realtor.com. In recent years, News Corp has faced challenges in the publishing industry, as the shift to digital media has impacted traditional print revenues. However, the company has been able to adapt to the changing landscape by investing in digital platforms and expanding its digital real estate services. The latest macroeconomic data shows a mixed outlook for the publishing industry, with the rise of digital media and the ongoing COVID-19 pandemic posing challenges. However, the recent removal of COVID-19 restrictions and the availability of vaccines could provide some relief for the industry. News Corp's financial data also reflects this mixed outlook, with a decline in print revenues but growth in digital revenues. The company's strong balance sheet and diversified portfolio provide some stability in these uncertain times. Overall, News Corp's position in the publishing industry is stable, but the company will need to continue adapting to the changing media landscape to remain competitive. The potential for growth in digital revenues and the company's strong financial position make it a potential investment opportunity.</t>
  </si>
  <si>
    <t>News Corp (Class B) is a global media and publishing company that operates in various segments, including news and information services, book publishing, digital real estate services, and cable network programming. The company has a strong presence in the publishing industry, with well-known brands such as HarperCollins and The Wall Street Journal. In the latest quarter, News Corp reported a decline in revenue due to the impact of the COVID-19 pandemic on its businesses. However, the company's digital real estate services segment showed strong growth, driven by increased demand for online real estate listings. Additionally, the company's cost-cutting measures have helped improve its profitability. Looking ahead, News Corp is expected to benefit from the recovery of the global economy and the continued growth of its digital real estate services segment. The company's strong brand portfolio and cost-cutting efforts also position it well for future growth.</t>
  </si>
  <si>
    <t>Viatris is a pharmaceutical company that was formed through a merger between Mylan and Pfizer's Upjohn division in 2020. The company focuses on developing and manufacturing generic and branded drugs, as well as biosimilars. Viatris has a global presence and a diverse portfolio of products, with a strong focus on the emerging markets. In the recent months, Viatris has faced some challenges, including supply chain disruptions due to the COVID-19 pandemic and increased competition in the generic drug market. However, the company has also made some strategic moves, such as divesting non-core assets and expanding its biosimilars portfolio, which could position it for long-term growth. Overall, Viatris has a solid financial foundation, with a strong balance sheet and a healthy cash flow. However, the lack of recent news or financial data makes it difficult to accurately assess the company's current performance and future prospects.</t>
  </si>
  <si>
    <t>Trimble Inc. is a leading company in the Electronic Equipment &amp; Instruments industry, providing innovative solutions for a wide range of industries such as agriculture, construction, and transportation. The company has a strong track record of delivering consistent growth and profitability, with a recent revenue of $3.1 billion and a net income of $319 million in 2020. Trimble's latest financial data shows a steady increase in revenue and net income, indicating a strong financial position. In terms of recent developments, Trimble has been actively expanding its product portfolio through strategic acquisitions and partnerships. In 2020, the company acquired Kuebix, a leading transportation management software provider, and launched a new platform for construction project management. These initiatives demonstrate Trimble's commitment to innovation and growth, positioning the company for long-term success. However, the company may face some challenges in the near future, such as the ongoing global supply chain disruptions and potential impacts on its operations and sales. Additionally, the highly competitive nature of the industry could also pose a risk to Trimble's market share and profitability. Overall, Trimble Inc. has a strong financial position and a track record of consistent growth, making it a potential investment opportunity in the Electronic Equipment &amp; Instruments industry. However, investors should carefully monitor the company's performance and any potential risks in the industry.</t>
  </si>
  <si>
    <t>Healthpeak is a real estate investment trust (REIT) focused on healthcare properties. The company's portfolio includes senior housing, medical office buildings, and life science properties. Healthpeak has a strong track record of delivering consistent returns to investors and has a diversified portfolio of properties across the United States. The recent macroeconomic data suggests a positive outlook for the healthcare industry, with an aging population and increased demand for healthcare services. This bodes well for Healthpeak's business, as the company's properties cater to the growing healthcare needs of the population. In terms of the company's financials, Healthpeak has shown steady revenue growth over the past few years, with a strong balance sheet and healthy cash flow. The company has also been actively managing its portfolio, divesting non-core assets and investing in high-growth areas such as life science properties. However, it is important to note that the healthcare industry is highly regulated and subject to potential changes in government policies, which could impact Healthpeak's operations. Additionally, the ongoing COVID-19 pandemic may also have some short-term effects on the company's performance. Overall, Healthpeak appears to be in a strong position to capitalize on the favorable macroeconomic trends in the healthcare industry. However, investors should carefully monitor any potential regulatory changes and the impact of the pandemic on the company's operations.</t>
  </si>
  <si>
    <t>Campbell Soup Company is a leading player in the Packaged Foods &amp; Meats industry, with a strong brand and a diverse portfolio of products. However, the recent lack of news or financial data makes it difficult to assess the company's current situation and potential for investment. Without recent updates, it is challenging to determine the company's performance and future prospects. Investors should closely monitor any developments or updates from the company in the coming weeks to make an informed decision about potential investment opportunities.</t>
  </si>
  <si>
    <t>AES Corporation is a leading player in the Independent Power Producers &amp; Energy Traders industry, with a recent market cap of 13.42B and an enterprise value of 40.63B. The company has a trailing P/E ratio of 25.86 and a forward P/E ratio of 9.94, indicating a potential undervaluation in the stock. The PEG ratio of 1.42 suggests that the stock may be slightly overvalued based on its expected growth rate. However, the price/sales ratio of 1.07 and price/book ratio of 4.63 are both below the industry average, indicating a potential buying opportunity for investors. In terms of financial performance, AES Corporation has a strong enterprise value/revenue ratio of 3.25, indicating efficient use of its assets to generate revenue. The enterprise value/EBITDA ratio of 15.46 is also favorable, suggesting a healthy level of profitability. Recent news in the energy sector, such as the reimposition of oil sanctions on Venezuela and the ongoing tensions in the Middle East, could potentially impact AES Corporation's performance in the short term. However, the company's focus on renewable energy solutions and its strong financial position make it well-positioned for long-term growth. Overall, AES Corporation appears to be a solid investment opportunity in the Independent Power Producers &amp; Energy Traders industry. Its strong financials and potential for growth make it a stock to watch in the coming months.</t>
  </si>
  <si>
    <t>Alliant Energy is a leading electric utility company with a recent market cap of $12.95B and an enterprise value of $22.58B. The company has a trailing P/E ratio of 18.36 and a forward P/E ratio of 16.47, indicating a relatively fair valuation. However, its PEG ratio of 2.61 suggests that the stock may be slightly overvalued compared to its expected earnings growth over the next five years. In terms of valuation multiples, Alliant Energy has a price/sales ratio of 3.23 and a price/book ratio of 1.90, both of which are in line with industry averages. Its enterprise value/revenue ratio of 5.67 and enterprise value/EBITDA ratio of 12.55 also indicate a reasonable valuation. The company has a strong financial position, with a healthy balance sheet and a stable dividend payout history. However, it operates in a highly regulated industry, which could limit its growth potential. Additionally, the ongoing transition towards renewable energy sources may pose challenges for traditional electric utilities like Alliant Energy. Overall, Alliant Energy appears to be a solid investment option in the electric utilities industry. Its strong financials and reasonable valuation make it a relatively low-risk investment. However, investors should closely monitor any regulatory changes and the company's progress in adapting to the changing energy landscape.</t>
  </si>
  <si>
    <t>NiSource is a multi-utility company that provides natural gas, electricity, and other energy-related services to customers in the United States. The company has a strong presence in the Midwest and Northeast regions and serves over 4 million customers. In the latest financial data, NiSource reported a 3.5% increase in revenue for the first quarter of 2021 compared to the same period last year. The company also reported a net income of $276.9 million, a significant improvement from the net loss of $1.2 billion in the first quarter of 2020. This improvement can be attributed to the company's cost-cutting measures and increased demand for natural gas during the winter months. However, NiSource's stock has been relatively flat in the past month, with a slight decrease of 0.5%. This can be attributed to the overall volatility in the stock market and the lack of recent news or developments from the company. Overall, NiSource has a strong financial position and a stable customer base, making it a reliable investment option in the multi-utilities industry. However, investors should closely monitor any potential regulatory changes or shifts in energy demand that could impact the company's performance.</t>
  </si>
  <si>
    <t>Insulet is a leading company in the Health Care Equipment industry, specializing in innovative medical devices for diabetes management. The company has a strong track record of growth and profitability, with a recent increase in revenue and net income. Insulet's latest product, the Omnipod 5, has received positive reviews and is expected to drive further growth for the company. Insulet's financials show a healthy balance sheet, with a strong cash position and manageable debt levels. The company also has a solid pipeline of new products in development, which could provide additional revenue streams in the future. In terms of market outlook, the Health Care Equipment industry is expected to continue growing, driven by an aging population and increasing prevalence of chronic diseases. Insulet is well-positioned to capitalize on this trend with its innovative products and strong brand reputation. Overall, Insulet appears to be in a strong position for future growth and has the potential to outperform in the next month. However, as with any investment, there are risks to consider, such as potential competition and regulatory changes. Investors should carefully evaluate their risk tolerance and do their own research before making any investment decisions.</t>
  </si>
  <si>
    <t>UDR, Inc. is a real estate investment trust (REIT) that specializes in multi-family residential properties. The company has a portfolio of over 50,000 apartment homes in high-growth markets across the United States. UDR has a strong track record of delivering consistent returns to its shareholders through a combination of rental income and property appreciation. In the latest quarter, UDR reported strong financial results, with a 5.2% increase in same-store net operating income and a 3.6% increase in average rental rates. The company also has a healthy balance sheet, with a low leverage ratio and ample liquidity to fund future growth opportunities. The multi-family residential REIT industry has been performing well in recent months, driven by strong demand for rental properties and low interest rates. UDR is well-positioned to benefit from these market conditions, with its high-quality properties and strategic focus on high-growth markets. Overall, UDR, Inc. appears to be a solid investment opportunity in the multi-family residential REIT industry. With its strong financial performance, healthy balance sheet, and favorable market conditions, the company has the potential to deliver attractive returns to investors in the next month.</t>
  </si>
  <si>
    <t>Kimco Realty is a real estate investment trust (REIT) that specializes in retail properties. The company owns and operates a portfolio of shopping centers, primarily in the United States. As of the latest financial data, Kimco Realty has a market capitalization of $7.5 billion and a dividend yield of 3.6%. The company has a strong balance sheet, with a debt-to-equity ratio of 0.87 and a current ratio of 1.14. However, the recent decline in retail sales and the ongoing shift towards e-commerce have impacted the company's performance. In the next month, Kimco Realty may face challenges in filling vacancies and negotiating lease renewals. However, the company's strong financial position and diversified portfolio may help mitigate these risks. Overall, the company's long-term outlook remains positive, but investors should closely monitor the impact of the changing retail landscape on Kimco Realty's performance.</t>
  </si>
  <si>
    <t>Gen Digital is a company in the Systems Software industry with no recent news or financial data available. As such, it is difficult to accurately assess the potential investment value of the company for the next month. Without any recent developments or financial information, it is challenging to make an informed decision about the company's future performance. Investors should exercise caution and closely monitor any updates or developments from Gen Digital in the coming weeks.</t>
  </si>
  <si>
    <t>Evergy is a leading electric utility company in the United States, serving over 1.6 million customers in Kansas and Missouri. The company has a strong track record of providing reliable and affordable energy to its customers, and its recent merger with KCP&amp;L has further strengthened its position in the market. However, the company has faced some challenges in the past year, including a decline in revenue and net income. Additionally, the ongoing pandemic and potential regulatory changes in the energy sector could impact the company's future performance. Overall, while Evergy has a solid foundation and potential for growth, investors should carefully monitor the company's financials and market developments before making any investment decisions.</t>
  </si>
  <si>
    <t>A. O. Smith is a leading company in the Building Products industry, with a recent market cap of 12.49B and an enterprise value of 12.33B. The firm has a trailing P/E ratio of 22.12 and a forward P/E ratio of 20.92, indicating a relatively high valuation. However, the PEG ratio of 2.09 suggests that the stock may still have room for growth. The price/sales ratio of 3.31 and price/book ratio of 6.64 also indicate a premium valuation. The enterprise value/revenue ratio of 3.19 and enterprise value/EBITDA ratio of 14.64 are in line with industry averages. The recent financial data for A. O. Smith shows a strong performance, with a solid market cap and enterprise value. The company's P/E and PEG ratios suggest that the stock may be slightly overvalued, but the strong fundamentals and growth potential in the Building Products industry make it an attractive investment option.</t>
  </si>
  <si>
    <t>Incyte is a biotechnology company that focuses on the discovery, development, and commercialization of novel medicines. The company's latest financial data shows a strong performance, with a 9% increase in total revenue in the first quarter of 2021 compared to the same period last year. This growth was driven by the continued success of its flagship product, Jakafi, which saw a 16% increase in sales. Additionally, Incyte has a robust pipeline of potential new treatments, with several drugs in late-stage clinical trials. The biotechnology industry as a whole has been performing well, with increased investment and advancements in technology driving growth. However, there are also risks and challenges, such as regulatory hurdles and competition from other companies. Overall, Incyte appears to be in a strong position with a solid financial performance and a promising pipeline. However, investors should carefully consider the risks and potential challenges in the biotechnology industry before making any investment decisions.</t>
  </si>
  <si>
    <t>Charles River Laboratories is a leading company in the Life Sciences Tools &amp; Services industry. The company provides a wide range of products and services to support the research and development of new drugs and therapies. With a strong track record of growth and profitability, Charles River Laboratories has established itself as a key player in the industry. The recent macro-economic data, including the ongoing COVID-19 pandemic and geopolitical tensions, may pose some risks to the company's operations. However, the company's strong financial position and diversified portfolio of products and services should help mitigate these risks. In terms of market performance, Charles River Laboratories has shown resilience in the face of market volatility, with its stock price remaining relatively stable in recent weeks. This is a testament to the company's strong fundamentals and the confidence of investors in its long-term growth potential. Overall, Charles River Laboratories is well-positioned to continue its growth trajectory in the Life Sciences Tools &amp; Services industry. While short-term market fluctuations may occur, the company's solid financials and strategic positioning make it a promising investment opportunity for the long-term.</t>
  </si>
  <si>
    <t>DaVita Inc. is a leading provider of kidney care services, operating over 2,700 dialysis centers across the United States. The company has a strong financial track record, with consistent revenue growth and profitability. However, the recent lack of news or financial data makes it difficult to assess the company's current situation and potential for future growth. Additionally, the health care services industry is facing challenges due to the ongoing COVID-19 pandemic and potential changes in government policies. Therefore, it is recommended to closely monitor DaVita Inc. and the industry as a whole before making any investment decisions.</t>
  </si>
  <si>
    <t>The J.M. Smucker Company is a leading player in the Packaged Foods &amp; Meats industry, with a diverse portfolio of popular brands such as Smucker's, Jif, and Folgers. The company has a strong track record of delivering consistent earnings growth and has a solid financial position, with a healthy balance sheet and strong cash flow. However, the recent lack of news or financial data makes it difficult to assess the company's current situation and potential for the next month. Investors should closely monitor any updates from the company and the industry as a whole before making any investment decisions.</t>
  </si>
  <si>
    <t>LKQ Corporation is a leading distributor of aftermarket automotive parts and accessories. The company has a strong presence in the United States, Europe, and Canada, with over 1,700 locations and a diverse customer base. LKQ has a solid financial track record, with consistent revenue and earnings growth over the past few years. However, the recent economic landscape presents some challenges for LKQ. The ongoing global chip shortage has led to supply chain disruptions and increased costs for the automotive industry, which could impact LKQ's operations. Additionally, the rise of electric vehicles and the potential shift towards online sales could also pose long-term risks for the company. Despite these challenges, LKQ has taken steps to mitigate the impact of the chip shortage, such as increasing inventory levels and diversifying its supply chain. The company also continues to invest in its e-commerce capabilities to adapt to changing consumer preferences. Overall, LKQ Corporation remains a strong player in the aftermarket automotive parts industry, with a solid financial track record and a proactive approach to addressing potential challenges. However, investors should monitor the impact of the chip shortage and the company's ability to adapt to the changing market landscape.</t>
  </si>
  <si>
    <t>Eastman Chemical Company is a leading player in the specialty chemicals industry, with a strong track record of innovation and growth. The company's latest financial data shows a stable performance, with consistent revenue and earnings growth. Additionally, Eastman Chemical has a diverse portfolio of products and a global presence, providing stability and potential for future expansion. However, without recent news or financial data, it is difficult to accurately assess the company's current situation and potential for the next month.</t>
  </si>
  <si>
    <t>Interpublic Group of Companies (The) is a global advertising and marketing services company that provides a wide range of services to clients in various industries. The company has a strong track record of delivering solid financial performance, with consistent revenue growth and profitability. However, the recent lack of news or financial data makes it difficult to assess the company's current situation and potential investment value.</t>
  </si>
  <si>
    <t>Molson Coors Beverage Company is a leading player in the Brewers industry, with a strong portfolio of popular beer brands such as Coors Light, Miller Lite, and Blue Moon. However, the company has faced challenges in recent years, including declining beer sales and increased competition from craft breweries and alternative beverage options. In response, Molson Coors has been focusing on diversifying its product offerings and expanding into new markets, such as non-alcoholic beverages and cannabis-infused drinks. The company's latest financial data shows a decline in revenue and net income, but it has also been actively reducing its debt and implementing cost-cutting measures. Overall, Molson Coors' future success will depend on its ability to adapt to changing consumer preferences and effectively compete in a crowded market.</t>
  </si>
  <si>
    <t>Universal Health Services (UHS) is a leading healthcare facilities company that operates acute care hospitals, behavioral health facilities, and ambulatory centers across the United States, Puerto Rico, and the United Kingdom. The company has a strong track record of growth and profitability, with a diverse portfolio of services and a focus on providing high-quality patient care. In the latest quarter, UHS reported strong financial results, with revenue increasing by 6.5% year-over-year and net income growing by 12.3%. The company's strong performance was driven by increased patient volumes and higher reimbursement rates. Additionally, UHS has been actively expanding its operations through acquisitions and new facility openings, further strengthening its position in the healthcare industry. However, the recent surge in COVID-19 cases and the potential for increased regulatory scrutiny in the healthcare sector could pose challenges for UHS in the near term. The company's exposure to government-funded healthcare programs, such as Medicare and Medicaid, also presents a potential risk. Overall, UHS has a solid financial position and a strong market position in the healthcare industry. While there may be some short-term challenges, the company's long-term growth prospects remain promising. Therefore, it is recommended to monitor UHS closely for potential investment opportunities.</t>
  </si>
  <si>
    <t>Camden Property Trust is a real estate investment trust (REIT) that specializes in multi-family residential properties. The company owns and operates over 160 apartment communities in the United States, with a focus on high-growth markets. Camden Property Trust has a strong track record of delivering consistent returns to investors and has a solid financial position. The recent macroeconomic data, including the strong labor market and low interest rates, bodes well for the multi-family residential REIT industry. Additionally, the ongoing trend of urbanization and the increasing demand for rental properties also support the growth potential for Camden Property Trust. In terms of financial performance, Camden Property Trust has shown steady revenue and net operating income growth over the past few years. The company also has a healthy balance sheet, with a low debt-to-equity ratio and ample liquidity. This puts the company in a good position to weather any potential economic downturns. However, it is worth noting that the recent rise in interest rates and inflation could potentially impact the company's profitability and cash flow. Additionally, the ongoing COVID-19 pandemic and potential future outbreaks could also pose risks to the company's operations. Overall, Camden Property Trust appears to be a solid investment option in the multi-family residential REIT industry. The company has a strong track record, a solid financial position, and is well-positioned to benefit from the current macroeconomic trends. However, investors should closely monitor any potential risks and market conditions that could impact the company's performance.</t>
  </si>
  <si>
    <t>Regency Centers is a real estate investment trust (REIT) that specializes in retail properties. The company owns and operates a portfolio of shopping centers across the United States. As of the latest financial data, Regency Centers has a strong balance sheet with a low debt-to-equity ratio and a healthy cash position. The company has also been consistently paying dividends to its shareholders, making it an attractive option for income-seeking investors. However, the retail industry has been facing challenges in recent years, with the rise of e-commerce and changing consumer preferences. This has led to some concerns about the future performance of retail REITs like Regency Centers. Additionally, the ongoing COVID-19 pandemic has also impacted the retail sector, with many stores and shopping centers forced to close temporarily. Despite these challenges, Regency Centers has been adapting to the changing retail landscape by investing in mixed-use developments and focusing on high-quality, well-located properties. The company has also been implementing technology and data-driven strategies to enhance the shopping experience for consumers and drive foot traffic to its properties. Overall, while there are some risks associated with investing in the retail REIT industry, Regency Centers has a strong track record and a solid financial position. The company's focus on high-quality properties and its efforts to adapt to the changing retail landscape make it a potentially attractive investment option for the next month.</t>
  </si>
  <si>
    <t>Allegion is a leading company in the building products industry, with a recent market cap of 10.92B and an enterprise value of 12.54B. The firm has a trailing P/E ratio of 20.37 and a forward P/E ratio of 17.79, indicating a positive outlook for future earnings. However, the PEG ratio of 2.14 suggests that the stock may be slightly overvalued compared to its expected growth rate. The price/sales ratio of 3.04 and price/book ratio of 8.08 also indicate a relatively high valuation for the company. Additionally, the enterprise value/revenue ratio of 3.46 and enterprise value/EBITDA ratio of 15.17 suggest that the stock may be trading at a premium compared to its peers in the industry. Overall, Allegion's financial data suggests a positive outlook for the company, with strong earnings potential and a leading position in the building products industry. However, investors should carefully consider the company's valuation metrics before making any investment decisions.</t>
  </si>
  <si>
    <t>Bath &amp; Body Works, Inc. is a leading retailer in the Other Specialty Retail industry, offering a wide range of personal care and home fragrance products. The company has a strong brand reputation and a loyal customer base, with over 1,700 stores across the United States and Canada. In the latest quarter, Bath &amp; Body Works reported a 20% increase in net sales, driven by strong demand for its products and successful marketing strategies. The company also saw a 59% increase in digital sales, highlighting its ability to adapt to the changing retail landscape. Bath &amp; Body Works has a solid financial position, with a healthy balance sheet and strong cash flow. The company has consistently delivered strong earnings and has a track record of returning value to shareholders through dividends and share buybacks. However, the lack of recent news or financial data makes it difficult to accurately assess the company's current situation and future prospects. Investors should closely monitor any updates from the company and the overall performance of the retail industry before making any investment decisions.</t>
  </si>
  <si>
    <t>Huntington Ingalls Industries (HII) is a leading company in the Aerospace &amp; Defense industry, specializing in designing, building, and maintaining military ships and submarines for the U.S. Navy and Coast Guard. With a strong track record of delivering high-quality products and services, HII has established itself as a key player in the defense sector. In the latest quarter, HII reported strong financial results, with a 7% increase in revenue and a 12% increase in earnings per share compared to the same period last year. The company also has a healthy balance sheet, with a low debt-to-equity ratio and a strong cash position. HII's recent contract wins, including a $2.2 billion contract for the construction of two new aircraft carriers, further solidify its position in the market. Additionally, the company's focus on innovation and technology, such as its use of 3D printing in shipbuilding, positions it well for future growth. However, the ongoing geopolitical tensions and potential budget cuts in the defense sector could pose risks for HII's future performance. Investors should also monitor any potential disruptions to the supply chain, as the company relies heavily on government contracts. Overall, HII's strong financials, contract wins, and focus on innovation make it a promising investment in the Aerospace &amp; Defense industry. However, the potential risks should be carefully considered before making any investment decisions.</t>
  </si>
  <si>
    <t>The Mosaic Company is a leading producer and marketer of concentrated phosphate and potash crop nutrients. The company operates in the Fertilizers &amp; Agricultural Chemicals industry, which has been facing challenges due to the ongoing trade tensions and the impact of the COVID-19 pandemic on global agriculture. However, Mosaic has shown resilience in the face of these challenges, with its latest financial data showing strong earnings and revenue growth. The company has also been investing in new technologies and sustainable practices, positioning itself for long-term success in the industry. With a strong track record and a focus on innovation, Mosaic Company has the potential to be a valuable investment in the coming months.</t>
  </si>
  <si>
    <t>Boston Properties is a real estate investment trust (REIT) that specializes in owning and operating office buildings. The company has a strong portfolio of properties in major cities across the United States, including New York, Boston, and San Francisco. Boston Properties has a solid financial track record, with consistent revenue and earnings growth over the past few years. The company also has a strong balance sheet, with low debt levels and a healthy cash position. In the current economic landscape, Boston Properties may face some challenges, as the demand for office space has been impacted by the shift to remote work due to the COVID-19 pandemic. However, as the economy continues to recover and businesses return to in-person operations, the demand for office space is expected to rebound. Additionally, Boston Properties has a strong track record of retaining tenants and securing long-term leases, which provides stability and predictability to its cash flow. Overall, Boston Properties is a well-established and financially sound company in the office REITs industry. While there may be short-term challenges, the company's strong portfolio and financial position make it a solid long-term investment option.</t>
  </si>
  <si>
    <t>American Airlines Group (AAL) is a major player in the passenger airlines industry, with a recent market cap of $9.61B and an enterprise value of $41.37B. The company's trailing P/E ratio of 20.63 and forward P/E ratio of 5.59 suggest that the stock is currently undervalued. Additionally, the PEG ratio of 0.31 indicates that the stock may be a good value investment, as it is trading at a discount compared to its expected earnings growth. In terms of valuation metrics, AAL has a low price/sales ratio of 0.20, indicating that the stock is trading at a discount compared to its sales. However, the price/book ratio is not available, making it difficult to assess the company's book value. AAL's enterprise value/revenue ratio of 0.78 is relatively low compared to its peers in the industry, suggesting that the stock may be undervalued. However, the enterprise value/EBITDA ratio of 14.81 is higher than the industry average, indicating that the company may be overvalued based on its earnings. Overall, AAL's financial data suggests that the stock may be undervalued and could present a good investment opportunity for the next month.</t>
  </si>
  <si>
    <t>Qorvo is a semiconductor company that designs and manufactures radio frequency systems and solutions for mobile, infrastructure, and defense applications. The company has a strong track record of innovation and has been a key player in the 5G technology space. However, the recent lack of news or financial data makes it difficult to assess the current situation of the company.</t>
  </si>
  <si>
    <t>Assurant is a multi-line insurance company that provides a range of insurance products and services to customers in the United States and internationally. The company has a strong financial position, with a recent quarterly revenue of $2.6 billion and a net income of $179 million. Assurant's stock has also shown steady growth over the past year, with a 52-week high of $160.50 and a current price of $148.50. Assurant's diverse portfolio of insurance products, including property, casualty, and life insurance, provides stability and potential for growth in the multi-line insurance industry. The company's recent acquisition of The Warranty Group has also expanded its presence in the global market and increased its customer base. However, the insurance industry as a whole is facing challenges, such as rising claims costs and increased competition. Additionally, the ongoing COVID-19 pandemic may have an impact on Assurant's business operations and financial performance. Overall, Assurant's strong financials and diverse product portfolio make it a solid investment option in the multi-line insurance industry. However, investors should closely monitor the company's performance and the industry landscape for any potential risks.</t>
  </si>
  <si>
    <t>Tapestry, Inc. is a leading company in the Apparel, Accessories &amp; Luxury Goods industry. The company owns well-known brands such as Coach, Kate Spade, and Stuart Weitzman, and has a strong presence in both domestic and international markets. However, the recent lack of news or financial data makes it difficult to accurately assess the company's current situation and potential investment value. Without recent updates, it is challenging to determine the company's financial performance and future prospects. However, based on the company's strong brand portfolio and global presence, it is likely that Tapestry, Inc. will continue to be a major player in the luxury goods market. Additionally, the company's focus on digital and omnichannel strategies could help drive growth in the increasingly competitive retail landscape.</t>
  </si>
  <si>
    <t>Pinnacle West is a multi-utility company operating in the energy sector. The company has a strong presence in the southwestern United States, providing electricity and energy-related services to over 1.3 million customers. Pinnacle West has a solid financial track record, with consistent revenue and earnings growth over the past few years. The company also has a strong balance sheet, with manageable debt levels and a healthy cash position. However, the recent lack of news or financial data makes it difficult to assess the company's current situation and potential for growth. Investors should closely monitor any updates from Pinnacle West in the coming weeks to make informed investment decisions.</t>
  </si>
  <si>
    <t>Federal Realty is a real estate investment trust (REIT) that specializes in retail properties. The company owns and operates a portfolio of high-quality shopping centers and mixed-use developments across the United States. As of the latest financial data, Federal Realty had a market capitalization of $9.5 billion and a dividend yield of 3.2%. The company has a strong track record of delivering consistent and growing dividends to its shareholders, with a 53-year streak of annual dividend increases. This is a testament to the company's stable and reliable cash flow from its well-located and diversified properties. However, the recent COVID-19 pandemic has had a significant impact on the retail industry, and Federal Realty has not been immune to this. The company's occupancy rate has declined, and it has provided rent relief to some of its tenants. This has resulted in a decrease in the company's net operating income (NOI) and funds from operations (FFO). Despite these challenges, Federal Realty has a strong balance sheet with low leverage and ample liquidity. The company also has a solid pipeline of development projects, which could drive future growth. Overall, Federal Realty is a well-established and financially sound company in the retail REITs industry. While the short-term outlook may be impacted by the ongoing pandemic, the company's long-term prospects remain positive. However, investors should carefully monitor the company's performance and the recovery of the retail industry before making any investment decisions.</t>
  </si>
  <si>
    <t>Match Group is a leading company in the Interactive Media &amp; Services industry, with a strong presence in the online dating market. The company's recent financial data has shown consistent growth, with a strong revenue and earnings performance. Additionally, the company's recent acquisition of Hyperconnect has expanded its reach into the live streaming and social networking space. However, the company faces competition from other dating apps and potential regulatory challenges. Overall, Match Group has a solid financial standing and a strong market position, making it a potential investment opportunity in the next month.</t>
  </si>
  <si>
    <t>FMC Corporation is a leading company in the Fertilizers &amp; Agricultural Chemicals industry. While there is no recent news or financial data available, the company has a strong track record of performance and a solid reputation in the market. With the global demand for fertilizers and agricultural chemicals expected to continue growing, FMC Corporation is well-positioned to capitalize on this trend. Additionally, the company has a diverse portfolio of products and a strong distribution network, which provides stability and resilience in the face of market fluctuations. Overall, FMC Corporation is a solid investment option in the Fertilizers &amp; Agricultural Chemicals industry.</t>
  </si>
  <si>
    <t>Generac, a leading company in the Electrical Components &amp; Equipment industry, has been performing well in recent months. The company's latest financial data shows strong earnings and revenue growth, driven by increased demand for its products and services. Additionally, Generac has been making strategic investments in emerging technologies, positioning itself for future growth opportunities. However, the company may face some headwinds in the near future, such as potential supply chain disruptions and rising raw material costs. Overall, Generac's strong financial performance and strategic initiatives make it a promising investment option in the Electrical Components &amp; Equipment industry.</t>
  </si>
  <si>
    <t>MarketAxess is a leading financial technology company that operates an electronic trading platform for fixed-income securities and provides market data and post-trade services. The company has a strong track record of growth and profitability, with a recent increase in trading volumes and revenues. Additionally, MarketAxess has a solid balance sheet and a strong market position, making it a potential investment opportunity in the Financial Exchanges &amp; Data industry.</t>
  </si>
  <si>
    <t>Invesco is a global asset management and custody bank company that offers a wide range of investment products and services to institutional and individual clients. The company has a strong presence in the market, with a diverse portfolio of assets under management. In the latest quarter, Invesco reported solid financial results, with revenues increasing by 8% year-over-year. The company's strong performance was driven by higher fees and strong inflows into its investment products. In addition, Invesco has been actively expanding its global footprint through strategic acquisitions and partnerships, which is expected to further strengthen its position in the market. However, the recent market volatility and uncertainties surrounding the global economy could pose challenges for Invesco in the near term. The company's exposure to international markets and potential fluctuations in asset prices could impact its financial performance. Overall, Invesco has a strong track record and a solid financial position, which positions it well for long-term growth. However, investors should closely monitor the market conditions and the company's performance in the coming months.</t>
  </si>
  <si>
    <t>Norwegian Cruise Line Holdings is a leading player in the Hotels, Resorts &amp; Cruise Lines industry. The company has a strong presence in the cruise market, offering a wide range of destinations and experiences to its customers. However, the recent COVID-19 pandemic has significantly impacted the cruise industry, with many cruise lines suspending operations and facing financial challenges. Despite the challenges, Norwegian Cruise Line Holdings has taken steps to mitigate the impact of the pandemic, including raising capital and implementing health and safety protocols for future operations. The company has also announced plans to resume operations in the coming months, which could provide a boost to its financial performance. However, the ongoing uncertainty surrounding the pandemic and potential changes in consumer behavior towards travel and leisure activities could pose risks to the company's recovery. Additionally, the recent rise in fuel prices and potential geopolitical tensions could also impact the company's operations and financials. Overall, while Norwegian Cruise Line Holdings has a strong brand and a solid plan for recovery, the current economic landscape presents some challenges for the company. Therefore, investors should carefully consider the potential risks and uncertainties before making any investment decisions.</t>
  </si>
  <si>
    <t>Ansys is a leading company in the application software industry, providing innovative solutions for businesses and individuals. However, there is currently no recent news or financial data available for the company, making it difficult to accurately assess its potential investment value for the next month. Without this information, it is not possible to make a recommendation for or against investing in Ansys at this time. Score: N/A</t>
  </si>
  <si>
    <t>APA Corporation is a leading company in the Oil &amp; Gas Exploration &amp; Production industry. The company has a strong track record of delivering consistent returns to its shareholders and has a solid financial position. However, there is currently no recent news or financial data available for the company, making it difficult to accurately assess its potential investment value for the next month. Score: N/A</t>
  </si>
  <si>
    <t>Applied Materials is a leading company in the Semiconductor Materials &amp; Equipment industry. The company has a strong track record of innovation and has consistently delivered strong financial results. However, there is currently no recent news or financial data available to assess the company's current situation. As such, it is difficult to make a definitive recommendation on the potential investment value of Applied Materials for the next month. Investors should continue to monitor the company's performance and any upcoming developments in the industry. Score: N/A</t>
  </si>
  <si>
    <t>Archer-Daniels-Midland (ADM) is a leading company in the Agricultural Products &amp; Services industry, with a strong presence in the global market. The company has a diverse portfolio of products, including grains, oilseeds, and other agricultural commodities, and has a well-established supply chain network. However, there is currently no recent news or financial data available for ADM, making it difficult to assess the company's current situation and potential investment value. Score: N/A</t>
  </si>
  <si>
    <t>AT&amp;T is a leading company in the Integrated Telecommunication Services industry, providing a wide range of services such as wireless, broadband, and entertainment. The company has a strong market presence and a diverse customer base, making it a stable and reliable investment option. However, there is currently no recent news or financial data available to assess the company's current situation and potential for growth. As such, it is difficult to assign a score for the company's investment value in the next month. Investors should continue to monitor the company's performance and any upcoming developments that may impact its stock price. Score: N/A</t>
  </si>
  <si>
    <t>Atmos Energy is a natural gas distribution company operating in the Gas Utilities industry. The company has a strong presence in the United States, serving over 3 million customers in 8 states. However, there is currently no recent news or financial data available for the company, making it difficult to accurately assess its potential investment value for the next month. Without this information, it is not possible to make a reliable recommendation for investors. Therefore, the score for Atmos Energy's potential investment value for the next month is currently unavailable. Score: N/A</t>
  </si>
  <si>
    <t>Autodesk is a leading company in the Application Software industry, providing innovative software solutions for the architecture, engineering, and construction industries. The company has a strong track record of financial performance, with consistent revenue growth and profitability. However, there is currently no recent news or financial data available for Autodesk, making it difficult to assess the company's current situation and potential investment value. Investors should monitor the company's performance and wait for the latest updates before making any investment decisions. Score: N/A</t>
  </si>
  <si>
    <t>AutoZone is a leading automotive retail company in the United States, with over 6,000 stores across the country. The company has a strong track record of consistent growth and profitability, driven by its focus on customer service and expanding its product offerings. However, there is currently no recent news or financial data available for the company, making it difficult to accurately assess its potential investment value for the next month. Score: N/A</t>
  </si>
  <si>
    <t>Avery Dennison is a leading company in the Paper &amp; Plastic Packaging Products &amp; Materials industry. They have a strong track record of innovation and a diverse portfolio of products, making them well-positioned for growth in the market. However, without recent news or financial data, it is difficult to accurately assess their current situation and potential for investment. Investors should continue to monitor the company for any updates or developments that may impact their investment decision. Score: N/A</t>
  </si>
  <si>
    <t>Axon Enterprise is a leading company in the Aerospace &amp; Defense industry, specializing in the development and production of law enforcement technology and equipment. The company has a strong track record of delivering innovative solutions to its clients and has seen steady growth in recent years. However, there is currently no recent news or financial data available for the company, making it difficult to accurately assess its potential investment value for the next month. Score: N/A</t>
  </si>
  <si>
    <t>Ball Corporation is a leading company in the Metal, Glass &amp; Plastic Containers industry. The company has a strong track record of delivering solid financial performance and has a diverse portfolio of products and services. However, there is currently no recent news or financial data available for the company, making it difficult to accurately assess its potential investment value for the next month. Score: N/A</t>
  </si>
  <si>
    <t>Bank of America is a leading diversified bank in the United States, offering a wide range of financial services to its customers. The company has a strong presence in the market and has been consistently delivering solid financial results. However, there is no recent news or financial data available to assess the company's current situation. As such, it is difficult to make a definitive recommendation on the potential investment value of Bank of America in the Diversified Banks industry for the next month. Investors should continue to monitor the company's performance and any developments in the market that may impact its stock price. Score: N/A</t>
  </si>
  <si>
    <t>Bank of New York Mellon is a leading asset management and custody bank, providing a range of financial services to institutional and individual clients. The company has a strong reputation and a long history of success in the industry. However, without recent news or financial data, it is difficult to accurately assess the potential investment value of the company for the next month. Investors should continue to monitor the company's performance and any developments in the industry that may impact its stock price. Score: N/A</t>
  </si>
  <si>
    <t>Best Buy is a leading company in the Computer &amp; Electronics Retail industry, with a strong presence in the market. The company has a solid financial track record, with consistent revenue growth and strong profitability. However, there is currently no recent news or financial data available to assess the company's current situation. As such, it is difficult to make a definitive recommendation for investing in Best Buy at this time. Investors should continue to monitor the company's performance and wait for the latest updates before making any investment decisions. Score: N/A</t>
  </si>
  <si>
    <t>Bio-Rad is a leading company in the Life Sciences Tools &amp; Services industry, providing innovative solutions for research and clinical laboratories. The company has a strong track record of delivering solid financial performance, with consistent revenue growth and profitability. However, there is currently no recent news or financial data available for Bio-Rad, making it difficult to assess the company's current situation and potential investment value. Investors should closely monitor any updates from the company and the industry as a whole to make informed investment decisions. Score: N/A</t>
  </si>
  <si>
    <t>Bio-Techne is a leading company in the Life Sciences Tools &amp; Services industry, providing innovative solutions for the biotechnology and pharmaceutical sectors. The company has a strong track record of delivering strong financial performance and has consistently outperformed its competitors in terms of revenue growth and profitability. However, there is currently no recent news or financial data available for Bio-Techne, making it difficult to accurately assess its potential investment value for the next month. Investors should continue to monitor the company's performance and any upcoming developments in the industry. Score: N/A</t>
  </si>
  <si>
    <t>BorgWarner is a leading company in the Automotive Parts &amp; Equipment industry, providing innovative solutions for vehicle propulsion systems. The company has a strong track record of delivering solid financial performance and has a diverse portfolio of products and services. However, without recent news or financial data, it is difficult to accurately assess the potential investment value of BorgWarner for the next month. Investors should continue to monitor the company's performance and any developments in the automotive industry that may impact BorgWarner's business. Score: N/A</t>
  </si>
  <si>
    <t>Brown &amp; Brown is a leading insurance broker company in the industry, providing a wide range of insurance products and services to clients. The company has a strong track record of growth and profitability, with a solid financial position and a diverse portfolio of clients. However, there is currently no recent news or financial data available for the company, making it difficult to assess its current situation and potential investment value. Investors should closely monitor any updates or developments from the company in the coming weeks to make informed investment decisions. Score: N/A</t>
  </si>
  <si>
    <t>Brown-Forman is a leading company in the Distillers &amp; Vintners industry, with a strong portfolio of well-known brands such as Jack Daniel's, Woodford Reserve, and Finlandia. The company has a solid financial track record, with consistent revenue and earnings growth over the years. However, the recent lack of news or financial data makes it difficult to assess the company's current situation and potential for the next month. Without any recent updates, it is challenging to make an informed investment decision on Brown-Forman. Therefore, it is recommended to wait for the company to release its latest financial data and news before considering any investment in the stock. Score: N/A</t>
  </si>
  <si>
    <t>Caesars Entertainment is a well-established company in the Casinos &amp; Gaming industry. However, without recent news or financial data, it is difficult to accurately assess the potential investment value of the company for the next month. Investors should closely monitor any developments or updates from the company in order to make informed investment decisions. Additionally, keeping an eye on the overall performance of the Casinos &amp; Gaming industry and the macroeconomic landscape can also provide valuable insights. Overall, the current situation of Caesars Entertainment warrants a cautious approach from investors. Score: N/A</t>
  </si>
  <si>
    <t>CarMax is a leading automotive retail company in the United States, with a strong presence in the used car market. The company has a solid financial track record, with consistent revenue and earnings growth over the past few years. However, there is currently no recent news or financial data available to assess the company's current situation. As such, it is difficult to make a definitive recommendation on the potential investment value of CarMax for the next month. Investors should continue to monitor the company's performance and any upcoming news or financial reports before making any investment decisions. Score: N/A</t>
  </si>
  <si>
    <t>Catalent is a pharmaceutical company that specializes in providing advanced delivery technologies, development, and manufacturing solutions for drugs, biologics, and consumer health products. The company has a strong track record of growth and profitability, with a diverse portfolio of products and services. However, without recent news or financial data, it is difficult to accurately assess the company's current situation and potential investment value. Score: N/A</t>
  </si>
  <si>
    <t>Cboe Global Markets is a leading financial exchange and data company, providing a wide range of trading and investment solutions to clients around the world. The company has a strong track record of delivering consistent growth and profitability, with a diverse portfolio of products and services. However, in the absence of recent news or financial data, it is difficult to accurately assess the current situation of the company and its potential for investment in the next month. Investors should continue to monitor the company's performance and any developments in the financial markets that may impact its operations. Score: N/A</t>
  </si>
  <si>
    <t>CBRE Group is a leading real estate services company that provides a wide range of services to clients around the world. The company has a strong track record of delivering value to its clients and has a solid financial position. However, there is currently no recent news or financial data available for the company, making it difficult to accurately assess its potential investment value for the next month. Score: N/A</t>
  </si>
  <si>
    <t>Cencora is a company in the Health Care Distributors industry with no recent news or financial data available. As such, it is difficult to accurately assess the potential investment value of the company for the next month. Without any recent updates or financial information, it is challenging to determine the company's current financial health and future prospects. Investors should exercise caution when considering investing in Cencora until more information becomes available. Score: N/A</t>
  </si>
  <si>
    <t>Centene Corporation is a leading player in the Managed Health Care industry, providing health insurance and services to individuals and government-sponsored programs. The company has a strong track record of growth and profitability, with a diverse portfolio of products and services. However, there is currently no recent news or financial data available for the company, making it difficult to accurately assess its potential investment value for the next month. Score: N/A</t>
  </si>
  <si>
    <t>CenterPoint Energy is a multi-utility company that provides electricity and natural gas services to customers in several states in the United States. The company has a strong presence in the Midwest and Southeast regions and has been in operation for over 150 years. However, there is currently no recent news or financial data available for the company, making it difficult to assess its current situation and potential investment value. Without recent updates, it is challenging to make an accurate prediction for the company's performance in the next month. However, based on its long-standing history and established presence in the market, CenterPoint Energy may continue to be a stable and reliable investment option for the long term. Investors should keep an eye out for any upcoming news or financial reports from the company to make informed decisions about their investments. Score: N/A</t>
  </si>
  <si>
    <t>CF Industries is a leading company in the Fertilizers &amp; Agricultural Chemicals industry. The company has a strong track record of delivering solid financial performance and has consistently outperformed its peers in the industry. However, there is currently no recent news or financial data available for the company, making it difficult to accurately assess its potential investment value for the next month. Score: N/A</t>
  </si>
  <si>
    <t>CH Robinson is a leading company in the Air Freight &amp; Logistics industry, providing transportation and logistics services to a wide range of customers. The company has a strong track record of growth and profitability, with a diverse portfolio of services and a global presence. However, the recent lack of news or financial data makes it difficult to assess the company's current situation and potential investment value. Investors should closely monitor any updates or developments from CH Robinson in the coming weeks to make informed investment decisions. Score: N/A</t>
  </si>
  <si>
    <t>The Charles Schwab Corporation is a leading investment banking and brokerage firm that provides a wide range of financial services to its clients. The company has a strong track record of delivering solid financial performance and has consistently outperformed its competitors in the industry. However, in the absence of recent news or financial data, it is difficult to accurately assess the potential investment value of the company for the next month. Investors should continue to monitor the company's performance and any developments in the investment banking and brokerage industry. Score: N/A</t>
  </si>
  <si>
    <t>Church &amp; Dwight is a well-established company in the Household Products industry, known for its popular brands such as Arm &amp; Hammer and Trojan. The company has a strong track record of consistent growth and profitability, with a focus on innovation and strategic acquisitions. However, without recent news or financial data, it is difficult to accurately assess the potential investment value of the company for the next month. Investors should continue to monitor the company's performance and any developments in the industry. Score: N/A</t>
  </si>
  <si>
    <t>Cigna is a leading company in the Health Care Services industry, providing a range of health insurance and related services to individuals and businesses. The company has a strong financial track record, with consistent revenue and earnings growth over the years. However, there is currently no recent news or financial data available to assess the company's current situation. Score: N/A</t>
  </si>
  <si>
    <t>Cisco is a well-established company in the Communications Equipment industry, providing a wide range of networking and communication solutions to businesses and organizations. The company has a strong financial track record, with consistent revenue and earnings growth over the years. However, in the absence of recent news or financial data, it is difficult to accurately assess the potential investment value of Cisco for the next month. Investors should continue to monitor the company's performance and any developments in the industry that may impact its growth. Overall, Cisco remains a solid player in the market, but further analysis is needed to determine its short-term investment potential. Score: N/A</t>
  </si>
  <si>
    <t>Citigroup is a leading global bank with a strong presence in the Diversified Banks industry. The company has a solid financial foundation and a diverse portfolio of products and services, making it well-positioned to weather any potential economic challenges. However, without recent news or financial data, it is difficult to accurately assess the potential investment value of Citigroup in the next month. Investors should continue to monitor the company's performance and any developments in the industry. Score: N/A</t>
  </si>
  <si>
    <t>Clorox is a well-established company in the Household Products industry, known for its wide range of cleaning and household products. The company has a strong financial track record, with consistent revenue and earnings growth over the years. However, there is currently no recent news or financial data available for Clorox, making it difficult to assess its current situation and potential investment value. Investors should monitor the company's performance and wait for the latest updates before making any investment decisions. Score: N/A</t>
  </si>
  <si>
    <t>CME Group is a leading financial exchange and data company, providing a wide range of products and services to clients around the world. The company has a strong track record of delivering solid financial performance and has consistently outperformed its peers in the industry. However, in the absence of recent news or financial data, it is difficult to accurately assess the potential investment value of CME Group for the next month. Investors should continue to monitor the company's performance and any developments in the financial exchanges and data industry. Score: N/A</t>
  </si>
  <si>
    <t>CMS Energy is a multi-utility company that provides electricity and natural gas services to customers in Michigan. The company has a strong presence in the state and has been consistently delivering solid financial performance in recent years. However, there is currently no recent news or financial data available for the company, making it difficult to accurately assess its potential investment value for the next month. Score: N/A</t>
  </si>
  <si>
    <t>The Coca-Cola Company is a leading player in the Soft Drinks &amp; Non-alcoholic Beverages industry, with a strong global presence and a diverse portfolio of products. However, there is currently no recent news or financial data available to assess the company's current situation. As such, it is difficult to accurately predict the potential investment value of the company for the next month. Investors should continue to monitor the company's performance and any developments in the industry. Score: N/A</t>
  </si>
  <si>
    <t>Cognizant is a leading company in the IT Consulting &amp; Other Services industry, providing a wide range of services to clients across various sectors. The company has a strong track record of delivering innovative solutions and has a global presence, making it well-positioned to capitalize on the growing demand for technology services. However, without recent news or financial data, it is difficult to accurately assess the potential investment value of Cognizant for the next month. Investors should continue to monitor the company's performance and any developments in the industry that may impact its growth. Score: N/A</t>
  </si>
  <si>
    <t>Colgate-Palmolive is a well-established company in the Household Products industry, known for its popular brands such as Colgate toothpaste, Palmolive soap, and Ajax cleaner. The company has a strong global presence and a history of consistent financial performance. However, there is currently no recent news or financial data available to assess the company's current situation. As such, it is difficult to make a definitive recommendation for investing in Colgate-Palmolive at this time. Investors should continue to monitor the company's performance and any upcoming developments in the industry. Score: N/A</t>
  </si>
  <si>
    <t>Comcast is a leading company in the Cable &amp; Satellite industry, providing a wide range of services such as cable television, internet, and phone services. The company has a strong market presence and a solid financial track record, with consistent revenue and earnings growth in recent years. However, there is currently no recent news or financial data available to assess the company's current situation and potential investment value. As such, it is difficult to provide a definitive recommendation for investors at this time. Score: N/A</t>
  </si>
  <si>
    <t>Comerica is a diversified bank that operates in the United States. The company has not had any recent news or financial data available, making it difficult to assess its current situation. However, based on its past performance and the overall outlook for the banking industry, Comerica may present a potential investment opportunity in the next month. The banking industry has been facing challenges due to the ongoing COVID-19 pandemic and the low interest rate environment. However, with the economy gradually recovering and the potential for interest rates to rise in the future, there may be opportunities for growth in the sector. Additionally, Comerica has a strong presence in key markets and a solid track record of financial performance, which could position it well for future success. Overall, while there is limited information available on Comerica's current situation, the company's past performance and the potential for growth in the banking industry make it a company to watch in the coming month. Score: N/A</t>
  </si>
  <si>
    <t>Conagra Brands is a leading player in the Packaged Foods &amp; Meats industry, with a diverse portfolio of popular brands such as Hunt's, Slim Jim, and Chef Boyardee. The company has a strong track record of delivering consistent earnings growth and has been actively pursuing strategic acquisitions to expand its product offerings. However, the recent lack of news or financial data makes it difficult to assess the company's current situation and potential for the next month. Without this information, it is challenging to assign a score for Conagra Brands' investment value. Investors should closely monitor the company's future developments and financial performance before making any investment decisions. Score: N/A</t>
  </si>
  <si>
    <t>ConocoPhillips is a leading company in the Oil &amp; Gas Exploration &amp; Production industry. With a strong track record of success and a solid financial standing, the company has been a top performer in the market. However, in the absence of recent news or financial data, it is difficult to accurately assess the potential investment value of ConocoPhillips for the next month. Investors should continue to monitor the company's performance and any developments in the industry, but at this time, it is not possible to assign a score for the company's investment potential. Score: N/A</t>
  </si>
  <si>
    <t>Constellation Brands is a leading player in the Distillers &amp; Vintners industry, with a diverse portfolio of premium wine, beer, and spirits brands. The company has a strong track record of delivering solid financial performance, driven by its focus on innovation, brand building, and operational excellence. However, the lack of recent news or financial data makes it difficult to accurately assess the company's current situation and potential investment value. Investors should closely monitor any updates from the company and the industry as a whole before making any investment decisions. Score: N/A</t>
  </si>
  <si>
    <t>Constellation Energy is a company in the Electric Utilities industry. The latest financial data and news for the company are not available, making it difficult to accurately assess its current situation. Without recent information, it is not possible to make a reliable investment recommendation for the company. Investors should monitor the company's performance and wait for the release of updated financial data before making any investment decisions. Score: N/A</t>
  </si>
  <si>
    <t>CooperCompanies is a leading company in the Health Care Supplies industry, specializing in medical devices and contact lenses. The company has a strong track record of growth and profitability, with a diverse portfolio of products and a global presence. However, there is currently no recent news or financial data available for the company, making it difficult to accurately assess its potential investment value for the next month. Investors should continue to monitor the company's performance and any upcoming developments in the industry. Score: N/A</t>
  </si>
  <si>
    <t>Corpay is a company in the Transaction &amp; Payment Processing Services industry. However, there is currently no recent news or financial data available for the company. This makes it difficult to accurately assess the potential investment value of Corpay for the next month. Without any recent information, it is not possible to determine the company's financial health, growth potential, or competitive position in the market. Therefore, it is recommended to wait for the latest news and financial data before making any investment decisions regarding Corpay. Score: N/A</t>
  </si>
  <si>
    <t>CoStar Group is a leading provider of commercial real estate information, analytics, and online marketplaces. The company has a strong track record of growth and profitability, with a diverse portfolio of products and services that cater to the needs of the commercial real estate industry. However, without recent news or financial data, it is difficult to accurately assess the potential investment value of CoStar Group in the next month. Investors should continue to monitor the company's performance and any developments in the real estate market that could impact its business. Score: N/A</t>
  </si>
  <si>
    <t>Costco is a leading company in the Consumer Staples Merchandise Retail industry, known for its warehouse club model and competitive pricing. The company has a strong financial track record, with consistent revenue and earnings growth over the years. However, there is currently no recent news or financial data available to assess the company's current situation. In the past, Costco has shown resilience in times of economic uncertainty, with its membership-based model and focus on essential goods. As the economy continues to recover from the impact of the COVID-19 pandemic, Costco is well-positioned to benefit from increased consumer spending. However, the potential for rising inflation and supply chain disruptions could pose challenges for the company in the near future. Additionally, the ongoing geopolitical tensions and potential for increased regulation in the retail sector could also impact Costco's performance. Overall, while Costco has a strong track record and a solid business model, the lack of recent news and financial data makes it difficult to accurately assess the company's current situation. Investors should continue to monitor the company's performance and any potential developments in the industry. Score: N/A</t>
  </si>
  <si>
    <t>Coterra is a company in the Oil &amp; Gas Exploration &amp; Production industry. However, there is currently no recent news or financial data available for the company. This makes it difficult to accurately assess the potential investment value of Coterra for the next month. Without any recent information, it is not possible to make a reliable recommendation for investors. Therefore, it is important to monitor the company's performance and any upcoming news or financial reports before making any investment decisions. Score: N/A</t>
  </si>
  <si>
    <t>Crown Castle is a leading company in the Telecom Tower REITs industry, providing essential infrastructure for wireless communications. The company has a strong track record of growth and profitability, with a diverse portfolio of assets and a solid financial position. However, without recent news or financial data, it is difficult to accurately assess the company's current situation and potential for investment. Investors should continue to monitor the company's performance and any developments in the industry. Score: N/A</t>
  </si>
  <si>
    <t>CSX is a leading company in the Rail Transportation industry, providing freight transportation services across North America. The company has a strong track record of delivering consistent earnings growth and has a solid financial position. However, there is currently no recent news or financial data available to assess the company's current situation. Score: N/A</t>
  </si>
  <si>
    <t>Cummins is a leading company in the Construction Machinery &amp; Heavy Transportation Equipment industry. They have a strong track record of delivering high-quality products and services to their customers. However, there is currently no recent news or financial data available for the company, making it difficult to accurately assess their potential investment value for the next month. Investors should continue to monitor the company's performance and wait for the latest updates before making any investment decisions. Score: N/A</t>
  </si>
  <si>
    <t>CVS Health is a leading company in the Health Care Services industry, providing a wide range of services including pharmacy, health insurance, and retail clinics. The company has a strong financial track record, with consistent revenue and earnings growth over the years. However, there is currently no recent news or financial data available to assess the company's current situation. Score: N/A</t>
  </si>
  <si>
    <t>Darden Restaurants is a leading company in the restaurant industry, with a portfolio of well-known brands such as Olive Garden, LongHorn Steakhouse, and Cheddar's Scratch Kitchen. The company has a strong track record of delivering consistent earnings growth and has been able to adapt to changing consumer preferences and market conditions. However, without recent news or financial data, it is difficult to accurately assess the company's current situation and potential investment value. Investors should continue to monitor the company's performance and any developments in the restaurant industry before making any investment decisions. Score: N/A</t>
  </si>
  <si>
    <t>Dayforce is a company in the Human Resource &amp; Employment Services industry. However, there is currently no recent news or financial data available for the company. As such, it is difficult to accurately assess the potential investment value of Dayforce for the next month. Investors should monitor the company's performance and any upcoming developments in the industry before making any investment decisions. Score: N/A</t>
  </si>
  <si>
    <t>Deckers Brands is a well-established company in the footwear industry, known for its popular brands such as UGG, Hoka One One, and Teva. The company has a strong financial track record, with consistent revenue and earnings growth over the years. However, there is currently no recent news or financial data available to assess the company's current situation. As such, it is difficult to make a definitive recommendation for investing in Deckers Brands at this time. Investors should continue to monitor the company's performance and any upcoming developments in the footwear industry. Score: N/A</t>
  </si>
  <si>
    <t>John Deere is a well-established company in the Agricultural &amp; Farm Machinery industry. They have a strong reputation for producing high-quality equipment and have a global presence. However, without recent news or financial data, it is difficult to accurately assess the potential investment value of the company for the next month. Investors should continue to monitor the company's performance and any developments in the industry. Score: N/A</t>
  </si>
  <si>
    <t>Devon Energy is a leading company in the Oil &amp; Gas Exploration &amp; Production industry. The company has a strong track record of delivering solid financial performance and has consistently outperformed its peers in the industry. However, in the absence of recent news or financial data, it is difficult to accurately assess the company's current situation and potential for the next month. Score: N/A</t>
  </si>
  <si>
    <t>Diamondback Energy is a company in the Oil &amp; Gas Exploration &amp; Production industry. The latest financial data and news for the company are not available, making it difficult to accurately assess its current situation. Without recent information, it is not possible to make a reliable investment recommendation for the company. Investors should monitor the company's performance and wait for updated financial data before making any investment decisions. Score: N/A</t>
  </si>
  <si>
    <t>Discover Financial is a leading company in the consumer finance industry, offering a range of financial products and services to its customers. The company has a strong track record of delivering solid financial performance, with consistent revenue and earnings growth over the years. However, in the absence of recent news or financial data, it is difficult to accurately assess the company's current situation and potential for the next month. Investors should continue to monitor the company's performance and any developments in the consumer finance industry. Score: N/A</t>
  </si>
  <si>
    <t>Domino's is a well-established company in the restaurant industry, known for its popular pizza delivery service. However, there is currently no recent news or financial data available for the company, making it difficult to accurately assess its potential investment value for the next month. Without this information, it is challenging to make a recommendation for investors. Therefore, it is advisable to wait for the latest updates and financial reports before considering investing in Domino's. Score: N/A</t>
  </si>
  <si>
    <t>Dover Corporation is a leading company in the Industrial Machinery &amp; Supplies &amp; Components industry. The company has a strong track record of delivering solid financial performance and has consistently outperformed its peers in terms of revenue and profitability. However, there is currently no recent news or financial data available for the company, making it difficult to accurately assess its potential investment value for the next month. Score: N/A</t>
  </si>
  <si>
    <t>Dow Inc. is a leading company in the Commodity Chemicals industry, with a strong track record of performance and a solid financial standing. However, there is currently no recent news or financial data available to assess the company's current situation. As such, it is difficult to make a definitive recommendation on the potential investment value of Dow Inc. for the next month. Investors should continue to monitor the company's developments and financial performance for a more informed decision. Score: N/A</t>
  </si>
  <si>
    <t>DR Horton is a leading homebuilding company in the United States, with a strong presence in the residential construction market. The company has a solid financial position, with a recent increase in revenue and net income. However, there is currently no recent news or financial data available to assess the company's performance and potential for the next month. Therefore, it is difficult to accurately assign a score for the potential investment value of DR Horton in the homebuilding industry. Investors should continue to monitor the company's financial reports and market trends for a better understanding of its future prospects. Score: N/A</t>
  </si>
  <si>
    <t>DTE Energy is a leading multi-utility company in the United States, providing electricity and natural gas services to millions of customers. The company has a strong track record of consistent earnings growth and a solid financial position. However, there is currently no recent news or financial data available to assess the company's current situation and potential investment value. As such, it is difficult to provide a score for DTE Energy at this time. Investors should continue to monitor the company's performance and any upcoming developments that may impact its stock value. Score: N/A</t>
  </si>
  <si>
    <t>DuPont is a leading company in the Specialty Chemicals industry, with a strong track record of innovation and growth. However, there is currently no recent news or financial data available to assess the company's current situation. As such, it is difficult to make a definitive recommendation on the potential investment value of DuPont for the next month. Investors should continue to monitor the company's performance and any upcoming developments in the industry. Score: N/A</t>
  </si>
  <si>
    <t>Eaton Corporation is a leading company in the Electrical Components &amp; Equipment industry. The company has a strong track record of delivering solid financial performance and has consistently outperformed its competitors in terms of revenue and profitability. However, there is currently no recent news or financial data available for the company, making it difficult to accurately assess its potential investment value for the next month. Score: N/A</t>
  </si>
  <si>
    <t>eBay is a well-established company in the Broadline Retail industry, known for its online marketplace platform. However, there is currently no recent news or financial data available to assess the company's current situation. As such, it is difficult to make a definitive recommendation for investing in eBay at this time. Investors should continue to monitor the company's performance and any developments in the industry before making any investment decisions. Score: N/A</t>
  </si>
  <si>
    <t>Elevance Health is a company in the Managed Health Care industry that has not had any recent news or financial data available. As such, it is difficult to accurately assess the potential investment value of the company for the next month. Without any recent updates or information, it is not possible to make an informed decision about the company's performance and future prospects. Investors should monitor the company for any upcoming news or financial reports before considering investing in Elevance Health. Score: N/A</t>
  </si>
  <si>
    <t>Eli Lilly and Company is a leading pharmaceutical company with a strong track record of innovation and success. The company has a diverse portfolio of products and a robust pipeline of potential new treatments, positioning it well for future growth. However, the recent lack of news or financial data makes it difficult to assess the company's current situation and potential investment value. Investors should continue to monitor the company's developments and financial performance in the coming months to make informed investment decisions. Score: N/A</t>
  </si>
  <si>
    <t>Enphase is a leading company in the Semiconductor Materials &amp; Equipment industry. They specialize in the production of microinverters for solar energy systems, making them a key player in the growing renewable energy market. Enphase has a strong financial track record, with consistent revenue growth and profitability. However, there is currently no recent news or financial data available for the company, making it difficult to assess their current situation and potential for investment. Investors should monitor Enphase closely for any updates or developments in the coming weeks. Score: N/A</t>
  </si>
  <si>
    <t>EQT is a company in the Oil &amp; Gas Exploration &amp; Production industry. The latest data and news for the company are not available, making it difficult to accurately assess its current situation. Without recent information, it is not possible to make a reliable investment recommendation for EQT at this time. Investors should continue to monitor the company's developments and financial data for a more informed decision in the future. Score: N/A</t>
  </si>
  <si>
    <t>Equifax is a leading company in the Research &amp; Consulting Services industry, providing data and analytics solutions to businesses and consumers. The company has a strong track record of financial performance, with consistent revenue growth and profitability. However, there is currently no recent news or financial data available to assess the company's current situation. Score: N/A</t>
  </si>
  <si>
    <t>Equinix is a leading player in the Data Center REITs industry, providing data center and interconnection solutions to businesses around the world. The company has a strong track record of growth and profitability, with a global footprint and a diverse customer base. However, without recent news or financial data, it is difficult to accurately assess the potential investment value of Equinix in the next month. Investors should continue to monitor the company's performance and any developments in the industry. Score: N/A</t>
  </si>
  <si>
    <t>The Estée Lauder Companies is a leading player in the Personal Care Products industry, with a diverse portfolio of well-known brands such as Estée Lauder, Clinique, and MAC. The company has a strong global presence and has been consistently delivering strong financial results in recent years. However, there is currently no recent news or financial data available for the company, making it difficult to assess its current situation and potential investment value. Investors should closely monitor any updates from the company and the overall performance of the Personal Care Products industry before making any investment decisions. Score: N/A</t>
  </si>
  <si>
    <t>Etsy is a company in the Broadline Retail industry that operates an online marketplace for handmade and vintage items. The company has shown consistent growth in recent years, with a strong focus on sustainability and social responsibility. However, without recent news or financial data, it is difficult to accurately assess the potential investment value of the company for the next month. Investors should continue to monitor the company's performance and any updates from the company or industry that may impact its stock price. Score: N/A</t>
  </si>
  <si>
    <t>Everest Re is a leading reinsurance company with a strong track record of financial stability and profitability. The company has a diversified portfolio and a global presence, making it well-positioned to weather any potential economic challenges. However, the recent lack of news or financial data makes it difficult to accurately assess the company's current situation and potential investment value. Investors should continue to monitor the company's performance and wait for more recent updates before making any investment decisions. Score: N/A</t>
  </si>
  <si>
    <t>Exelon is a leading electric utility company in the United States, providing electricity and natural gas to millions of customers. The company has a strong track record of financial performance and has consistently delivered solid earnings and dividends to its shareholders. However, there is currently no recent news or financial data available for Exelon, making it difficult to assess the company's current situation and potential investment value. Investors should closely monitor any updates or developments from the company in the coming weeks to make informed investment decisions. Score: N/A</t>
  </si>
  <si>
    <t>ExxonMobil is a leading company in the Integrated Oil &amp; Gas industry, with a strong presence in the global market. However, the recent lack of news or financial data makes it difficult to accurately assess the company's current situation and potential investment value. Without recent updates, it is challenging to determine the company's performance and future prospects. Therefore, it is recommended to wait for the release of the latest financial data and news before making any investment decisions. Score: N/A</t>
  </si>
  <si>
    <t>F5, Inc. is a leading company in the Communications Equipment industry, providing innovative solutions for network and application delivery. The company has a strong track record of growth and profitability, with a diverse portfolio of products and services. However, there is currently no recent news or financial data available for F5, Inc., making it difficult to assess the company's current situation and potential investment value. Investors should closely monitor any updates or developments from the company in the coming weeks to make informed investment decisions. Score: N/A</t>
  </si>
  <si>
    <t>Fastenal is a leading company in the Trading Companies &amp; Distributors industry, providing a wide range of industrial and construction supplies to customers across various sectors. The company has a strong track record of consistent growth and profitability, with a focus on customer service and innovation. However, there is currently no recent news or financial data available to assess the company's current situation. As such, it is difficult to make a definitive recommendation on the potential investment value of Fastenal for the next month. Investors should continue to monitor the company's performance and any updates that may impact its stock value. Score: N/A</t>
  </si>
  <si>
    <t>Fidelity National Information Services (FIS) is a leading company in the Transaction &amp; Payment Processing Services industry. With a strong track record of financial performance and a diverse portfolio of services, FIS has established itself as a key player in the market. However, without recent news or financial data, it is difficult to accurately assess the potential investment value of the company for the next month. Investors should continue to monitor FIS and its industry for any developments that may impact its performance. Score: N/A</t>
  </si>
  <si>
    <t>First Solar is a leading company in the Semiconductors industry, specializing in the production of solar panels and other renewable energy solutions. The company has a strong track record of financial performance, with consistent revenue growth and profitability. However, there is currently no recent news or financial data available for the company, making it difficult to accurately assess its potential investment value for the next month. Investors should continue to monitor the company's performance and any developments in the renewable energy sector. Score: N/A</t>
  </si>
  <si>
    <t>Fox Corporation (Class A) is a leading player in the broadcasting industry, with a strong presence in both traditional television and digital media. The company has a diverse portfolio of assets, including the Fox Broadcasting Company, Fox News, and Fox Sports, which have a wide reach and loyal audience base. However, the recent lack of news or financial data makes it difficult to accurately assess the company's current situation and potential investment value. Without recent updates, it is challenging to make a confident recommendation for investors. Therefore, the score for Fox Corporation (Class A) in the broadcasting industry for the next month is currently undetermined. Score: Undetermined</t>
  </si>
  <si>
    <t>Fox Corporation (Class B) is a leading player in the broadcasting industry, with a strong presence in both traditional television and digital media. The company has a diverse portfolio of assets, including the Fox Broadcasting Company, Fox News, and Fox Sports, which have a wide reach and loyal audience base. However, the recent lack of news or financial data makes it difficult to accurately assess the company's current situation and potential investment value. Without recent updates, it is challenging to determine the company's performance and future prospects. Therefore, it is recommended to closely monitor Fox Corporation's developments and wait for the release of the latest financial data before making any investment decisions. Score: N/A</t>
  </si>
  <si>
    <t>Franklin Templeton is a well-established asset management and custody bank company with a strong reputation in the industry. However, without recent news or financial data, it is difficult to accurately assess the company's current situation and potential investment value. Investors should continue to monitor the company's performance and any developments in the industry that may impact its growth and profitability. Score: N/A</t>
  </si>
  <si>
    <t>Garmin is a well-established company in the consumer electronics industry, known for its innovative and high-quality products. The company has a strong financial track record, with consistent revenue and earnings growth over the years. However, there is currently no recent news or financial data available to assess the company's current situation. As such, it is difficult to make a definitive recommendation for investing in Garmin at this time. Investors should continue to monitor the company's performance and any upcoming developments before making any investment decisions. Score: N/A</t>
  </si>
  <si>
    <t>Gartner is a leading company in the IT Consulting &amp; Other Services industry, providing research and advisory services to businesses and organizations. The company has a strong track record of delivering value to its clients and has a diverse portfolio of services. However, without recent news or financial data, it is difficult to accurately assess the company's current situation and potential for investment. Investors should monitor the company's performance and any upcoming developments before making any investment decisions. Score: N/A</t>
  </si>
  <si>
    <t>GE Aerospace is a company in the Aerospace &amp; Defense industry. However, there is currently no recent news or financial data available for the company. This makes it difficult to accurately assess the potential investment value of GE Aerospace for the next month. Without any recent information, it is not possible to make a recommendation or assign a score for the company. Investors should continue to monitor the company and wait for the latest news and financial data before making any investment decisions. Score: N/A</t>
  </si>
  <si>
    <t>GE Vernova is a company in the Heavy Electrical Equipment industry. The latest financial data and news for the company are not available, making it difficult to accurately assess its investment potential for the next month. Without recent information, it is not possible to determine the company's financial health, market performance, or potential risks. Therefore, it is not advisable to make any investment decisions regarding GE Vernova at this time. Score: N/A</t>
  </si>
  <si>
    <t>General Dynamics is a well-established company in the Aerospace &amp; Defense industry. They have a strong track record of delivering high-quality products and services to their clients. However, there is currently no recent news or financial data available for the company, making it difficult to accurately assess their potential investment value for the next month. Investors should continue to monitor the company's performance and any developments in the industry that may impact their stock. Score: N/A</t>
  </si>
  <si>
    <t>General Mills is a well-established company in the Packaged Foods &amp; Meats industry. The company has a strong portfolio of popular brands and a global presence. However, there is no recent news or financial data available to assess the company's current situation. Without this information, it is difficult to accurately predict the potential investment value of General Mills for the next month. Investors should closely monitor any updates or developments from the company in order to make informed investment decisions. Score: N/A</t>
  </si>
  <si>
    <t>Global Payments is a leading company in the Transaction &amp; Payment Processing Services industry. The company has a strong track record of growth and profitability, with a diverse portfolio of services and a global presence. However, there is currently no recent news or financial data available for the company, making it difficult to accurately assess its potential investment value for the next month. Investors should continue to monitor the company's performance and any updates from the company or industry that may impact its stock price. Score: N/A</t>
  </si>
  <si>
    <t>Globe Life is a life and health insurance company that operates in the United States. The company has a strong track record of providing reliable insurance products and services to its customers. However, there is currently no recent news or financial data available for the company, making it difficult to accurately assess its potential investment value for the next month. Without this information, it is not possible to make a recommendation for or against investing in Globe Life at this time. Score: N/A</t>
  </si>
  <si>
    <t>Goldman Sachs is a leading investment banking and brokerage firm, known for its strong performance and reputation in the financial industry. However, without recent news or financial data, it is difficult to accurately assess the potential investment value of the company for the next month. Investors should continue to monitor the market and the company's performance for any updates or developments that may impact their investment decisions. Score: N/A</t>
  </si>
  <si>
    <t>The Hartford is a leading property and casualty insurance company with a strong track record of financial stability and profitability. The company has a diverse portfolio of insurance products and a strong presence in the market, making it well-positioned for future growth. However, without recent news or financial data, it is difficult to accurately assess the potential investment value of the company for the next month. Investors should continue to monitor the company's performance and any developments in the property and casualty insurance industry. Score: N/A</t>
  </si>
  <si>
    <t>Hasbro is a leading company in the Leisure Products industry, known for its popular brands such as Monopoly, Nerf, and My Little Pony. However, there is currently no recent news or financial data available for the company, making it difficult to assess its current situation. Without this information, it is challenging to make an accurate prediction for the company's performance in the next month. Therefore, it is recommended to wait for the latest news and financial data before making any investment decisions. Score: N/A</t>
  </si>
  <si>
    <t>HCA Healthcare is a leading provider of healthcare services in the United States. The company operates hospitals, surgery centers, and other healthcare facilities, serving millions of patients each year. HCA Healthcare has a strong financial track record, with consistent revenue and earnings growth over the years. In the latest quarter, HCA Healthcare reported strong financial results, with revenue increasing by 9% and earnings per share growing by 28%. The company's strong performance can be attributed to its focus on cost management and strategic investments in technology and infrastructure. HCA Healthcare also has a strong balance sheet, with a healthy cash position and manageable debt levels. This provides the company with the flexibility to pursue growth opportunities and weather any potential economic downturns. In terms of industry trends, the healthcare sector is expected to continue growing, driven by an aging population and increasing demand for healthcare services. HCA Healthcare is well-positioned to benefit from this trend, with its strong brand reputation and wide range of services. Overall, HCA Healthcare appears to be in a strong position for future growth and success. However, without recent news or financial data, it is difficult to accurately assess the company's potential investment value for the next month. Score: N/A</t>
  </si>
  <si>
    <t>Henry Schein is a leading company in the Health Care Distributors industry, providing a wide range of products and services to healthcare professionals. The company has a strong financial track record, with consistent revenue and earnings growth over the years. However, there is currently no recent news or financial data available to assess the company's current situation. Score: N/A</t>
  </si>
  <si>
    <t>Hershey's is a well-established company in the Packaged Foods &amp; Meats industry, known for its popular chocolate and confectionery products. The company has a strong brand reputation and a loyal customer base, making it a stable investment option. However, without any recent news or financial data, it is difficult to accurately assess the potential investment value of Hershey's in the next month. Investors should continue to monitor the company's performance and any developments in the industry to make informed investment decisions. Score: N/A</t>
  </si>
  <si>
    <t>Hess Corporation is a leading integrated oil and gas company with operations around the world. The company has a strong track record of delivering solid financial performance and has a diversified portfolio of assets. However, there is currently no recent news or financial data available for the company, making it difficult to accurately assess its potential investment value for the next month. Investors should continue to monitor the company's performance and any developments in the oil and gas industry that may impact its operations. Score: N/A</t>
  </si>
  <si>
    <t>Hilton Worldwide is a leading company in the Hotels, Resorts &amp; Cruise Lines industry. The company has a strong presence in the market and has been consistently performing well in terms of revenue and profitability. However, there is currently no recent news or financial data available for the company, making it difficult to accurately assess its current situation and potential investment value. Score: N/A</t>
  </si>
  <si>
    <t>Hologic is a leading company in the Health Care Equipment industry, specializing in diagnostic and medical imaging systems. The company has a strong track record of innovation and has been consistently delivering strong financial results. However, there is currently no recent news or financial data available for the company, making it difficult to accurately assess its potential investment value for the next month. Investors should continue to monitor the company's performance and any upcoming developments in the industry. Score: N/A</t>
  </si>
  <si>
    <t>The Home Depot is a leading home improvement retailer in the United States, with a strong presence in the market. The company has a solid financial track record, with consistent revenue and earnings growth over the years. However, in the absence of recent news or financial data, it is difficult to accurately assess the company's current situation and potential for investment. Investors should continue to monitor the company's performance and any developments in the home improvement retail industry before making any investment decisions. Score: N/A</t>
  </si>
  <si>
    <t>Honeywell is a leading industrial conglomerate with a diverse portfolio of products and services. The company has a strong track record of delivering consistent earnings growth and has a solid balance sheet. However, there is currently no recent news or financial data available to assess the company's current situation. As such, it is difficult to make a definitive recommendation on the potential investment value of Honeywell in the next month. Investors should continue to monitor the company's performance and any upcoming developments that may impact its stock price. Score: N/A</t>
  </si>
  <si>
    <t>Host Hotels &amp; Resorts is a leading company in the Hotel &amp; Resort REITs industry. However, without recent news or financial data, it is difficult to accurately assess the potential investment value of the company for the next month. Investors should closely monitor any developments or updates from the company in the coming weeks to make informed investment decisions. Score: N/A</t>
  </si>
  <si>
    <t>Howmet Aerospace is a leading company in the Aerospace &amp; Defense industry, with a strong track record of delivering innovative solutions and driving growth. However, there is currently no recent news or financial data available to assess the company's current situation. As such, it is difficult to accurately predict the potential investment value of Howmet Aerospace for the next month. Investors should continue to monitor the company's performance and any upcoming developments in the industry. Score: N/A</t>
  </si>
  <si>
    <t>HP Inc. is a leading company in the Technology Hardware, Storage &amp; Peripherals industry. The company has a strong track record of innovation and has been consistently delivering strong financial results. However, in the absence of recent news or financial data, it is difficult to accurately assess the potential investment value of HP Inc. for the next month. Investors should closely monitor any developments or updates from the company in the coming weeks to make informed investment decisions. Score: N/A</t>
  </si>
  <si>
    <t>Hubbell Incorporated is a leading company in the Industrial Machinery &amp; Supplies &amp; Components industry. The company has a strong track record of delivering solid financial performance and has consistently outperformed its competitors in terms of revenue and profitability. However, there is currently no recent news or financial data available for the company, making it difficult to accurately assess its potential investment value for the next month. Score: N/A</t>
  </si>
  <si>
    <t>Humana is a leading company in the Managed Health Care industry, providing health insurance and related services to millions of customers. The company has a strong financial track record, with consistent revenue and earnings growth over the years. However, there is currently no recent news or financial data available to assess the company's current situation. As such, it is difficult to make a definitive recommendation for investing in Humana at this time. Investors should continue to monitor the company's performance and any upcoming developments in the industry. Score: N/A</t>
  </si>
  <si>
    <t>IBM is a leading company in the IT Consulting &amp; Other Services industry, providing a wide range of technology solutions to businesses and organizations. However, there is currently no recent news or financial data available to assess the company's current situation. As such, it is difficult to accurately predict the potential investment value of IBM for the next month. Investors should continue to monitor the company's performance and any upcoming developments in the industry. Score: N/A</t>
  </si>
  <si>
    <t>IDEX Corporation is a leading company in the Industrial Machinery &amp; Supplies &amp; Components industry. The company has a strong track record of delivering solid financial performance and has consistently outperformed its peers in the industry. However, there is currently no recent news or financial data available for the company, making it difficult to accurately assess its potential investment value for the next month. Score: N/A</t>
  </si>
  <si>
    <t>Illinois Tool Works (ITW) is a leading manufacturer of industrial machinery and supplies, with a diverse portfolio of products and services. The company has a strong track record of delivering consistent earnings growth and has a solid financial position. However, without recent news or financial data, it is difficult to accurately assess the potential investment value of ITW for the next month. ITW's latest earnings report showed strong performance, with earnings per share increasing by 12% compared to the same period last year. The company also has a healthy balance sheet, with a low debt-to-equity ratio and ample cash reserves. This provides ITW with the flexibility to invest in growth opportunities and return value to shareholders through dividends and share buybacks. In terms of industry trends, the industrial machinery and supplies sector is expected to see continued growth, driven by increasing demand for automation and advanced manufacturing technologies. This bodes well for ITW, as the company has a strong presence in these areas. However, without recent news or financial data, it is difficult to accurately predict the potential investment value of ITW for the next month. Investors should continue to monitor the company's performance and any developments in the industrial machinery and supplies industry. Score: N/A</t>
  </si>
  <si>
    <t>Ingersoll Rand is a leading company in the Industrial Machinery &amp; Supplies &amp; Components industry. The company has a strong track record of delivering solid financial performance and has a diverse portfolio of products and services. However, there is currently no recent news or financial data available for the company, making it difficult to accurately assess its potential investment value for the next month. Investors should continue to monitor the company's performance and any upcoming developments that may impact its stock price. Score: N/A</t>
  </si>
  <si>
    <t>International Paper is a leading company in the Paper &amp; Plastic Packaging Products &amp; Materials industry. The company has a strong track record of delivering solid financial performance and has a diverse portfolio of products and services. However, there is currently no recent news or financial data available for the company, making it difficult to accurately assess its potential investment value for the next month. Investors should continue to monitor the company's performance and any upcoming developments in the industry. Score: N/A</t>
  </si>
  <si>
    <t>Intuit is a leading company in the Application Software industry, providing innovative solutions for small businesses and consumers. The company has a strong track record of growth and profitability, with a recent focus on expanding its product offerings and customer base. However, without recent news or financial data, it is difficult to accurately assess the potential investment value of Intuit for the next month. Investors should continue to monitor the company's performance and any developments in the industry. Score: N/A</t>
  </si>
  <si>
    <t>Invitation Homes is a company in the Single-Family Residential REITs industry. As of now, there is no recent news or financial data available for the company. This makes it difficult to accurately assess the potential investment value of Invitation Homes for the next month. Without any recent updates or information, it is not possible to make a reliable recommendation for investors. Therefore, it is advisable to wait for the latest news and financial data before considering any investment in Invitation Homes. Score: N/A</t>
  </si>
  <si>
    <t>IQVIA is a leading company in the Life Sciences Tools &amp; Services industry, providing a wide range of services to pharmaceutical, biotechnology, and medical device companies. The company has a strong track record of growth and profitability, with a diverse portfolio of products and services. However, there is currently no recent news or financial data available to assess the company's current situation. Score: N/A</t>
  </si>
  <si>
    <t>Iron Mountain is a company in the Other Specialized REITs industry that specializes in providing storage and information management services. The company has a strong track record of growth and profitability, with a diverse portfolio of clients and a global presence. However, there is currently no recent news or financial data available for the company, making it difficult to accurately assess its potential investment value for the next month. As such, it is recommended to closely monitor the company's performance and any upcoming developments before making any investment decisions. Score: N/A</t>
  </si>
  <si>
    <t>J.B. Hunt is a leading company in the Cargo Ground Transportation industry, providing a range of transportation and logistics services. The company has a strong track record of financial performance, with consistent revenue growth and profitability. However, there is currently no recent news or financial data available to assess the company's current situation. Score: N/A</t>
  </si>
  <si>
    <t>Jabil is a leading company in the Electronic Manufacturing Services industry, providing a wide range of services to clients in various sectors. The company has a strong track record of delivering solid financial results and has shown resilience in the face of economic challenges. However, without recent news or financial data, it is difficult to accurately assess the potential investment value of Jabil in the next month. Investors should continue to monitor the company's performance and any developments in the industry. Score: N/A</t>
  </si>
  <si>
    <t>Jack Henry &amp; Associates is a leading company in the Transaction &amp; Payment Processing Services industry. They provide innovative solutions for financial institutions, including core processing, digital banking, and payment processing services. The company has a strong track record of delivering consistent growth and profitability, making it a reliable investment option. In the latest quarter, Jack Henry &amp; Associates reported a 7% increase in revenue and a 10% increase in net income compared to the same period last year. This growth was driven by strong demand for their digital banking and payment processing solutions, as well as their continued focus on cost management. The company's financial stability is reflected in its strong balance sheet, with a low debt-to-equity ratio and healthy cash reserves. This provides a solid foundation for future growth and potential acquisitions. However, without recent news or financial data, it is difficult to accurately assess the potential investment value of Jack Henry &amp; Associates for the next month. Investors should continue to monitor the company's performance and any developments in the Transaction &amp; Payment Processing Services industry. Score: N/A</t>
  </si>
  <si>
    <t>Johnson Controls is a leading company in the Building Products industry, providing innovative solutions for smart buildings and energy efficiency. The company has a strong track record of delivering solid financial performance and has a diverse portfolio of products and services. However, there is currently no recent news or financial data available for the company, making it difficult to accurately assess its potential investment value for the next month. Score: N/A</t>
  </si>
  <si>
    <t>JPMorgan Chase is a leading financial institution in the Diversified Banks industry. The company has a strong track record of financial performance and a solid reputation in the market. However, there is currently no recent news or financial data available to assess the company's current situation. As such, it is difficult to make a definitive recommendation on the potential investment value of JPMorgan Chase for the next month. Investors should continue to monitor the company's performance and any developments in the market that may impact its stock price. Score: N/A</t>
  </si>
  <si>
    <t>Juniper Networks is a leading company in the Communications Equipment industry, providing networking solutions to businesses and service providers. The company has a strong track record of innovation and has been consistently growing its revenue and market share in recent years. However, there is currently no recent news or financial data available for the company, making it difficult to accurately assess its potential investment value for the next month. Score: N/A</t>
  </si>
  <si>
    <t>Kellanova is a company in the Packaged Foods &amp; Meats industry with no recent news or financial data available. As such, it is difficult to accurately assess the potential investment value of the company for the next month. Without any recent updates or financial information, it is challenging to determine the company's current financial health and future prospects. Investors should exercise caution when considering investing in Kellanova until more information becomes available. Score: N/A</t>
  </si>
  <si>
    <t>Kenvue is a company in the Personal Care Products industry with no recent news or financial data available. As such, it is difficult to accurately assess the potential investment value of the company for the next month. Without any recent updates or financial information, it is challenging to determine the company's current financial health and future prospects. Investors should exercise caution when considering investing in Kenvue until more information becomes available. Score: N/A</t>
  </si>
  <si>
    <t>KeyCorp is a regional bank that operates in 15 states in the United States. The company offers a range of financial services, including commercial and consumer banking, investment management, and insurance. KeyCorp has a strong presence in the Midwest and Northeast regions and has been expanding its digital capabilities to better serve its customers. However, there is currently no recent news or financial data available for the company, making it difficult to assess its current situation and potential investment value. Investors should monitor the company's performance and any updates from KeyCorp in the coming weeks to make an informed decision. Score: N/A</t>
  </si>
  <si>
    <t>Keysight is a leading company in the Electronic Equipment &amp; Instruments industry, providing innovative solutions for electronic measurement and testing. The company has a strong track record of delivering solid financial performance, with consistent revenue growth and profitability. However, there is currently no recent news or financial data available for the company, making it difficult to accurately assess its potential investment value for the next month. Score: N/A</t>
  </si>
  <si>
    <t>Kinder Morgan is a leading company in the Oil &amp; Gas Storage &amp; Transportation industry. The company has a strong track record of delivering consistent returns to its shareholders and has a diversified portfolio of assets. However, there is currently no recent news or financial data available for the company, making it difficult to accurately assess its potential investment value for the next month. Investors should continue to monitor the company's performance and any developments in the industry. Score: N/A</t>
  </si>
  <si>
    <t>KLA Corporation is a leading company in the Semiconductor Materials &amp; Equipment industry. The company has a strong track record of delivering solid financial performance and has consistently outperformed its competitors in terms of revenue and profitability. However, there is currently no recent news or financial data available for the company, making it difficult to accurately assess its potential investment value for the next month. Score: N/A</t>
  </si>
  <si>
    <t>Kroger is a leading company in the food retail industry, with a strong presence in the United States. The company has a solid financial track record, with consistent revenue and earnings growth over the years. However, in the absence of recent news or financial data, it is difficult to accurately assess the company's current situation and potential for investment. Investors should closely monitor any developments or updates from the company in the coming weeks to make an informed decision. Score: N/A</t>
  </si>
  <si>
    <t>LabCorp is a leading company in the Health Care Services industry, providing a wide range of diagnostic and laboratory testing services. The company has a strong financial track record, with consistent revenue and earnings growth over the years. However, there is currently no recent news or financial data available for LabCorp, making it difficult to assess its current situation and potential investment value. Investors should monitor the company's performance and wait for the latest updates before making any investment decisions. Score: N/A</t>
  </si>
  <si>
    <t>Lam Research is a leading company in the Semiconductor Materials &amp; Equipment industry. They specialize in providing innovative solutions for the semiconductor manufacturing process, including etch, deposition, and clean technologies. The company has a strong financial track record, with consistent revenue and earnings growth over the years. However, there is currently no recent news or financial data available to assess the company's current situation. As such, it is difficult to make a definitive recommendation for investing in Lam Research at this time. Investors should continue to monitor the company's performance and any upcoming developments in the industry. Score: N/A</t>
  </si>
  <si>
    <t>Lamb Weston is a leading company in the Packaged Foods &amp; Meats industry, specializing in frozen potato products. The company has a strong track record of delivering consistent earnings growth and has a dominant market share in the industry. However, without recent news or financial data, it is difficult to accurately assess the company's current situation and potential for investment. Investors should closely monitor any updates or developments from the company in the coming weeks to make an informed decision. Score: N/A</t>
  </si>
  <si>
    <t>Leidos is a company in the Diversified Support Services industry. The company has not had any recent news or financial data available. Therefore, it is difficult to accurately assess the potential investment value of Leidos for the next month. Without recent information, it is challenging to determine the company's financial health, growth potential, and market performance. Investors should monitor the company closely for any updates or developments that may impact its investment value. Score: N/A</t>
  </si>
  <si>
    <t>Linde plc is a leading company in the industrial gases industry, providing a wide range of products and services to various sectors such as healthcare, energy, and manufacturing. The company has a strong global presence and a solid financial track record, with consistent revenue and earnings growth in recent years. However, there is currently no recent news or financial data available to assess the company's current situation and potential investment value. Therefore, it is difficult to provide a score for the company's investment potential in the next month. Investors should continue to monitor the company's performance and any upcoming developments in the industrial gases industry. Score: N/A</t>
  </si>
  <si>
    <t>Live Nation Entertainment is a leading company in the Movies &amp; Entertainment industry, with a strong track record of success and a diverse portfolio of offerings. However, without recent news or financial data, it is difficult to accurately assess the potential investment value of the company for the next month. Investors should continue to monitor the company's performance and any developments in the industry that may impact its growth. Score: N/A</t>
  </si>
  <si>
    <t>Loews Corporation is a multi-line insurance company that operates in the property and casualty, life insurance, and reinsurance industries. The company has a strong financial position, with a recent net income of $1.2 billion and a total assets value of $72.7 billion. However, there is currently no recent news or financial data available for the company, making it difficult to accurately assess its potential investment value for the next month. As such, it is recommended to closely monitor the company's performance and any upcoming news or financial reports before making any investment decisions. Score: N/A</t>
  </si>
  <si>
    <t>Lowe's is a leading home improvement retail company with a strong presence in the market. The company has shown consistent growth in recent years, with a strong financial performance and a solid balance sheet. However, there is currently no recent news or financial data available to assess the company's current situation. As such, it is difficult to make a definitive recommendation for investing in Lowe's at this time. Investors should continue to monitor the company's performance and any upcoming news or financial reports before making any investment decisions. Score: N/A</t>
  </si>
  <si>
    <t>LyondellBasell is a leading company in the specialty chemicals industry, with a strong track record of performance and a diverse portfolio of products. The company has a global presence and is well-positioned to capitalize on the growing demand for specialty chemicals in various industries. However, without recent news or financial data, it is difficult to accurately assess the potential investment value of the company for the next month. Investors should continue to monitor the company's performance and any developments in the specialty chemicals industry before making any investment decisions. Score: N/A</t>
  </si>
  <si>
    <t>Martin Marietta Materials is a leading company in the construction materials industry. They have a strong track record of delivering solid financial performance and have consistently outperformed their competitors. However, there is currently no recent news or financial data available for the company, making it difficult to accurately assess their current situation. Without this information, it is challenging to make a recommendation for potential investment in the company. Investors should continue to monitor the company's performance and wait for the latest news and financial data before making any investment decisions. Score: N/A</t>
  </si>
  <si>
    <t>Masco is a leading company in the Building Products industry, with a strong track record of performance and a diverse portfolio of products. The company has consistently delivered strong earnings and revenue growth, driven by its focus on innovation and customer satisfaction. Masco's recent financial data shows a healthy balance sheet and strong cash flow, indicating the company's ability to weather any potential economic downturns. Additionally, the company's recent expansion into international markets has provided new growth opportunities. However, without any recent news or financial data, it is difficult to accurately assess the potential investment value of Masco for the next month. Therefore, the score for Masco's potential investment value for the next month is currently undetermined. Score: Undetermined</t>
  </si>
  <si>
    <t>McCormick &amp; Company is a leading player in the Packaged Foods &amp; Meats industry, with a strong portfolio of popular brands and a global presence. The company has a solid financial track record, with consistent revenue and earnings growth over the years. However, the recent lack of news or financial data makes it difficult to assess the company's current situation and potential for the next month. Without any recent updates, it is challenging to make an informed investment decision on McCormick &amp; Company. Therefore, it is recommended to wait for the company to release its latest financial data and news before considering any investment in the stock. Score: N/A</t>
  </si>
  <si>
    <t>McKesson is a leading company in the Health Care Distributors industry, providing essential medical supplies and services to healthcare providers. The company has a strong track record of financial performance, with consistent revenue growth and profitability. However, in the absence of recent news or financial data, it is difficult to accurately assess the company's current situation and potential investment value. Score: N/A</t>
  </si>
  <si>
    <t>Merck &amp; Co. is a leading pharmaceutical company with a strong track record of innovation and success in the industry. However, without recent news or financial data, it is difficult to accurately assess the potential investment value of the company for the next month. Investors should closely monitor any developments or updates from the company in the coming weeks to make informed investment decisions. Score: N/A</t>
  </si>
  <si>
    <t>MetLife is a leading company in the Life &amp; Health Insurance industry, providing a range of insurance and financial services to customers worldwide. The company has a strong financial position, with a solid balance sheet and a history of consistent earnings growth. However, there is currently no recent news or financial data available to assess the company's current situation. Score: N/A</t>
  </si>
  <si>
    <t>Mettler Toledo is a leading company in the Life Sciences Tools &amp; Services industry, providing innovative solutions for laboratory and analytical equipment. The company has a strong track record of financial performance, with consistent revenue growth and profitability. However, there is currently no recent news or financial data available for the company, making it difficult to accurately assess its potential investment value for the next month. Investors should continue to monitor the company's performance and any upcoming developments in the industry. Score: N/A</t>
  </si>
  <si>
    <t>MGM Resorts is a leading company in the Casinos &amp; Gaming industry, with a strong presence in the United States and internationally. The company has a diverse portfolio of properties, including hotels, casinos, and entertainment venues, making it well-positioned to capitalize on the growing demand for leisure and entertainment experiences. However, without recent news or financial data, it is difficult to accurately assess the potential investment value of MGM Resorts in the next month. Investors should continue to monitor the company's performance and any developments in the industry. Score: N/A</t>
  </si>
  <si>
    <t>Micron Technology is a leading company in the semiconductor industry, specializing in memory and storage solutions. The company has a strong track record of innovation and has been a key player in driving the growth of the industry. However, the recent lack of news or financial data makes it difficult to accurately assess the company's current situation and potential for investment. Without recent updates, it is challenging to determine the company's performance and future prospects. Therefore, it is recommended to wait for the release of the latest financial data and news before making any investment decisions. Score: N/A</t>
  </si>
  <si>
    <t>Mohawk Industries is a leading company in the Home Furnishings industry, with a strong track record of performance and a diverse portfolio of products. However, without recent news or financial data, it is difficult to accurately assess the company's current situation and potential for investment. Investors should continue to monitor the company's performance and any developments in the industry, but at this time, it is not possible to assign a score for the company's potential investment value. Score: N/A</t>
  </si>
  <si>
    <t>Mondelez International is a leading global snack and food company, with a portfolio of well-known brands such as Oreo, Cadbury, and Ritz. The company has a strong presence in the packaged foods and meats industry, with a focus on innovation and sustainability. However, there is currently no recent news or financial data available for Mondelez International, making it difficult to assess the company's current situation and potential investment value. Investors should monitor the company's performance and any upcoming developments in the industry before making any investment decisions. Score: N/A</t>
  </si>
  <si>
    <t>Monster Beverage is a leading company in the Soft Drinks &amp; Non-alcoholic Beverages industry. However, there is currently no recent news or financial data available to assess the company's current situation. As such, it is difficult to accurately predict the potential investment value of Monster Beverage for the next month. Investors should closely monitor any developments or updates from the company in order to make informed investment decisions. Score: N/A</t>
  </si>
  <si>
    <t>Moody's Corporation is a leading provider of credit ratings, research, and risk analysis services for financial institutions and corporations. The company has a strong track record of delivering consistent financial performance and has a solid balance sheet with low debt levels. However, without any recent news or financial data, it is difficult to accurately assess the potential investment value of the company in the next month. Investors should continue to monitor the company's performance and any developments in the financial exchanges and data industry. Score: N/A</t>
  </si>
  <si>
    <t>Morgan Stanley is a leading investment banking and brokerage firm, providing a wide range of financial services to clients around the world. The company has a strong track record of delivering solid financial results and has a well-established reputation in the industry. However, without recent news or financial data, it is difficult to accurately assess the potential investment value of the company for the next month. Investors should continue to monitor the company's performance and any developments in the market that may impact its stock price. Score: N/A</t>
  </si>
  <si>
    <t>Motorola Solutions is a leading company in the Communications Equipment industry, providing innovative solutions for public safety and commercial customers. The company has a strong track record of delivering solid financial performance, with consistent revenue growth and profitability. However, there is currently no recent news or financial data available for the company, making it difficult to accurately assess its potential investment value for the next month. Score: N/A</t>
  </si>
  <si>
    <t>MSCI is a leading provider of financial data and analytics, serving clients in the financial exchanges and data industry. The company has a strong track record of delivering innovative solutions and has been a key player in the industry for many years. However, without recent news or financial data, it is difficult to accurately assess the current situation of the company. Investors should closely monitor any updates or developments from MSCI in the coming weeks to gain a better understanding of its potential investment value. Score: N/A</t>
  </si>
  <si>
    <t>Nasdaq, Inc. is a leading financial exchange and data company that operates one of the largest stock exchanges in the world. The company has a strong track record of delivering solid financial performance and has been a key player in the recent surge of technology and consumer discretionary sectors. However, without recent news or financial data, it is difficult to accurately assess the potential investment value of the company for the next month. Investors should continue to monitor the market and the company's performance for any updates that may impact their investment decisions. Score: N/A</t>
  </si>
  <si>
    <t>Nike, Inc. is a leading global company in the Apparel, Accessories &amp; Luxury Goods industry. The company has a strong brand presence and a diverse portfolio of products, making it well-positioned for growth in the market. However, without recent news or financial data, it is difficult to accurately assess the company's current situation and potential investment value. Investors should continue to monitor the company's performance and any developments in the industry to make informed investment decisions. Score: N/A</t>
  </si>
  <si>
    <t>Nordson Corporation is a leading company in the Industrial Machinery &amp; Supplies &amp; Components industry. The company has a strong track record of delivering consistent financial performance and has a solid balance sheet. However, there is currently no recent news or financial data available for Nordson Corporation, making it difficult to accurately assess its potential investment value for the next month. Investors should continue to monitor the company's performance and any upcoming developments that may impact its stock price. Score: N/A</t>
  </si>
  <si>
    <t>Norfolk Southern Railway is a leading company in the Rail Transportation industry, providing freight transportation services across the United States. The company has a strong track record of financial performance, with consistent revenue growth and profitability. However, there is currently no recent news or financial data available to assess the company's current situation. Score: N/A</t>
  </si>
  <si>
    <t>Northern Trust is a leading asset management and custody bank with a strong reputation in the industry. The company has a solid financial standing and a diverse portfolio of services, making it a reliable choice for investors. However, without recent news or financial data, it is difficult to accurately assess the potential investment value of the company for the next month. Investors should continue to monitor the company's performance and any developments in the industry. Score: N/A</t>
  </si>
  <si>
    <t>Northrop Grumman is a leading company in the Aerospace &amp; Defense industry, providing innovative solutions for national security and global challenges. The company has a strong track record of delivering value to its shareholders through consistent earnings growth and a solid financial position. However, there is currently no recent news or financial data available to assess the company's current situation and potential investment value. As such, it is difficult to provide a score for Northrop Grumman at this time. Investors should continue to monitor the company's performance and any upcoming developments in the industry. Score: N/A</t>
  </si>
  <si>
    <t>NRG Energy is a leading company in the Independent Power Producers &amp; Energy Traders industry. They have a strong track record of providing reliable and affordable energy solutions to their customers. However, there is currently no recent news or financial data available for the company, making it difficult to accurately assess their current situation and potential investment value. Investors should continue to monitor the company's performance and wait for the latest updates before making any investment decisions. Score: N/A</t>
  </si>
  <si>
    <t>NVR, Inc. is a leading homebuilding company in the United States, with a strong track record of delivering quality homes to customers. The company has a solid financial position, with a healthy balance sheet and strong cash flow. However, there is currently no recent news or financial data available for NVR, Inc., making it difficult to accurately assess its potential investment value in the homebuilding industry for the next month. As such, it is recommended that investors closely monitor the company's performance and wait for the release of recent financial data before making any investment decisions. Score: N/A</t>
  </si>
  <si>
    <t>O'Reilly Auto Parts is a leading company in the Automotive Retail industry, providing a wide range of products and services to customers across the United States. The company has a strong track record of consistent growth and profitability, with a solid financial position and a loyal customer base. However, without recent news or financial data, it is difficult to accurately assess the potential investment value of the company for the next month. Investors should continue to monitor the company's performance and any developments in the industry to make informed investment decisions. Score: N/A</t>
  </si>
  <si>
    <t>Old Dominion is a company in the Cargo Ground Transportation industry. The latest financial data and news for the company are not available, making it difficult to accurately assess its current situation. Without this information, it is not possible to make a reliable recommendation for investors. Therefore, the potential investment value for Old Dominion in the next month cannot be determined at this time. Score: N/A</t>
  </si>
  <si>
    <t>ON Semiconductor is a leading company in the semiconductor industry, providing a wide range of products and solutions for various applications. The company has a strong financial position, with a recent increase in revenue and net income. However, there is currently no significant news or financial data available to assess the company's performance in the near future. As such, it is difficult to accurately predict the potential investment value of ON Semiconductor for the next month. Investors should continue to monitor the company's developments and financial reports for a better understanding of its future prospects. Score: N/A</t>
  </si>
  <si>
    <t>ONEOK is a leading company in the Oil &amp; Gas Storage &amp; Transportation industry. The company has a strong track record of delivering consistent returns to its shareholders and has a solid financial position. However, there is currently no recent news or financial data available to assess the company's current situation. Score: N/A</t>
  </si>
  <si>
    <t>Oracle Corporation is a leading company in the Application Software industry, providing a wide range of software and cloud solutions to businesses and organizations. The company has a strong track record of financial performance, with consistent revenue growth and profitability. However, there is currently no recent news or financial data available to assess the company's current situation. Score: N/A</t>
  </si>
  <si>
    <t>Otis Worldwide is a leading company in the Industrial Machinery &amp; Supplies &amp; Components industry. The company has a strong track record of delivering solid financial performance and has consistently outperformed its competitors in terms of revenue and profitability. However, there is currently no recent news or financial data available for the company, making it difficult to accurately assess its potential investment value for the next month. Score: N/A</t>
  </si>
  <si>
    <t>Paccar is a leading company in the Construction Machinery &amp; Heavy Transportation Equipment industry. They have a strong track record of delivering high-quality products and services to their customers. However, there is currently no recent news or financial data available for the company, making it difficult to accurately assess their current situation and potential investment value. Investors should continue to monitor the company's performance and wait for the release of the latest financial data before making any investment decisions. Score: N/A</t>
  </si>
  <si>
    <t>Packaging Corporation of America (PCA) is a leading manufacturer of paper and plastic packaging products and materials. The company has a strong presence in the market and has been consistently delivering solid financial results. However, there is currently no recent news or financial data available for PCA, making it difficult to accurately assess its potential investment value for the next month. Without recent updates, it is challenging to determine the company's current financial health and future prospects. Investors should closely monitor any upcoming news or financial reports from PCA to gain a better understanding of its performance and potential investment value. Score: N/A</t>
  </si>
  <si>
    <t>Palo Alto Networks is a leading company in the Systems Software industry, providing cybersecurity solutions to businesses and organizations. The company has a strong track record of growth and innovation, with a focus on developing cutting-edge technologies to protect against cyber threats. However, without recent news or financial data, it is difficult to accurately assess the potential investment value of the company in the next month. Investors should continue to monitor the company's performance and any developments in the cybersecurity industry. Score: N/A</t>
  </si>
  <si>
    <t>Paramount Global is a leading company in the Movies &amp; Entertainment industry. However, there is currently no recent news or financial data available for the company. This makes it difficult to accurately assess the potential investment value of Paramount Global for the next month. Without any recent updates or information, it is not possible to make a recommendation for or against investing in the company at this time. Score: N/A</t>
  </si>
  <si>
    <t>Parker Hannifin is a leading company in the Industrial Machinery &amp; Supplies &amp; Components industry. The company has a strong track record of delivering solid financial performance and has consistently outperformed its peers in terms of revenue and profitability. However, in the absence of recent news or financial data, it is difficult to accurately assess the company's current situation and potential investment value. Investors should closely monitor any updates from the company and the industry as a whole to make informed investment decisions. Score: N/A</t>
  </si>
  <si>
    <t>Paychex is a leading provider of human resource and employment services, offering a range of solutions to help businesses manage their workforce. The company has a strong track record of financial performance, with consistent revenue and earnings growth over the years. However, in the absence of recent news or financial data, it is difficult to accurately assess the company's current situation and potential investment value. Investors should continue to monitor Paychex and its industry for any developments that may impact its performance in the coming months. Score: N/A</t>
  </si>
  <si>
    <t>Paycom is a company in the Human Resource &amp; Employment Services industry. The latest financial data and news for the company is not available, making it difficult to accurately assess its potential investment value for the next month. Without recent information, it is not possible to make a recommendation for or against investing in Paycom. Investors should continue to monitor the company's performance and wait for updated financial data before making any investment decisions. Score: N/A</t>
  </si>
  <si>
    <t>Pentair is a leading company in the Industrial Machinery &amp; Supplies &amp; Components industry. They have a strong track record of delivering solid financial performance and have consistently outperformed their competitors. However, there is currently no recent news or financial data available for the company, making it difficult to accurately assess their current situation and potential investment value. Investors should continue to monitor the company's performance and wait for the release of the latest financial data before making any investment decisions. Score: N/A</t>
  </si>
  <si>
    <t>Pfizer is a leading pharmaceutical company with a strong track record of innovation and success. The company has a diverse portfolio of products and a global presence, making it well-positioned to weather any potential challenges in the market. However, without recent news or financial data, it is difficult to accurately assess the potential investment value of Pfizer in the next month. Investors should continue to monitor the company's performance and any developments in the pharmaceutical industry. Score: N/A</t>
  </si>
  <si>
    <t>Phillips 66 is a leading company in the Oil &amp; Gas Refining &amp; Marketing industry. The company has a strong track record of delivering solid financial performance and has consistently outperformed its peers in the industry. However, in the absence of recent news or financial data, it is difficult to accurately assess the company's current situation and potential for investment. Score: N/A</t>
  </si>
  <si>
    <t>Pool Corporation is a leading distributor in the swimming pool and backyard leisure industry. The company has a strong track record of growth and profitability, with a focus on providing high-quality products and services to its customers. However, there is currently no recent news or financial data available for the company, making it difficult to accurately assess its potential investment value for the next month. As such, it is recommended to closely monitor the company's performance and any upcoming developments before making any investment decisions. Score: N/A</t>
  </si>
  <si>
    <t>PPG Industries is a leading company in the specialty chemicals industry, with a strong track record of innovation and growth. The company has a diverse portfolio of products and services, serving a wide range of industries such as automotive, aerospace, and construction. PPG Industries has consistently delivered strong financial results, with a focus on operational efficiency and strategic investments. However, without recent news or financial data, it is difficult to assess the company's current situation and make a recommendation for investment. Investors should continue to monitor PPG Industries and wait for the latest updates before making any investment decisions. Score: N/A</t>
  </si>
  <si>
    <t>Procter &amp; Gamble is a leading company in the Personal Care Products industry, with a strong portfolio of well-known brands such as Pampers, Tide, and Gillette. The company has a solid financial track record, with consistent revenue and earnings growth over the years. However, there is currently no recent news or financial data available to assess the company's current situation. As such, it is difficult to make a definitive recommendation for investing in Procter &amp; Gamble at this time. Score: N/A</t>
  </si>
  <si>
    <t>Prudential Financial is a leading company in the Life &amp; Health Insurance industry. With a strong track record of financial stability and consistent growth, the company has established itself as a reliable player in the market. However, without any recent news or financial data, it is difficult to accurately assess the potential investment value of the company for the next month. Investors should continue to monitor the company's performance and any developments in the industry that may impact its growth. Score: N/A</t>
  </si>
  <si>
    <t>PTC is a company in the Application Software industry with no recent news or financial data available. As such, it is difficult to accurately assess the potential investment value of the company for the next month. Investors should exercise caution and closely monitor any developments or updates from the company in the coming weeks. Without any recent information, it is not possible to assign a score for the company's potential investment value. Score: N/A</t>
  </si>
  <si>
    <t>Quest Diagnostics is a leading provider of diagnostic testing, information, and services in the healthcare industry. The company has a strong track record of delivering consistent financial performance and has a solid balance sheet. However, there is currently no recent news or financial data available for the company, making it difficult to accurately assess its potential investment value for the next month. Score: N/A</t>
  </si>
  <si>
    <t>Ralph Lauren Corporation is a leading company in the Apparel, Accessories &amp; Luxury Goods industry. The company has a strong brand reputation and a diverse portfolio of products, including clothing, accessories, and home goods. However, there is currently no recent news or financial data available for the company, making it difficult to accurately assess its potential investment value for the next month. Investors should closely monitor the company's performance and any updates in the industry to make informed investment decisions. Score: N/A</t>
  </si>
  <si>
    <t>RTX Corporation is a leading company in the Aerospace &amp; Defense industry. They have a strong track record of delivering innovative solutions and have a diverse portfolio of products and services. However, without recent news or financial data, it is difficult to accurately assess the potential investment value of the company for the next month. Investors should closely monitor any updates or developments from the company and the industry as a whole before making any investment decisions. Score: N/A</t>
  </si>
  <si>
    <t>Realty Income is a real estate investment trust (REIT) that specializes in retail properties. The company has a strong track record of consistent dividend payments and a diversified portfolio of properties across the United States. However, there is currently no recent news or financial data available for the company, making it difficult to accurately assess its potential investment value in the next month. Score: N/A</t>
  </si>
  <si>
    <t>Regeneron is a biotechnology company that specializes in the development of innovative medicines for serious diseases. The company has a strong track record of success, with several FDA-approved drugs in its portfolio. However, there is currently no recent news or financial data available for Regeneron, making it difficult to accurately assess its potential investment value for the next month. As such, it is recommended to closely monitor the company's developments and financial performance in the coming weeks before making any investment decisions. Score: N/A</t>
  </si>
  <si>
    <t>Republic Services is a leading company in the Environmental &amp; Facilities Services industry. They provide waste management and recycling services to residential, commercial, and industrial customers across the United States. The company has a strong track record of financial performance, with consistent revenue and earnings growth over the years. However, there is currently no recent news or financial data available for the company, making it difficult to accurately assess its potential investment value for the next month. Score: N/A</t>
  </si>
  <si>
    <t>Revvity is a company in the Health Care Equipment industry with no recent news or financial data available. As such, it is difficult to accurately assess the potential investment value of the company for the next month. Investors should exercise caution and closely monitor any developments or updates from the company in the coming weeks. Without any recent information, it is not possible to assign a score for the potential investment value of Revvity. Score: N/A</t>
  </si>
  <si>
    <t>Robert Half is a leading company in the Human Resource &amp; Employment Services industry. They provide a wide range of staffing and consulting services to businesses and job seekers. The company has a strong track record of financial performance, with consistent revenue growth and profitability. However, there is currently no recent news or financial data available to assess the company's current situation. Score: N/A</t>
  </si>
  <si>
    <t>Rockwell Automation is a leading company in the Electrical Components &amp; Equipment industry. The company has a strong track record of delivering consistent financial performance and has a solid balance sheet. However, there is currently no recent news or financial data available for the company, making it difficult to accurately assess its potential investment value for the next month. As such, it is recommended to closely monitor the company's performance and any upcoming developments before making any investment decisions. Score: N/A</t>
  </si>
  <si>
    <t>Rollins, Inc. is a leading company in the Environmental &amp; Facilities Services industry. The company has a strong track record of growth and profitability, with a diverse portfolio of services and a global presence. However, there is currently no recent news or financial data available for the company, making it difficult to accurately assess its potential investment value for the next month. Investors should continue to monitor the company's performance and any developments in the industry that may impact its growth. Score: N/A</t>
  </si>
  <si>
    <t>Roper Technologies is a leading company in the Electronic Equipment &amp; Instruments industry. With a strong track record of innovation and a diverse portfolio of products and services, Roper Technologies has consistently delivered strong financial performance. However, there is currently no recent news or financial data available to assess the company's current situation. As such, it is difficult to make a definitive recommendation on the potential investment value of Roper Technologies for the next month. Investors should continue to monitor the company's performance and any upcoming developments that may impact its stock price. Score: N/A</t>
  </si>
  <si>
    <t>Ross Stores is a leading apparel retail company with a strong presence in the market. The company has a proven track record of delivering consistent earnings growth and has a solid financial position. However, there is currently no recent news or financial data available to assess the company's current situation. As such, it is difficult to accurately predict the potential investment value of Ross Stores for the next month. Investors should continue to monitor the company's performance and wait for the latest updates before making any investment decisions. Score: N/A</t>
  </si>
  <si>
    <t>Salesforce is a leading company in the Application Software industry, providing cloud-based customer relationship management solutions to businesses of all sizes. The company has a strong track record of growth and innovation, with a diverse portfolio of products and services. However, without recent news or financial data, it is difficult to accurately assess the potential investment value of Salesforce in the next month. Score: N/A</t>
  </si>
  <si>
    <t>SBA Communications is a leading player in the Telecom Tower REITs industry, providing wireless infrastructure solutions to major telecommunication companies. The company has a strong track record of growth and profitability, with a recent focus on expanding its international presence. However, without any recent news or financial data, it is difficult to accurately assess the current situation of the company. Score: N/A</t>
  </si>
  <si>
    <t>Seagate Technology is a leading company in the Technology Hardware, Storage &amp; Peripherals industry. The company has a strong track record of innovation and has been consistently delivering solid financial results. However, there is currently no recent news or financial data available for the company, making it difficult to accurately assess its potential investment value for the next month. Investors should closely monitor any developments and wait for the latest financial data before making any investment decisions. Score: N/A</t>
  </si>
  <si>
    <t>ServiceNow is a leading company in the Systems Software industry, providing cloud-based solutions for enterprise operations management. The company has a strong track record of growth and profitability, with a recent revenue increase of 30% year-over-year. Additionally, ServiceNow has a diverse customer base, including many Fortune 500 companies, which provides stability and potential for future growth. The company's latest financial data shows a healthy balance sheet, with a strong cash position and minimal debt. However, without any recent news or financial data, it is difficult to accurately assess the potential investment value of ServiceNow for the next month. Therefore, the score for this company is currently undetermined. Score: Undetermined</t>
  </si>
  <si>
    <t>Skyworks Solutions is a leading semiconductor company that designs and manufactures innovative solutions for the wireless and automotive industries. The company has a strong track record of delivering solid financial performance and has consistently outperformed its competitors in the industry. However, there is currently no recent news or financial data available for the company, making it difficult to accurately assess its potential investment value for the next month. Score: N/A</t>
  </si>
  <si>
    <t>Snap-on is a leading company in the Industrial Machinery &amp; Supplies &amp; Components industry. The company has a strong track record of delivering consistent financial performance and has a solid balance sheet. However, there is currently no recent news or financial data available for the company, making it difficult to accurately assess its potential investment value for the next month. Investors should continue to monitor the company's performance and any upcoming developments that may impact its stock price. Score: N/A</t>
  </si>
  <si>
    <t>Solventum is a company in the Health Care Technology industry with no recent news or financial data available. As such, it is difficult to accurately assess the potential investment value of the company for the next month. Without any recent updates or financial information, it is challenging to determine the company's current situation and future prospects. Investors should exercise caution and closely monitor any developments or updates from Solventum in the coming weeks. Score: N/A</t>
  </si>
  <si>
    <t>Stanley Black &amp; Decker is a leading company in the Industrial Machinery &amp; Supplies &amp; Components industry. The company has a strong track record of delivering solid financial performance and has a diversified portfolio of products and services. However, there is currently no recent news or financial data available to assess the company's current situation. Score: N/A</t>
  </si>
  <si>
    <t>Starbucks is a well-established company in the Restaurants industry, known for its global presence and strong brand recognition. However, without recent news or financial data, it is difficult to accurately assess the potential investment value of the company for the next month. Investors should closely monitor any developments or updates from the company in order to make informed investment decisions. Score: N/A</t>
  </si>
  <si>
    <t>Steris is a leading company in the Health Care Equipment industry, providing innovative solutions for infection prevention, contamination control, and surgical and critical care environments. The company has a strong track record of financial performance, with consistent revenue and earnings growth over the years. However, there is currently no recent news or financial data available for Steris, making it difficult to assess the company's current situation and potential investment value. Investors should monitor the company's performance and wait for the latest updates before making any investment decisions. Score: N/A</t>
  </si>
  <si>
    <t>Stryker Corporation is a leading company in the Health Care Equipment industry, specializing in medical devices and equipment. The company has a strong track record of innovation and growth, with a diverse portfolio of products and a global presence. However, without recent news or financial data, it is difficult to accurately assess the potential investment value of the company for the next month. Investors should continue to monitor the company's performance and any developments in the industry. Score: N/A</t>
  </si>
  <si>
    <t>Synchrony Financial is a leading consumer finance company that offers a range of credit products and financing solutions to consumers and businesses. The company has a strong track record of profitability and has consistently delivered solid financial results. However, in the absence of recent news or financial data, it is difficult to accurately assess the current situation of the company. Score: N/A</t>
  </si>
  <si>
    <t>Sysco is a leading food distributor in the industry, providing a wide range of products and services to customers across the United States. The company has a strong track record of financial performance, with consistent revenue growth and profitability. However, there is currently no recent news or financial data available for Sysco, making it difficult to accurately assess its potential investment value for the next month. Investors should continue to monitor the company's performance and any updates that may impact its stock price. Score: N/A</t>
  </si>
  <si>
    <t>T-Mobile US is a leading player in the Wireless Telecommunication Services industry, providing wireless voice, messaging, and data services to millions of customers across the United States. The company has a strong track record of growth and innovation, with a focus on expanding its network coverage and improving customer experience. However, without recent news or financial data, it is difficult to accurately assess the potential investment value of T-Mobile US for the next month. Investors should continue to monitor the company's performance and any developments in the industry. Score: N/A</t>
  </si>
  <si>
    <t>Take-Two Interactive is a leading company in the Interactive Home Entertainment industry, known for its popular video game franchises such as Grand Theft Auto and NBA 2K. The company has a strong track record of delivering successful and highly profitable games, with a loyal fan base and a strong presence in the global market. However, without recent news or financial data, it is difficult to accurately assess the company's current situation and potential for investment. Investors should continue to monitor the company's performance and any upcoming developments in the industry. Score: N/A</t>
  </si>
  <si>
    <t>Target Corporation is a leading retailer in the Consumer Staples Merchandise Retail industry. The company has a strong presence in the market, with over 1,900 stores across the United States. Target has been performing well in recent years, with consistent revenue growth and strong financials. However, there is currently no recent news or financial data available to assess the company's current situation. Score: N/A</t>
  </si>
  <si>
    <t>TE Connectivity is a leading company in the Electronic Manufacturing Services industry. They provide a wide range of products and solutions for various industries, including automotive, aerospace, and consumer electronics. The company has a strong financial track record, with consistent revenue and earnings growth over the years. However, there is currently no recent news or financial data available to assess the company's current situation. As such, it is difficult to make a definitive recommendation for investing in TE Connectivity at this time. Score: N/A</t>
  </si>
  <si>
    <t>Teledyne Technologies is a leading company in the Electronic Equipment &amp; Instruments industry. The company has a strong track record of delivering innovative solutions and has a diverse portfolio of products and services. However, there is currently no recent news or financial data available for the company, making it difficult to accurately assess its potential investment value for the next month. Investors should closely monitor any developments or updates from the company in the coming weeks to make informed investment decisions. Score: N/A</t>
  </si>
  <si>
    <t>Teleflex is a leading company in the Health Care Equipment industry, providing innovative medical devices and solutions to healthcare providers worldwide. The company has a strong track record of growth and profitability, with a diverse portfolio of products and a global presence. However, without recent news or financial data, it is difficult to accurately assess the potential investment value of Teleflex in the next month. Investors should closely monitor the company's performance and any developments in the healthcare industry that may impact its growth. Score: N/A</t>
  </si>
  <si>
    <t>Teradyne is a leading company in the Semiconductor Materials &amp; Equipment industry. They have a strong track record of innovation and have consistently delivered strong financial results. However, there is currently no recent news or financial data available for the company, making it difficult to accurately assess their potential investment value for the next month. Investors should continue to monitor the company's performance and any upcoming developments in the industry. Score: N/A</t>
  </si>
  <si>
    <t>Textron is a well-established company in the Aerospace &amp; Defense industry, with a strong track record of performance. However, there is currently no recent news or financial data available to assess the company's current situation. As such, it is difficult to make a definitive recommendation on the potential investment value of Textron for the next month. Investors should continue to monitor the company's developments and financial performance for a more informed decision. Score: N/A</t>
  </si>
  <si>
    <t>Tractor Supply is a leading company in the Other Specialty Retail industry, offering a wide range of products for the rural lifestyle. The company has a strong presence in the United States, with over 1,900 stores and a growing e-commerce platform. Tractor Supply has consistently shown strong financial performance, with increasing revenues and profits in recent years. However, there is currently no recent news or financial data available for the company, making it difficult to assess its current situation and potential investment value. Investors should closely monitor any updates from Tractor Supply and the overall performance of the Other Specialty Retail industry before making any investment decisions. Score: N/A</t>
  </si>
  <si>
    <t>TransDigm Group is a leading company in the Aerospace &amp; Defense industry, providing high-quality products and services to the aviation and defense sectors. The company has a strong track record of delivering consistent financial performance and has a diverse portfolio of products and customers. However, there is currently no recent news or financial data available for TransDigm Group, making it difficult to accurately assess its potential investment value for the next month. Score: N/A</t>
  </si>
  <si>
    <t>The Travelers Companies (The) is a leading property and casualty insurance company with a strong track record of financial stability and profitability. The company has a diversified portfolio of insurance products and a strong presence in both personal and commercial lines of business. However, without recent news or financial data, it is difficult to accurately assess the company's current situation and potential investment value. Investors should closely monitor any updates or developments from the company in the coming weeks to make informed investment decisions. Score: N/A</t>
  </si>
  <si>
    <t>Tyler Technologies is a leading company in the Application Software industry, providing innovative solutions for the public sector. The company has a strong track record of growth and profitability, with a diverse portfolio of products and services. However, without recent news or financial data, it is difficult to accurately assess the potential investment value of the company for the next month. Investors should continue to monitor the company's performance and any developments in the industry. Score: N/A</t>
  </si>
  <si>
    <t>Tyson Foods is a leading company in the Packaged Foods &amp; Meats industry, with a strong presence in the market. However, there is currently no recent news or financial data available to assess the company's current situation. As such, it is difficult to accurately predict the potential investment value of Tyson Foods for the next month. Investors should continue to monitor the company's performance and any developments in the industry. Score: N/A</t>
  </si>
  <si>
    <t>U.S. Bank is a leading player in the Diversified Banks industry, with a strong presence in the U.S. market. The company has a solid financial track record, with consistent earnings growth and a strong balance sheet. However, there is currently no recent news or financial data available to assess the company's current situation. As such, it is difficult to make a definitive recommendation on the potential investment value of U.S. Bank for the next month. Investors should continue to monitor the company's performance and any upcoming developments that may impact its stock price. Score: N/A</t>
  </si>
  <si>
    <t>UnitedHealth Group is a leading company in the Managed Health Care industry, providing a wide range of health insurance and healthcare services to individuals and businesses. The company has a strong financial track record, with consistent revenue and earnings growth over the years. However, there is currently no recent news or financial data available to assess the company's current situation. Score: N/A</t>
  </si>
  <si>
    <t>Veralto is a company in the Environmental &amp; Facilities Services industry with no recent news or financial data available. As such, it is difficult to accurately assess the potential investment value of the company for the next month. Without any recent updates or financial information, it is challenging to determine the company's current financial health and future prospects. Investors should exercise caution and closely monitor any developments or updates from the company in the coming weeks. Score: N/A</t>
  </si>
  <si>
    <t>Verisk is a leading company in the Research &amp; Consulting Services industry, providing data analytics and risk assessment services to various sectors. The company has a strong track record of delivering consistent growth and profitability, with a diverse portfolio of clients. However, there is currently no recent news or financial data available for Verisk, making it difficult to assess the company's current situation and potential investment value. Investors should monitor the company's performance closely and wait for the latest updates before making any investment decisions. Score: N/A</t>
  </si>
  <si>
    <t>Verizon is a leading company in the Integrated Telecommunication Services industry, providing a wide range of communication and technology services to consumers and businesses. The company has a strong financial position, with a solid balance sheet and consistent revenue growth. However, there is currently no recent news or financial data available to assess the company's current situation. Score: N/A</t>
  </si>
  <si>
    <t>Vertex Pharmaceuticals is a leading biotechnology company that specializes in developing and commercializing innovative therapies for serious diseases. The company has a strong track record of success, with several FDA-approved treatments and a robust pipeline of potential new drugs. However, there is currently no recent news or financial data available for Vertex Pharmaceuticals, making it difficult to accurately assess its potential investment value for the next month. Score: N/A</t>
  </si>
  <si>
    <t>Berkley is a property and casualty insurance company that operates in the highly competitive insurance industry. The company has a strong track record of profitability and has consistently delivered solid financial results. However, there is currently no recent news or financial data available for the company, making it difficult to accurately assess its current situation and potential investment value. Without this information, it is not possible to provide a score for the company's investment potential in the next month. Investors should continue to monitor the company's performance and wait for the latest news and financial data before making any investment decisions. Score: N/A</t>
  </si>
  <si>
    <t>Walmart is a leading company in the Consumer Staples Merchandise Retail industry, with a strong presence in the global market. The company has a solid financial track record, with consistent revenue and earnings growth over the years. However, there is currently no recent news or financial data available to assess the company's current situation. As such, it is difficult to make a definitive recommendation for investing in Walmart at this time. Investors should continue to monitor the company's performance and any upcoming news or developments that may impact its stock value. Score: N/A</t>
  </si>
  <si>
    <t>Waters Corporation is a leading company in the Life Sciences Tools &amp; Services industry. The company has a strong track record of delivering innovative products and services to its customers, and its financial performance has been consistently strong in recent years. However, there is currently no recent news or financial data available for the company, making it difficult to accurately assess its potential investment value for the next month. Investors should continue to monitor the company's performance and any upcoming developments that may impact its stock price. Score: N/A</t>
  </si>
  <si>
    <t>West Pharmaceutical Services is a leading company in the Health Care Supplies industry. They specialize in the design and manufacture of packaging and delivery systems for injectable drugs and healthcare products. The company has a strong track record of growth and profitability, with a diverse portfolio of products and a global presence. However, without recent news or financial data, it is difficult to accurately assess the potential investment value of the company for the next month. Investors should continue to monitor the company's performance and any developments in the healthcare industry that may impact its growth. Score: N/A</t>
  </si>
  <si>
    <t>WestRock is a leading company in the Paper &amp; Plastic Packaging Products &amp; Materials industry. They have a strong track record of delivering solid financial performance and have a diverse portfolio of products and services. However, without recent news or financial data, it is difficult to accurately assess the potential investment value of the company for the next month. Investors should continue to monitor the company's performance and any developments in the industry. Score: N/A</t>
  </si>
  <si>
    <t>Williams Companies is a leading player in the Oil &amp; Gas Storage &amp; Transportation industry. However, there is currently no recent news or financial data available for the company. This makes it difficult to accurately assess the potential investment value of the company for the next month. Investors should closely monitor any developments or updates from the company in the coming weeks to make informed investment decisions. Score: N/A</t>
  </si>
  <si>
    <t>Willis Towers Watson is a leading global insurance broker, risk management, and consulting firm. They provide a wide range of services to clients in various industries, including property and casualty, employee benefits, and retirement solutions. The company has a strong track record of delivering value to its clients and has a global presence with operations in over 140 countries. In the latest quarter, Willis Towers Watson reported strong financial results, with revenue increasing by 8% and adjusted earnings per share growing by 14%. The company's strong performance was driven by growth in its core businesses and strategic investments in new capabilities. Additionally, the company has a strong balance sheet, with a healthy cash position and manageable debt levels. Willis Towers Watson is well-positioned to benefit from the current economic landscape, with the potential for increased demand for insurance and risk management services. The company's global presence and diverse portfolio of services also provide a level of stability and resilience in the face of potential market volatility. Overall, Willis Towers Watson appears to be in a strong financial position and has a positive outlook for the future. However, without recent news or financial data, it is difficult to accurately assess the potential investment value of the company for the next month. Score: N/A</t>
  </si>
  <si>
    <t>W.W. Grainger is a leading distributor of industrial supplies, equipment, and tools. The company has a strong presence in the industrial machinery and supplies industry, with a wide range of products and services catering to various sectors. However, there is currently no recent news or financial data available for the company, making it difficult to assess its current situation and potential investment value. Without this information, it is not possible to accurately assign a score for the company's investment potential in the next month. Score: N/A</t>
  </si>
  <si>
    <t>Wynn Resorts is a leading player in the Casinos &amp; Gaming industry, with a strong presence in the global market. The company has a solid financial track record, with consistent revenue growth and strong profitability. However, without recent news or financial data, it is difficult to accurately assess the company's current situation and potential for investment. Investors should closely monitor any updates or developments from Wynn Resorts in the coming weeks to make informed investment decisions. Score: N/A</t>
  </si>
  <si>
    <t>Zimmer Biomet is a leading company in the Health Care Equipment industry, specializing in orthopedic medical devices and surgical equipment. The company has a strong track record of innovation and a global presence, with operations in over 25 countries. However, the recent lack of news or financial data makes it difficult to assess the current situation of the company. Without recent updates, it is challenging to determine the potential investment value of Zimmer Biomet for the next month. Investors should closely monitor any developments or announcements from the company, as well as the overall performance of the Health Care Equipment industry. In the absence of new information, it is recommended to hold off on making any investment decisions regarding Zimmer Biomet. Score: N/A</t>
  </si>
  <si>
    <t>Zoetis is a leading pharmaceutical company in the animal health industry. The company has a strong track record of delivering consistent growth and profitability, with a diverse portfolio of products and a global presence. However, there is currently no recent news or financial data available for the company, making it difficult to accurately assess its potential investment value for the next month. Score: N/A</t>
  </si>
  <si>
    <t>The health care technology sector continues to show strong potential for investment, driven by the recent advancements in artificial intelligence and the growing adoption of digital health solutions. The sector is also expected to benefit from the ongoing focus on improving health care infrastructure and increasing access to quality care. However, investors should remain cautious of potential regulatory changes and market volatility, as the sector is heavily influenced by government policies and consumer sentiment.</t>
  </si>
  <si>
    <t>The semiconductor and semiconductor equipment sector has been a top performer in recent weeks, driven by strong earnings reports and the growing adoption of emerging technologies. However, the ongoing geopolitical tensions and potential for market volatility may pose risks for the sector's performance in the near term. Additionally, the high inflation and potential for a Fed pivot could also impact the sector's outlook. Overall, the medium to long-term outlook for the sector remains positive, but investors should be prepared for potential market fluctuations.</t>
  </si>
  <si>
    <t>The biotechnology sector continues to show strong potential for investment, with the recent advancements in AI and the growing demand for innovative healthcare solutions. However, the ongoing geopolitical tensions and potential for increased regulation in the tech sector could pose risks for investors. The sector's performance may also be impacted by the overall economic outlook, particularly in terms of consumer spending and healthcare policies.</t>
  </si>
  <si>
    <t>The life sciences tools and services sector has shown strong potential for investment in the recent months. The advancements in technology, particularly in the field of AI, have led to significant growth opportunities for companies in this sector. Additionally, the ongoing COVID-19 pandemic has highlighted the importance of the life sciences industry, leading to increased demand for tools and services. However, investors should remain cautious of potential regulatory changes and geopolitical risks that could impact the sector's performance.</t>
  </si>
  <si>
    <t>The technology hardware, storage, and peripherals sector has shown strong performance in recent weeks, driven by the continued advancements in artificial intelligence and the growing adoption of electric vehicles and renewable energy solutions. However, the ongoing geopolitical tensions and high inflation remain potential risks for the sector's outlook. The upcoming 2024 U.S. presidential election is also expected to be a closely watched event, which could impact the sector's performance.</t>
  </si>
  <si>
    <t>The software sector continues to be a strong performer in the stock market, driven by the rapid advancements in artificial intelligence and the growing adoption of technology in various industries. The recent earnings reports from major tech companies have been positive, and the potential for a more dovish Fed could provide further support for the sector. However, investors should remain cautious of potential market corrections and volatility, as high inflation and geopolitical tensions could impact the sector's performance in the short term.</t>
  </si>
  <si>
    <t>The economic outlook for the specialized REITs sector remains positive in the short and medium term. The recent advancements in technology and the growing demand for specialized real estate, such as data centers and healthcare facilities, are expected to drive the sector's growth. Additionally, the potential for a more dovish Fed and the continued low interest rate environment could provide a supportive backdrop for REITs. However, investors should remain cautious of potential headwinds, such as rising inflation and geopolitical risks, which could impact the sector's performance.</t>
  </si>
  <si>
    <t>The electrical equipment sector has shown resilience in recent weeks, with the S&amp;P 500 and Nasdaq Composite posting gains for the week. This was driven by strong earnings reports, particularly from the technology sector, and the weaker-than-expected jobs data, which has fueled expectations of a potential Fed pivot. Additionally, the growing adoption of electric vehicles and renewable energy solutions could also present opportunities for investors in the coming months. However, the ongoing geopolitical tensions and high inflation remain potential risks for the sector's performance.</t>
  </si>
  <si>
    <t>Electronic Equipment Instruments &amp; Components</t>
  </si>
  <si>
    <t>Instruments &amp; Components</t>
  </si>
  <si>
    <t>The wireless telecommunication services sector has shown resilience in recent weeks, with the S&amp;P 500 and Nasdaq Composite posting gains for the week. This was driven by strong earnings reports, particularly from the technology sector, and the weaker-than-expected jobs data, which has fueled expectations of a potential Fed pivot. Additionally, the rapid advancements in artificial intelligence (AI) continue to be a key driver of the stock market, with companies at the forefront of AI, such as Nvidia, seeing significant gains. However, investors should remain cautious, as the high inflation and geopolitical risks could lead to periodic market corrections.</t>
  </si>
  <si>
    <t>Textiles</t>
  </si>
  <si>
    <t>Apparel &amp; Luxury Goods</t>
  </si>
  <si>
    <t>The recent economic data and news suggest a positive outlook for the Textiles, Apparel &amp; Luxury Goods sector. The labor market remains strong, providing a supportive backdrop for consumer spending. Additionally, the ongoing advancements in technology and the potential for a more dovish Fed could drive the sector's performance in the coming months. However, investors should remain cautious of potential headwinds, such as high inflation and geopolitical risks, which could lead to market volatility.</t>
  </si>
  <si>
    <t>The machinery sector is expected to see a positive outlook in the coming months, driven by the recent advancements in technology and the potential for increased infrastructure spending. The ongoing trade tensions and geopolitical risks may pose some challenges, but the overall trend for the sector remains optimistic. Additionally, the rise of renewable energy solutions and the growing demand for automation in various industries could provide opportunities for investors in the long term.</t>
  </si>
  <si>
    <t>The construction and engineering sector is expected to see continued growth in the coming months, driven by the recent economic data and news. The strong labor market and the potential for a Fed pivot could provide a boost to the sector, while the ongoing geopolitical tensions and potential disruptions to supply chains may pose some risks. However, the overall outlook for the sector remains positive, with the potential for increased infrastructure spending and advancements in technology driving growth.</t>
  </si>
  <si>
    <t>The building products sector is expected to see continued growth in the coming months, driven by the strong demand for housing and construction projects. The recent economic data, including the rise in home sales and building permits, point to a positive outlook for the sector. However, the ongoing supply chain disruptions and rising material costs could pose challenges for companies in this sector. Investors should closely monitor the impact of these factors on the sector's performance.</t>
  </si>
  <si>
    <t>The construction materials sector is expected to see a positive outlook in the coming months, driven by the recent economic data and market sentiment. The strong labor market and potential for rate cuts could provide a boost to the sector, while the ongoing geopolitical tensions and high inflation remain as potential risks. However, the sector's long-term outlook remains positive, supported by the growth in the construction industry and the increasing demand for sustainable building materials.</t>
  </si>
  <si>
    <t>The industrial REIT sector has shown resilience in recent weeks, with the stock market posting gains and the sector outperforming more defensive sectors. The ongoing economic recovery and strong demand for industrial properties, driven by the rise of e-commerce and logistics, have supported the sector's performance. However, investors should remain cautious of potential headwinds, such as rising interest rates and supply chain disruptions, which could impact the sector's growth in the coming months.</t>
  </si>
  <si>
    <t>The communications equipment sector has shown resilience in recent weeks, with the S&amp;P 500 and Nasdaq Composite posting gains for the week. This was driven by strong earnings reports, particularly from the technology sector, and the weaker-than-expected jobs data, which has fueled expectations of a potential Fed pivot. Additionally, the rapid advancements in artificial intelligence (AI) continue to be a key driver of the stock market, with companies at the forefront of AI, such as Nvidia, seeing significant gains. However, investors should remain cautious, as the high inflation and geopolitical risks could lead to periodic market corrections.</t>
  </si>
  <si>
    <t>The insurance sector is expected to see a positive outlook in the coming months, supported by the recent economic data and market trends. The strong labor market and potential for rate cuts could drive consumer spending and boost demand for insurance products. Additionally, the ongoing advancements in technology and the potential for increased regulation in the sector could present opportunities for investors.</t>
  </si>
  <si>
    <t>The transportation infrastructure sector is expected to face some challenges in the coming months, as the ongoing geopolitical tensions and potential disruptions to supply chains could impact the industry. However, the recent advancements in emerging technologies, such as electric vehicles and renewable energy solutions, present opportunities for growth in the sector. Additionally, the potential for increased government spending on infrastructure projects could also provide a boost to the industry.</t>
  </si>
  <si>
    <t>The air freight and logistics sector is expected to face some challenges in the coming months, as the global economy continues to navigate the impacts of the COVID-19 pandemic and geopolitical tensions. However, the recent advancements in technology, particularly in the areas of AI and renewable energy, present opportunities for growth in the sector. Additionally, the potential for a more dovish Fed and strong corporate earnings could provide support for the sector's performance in the medium to long term.</t>
  </si>
  <si>
    <t>The leisure products sector has shown resilience in recent weeks, with the stock market posting gains driven by strong earnings reports and the potential for a Fed pivot. However, the ongoing geopolitical tensions in the Middle East and the potential for increased market volatility during the upcoming 2024 U.S. presidential election should be monitored closely. Additionally, the sector may face headwinds from the recent rise in unemployment and high inflation, which could impact consumer spending.</t>
  </si>
  <si>
    <t>The household durables sector has shown resilience in recent weeks, with the S&amp;P 500 and Nasdaq Composite posting gains for the week. This was driven by strong earnings reports, particularly from the technology sector, and the weaker-than-expected jobs data, which has fueled expectations of a potential Fed pivot. However, the ongoing geopolitical tensions in the Middle East and the potential for increased market volatility during the upcoming 2024 U.S. presidential election should be monitored closely. Additionally, the sector may face headwinds from high inflation and potential supply chain disruptions due to the recent earthquake in Taiwan.</t>
  </si>
  <si>
    <t>The water utilities sector has been relatively stable in recent weeks, with the S&amp;P 500 Utilities Index posting modest gains. However, the ongoing geopolitical tensions and potential disruptions to supply chains could impact the sector's performance in the coming months. Additionally, the high inflation and potential for rate cuts could also have an impact on the sector's profitability. Overall, the sector's outlook remains cautiously optimistic, with the potential for long-term growth as the demand for clean water continues to rise.</t>
  </si>
  <si>
    <t>The independent power and renewable electricity producers sector is expected to see continued growth in the coming months, driven by the increasing adoption of renewable energy solutions and advancements in technology. However, the ongoing geopolitical tensions in the Middle East and potential disruptions to supply chains could pose risks to the sector's performance. Additionally, the high inflation and potential for rate cuts may also impact the sector's profitability. Overall, the sector's outlook remains cautiously optimistic, with potential for long-term growth.</t>
  </si>
  <si>
    <t>The real estate management and development sector is expected to face some challenges in the coming months, as the economy grapples with high inflation and geopolitical tensions. However, the recent strong earnings reports and the potential for a more dovish Fed could provide some support for the sector. Additionally, the continued advancements in technology and the growing demand for sustainable and affordable housing could present opportunities for investors in the long term.</t>
  </si>
  <si>
    <t>The media sector has been impacted by the recent geopolitical tensions in the Middle East, as well as the ongoing advancements in technology. While the rise of AI and other emerging technologies presents opportunities for growth, the potential for increased regulation and public backlash could also pose risks for companies in this sector. Additionally, the ongoing conflict in the Middle East could lead to disruptions in supply chains and potential fluctuations in oil prices, which could impact media companies reliant on energy sources. However, the overall outlook for the media sector remains positive, with the potential for continued growth and innovation in the coming months.</t>
  </si>
  <si>
    <t>The electric utilities sector has been facing some challenges in recent months, with the ongoing geopolitical tensions and high inflation posing risks to the market. However, the sector has also seen some positive developments, such as the growing adoption of renewable energy solutions and the potential for a more dovish Fed. Overall, the medium to long-term outlook for the sector remains positive, but investors should be prepared for potential market volatility in the short term.</t>
  </si>
  <si>
    <t>The interactive media and services sector has shown strong performance in recent weeks, driven by the rapid advancements in artificial intelligence and the growing adoption of electric vehicles and renewable energy solutions. However, the ongoing geopolitical tensions in the Middle East and the potential for increased regulation in the tech sector could pose risks for investors. The current economic landscape presents a mixed picture for the sector, with the potential for short-term fluctuations but a cautiously optimistic medium to long-term outlook.</t>
  </si>
  <si>
    <t>The trading companies and distributors sector is expected to face some challenges in the coming months, as the global economy continues to navigate the impacts of the COVID-19 pandemic and geopolitical tensions. However, the recent advancements in technology, particularly in the field of artificial intelligence, present opportunities for growth and innovation in this sector. Additionally, the potential for a more dovish Federal Reserve and strong corporate earnings could provide support for the sector's performance in the medium to long term.</t>
  </si>
  <si>
    <t>The professional services sector is expected to see continued growth in the coming months, driven by the strong economic outlook and the increasing demand for specialized services. The recent advancements in technology, particularly in the field of artificial intelligence, have also opened up new opportunities for companies in this sector. However, investors should remain cautious of potential headwinds, such as rising labor costs and potential regulatory changes, which could impact the profitability of professional services firms.</t>
  </si>
  <si>
    <t>The recent economic data and news suggest a mixed outlook for the Diversified Consumer Services sector. While the labor market remains strong, high inflation and geopolitical tensions could pose risks for the sector. However, the potential for rate cuts and the strong performance of the technology and consumer discretionary sectors provide some optimism for the sector's near-term outlook. Additionally, the growing adoption of emerging technologies and the potential for a more dovish Fed could support the sector's performance in the medium to long term.</t>
  </si>
  <si>
    <t>The IT services sector has shown strong performance in recent weeks, driven by the rapid advancements in artificial intelligence and the growing adoption of electric vehicles and renewable energy solutions. However, the ongoing geopolitical tensions in the Middle East and the potential for increased regulation in the tech sector could pose risks for investors. The current economic landscape presents a mixed picture for the sector, with the potential for short-term fluctuations but a cautiously optimistic medium to long-term outlook.</t>
  </si>
  <si>
    <t>The health care providers and services sector has been relatively stable in recent weeks, with the S&amp;P 500 Health Care Index posting modest gains. The ongoing COVID-19 pandemic and geopolitical tensions in the Middle East have had minimal impact on this sector, as the demand for health care services remains strong. However, the potential for increased regulation in the health care industry and the ongoing debate over health care policies in the upcoming U.S. presidential election could create some uncertainty for investors in the medium to long term.</t>
  </si>
  <si>
    <t>The health care equipment and supplies sector has shown resilience in recent weeks, with the S&amp;P 500 and Nasdaq Composite posting gains for the week. This was driven by strong earnings reports, particularly from the technology sector, and the weaker-than-expected jobs data, which has fueled expectations of a potential Fed pivot. However, the ongoing geopolitical tensions in the Middle East and the potential for increased regulation in the tech sector could pose risks for this sector. Additionally, the continued high inflation and potential for market volatility in the lead up to the 2024 U.S. presidential election should also be monitored.</t>
  </si>
  <si>
    <t>The personal care products sector has shown resilience in recent weeks, with the S&amp;P 500 and Nasdaq Composite posting gains for the week. This was driven by strong earnings reports, particularly from the technology sector, and the weaker-than-expected jobs data, which has fueled expectations of a potential Fed pivot. Additionally, the growing adoption of electric vehicles and renewable energy solutions could also present opportunities for investors in the coming months. However, the ongoing geopolitical tensions and high inflation remain concerns for the sector's outlook.</t>
  </si>
  <si>
    <t>The household products sector has shown resilience in recent weeks, with the S&amp;P 500 and Nasdaq Composite posting gains for the week. This was driven by strong earnings reports, particularly from the technology sector, and the weaker-than-expected jobs data, which has fueled expectations of a potential Fed pivot. Additionally, the growing adoption of electric vehicles and renewable energy solutions could also present opportunities for investors in the coming months. However, the ongoing geopolitical tensions and high inflation remain concerns for the sector's performance in the near term.</t>
  </si>
  <si>
    <t>The consumer staples distribution and retail sector has shown resilience in recent weeks, with the S&amp;P 500 and Nasdaq Composite posting gains for the week. This was driven by strong earnings reports, particularly from the technology sector, and the weaker-than-expected jobs data, which has fueled expectations of a potential Fed pivot. However, the ongoing geopolitical tensions in the Middle East and the potential for increased market volatility during the upcoming 2024 U.S. presidential election should be monitored closely. Additionally, the high inflation and potential slowdown in consumer spending could pose challenges for the sector in the medium to long term.</t>
  </si>
  <si>
    <t>The food products sector has shown resilience in recent weeks, with the S&amp;P 500 and Nasdaq Composite posting gains for the week. This was driven by strong earnings reports from companies in the sector, as well as the weaker-than-expected jobs data, which has fueled expectations of a potential Fed pivot. However, the ongoing geopolitical tensions and high inflation remain a concern for the sector's performance in the near term. Additionally, the potential for increased regulation in the tech sector could also impact companies in the food products industry that rely on technology for their operations.</t>
  </si>
  <si>
    <t>The specialty retail sector has shown resilience in recent weeks, with the S&amp;P 500 and Nasdaq Composite posting gains for the week. This was driven by strong earnings reports, particularly from the technology sector, and the weaker-than-expected jobs data, which has fueled expectations of a potential Fed pivot. However, the ongoing geopolitical tensions and high inflation remain a concern for the sector's performance in the near term. Additionally, the upcoming 2024 U.S. presidential election could also introduce volatility in the market.</t>
  </si>
  <si>
    <t>The financial services sector is expected to see mixed performance in the coming months, as the economy faces headwinds such as high inflation and geopolitical tensions. However, the recent strong earnings reports and the potential for a more dovish Fed could provide support for the sector. Additionally, the ongoing advancements in technology and the potential for increased regulation in the sector should be monitored by investors.</t>
  </si>
  <si>
    <t>The consumer finance sector is expected to see continued growth in the coming months, supported by the strong labor market and consumer spending. However, the potential for rising inflation and geopolitical tensions could pose risks to the sector's performance. Additionally, the ongoing advancements in technology and the potential for increased regulation in the financial industry could also impact the sector's outlook.</t>
  </si>
  <si>
    <t>The recent economic data and news suggest a mixed outlook for the capital markets sector. While the labor market remains strong, high inflation and geopolitical tensions could pose risks for the sector. However, the potential for rate cuts and the strong performance of the technology and consumer discretionary sectors provide some optimism for the sector's near-term outlook. Additionally, the ongoing advancements in emerging technologies and the potential for a more dovish Fed could support the sector's performance in the medium to long term.</t>
  </si>
  <si>
    <t>The pharmaceutical sector has been relatively stable in recent weeks, with the S&amp;P 500 Healthcare Index posting modest gains. However, the ongoing geopolitical tensions and potential disruptions to supply chains due to natural disasters could impact the sector's performance in the coming months. Additionally, the potential for increased regulation and scrutiny on drug pricing could also pose challenges for pharmaceutical companies. Despite these risks, the sector continues to show strong fundamentals, with a growing demand for healthcare products and services, making it a potential long-term investment opportunity.</t>
  </si>
  <si>
    <t>The health care REIT sector has been facing some challenges in recent months, as the ongoing COVID-19 pandemic has put pressure on the healthcare industry. However, with the removal of COVID-19 restrictions and the availability of vaccines, the sector is expected to see a rebound in the coming months. Additionally, the aging population and increasing demand for healthcare services are expected to drive growth in the long term. However, investors should remain cautious of potential disruptions to the sector due to geopolitical tensions and regulatory changes.</t>
  </si>
  <si>
    <t>The chemical sector has been facing some challenges in recent months, with rising inflation and geopolitical tensions impacting the industry. However, the sector has also seen some positive developments, such as the strong performance of the technology and consumer discretionary sectors, which could provide opportunities for investors. Additionally, the ongoing advancements in emerging technologies, particularly in the field of renewable energy, could drive long-term growth in the chemical sector.</t>
  </si>
  <si>
    <t>The residential REITs sector has been facing some challenges in the recent months, as the rising inflation and potential for interest rate hikes have led to concerns about the affordability of housing. However, the sector has also seen some positive developments, such as the strong demand for rental properties and the potential for a more dovish Fed. Additionally, the ongoing advancements in technology, such as the rise of smart homes, could present opportunities for growth in the sector.</t>
  </si>
  <si>
    <t>The aerospace and defense sector has been facing mixed economic conditions in recent months. On one hand, the ongoing geopolitical tensions in the Middle East and the potential for disruptions to global oil markets could impact the sector's performance. On the other hand, the advancements in emerging technologies, particularly in the field of artificial intelligence, present opportunities for growth. Additionally, the sector may also be impacted by the upcoming 2024 U.S. presidential election, as defense policies and spending could be influenced by the outcome.</t>
  </si>
  <si>
    <t>The containers and packaging sector is expected to see a positive outlook in the coming months, driven by the recent advancements in technology and the potential for a more dovish Federal Reserve. However, investors should remain cautious of potential headwinds, such as high inflation and geopolitical tensions, which could lead to market volatility. The ongoing trade tensions and the evolving political landscape may also impact the sector's performance in the long term.</t>
  </si>
  <si>
    <t>The metals and mining sector has been facing some challenges in recent months, with the ongoing geopolitical tensions and potential disruptions to supply chains. However, the sector has also seen some positive developments, such as the rise in demand for electric vehicles and renewable energy solutions, which could drive growth in the long term. Additionally, the recent softer-than-expected jobs data and the potential for rate cuts could provide a boost to the sector's performance.</t>
  </si>
  <si>
    <t>The paper and forest products sector is facing a mixed economic outlook in the coming months. While the recent labor market data has shown some softening, the strong performance of the technology and consumer discretionary sectors provides some optimism for the market. However, high inflation and geopolitical tensions, particularly in the Middle East, continue to pose risks for the sector. Additionally, the ongoing advancements in emerging technologies, such as AI, could present opportunities for investors in the long-term.</t>
  </si>
  <si>
    <t>The multi-utilities sector is facing a mixed economic outlook in the coming months. While the labor market remains strong, high inflation and potential geopolitical tensions could pose risks for the sector. However, the recent weaker-than-expected jobs data has renewed hopes for potential rate cuts, which could provide a boost to the sector. Additionally, the growing adoption of renewable energy solutions could present opportunities for investors in the long-term.</t>
  </si>
  <si>
    <t>The recent economic data and news suggest a mixed outlook for the automobile sector. On one hand, the ongoing geopolitical tensions in the Middle East and potential disruptions to supply chains could impact the sector's performance. On the other hand, the continued advancements in emerging technologies, such as electric vehicles, present opportunities for growth. Additionally, the potential for a more dovish Fed and strong consumer spending could support the sector's performance in the near term.</t>
  </si>
  <si>
    <t>The recent economic data and news suggest a mixed outlook for the automobile components sector. While the labor market remains strong, high inflation and geopolitical tensions could pose risks for the sector. However, the growing adoption of electric vehicles and renewable energy solutions could present opportunities for investors in the coming months. Additionally, the potential for a more dovish Fed and the strong performance of the technology and consumer discretionary sectors provide some optimism for the sector's near-term outlook.</t>
  </si>
  <si>
    <t>The marine transportation sector is facing a mixed economic outlook in the coming months. While the recent labor market data has shown some softening, the strong performance of the technology and consumer discretionary sectors provides some optimism for the market. However, the potential for geopolitical tensions and high inflation remain as key risks for the sector. Additionally, the ongoing advancements in emerging technologies, such as electric vehicles and renewable energy solutions, could present opportunities for investors in the long-term.</t>
  </si>
  <si>
    <t>The ground transportation sector is facing a mixed economic outlook in the coming months. While the recent jobs report showed weaker-than-expected payroll growth, the rise in unemployment suggests some softening in the economy. Additionally, the ongoing geopolitical tensions in the Middle East and potential disruptions to supply chains could impact the sector's performance. However, the potential for rate cuts and the continued advancements in emerging technologies, such as electric vehicles, could provide opportunities for investors in the long term.</t>
  </si>
  <si>
    <t>The recent economic data and news suggest a mixed outlook for the Diversified Telecommunication Services sector. While the labor market remains strong, high inflation and potential geopolitical tensions could pose risks for the sector. However, the ongoing advancements in emerging technologies, particularly in the field of artificial intelligence, could present opportunities for investors in the coming months. Additionally, the potential for a more dovish Fed and the strong performance of the technology sector could provide support for the sector's performance in the near-term.</t>
  </si>
  <si>
    <t>The recent economic data and news suggest a mixed outlook for the beverages sector. While the labor market remains strong, high inflation and geopolitical tensions could pose risks for the sector. However, the potential for a more dovish Fed and the continued growth of emerging technologies could provide opportunities for investors in the medium to long term.</t>
  </si>
  <si>
    <t>The recent economic data and news suggest a mixed outlook for the distributors sector. While the labor market remains strong, high inflation and potential geopolitical tensions could pose risks for the sector. However, the ongoing advancements in emerging technologies and the potential for a more dovish Fed could provide support for the sector's performance in the near-term.</t>
  </si>
  <si>
    <t>Hotels</t>
  </si>
  <si>
    <t>Restaurants &amp; Leisure</t>
  </si>
  <si>
    <t>The Hotels, Restaurants &amp; Leisure sector has been heavily impacted by the COVID-19 pandemic, with many businesses struggling to survive during the lockdowns and restrictions. However, with the recent removal of most COVID-19 restrictions and the availability of vaccines, the sector is expected to see a rebound in the coming months. Additionally, the rise of domestic travel and pent-up demand for leisure activities could provide a boost to the sector's performance. However, investors should remain cautious as the ongoing geopolitical tensions and potential disruptions to global supply chains could impact the sector's recovery.</t>
  </si>
  <si>
    <t>The passenger airline sector has faced significant challenges in recent years, with the COVID-19 pandemic causing a sharp decline in travel demand. However, with the removal of COVID-19 restrictions and the availability of vaccines, the sector is expected to see a rebound in the coming months. Additionally, the ongoing geopolitical tensions in Europe and the Middle East could potentially impact the sector, as disruptions to trade and energy supplies could lead to higher operating costs. Overall, the sector's outlook is cautiously optimistic, with the potential for increased travel demand and the ongoing advancements in technology offering opportunities for growth.</t>
  </si>
  <si>
    <t>The commercial services and supplies sector is expected to see mixed performance in the coming months. While the recent economic data has shown some softening in the labor market and concerns about high inflation, the strong earnings reports from companies in this sector, particularly in the technology and consumer discretionary industries, provide some optimism. However, the ongoing geopolitical tensions and potential for market volatility should be monitored closely by investors.</t>
  </si>
  <si>
    <t>The energy equipment and services sector is facing potential disruptions due to the ongoing geopolitical tensions in the Middle East. The recent escalation between Israel and Iran could impact global oil prices and potentially lead to supply chain disruptions. However, the sector may also see opportunities as the U.S. and Mexico agree to clamp down on illegal immigration, potentially boosting border security and related industries. Additionally, the rise of renewable energy solutions could present long-term growth potential for companies in this sector.</t>
  </si>
  <si>
    <t>The tobacco sector has faced challenges in recent years due to increasing regulations and declining smoking rates. However, the sector has shown resilience and has been able to maintain profitability through cost-cutting measures and diversification into alternative products. The macroeconomic outlook for the sector remains uncertain, with potential headwinds from inflation and geopolitical tensions. However, the sector's strong financial performance and potential for continued innovation in alternative products could present opportunities for investors in the medium to long term.</t>
  </si>
  <si>
    <t>Oil</t>
  </si>
  <si>
    <t>Gas &amp; Consumable Fuels</t>
  </si>
  <si>
    <t>The oil, gas, and consumable fuels sector is facing a mixed outlook in the coming months. The ongoing tensions in the Middle East, particularly the escalating conflict between Israel and Iran, could impact global oil prices and geopolitical stability. Additionally, the recent reimposition of oil sanctions on Venezuela by the United States could also have an impact on the sector. However, the potential for a more dovish Fed and the strong performance of the technology and consumer discretionary sectors could provide some support for the sector's performance.</t>
  </si>
  <si>
    <t>The retail REIT sector has been facing challenges in recent months due to the ongoing COVID-19 pandemic and the rise of e-commerce. However, with the removal of COVID-19 restrictions and the potential for a more dovish Fed, the sector may see some positive momentum in the short-term. Additionally, the recent advancements in AI and technology could present opportunities for retail REITs to adapt and thrive in the changing retail landscape.</t>
  </si>
  <si>
    <t>The economic outlook for the office REIT sector remains uncertain in the short term, as the ongoing COVID-19 pandemic and geopolitical tensions continue to pose risks. However, the recent advancements in technology and the potential for a more dovish Fed could provide some support for the sector in the medium to long term. Additionally, the strong performance of the technology and consumer discretionary sectors could also benefit the office REITs, as companies continue to invest in office spaces to accommodate their growing workforce.</t>
  </si>
  <si>
    <t>The hotel and resort REITs sector is facing a mixed outlook in the coming months. While the recent economic data shows a strong labor market and positive earnings reports, the potential for geopolitical tensions and high inflation remain concerns. However, the sector may benefit from the potential for rate cuts and the continued growth of emerging technologies. Overall, caution is advised for investors in this sector, as volatility and potential market corrections may occur.</t>
  </si>
  <si>
    <t>The recent economic data and news suggest a mixed outlook for the Diversified REITs sector. While the labor market remains strong, high inflation and potential geopolitical tensions could pose risks for the sector. However, the potential for a more dovish Fed and the continued growth of emerging technologies could provide some support for the sector's performance in the near-term.</t>
  </si>
  <si>
    <t/>
  </si>
  <si>
    <t>The recent economic data and news suggest a mixed outlook for the sector in the coming months. While the labor market remains strong, high inflation and geopolitical tensions could pose risks for investors. However, the potential for rate cuts and the strong performance of the technology and consumer discretionary sectors provide some optimism for the sector's near-term outlook.</t>
  </si>
  <si>
    <t>The recent economic data and news suggest a mixed outlook for the Mortgage Real Estate Investment Trusts (REITs) sector. While the labor market remains strong, high inflation and potential geopolitical tensions could pose risks for the sector. However, the potential for rate cuts and the continued growth of the real estate market could provide some support for REITs in the near-term. Additionally, the ongoing advancements in technology and the potential for increased regulation in the tech sector could also impact the performance of REITs.</t>
  </si>
  <si>
    <t>The recent economic data and news suggest a mixed outlook for the banking sector. While the labor market remains strong, the rise in unemployment and high inflation pose potential risks for the sector. Additionally, the ongoing geopolitical tensions in the Middle East could impact global markets and potentially affect the banking industry. However, the potential for rate cuts and the strong performance of the technology and consumer discretionary sectors provide some optimism for the sector's near-term outlook.</t>
  </si>
  <si>
    <t>The broadline retail sector has been facing challenges in recent months, with the ongoing COVID-19 pandemic and geopolitical tensions impacting consumer spending and supply chains. However, the recent easing of COVID-19 restrictions and the potential for a more dovish Fed could provide some support for the sector. Additionally, the rise of e-commerce and the adoption of new technologies in the retail industry could present opportunities for growth in the long term.</t>
  </si>
  <si>
    <t>The industrial conglomerates sector is facing a mixed economic outlook in the coming months. While the labor market remains strong, high inflation and potential geopolitical tensions could pose risks for the sector. However, the ongoing advancements in emerging technologies and the potential for a more dovish Fed could provide some support for the sector's performance. Investors should remain cautious and closely monitor the latest economic data and geopolitical developments to make informed investment decisions.</t>
  </si>
  <si>
    <t>The gas utilities sector is facing a mixed economic outlook in the coming months. On one hand, the ongoing tensions in the Middle East and potential disruptions to energy supplies could impact the sector's performance. On the other hand, the strong earnings reports and the potential for a more dovish Fed could provide some support. Additionally, the growing adoption of renewable energy solutions could present opportunities for the sector in the long term. However, investors should remain cautious and monitor the geopolitical landscape closely.</t>
  </si>
  <si>
    <t>The entertainment sector has been impacted by the ongoing geopolitical tensions and economic uncertainties. The recent escalation of conflicts in the Middle East and the potential for disruptions in global oil markets could have a negative impact on the sector. Additionally, the upcoming 2024 U.S. presidential election and the potential for increased market volatility could also affect the sector's performance. However, the sector may see some positive developments with the Eurovision Song Contest being held in Sweden, potentially boosting cultural and tourism activities.</t>
  </si>
  <si>
    <t>ticker,score,recommendation</t>
  </si>
  <si>
    <t>marketcap</t>
  </si>
  <si>
    <t>BRK.B,90.0,"Berkshire Hathaway, a multinational conglomerate holding company, has been a top performer in the Multi-Sector Holdings industry. With a diverse portfolio of businesses, including insurance, railroads, utilities, and retail, the company has consistently delivered strong financial results.</t>
  </si>
  <si>
    <t>In the recent quarter, Berkshire Hathaway reported a 12% increase in revenue and a 23% increase in net income compared to the same period last year. The company's strong financial position, with over $140 billion in cash and cash equivalents, provides a solid foundation for future growth and potential acquisitions.</t>
  </si>
  <si>
    <t>Furthermore, Berkshire Hathaway's leadership under renowned investor Warren Buffett has been a key factor in its success. With a long-term investment approach and a track record of making strategic and profitable investments, the company has consistently outperformed the market."</t>
  </si>
  <si>
    <t>NVDA,90.0,"Nvidia, a leading semiconductor company, has been making headlines recently with its stock gaining and its suppliers expanding operations in the U.S. Despite the recent earthquake in Taiwan, Nvidia has confirmed that it does not expect any disruptions to its supply chain. This is a positive sign for investors, as the company continues to see strong demand for its products.</t>
  </si>
  <si>
    <t>In addition, Nvidia has announced plans to build an artificial intelligence center in Indonesia in 2024, in partnership with PT Indosat Ooredoo Hutchison. This investment of $200 million further solidifies Nvidia's position in the growing AI market.</t>
  </si>
  <si>
    <t>Furthermore, analysts are bullish on Nvidia's future prospects, with signs pointing towards further gains for the company. The demand for AI servers is expected to continue to rise, benefiting not only Nvidia but also its suppliers such as Supermicro and Dell. This, coupled with the company's strong financials and solid growth potential, makes Nvidia a promising investment opportunity."</t>
  </si>
  <si>
    <t>HCA,85.0,"HCA Healthcare is a leading provider of healthcare services in the United States, with a market cap of 87.11B and an enterprise value of 128.03B. The company has a trailing P/E ratio of 17.36 and a forward P/E ratio of 16.16, indicating that the stock is currently trading at a reasonable valuation. The PEG ratio of 1.47 suggests that the stock may be slightly overvalued, but this is offset by the company's strong financial performance.</t>
  </si>
  <si>
    <t>HCA Healthcare has a price/sales ratio of 1.40, which is lower than the industry average, indicating that the stock may be undervalued. The company also has a low enterprise value/revenue ratio of 1.97, which suggests that the stock may have room for growth. However, the enterprise value/EBITDA ratio of 10.06 is slightly higher than the industry average, indicating that the stock may be slightly overvalued based on its earnings.</t>
  </si>
  <si>
    <t>Overall, HCA Healthcare has a strong financial position and is well-positioned to benefit from the ongoing demand for healthcare services in the United States. The recent COVID-19 pandemic has highlighted the importance of the healthcare industry, and HCA Healthcare's strong financials and market position make it a solid investment option."</t>
  </si>
  <si>
    <t>HAS,85.0,"Hasbro, a leading company in the Leisure Products industry, has shown strong financial performance in recent years. With a market cap of 7.74B and an enterprise value of 10.69B, the company has a solid financial foundation. Its trailing P/E ratio of 35.61 and forward P/E ratio of 16.72 indicate that the company is currently trading at a premium, but its PEG ratio of 0.78 suggests that it may be undervalued in the long term.</t>
  </si>
  <si>
    <t>Hasbro's price/sales ratio of 1.55 and price/book ratio of 7.29 are in line with industry averages, indicating that the company is fairly valued in terms of its sales and book value. However, its enterprise value/revenue ratio of 2.14 and enterprise value/EBITDA ratio of -12.38 may raise some concerns, as they are higher than industry averages. This could be due to the recent economic challenges and disruptions caused by the COVID-19 pandemic.</t>
  </si>
  <si>
    <t>Overall, Hasbro has a strong financial position and is well-positioned in the Leisure Products industry. Its recent financial data suggests that the company may be undervalued in the long term, but investors should closely monitor its enterprise value/revenue and enterprise value/EBITDA ratios for any potential risks."</t>
  </si>
  <si>
    <t>HIG,85.0,"Enterprise Value/EBITDA    8.86</t>
  </si>
  <si>
    <t>Investment Report:</t>
  </si>
  <si>
    <t>The Hartford is a leading property and casualty insurance company with a recent market cap of $30.29B and an enterprise value of $34.86B. The company has a trailing P/E ratio of 12.78 and a forward P/E ratio of 10.15, indicating a relatively low valuation compared to its industry peers. The price/sales ratio of 1.30 and price/book ratio of 2.02 also suggest that the stock may be undervalued.</t>
  </si>
  <si>
    <t>In terms of financial performance, The Hartford has a strong enterprise value/revenue ratio of 1.43 and an enterprise value/EBITDA ratio of 8.86, indicating efficient use of capital and potential for future growth.</t>
  </si>
  <si>
    <t>The recent macro-economic events, such as the COVID-19 pandemic and geopolitical tensions, have not had a significant impact on the company's operations. The Hartford has a solid track record of weathering economic downturns and has a strong balance sheet to withstand any potential challenges.</t>
  </si>
  <si>
    <t>Overall, The Hartford appears to be a solid investment opportunity in the property and casualty insurance industry. With a low valuation and strong financial performance, the company has the potential for growth and could provide attractive returns for investors."</t>
  </si>
  <si>
    <t>HAL,85.0,"Halliburton (HAL) is a leading company in the Oil &amp; Gas Equipment &amp; Services industry with a recent market cap of $35.52B and an enterprise value of $42.07B. The company has a trailing P/E ratio of 13.67 and a forward P/E ratio of 11.72, indicating that the stock may be undervalued. However, the PEG ratio of 3.93 suggests that the stock may be overvalued in relation to its expected growth.</t>
  </si>
  <si>
    <t>In terms of valuation metrics, Halliburton has a price/sales ratio of 1.56 and a price/book ratio of 3.78, both of which are in line with industry averages. The company's enterprise value/revenue ratio of 1.83 and enterprise value/EBITDA ratio of 8.52 also suggest that the stock may be undervalued.</t>
  </si>
  <si>
    <t>Recent news in the oil and gas industry, such as the rise in commodity prices and the ongoing geopolitical tensions in the Middle East, may have a positive impact on Halliburton's performance in the short term. Additionally, the company's strong financial position and global presence make it well-positioned to capitalize on any potential growth opportunities in the industry.</t>
  </si>
  <si>
    <t>Overall, Halliburton appears to be a solid investment option in the Oil &amp; Gas Equipment &amp; Services industry, with a strong financial position and potential for growth. However, investors should continue to monitor industry developments and the company's financial performance in the coming months."</t>
  </si>
  <si>
    <t>PCAR,85.0,"Paccar is a leading company in the Construction Machinery &amp; Heavy Transportation Equipment industry, with a recent market cap of 63.72B and an enterprise value of 69.09B. The company has a strong financial position, with a trailing P/E of 13.88 and a forward P/E of 15.43. Its PEG ratio of 1.18 suggests that the stock may be undervalued, and its price/sales and price/book ratios of 1.82 and 4.01, respectively, indicate that the stock is trading at a reasonable price.</t>
  </si>
  <si>
    <t>Paccar's latest financial data also shows a strong enterprise value/revenue ratio of 1.97 and an enterprise value/EBITDA ratio of 10.06, indicating that the company is generating healthy revenue and earnings.</t>
  </si>
  <si>
    <t>The recent geopolitical tensions in Europe and the Middle East may have some indirect impact on Paccar's business, as the company operates globally and relies on trade and energy supplies. However, the company's strong financial position and diversified operations may help mitigate any potential risks.</t>
  </si>
  <si>
    <t>Overall, Paccar appears to be a solid investment opportunity in the Construction Machinery &amp; Heavy Transportation Equipment industry. Its strong financials and global presence make it a stable and potentially profitable investment option."</t>
  </si>
  <si>
    <t>OTIS,85.0,"Otis Worldwide (OTIS) is a leading company in the Industrial Machinery &amp; Supplies &amp; Components industry with a recent market cap of $39.63B and an enterprise value of $45.67B. The company has a trailing P/E ratio of 28.83 and a forward P/E ratio of 25.13, indicating a positive outlook for future earnings. However, the PEG ratio of 2.73 suggests that the stock may be slightly overvalued.</t>
  </si>
  <si>
    <t>In terms of valuation metrics, Otis has a price/sales ratio of 2.85 and an enterprise value/revenue ratio of 3.21, which are both in line with industry averages. The enterprise value/EBITDA ratio of 19.20 is also within a reasonable range, indicating that the company is generating strong earnings.</t>
  </si>
  <si>
    <t>Recent news and developments in the industry, such as the rise of automation and smart technology, bode well for Otis as a leading provider of elevators and escalators. Additionally, the company's recent spin-off from United Technologies Corporation has allowed it to focus solely on its core business and potentially drive growth.</t>
  </si>
  <si>
    <t>Overall, Otis Worldwide appears to be in a strong financial position with positive growth potential in the coming months. However, investors should continue to monitor the company's performance and industry trends to make informed investment decisions."</t>
  </si>
  <si>
    <t>OKE,85.0,"ONEOK is a leading company in the Oil &amp; Gas Storage &amp; Transportation industry with a recent market cap of $46.65B and an enterprise value of $68.08B. The company has a trailing P/E ratio of 14.60 and a forward P/E ratio of 16.31, indicating a relatively low valuation compared to its peers in the industry. However, its PEG ratio of 1.70 suggests that the stock may be slightly overvalued based on its expected growth rate.</t>
  </si>
  <si>
    <t>In terms of financial health, ONEOK has a price/sales ratio of 2.20 and a price/book ratio of 2.83, both of which are below the industry average. This indicates that the stock may be undervalued based on its sales and book value. Additionally, the company's enterprise value/revenue ratio of 3.85 and enterprise value/EBITDA ratio of 13.27 are also below the industry average, suggesting that the stock may be trading at a discount.</t>
  </si>
  <si>
    <t>Overall, ONEOK appears to be in a strong financial position with a relatively low valuation compared to its peers. However, investors should keep an eye on the company's expected growth rate and potential risks in the industry, such as fluctuations in oil prices and regulatory changes."</t>
  </si>
  <si>
    <t>GEHC,85.0,"GE HealthCare, a leading company in the Health Care Equipment industry, has shown strong financial performance in recent years. With a market cap of $40.12B and an enterprise value of $47.49B, the company has a solid financial foundation. Its trailing P/E ratio of 28.98 and forward P/E ratio of 20.53 indicate that the company is currently undervalued, making it an attractive investment opportunity.</t>
  </si>
  <si>
    <t>Furthermore, GE HealthCare's PEG ratio of 20.54 suggests that the company has strong growth potential in the next five years. Its price/sales ratio of 2.06 and price/book ratio of 5.62 also indicate that the company's stock is currently undervalued. Additionally, its enterprise value/revenue ratio of 2.43 and enterprise value/EBITDA ratio of 13.52 show that the company is efficiently managing its operations and generating strong returns for investors.</t>
  </si>
  <si>
    <t>With the recent developments in the health care industry, including the COVID-19 pandemic and advancements in technology, GE HealthCare is well-positioned to capitalize on these opportunities and continue its growth trajectory. Its strong financials and market position make it a promising investment option for the next month."</t>
  </si>
  <si>
    <t>IT,85.0,"Gartner, a leading IT consulting and other services company, has shown strong financial performance in recent years. With a market cap of $36.60B and an enterprise value of $38.36B, the company has a solid financial foundation. Its trailing P/E ratio of 42.37 and forward P/E ratio of 38.31 suggest that the company is currently trading at a premium, but this could be justified by its strong growth potential.</t>
  </si>
  <si>
    <t>Gartner's price/sales ratio of 6.33 and price/book ratio of 53.78 indicate that the stock may be slightly overvalued, but this could also be attributed to the company's strong market position and potential for future growth. Its enterprise value/revenue ratio of 6.49 and enterprise value/EBITDA ratio of 26.07 are also in line with industry averages, further supporting the company's financial stability.</t>
  </si>
  <si>
    <t>The recent rise in demand for IT consulting and other services due to the COVID-19 pandemic has provided Gartner with a significant opportunity for growth. The company's strong financials and market position make it well-equipped to capitalize on this trend and continue its upward trajectory."</t>
  </si>
  <si>
    <t>GILD,85.0,"Gilead Sciences is a leading biotechnology company with a recent market cap of $89.92B and an enterprise value of $107.64B. The company has a trailing P/E ratio of 16.02 and a forward P/E ratio of 10.21, indicating a potential undervaluation in the stock. The PEG ratio of 0.45 also suggests that the stock may be undervalued, as it is trading at a lower multiple compared to its expected earnings growth.</t>
  </si>
  <si>
    <t>In terms of valuation metrics, Gilead Sciences has a price/sales ratio of 3.35 and a price/book ratio of 3.94, both of which are below the industry average. This further supports the potential undervaluation of the stock. Additionally, the company's enterprise value/revenue ratio of 3.97 and enterprise value/EBITDA ratio of 10.26 are also lower than the industry average, indicating a potential opportunity for investors.</t>
  </si>
  <si>
    <t>Gilead Sciences has a strong financial position, with a solid balance sheet and a history of consistent profitability. The company's recent acquisition of Immunomedics, a biopharmaceutical company, is expected to further strengthen its portfolio and drive future growth.</t>
  </si>
  <si>
    <t>Overall, Gilead Sciences appears to be a promising investment opportunity in the biotechnology industry. With a strong financial position, undervalued stock, and potential for future growth, the company may offer attractive returns for investors."</t>
  </si>
  <si>
    <t>GPC,85.0,"Genuine Parts Company (GPC) is a leading distributor of automotive and industrial replacement parts, with a market cap of $21.44B and an enterprise value of $25.23B. The company has a strong financial position, with a trailing P/E ratio of 16.48 and a forward P/E ratio of 15.70, indicating a positive outlook for future earnings. However, the PEG ratio of 3.20 suggests that the stock may be slightly overvalued compared to its expected growth rate.</t>
  </si>
  <si>
    <t>GPC's price/sales ratio of 0.94 and price/book ratio of 4.87 are both below the industry average, indicating that the stock may be undervalued. Additionally, the company's enterprise value/revenue ratio of 1.09 and enterprise value/EBITDA ratio of 11.69 are also below the industry average, suggesting that GPC may be a good value investment.</t>
  </si>
  <si>
    <t>Recent news and events, such as the ongoing COVID-19 pandemic and geopolitical tensions, may create short-term volatility in the stock market. However, GPC's strong financial position and stable business model make it a relatively safe investment option in the long term."</t>
  </si>
  <si>
    <t>NTRS,85.0,"Enterprise Value  17.87B</t>
  </si>
  <si>
    <t>Northern Trust is a leading asset management and custody bank with a recent market cap of $17.87B. The firm has a solid financial standing, with a trailing P/E ratio of 17.24 and a forward P/E ratio of 13.97, indicating potential undervaluation. The PEG ratio of 1.68 suggests that the stock may be trading at a discount compared to its expected growth rate. Additionally, the price/sales and price/book ratios of 2.68 and 1.62, respectively, are in line with industry averages.</t>
  </si>
  <si>
    <t>PXD</t>
  </si>
  <si>
    <t>Northern Trust's enterprise value is also equal to its market cap, indicating a healthy balance sheet and minimal debt. The firm has a strong track record of generating consistent profits and has a diversified portfolio of assets under management.</t>
  </si>
  <si>
    <t>Overall, Northern Trust appears to be a stable and well-managed company with potential for growth in the asset management and custody bank industry. However, investors should continue to monitor market conditions and the firm's financial performance in the coming months."</t>
  </si>
  <si>
    <t>NI,85.0,"NiSource is a recent addition to the Multi-Utilities industry, with a market cap of 12.33B and an enterprise value of 24.69B. The company has a trailing P/E ratio of 18.58 and a forward P/E ratio of 16.00, indicating a potential undervaluation in the stock. However, the PEG ratio of 3.40 suggests that the stock may be overvalued in relation to its expected growth.</t>
  </si>
  <si>
    <t>NiSource's price/sales ratio of 2.24 and price/book ratio of 1.58 are both below the industry average, indicating a potential value opportunity for investors. The company's enterprise value/revenue ratio of 4.49 and enterprise value/EBITDA ratio of 11.11 are also below the industry average, further supporting the potential undervaluation of the stock.</t>
  </si>
  <si>
    <t>Overall, NiSource's financial data suggests that the stock may be undervalued and could present a potential investment opportunity for investors in the Multi-Utilities industry."</t>
  </si>
  <si>
    <t>ON,85.0,"ON Semiconductor is a leading company in the semiconductor industry with a recent market cap of 30.12B and an enterprise value of 30.99B. The company has a trailing P/E ratio of 14.41 and a forward P/E ratio of 16.78, indicating a relatively low valuation compared to its peers in the industry. The PEG ratio of 1.37 suggests that the stock may be undervalued, as it is trading at a lower multiple compared to its expected earnings growth.</t>
  </si>
  <si>
    <t>ON Semiconductor's latest financial data also shows a price/sales ratio of 3.82 and a price/book ratio of 3.87, which are both in line with industry averages. The company's enterprise value/revenue ratio of 3.76 and enterprise value/EBITDA ratio of 9.63 also indicate a reasonable valuation.</t>
  </si>
  <si>
    <t>The company has a strong financial position, with a healthy balance sheet and a solid cash flow. ON Semiconductor has been consistently profitable and has a track record of delivering strong earnings growth. The recent rise in demand for semiconductors due to the global chip shortage has also been beneficial for the company.</t>
  </si>
  <si>
    <t>Overall, ON Semiconductor appears to be a solid investment opportunity in the semiconductor industry. With a reasonable valuation, strong financials, and positive industry trends, the company has the potential for growth in the coming months."</t>
  </si>
  <si>
    <t>OMC,85.0,"Omnicom Group is a leading global advertising and marketing communications company, providing a wide range of services to clients across various industries. The recent financial data for the company shows a strong market cap of $18.80B and an enterprise value of $20.87B. The trailing P/E ratio of 13.79 and forward P/E ratio of 12.22 indicate that the company's stock is currently undervalued. Additionally, the PEG ratio of 1.52 suggests that the stock has potential for growth in the future.</t>
  </si>
  <si>
    <t>Omnicom Group's price/sales ratio of 1.31 and price/book ratio of 5.20 are both below the industry average, indicating that the stock is currently trading at a discount. The company's enterprise value/revenue ratio of 1.42 and enterprise value/EBITDA ratio of 8.62 also suggest that the stock is undervalued.</t>
  </si>
  <si>
    <t>Overall, the recent financial data for Omnicom Group paints a positive picture for the company's potential investment value. With a strong market position and undervalued stock, the company may present a good opportunity for investors in the advertising industry."</t>
  </si>
  <si>
    <t>NXPI,85.0,"NXP Semiconductors is a leading global semiconductor company that designs and manufactures a wide range of products for various industries, including automotive, industrial, and mobile. The company has a strong financial position, with a recent market cap of $61.72B and an enterprise value of $68.84B.</t>
  </si>
  <si>
    <t>In terms of valuation, NXP Semiconductors has a trailing P/E ratio of 22.49 and a forward P/E ratio of 17.54, indicating that the stock may be slightly overvalued. However, the PEG ratio of 2.18 suggests that the stock may still have growth potential. Additionally, the price/sales ratio of 4.74 and price/book ratio of 7.14 are in line with industry averages, indicating that the stock is fairly valued.</t>
  </si>
  <si>
    <t>NXP Semiconductors also has a strong balance sheet, with an enterprise value/revenue ratio of 5.19 and an enterprise value/EBITDA ratio of 14.06. This suggests that the company is generating solid revenue and earnings, making it a stable investment option.</t>
  </si>
  <si>
    <t>Overall, NXP Semiconductors appears to be a solid investment option in the semiconductor industry. While the stock may be slightly overvalued, its strong financial position and potential for growth make it a promising choice for investors."</t>
  </si>
  <si>
    <t>NVR,85.0,"NVR, Inc. is a leading homebuilding company with a recent market cap of $25.11B and an enterprise value of $22.97B. The company has a trailing P/E ratio of 16.95 and a forward P/E ratio of 14.93, indicating a relatively low valuation compared to its industry peers. NVR also has a price/sales ratio of 2.83 and a price/book ratio of 5.75, both of which are below the industry average.</t>
  </si>
  <si>
    <t>In terms of financial performance, NVR has a strong enterprise value/revenue ratio of 2.41 and an enterprise value/EBITDA ratio of 11.64, indicating efficient use of capital and strong profitability.</t>
  </si>
  <si>
    <t>The recent macro-economic data, including the strong job market and low interest rates, bodes well for the homebuilding industry. Additionally, NVR's focus on affordable housing and its strong presence in key markets make it well-positioned for growth.</t>
  </si>
  <si>
    <t>Overall, NVR, Inc. appears to be a solid investment opportunity in the homebuilding industry. Its strong financials, low valuation, and favorable industry outlook make it a promising option for investors."</t>
  </si>
  <si>
    <t>FCX,85.0,"Freeport-McMoRan (FCX) is a leading copper producer with a recent market cap of $69.40B and an enterprise value of $74.49B. The company has a trailing P/E ratio of 37.80 and a forward P/E ratio of 31.25, indicating a relatively high valuation. However, its price-to-sales ratio of 3.05 and price-to-book ratio of 4.16 are in line with industry averages.</t>
  </si>
  <si>
    <t>FCX's latest financial data shows a strong enterprise value to revenue ratio of 3.26 and an enterprise value to EBITDA ratio of 8.67, indicating a healthy balance sheet and efficient use of capital.</t>
  </si>
  <si>
    <t>The recent surge in commodity prices, including copper, has been a positive factor for FCX's performance. The company's focus on cost management and operational efficiency has also contributed to its strong financials.</t>
  </si>
  <si>
    <t>Overall, FCX's financial data suggests a stable and well-managed company with a strong position in the copper industry. However, investors should closely monitor any potential impacts of geopolitical tensions and global economic conditions on the company's performance."</t>
  </si>
  <si>
    <t>HPE,85.0,"Hewlett Packard Enterprise (HPE) is a leading technology company in the Hardware, Storage &amp; Peripherals industry. The recent financial data shows a market cap of $23.01B and an enterprise value of $32.05B. HPE has a trailing P/E ratio of 12.21 and a forward P/E ratio of 9.60, indicating a potential undervaluation of the stock. The PEG ratio of 2.11 suggests that the stock may be slightly overvalued in relation to its expected growth.</t>
  </si>
  <si>
    <t>HPE's price/sales ratio of 0.83 and price/book ratio of 1.07 are both below the industry average, indicating a potential undervaluation of the stock. The enterprise value/revenue ratio of 1.14 and enterprise value/EBITDA ratio of 6.51 are also below the industry average, suggesting that HPE may be a good value investment.</t>
  </si>
  <si>
    <t>The recent developments in the technology industry, such as the rise of artificial intelligence and the increasing demand for cloud computing, bode well for HPE's future growth potential. Additionally, HPE's strong financial position and diverse product portfolio make it well-positioned to capitalize on these trends.</t>
  </si>
  <si>
    <t>Overall, HPE appears to be a solid investment opportunity in the Technology Hardware, Storage &amp; Peripherals industry. However, as with any investment, there are risks to consider, such as potential competition and market volatility. It is important for investors to conduct their own research and carefully consider their investment goals before making any decisions."</t>
  </si>
  <si>
    <t>LDOS,85.0,"Leidos is a leading company in the Diversified Support Services industry, providing a wide range of services to various sectors, including defense, intelligence, and healthcare. The recent financial data shows a strong market capitalization of 17.41B and an enterprise value of 21.83B. The trailing P/E ratio of 89.55 may seem high, but the forward P/E ratio of 16.53 suggests that the company's earnings are expected to improve in the future.</t>
  </si>
  <si>
    <t>The price/sales ratio of 1.15 and price/book ratio of 4.14 indicate that the stock is currently trading at a reasonable valuation. Additionally, the enterprise value/revenue ratio of 1.41 and enterprise value/EBITDA ratio of 23.08 suggest that the company is generating strong revenues and profits.</t>
  </si>
  <si>
    <t>Leidos has a strong track record of growth and profitability, with a diverse portfolio of services and a solid customer base. The recent geopolitical tensions and technological advancements in the industry may present both risks and opportunities for the company. However, Leidos has a strong management team and a solid financial position, which should help it navigate any potential challenges.</t>
  </si>
  <si>
    <t>Overall, based on the recent financial data and the company's position in the industry, Leidos appears to be a promising investment opportunity for the next month."</t>
  </si>
  <si>
    <t>LVS,85.0,"Las Vegas Sands (LVS) is a leading player in the Casinos &amp; Gaming industry with a recent market cap of $39.42B and an enterprise value of $48.34B. The company has a trailing P/E ratio of 33.07 and a forward P/E ratio of 18.32, indicating a potential undervaluation of the stock. The PEG ratio of 0.73 also suggests that the stock may be trading at a discount compared to its expected growth rate.</t>
  </si>
  <si>
    <t>LVS has a price/sales ratio of 3.90 and a price/book ratio of 9.57, which are both higher than the industry average. However, the company's enterprise value/revenue ratio of 4.66 and enterprise value/EBITDA ratio of 12.53 are in line with the industry average, indicating a fair valuation.</t>
  </si>
  <si>
    <t>The recent news of the easing of COVID-19 restrictions and the availability of vaccines has positively impacted the casino and gaming industry. LVS is well-positioned to benefit from this trend with its strong presence in the Las Vegas and Macau markets. The company's recent expansion into the digital gaming space also provides potential for growth.</t>
  </si>
  <si>
    <t>Overall, LVS appears to be a solid investment opportunity in the Casinos &amp; Gaming industry. With a strong financial position and potential for growth, the stock may be undervalued at its current price."</t>
  </si>
  <si>
    <t>MPC,85.0,"Marathon Petroleum (MPC) is a leading company in the Oil &amp; Gas Refining &amp; Marketing industry with a recent market cap of $76.17B and an enterprise value of $94.44B. The company has a trailing P/E ratio of 8.95 and a forward P/E ratio of 13.95, indicating that the stock may be undervalued. However, the PEG ratio of 15.65 suggests that the stock may be overvalued in terms of its expected growth.</t>
  </si>
  <si>
    <t>MPC's price/sales ratio of 0.58 and price/book ratio of 3.12 are both below the industry average, indicating that the stock may be undervalued compared to its peers. The company also has a low enterprise value/revenue ratio of 0.64 and a moderate enterprise value/EBITDA ratio of 5.09, suggesting that the stock may be a good value investment.</t>
  </si>
  <si>
    <t>Recent events in the oil and gas industry, such as the rise in commodity prices and geopolitical tensions in the Middle East, may have a positive impact on MPC's performance in the short term. Additionally, the company's strong financial position and efficient operations make it well-positioned to weather any potential challenges in the industry.</t>
  </si>
  <si>
    <t>Overall, MPC appears to be a solid investment opportunity in the Oil &amp; Gas Refining &amp; Marketing industry, with potential for growth and a strong financial foundation. However, investors should continue to monitor the company's performance and industry developments to make informed investment decisions."</t>
  </si>
  <si>
    <t>MRO,85.0,"Marathon Oil is a leading company in the Oil &amp; Gas Exploration &amp; Production industry with a recent market cap of 16.24B and an enterprise value of 21.52B. The company has a trailing P/E ratio of 11.25 and a forward P/E ratio of 10.47, indicating that the stock is currently undervalued. However, the PEG ratio of 26.17 suggests that the stock may be overvalued in the long term.</t>
  </si>
  <si>
    <t>In terms of valuation metrics, Marathon Oil has a price/sales ratio of 2.73 and a price/book ratio of 1.45, both of which are below the industry average. This indicates that the stock may be undervalued compared to its peers. Additionally, the company has a strong financial position with an enterprise value/revenue ratio of 3.36 and an enterprise value/EBITDA ratio of 4.82.</t>
  </si>
  <si>
    <t>Recent geopolitical tensions in the Middle East and the ongoing COVID-19 pandemic have led to fluctuations in oil prices, which may impact Marathon Oil's performance in the short term. However, the company has a strong track record of managing through market volatility and has a diversified portfolio of assets that can help mitigate risks.</t>
  </si>
  <si>
    <t>Overall, Marathon Oil appears to be a solid investment opportunity in the Oil &amp; Gas Exploration &amp; Production industry. The company has a strong financial position and is currently undervalued compared to its peers. However, investors should closely monitor any developments in the oil market and the company's performance in the coming months."</t>
  </si>
  <si>
    <t>MTB,85.0,"M&amp;T Bank is a regional bank with a recent market cap of $23.44B. The company has a trailing P/E ratio of 8.91 and a forward P/E ratio of 10.00, indicating a potential undervaluation in the stock. The PEG ratio of 1.43 suggests that the stock may be slightly overvalued based on its expected growth rate. However, the price/sales ratio of 2.50 and price/book ratio of 0.94 are both below the industry averages, indicating a potential value opportunity for investors.</t>
  </si>
  <si>
    <t>The company's latest financial data shows a strong balance sheet with a healthy cash position and manageable debt levels. M&amp;T Bank also has a history of consistent dividend payments, making it an attractive option for income-seeking investors.</t>
  </si>
  <si>
    <t>In terms of recent news, M&amp;T Bank has announced plans to acquire People's United Financial, Inc. in a $7.6 billion deal, which is expected to significantly expand its presence in the Northeast region. This acquisition could potentially drive future growth for the company.</t>
  </si>
  <si>
    <t>Overall, M&amp;T Bank appears to be a solid investment option in the regional banks industry, with a strong financial position and potential for growth through strategic acquisitions. However, investors should continue to monitor the company's performance and any potential risks in the industry."</t>
  </si>
  <si>
    <t>LYB,85.0,"LyondellBasell is a leading global producer of specialty chemicals, with a recent market cap of $33.81B and an enterprise value of $43.42B. The company has a trailing P/E ratio of 16.08 and a forward P/E ratio of 12.18, indicating a potential undervaluation of the stock. The PEG ratio of 1.84 suggests that the stock may be slightly overvalued based on its expected growth rate.</t>
  </si>
  <si>
    <t>In terms of valuation metrics, LyondellBasell has a price/sales ratio of 0.83 and a price/book ratio of 2.61, both of which are below the industry average. This could indicate that the stock is currently undervalued compared to its peers. Additionally, the company has a strong enterprise value/revenue ratio of 1.06 and a solid enterprise value/EBITDA ratio of 9.36, indicating a healthy financial position.</t>
  </si>
  <si>
    <t>Recent news and developments in the specialty chemicals industry, such as the rise in demand for sustainable and eco-friendly products, could present growth opportunities for LyondellBasell. However, the company may also face challenges from increasing competition and potential regulatory changes.</t>
  </si>
  <si>
    <t>Overall, based on the recent financial data and industry trends, LyondellBasell appears to be a solid investment option in the specialty chemicals industry. However, investors should continue to monitor the company's performance and industry developments for potential risks and opportunities."</t>
  </si>
  <si>
    <t>LULU,85.0,"Lululemon Athletica (LULU) has recently reported strong Q4 results, with revenues and gross margins exceeding expectations. However, the company's FY24 guidance fell short of analyst estimates due to soft demand in the US and planned investments in brand awareness. Despite this, LULU's growth in China remains impressive, with significant room for expansion, and the company continues to prioritize innovation.</t>
  </si>
  <si>
    <t>In terms of financial data, LULU has a market cap of $47.64B and an enterprise value of $46.80B. Its trailing P/E ratio is 30.99 and its forward P/E ratio is 26.67, indicating a potential undervaluation. The PEG ratio of 1.42 suggests that the stock may be undervalued relative to its expected growth. LULU's price/sales ratio of 4.99 and price/book ratio of 11.26 are also relatively low compared to its industry peers, indicating potential value for investors.</t>
  </si>
  <si>
    <t>Overall, Lululemon Athletica's recent performance and financial data suggest that the current selling pressure on the stock may be unwarranted. The company's strong growth in China and focus on innovation position it well for future success. Therefore, the potential investment value for LULU in the next month is high."</t>
  </si>
  <si>
    <t>LHX,85.0,"L3Harris is a leading company in the Aerospace &amp; Defense industry with a recent market cap of $39.01B and an enterprise value of $51.57B. The company has a trailing P/E ratio of 31.88 and a forward P/E ratio of 16.13, indicating a potential undervaluation of the stock. The PEG ratio of 0.91 also suggests that the stock may be trading at a discount compared to its expected growth rate.</t>
  </si>
  <si>
    <t>In terms of valuation metrics, L3Harris has a price/sales ratio of 2.01 and a price/book ratio of 2.08, which are both below the industry average. This could indicate that the stock is currently undervalued and may present a good investment opportunity.</t>
  </si>
  <si>
    <t>Furthermore, the company's enterprise value/revenue ratio of 2.66 and enterprise value/EBITDA ratio of 17.60 are also lower than the industry average, suggesting that the stock may be trading at a discount compared to its peers.</t>
  </si>
  <si>
    <t>Overall, L3Harris appears to be in a strong financial position with potential for growth in the Aerospace &amp; Defense industry. With a solid balance sheet and attractive valuation metrics, the stock may present a good investment opportunity for the next month."</t>
  </si>
  <si>
    <t>GNRC,85.0,"Generac, a leading provider of backup power solutions, has shown strong financial performance in recent years. With a market cap of 7.72B and an enterprise value of 9.26B, the company has a solid financial foundation. Its trailing P/E ratio of 39.19 and forward P/E ratio of 20.41 indicate that the stock is currently trading at a premium, but this is justified by its strong growth potential.</t>
  </si>
  <si>
    <t>Generac's PEG ratio of 1.27 suggests that the stock is undervalued compared to its expected earnings growth over the next five years. Additionally, its price/sales ratio of 1.98 and price/book ratio of 3.30 are both below the industry average, indicating that the stock may be undervalued.</t>
  </si>
  <si>
    <t>The company's enterprise value/revenue ratio of 2.30 and enterprise value/EBITDA ratio of 16.69 are also lower than the industry average, suggesting that the stock may be a good value investment.</t>
  </si>
  <si>
    <t>Overall, Generac's recent financial data and news suggest that the company is in a strong position for growth and has the potential to provide good returns for investors."</t>
  </si>
  <si>
    <t>KHC,85.0,"Kraft Heinz is a leading company in the Packaged Foods &amp; Meats industry with a recent market cap of $45.44B and an enterprise value of $64.07B. The company has a trailing P/E ratio of 16.18 and a forward P/E ratio of 12.25, indicating a potential undervaluation of the stock. The PEG ratio of 1.06 suggests that the stock may be trading at a discount compared to its expected growth rate. Additionally, the price/sales ratio of 1.73 and price/book ratio of 0.92 also indicate a potential undervaluation of the stock.</t>
  </si>
  <si>
    <t>Kraft Heinz has a strong financial position with a low debt-to-equity ratio and a solid cash flow. The company has been focusing on cost-cutting measures and portfolio optimization, which has helped improve its profitability. However, the company has faced challenges in recent years, including changing consumer preferences and increased competition in the industry.</t>
  </si>
  <si>
    <t>Overall, Kraft Heinz has a stable financial position and potential for growth, but investors should closely monitor the company's performance and any changes in the industry."</t>
  </si>
  <si>
    <t>KLAC,85.0,"KLA Corporation is a leading company in the Semiconductor Materials &amp; Equipment industry with a recent market cap of 93.84B and an enterprise value of 96.58B. The company has a trailing P/E ratio of 35.14 and a forward P/E ratio of 26.25, indicating a potential undervaluation in the stock. However, the PEG ratio of 2.78 suggests that the stock may be slightly overvalued based on its expected growth rate.</t>
  </si>
  <si>
    <t>KLA Corporation also has a high price-to-sales ratio of 9.86 and a price-to-book ratio of 30.83, which may be a concern for value investors. However, the company's strong financials and market position make it an attractive investment opportunity.</t>
  </si>
  <si>
    <t>The recent surge in demand for semiconductor materials and equipment, driven by the global shift towards digitalization and technological advancements, bodes well for KLA Corporation's future growth. Additionally, the company's focus on research and development and its strong partnerships with major players in the industry position it for long-term success.</t>
  </si>
  <si>
    <t>Overall, KLA Corporation appears to be a solid investment option in the Semiconductor Materials &amp; Equipment industry. Its strong financials, market position, and potential for future growth make it a promising stock to consider."</t>
  </si>
  <si>
    <t>KMI,85.0,"Kinder Morgan (KMI) is a leading energy infrastructure company in the Oil &amp; Gas Storage &amp; Transportation industry. The recent news of its higher dividend yield compared to its rival Williams (WMB) has caught the attention of investors. However, it is essential to analyze the firm's overall situation before making any investment decisions.</t>
  </si>
  <si>
    <t>KMI has a market cap of $40.88B and an enterprise value of $72.91B. Its trailing P/E ratio is 17.38, and its forward P/E ratio is 13.74, indicating that the stock is currently undervalued. The PEG ratio of 1.74 suggests that the stock has a potential for growth in the future. Additionally, KMI's price/sales ratio of 2.68 and price/book ratio of 1.35 are lower than the industry average, making it an attractive investment option.</t>
  </si>
  <si>
    <t>However, it is worth noting that KMI's enterprise value/revenue ratio of 4.76 and enterprise value/EBITDA ratio of 11.22 are higher than the industry average. This could be due to the company's high debt levels, which could pose a risk to its financial stability.</t>
  </si>
  <si>
    <t>In terms of growth potential, KMI's rival Williams has been growing at a faster rate. This trend is expected to continue in the future, which could impact KMI's market share and profitability. Therefore, investors should closely monitor the competition between these two companies.</t>
  </si>
  <si>
    <t>Overall, KMI's financial data suggests that it is a solid investment option with a strong dividend yield. However, investors should also consider the potential risks associated with its high debt levels and competition from Williams."</t>
  </si>
  <si>
    <t>LKQ,85.0,"LKQ Corporation is a leading distributor of aftermarket automotive parts and equipment, with a market cap of 14.07B and an enterprise value of 19.41B. The company has a strong financial position, with a trailing P/E of 14.99 and a forward P/E of 13.07, indicating potential undervaluation. However, the PEG ratio of 1.78 suggests that the stock may be slightly overvalued based on its expected growth rate.</t>
  </si>
  <si>
    <t>LKQ Corporation's price/sales ratio of 1.02 and price/book ratio of 2.28 are both below the industry average, indicating potential value for investors. Additionally, the company's enterprise value/revenue ratio of 1.40 and enterprise value/EBITDA ratio of 10.98 are also lower than the industry average, suggesting that the stock may be undervalued.</t>
  </si>
  <si>
    <t>The recent geopolitical tensions in Europe and the Middle East may have indirect effects on LKQ Corporation's performance, as disruptions to trade and energy supplies could impact the automotive industry. However, the company's strong financials and position as a leading distributor in the industry make it a potentially attractive investment opportunity."</t>
  </si>
  <si>
    <t>LYV,85.0,"Live Nation Entertainment (NYSE: LYV) is a leading live entertainment company that produces concerts, festivals, and other live events. The company has a strong presence in the global entertainment market and has been expanding its reach through strategic acquisitions and partnerships.</t>
  </si>
  <si>
    <t>Recent Financial Data:</t>
  </si>
  <si>
    <t>Live Nation's latest market cap stands at $24.21B, with an enterprise value of $26.41B. The company's trailing P/E ratio is 76.55, while the forward P/E ratio is 65.36. The PEG ratio, which measures the stock's valuation relative to its expected growth, is at 2.25. The price/sales ratio is 1.06, and the price/book ratio is 31.01. The enterprise value/revenue ratio is 1.16, and the enterprise value/EBITDA ratio is 14.99.</t>
  </si>
  <si>
    <t>Investment Outlook:</t>
  </si>
  <si>
    <t>Live Nation Entertainment has a strong financial position and a dominant market share in the live entertainment industry. The company's recent acquisitions and partnerships have further strengthened its position and expanded its reach. With the global economy recovering from the COVID-19 pandemic and live events resuming, Live Nation is well-positioned to benefit from the pent-up demand for live entertainment."</t>
  </si>
  <si>
    <t>LIN,85.0,"Linde plc is a leading company in the industrial gases industry, with a recent market cap of 222.12B and an enterprise value of 237.77B. The company has a trailing P/E ratio of 36.63 and a forward P/E ratio of 29.76, indicating a positive outlook for future earnings. However, the PEG ratio of 2.98 suggests that the stock may be slightly overvalued.</t>
  </si>
  <si>
    <t>Linde plc has a strong financial position, with a price/sales ratio of 6.91 and a price/book ratio of 5.59. The company's enterprise value/revenue ratio of 7.24 and enterprise value/EBITDA ratio of 19.46 also indicate a healthy balance sheet.</t>
  </si>
  <si>
    <t>The recent geopolitical tensions in Europe and the ongoing Middle East conflict may have some indirect impact on Linde plc's operations, as the company operates globally. However, the company's strong financials and diversified portfolio may help mitigate any potential risks.</t>
  </si>
  <si>
    <t>Overall, Linde plc appears to be a solid investment option in the industrial gases industry, with a positive outlook for future earnings and a strong financial position."</t>
  </si>
  <si>
    <t>GM,85.0,"General Motors (GM) is a leading player in the Automobile Manufacturers industry with a recent market cap of $51.82B and an enterprise value of $148.00B. The company has a trailing P/E ratio of 6.13 and a forward P/E ratio of 4.99, indicating that the stock is currently undervalued. The PEG ratio of 0.84 also suggests that the stock may be a good investment opportunity.</t>
  </si>
  <si>
    <t>GM's latest financial data shows a price/sales ratio of 0.36 and a price/book ratio of 0.81, both of which are below the industry average. This indicates that the stock is trading at a discount compared to its peers. Additionally, the enterprise value/revenue ratio of 0.86 and the enterprise value/EBITDA ratio of 6.38 suggest that the company is generating strong revenues and profits.</t>
  </si>
  <si>
    <t>The recent news of GM's partnership with Honda to develop two new electric vehicles and its plans to invest $35 billion in electric and autonomous vehicles by 2025 show the company's commitment to innovation and staying ahead in the rapidly evolving automotive industry. This could potentially lead to increased market share and profitability for GM in the long term.</t>
  </si>
  <si>
    <t>Overall, GM's strong financials and strategic initiatives make it a promising investment opportunity in the Automobile Manufacturers industry. However, investors should keep an eye on potential challenges such as supply chain disruptions and the ongoing global chip shortage that could impact the company's production and sales."</t>
  </si>
  <si>
    <t>GIS,85.0,"General Mills, a leading company in the Packaged Foods &amp; Meats industry, has shown strong financial performance in recent years. With a market cap of 39.83B and an enterprise value of 51.76B, the company has a solid financial foundation. Its trailing P/E ratio of 16.18 and forward P/E ratio of 14.93 indicate that the company is currently undervalued, making it an attractive investment opportunity.</t>
  </si>
  <si>
    <t>Furthermore, General Mills has a PEG ratio of 2.12, which suggests that the company's stock is undervalued relative to its expected earnings growth. This is a positive sign for investors, as it indicates potential for future growth.</t>
  </si>
  <si>
    <t>In terms of valuation, General Mills has a price/sales ratio of 2.05 and a price/book ratio of 4.22, both of which are below the industry average. This further supports the argument that the company's stock is currently undervalued.</t>
  </si>
  <si>
    <t>General Mills also has a strong balance sheet, with an enterprise value/revenue ratio of 2.57 and an enterprise value/EBITDA ratio of 11.05. This indicates that the company is generating strong revenue and has a healthy level of debt.</t>
  </si>
  <si>
    <t>Overall, General Mills appears to be a solid investment opportunity in the Packaged Foods &amp; Meats industry. Its strong financial performance, undervalued stock, and healthy balance sheet make it a promising choice for investors."</t>
  </si>
  <si>
    <t>GD,85.0,"General Dynamics is a leading company in the Aerospace &amp; Defense industry with a recent market cap of $79.71B and an enterprise value of $88.88B. The company has a trailing P/E ratio of 24.17 and a forward P/E ratio of 20.00, indicating a positive outlook for future earnings. The PEG ratio of 1.77 suggests that the stock may be undervalued, making it an attractive investment opportunity.</t>
  </si>
  <si>
    <t>General Dynamics also has a low price-to-sales ratio of 1.90 and a price-to-book ratio of 3.74, indicating that the stock is trading at a reasonable price. The company's enterprise value/revenue ratio of 2.10 and enterprise value/EBITDA ratio of 16.94 are also in line with industry averages, further supporting its investment potential.</t>
  </si>
  <si>
    <t>The recent geopolitical tensions and conflicts, particularly in Europe and the Middle East, have increased the demand for defense and security products and services. As a major player in the industry, General Dynamics is well-positioned to benefit from this trend.</t>
  </si>
  <si>
    <t>Furthermore, the company has a strong financial position, with a healthy balance sheet and a steady track record of profitability. This provides a stable foundation for future growth and potential dividend payouts.</t>
  </si>
  <si>
    <t>Overall, General Dynamics appears to be a solid investment opportunity in the Aerospace &amp; Defense industry, with strong financials and a positive outlook for future earnings. However, investors should continue to monitor any potential impacts from geopolitical events and changes in government defense spending."</t>
  </si>
  <si>
    <t>KR,85.0,"Kroger is a leading player in the food retail industry, with a recent market cap of $41.63B and an enterprise value of $57.76B. The company has a trailing P/E ratio of 19.53 and a forward P/E ratio of 12.99, indicating a potential undervaluation of the stock. The PEG ratio of 1.41 suggests that the stock may be trading at a discount compared to its expected growth rate.</t>
  </si>
  <si>
    <t>Kroger's price/sales ratio of 0.28 and price/book ratio of 3.59 also indicate that the stock may be undervalued. The company's enterprise value/revenue ratio of 0.38 and enterprise value/EBITDA ratio of 8.22 are also relatively low, further supporting the potential investment value of the stock.</t>
  </si>
  <si>
    <t>The recent news of Kroger's partnership with Instacart to expand its online grocery delivery services and its plans to invest in new technology and digital capabilities show the company's commitment to adapting to the changing retail landscape. Additionally, Kroger's strong financial performance and consistent dividend payments make it an attractive investment option for investors seeking stability and potential growth.</t>
  </si>
  <si>
    <t>Overall, based on the recent financial data and news, Kroger appears to be a promising investment opportunity in the food retail industry."</t>
  </si>
  <si>
    <t>FIS,85.0,"Fidelity National Information Services (FIS) is a leading company in the Transaction &amp; Payment Processing Services industry with a recent market cap of $42.49B and an enterprise value of $61.39B. The company has a trailing P/E ratio of 86.71 and a forward P/E ratio of 15.70, indicating a potential undervaluation in the stock. FIS also has a price/sales ratio of 4.44 and a price/book ratio of 2.23, which are both below the industry average, making the stock attractive for investors.</t>
  </si>
  <si>
    <t>In terms of financial performance, FIS has a strong enterprise value/revenue ratio of 6.25 and an enterprise value/EBITDA ratio of 15.15, indicating a healthy balance sheet and efficient use of capital. The company has consistently shown strong revenue growth and profitability, making it a stable and reliable investment option.</t>
  </si>
  <si>
    <t>Recent news and developments in the industry, such as the rise of digital payments and the increasing demand for secure and efficient transaction processing, bode well for FIS's future growth potential. Additionally, the company's recent acquisition of Worldpay, a leading payment processing company, further strengthens its position in the market.</t>
  </si>
  <si>
    <t>Overall, Fidelity National Information Services is a solid company with a strong financial position and promising growth prospects. With its attractive valuation and positive industry outlook, the stock has the potential to provide good returns for investors in the next month."</t>
  </si>
  <si>
    <t>FDX,85.0,"FedEx (FDX) is a global leader in the air freight and logistics industry, providing a wide range of transportation, e-commerce, and business services. The recent macro-economic data and events have created both challenges and opportunities for the company.</t>
  </si>
  <si>
    <t>On one hand, the ongoing COVID-19 pandemic has significantly impacted global trade and supply chains, leading to disruptions in the air freight and logistics industry. However, with the removal of COVID-19 restrictions and the availability of vaccines, the company is well-positioned to benefit from the recovery in global trade.</t>
  </si>
  <si>
    <t>On the other hand, geopolitical tensions in Europe and the Middle East could potentially disrupt trade and impact the company's operations. Additionally, the rise of generative AI models and the potential for increased regulation in the tech sector could also have implications for FedEx's business.</t>
  </si>
  <si>
    <t>In terms of financial data, the latest market cap for FedEx is $67.74B, with an enterprise value of $99.61B. The trailing P/E ratio is 15.89, and the forward P/E ratio is 12.67, indicating a potential undervaluation of the company's stock. The PEG ratio of 0.99 suggests that the stock may be undervalued relative to its expected growth.</t>
  </si>
  <si>
    <t>Furthermore, the price/sales ratio of 0.79 and price/book ratio of 2.57 also indicate that the stock may be undervalued. The enterprise value/revenue ratio of 1.14 and enterprise value/EBITDA ratio of 8.99 suggest that the company's stock may be trading at a discount compared to its peers in the industry.</t>
  </si>
  <si>
    <t>Overall, despite the challenges posed by the current economic and geopolitical landscape, FedEx remains a strong player in the air freight and logistics industry. With a solid financial position and potential for growth, the company may present a good investment opportunity for the next month."</t>
  </si>
  <si>
    <t>FDS,85.0,"FactSet (FDS) is a leading provider of financial data and analytics for the global investment community. The company offers a wide range of solutions, including market data, analytics, and research tools, to help clients make informed investment decisions.</t>
  </si>
  <si>
    <t>FactSet's latest financial data shows a market cap of $16.74B and an enterprise value of $18.07B. The company's trailing P/E ratio is 35.57, while the forward P/E ratio is 27.55. The PEG ratio, which measures the stock's valuation relative to its expected growth, is at 2.34. The price/sales ratio is 8.04, and the price/book ratio is 9.84. The enterprise value/revenue ratio is 8.51, and the enterprise value/EBITDA ratio is 22.46.</t>
  </si>
  <si>
    <t>FactSet's strong financial position and diverse range of products make it a solid investment option in the Financial Exchanges &amp; Data industry. The company's consistent revenue growth and profitability, along with its focus on innovation and expanding its global reach, position it well for future success."</t>
  </si>
  <si>
    <t>FFIV,85.0,"F5, Inc. is a leading company in the Communications Equipment industry with a recent market cap of 11.15B and an enterprise value of 10.60B. The firm has a trailing P/E ratio of 24.71 and a forward P/E ratio of 15.46, indicating a potential undervaluation in the stock. The PEG ratio of 1.75 suggests that the stock may be slightly overvalued based on its expected growth rate. However, the price/sales ratio of 4.06 and price/book ratio of 3.90 are both below the industry average, indicating a potential buying opportunity for investors.</t>
  </si>
  <si>
    <t>F5, Inc. also has a strong financial position, with an enterprise value/revenue ratio of 3.78 and an enterprise value/EBITDA ratio of 14.61. This suggests that the company is generating strong revenue and earnings, making it a stable investment option.</t>
  </si>
  <si>
    <t>Overall, F5, Inc. appears to be a solid investment option in the Communications Equipment industry. With a strong financial position and potential undervaluation, the stock may offer good returns for investors in the next month."</t>
  </si>
  <si>
    <t>XOM,85.0,"ExxonMobil is a leading company in the Integrated Oil &amp; Gas industry with a recent market cap of $473.28B and an enterprise value of $483.32B. The company has a trailing P/E ratio of 13.42 and a forward P/E ratio of 13.05, indicating that the stock is currently undervalued. However, the PEG ratio of 6.98 suggests that the stock may be overvalued in the long term.</t>
  </si>
  <si>
    <t>ExxonMobil's latest financial data also shows a price/sales ratio of 1.44 and a price/book ratio of 2.31, which are both below the industry average. This indicates that the stock may be a good value investment at its current price. Additionally, the company's enterprise value/revenue ratio of 1.44 and enterprise value/EBITDA ratio of 6.51 are also below the industry average, further supporting the potential investment value of the stock.</t>
  </si>
  <si>
    <t>Overall, ExxonMobil's financial data suggests that the stock may be a good investment opportunity in the Integrated Oil &amp; Gas industry. However, investors should closely monitor the company's performance and any potential changes in the industry, such as shifts towards renewable energy sources, which could impact the stock's long-term prospects."</t>
  </si>
  <si>
    <t>HSIC,85.0,"Henry Schein is a leading health care distributor with a recent market cap of 9.39B and an enterprise value of 11.96B. The company has a trailing P/E ratio of 23.13 and a forward P/E ratio of 14.45, indicating a potential undervaluation of the stock. The PEG ratio of 1.70 suggests that the stock may be slightly overvalued based on its expected growth rate.</t>
  </si>
  <si>
    <t>In terms of valuation metrics, Henry Schein has a price/sales ratio of 0.78 and a price/book ratio of 2.57, both of which are below the industry average. This could indicate that the stock is currently undervalued compared to its peers. Additionally, the company has a strong financial position with an enterprise value/revenue ratio of 0.97 and an enterprise value/EBITDA ratio of 13.64.</t>
  </si>
  <si>
    <t>Overall, Henry Schein appears to be in a strong financial position with potential for growth in the health care distribution industry. However, investors should closely monitor any potential changes in the industry, such as regulatory changes or shifts in consumer behavior, that could impact the company's performance."</t>
  </si>
  <si>
    <t>ESS,85.0,"Essex Property Trust (ESS) is a real estate investment trust (REIT) that specializes in multi-family residential properties. The recent macro-economic data shows a strong recovery in the housing market, with low mortgage rates and high demand for rental properties. This bodes well for ESS, as it operates in the multi-family residential REIT industry.</t>
  </si>
  <si>
    <t>In terms of financial data, ESS has a market cap of $15.12B and an enterprise value of $20.91B. Its trailing P/E ratio of 37.26 and forward P/E ratio of 42.37 suggest that the stock may be slightly overvalued. However, its PEG ratio of 7.47 indicates that the stock may have growth potential in the long term.</t>
  </si>
  <si>
    <t>ESS also has a price/sales ratio of 9.06 and a price/book ratio of 2.79, which are both below the industry average. This suggests that the stock may be undervalued compared to its peers. Additionally, its enterprise value/revenue ratio of 12.53 and enterprise value/EBITDA ratio of 17.54 are in line with industry averages, indicating that the company is efficiently managing its debt.</t>
  </si>
  <si>
    <t>Overall, ESS appears to be in a strong financial position and is well-positioned to take advantage of the current housing market trends. However, investors should keep an eye on potential risks, such as rising interest rates and competition in the multi-family residential market."</t>
  </si>
  <si>
    <t>EQT,85.0,"EQT is a leading oil and gas exploration and production company with a recent market cap of 16.25B and an enterprise value of 22.01B. The firm has a trailing P/E ratio of 8.74 and a forward P/E ratio of 21.79, indicating a potential increase in earnings in the future. The PEG ratio, which measures the stock's valuation relative to its expected growth, is at a low 0.20, suggesting that the stock may be undervalued. Additionally, the price/sales ratio of 3.01 and price/book ratio of 1.10 are both below the industry average, further supporting the potential undervaluation of the stock.</t>
  </si>
  <si>
    <t>Furthermore, EQT's enterprise value/revenue and enterprise value/EBITDA ratios of 4.34 and 5.40, respectively, are also below the industry average, indicating that the stock may be trading at a discount compared to its peers.</t>
  </si>
  <si>
    <t>The recent surge in commodities, including oil, has raised concerns about the potential impact on the stock market. However, EQT's strong financials and low valuation ratios make it a potentially attractive investment opportunity in the oil and gas industry."</t>
  </si>
  <si>
    <t>EPAM,85.0,"EPAM Systems is a leading global provider of digital platform engineering and software development services. The company has a strong track record of growth and profitability, with a recent market cap of $15.70B and an enterprise value of $13.77B.</t>
  </si>
  <si>
    <t>In terms of financial performance, EPAM Systems has a trailing P/E ratio of 38.45 and a forward P/E ratio of 46.30, indicating a relatively high valuation. However, the company's price/sales ratio of 3.42 and price/book ratio of 4.52 are in line with industry averages, suggesting that the stock may not be overvalued.</t>
  </si>
  <si>
    <t>EPAM Systems also has a strong balance sheet, with an enterprise value/revenue ratio of 2.94 and an enterprise value/EBITDA ratio of 20.87. This indicates that the company is generating solid revenue and earnings, and has a manageable level of debt.</t>
  </si>
  <si>
    <t>Overall, EPAM Systems appears to be in a strong financial position, with a solid track record of growth and profitability. However, investors should keep an eye on the company's valuation and monitor any potential risks, such as changes in the IT consulting and services industry or regulatory developments."</t>
  </si>
  <si>
    <t>LEN,85.0,"Lennar Corporation (LEN) is a leading homebuilding company in the United States, with a recent market cap of $44.68B and an enterprise value of $43.83B. The company has a trailing P/E ratio of 11.41 and a forward P/E ratio of 11.35, indicating that the stock is currently undervalued. The PEG ratio of 1.28 suggests that the stock has a potential for growth in the next five years.</t>
  </si>
  <si>
    <t>Lennar's latest financial data also shows a price/sales ratio of 1.30 and a price/book ratio of 1.70, both of which are below the industry average. This indicates that the stock is currently trading at a discount compared to its peers. The company's enterprise value/revenue ratio of 1.25 and enterprise value/EBITDA ratio of 7.76 also suggest that the stock is undervalued.</t>
  </si>
  <si>
    <t>The recent surge in the housing market, driven by low mortgage rates and high demand, has been beneficial for Lennar. The company reported strong financial results in its latest earnings report, with a 16% increase in revenue and a 35% increase in net income compared to the same period last year. Lennar's backlog of homes also increased by 35%, indicating a strong demand for its products.</t>
  </si>
  <si>
    <t>Overall, Lennar's financial data and recent performance suggest that the company is in a strong position in the homebuilding industry. With a potential for growth and a current undervaluation, the stock may present a good investment opportunity for the next month."</t>
  </si>
  <si>
    <t>EXPD,85.0,"Expeditors International is a leading company in the Air Freight &amp; Logistics industry with a recent market cap of 16.69B and an enterprise value of 15.70B. The company has a trailing P/E ratio of 23.47 and a forward P/E ratio of 24.27, indicating a relatively high valuation. However, its price-to-sales ratio of 1.90 and price-to-book ratio of 6.98 suggest that the stock may be undervalued compared to its peers in the industry.</t>
  </si>
  <si>
    <t>Expeditors International has a strong financial position, with an enterprise value/revenue ratio of 1.69 and an enterprise value/EBITDA ratio of 14.44. This indicates that the company is generating healthy revenue and earnings, and its debt levels are manageable.</t>
  </si>
  <si>
    <t>The recent geopolitical tensions in Europe and the Middle East may have some impact on the company's operations, as it operates globally. However, its strong financials and diversified business model may help mitigate any potential risks.</t>
  </si>
  <si>
    <t>Overall, Expeditors International appears to be a solid investment option in the Air Freight &amp; Logistics industry. Its strong financials and potential for growth make it a promising stock to consider for the next month."</t>
  </si>
  <si>
    <t>EXC,85.0,"Exelon is a leading electric utility company with a recent market cap of $37.59B and an enterprise value of $81.15B. The company has a trailing P/E ratio of 16.07 and a forward P/E ratio of 15.34, indicating that the stock may be undervalued. However, the PEG ratio of 2.72 suggests that the stock may be slightly overvalued based on its expected growth rate.</t>
  </si>
  <si>
    <t>Exelon's price/sales ratio of 1.73 and price/book ratio of 1.46 are both below the industry average, indicating that the stock may be undervalued compared to its peers. The company's enterprise value/revenue ratio of 3.73 and enterprise value/EBITDA ratio of 10.22 are also below the industry average, suggesting that the stock may be a good value investment.</t>
  </si>
  <si>
    <t>Overall, Exelon's financial data suggests that the stock may be undervalued and could be a good investment opportunity for the next month. However, investors should continue to monitor the company's performance and any potential risks, such as changes in energy policies or regulations."</t>
  </si>
  <si>
    <t>ES,85.0,"Eversource, a leading electric utility company, has been performing well in the recent market conditions. With a market cap of 20.79B and an enterprise value of 47.49B, the company has a strong financial standing. Its forward P/E ratio of 12.84 and PEG ratio of 2.02 indicate that the stock is currently undervalued and has potential for growth.</t>
  </si>
  <si>
    <t>In terms of valuation, Eversource has a price/sales ratio of 1.74 and a price/book ratio of 1.47, which are both below the industry average. This suggests that the stock is currently trading at a discount compared to its peers. Additionally, the company's enterprise value/revenue ratio of 3.99 and enterprise value/EBITDA ratio of 34.01 are also lower than the industry average, indicating that the stock may be undervalued.</t>
  </si>
  <si>
    <t>Eversource has a strong track record of consistent earnings and dividend growth, making it an attractive investment option for investors seeking stable returns. The company also has a solid balance sheet and a healthy cash flow, providing a strong foundation for future growth.</t>
  </si>
  <si>
    <t>Based on the recent financial data and market conditions, Eversource appears to be a promising investment opportunity in the electric utilities industry. However, as with any investment, it is important for investors to conduct their own research and carefully consider their risk tolerance before making any decisions."</t>
  </si>
  <si>
    <t>GS,85.0,"Recent Dividend Yield    1.44%</t>
  </si>
  <si>
    <t>Goldman Sachs is a leading investment banking and brokerage firm with a recent market cap of $133.10B. The firm has a trailing P/E ratio of 17.93 and a forward P/E ratio of 11.72, indicating a potential undervaluation in the stock. However, the PEG ratio of 3.26 suggests that the stock may be overvalued based on its expected growth rate.</t>
  </si>
  <si>
    <t>In terms of valuation metrics, Goldman Sachs has a price/sales ratio of 3.07 and a price/book ratio of 1.26, which are both below the industry average. This could indicate that the stock is currently trading at a discount compared to its peers.</t>
  </si>
  <si>
    <t>The firm also offers a recent dividend yield of 1.44%, providing potential income for investors. However, it is important to note that the stock's performance may be affected by macroeconomic factors and market sentiment.</t>
  </si>
  <si>
    <t>Overall, Goldman Sachs appears to be in a strong financial position with potential for growth. However, investors should carefully consider their risk tolerance and conduct further research before making any investment decisions."</t>
  </si>
  <si>
    <t>GL,85.0,"Globe Life is a leading company in the Life &amp; Health Insurance industry with a recent market cap of $10.50B and an enterprise value of $12.51B. The company has a trailing P/E ratio of 11.09 and a forward P/E ratio of 10.44, indicating that the stock may be undervalued. Additionally, Globe Life has a price/sales ratio of 1.97 and a price/book ratio of 2.34, which are both below the industry average. This suggests that the stock may be a good value investment.</t>
  </si>
  <si>
    <t>The company's latest financial data shows a strong balance sheet, with a low debt-to-equity ratio of 0.24 and a healthy cash flow. Globe Life also has a solid track record of consistent earnings growth, with a 5-year average EPS growth rate of 8.5%. This indicates that the company is well-managed and has the potential for future growth.</t>
  </si>
  <si>
    <t>Furthermore, Globe Life has a strong market position and a diverse portfolio of insurance products, including life, health, and supplemental insurance. This provides stability and potential for growth in the long term.</t>
  </si>
  <si>
    <t>Based on the recent financial data and the company's strong fundamentals, Globe Life appears to be a promising investment opportunity in the Life &amp; Health Insurance industry."</t>
  </si>
  <si>
    <t>GPN,85.0,"Global Payments (GPN) is a leading company in the transaction and payment processing services industry, with a recent market cap of $32.74B and an enterprise value of $48.03B. The company has a trailing P/E ratio of 34.05 and a forward P/E ratio of 11.04, indicating a potential undervaluation in the stock. Additionally, the PEG ratio of 0.68 suggests that the stock may be trading at a discount compared to its expected growth rate.</t>
  </si>
  <si>
    <t>In terms of valuation metrics, Global Payments has a price/sales ratio of 3.48 and a price/book ratio of 1.42, both of which are below the industry average. This could indicate that the stock is currently undervalued and may present a buying opportunity for investors.</t>
  </si>
  <si>
    <t>Furthermore, the company's enterprise value/revenue ratio of 4.97 and enterprise value/EBITDA ratio of 13.32 are also lower than the industry average, suggesting that the stock may be trading at a discount compared to its peers.</t>
  </si>
  <si>
    <t>Overall, Global Payments appears to be in a strong financial position with potential for growth in the transaction and payment processing services industry. However, investors should continue to monitor the company's performance and any potential risks, such as changes in consumer behavior or increased competition."</t>
  </si>
  <si>
    <t>HON,85.0,"Honeywell, a leading industrial conglomerate, has shown strong performance in recent years, driven by its management's focus on modernization and growth in high-tech segments. The company's organic growth and margins have improved, leading to increased distributions and a strong share price performance. With industry ""mega trends"" such as electrification, digitalization, and automation expected to drive growth in the coming years, Honeywell is well-positioned for future success.</t>
  </si>
  <si>
    <t>Firm Financial Data:</t>
  </si>
  <si>
    <t>Market Cap (intraday): $130.59B</t>
  </si>
  <si>
    <t>Enterprise Value: $144.03B</t>
  </si>
  <si>
    <t>Trailing P/E: 23.64</t>
  </si>
  <si>
    <t>Forward P/E: 20.12</t>
  </si>
  <si>
    <t>PEG Ratio (5 yr expected): 2.05</t>
  </si>
  <si>
    <t>Price/Sales (ttm): 3.65</t>
  </si>
  <si>
    <t>Price/Book (mrq): 8.24</t>
  </si>
  <si>
    <t>Enterprise Value/Revenue: 3.93</t>
  </si>
  <si>
    <t>Enterprise Value/EBITDA: 15.83"</t>
  </si>
  <si>
    <t>HD,85.0,"Home Depot (The) is a leading company in the Home Improvement Retail industry with a recent market cap of 359.74B and an enterprise value of 408.23B. The company has a trailing P/E ratio of 24.02 and a forward P/E ratio of 23.75, indicating a relatively high valuation. However, its PEG ratio of 2.02 suggests that the stock may still have room for growth.</t>
  </si>
  <si>
    <t>In terms of valuation multiples, Home Depot has a price/sales ratio of 2.38 and a price/book ratio of 344.58, both of which are higher than the industry average. This could be attributed to the company's strong financial performance and market dominance in the home improvement retail sector.</t>
  </si>
  <si>
    <t>Home Depot's enterprise value/revenue ratio of 2.67 and enterprise value/EBITDA ratio of 16.25 are also higher than the industry average, indicating that the company may be slightly overvalued. However, its strong financials and consistent growth make it an attractive investment option.</t>
  </si>
  <si>
    <t>Overall, Home Depot has a strong financial position and a dominant market presence, making it a solid investment choice in the Home Improvement Retail industry. Its valuation may be on the higher side, but its growth potential and stability make it a reliable long-term investment."</t>
  </si>
  <si>
    <t>HOLX,85.0,"Hologic, a leading company in the Health Care Equipment industry, has shown strong financial performance in recent years. With a market cap of 17.86B and an enterprise value of 18.51B, the company has a solid financial foundation. Its trailing P/E ratio of 36.06 and forward P/E ratio of 18.80 suggest that the company is currently trading at a premium, but its PEG ratio of 1.42 indicates potential for future growth.</t>
  </si>
  <si>
    <t>In terms of valuation, Hologic's price/sales ratio of 4.73 and price/book ratio of 3.84 are in line with industry averages, indicating that the stock is not overvalued. Its enterprise value/revenue ratio of 4.66 and enterprise value/EBITDA ratio of 17.41 also suggest that the company is reasonably priced.</t>
  </si>
  <si>
    <t>Overall, Hologic appears to be a strong investment opportunity in the Health Care Equipment industry. Its financial data and market position indicate potential for growth and stability in the long term."</t>
  </si>
  <si>
    <t>EOG,85.0,"EOG Resources is a leading oil and gas exploration and production company with a recent market cap of $76.07B and an enterprise value of $75.59B. The company has a trailing P/E ratio of 10.17 and a forward P/E ratio of 10.87, indicating a relatively low valuation compared to its industry peers. However, its PEG ratio of 2.61 suggests that the stock may be slightly overvalued based on its expected growth rate.</t>
  </si>
  <si>
    <t>In terms of valuation multiples, EOG Resources has a price/sales ratio of 3.33 and a price/book ratio of 2.71, both of which are in line with industry averages. Its enterprise value/revenue ratio of 3.26 and enterprise value/EBITDA ratio of 5.67 also indicate a reasonable valuation.</t>
  </si>
  <si>
    <t>The recent surge in commodities, including oil, has been a positive factor for EOG Resources, as it is expected to boost the company's revenue and profitability. However, the ongoing geopolitical tensions in the Middle East and potential disruptions to energy supplies could create challenges for the company.</t>
  </si>
  <si>
    <t>Overall, EOG Resources appears to be a solid investment opportunity in the oil and gas exploration and production industry, with a strong financial position and reasonable valuation. However, investors should closely monitor any developments in the global oil market and geopolitical landscape that could impact the company's performance."</t>
  </si>
  <si>
    <t>PARA,85.0,"Paramount Global is a leading player in the Movies &amp; Entertainment industry, with a recent market cap of 8.06B and an enterprise value of 21.46B. The company's financial data shows a strong performance, with a low forward P/E ratio of 9.85 and a PEG ratio of 0.24, indicating potential undervaluation. Additionally, the price/sales and price/book ratios are also relatively low at 0.26 and 0.34 respectively, suggesting a potential buying opportunity for investors.</t>
  </si>
  <si>
    <t>However, the company's enterprise value/revenue and enterprise value/EBITDA ratios are on the higher side at 0.72 and 252.47, respectively. This could be a concern for investors as it indicates a higher valuation compared to its revenue and earnings. Furthermore, the recent news of the company's upcoming movie releases and partnerships with streaming platforms could potentially drive growth and increase its market share in the industry.</t>
  </si>
  <si>
    <t>Overall, Paramount Global's financial data and recent developments suggest a potential investment opportunity in the short term. However, investors should closely monitor the company's performance and industry trends before making any investment decisions."</t>
  </si>
  <si>
    <t>NEE,85.0,"NextEra Energy (NEE) is a leading company in the Multi-Utilities industry with a recent market cap of $129.06B and an enterprise value of $199.58B. The company has a trailing P/E ratio of 17.47 and a forward P/E ratio of 18.48, indicating a relatively stable valuation. However, the PEG ratio of 2.60 suggests that the stock may be slightly overvalued compared to its expected growth rate.</t>
  </si>
  <si>
    <t>In terms of financial performance, NextEra Energy has a price/sales ratio of 4.54 and a price/book ratio of 2.72, both of which are in line with industry averages. The company's enterprise value/revenue ratio of 7.10 and enterprise value/EBITDA ratio of 11.91 also indicate a healthy financial position.</t>
  </si>
  <si>
    <t>Recent News:</t>
  </si>
  <si>
    <t>NextEra Energy has been making headlines for its commitment to clean energy and sustainability. The company has set a goal to reduce its carbon dioxide emissions by 67% by 2025 and to be net-zero by 2050. This aligns with the growing global focus on renewable energy and could position NextEra Energy as a leader in the industry.</t>
  </si>
  <si>
    <t>Additionally, the company has been expanding its operations through acquisitions, including the recent purchase of GridLiance, a transmission company, for $660 million. This move is expected to strengthen NextEra Energy's position in the transmission and distribution market.</t>
  </si>
  <si>
    <t>Overall, NextEra Energy's financial performance and recent news suggest a stable and promising outlook for the company."</t>
  </si>
  <si>
    <t>NWS,85.0,"News Corp (Class B) is a global media and publishing company with a market cap of 14.66B and an enterprise value of 17.17B. The company's latest financial data shows a trailing P/E ratio of 65.83 and a forward P/E ratio of 25.91, indicating a potential undervaluation of the stock. The PEG ratio of 1.13 suggests that the stock may be trading at a discount compared to its expected growth rate.</t>
  </si>
  <si>
    <t>News Corp's price/sales ratio of 1.52 and price/book ratio of 1.83 are both below the industry average, further supporting the potential undervaluation of the stock. The company's enterprise value/revenue ratio of 1.72 and enterprise value/EBITDA ratio of 13.72 also indicate a relatively low valuation.</t>
  </si>
  <si>
    <t>The recent geopolitical tensions in Europe and the Middle East may have some indirect impact on News Corp's operations, particularly in terms of global market sentiment. However, the company's strong financials and diversified portfolio of media and publishing assets make it a resilient investment option."</t>
  </si>
  <si>
    <t>NWSA,85.0,"News Corp (Class A) is a global media and publishing company with a market cap of 14.66B and an enterprise value of 17.17B. The company's recent financial data shows a trailing P/E ratio of 63.77 and a forward P/E ratio of 25.06, indicating a potential undervaluation of the stock. The PEG ratio of 1.09 suggests that the stock may be trading at a discount compared to its expected growth rate.</t>
  </si>
  <si>
    <t>In terms of valuation, News Corp's price/sales ratio of 1.47 and price/book ratio of 1.77 are both below the industry average, indicating a potential opportunity for investors. The company's enterprise value/revenue ratio of 1.72 and enterprise value/EBITDA ratio of 13.72 also suggest that the stock may be undervalued.</t>
  </si>
  <si>
    <t>Recent news and developments in the publishing industry, such as the rise of digital media and the increasing demand for quality content, bode well for News Corp's future growth potential. Additionally, the company's diversified portfolio of media assets, including newspapers, book publishing, and digital media, provides stability and potential for growth.</t>
  </si>
  <si>
    <t>Overall, News Corp (Class A) appears to be a promising investment opportunity in the publishing industry, with potential for growth and a currently undervalued stock. However, as with any investment, it is important for investors to conduct their own research and carefully consider their risk tolerance before making any decisions."</t>
  </si>
  <si>
    <t>NFLX,85.0,"Netflix, a leading company in the Movies &amp; Entertainment industry, has shown strong financial performance in recent years. With a market cap of 265.81B and an enterprise value of 273.21B, the company has a solid financial foundation. Its trailing P/E ratio of 51.06 and forward P/E ratio of 35.59 indicate that investors have high expectations for the company's future earnings.</t>
  </si>
  <si>
    <t>The PEG ratio of 1.89 suggests that the stock may be slightly overvalued, but this is not uncommon for a company in a rapidly growing industry. Netflix's price/sales ratio of 8.19 and price/book ratio of 12.91 are also higher than the industry average, indicating that the stock may be trading at a premium.</t>
  </si>
  <si>
    <t>However, the company's strong financials and dominant position in the streaming market make it a compelling investment opportunity. With the recent surge in demand for streaming services due to the COVID-19 pandemic, Netflix has seen a significant increase in subscribers and revenue. Additionally, the company's investments in original content and expansion into international markets bode well for its future growth.</t>
  </si>
  <si>
    <t>Overall, Netflix's financial data and recent news suggest that it is a strong player in the Movies &amp; Entertainment industry with potential for continued growth. However, investors should carefully consider the company's valuation before making any investment decisions."</t>
  </si>
  <si>
    <t>NDAQ,85.0,"Nasdaq, Inc. is a leading financial exchange and data company with a recent market cap of $35.32B and an enterprise value of $45.55B. The company has a trailing P/E ratio of 29.49 and a forward P/E ratio of 22.68, indicating a positive outlook for future earnings. The PEG ratio of 1.97 suggests that the stock may be slightly overvalued, but this is offset by a strong price-to-sales ratio of 5.14 and a price-to-book ratio of 3.27.</t>
  </si>
  <si>
    <t>Nasdaq's enterprise value to revenue ratio of 7.51 and enterprise value to EBITDA ratio of 22.82 are in line with industry averages, indicating a stable financial position. The company has a strong track record of growth and innovation, with a focus on emerging technologies such as artificial intelligence and blockchain.</t>
  </si>
  <si>
    <t>Overall, Nasdaq, Inc. appears to be a solid investment opportunity in the financial exchanges and data industry. The company's strong financials, innovative approach, and positive outlook make it a promising choice for investors."</t>
  </si>
  <si>
    <t>NUE,85.0,"Nucor is a leading steel company in the United States, with a recent market cap of $47.60B and an enterprise value of $47.32B. The company has a strong financial position, with a trailing P/E ratio of 11.02 and a forward P/E ratio of 14.93. Nucor's price-to-sales ratio is 1.43, and its price-to-book ratio is 2.27, indicating that the stock may be undervalued. Additionally, the company's enterprise value/revenue ratio of 1.36 and enterprise value/EBITDA ratio of 6.16 suggest that Nucor is performing well in terms of generating revenue and earnings.</t>
  </si>
  <si>
    <t>The recent surge in commodity prices, including steel, has positively impacted Nucor's financial performance. The company's strong balance sheet and efficient operations have allowed it to capitalize on this trend and generate solid profits. Nucor's focus on innovation and sustainability also positions it well for future growth in the steel industry.</t>
  </si>
  <si>
    <t>Overall, Nucor appears to be a strong investment opportunity in the steel industry for the next month. Its financial data and market trends suggest that the company has the potential for continued success and growth. However, as with any investment, it is essential to conduct thorough research and consider all factors before making a decision."</t>
  </si>
  <si>
    <t>NRG,85.0,"NRG Energy is a leading independent power producer and energy trader in the United States. The company has a recent market cap of $14.73B and an enterprise value of $25.81B. Its forward P/E ratio is 11.26, indicating that the stock is currently undervalued. NRG Energy also has a low price-to-sales ratio of 0.54 and a price-to-book ratio of 6.53, suggesting that the stock may be a good value investment.</t>
  </si>
  <si>
    <t>In terms of financial performance, NRG Energy has a strong enterprise value/revenue ratio of 0.90 and an enterprise value/EBITDA ratio of 14.62. This indicates that the company is generating solid revenue and earnings, making it a potentially attractive investment opportunity.</t>
  </si>
  <si>
    <t>Recent news and developments in the energy sector, including rising commodity prices and geopolitical tensions in the Middle East, may have a positive impact on NRG Energy's stock performance in the short term. Additionally, the company's focus on renewable energy sources and its efforts to reduce carbon emissions could position it well for long-term growth in the evolving energy market.</t>
  </si>
  <si>
    <t>Overall, NRG Energy appears to be a solid investment opportunity in the independent power producers and energy traders industry. Its strong financials and potential for growth make it a stock to watch in the coming months."</t>
  </si>
  <si>
    <t>NOC,85.0,"Northrop Grumman is a leading aerospace and defense company with a recent market cap of $69.97B and an enterprise value of $82.54B. The company has a trailing P/E ratio of 34.47 and a forward P/E ratio of 18.90, indicating a potential undervaluation of the stock. The PEG ratio of 0.93 suggests that the stock may be trading at a discount compared to its expected growth rate.</t>
  </si>
  <si>
    <t>Northrop Grumman's price/sales ratio of 1.80 and price/book ratio of 4.73 are both below the industry average, further supporting the potential undervaluation of the stock. The company also has a strong financial position, with an enterprise value/revenue ratio of 2.10 and an enterprise value/EBITDA ratio of 19.52.</t>
  </si>
  <si>
    <t>The recent geopolitical tensions and conflicts, particularly in the Middle East, have increased the demand for defense and aerospace products, which could benefit Northrop Grumman. Additionally, the company's focus on emerging technologies, such as artificial intelligence and cybersecurity, positions it well for future growth.</t>
  </si>
  <si>
    <t>Overall, Northrop Grumman appears to be a strong investment opportunity in the aerospace and defense industry. Its solid financials, potential undervaluation, and focus on emerging technologies make it a promising stock for the next month."</t>
  </si>
  <si>
    <t>ETSY,85.0,"Etsy, a leading online marketplace for handmade and vintage goods, has shown strong financial performance in recent years. With a market cap of 7.72B and an enterprise value of 8.96B, the company has a solid financial foundation. Its trailing P/E ratio of 29.10 and forward P/E ratio of 18.08 suggest that the stock is currently trading at a premium, but its PEG ratio of 0.99 indicates that it may still be undervalued.</t>
  </si>
  <si>
    <t>In terms of revenue, Etsy has a price/sales ratio of 3.32 and an enterprise value/revenue ratio of 3.26, which are both in line with industry averages. However, its enterprise value/EBITDA ratio of 22.51 is slightly higher than the industry average, indicating that the company may be less efficient in generating earnings from its operations.</t>
  </si>
  <si>
    <t>Overall, Etsy's financial data suggests that it is a stable and well-performing company in the broadline retail industry. Its strong market position and potential for growth make it an attractive investment opportunity."</t>
  </si>
  <si>
    <t>FMC,85.0,"FMC Corporation is a leading player in the Fertilizers &amp; Agricultural Chemicals industry, with a recent market cap of 7.53B and an enterprise value of 11.33B. The company has a strong financial position, with a low trailing P/E ratio of 5.34 and a forward P/E of 15.87, indicating potential for future growth. FMC also has a healthy price/sales ratio of 1.69 and a price/book ratio of 1.71, suggesting that the stock is currently undervalued.</t>
  </si>
  <si>
    <t>In terms of profitability, FMC has an enterprise value/revenue ratio of 2.53 and an enterprise value/EBITDA ratio of 15.70, which are both in line with industry averages. This indicates that the company is efficiently utilizing its resources and generating strong returns for investors.</t>
  </si>
  <si>
    <t>Recent macro-economic events, such as the COVID-19 pandemic and geopolitical tensions, have had minimal impact on FMC's operations. The company has a strong global presence and a diversified portfolio, which helps mitigate potential risks.</t>
  </si>
  <si>
    <t>Overall, FMC Corporation appears to be a solid investment opportunity in the Fertilizers &amp; Agricultural Chemicals industry. With a strong financial position and potential for future growth, the company is well-positioned to deliver value to its shareholders."</t>
  </si>
  <si>
    <t>FI,85.0,"Fiserv, a leading company in the Transaction &amp; Payment Processing Services industry, has shown strong financial performance in recent years. With a market cap of 93.44B and an enterprise value of 115.48B, the company has a solid financial foundation. Its trailing P/E ratio of 31.78 and forward P/E ratio of 18.35 indicate that the company is currently trading at a reasonable valuation.</t>
  </si>
  <si>
    <t>Furthermore, Fiserv's PEG ratio of 1.06 suggests that the stock may be undervalued, as it is trading at a lower multiple compared to its expected earnings growth. The company's price/sales ratio of 5.11 and price/book ratio of 3.13 also indicate that the stock may be undervalued.</t>
  </si>
  <si>
    <t>In terms of its financial health, Fiserv has an enterprise value/revenue ratio of 6.05 and an enterprise value/EBITDA ratio of 14.39. These ratios suggest that the company is generating strong revenue and earnings, making it a financially stable and attractive investment option.</t>
  </si>
  <si>
    <t>Overall, Fiserv's recent financial data and news suggest that the company is in a strong position and has the potential for growth in the Transaction &amp; Payment Processing Services industry. However, as with any investment, it is important to conduct thorough research and consider all factors before making any decisions."</t>
  </si>
  <si>
    <t>FE,85.0,"FirstEnergy is a leading electric utility company with a recent market cap of $22.10B and an enterprise value of $46.87B. The company has a trailing P/E ratio of 19.63 and a forward P/E ratio of 14.24, indicating a potential undervaluation of the stock. The PEG ratio of 1.28 suggests that the stock may be trading at a discount compared to its expected earnings growth.</t>
  </si>
  <si>
    <t>In terms of valuation, FirstEnergy has a price/sales ratio of 1.72 and a price/book ratio of 2.12, which are both below the industry average. This could indicate that the stock is currently undervalued and may present a good investment opportunity.</t>
  </si>
  <si>
    <t>Furthermore, the company's enterprise value/revenue ratio of 3.64 and enterprise value/EBITDA ratio of 11.86 are also below the industry average, suggesting that the stock may be trading at a discount compared to its peers.</t>
  </si>
  <si>
    <t>Overall, FirstEnergy's financial data suggests that the stock may be undervalued and could present a good investment opportunity in the electric utilities industry."</t>
  </si>
  <si>
    <t>FSLR,85.0,"First Solar is a leading company in the Semiconductors industry with a recent market cap of $17.90B and an enterprise value of $16.42B. The company has a trailing P/E ratio of 21.60 and a forward P/E ratio of 12.32, indicating potential undervaluation. Its PEG ratio of 0.37 suggests that the stock may be undervalued compared to its expected growth rate.</t>
  </si>
  <si>
    <t>In terms of valuation metrics, First Solar has a price/sales ratio of 5.41 and a price/book ratio of 2.68, both of which are below the industry average. This could indicate that the stock is currently trading at a discount. Additionally, the company's enterprise value/revenue ratio of 4.95 and enterprise value/EBITDA ratio of 13.54 are also lower than the industry average, further supporting the potential undervaluation of the stock.</t>
  </si>
  <si>
    <t>Overall, First Solar appears to be in a strong financial position with solid valuation metrics. The company's recent performance and future growth potential make it a promising investment opportunity in the Semiconductors industry."</t>
  </si>
  <si>
    <t>PFE,85.0,"Pfizer, a leading pharmaceutical company, has been in the news recently for its role in developing a COVID-19 vaccine. The company's latest financial data shows a market cap of $156 billion and an enterprise value of $214.16 billion. Its trailing P/E ratio is 74.46, while the forward P/E ratio is 12.72, indicating potential growth in the future. The PEG ratio, which measures the stock's valuation relative to its expected earnings growth, is at a low 0.28, suggesting that the stock may be undervalued. The price/sales and price/book ratios are also relatively low at 2.66 and 1.75, respectively. However, the enterprise value/revenue and enterprise value/EBITDA ratios are higher at 3.66 and 22.41, respectively, indicating a higher valuation compared to its revenue and earnings.</t>
  </si>
  <si>
    <t>Overall, Pfizer's financial data suggests a stable and potentially undervalued stock with room for growth. The company's involvement in the development of a COVID-19 vaccine and its strong financial position make it a promising investment opportunity."</t>
  </si>
  <si>
    <t>PEP,85.0,"PepsiCo, a leading company in the Soft Drinks &amp; Non-alcoholic Beverages industry, has shown strong financial performance in recent years. With a market cap of 235.66B and an enterprise value of 270.32B, the company has a solid financial foundation. Its trailing P/E ratio of 26.14 and forward P/E ratio of 21.05 indicate that the company is currently trading at a reasonable valuation.</t>
  </si>
  <si>
    <t>One potential concern for investors is the company's PEG ratio of 2.84, which is slightly higher than the industry average. This could suggest that the stock may be slightly overvalued, but it is important to note that PepsiCo has a strong track record of consistent earnings growth.</t>
  </si>
  <si>
    <t>In terms of valuation metrics, PepsiCo's price/sales ratio of 2.59 and price/book ratio of 12.74 are in line with industry averages. Its enterprise value/revenue ratio of 2.96 and enterprise value/EBITDA ratio of 17.16 also indicate that the company is not overvalued.</t>
  </si>
  <si>
    <t>Overall, PepsiCo appears to be a solid investment option in the Soft Drinks &amp; Non-alcoholic Beverages industry. Its strong financial performance and reasonable valuation make it a stable choice for investors."</t>
  </si>
  <si>
    <t>PYPL,85.0,"PayPal (PYPL) is a leading company in the transaction and payment processing services industry, with a recent market cap of $69.30B and an enterprise value of $64.92B. The company has a strong financial position, with a trailing P/E ratio of 16.84 and a forward P/E ratio of 12.61, indicating potential undervaluation. Additionally, the PEG ratio of 0.60 suggests that the stock may be trading at a discount compared to its expected growth rate.</t>
  </si>
  <si>
    <t>PayPal's price/sales ratio of 2.40 and price/book ratio of 3.29 are in line with industry averages, indicating a fair valuation. The company's enterprise value/revenue ratio of 2.18 and enterprise value/EBITDA ratio of 9.50 also suggest that the stock may be undervalued.</t>
  </si>
  <si>
    <t>Recent macro-economic events, such as the easing of COVID-19 restrictions and the ongoing geopolitical tensions in Europe and the Middle East, may have some impact on PayPal's performance in the short term. However, the company's strong financials and position in the growing digital payment industry make it a promising investment opportunity."</t>
  </si>
  <si>
    <t>EVRG,85.0,"Evergy, a leading electric utility company, has a recent market cap of $12.18B and an enterprise value of $25.30B. The company's trailing P/E ratio is 16.73 and its forward P/E ratio is 13.85, indicating a potential undervaluation. Additionally, Evergy has a price/sales ratio of 2.22 and a price/book ratio of 1.26, both of which are below the industry average. Its enterprise value/revenue ratio of 4.59 and enterprise value/EBITDA ratio of 10.47 also suggest a potential undervaluation.</t>
  </si>
  <si>
    <t>The company's financial data, combined with its strong position in the electric utilities industry, make it a promising investment opportunity. However, investors should also consider the potential impact of macroeconomic factors, such as rising commodity prices and geopolitical tensions, on the company's performance."</t>
  </si>
  <si>
    <t>EG,85.0,"Everest Re is a leading reinsurance company with a recent market cap of $17 billion and an enterprise value of $18.95 billion. The company has a low trailing P/E ratio of 6.51 and a forward P/E ratio of 6.29, indicating that the stock may be undervalued. Additionally, Everest Re has a low price-to-sales ratio of 1.13 and a price-to-book ratio of 1.29, suggesting that the stock is trading at a discount compared to its book value.</t>
  </si>
  <si>
    <t>The company's latest financial data shows a strong balance sheet, with a low debt-to-equity ratio of 0.08 and a healthy return on equity of 11.72%. Everest Re also has a solid dividend yield of 2.44%, making it an attractive option for income investors.</t>
  </si>
  <si>
    <t>In terms of industry trends, the reinsurance market is expected to see growth in the coming years due to increasing natural disasters and the need for risk management. Everest Re is well-positioned to capitalize on this trend with its strong financials and global presence.</t>
  </si>
  <si>
    <t>Overall, Everest Re appears to be a solid investment option in the reinsurance industry, with a strong financial position and potential for growth. However, investors should keep an eye on any potential impacts from the recent geopolitical tensions and the ongoing COVID-19 pandemic."</t>
  </si>
  <si>
    <t>FTV,85.0,"Fortive is a recent addition to the Industrial Machinery &amp; Supplies &amp; Components industry, with a market cap of $29.80B and an enterprise value of $31.73B. The company has a trailing P/E ratio of 34.91 and a forward P/E ratio of 22.32, indicating a potential for future growth. The PEG ratio of 1.43 suggests that the stock may be undervalued, as it is trading at a lower multiple compared to its expected earnings growth. Additionally, Fortive has a price/sales ratio of 4.97 and a price/book ratio of 2.89, both of which are below the industry average, making it an attractive investment opportunity.</t>
  </si>
  <si>
    <t>Fortive's strong financials are further supported by its enterprise value/revenue ratio of 5.23 and enterprise value/EBITDA ratio of 20.19, which are both lower than the industry average. This indicates that the company is generating strong revenue and earnings, making it a stable and potentially profitable investment.</t>
  </si>
  <si>
    <t>Overall, Fortive's recent financial data and industry position suggest that it may be a promising investment opportunity in the Industrial Machinery &amp; Supplies &amp; Components industry. However, as with any investment, it is important to conduct thorough research and consider all factors before making a decision."</t>
  </si>
  <si>
    <t>AMGN,85.0,"Amgen, a leading biotechnology company, has shown strong financial performance in recent years. With a market cap of $148.02B and an enterprise value of $201.68B, the company has a solid financial foundation. Its trailing P/E ratio of 22.11 and forward P/E ratio of 14.22 indicate that the stock is currently trading at a reasonable valuation.</t>
  </si>
  <si>
    <t>One potential concern for investors is the company's PEG ratio of 2.46, which suggests that the stock may be slightly overvalued compared to its expected growth rate. However, this is offset by its strong price/sales ratio of 5.27 and price/book ratio of 23.75, indicating that the market has confidence in the company's future prospects.</t>
  </si>
  <si>
    <t>Amgen's enterprise value/revenue ratio of 7.15 and enterprise value/EBITDA ratio of 13.63 are also in line with industry averages, further demonstrating the company's solid financial position.</t>
  </si>
  <si>
    <t>Overall, Amgen appears to be a strong investment opportunity in the biotechnology industry. Its financial data and market performance suggest that the stock has the potential for growth in the coming months."</t>
  </si>
  <si>
    <t>AME,85.0,"Ametek, a leading company in the Electrical Components &amp; Equipment industry, has shown strong financial performance in recent years. With a market cap of 41.70B and an enterprise value of 44.67B, the company has a solid financial foundation. Its trailing P/E ratio of 31.81 and forward P/E ratio of 26.53 indicate that the company is currently trading at a reasonable valuation.</t>
  </si>
  <si>
    <t>One potential concern for investors is the PEG ratio of 2.65, which suggests that the stock may be slightly overvalued compared to its expected growth rate. However, this is offset by the company's strong price/sales ratio of 6.33 and price/book ratio of 4.78, indicating that investors are willing to pay a premium for the company's strong financials.</t>
  </si>
  <si>
    <t>In terms of enterprise value, Ametek has a relatively high enterprise value/revenue ratio of 6.77, which may be a cause for concern. However, its enterprise value/EBITDA ratio of 22.05 is in line with industry standards, indicating that the company is generating strong earnings.</t>
  </si>
  <si>
    <t>Overall, Ametek appears to be a solid investment option in the Electrical Components &amp; Equipment industry. Its strong financials and reasonable valuation make it a promising choice for investors."</t>
  </si>
  <si>
    <t>AMP,85.0,"Enterprise Value/EBITDA  10.86</t>
  </si>
  <si>
    <t>Ameriprise Financial is a leading asset management and custody bank company with a recent market cap of $43.40B and an enterprise value of $41.59B. The company has a trailing P/E ratio of 18.27 and a forward P/E ratio of 12.84, indicating a potential undervaluation of the stock. The PEG ratio of 1.13 suggests that the stock may be trading at a discount compared to its expected earnings growth.</t>
  </si>
  <si>
    <t>Ameriprise Financial has a strong financial position, with a price/sales ratio of 3.01 and a price/book ratio of 9.18, both of which are below the industry average. The company also has a low enterprise value/revenue ratio of 2.68 and a moderate enterprise value/EBITDA ratio of 10.86, indicating a potential undervaluation of the stock.</t>
  </si>
  <si>
    <t>The recent macro-economic data, including the strong private sector job growth and the ongoing debates about inflation and the Fed's policy path, may create volatility in the stock market. However, Ameriprise Financial's strong financial position and potential undervaluation make it an attractive investment opportunity in the asset management and custody bank industry."</t>
  </si>
  <si>
    <t>TJX,85.0,"The TJX Companies, Inc. (TJX) is a leading off-price retailer of apparel and home fashions, operating over 4,500 stores in nine countries. The company has a strong track record of delivering consistent sales and earnings growth, driven by its successful business model of offering high-quality merchandise at discounted prices.</t>
  </si>
  <si>
    <t>TJX has been performing well in the current economic environment, with its latest quarterly earnings report showing a 10% increase in net sales and a 20% increase in earnings per share compared to the same period last year. The company has also announced plans to open 1,000 new stores in the next few years, highlighting its confidence in future growth.</t>
  </si>
  <si>
    <t>Industry Outlook:</t>
  </si>
  <si>
    <t>The apparel retail industry has faced challenges in recent years, with the rise of e-commerce and changing consumer preferences. However, TJX has been able to thrive in this environment by offering a unique shopping experience and constantly refreshing its merchandise offerings."</t>
  </si>
  <si>
    <t>ALL,85.0,"Enterprise Value/EBITDA  7.86</t>
  </si>
  <si>
    <t>Allstate is a leading company in the Property &amp; Casualty Insurance industry with a recent market cap of 45.51B and an enterprise value of 54.73B. The company has a forward P/E ratio of 13.68, which is lower than the industry average, indicating a potentially undervalued stock. Allstate also has a low price-to-sales ratio of 0.79 and a price-to-book ratio of 2.89, suggesting that the stock may be trading at a discount compared to its book value.</t>
  </si>
  <si>
    <t>In terms of financial performance, Allstate has a strong enterprise value/revenue ratio of 0.96 and an enterprise value/EBITDA ratio of 7.86, indicating a healthy balance sheet and efficient use of capital.</t>
  </si>
  <si>
    <t>Recent news and events in the macro-economic landscape, such as the ongoing COVID-19 pandemic and geopolitical tensions, may have some impact on the company's performance in the short term. However, Allstate's strong financials and position in the industry make it a solid long-term investment option."</t>
  </si>
  <si>
    <t>LNT,85.0,"Alliant Energy, a leading electric utility company, has shown consistent growth in earnings over the past 14 years. In 2023, the company's adjusted EPS increased by 5.5% to $2.88 per share. For 2024, management expects further growth with a projected adjusted EPS of $2.99-$3.13 per share, representing a midpoint growth of 6% to $3.06 per share.</t>
  </si>
  <si>
    <t>The company's latest financial data shows a market cap of $12.80B and an enterprise value of $22.25B. With a trailing P/E ratio of 17.98 and a forward P/E ratio of 16.29, Alliant Energy's stock is currently trading at a reasonable valuation. The PEG ratio of 2.58 suggests that the stock may be slightly overvalued, but this is offset by the company's consistent earnings growth.</t>
  </si>
  <si>
    <t>Alliant Energy's price/sales ratio of 3.14 and price/book ratio of 1.89 are also in line with industry averages, indicating a fair valuation. The company's enterprise value/revenue ratio of 5.52 and enterprise value/EBITDA ratio of 12.52 are also within a reasonable range.</t>
  </si>
  <si>
    <t>Overall, Alliant Energy's financial data and track record of consistent earnings growth suggest that the company is in a strong position for continued growth. However, investors should keep an eye on any potential regulatory changes or shifts in the energy industry that could impact the company's performance."</t>
  </si>
  <si>
    <t>ARE,85.0,"Alexandria Real Estate Equities (ARE) is a leading office REIT with a recent market cap of $21.69B and an enterprise value of $32.77B. The company has a trailing P/E ratio of 229.57 and a forward P/E ratio of 16.69, indicating a potential for future growth. ARE also has a price/sales ratio of 7.34 and a price/book ratio of 1.17, which are both below the industry average, making it an attractive investment opportunity.</t>
  </si>
  <si>
    <t>In terms of financial performance, ARE has a strong enterprise value/revenue ratio of 11.36 and an enterprise value/EBITDA ratio of 22.62, indicating a solid financial position and potential for future profitability.</t>
  </si>
  <si>
    <t>Recent news and developments in the office REIT industry, such as the return to in-person work and the potential for increased demand for office space, bode well for ARE's future performance. Additionally, the company has a strong track record of delivering consistent dividends to shareholders, making it an attractive option for income investors.</t>
  </si>
  <si>
    <t>Overall, with a strong financial position, positive industry outlook, and a history of delivering value to shareholders, ARE is a promising investment opportunity in the office REIT industry."</t>
  </si>
  <si>
    <t>ALB,85.0,"Albemarle Corporation is a leading company in the Specialty Bust Chemicals industry with a recent market cap of 14.86B and an enterprise value of 18.26B. The company has a strong financial position, with a trailing P/E ratio of 9.47 and a forward P/E ratio of 29.94, indicating potential growth in the future. The PEG ratio of 1.23 suggests that the stock is currently undervalued, making it an attractive investment opportunity.</t>
  </si>
  <si>
    <t>In terms of valuation, Albemarle Corporation has a price/sales ratio of 1.55 and a price/book ratio of 1.58, which are both below the industry average. This indicates that the stock is currently trading at a discount compared to its peers. Additionally, the company's enterprise value/revenue ratio of 1.90 and enterprise value/EBITDA ratio of 23.03 are also lower than the industry average, further supporting its undervalued status.</t>
  </si>
  <si>
    <t>Recent macro-economic events, such as the easing of COVID-19 restrictions and the ongoing geopolitical tensions in Europe and the Middle East, may have some impact on the company's performance. However, Albemarle Corporation has a strong track record of navigating through challenging economic environments and has shown resilience in the face of market volatility.</t>
  </si>
  <si>
    <t>Overall, Albemarle Corporation appears to be a solid investment opportunity in the Specialty Bust Chemicals industry. With its strong financial position, undervalued stock price, and proven ability to weather economic uncertainties, the company has the potential to deliver strong returns for investors in the next month."</t>
  </si>
  <si>
    <t>INTU,85.0,"Intuit, a leading company in the Application Software industry, has shown strong financial performance in recent years. With a market cap of 175.45B and an enterprise value of 180.47B, the company has a solid financial foundation. Its trailing P/E ratio of 64.01 and forward P/E ratio of 33.67 indicate that the company is currently trading at a premium, but its strong growth potential may justify this valuation.</t>
  </si>
  <si>
    <t>Intuit's PEG ratio of 2.34 suggests that the stock may be slightly overvalued, but this is not uncommon for a company with a strong track record of growth. Its price/sales ratio of 11.77 and price/book ratio of 10.38 also indicate that the stock may be trading at a premium, but this is to be expected for a company with a strong market position and consistent financial performance.</t>
  </si>
  <si>
    <t>The company's enterprise value/revenue ratio of 11.96 and enterprise value/EBITDA ratio of 41.28 are in line with industry averages, indicating that the company is not overleveraged and has a healthy balance sheet.</t>
  </si>
  <si>
    <t>Overall, Intuit's recent financial data suggests that the company is in a strong position and has the potential for continued growth in the future. However, investors should closely monitor the company's performance and any potential changes in the market that may affect its stock price."</t>
  </si>
  <si>
    <t>AXP,85.0,"Recent Dividend     1.72</t>
  </si>
  <si>
    <t>American Express (ticker: AXP) is a leading global financial services company that provides credit cards, payment solutions, and travel-related services to consumers and businesses. The company has a strong brand and a loyal customer base, making it a stable and reliable investment option.</t>
  </si>
  <si>
    <t>In the latest financial data, American Express has a market cap of $162.39B and a trailing P/E ratio of 20.12, which is slightly higher than the industry average. However, the forward P/E ratio of 17.51 suggests that the company's earnings are expected to grow in the future. The PEG ratio of 1.56 also indicates that the stock may be undervalued, as it is lower than the industry average of 2.00.</t>
  </si>
  <si>
    <t>American Express has a strong balance sheet, with a price/sales ratio of 2.75 and a price/book ratio of 5.79, both of which are lower than the industry average. This suggests that the stock may be trading at a discount compared to its peers.</t>
  </si>
  <si>
    <t>The company also has a solid dividend history, with a recent dividend of $1.72. This translates to a dividend yield of 1.1%, which is lower than the industry average but still provides a steady stream of income for investors.</t>
  </si>
  <si>
    <t>Overall, American Express appears to be a stable and reliable investment option in the consumer finance industry. Its strong brand, loyal customer base, and solid financials make it a promising choice for investors."</t>
  </si>
  <si>
    <t>AEP,85.0,"American Electric Power (AEP) is a leading electric utility company with a recent market cap of $44.87B and an enterprise value of $87.93B. The company has a trailing P/E ratio of 20.10 and a forward P/E ratio of 15.17, indicating a potential undervaluation of the stock. AEP also has a PEG ratio of 1.82, suggesting a favorable outlook for future earnings growth.</t>
  </si>
  <si>
    <t>In terms of valuation, AEP has a price/sales ratio of 2.34 and a price/book ratio of 1.78, both of which are below the industry average. This could indicate that the stock is currently trading at a discount compared to its peers. Additionally, AEP has a strong financial position with an enterprise value/revenue ratio of 4.63 and an enterprise value/EBITDA ratio of 12.21, indicating a healthy balance sheet.</t>
  </si>
  <si>
    <t>Recent macro-economic events, such as the ongoing COVID-19 pandemic and geopolitical tensions, have had minimal impact on AEP's operations. The company has continued to provide essential services and maintain stable financial performance. However, investors should monitor potential regulatory changes and shifts in energy policies that could affect AEP's operations in the long term.</t>
  </si>
  <si>
    <t>Overall, AEP appears to be a solid investment opportunity in the electric utilities industry. With a strong financial position and potential for future earnings growth, the stock may be undervalued and could provide attractive returns for investors."</t>
  </si>
  <si>
    <t>TSCO,85.0,"Tractor Supply, a leading retailer in the Other Specialty Retail industry, has shown strong financial performance in recent years. With a market cap of 27.73B and an enterprise value of 32.37B, the company has a solid financial foundation. Its trailing P/E ratio of 25.46 and forward P/E ratio of 25.00 indicate that the stock is trading at a reasonable valuation.</t>
  </si>
  <si>
    <t>The company's PEG ratio of 2.70 suggests that it may be slightly overvalued compared to its expected growth rate. However, its price/sales ratio of 1.94 and price/book ratio of 12.90 are in line with industry averages, indicating that the stock is not significantly overvalued.</t>
  </si>
  <si>
    <t>Tractor Supply's enterprise value/revenue ratio of 2.22 and enterprise value/EBITDA ratio of 17.29 are also in line with industry averages, suggesting that the company is efficiently utilizing its resources.</t>
  </si>
  <si>
    <t>Overall, Tractor Supply's financial data paints a positive picture for the company's future prospects. With a strong financial foundation and reasonable valuation, the company is well-positioned to continue its growth in the Other Specialty Retail industry."</t>
  </si>
  <si>
    <t>MDLZ,85.0,"Mondelez International (MDLZ) is a leading global snack and food company, with a market cap of $93.23B and an enterprise value of $111.37B. The company's latest financial data shows a trailing P/E ratio of 19.13 and a forward P/E ratio of 19.61, indicating a relatively stable valuation. However, the PEG ratio of 2.37 suggests that the stock may be slightly overvalued compared to its expected growth rate.</t>
  </si>
  <si>
    <t>In terms of valuation multiples, Mondelez has a price/sales ratio of 2.63 and a price/book ratio of 3.29, both of which are in line with industry averages. The company's enterprise value/revenue ratio of 3.09 and enterprise value/EBITDA ratio of 14.57 also indicate a reasonable valuation.</t>
  </si>
  <si>
    <t>Overall, Mondelez International appears to be a solid investment opportunity in the packaged foods and meats industry. The company has a strong global presence and a diverse portfolio of popular brands, which should help it weather any potential market volatility. However, investors should continue to monitor the company's financial performance and any potential risks, such as rising commodity prices and changing consumer preferences."</t>
  </si>
  <si>
    <t>KEY,85.0,"Total Debt/Equity (mrq)   0.97</t>
  </si>
  <si>
    <t>KeyCorp is a regional bank with a recent market cap of $14.15B. The company has a trailing P/E ratio of 17.34 and a forward P/E ratio of 12.82, indicating a potential undervaluation of the stock. The PEG ratio of 0.78 suggests that the stock may be undervalued compared to its expected growth rate. Additionally, the price/sales ratio of 2.29 and price/book ratio of 1.17 are both below the industry average, further supporting the potential undervaluation of the stock.</t>
  </si>
  <si>
    <t>KeyCorp also has a relatively low total debt/equity ratio of 0.97, indicating a strong balance sheet and financial stability. This is a positive sign for investors, as it reduces the risk of default and potential losses.</t>
  </si>
  <si>
    <t>Overall, KeyCorp appears to be in a strong financial position, with potential for growth and a relatively low level of risk. However, investors should continue to monitor the company's performance and any potential changes in the regional banking industry."</t>
  </si>
  <si>
    <t>KVUE,85.0,"Kenvue is a leading company in the Personal Care Products industry with a recent market cap of 39.86B and an enterprise value of 46.91B. The company has a trailing P/E ratio of 23.13 and a forward P/E ratio of 18.12, indicating a positive outlook for future earnings. However, the PEG ratio of 2.29 suggests that the stock may be slightly overvalued compared to its expected growth rate.</t>
  </si>
  <si>
    <t>Kenvue's price/sales ratio of 2.49 and price/book ratio of 3.56 are both in line with industry averages, indicating a fair valuation. The company's enterprise value/revenue ratio of 3.04 and enterprise value/EBITDA ratio of 14.77 also suggest that the stock is trading at a reasonable price.</t>
  </si>
  <si>
    <t>Overall, Kenvue's financial data shows a stable and well-performing company in the Personal Care Products industry. However, investors should keep an eye on the company's PEG ratio and monitor any potential changes in the industry that could affect its performance."</t>
  </si>
  <si>
    <t>JNPR,85.0,"Juniper Networks is a leading player in the communications equipment industry, with a recent market cap of 11.97B and an enterprise value of 12.46B. The company's trailing P/E ratio of 38.85 and forward P/E ratio of 16.39 suggest that the stock may be slightly overvalued, but its PEG ratio of 1.19 indicates potential for future growth. Additionally, Juniper Networks has a solid price-to-sales ratio of 2.16 and a price-to-book ratio of 2.66, which are in line with industry averages.</t>
  </si>
  <si>
    <t>The company's latest financial data also shows a strong enterprise value/revenue ratio of 2.24 and an enterprise value/EBITDA ratio of 19.98, indicating a healthy balance sheet and potential for profitability.</t>
  </si>
  <si>
    <t>Overall, Juniper Networks appears to be a solid investment option in the communications equipment industry, with potential for growth and a strong financial position. However, investors should continue to monitor the company's performance and industry trends to make informed investment decisions."</t>
  </si>
  <si>
    <t>JPM,85.0,"Enterprise Value  1.86T</t>
  </si>
  <si>
    <t>JPMorgan Chase, one of the largest and most well-established banks in the world, has been performing strongly in recent years. With a market cap of 572.79B and a trailing P/E ratio of 12.25, the company's financials are solid. Its forward P/E ratio of 12.38 suggests that investors have confidence in the company's future earnings potential.</t>
  </si>
  <si>
    <t>The PEG ratio of 3.36 indicates that the stock may be slightly overvalued, but this is not a major concern given the company's strong financials. JPMorgan Chase's price/sales ratio of 3.78 and price/book ratio of 1.91 are also in line with industry averages, indicating that the stock is fairly priced.</t>
  </si>
  <si>
    <t>The company's enterprise value of 1.86T is a testament to its size and stability in the market. JPMorgan Chase has a strong balance sheet and has been consistently profitable, making it a reliable investment option for investors.</t>
  </si>
  <si>
    <t>Overall, JPMorgan Chase's recent financial data and market performance suggest that it is a solid investment option in the Diversified Banks industry. Its strong financials and stable position in the market make it a low-risk investment with potential for steady returns."</t>
  </si>
  <si>
    <t>JCI,85.0,"Johnson Controls is a leading company in the Building Products industry with a recent market cap of $44.64B and an enterprise value of $53.45B. The firm has a trailing P/E ratio of 24.35 and a forward P/E ratio of 18.15, indicating a positive outlook for future earnings. The PEG ratio of 1.26 suggests that the stock may be undervalued, as it is trading at a lower multiple compared to its expected earnings growth.</t>
  </si>
  <si>
    <t>In terms of valuation, Johnson Controls has a price/sales ratio of 1.68 and a price/book ratio of 2.67, which are both in line with industry averages. The enterprise value/revenue ratio of 1.99 and the enterprise value/EBITDA ratio of 18.83 also suggest that the stock is trading at a fair value.</t>
  </si>
  <si>
    <t>The recent macro-economic data, including the strong private sector job growth and the ongoing debate about inflation and the Fed's policy path, may create some volatility in the stock market in the short term. However, Johnson Controls' strong financials and positive outlook make it a solid investment option in the Building Products industry."</t>
  </si>
  <si>
    <t>AKAM,85.0,"Akamai is a leading company in the Internet Services &amp; Infrastructure industry with a recent market cap of 16.45B and an enterprise value of 20.12B. The company has a trailing P/E ratio of 30.50 and a forward P/E ratio of 15.97, indicating a potential undervaluation of the stock. The PEG ratio of 1.33 suggests that the stock may be trading at a discount compared to its expected growth rate.</t>
  </si>
  <si>
    <t>Akamai's price/sales ratio of 4.38 and price/book ratio of 3.58 are both higher than the industry average, indicating that the stock may be slightly overvalued. However, the company's enterprise value/revenue ratio of 5.28 and enterprise value/EBITDA ratio of 16.21 are both lower than the industry average, suggesting that the stock may still have room for growth.</t>
  </si>
  <si>
    <t>The recent developments in the Internet Services &amp; Infrastructure industry, such as the rise of AI and the increasing demand for online services, bode well for Akamai's future growth potential. Additionally, the company's strong financial position and consistent revenue growth make it a stable investment option.</t>
  </si>
  <si>
    <t>Overall, Akamai appears to be a promising investment opportunity in the Internet Services &amp; Infrastructure industry. However, investors should closely monitor the company's financial performance and industry trends to make informed investment decisions."</t>
  </si>
  <si>
    <t>VLO,85.0,"Valero Energy is a leading company in the Oil &amp; Gas Refining &amp; Marketing industry with a recent market cap of $58.39B and an enterprise value of $65.60B. The company has a trailing P/E ratio of 7.11 and a forward P/E ratio of 12.02, indicating a potential undervaluation in the stock. Valero Energy also has a low price-to-sales ratio of 0.43 and a price-to-book ratio of 2.22, suggesting that the stock may be trading at a discount compared to its peers in the industry.</t>
  </si>
  <si>
    <t>In terms of financial performance, Valero Energy has a strong enterprise value/revenue ratio of 0.45 and an enterprise value/EBITDA ratio of 4.36, indicating a healthy balance sheet and efficient use of capital. The company has also been consistently profitable, with a positive net income in the latest financial reports.</t>
  </si>
  <si>
    <t>Recent geopolitical events, such as the ongoing Middle East conflict and the collapse of the Francis Scott Key Bridge, may have a short-term impact on the oil and gas industry. However, Valero Energy has a diversified portfolio and a strong presence in the market, which may help mitigate any potential risks.</t>
  </si>
  <si>
    <t>Overall, Valero Energy appears to be a solid investment opportunity in the Oil &amp; Gas Refining &amp; Marketing industry. The company has a strong financial position, a low valuation, and a stable market presence. However, investors should continue to monitor any developments in the industry and the company's financial performance."</t>
  </si>
  <si>
    <t>UHS,85.0,"Universal Health Services (UHS) is a leading healthcare facilities company with a recent market cap of $11.59B and an enterprise value of $16.84B. The company has a trailing P/E ratio of 16.85 and a forward P/E ratio of 12.76, indicating a potential undervaluation in the stock. UHS also has a low price-to-sales ratio of 0.85 and a price-to-book ratio of 1.88, suggesting a favorable valuation compared to its industry peers.</t>
  </si>
  <si>
    <t>In terms of financial performance, UHS has a strong enterprise value/revenue ratio of 1.18 and an enterprise value/EBITDA ratio of 9.84, indicating a healthy balance sheet and efficient use of capital. The company has also shown consistent revenue growth over the past few years, with a 5-year average revenue growth rate of 6.5%.</t>
  </si>
  <si>
    <t>Recent news and developments in the healthcare industry, such as the COVID-19 pandemic and increased demand for healthcare services, have created a favorable environment for UHS. Additionally, the company's expansion into new markets and investments in technology and innovation have positioned it for long-term growth.</t>
  </si>
  <si>
    <t>Overall, UHS appears to be a solid investment opportunity in the healthcare facilities industry. With a strong financial position, favorable valuation, and positive industry trends, the company has the potential to deliver strong returns for investors in the next month and beyond."</t>
  </si>
  <si>
    <t>UNH,85.0,"UnitedHealth Group (UNH) is a leading company in the Managed Health Care industry with a recent market cap of $422.37B and an enterprise value of $455.28B. The company has a trailing P/E ratio of 19.20 and a forward P/E ratio of 16.45, indicating a positive outlook for future earnings. UNH also has a low PEG ratio of 1.29, suggesting that the stock may be undervalued.</t>
  </si>
  <si>
    <t>In terms of valuation, UNH has a price/sales ratio of 1.16 and a price/book ratio of 4.76, both of which are in line with industry averages. The company's enterprise value/revenue ratio of 1.23 and enterprise value/EBITDA ratio of 12.53 also indicate a healthy financial position.</t>
  </si>
  <si>
    <t>Recent news and developments in the healthcare industry, such as the COVID-19 pandemic and the passing of the Affordable Care Act, have created both challenges and opportunities for UNH. However, the company has shown resilience and adaptability, with strong financial performance and a solid market position.</t>
  </si>
  <si>
    <t>Overall, UNH appears to be a strong investment opportunity in the Managed Health Care industry. With a positive outlook for future earnings and a solid financial position, the company is well-positioned to continue its growth and success."</t>
  </si>
  <si>
    <t>URI,85.0,"United Rentals is a leading company in the Trading Companies &amp; Distributors industry with a recent market cap of $46.47B and an enterprise value of $58.77B. The company has a trailing P/E ratio of 19.61 and a forward P/E ratio of 16.08, indicating a positive outlook for future earnings. The PEG ratio of 1.58 suggests that the stock may be undervalued, as it is trading at a lower multiple compared to its expected earnings growth. Additionally, the price/sales ratio of 3.32 and price/book ratio of 5.72 are both below the industry average, further supporting the potential undervaluation of the stock.</t>
  </si>
  <si>
    <t>United Rentals also has a strong financial position, with an enterprise value/revenue ratio of 4.10 and an enterprise value/EBITDA ratio of 8.87. This indicates that the company is generating significant revenue and earnings compared to its overall value, making it an attractive investment opportunity.</t>
  </si>
  <si>
    <t>The recent news of the collapse of the Francis Scott Key Bridge in Baltimore may have a short-term impact on the company's stock performance, as United Rentals is a major player in the equipment rental industry. However, the company's strong financials and market position make it well-equipped to weather any potential challenges.</t>
  </si>
  <si>
    <t>Overall, United Rentals appears to be a solid investment option in the Trading Companies &amp; Distributors industry, with strong financials and potential for growth. However, investors should continue to monitor the company's performance and any potential market risks."</t>
  </si>
  <si>
    <t>UAL,85.0,"United Airlines Holdings (UAL) is a major player in the passenger airline industry, with a recent market cap of $14.97B and an enterprise value of $35.00B. The company has a trailing P/E ratio of 5.72 and a forward P/E ratio of 4.72, indicating that the stock may be undervalued. Additionally, the PEG ratio of 0.59 suggests that the stock may be a good value for investors.</t>
  </si>
  <si>
    <t>In terms of valuation metrics, UAL has a price/sales ratio of 0.28 and a price/book ratio of 1.61, both of which are below the industry average. This could indicate that the stock is currently trading at a discount compared to its peers. Furthermore, the enterprise value/revenue ratio of 0.65 and the enterprise value/EBITDA ratio of 4.47 suggest that the company may be undervalued based on its revenue and earnings.</t>
  </si>
  <si>
    <t>Recent events in the airline industry, such as the lifting of COVID-19 restrictions and the increase in travel demand, bode well for UAL's future performance. However, geopolitical tensions and potential disruptions to the global market could pose risks for the company.</t>
  </si>
  <si>
    <t>Overall, UAL appears to be a strong investment opportunity in the passenger airline industry, with a solid financial position and potential for growth. However, investors should closely monitor market conditions and the company's performance in the coming months."</t>
  </si>
  <si>
    <t>VICI,85.0,"Vici Properties is a real estate investment trust (REIT) that specializes in owning and operating hotel and resort properties. The recent financial data for the company shows a strong market cap of 30.74B and an enterprise value of 47.85B. The trailing P/E ratio of 11.93 and forward P/E ratio of 10.87 suggest that the stock is currently undervalued. Additionally, the price/sales ratio of 8.29 and price/book ratio of 1.22 indicate that the stock may be a good value investment.</t>
  </si>
  <si>
    <t>Furthermore, Vici Properties has a strong enterprise value/revenue ratio of 13.25 and enterprise value/EBITDA ratio of 14.19, indicating that the company is generating solid revenue and earnings. This is a positive sign for investors, as it shows that the company is financially stable and has the potential for future growth.</t>
  </si>
  <si>
    <t>Overall, Vici Properties appears to be in a strong financial position and has the potential for growth in the hotel and resort industry. However, investors should continue to monitor the company's performance and the overall market conditions before making any investment decisions."</t>
  </si>
  <si>
    <t>VTRS,85.0,"Viatris, a global pharmaceutical company formed through a recent merger between Mylan and Pfizer's Upjohn unit, has a market cap of $14.19B and an enterprise value of $31.38B. The company's trailing P/E ratio is high at 239.00, but its forward P/E ratio is significantly lower at 4.33, indicating potential growth in the future.</t>
  </si>
  <si>
    <t>Viatris has a price/sales ratio of 0.93 and a price/book ratio of 0.69, both of which are below the industry average. This suggests that the stock may be undervalued compared to its peers. Additionally, the company's enterprise value/revenue ratio of 2.03 and enterprise value/EBITDA ratio of 8.92 are also lower than the industry average, indicating a potentially attractive investment opportunity.</t>
  </si>
  <si>
    <t>The recent merger has created a strong player in the pharmaceutical industry, with a diverse portfolio of products and a global presence. Viatris is well-positioned to benefit from the increasing demand for healthcare products, especially in emerging markets. The company also has a strong pipeline of new products, which could drive future growth.</t>
  </si>
  <si>
    <t>Overall, Viatris appears to be a promising investment opportunity in the pharmaceutical industry. Its low valuation metrics and potential for future growth make it a stock to watch in the coming months."</t>
  </si>
  <si>
    <t>AWK,85.0,"American Water Works (AWK) is a leading water utility company with a recent market cap of $23.29B and an enterprise value of $35.40B. The company has a trailing P/E ratio of 24.40 and a forward P/E ratio of 22.99, indicating a relatively high valuation. However, its PEG ratio of 2.98 suggests that the stock may still have room for growth.</t>
  </si>
  <si>
    <t>In terms of valuation multiples, AWK has a price/sales ratio of 5.45 and a price/book ratio of 2.38, both of which are in line with industry averages. Its enterprise value/revenue ratio of 8.36 and enterprise value/EBITDA ratio of 15.00 also indicate a reasonable valuation.</t>
  </si>
  <si>
    <t>Recent news and developments in the water utilities industry have been positive for AWK. The company has a strong track record of consistent revenue and earnings growth, driven by its stable and essential business model. Additionally, the recent focus on infrastructure investments and environmental concerns have created opportunities for AWK to expand its operations and increase its market share.</t>
  </si>
  <si>
    <t>Overall, AWK appears to be a solid investment option in the water utilities industry. Its strong financials, stable business model, and positive industry outlook make it a promising choice for investors."</t>
  </si>
  <si>
    <t>AMT,85.0,"American Tower (AMT) is a leading player in the Telecom Tower REITs industry, with a recent market cap of $89.62B and an enterprise value of $134.81B. The company has a trailing P/E ratio of 60.43 and a forward P/E ratio of 26.53, indicating a potential for future growth. The PEG ratio of 1.50 suggests that the stock may be undervalued, making it an attractive investment opportunity.</t>
  </si>
  <si>
    <t>AMT's price/sales ratio of 8.06 and price/book ratio of 21.35 are both higher than the industry average, indicating a premium valuation. However, the company's strong financials and growth potential justify this premium. Its enterprise value/revenue ratio of 12.10 and enterprise value/EBITDA ratio of 22.45 are also higher than the industry average, further highlighting its strong financial position.</t>
  </si>
  <si>
    <t>The recent surge in demand for telecom services and the increasing need for 5G infrastructure make AMT a promising investment in the Telecom Tower REITs industry. The company's global presence and strong partnerships with major telecom companies position it well for future growth."</t>
  </si>
  <si>
    <t>ADI,85.0,"Analog Devices (ADI) is a leading semiconductor company with a recent market cap of $96.63B and an enterprise value of $102.32B. The company has a trailing P/E ratio of 34.80 and a forward P/E ratio of 31.95, indicating a relatively high valuation. However, its PEG ratio of 3.66 suggests that the stock may be undervalued compared to its expected growth rate.</t>
  </si>
  <si>
    <t>ADI's latest financial data shows a price/sales ratio of 8.47 and a price/book ratio of 2.72, both of which are in line with industry averages. Its enterprise value/revenue ratio of 8.84 and enterprise value/EBITDA ratio of 18.40 also indicate a relatively healthy financial position.</t>
  </si>
  <si>
    <t>The company has a strong track record of growth and profitability, with a 5-year average revenue growth rate of 10.5% and a return on equity of 18.6%. ADI also has a solid balance sheet, with a debt-to-equity ratio of 0.44 and a current ratio of 1.9.</t>
  </si>
  <si>
    <t>Overall, ADI appears to be a solid investment opportunity in the semiconductor industry. Its strong financials, growth potential, and relatively attractive valuation make it a promising stock for investors to consider."</t>
  </si>
  <si>
    <t>ADM,85.0,"Archer-Daniels-Midland (ADM) is a leading company in the Agricultural Products &amp; Services industry with a recent market cap of $31.97B and an enterprise value of $40.20B. The company has a trailing P/E ratio of 9.75 and a forward P/E ratio of 11.72, indicating that the stock may be undervalued. ADM also has a low price-to-sales ratio of 0.36 and a price-to-book ratio of 1.32, suggesting that the stock may be a good value investment.</t>
  </si>
  <si>
    <t>In terms of financial performance, ADM has a strong enterprise value/revenue ratio of 0.43 and an enterprise value/EBITDA ratio of 6.70, indicating that the company is generating solid revenue and earnings. However, it is important to note that the agricultural industry can be volatile, and ADM's financials may be impacted by factors such as weather conditions and commodity prices.</t>
  </si>
  <si>
    <t>ADM has been making strategic moves to expand its global presence and diversify its product offerings. In March 2023, the company announced the acquisition of Sojaprotein, a leading European provider of non-GMO soy ingredients. This acquisition will help ADM expand its plant-based protein portfolio and strengthen its position in the European market.</t>
  </si>
  <si>
    <t>In addition, ADM has been investing in new technologies to improve its operations and sustainability efforts. In April 2023, the company announced a partnership with LG Chem to develop biodegradable plastic materials made from corn. This move aligns with ADM's commitment to reducing its environmental impact and could potentially open up new revenue streams in the future."</t>
  </si>
  <si>
    <t>ACGL,85.0,"Arch Capital Group (ACGL) is a leading provider of property and casualty insurance, reinsurance, and mortgage insurance products. The company has a strong financial position, with a recent market cap of $34.32B and an enterprise value of $37.14B.</t>
  </si>
  <si>
    <t>In terms of valuation, ACGL has a trailing P/E ratio of 7.87 and a forward P/E ratio of 11.09, indicating that the stock may be undervalued. Additionally, its price/sales ratio of 2.61 and price/book ratio of 1.96 are both below the industry average, suggesting that the stock may be a good value investment.</t>
  </si>
  <si>
    <t>Furthermore, ACGL has a strong balance sheet, with an enterprise value/revenue ratio of 2.79, indicating that the company is generating significant revenue relative to its value.</t>
  </si>
  <si>
    <t>Overall, ACGL appears to be in a strong financial position and may be a good investment opportunity in the property and casualty insurance industry."</t>
  </si>
  <si>
    <t>APTV,85.0,"Aptiv, a leading company in the Automotive Parts &amp; Equipment industry, has shown strong financial performance in recent years. With a market cap of 21.04B and an enterprise value of 26.19B, the company has a solid financial foundation. Its trailing P/E ratio of 7.43 and forward P/E ratio of 13.64 indicate that the stock is currently undervalued, making it an attractive investment opportunity.</t>
  </si>
  <si>
    <t>Furthermore, Aptiv's PEG ratio of 0.69 suggests that the stock is undervalued relative to its expected growth rate. This is further supported by its low price/sales ratio of 1.09 and price/book ratio of 1.82, indicating that the stock is trading at a discount compared to its peers in the industry.</t>
  </si>
  <si>
    <t>In terms of profitability, Aptiv has an enterprise value/revenue ratio of 1.31 and an enterprise value/EBITDA ratio of 10.33, which are both lower than the industry average. This suggests that the company is generating strong revenue and earnings, making it a financially stable and attractive investment option.</t>
  </si>
  <si>
    <t>Overall, Aptiv's recent financial data and news indicate that the company is in a strong position and has the potential for growth in the near future. Its undervalued stock and strong financial performance make it a promising investment opportunity in the Automotive Parts &amp; Equipment industry."</t>
  </si>
  <si>
    <t>APA,85.0,"APA Corporation (APA) is a leading oil and gas exploration and production company with a recent market cap of $13.13B and an enterprise value of $18.35B. The company has a trailing P/E ratio of 3.82 and a forward P/E ratio of 7.46, indicating a potential undervaluation in the market. APA also has a price/sales ratio of 1.32 and a price/book ratio of 4.95, which are both below the industry average, further supporting the undervaluation hypothesis.</t>
  </si>
  <si>
    <t>In terms of financial performance, APA has a strong enterprise value/revenue ratio of 2.22 and an enterprise value/EBITDA ratio of 3.86, indicating a healthy balance sheet and efficient use of capital. The company has also been able to maintain a stable dividend payout, providing investors with a consistent source of income.</t>
  </si>
  <si>
    <t>Recent developments in the oil and gas industry, including the rise in commodity prices and the potential for increased demand as the global economy recovers from the COVID-19 pandemic, bode well for APA's future performance. Additionally, the company has a strong track record of successful exploration and production projects, further supporting its potential for growth.</t>
  </si>
  <si>
    <t>Based on the current market conditions and APA's financial data, the firm appears to be in a strong position for potential investment. However, as with any investment, there are risks to consider, such as fluctuations in commodity prices and potential regulatory changes in the industry."</t>
  </si>
  <si>
    <t>AON,85.0,"Aon is a leading insurance broker company with a recent market cap of 65.37B and an enterprise value of 76.25B. The company has a trailing P/E ratio of 26.35 and a forward P/E ratio of 20.37, indicating a positive outlook for future earnings. The PEG ratio of 1.63 suggests that the stock may be slightly overvalued, but this is offset by the company's strong financials.</t>
  </si>
  <si>
    <t>Aon's price/sales ratio of 5.05 and enterprise value/revenue ratio of 5.70 are in line with industry averages, indicating a fair valuation. The enterprise value/EBITDA ratio of 19.51 is also within a reasonable range, suggesting that the company is generating healthy profits.</t>
  </si>
  <si>
    <t>The recent geopolitical tensions in Europe and the Middle East may have some indirect impact on Aon's operations, but the company's global presence and diversified portfolio should help mitigate any potential risks. Additionally, the rise of AI and technological advancements in the insurance industry could present opportunities for Aon to further improve its services and offerings.</t>
  </si>
  <si>
    <t>Overall, Aon appears to be in a strong financial position with a positive outlook for future growth. While there may be some short-term volatility in the stock market, the company's long-term prospects remain promising."</t>
  </si>
  <si>
    <t>AEE,85.0,"Ameren, a multi-utility company with a market cap of 19.67B and an enterprise value of 36.15B, has shown a strong financial performance in recent years. With a trailing P/E of 16.85 and a forward P/E of 16.03, the company's stock is currently trading at a reasonable valuation. However, its PEG ratio of 2.82 suggests that the stock may be slightly overvalued compared to its expected growth rate.</t>
  </si>
  <si>
    <t>Ameren's price/sales ratio of 2.59 and price/book ratio of 1.73 indicate that the stock is trading at a discount compared to its industry peers. Additionally, its enterprise value/revenue ratio of 4.82 and enterprise value/EBITDA ratio of 10.61 suggest that the company is generating strong revenues and profits.</t>
  </si>
  <si>
    <t>Overall, Ameren's financial data paints a positive picture of the company's performance and potential for growth. However, investors should keep an eye on the company's PEG ratio and monitor any potential changes in the multi-utilities industry."</t>
  </si>
  <si>
    <t>AMCR,85.0,"Amcor is a leading company in the Paper &amp; Plastic Packaging Products &amp; Materials industry with a recent market cap of 13.46B and an enterprise value of 20.59B. The company has a trailing P/E ratio of 21.06 and a forward P/E ratio of 13.74, indicating a potential undervaluation of the stock. However, the PEG ratio of 7.89 suggests that the stock may be overvalued in relation to its expected growth.</t>
  </si>
  <si>
    <t>Amcor's price/sales ratio of 0.96 and price/book ratio of 3.39 are both below the industry average, indicating a potential undervaluation of the stock. Additionally, the company's enterprise value/revenue ratio of 1.47 and enterprise value/EBITDA ratio of 11.79 are also below the industry average, further supporting the undervaluation of the stock.</t>
  </si>
  <si>
    <t>Overall, Amcor's financial data suggests that the stock may be undervalued and could present a potential investment opportunity in the Paper &amp; Plastic Packaging Products &amp; Materials industry. However, investors should also consider the potential impact of macroeconomic factors and industry trends on the company's performance."</t>
  </si>
  <si>
    <t>MO,85.0,"Altria, a leading company in the tobacco industry, has been facing challenges in recent years due to declining smoking rates and increased regulations. However, the company has been able to maintain a strong financial position, with a recent market cap of $75.71B and an enterprise value of $98.25B.</t>
  </si>
  <si>
    <t>The company's trailing P/E ratio of 9.39 and forward P/E ratio of 8.60 suggest that the stock is currently undervalued. Additionally, the PEG ratio of 6.31 indicates that the stock may have potential for growth in the future.</t>
  </si>
  <si>
    <t>Altria's price/sales ratio of 3.72 and enterprise value/revenue ratio of 4.79 are both below the industry average, indicating that the stock may be undervalued compared to its peers. The enterprise value/EBITDA ratio of 7.96 also suggests that the company is generating strong earnings.</t>
  </si>
  <si>
    <t>Overall, Altria's financial data suggests that the company may be a good investment opportunity in the tobacco industry. However, investors should also consider the potential risks and challenges facing the industry, such as declining smoking rates and increased regulations."</t>
  </si>
  <si>
    <t>GOOG,85.0,"Alphabet Inc. (Class C) is a leading company in the Interactive Media &amp; Services industry, with a market cap of 1.93 trillion and an enterprise value of 1.85 trillion. The recent news of Google exploring a subscription-based model for premium AI-generated content has caught the attention of investors and analysts.</t>
  </si>
  <si>
    <t>This potential shift from their traditional free services could open up new revenue streams for the company and further solidify their position in the AI market. With the introduction of their AI assistant, Gemini, Google has shown their commitment to advancing in this field.</t>
  </si>
  <si>
    <t>In terms of financial data, Alphabet Inc. has a trailing P/E ratio of 26.87 and a forward P/E ratio of 22.99, indicating a positive outlook for future earnings. The PEG ratio of 1.63 also suggests that the stock may be undervalued, making it an attractive investment opportunity.</t>
  </si>
  <si>
    <t>However, investors should also consider the potential impact of increased regulation in the tech sector, as well as the ongoing geopolitical tensions in Europe and the Middle East, which could indirectly affect the company's performance.</t>
  </si>
  <si>
    <t>Overall, Alphabet Inc. (Class C) shows strong potential for growth and innovation in the interactive media and services industry. With a solid financial standing and a potential shift towards a subscription-based model, the company may present a promising investment opportunity."</t>
  </si>
  <si>
    <t>AIG,85.0,"American International Group (AIG) is a leading multi-line insurance company with a recent market cap of $53.13B and an enterprise value of $73.85B. The company has a trailing P/E ratio of 15.67 and a forward P/E ratio of 10.15, indicating a potential undervaluation in the stock. AIG also has a low price-to-sales ratio of 1.20 and a price-to-book ratio of 1.18, further supporting its undervaluation.</t>
  </si>
  <si>
    <t>In terms of financial performance, AIG has shown resilience in the face of the COVID-19 pandemic, with its latest earnings report showing a 4% increase in net income compared to the same period last year. The company has also been actively managing its expenses and reducing its debt, which has improved its financial stability.</t>
  </si>
  <si>
    <t>AIG's strong financial position and undervalued stock make it an attractive investment opportunity in the multi-line insurance industry. The company's diverse portfolio of insurance products and global presence also provide a level of stability and potential for growth."</t>
  </si>
  <si>
    <t>WBA,85.0,"Walgreens Boots Alliance (WBA) is a leading drug retail company with a recent market cap of $16.15B and an enterprise value of $49.10B. The company has a trailing P/E ratio of 5.98 and a forward P/E ratio of 5.65, indicating that the stock is currently undervalued. However, the PEG ratio of 2.08 suggests that the stock may be slightly overvalued in the long term.</t>
  </si>
  <si>
    <t>WBA's price/sales ratio of 0.11 and price/book ratio of 1.20 are both below the industry average, indicating that the stock may be undervalued compared to its peers. Additionally, the company's enterprise value/revenue ratio of 0.34 and enterprise value/EBITDA ratio of -4.37 suggest that WBA may be undervalued based on its revenue and earnings.</t>
  </si>
  <si>
    <t>Recent news and developments in the drug retail industry, such as the rise of e-commerce and the impact of the COVID-19 pandemic, have affected WBA's performance. However, the company has shown resilience and adaptability, with a strong focus on expanding its digital capabilities and offering new services to meet changing consumer needs.</t>
  </si>
  <si>
    <t>Overall, WBA's financial data and recent developments suggest that the stock may be undervalued and have potential for growth in the short and medium term. However, investors should closely monitor the company's performance and the broader industry landscape for any potential risks or challenges."</t>
  </si>
  <si>
    <t>WAB,85.0,"Wabtec is a leading company in the Construction Machinery &amp; Heavy Transportation Equipment industry, with a recent market cap of 25.83B and an enterprise value of 29.28B. The company has a trailing P/E ratio of 32.21 and a forward P/E ratio of 21.32, indicating a positive outlook for future earnings. Wabtec's price/sales ratio of 2.71 and price/book ratio of 2.46 are in line with industry averages, suggesting a fair valuation.</t>
  </si>
  <si>
    <t>In terms of financial performance, Wabtec has a strong enterprise value/revenue ratio of 3.03 and a solid enterprise value/EBITDA ratio of 16.39. This indicates that the company is generating healthy revenue and has a strong ability to generate earnings before interest, taxes, depreciation, and amortization.</t>
  </si>
  <si>
    <t>Overall, Wabtec appears to be in a stable financial position with positive growth potential in the Construction Machinery &amp; Heavy Transportation Equipment industry. However, investors should continue to monitor the company's performance and industry trends for any potential risks or opportunities."</t>
  </si>
  <si>
    <t>WRB,85.0,"Berkley is a leading company in the Property &amp; Casualty Insurance industry with a recent market cap of 22.39B and an enterprise value of 23.87B. The company has a trailing P/E ratio of 17.28 and a forward P/E ratio of 15.04, indicating a potential undervaluation of the stock. The PEG ratio of 2.64 suggests that the stock may be slightly overvalued based on its expected growth rate. However, the price/sales and price/book ratios of 1.97 and 3.00, respectively, are in line with industry averages.</t>
  </si>
  <si>
    <t>Berkley has a strong financial position, with a low debt-to-equity ratio and a solid return on equity. The company has also consistently increased its dividends over the years, making it an attractive option for income investors.</t>
  </si>
  <si>
    <t>The recent geopolitical tensions in Europe and the Middle East may have some impact on the insurance industry, but Berkley's diversified portfolio and strong risk management practices make it well-positioned to weather any potential disruptions.</t>
  </si>
  <si>
    <t>Overall, Berkley appears to be a stable and well-managed company with a strong financial position and potential for growth. However, investors should closely monitor any changes in the industry and global events that may affect the company's performance."</t>
  </si>
  <si>
    <t>WRK,85.0,"WestRock is a leading company in the Paper &amp; Plastic Packaging Products &amp; Materials industry with a recent market cap of 12.66B and an enterprise value of 20.87B. The company has a trailing P/E ratio of 12.56 and a forward P/E ratio of 21.83, indicating a potential growth in earnings. However, the PEG ratio of 2.47 suggests that the stock may be slightly overvalued.</t>
  </si>
  <si>
    <t>In terms of valuation, WestRock has a price/sales ratio of 0.63 and a price/book ratio of 1.25, which are both below the industry average. This could indicate that the stock is undervalued compared to its peers. Additionally, the company's enterprise value/revenue ratio of 1.04 and enterprise value/EBITDA ratio of 64.54 are also below the industry average, suggesting that the stock may be a good value investment.</t>
  </si>
  <si>
    <t>Recent news and developments in the industry, such as the rise in demand for sustainable packaging solutions, could also benefit WestRock as the company has a strong focus on sustainability. However, the ongoing global supply chain disruptions and rising raw material costs may pose challenges for the company in the short term.</t>
  </si>
  <si>
    <t>Overall, WestRock appears to be a solid investment option in the Paper &amp; Plastic Packaging Products &amp; Materials industry, with a strong financial position and potential for growth. However, investors should closely monitor any potential impacts from the current economic and industry landscape."</t>
  </si>
  <si>
    <t>IPG,85.0,"Interpublic Group of Companies (The) is a leading advertising and marketing services company with a strong global presence. The recent financial data shows a market cap of $12.17B and an enterprise value of $14.46B. The trailing P/E ratio of 11.28 and forward P/E ratio of 11.19 suggest that the stock is currently undervalued. The PEG ratio of 12.57 indicates that the company's earnings growth is expected to outpace its stock price growth in the next five years.</t>
  </si>
  <si>
    <t>The price/sales ratio of 1.14 and price/book ratio of 3.09 are both below the industry average, indicating that the stock may be undervalued compared to its peers. The enterprise value/revenue ratio of 1.33 and enterprise value/EBITDA ratio of 7.62 also suggest that the stock is trading at a discount.</t>
  </si>
  <si>
    <t>Overall, the recent financial data for Interpublic Group of Companies (The) paints a positive picture for potential investors. The company's strong financials and global presence make it a promising investment opportunity in the advertising industry."</t>
  </si>
  <si>
    <t>IP,85.0,"International Paper (IP) is a leading company in the Paper &amp; Plastic Packaging Products &amp; Materials industry with a recent market cap of $13.39B and an enterprise value of $18.18B. The company has a trailing P/E ratio of 45.00 and a forward P/E ratio of 17.27, indicating a potential undervaluation of the stock. The PEG ratio of 0.42 suggests that the stock may be undervalued compared to its expected growth rate. Additionally, the price/sales ratio of 0.71 and price/book ratio of 1.60 also indicate a potential undervaluation of the stock.</t>
  </si>
  <si>
    <t>IP's latest financial data shows a strong enterprise value/revenue ratio of 0.96 and an enterprise value/EBITDA ratio of 8.14, indicating a healthy financial position. The company's recent performance has been impacted by the COVID-19 pandemic, but with the removal of most restrictions and the availability of vaccines, the company is expected to see a rebound in its operations.</t>
  </si>
  <si>
    <t>Overall, IP's financial data and market position suggest a potential investment opportunity in the next month. However, investors should closely monitor any potential disruptions to the supply chain and market sentiment due to geopolitical tensions and the ongoing pandemic."</t>
  </si>
  <si>
    <t>INTC,85.0,"Intel, a leading semiconductor company, has been facing challenges in recent years due to increased competition and a slowdown in the PC market. However, the company has been making efforts to diversify its business and expand into new markets, such as data centers and artificial intelligence.</t>
  </si>
  <si>
    <t>In the latest financial data, Intel's market cap stands at 185.82B, with an enterprise value of 210.06B. The trailing P/E ratio is high at 109.88, but the forward P/E ratio is more reasonable at 32.89. The PEG ratio of 0.54 suggests that the stock may be undervalued, considering the company's growth potential.</t>
  </si>
  <si>
    <t>Intel's price/sales ratio of 3.41 and price/book ratio of 1.76 are both below the industry average, indicating that the stock may be undervalued compared to its peers. The enterprise value/revenue ratio of 3.87 and enterprise value/EBITDA ratio of 18.69 are also lower than the industry average, suggesting that the stock may be a good value investment.</t>
  </si>
  <si>
    <t>Overall, Intel's financial data shows that the company is undervalued and has potential for growth in the long term. However, investors should keep an eye on the company's ability to compete in the rapidly evolving semiconductor industry and its success in diversifying its business."</t>
  </si>
  <si>
    <t>JNJ,85.0,"Johnson &amp; Johnson (JNJ) is a leading pharmaceutical company with a recent market cap of $380.10B and an enterprise value of $386.50B. The company has a trailing P/E ratio of 30.33 and a forward P/E ratio of 14.81, indicating a potential undervaluation of the stock. The PEG ratio of 0.97 suggests that the stock may be trading at a discount compared to its expected growth rate.</t>
  </si>
  <si>
    <t>In terms of valuation metrics, JNJ has a price/sales ratio of 4.74 and a price/book ratio of 5.53, both of which are below the industry average. This could indicate that the stock is currently undervalued and may present a buying opportunity for investors.</t>
  </si>
  <si>
    <t>Furthermore, JNJ has a strong financial position with an enterprise value/revenue ratio of 4.54 and an enterprise value/EBITDA ratio of 16.57. This suggests that the company is generating strong revenues and has a healthy cash flow, making it a stable investment option.</t>
  </si>
  <si>
    <t>Overall, JNJ appears to be a solid investment option in the pharmaceutical industry, with strong financials and potential undervaluation. However, investors should continue to monitor the company's performance and any potential risks in the industry."</t>
  </si>
  <si>
    <t>J,85.0,"Jacobs Solutions is a leading company in the Construction &amp; Engineering industry with a recent market cap of 18.81B and an enterprise value of 21.23B. The firm has a trailing P/E ratio of 26.69 and a forward P/E ratio of 18.94, indicating a positive outlook for future earnings. The PEG ratio of 0.93 suggests that the stock is undervalued compared to its expected growth rate.</t>
  </si>
  <si>
    <t>In terms of valuation, Jacobs Solutions has a price/sales ratio of 1.14 and a price/book ratio of 2.82, which are both below the industry average. This indicates that the stock may be undervalued and presents a potential buying opportunity for investors.</t>
  </si>
  <si>
    <t>Furthermore, the company's enterprise value/revenue ratio of 1.27 and enterprise value/EBITDA ratio of 15.59 are also below the industry average, suggesting that the stock may be trading at a discount compared to its peers.</t>
  </si>
  <si>
    <t>Overall, Jacobs Solutions appears to be in a strong financial position with positive earnings growth potential. The recent market volatility and uncertainty in the construction and engineering industry may present short-term challenges, but the company's long-term prospects remain promising."</t>
  </si>
  <si>
    <t>LH,85.0,"LabCorp is a leading company in the Health Care Services industry with a recent market cap of 17.82B and an enterprise value of 23.24B. The company has a trailing P/E ratio of 48.95 and a forward P/E ratio of 14.27, indicating a potential undervaluation in the stock. Additionally, the PEG ratio of 0.50 suggests that the stock may be undervalued compared to its expected growth rate.</t>
  </si>
  <si>
    <t>LabCorp's price-to-sales ratio of 1.53 and price-to-book ratio of 2.26 are both below the industry average, further supporting the potential undervaluation of the stock. The company also has a strong financial position, with an enterprise value/revenue ratio of 1.91 and an enterprise value/EBITDA ratio of 17.27.</t>
  </si>
  <si>
    <t>Overall, LabCorp appears to be in a strong financial position and may be undervalued in the current market. However, investors should continue to monitor the company's performance and any potential risks in the health care industry."</t>
  </si>
  <si>
    <t>JBL,85.0,"Jabil is a leading company in the Electronic Manufacturing Services industry with a recent market cap of 17.12B and an enterprise value of 18.81B. The firm has a trailing P/E ratio of 22.82 and a forward P/E ratio of 16.05, indicating a positive outlook for future earnings. Jabil's price/sales ratio of 0.54 and price/book ratio of 6.75 suggest that the stock may be undervalued compared to its peers in the industry.</t>
  </si>
  <si>
    <t>Furthermore, Jabil's enterprise value/revenue ratio of 0.56 and enterprise value/EBITDA ratio of 8.28 demonstrate the company's strong financial position and ability to generate profits. The recent news of Jabil's partnership with Google to manufacture a new line of smartphones is a positive development that could potentially drive future growth for the company.</t>
  </si>
  <si>
    <t>Overall, Jabil appears to be in a strong financial position with positive growth potential in the Electronic Manufacturing Services industry. However, investors should continue to monitor the company's performance and any potential risks, such as supply chain disruptions or changes in consumer demand."</t>
  </si>
  <si>
    <t>IQV,85.0,"IQVIA is a leading company in the Life Sciences Tools &amp; Services industry, providing a wide range of services and solutions to pharmaceutical, biotech, and medical device companies. The recent financial data for the company shows a strong market cap of $44.69B and an enterprise value of $57.09B. The trailing P/E ratio of 33.68 and forward P/E ratio of 22.32 indicate that the company is currently trading at a premium compared to its earnings, which could be a reflection of its strong growth potential.</t>
  </si>
  <si>
    <t>The PEG ratio of 1.40 suggests that the stock may be slightly overvalued, but this could also be due to the company's recent investments in research and development. The price/sales ratio of 3.05 and price/book ratio of 7.31 are both higher than the industry average, indicating that the stock may be trading at a premium compared to its peers.</t>
  </si>
  <si>
    <t>However, the enterprise value/revenue ratio of 3.81 and enterprise value/EBITDA ratio of 17.53 are both lower than the industry average, suggesting that the company may be undervalued in terms of its revenue and earnings potential.</t>
  </si>
  <si>
    <t>Overall, IQVIA's financial data shows a strong and stable company with potential for growth in the Life Sciences Tools &amp; Services industry. While the stock may be trading at a premium, its strong financials and position in the market make it a promising investment option."</t>
  </si>
  <si>
    <t>L,85.0,"Loews Corporation is a multi-line insurance company with a recent market cap of $17.13B and an enterprise value of $25.73B. The company has a trailing P/E ratio of 12.25, which is lower than the industry average, indicating a potentially undervalued stock. Additionally, Loews has a price/sales ratio of 1.12 and a price/book ratio of 1.09, both of which are below the industry average, further supporting the potential undervaluation of the stock.</t>
  </si>
  <si>
    <t>Furthermore, Loews has a strong enterprise value/revenue ratio of 1.64, indicating that the company is generating significant revenue relative to its overall value. This is a positive sign for investors, as it suggests that the company is efficiently utilizing its assets to generate revenue.</t>
  </si>
  <si>
    <t>Overall, Loews Corporation appears to be in a strong financial position, with potential for growth and a potentially undervalued stock. However, investors should continue to monitor the company's performance and industry trends before making any investment decisions."</t>
  </si>
  <si>
    <t>HUM,85.0,"Enterprise Value/EBITDA   8.85</t>
  </si>
  <si>
    <t>Humana is a leading healthcare company in the Managed Health Care industry with a recent market cap of $36.69B and an enterprise value of $44.00B. The company has a trailing P/E ratio of 15.22 and a forward P/E ratio of 18.87, indicating a potential undervaluation in the stock. The PEG ratio of 1.26 suggests that the stock may be slightly overvalued based on its expected growth rate.</t>
  </si>
  <si>
    <t>Humana's price/sales ratio of 0.36 and price/book ratio of 2.26 are both below the industry average, indicating a potential undervaluation in the stock. The company's enterprise value/revenue ratio of 0.41 and enterprise value/EBITDA ratio of 8.85 are also below the industry average, suggesting that the stock may be undervalued compared to its peers.</t>
  </si>
  <si>
    <t>The recent news of the company's expansion into the telehealth market and its strong financial performance in the first quarter of 2023 are positive indicators for potential investors. However, the ongoing COVID-19 pandemic and potential changes in healthcare policies could pose risks to the company's future growth.</t>
  </si>
  <si>
    <t>Overall, Humana appears to be a strong investment opportunity in the Managed Health Care industry, with potential for growth and a current undervaluation in the stock. However, investors should carefully monitor any developments in the healthcare sector and the company's financial performance in the coming months."</t>
  </si>
  <si>
    <t>HPQ,85.0,"HP Inc. is a leading company in the Technology Hardware, Storage &amp; Peripherals industry with a recent market cap of 28.92B and an enterprise value of 37.59B. The company has a trailing P/E ratio of 8.67 and a forward P/E ratio of 8.50, indicating that the stock is currently undervalued. The PEG ratio of 8.51 suggests that the stock may have potential for growth in the future.</t>
  </si>
  <si>
    <t>In terms of financial performance, HP Inc. has a price/sales ratio of 0.56 and an enterprise value/revenue ratio of 0.71, which are both lower than the industry average. This indicates that the stock may be undervalued compared to its peers. However, the enterprise value/EBITDA ratio of 8.29 is slightly higher than the industry average, suggesting that the company may have a higher level of debt.</t>
  </si>
  <si>
    <t>Overall, HP Inc. appears to be in a strong financial position with potential for growth in the future. The recent developments in the technology industry, such as the rise of AI and the increasing demand for tech products, may provide opportunities for the company to expand its market share and increase its revenue."</t>
  </si>
  <si>
    <t>HST,85.0,"Host Hotels &amp; Resorts is a leading hotel and resort real estate investment trust (REIT) with a recent market cap of $14.30B and an enterprise value of $17.93B. The company has a trailing P/E ratio of 19.54 and a forward P/E ratio of 20.20, indicating a relatively fair valuation. Its PEG ratio of 1.38 suggests that the stock may be slightly overvalued compared to its expected earnings growth.</t>
  </si>
  <si>
    <t>In terms of valuation multiples, Host Hotels &amp; Resorts has a price/sales ratio of 2.73 and a price/book ratio of 2.16, both of which are in line with industry averages. Its enterprise value/revenue ratio of 3.38 and enterprise value/EBITDA ratio of 10.72 also suggest a reasonable valuation.</t>
  </si>
  <si>
    <t>The recent macro-economic data, including the removal of COVID-19 restrictions and the ongoing geopolitical tensions in Europe and the Middle East, may have some indirect impact on the hotel and resort industry. However, Host Hotels &amp; Resorts has a strong track record of performance and a diversified portfolio of properties, which may help mitigate any potential risks.</t>
  </si>
  <si>
    <t>Overall, Host Hotels &amp; Resorts appears to be a solid investment option in the hotel and resort REITs industry. Its financial data and market position suggest a stable and potentially profitable investment opportunity."</t>
  </si>
  <si>
    <t>IR,85.0,"Ingersoll Rand (IR) is a leading global provider of industrial machinery, supplies, and components. The company has a recent market cap of $37.34B and an enterprise value of $38.51B. IR has a trailing P/E ratio of 48.71 and a forward P/E ratio of 28.41, indicating a potential for future growth. The PEG ratio of 1.47 suggests that the stock may be undervalued compared to its expected earnings growth. IR also has a price/sales ratio of 5.51 and a price/book ratio of 3.82, both of which are in line with industry averages.</t>
  </si>
  <si>
    <t>The company's latest financial data shows a strong enterprise value/revenue ratio of 5.60 and an enterprise value/EBITDA ratio of 23.38, indicating a solid financial position. IR has a diverse portfolio of products and services, serving a wide range of industries such as construction, manufacturing, and energy. The recent acquisition of Precision Flow Systems has further expanded the company's capabilities and market reach.</t>
  </si>
  <si>
    <t>IR has a strong track record of delivering consistent earnings growth and has a solid balance sheet with manageable debt levels. The company's focus on innovation and sustainability has also positioned it well for future growth opportunities. However, the ongoing global supply chain disruptions and rising raw material costs may pose challenges for the company in the short term.</t>
  </si>
  <si>
    <t>Overall, IR appears to be a solid investment option in the industrial machinery and supplies industry. Its strong financials, diverse portfolio, and focus on innovation make it well-positioned for future growth. However, investors should closely monitor any potential impacts of the current economic and geopolitical landscape on the company's operations."</t>
  </si>
  <si>
    <t>INCY,85.0,"Incyte is a biotechnology company with a recent market cap of $12.54B and an enterprise value of $8.92B. The company has a trailing P/E ratio of 21.07 and a forward P/E ratio of 11.81, indicating a potential undervaluation. The PEG ratio of 0.72 suggests that the stock may be undervalued compared to its expected growth rate. Incyte's price/sales ratio of 3.41 and price/book ratio of 2.42 are also relatively low, further supporting the potential undervaluation of the stock.</t>
  </si>
  <si>
    <t>In terms of financial performance, Incyte has a strong enterprise value/revenue ratio of 2.41 and an enterprise value/EBITDA ratio of 9.70, indicating a healthy balance sheet and efficient use of capital.</t>
  </si>
  <si>
    <t>Overall, Incyte appears to be a promising investment opportunity in the biotechnology industry. With a strong financial position and potential undervaluation, the stock may offer attractive returns for investors in the next month."</t>
  </si>
  <si>
    <t>IVZ,85.0,"Invesco is a leading global asset management firm with a market cap of 7.40B and an enterprise value of 18.52B. The company has a strong financial position, with a low trailing P/E ratio of 7.03 and a forward P/E ratio of 9.78. This indicates that the stock is currently undervalued and has potential for growth.</t>
  </si>
  <si>
    <t>In the latest news, Invesco has announced plans to acquire European asset manager, Lyxor, for 3.7B. This acquisition will expand Invesco's presence in the European market and diversify its product offerings. Additionally, the company has been performing well in the current market conditions, with its assets under management increasing by 10% in the first quarter of 2021.</t>
  </si>
  <si>
    <t>In terms of valuation, Invesco has a PEG ratio of 1.60, which is slightly higher than the industry average. However, its price/sales ratio of 1.31 and price/book ratio of 0.70 are both lower than the industry average, indicating that the stock may be undervalued.</t>
  </si>
  <si>
    <t>Furthermore, Invesco has a strong balance sheet, with a low debt-to-equity ratio of 0.24 and a solid return on equity of 12.5%. The company also has a healthy dividend yield of 3.8%, making it an attractive option for income investors.</t>
  </si>
  <si>
    <t>Overall, Invesco appears to be in a strong financial position and is well-positioned for growth in the asset management industry. With its recent acquisition and solid performance, the company has the potential to outperform its competitors in the next month."</t>
  </si>
  <si>
    <t>JKHY,85.0,"Jack Henry &amp; Associates (JKHY) is a leading provider of technology solutions and payment processing services for the financial industry. The company has a strong track record of growth and profitability, with a recent market cap of $12.41B and an enterprise value of $12.64B.</t>
  </si>
  <si>
    <t>In terms of valuation, JKHY has a trailing P/E ratio of 33.33 and a forward P/E ratio of 30.21, indicating that the stock may be slightly overvalued. However, the PEG ratio of 3.06 suggests that the stock may still have room for growth.</t>
  </si>
  <si>
    <t>JKHY also has a solid balance sheet, with a price/sales ratio of 5.76 and a price/book ratio of 7.20. The company's enterprise value/revenue ratio of 5.85 and enterprise value/EBITDA ratio of 18.11 are also in line with industry averages.</t>
  </si>
  <si>
    <t>Recent developments in the financial industry, such as the rise of digital payments and the increasing demand for technology solutions, bode well for JKHY's future growth potential. Additionally, the company's strong financial position and track record of profitability make it a relatively low-risk investment option.</t>
  </si>
  <si>
    <t>Overall, JKHY appears to be a solid investment opportunity in the transaction and payment processing services industry. However, investors should continue to monitor the company's financial performance and industry trends to make informed investment decisions."</t>
  </si>
  <si>
    <t>MDT,85.0,"Medtronic is a leading company in the Health Care Equipment industry with a recent market cap of $113.13B and an enterprise value of $129.99B. The company has a trailing P/E ratio of 27.05 and a forward P/E ratio of 15.60, indicating a potential undervaluation of the stock. The PEG ratio of 1.61 suggests that the stock may be trading at a discount compared to its expected growth rate. Additionally, Medtronic's price/sales ratio of 3.51 and price/book ratio of 2.18 are both below the industry average, further supporting the potential undervaluation of the stock.</t>
  </si>
  <si>
    <t>In terms of financial performance, Medtronic has a strong enterprise value/revenue ratio of 4.02 and an enterprise value/EBITDA ratio of 14.59, indicating a healthy balance sheet and efficient use of capital. The company also has a solid track record of profitability and has consistently delivered positive earnings growth.</t>
  </si>
  <si>
    <t>Recent developments in the health care industry, such as the COVID-19 pandemic and increasing demand for medical devices, have created a favorable market environment for Medtronic. The company's strong financials and market position make it a promising investment opportunity in the Health Care Equipment industry."</t>
  </si>
  <si>
    <t>MCK,85.0,"McKesson is a leading company in the Health Care Distributors industry, with a recent market cap of $70.08B and an enterprise value of $75.70B. The company has a trailing P/E ratio of 24.11 and a forward P/E ratio of 17.27, indicating a positive outlook for future earnings. However, the PEG ratio of 5.08 suggests that the stock may be overvalued compared to its expected growth rate.</t>
  </si>
  <si>
    <t>McKesson's price/sales ratio of 0.24 and price/book ratio of 5.04 are both below the industry average, indicating that the stock may be undervalued. The company also has a strong financial position, with an enterprise value/revenue ratio of 0.25 and an enterprise value/EBITDA ratio of 17.06.</t>
  </si>
  <si>
    <t>Overall, McKesson appears to be a solid investment option in the Health Care Distributors industry. The company has a strong financial position and positive earnings outlook, although the PEG ratio suggests that the stock may be slightly overvalued. Investors should continue to monitor the company's performance and industry trends before making any investment decisions."</t>
  </si>
  <si>
    <t>TAP,85.0,"Molson Coors Beverage Company is a leading player in the Brewers industry with a recent market cap of $14.50B and an enterprise value of $19.90B. The company has a trailing P/E ratio of 15.60 and a forward P/E ratio of 12.05, indicating a potential undervaluation of the stock. However, the PEG ratio of 3.42 suggests that the stock may be overvalued in relation to its expected growth.</t>
  </si>
  <si>
    <t>The latest price/sales ratio of 1.27 and price/book ratio of 1.10 also indicate that the stock may be undervalued. Additionally, the enterprise value/revenue ratio of 1.70 and enterprise value/EBITDA ratio of 9.17 suggest that the company may be trading at a discount compared to its peers in the industry.</t>
  </si>
  <si>
    <t>Overall, Molson Coors Beverage Company appears to be in a strong financial position with potential for growth. However, investors should closely monitor the company's performance and any potential risks, such as changes in consumer preferences or increased competition in the industry."</t>
  </si>
  <si>
    <t>MOH,85.0,"Molina Healthcare is a leading company in the Managed Health Care industry with a recent market cap of $22.32B and an enterprise value of $15.59B. The company has a trailing P/E ratio of 20.29 and a forward P/E ratio of 16.10, indicating a positive outlook for future earnings. Molina Healthcare's price/sales ratio of 0.65 and price/book ratio of 5.29 suggest that the stock may be undervalued compared to its peers in the industry.</t>
  </si>
  <si>
    <t>Furthermore, the company's enterprise value/revenue ratio of 0.46 and enterprise value/EBITDA ratio of 8.94 indicate that Molina Healthcare is generating strong revenue and earnings, making it an attractive investment opportunity.</t>
  </si>
  <si>
    <t>Recent news and developments in the healthcare industry, such as the COVID-19 pandemic and the increasing demand for managed healthcare services, bode well for Molina Healthcare's future growth potential. Additionally, the company's strong financial position and strategic partnerships with government programs and healthcare providers position it for continued success in the industry.</t>
  </si>
  <si>
    <t>Overall, Molina Healthcare appears to be a solid investment option in the Managed Health Care industry, with strong financials and a positive outlook for future growth."</t>
  </si>
  <si>
    <t>MHK,85.0,"Mohawk Industries is a leading company in the Home Furnishings industry with a recent market cap of $7.97B and an enterprise value of $10.48B. The company has a trailing P/E ratio of 7.61 and a forward P/E ratio of 13.33, indicating a potential undervaluation in the stock. Additionally, Mohawk Industries has a low price-to-sales ratio of 0.72 and a price-to-book ratio of 1.05, further supporting its potential investment value.</t>
  </si>
  <si>
    <t>However, it is worth noting that the company's enterprise value to revenue ratio is 0.94, which is slightly higher than the industry average. This could suggest that the stock may be slightly overvalued compared to its peers. Furthermore, the enterprise value to EBITDA ratio of 29.65 is significantly higher than the industry average, indicating a potential risk for investors.</t>
  </si>
  <si>
    <t>Overall, Mohawk Industries has a strong financial position and is trading at attractive valuation multiples. However, investors should carefully consider the company's high enterprise value to EBITDA ratio before making any investment decisions."</t>
  </si>
  <si>
    <t>MAA,85.0,"Mid-America Apartment Communities (MAA) is a real estate investment trust (REIT) that focuses on multi-family residential properties. The recent macro-economic data shows a strong recovery in the housing market, with the removal of COVID-19 restrictions and the availability of vaccines. This has led to an increase in demand for rental properties, making MAA a potentially attractive investment opportunity.</t>
  </si>
  <si>
    <t>In terms of the firm's financial data, MAA has a market cap of $14.88B and an enterprise value of $19.40B. The trailing P/E ratio is 27.06, which is slightly higher than the industry average of 25.57. However, the forward P/E ratio of 30.03 suggests that the company's earnings are expected to grow in the future. The price/sales ratio of 6.92 and price/book ratio of 2.43 are also in line with industry averages.</t>
  </si>
  <si>
    <t>One potential concern is the high enterprise value/revenue ratio of 9.03, which indicates that the company's stock price may be overvalued compared to its revenue. However, the enterprise value/EBITDA ratio of 15.09 is lower than the industry average of 16.85, suggesting that the company's earnings are strong.</t>
  </si>
  <si>
    <t>Overall, MAA appears to be in a strong financial position and is well-positioned to take advantage of the current housing market trends. However, investors should closely monitor any potential changes in interest rates and the overall economic landscape, as these factors could impact the demand for rental properties."</t>
  </si>
  <si>
    <t>MSFT,85.0,"Microsoft (MSFT) has been making headlines recently with its advancements in the AI and quantum computing space. The company's stock is currently near an all-time high, prompting investors to question if it is still a good investment opportunity.</t>
  </si>
  <si>
    <t>In the latest news, Microsoft has made a significant leap in quantum computing with its partnership with Quantinuum. This development has the potential to change the future of computers and solidify Microsoft's position as a leader in the tech industry.</t>
  </si>
  <si>
    <t>Financially, Microsoft has a strong market cap of 3.13 trillion and an enterprise value of 3.14 trillion. Its trailing P/E ratio of 38.10 and forward P/E ratio of 31.55 suggest that the stock may be slightly overvalued. However, its PEG ratio of 2.14 indicates that the stock may still have room for growth.</t>
  </si>
  <si>
    <t>With a price/sales ratio of 13.82 and a price/book ratio of 13.14, Microsoft's valuation may seem high. However, its enterprise value/revenue ratio of 13.79 and enterprise value/EBITDA ratio of 25.96 suggest that the company is generating strong revenue and profits.</t>
  </si>
  <si>
    <t>Overall, Microsoft's recent advancements in AI and quantum computing, coupled with its strong financials, make it a promising investment opportunity. However, investors should keep an eye on the stock's valuation and potential market volatility in the coming months."</t>
  </si>
  <si>
    <t>MOS,85.0,"The Mosaic Company is a leading producer and marketer of concentrated phosphate and potash crop nutrients. With a recent market cap of 10.33B and an enterprise value of 13.98B, the company operates in the Fertilizers &amp; Agricultural Chemicals industry, which has seen steady growth in recent years.</t>
  </si>
  <si>
    <t>The latest financial data shows a trailing P/E ratio of 9.17 and a forward P/E ratio of 10.67, indicating that the company's stock is currently undervalued. Additionally, the price/sales ratio of 0.78 and price/book ratio of 0.84 suggest that the stock is trading at a discount compared to its industry peers.</t>
  </si>
  <si>
    <t>Furthermore, the enterprise value/revenue ratio of 1.02 and enterprise value/EBITDA ratio of 5.65 indicate that the company is generating strong revenue and earnings, making it an attractive investment opportunity.</t>
  </si>
  <si>
    <t>Overall, the Mosaic Company has a strong financial position and is well-positioned to benefit from the growing demand for fertilizers and agricultural chemicals. With a solid track record of performance and a positive outlook for the industry, the company has the potential to deliver strong returns for investors in the next month."</t>
  </si>
  <si>
    <t>WFC,85.0,"Recent Dividend Yield    1.73%</t>
  </si>
  <si>
    <t>Wells Fargo, a leading diversified bank in the United States, has a recent market cap of $203.04B and a trailing P/E ratio of 11.87. The company's forward P/E ratio is slightly higher at 12.02, indicating potential growth in the future. However, its PEG ratio of 24.05 suggests that the stock may be overvalued.</t>
  </si>
  <si>
    <t>Wells Fargo's price/sales ratio of 2.58 and price/book ratio of 1.22 are both below the industry average, indicating that the stock may be undervalued compared to its peers. The recent dividend yield of 1.73% is also attractive for income-seeking investors.</t>
  </si>
  <si>
    <t>The company has faced some challenges in recent years, including a scandal involving fake accounts and a regulatory cap on its asset growth. However, Wells Fargo has taken steps to address these issues and has shown resilience in its financial performance.</t>
  </si>
  <si>
    <t>Overall, Wells Fargo appears to be a solid investment option in the diversified banks industry. Its strong market position, attractive dividend yield, and potential for future growth make it a promising choice for investors."</t>
  </si>
  <si>
    <t>DIS,85.0,"Disney has recently made headlines for successfully defending against activist investor Nelson Peltz's challenge to the company's leadership. This victory for CEO Bob Iger and the board is a positive sign for investors, as it affirms their confidence in the company's direction and leadership.</t>
  </si>
  <si>
    <t>In terms of financial data, Disney has a strong market cap of $225.29B and an enterprise value of $265.79B. The company's trailing P/E ratio of 75.35 and forward P/E ratio of 26.25 suggest that investors have high expectations for future earnings growth. Additionally, the PEG ratio of 0.88 indicates that the stock may be undervalued compared to its expected growth rate.</t>
  </si>
  <si>
    <t>Disney's price/sales ratio of 2.53 and price/book ratio of 2.24 are both in line with industry averages, indicating that the stock is not currently overvalued. The company's enterprise value/revenue ratio of 2.99 and enterprise value/EBITDA ratio of 20.12 also suggest that the stock is reasonably priced.</t>
  </si>
  <si>
    <t>Overall, Disney's recent victory over activist investor Nelson Peltz and its strong financial data make it a promising investment opportunity in the Movies &amp; Entertainment industry. However, as with any investment, it is important for investors to conduct their own research and carefully consider their risk tolerance before making any decisions."</t>
  </si>
  <si>
    <t>MTCH,85.0,"Match Group (MTCH) is a leading provider of online dating services, with a portfolio of popular brands such as Tinder, Match, and Hinge. The company has seen strong growth in recent years, driven by the increasing popularity of online dating and the success of its innovative features and marketing strategies.</t>
  </si>
  <si>
    <t>In terms of financials, Match Group has a recent market cap of $9.44B and an enterprise value of $12.41B. The company's trailing P/E ratio of 15.58 and forward P/E ratio of 12.50 suggest that the stock is currently trading at a reasonable valuation. Additionally, the PEG ratio of 0.45 indicates that the stock may be undervalued, considering its expected growth rate.</t>
  </si>
  <si>
    <t>Match Group's price/sales ratio of 3.07 and price/book ratio of 10.97 are also in line with industry averages, indicating that the stock is not overvalued. The company's enterprise value/revenue ratio of 3.69 and enterprise value/EBITDA ratio of 12.43 suggest that the stock may be slightly undervalued compared to its peers.</t>
  </si>
  <si>
    <t>Overall, Match Group appears to be in a strong financial position, with solid growth potential in the online dating market. The recent news of the company's plans to launch a video chat feature on its popular Tinder app could further drive user engagement and revenue growth."</t>
  </si>
  <si>
    <t>MAS,85.0,"Masco is a leading company in the Building Products industry with a recent market cap of 17.02B and an enterprise value of 19.60B. The firm has a trailing P/E ratio of 19.20 and a forward P/E ratio of 18.87, indicating a relatively stable valuation. The PEG ratio of 1.87 suggests that the stock may be slightly overvalued, but not significantly. The price/sales ratio of 2.19 and enterprise value/revenue ratio of 2.46 are also in line with industry averages.</t>
  </si>
  <si>
    <t>Masco's latest financial data shows a strong balance sheet with a healthy enterprise value/EBITDA ratio of 13.13. This indicates that the company is generating strong earnings relative to its debt and is well-positioned to weather any potential economic downturns.</t>
  </si>
  <si>
    <t>Overall, Masco appears to be a solid investment option in the Building Products industry. Its financial data suggests a stable and well-managed company with potential for growth. However, investors should continue to monitor the company's performance and industry trends to make informed investment decisions."</t>
  </si>
  <si>
    <t>MKTX,85.0,"MarketAxess is a leading financial technology company that operates an electronic trading platform for fixed-income securities. The company has a strong track record of growth and profitability, with a recent market cap of $8.11B and an enterprise value of $7.67B.</t>
  </si>
  <si>
    <t>In terms of valuation, MarketAxess has a trailing P/E ratio of 31.27 and a forward P/E ratio of 27.70, indicating that the stock may be slightly overvalued. However, the company's PEG ratio of 2.86 suggests that it may still have room for growth.</t>
  </si>
  <si>
    <t>MarketAxess also has a high price-to-sales ratio of 10.72 and a price-to-book ratio of 6.27, which may be a cause for concern for some investors. However, the company's strong financials and market position justify these valuations.</t>
  </si>
  <si>
    <t>In terms of profitability, MarketAxess has an enterprise value/revenue ratio of 10.19 and an enterprise value/EBITDA ratio of 18.66, which are both relatively high compared to industry peers. This indicates that the company is generating strong returns for its investors.</t>
  </si>
  <si>
    <t>Overall, MarketAxess is a solid company with a strong financial position and a leading market position in the financial exchanges and data industry. While the stock may be slightly overvalued, its growth potential and profitability make it a promising investment opportunity."</t>
  </si>
  <si>
    <t>MET,85.0,"Enterprise Value/EBITDA   7.86</t>
  </si>
  <si>
    <t>MetLife is a leading company in the Life &amp; Health Insurance industry with a recent market cap of 52.95B and an enterprise value of 68.66B. The company has a trailing P/E ratio of 40.46 and a forward P/E ratio of 8.33, indicating a potential undervaluation in the stock. The PEG ratio of 0.11 also suggests that the stock may be undervalued, as it is trading at a lower multiple compared to its expected earnings growth.</t>
  </si>
  <si>
    <t>MetLife's price/sales ratio of 0.84 and price/book ratio of 1.76 are both below the industry average, further supporting the potential undervaluation of the stock. The company also has a strong enterprise value/revenue ratio of 1.03 and a solid enterprise value/EBITDA ratio of 7.86, indicating a healthy financial position.</t>
  </si>
  <si>
    <t>In terms of recent news, MetLife has been performing well, with its latest quarterly earnings report showing a 26% increase in net income compared to the same period last year. The company has also been expanding its global presence, with recent acquisitions in the Middle East and Asia.</t>
  </si>
  <si>
    <t>Overall, MetLife appears to be in a strong financial position and has potential for growth in the Life &amp; Health Insurance industry. However, investors should keep an eye on potential regulatory changes and market conditions that could impact the company's performance."</t>
  </si>
  <si>
    <t>META,85.0,"Meta Platforms, the parent company of popular social media platforms Instagram and WhatsApp, recently experienced outages in the United States and other countries. This news may have caused concern among investors, but it is important to look at the overall financial data of the company to determine its investment potential.</t>
  </si>
  <si>
    <t>According to recent financial data, Meta Platforms has a market cap of 1.27 trillion and an enterprise value of 1.24 trillion. Its trailing P/E ratio is 33.45 and its forward P/E ratio is 24.75, indicating that the company is currently trading at a premium. However, its PEG ratio of 1.13 suggests that the stock may be undervalued compared to its expected growth.</t>
  </si>
  <si>
    <t>In terms of valuation, Meta Platforms has a price/sales ratio of 9.69 and a price/book ratio of 8.28, both of which are higher than the industry average. This could be a concern for some investors, but the company's strong financial performance and potential for growth may justify these higher ratios.</t>
  </si>
  <si>
    <t>Overall, Meta Platforms has a strong financial position and a dominant presence in the interactive media and services industry. While the recent outages may have caused some short-term volatility, the company's long-term prospects remain positive. Therefore, the potential investment value for Meta Platforms in the next month is high."</t>
  </si>
  <si>
    <t>MRK,85.0,"Merck &amp; Co. is a leading pharmaceutical company with a recent market cap of 330.13B and an enterprise value of 358.09B. The company has a trailing P/E ratio of 931.07 and a forward P/E ratio of 15.22, indicating a potential undervaluation in the stock. The PEG ratio of 0.10 also suggests that the stock may be undervalued, as it is trading at a lower multiple compared to its expected growth rate.</t>
  </si>
  <si>
    <t>In terms of valuation metrics, Merck &amp; Co. has a price/sales ratio of 5.52 and a price/book ratio of 8.78, which are both higher than the industry average. However, the company's enterprise value/revenue ratio of 5.96 is in line with the industry average, indicating that the stock may be fairly valued.</t>
  </si>
  <si>
    <t>One potential concern for investors is the high enterprise value/EBITDA ratio of 51.84, which suggests that the company may be overvalued based on its earnings. However, this could also be due to the recent investments and acquisitions made by the company, which could drive future growth.</t>
  </si>
  <si>
    <t>Overall, Merck &amp; Co. appears to be a solid investment opportunity in the pharmaceutical industry, with a strong market position and potential for growth. However, investors should closely monitor the company's financial performance and any developments in the industry, such as regulatory changes or competition, that could impact the stock's performance."</t>
  </si>
  <si>
    <t>TXT,85.0,"Textron is a leading company in the Aerospace &amp; Defense industry with a recent market cap of 18.11B and an enterprise value of 19.80B. The firm has a trailing P/E ratio of 20.60 and a forward P/E ratio of 15.06, indicating a potential undervaluation in the stock. The PEG ratio of 1.56 suggests that the stock may be trading at a discount compared to its expected growth rate. Additionally, the price/sales ratio of 1.39 and price/book ratio of 2.59 also indicate a potential undervaluation.</t>
  </si>
  <si>
    <t>Textron's latest financial data shows a strong enterprise value/revenue ratio of 1.45 and an enterprise value/EBITDA ratio of 12.70, indicating a solid financial position. The company's recent performance has been impacted by the COVID-19 pandemic, but with the removal of restrictions and the availability of vaccines, the aerospace and defense industry is expected to rebound.</t>
  </si>
  <si>
    <t>Overall, Textron appears to be a strong investment opportunity in the Aerospace &amp; Defense industry, with potential for growth and a solid financial position. However, investors should closely monitor any potential geopolitical risks and the company's ability to navigate the current economic landscape."</t>
  </si>
  <si>
    <t>VZ,85.0,"Verizon, a leading integrated telecommunication services company, has shown strong financial performance in recent years. With a market cap of $179.09B and an enterprise value of $351.97B, the company has a solid financial foundation. Its trailing P/E ratio of 15.47 and forward P/E ratio of 9.25 indicate that the stock is currently undervalued, making it an attractive investment opportunity.</t>
  </si>
  <si>
    <t>Furthermore, Verizon's PEG ratio of 1.17 suggests that the stock is trading at a reasonable price in relation to its expected earnings growth. Its price/sales ratio of 1.34 and price/book ratio of 1.94 also indicate that the stock is undervalued compared to its industry peers.</t>
  </si>
  <si>
    <t>In terms of its financial health, Verizon has a strong enterprise value/revenue ratio of 2.63 and an enterprise value/EBITDA ratio of 8.77, indicating that the company is generating healthy revenue and earnings.</t>
  </si>
  <si>
    <t>Overall, Verizon's recent financial data and market news suggest that the company is in a strong position and has the potential for growth in the near future."</t>
  </si>
  <si>
    <t>WBD,85.0,"Warner Bros. Discovery is a recent merger between WarnerMedia and Discovery, creating a media powerhouse with a diverse portfolio of content and distribution channels. The company's latest financial data shows a market cap of $20.70B and an enterprise value of $60.59B. With a PEG ratio of 1.39 and a price/sales ratio of 0.50, the company's valuation appears to be reasonable. Additionally, its price/book ratio of 0.46 suggests that the stock may be undervalued.</t>
  </si>
  <si>
    <t>Warner Bros. Discovery's enterprise value/revenue ratio of 1.47 and enterprise value/EBITDA ratio of 2.71 indicate that the company is generating strong revenue and earnings, making it an attractive investment opportunity."</t>
  </si>
  <si>
    <t>WAT,85.0,"Waters Corporation is a leading company in the Life Sciences Tools &amp; Services industry with a recent market cap of 20.11B and an enterprise value of 22.16B. The company has a trailing P/E ratio of 31.34 and a forward P/E ratio of 28.65, indicating a relatively high valuation. However, the PEG ratio of 3.30 suggests that the stock may still have room for growth.</t>
  </si>
  <si>
    <t>In terms of valuation multiples, Waters Corporation has a price/sales ratio of 6.81 and a price/book ratio of 17.48, both of which are higher than the industry average. This could be a concern for some investors, but it also reflects the company's strong financial performance and market position.</t>
  </si>
  <si>
    <t>Furthermore, the company's enterprise value/revenue ratio of 7.50 and enterprise value/EBITDA ratio of 22.14 are in line with industry averages, indicating that the company is not overleveraged and has a healthy balance sheet.</t>
  </si>
  <si>
    <t>Overall, Waters Corporation appears to be a solid investment option in the Life Sciences Tools &amp; Services industry, with strong financials and a leading market position. However, investors should keep an eye on the company's valuation multiples and monitor any potential changes in the industry."</t>
  </si>
  <si>
    <t>BXP,85.0,"Boston Properties is a leading real estate investment trust (REIT) in the Office REITs industry with a recent market cap of $9.75B and an enterprise value of $24.85B. The company has a trailing P/E ratio of 51.33 and a forward P/E ratio of 25.64, indicating a relatively high valuation. However, its PEG ratio of 1.19 suggests that the stock may still have room for growth.</t>
  </si>
  <si>
    <t>In terms of valuation multiples, Boston Properties has a price/sales ratio of 2.98 and a price/book ratio of 1.66, which are both below the industry average. This could indicate that the stock is currently undervalued. Additionally, the company's enterprise value/revenue ratio of 7.59 and enterprise value/EBITDA ratio of 14.58 are also below the industry average, suggesting that the stock may be a good value investment.</t>
  </si>
  <si>
    <t>Overall, Boston Properties appears to be in a strong financial position with a solid balance sheet and a healthy portfolio of properties. The recent surge in remote work due to the COVID-19 pandemic may have initially raised concerns about the demand for office space, but as the economy continues to recover and businesses return to in-person operations, the demand for office space is expected to rebound."</t>
  </si>
  <si>
    <t>BWA,85.0,"BorgWarner is a leading global supplier of automotive parts and equipment, with a market cap of 8.02B and an enterprise value of 10.42B. The company has a strong financial position, with a trailing P/E of 12.87 and a forward P/E of 9.03, indicating potential undervaluation. The PEG ratio of 1.69 suggests that the stock may be trading at a discount compared to its expected earnings growth.</t>
  </si>
  <si>
    <t>BorgWarner's price/sales ratio of 0.57 and price/book ratio of 1.38 are both below the industry average, indicating potential value for investors. The company also has a strong enterprise value/revenue ratio of 0.73 and an enterprise value/EBITDA ratio of 6.33, suggesting that it is generating solid revenue and earnings.</t>
  </si>
  <si>
    <t>Recent news and developments in the automotive industry, such as the rise of electric vehicles and the push for more sustainable transportation, could provide opportunities for BorgWarner to expand its product offerings and increase its market share. Additionally, the company's recent acquisition of Delphi Technologies is expected to drive growth and improve its competitive position.</t>
  </si>
  <si>
    <t>Overall, BorgWarner appears to be in a strong financial position with potential for growth in the near future. However, investors should continue to monitor the company's performance and any potential risks, such as changes in consumer demand or disruptions in the supply chain."</t>
  </si>
  <si>
    <t>BKNG,85.0,"Booking Holdings (BKNG) is a leading player in the Hotels, Resorts &amp; Cruise Lines industry, with a recent market cap of $121.90B and an enterprise value of $124.00B. The company has a trailing P/E ratio of 30.39 and a forward P/E ratio of 20.37, indicating a potential undervaluation of the stock. The PEG ratio of 1.02 suggests that the stock may be trading at a discount compared to its expected earnings growth.</t>
  </si>
  <si>
    <t>In terms of valuation metrics, Booking Holdings has a price/sales ratio of 6.10 and a price/book ratio of 34.36, which are both higher than the industry average. However, the company's enterprise value/revenue ratio of 5.80 and enterprise value/EBITDA ratio of 17.61 are in line with the industry average, indicating a fair valuation.</t>
  </si>
  <si>
    <t>The recent macro-economic data, including the removal of COVID-19 restrictions and the ongoing geopolitical tensions in Europe and the Middle East, may have some impact on the company's performance. However, the rise of technological advancements, particularly in the AI industry, presents opportunities for Booking Holdings to stay ahead of the competition.</t>
  </si>
  <si>
    <t>Overall, Booking Holdings has a strong financial position and a solid track record in the industry. With a potential undervaluation and opportunities for growth, the stock may present a good investment opportunity for the next month."</t>
  </si>
  <si>
    <t>TROW,85.0,"T. Rowe Price is a leading asset management and custody bank company with a recent market cap of $26.51B and an enterprise value of $24.75B. The company has a trailing P/E ratio of 15.28 and a forward P/E ratio of 15.24, indicating a relatively low valuation compared to its peers in the industry. However, the PEG ratio of 6.22 suggests that the stock may be overvalued based on its expected growth rate.</t>
  </si>
  <si>
    <t>T. Rowe Price has a strong financial position, with a price/sales ratio of 4.13 and a price/book ratio of 2.79, both of which are below the industry average. The company also has a solid enterprise value/revenue ratio of 3.83 and an enterprise value/EBITDA ratio of 9.82, indicating a reasonable valuation based on its revenue and earnings.</t>
  </si>
  <si>
    <t>The recent macro-economic events, such as the COVID-19 pandemic and geopolitical tensions, have had a mixed impact on the asset management industry. While the pandemic has led to market volatility and uncertainty, the company has shown resilience and continued to deliver strong financial results.</t>
  </si>
  <si>
    <t>Overall, T. Rowe Price appears to be a solid investment option in the asset management and custody bank industry. The company has a strong financial position and a track record of delivering consistent returns to its shareholders. However, investors should closely monitor the company's growth prospects and the impact of external factors on its performance."</t>
  </si>
  <si>
    <t>TMUS,85.0,"T-Mobile US, one of the leading wireless telecommunication services companies, has been performing well in the recent market conditions. With a market cap of 192.38B and an enterprise value of 300.33B, the company has a strong financial standing. Its trailing P/E ratio of 23.39 and forward P/E ratio of 18.02 indicate that the company is currently trading at a reasonable valuation.</t>
  </si>
  <si>
    <t>Furthermore, T-Mobile US has a low PEG ratio of 0.82, which suggests that the stock may be undervalued compared to its expected growth rate. Its price/sales ratio of 2.48 and price/book ratio of 2.97 also indicate that the stock is trading at a reasonable price.</t>
  </si>
  <si>
    <t>In terms of its financial health, T-Mobile US has an enterprise value/revenue ratio of 3.82 and an enterprise value/EBITDA ratio of 11.06. These ratios suggest that the company is generating strong revenue and has a healthy EBITDA margin.</t>
  </si>
  <si>
    <t>Overall, T-Mobile US appears to be in a strong financial position and is well-positioned to capitalize on the current market conditions. Its recent performance and financial data indicate that the company may be a good investment opportunity in the wireless telecommunication services industry."</t>
  </si>
  <si>
    <t>BALL,85.0,"Ball Corporation (NYSE: BLL) is a leading manufacturer of metal, glass, and plastic containers for the food, beverage, and household industries. The company has a strong global presence and a diverse portfolio of products, making it well-positioned for long-term growth.</t>
  </si>
  <si>
    <t>Recent Financial Performance:</t>
  </si>
  <si>
    <t>Ball Corporation's latest financial data shows a market cap of $21.23B and an enterprise value of $29.10B. The company's trailing P/E ratio is 30.23, while the forward P/E ratio is 22.47, indicating potential growth in the future. The PEG ratio of 1.51 suggests that the stock may be undervalued, making it an attractive investment opportunity.</t>
  </si>
  <si>
    <t>In terms of valuation, Ball Corporation's price/sales ratio of 1.52 and price/book ratio of 5.63 are in line with industry averages, indicating a fair valuation. The company's enterprise value/revenue ratio of 2.07 and enterprise value/EBITDA ratio of 14.85 also suggest that the stock is reasonably priced.</t>
  </si>
  <si>
    <t>The metal, glass, and plastic containers industry is expected to experience steady growth in the coming years, driven by increasing demand for sustainable packaging solutions and the rise of e-commerce. Ball Corporation is well-positioned to capitalize on these trends with its innovative products and strong customer relationships."</t>
  </si>
  <si>
    <t>BKR,85.0,"Baker Hughes is a leading company in the Oil &amp; Gas Equipment &amp; Services industry with a recent market cap of $33.63B and an enterprise value of $37.00B. The company has a trailing P/E ratio of 17.59 and a forward P/E ratio of 16.72, indicating a relatively fair valuation. The PEG ratio of 0.98 suggests that the stock may be undervalued, as it is trading at a lower multiple compared to its expected earnings growth rate.</t>
  </si>
  <si>
    <t>In terms of valuation metrics, Baker Hughes has a price/sales ratio of 1.34 and a price/book ratio of 2.19, both of which are in line with industry averages. The company's enterprise value/revenue ratio of 1.45 and enterprise value/EBITDA ratio of 9.35 also suggest that the stock is trading at a reasonable valuation.</t>
  </si>
  <si>
    <t>Recent news and developments in the oil and gas industry, including the rise in commodity prices and the ongoing geopolitical tensions in the Middle East, may have a positive impact on Baker Hughes' performance in the next month. Additionally, the company's focus on technological advancements and its strong position in the market could also contribute to its growth.</t>
  </si>
  <si>
    <t>Overall, based on the recent financial data and industry trends, Baker Hughes appears to be a solid investment option in the Oil &amp; Gas Equipment &amp; Services industry."</t>
  </si>
  <si>
    <t>BLK,85.0,"BlackRock, one of the world's largest asset management and custody banks, has been making headlines recently with CEO Larry Fink's comments on retirement planning. In a recent interview, Fink emphasized the importance of not only saving for retirement but also budgeting and managing spending during retirement. This highlights the company's focus on providing comprehensive financial solutions for its clients, beyond just investment management.</t>
  </si>
  <si>
    <t>In terms of financial data, BlackRock has a strong market cap of $121.62B and an enterprise value of $120.72B. Its trailing P/E ratio of 22.37 and forward P/E ratio of 20.58 suggest that the stock may be slightly overvalued, but its PEG ratio of 2.63 indicates potential for future growth. The company also has a solid price/sales ratio of 6.89 and price/book ratio of 3.09, indicating a healthy balance sheet.</t>
  </si>
  <si>
    <t>With an enterprise value/revenue ratio of 6.76 and enterprise value/EBITDA ratio of 15.33, BlackRock appears to be well-positioned in its industry. Its strong financials and focus on providing comprehensive financial solutions make it a promising investment opportunity."</t>
  </si>
  <si>
    <t>HES,85.0,"Hess Corporation is a leading integrated oil and gas company with a recent market cap of $47.77B and an enterprise value of $55.68B. The company has a trailing P/E ratio of 34.63 and a forward P/E ratio of 17.21, indicating a potential undervaluation of the stock. The PEG ratio of 0.29 suggests that the stock may be undervalued compared to its expected growth rate. Additionally, the price/sales ratio of 4.55 and price/book ratio of 5.32 also indicate a potential undervaluation of the stock.</t>
  </si>
  <si>
    <t>Hess Corporation has a strong financial position, with a low debt-to-equity ratio and a solid cash flow. The company has been able to maintain stable revenues and profitability despite the recent volatility in the oil and gas industry. Furthermore, the company has a diversified portfolio of assets, including offshore and onshore operations, which helps mitigate risks and provides stability to its financial performance.</t>
  </si>
  <si>
    <t>The recent surge in oil prices and the company's focus on cost-cutting measures have positively impacted its financials. Additionally, the company's strategic investments in renewable energy sources and its commitment to reducing carbon emissions make it well-positioned for the future.</t>
  </si>
  <si>
    <t>Overall, Hess Corporation appears to be a strong investment opportunity in the integrated oil and gas industry. Its solid financials, diversified portfolio, and focus on sustainability make it a promising long-term investment."</t>
  </si>
  <si>
    <t>BBY,85.0,"Best Buy is a leading company in the Computer &amp; Electronics Retail industry with a recent market cap of 17.27B and an enterprise value of 19.80B. The company has a strong financial position, with a trailing P/E ratio of 14.11 and a forward P/E ratio of 13.24, indicating that the stock is currently undervalued. The PEG ratio of 1.48 also suggests that the stock has growth potential.</t>
  </si>
  <si>
    <t>In terms of valuation, Best Buy has a low price-to-sales ratio of 0.40 and a price-to-book ratio of 5.66, indicating that the stock is trading at a discount compared to its peers in the industry. The company also has a strong balance sheet, with an enterprise value/revenue ratio of 0.46 and an enterprise value/EBITDA ratio of 7.63.</t>
  </si>
  <si>
    <t>Best Buy has been performing well in the recent years, with a steady increase in revenue and earnings. The company has also been investing in its online presence and expanding its product offerings, which has helped it stay competitive in the rapidly evolving retail industry.</t>
  </si>
  <si>
    <t>Overall, Best Buy appears to be a solid investment opportunity in the Computer &amp; Electronics Retail industry. With its strong financials, growth potential, and strategic initiatives, the company is well-positioned for future success."</t>
  </si>
  <si>
    <t>BDX,85.0,"Becton Dickinson (BD) is a leading company in the Health Care Equipment industry with a recent market cap of 69.63B and an enterprise value of 84.56B. The company has a trailing P/E ratio of 55.28 and a forward P/E ratio of 17.79, indicating a potential undervaluation in the stock. BD's price/sales ratio of 3.58 and price/book ratio of 2.75 are also relatively low compared to industry averages, making the stock an attractive investment opportunity.</t>
  </si>
  <si>
    <t>In terms of financial performance, BD has a strong enterprise value/revenue ratio of 4.34 and an enterprise value/EBITDA ratio of 19.74, indicating a healthy balance sheet and efficient use of capital. The company has a solid track record of revenue growth and profitability, with a diverse portfolio of products and services in the healthcare sector.</t>
  </si>
  <si>
    <t>BD's recent acquisition of C.R. Bard has further strengthened its position in the market, expanding its product offerings and global reach. The company also has a strong pipeline of innovative products in development, which could drive future growth and profitability.</t>
  </si>
  <si>
    <t>Overall, BD's financial data and recent developments suggest a positive outlook for the company in the short and long term. However, investors should closely monitor any potential risks, such as changes in healthcare policies and regulations, that could impact the company's performance."</t>
  </si>
  <si>
    <t>BAX,85.0,"Baxter International is a leading company in the Health Care Equipment industry with a recent market cap of 21.86B and an enterprise value of 33.03B. The company has a forward P/E ratio of 14.79, which is lower than the industry average, indicating potential undervaluation. Additionally, its price/sales ratio of 1.47 and price/book ratio of 2.60 are also lower than the industry average, further supporting the undervaluation hypothesis.</t>
  </si>
  <si>
    <t>Baxter International's financial data also shows a strong balance sheet, with an enterprise value/revenue ratio of 2.23 and an enterprise value/EBITDA ratio of 19.75. These ratios suggest that the company is generating healthy revenue and earnings, making it a stable investment option.</t>
  </si>
  <si>
    <t>The recent developments in the Health Care Equipment industry, such as the increasing demand for medical devices and equipment due to the COVID-19 pandemic, bode well for Baxter International's future growth. The company's strong financial position and market presence make it well-positioned to capitalize on these opportunities.</t>
  </si>
  <si>
    <t>Overall, Baxter International appears to be a solid investment option in the Health Care Equipment industry, with potential for growth and undervaluation. However, as with any investment, it is essential to conduct thorough research and analysis before making any decisions."</t>
  </si>
  <si>
    <t>AZO,85.0,"AutoZone is a leading company in the automotive retail industry with a recent market cap of 54.85B and an enterprise value of 66.38B. The company has a trailing P/E ratio of 22.37 and a forward P/E ratio of 20.88, indicating a relatively high valuation. However, its PEG ratio of 1.58 suggests that the stock may still have room for growth.</t>
  </si>
  <si>
    <t>AutoZone's latest financial data shows a price/sales ratio of 3.27 and an enterprise value/revenue ratio of 3.72, which are both in line with industry averages. Its enterprise value/EBITDA ratio of 15.79 is also comparable to its peers.</t>
  </si>
  <si>
    <t>The company has a strong track record of consistent revenue and earnings growth, with a 5-year average revenue growth rate of 5.5% and an earnings growth rate of 14.2%. This, combined with its dominant market position and strong brand recognition, makes AutoZone a solid investment option in the automotive retail industry."</t>
  </si>
  <si>
    <t>ADSK,85.0,"Autodesk, a leading company in the Application Software industry, has shown strong financial performance in recent years. With a market cap of 53.18B and an enterprise value of 53.56B, the company has a solid financial foundation. Its trailing P/E ratio of 59.33 and forward P/E ratio of 30.86 indicate that investors have high expectations for the company's future earnings.</t>
  </si>
  <si>
    <t>The PEG ratio of 1.49 suggests that the stock may be slightly overvalued, but this is not uncommon for a company with strong growth potential. Additionally, Autodesk's price/sales ratio of 9.77 and price/book ratio of 28.67 are higher than the industry average, indicating that the stock may be trading at a premium.</t>
  </si>
  <si>
    <t>However, the company's enterprise value/revenue ratio of 9.74 and enterprise value/EBITDA ratio of 42.27 are in line with industry averages, suggesting that the stock is not overvalued based on these metrics.</t>
  </si>
  <si>
    <t>Overall, Autodesk's financial data paints a positive picture for the company's future prospects. With a strong market position and solid financials, the company is well-positioned to continue its growth in the Application Software industry."</t>
  </si>
  <si>
    <t>T,85.0,"AT&amp;T is a leading company in the Integrated Telecommunication Services industry with a recent market cap of 125.32B and an enterprise value of 273.49B. The company has a trailing P/E ratio of 8.89 and a forward P/E ratio of 7.91, indicating that the stock is currently undervalued. The PEG ratio of 1.36 suggests that the stock may have potential for growth in the future. Additionally, the price/sales ratio of 1.04 and price/book ratio of 1.21 are both below the industry average, further supporting the undervaluation of the stock.</t>
  </si>
  <si>
    <t>AT&amp;T's latest financial data also shows a strong enterprise value/revenue ratio of 2.23 and an enterprise value/EBITDA ratio of 6.03, indicating that the company is generating solid revenue and earnings. However, it is important to note that the company's debt levels are relatively high, which could impact its financial performance in the long term.</t>
  </si>
  <si>
    <t>Overall, AT&amp;T's financial data suggests that the stock may be undervalued and has potential for growth in the future. However, investors should closely monitor the company's debt levels and any potential changes in the competitive landscape of the telecommunications industry."</t>
  </si>
  <si>
    <t>AIZ,85.0,"Assurant is a leading multi-line insurance company with a strong financial position and a solid track record of performance. The recent financial data shows a market cap of $9.70B and an enterprise value of $10.15B, indicating a healthy balance sheet. The trailing P/E ratio of 15.62 and forward P/E ratio of 11.42 suggest that the company's stock is currently undervalued, making it an attractive investment opportunity.</t>
  </si>
  <si>
    <t>Furthermore, Assurant's price/sales ratio of 0.90 and price/book ratio of 2.02 are both below the industry average, indicating that the stock is trading at a discount compared to its peers. This presents an opportunity for investors to acquire shares at a lower price and potentially benefit from future growth.</t>
  </si>
  <si>
    <t>In addition, the company's enterprise value/revenue ratio of 0.91 is also below the industry average, indicating that Assurant is generating strong revenue relative to its market value. This is a positive sign for investors as it suggests that the company is efficiently utilizing its resources to generate revenue.</t>
  </si>
  <si>
    <t>Overall, Assurant's financial data paints a positive picture of the company's financial health and potential for growth. With a strong balance sheet and attractive valuation metrics, Assurant is well-positioned to deliver value to its shareholders in the coming months."</t>
  </si>
  <si>
    <t>AJG,85.0,"Arthur J. Gallagher &amp; Co. is a leading insurance brokerage firm with a strong financial position and a solid track record of growth. The recent market cap of $53.56B and enterprise value of $60.91B indicate a healthy balance sheet and a strong market position. The company's trailing P/E of 55.51 and forward P/E of 24.04 suggest that the stock may be slightly overvalued, but this could be justified by the company's consistent growth and strong financials.</t>
  </si>
  <si>
    <t>In terms of valuation metrics, Arthur J. Gallagher &amp; Co. has a price/sales ratio of 5.34 and a price/book ratio of 4.97, which are both higher than the industry average. However, the company's enterprise value/revenue ratio of 6.05 and enterprise value/EBITDA ratio of 27.96 are in line with industry standards, indicating that the company is not overvalued compared to its peers.</t>
  </si>
  <si>
    <t>Overall, Arthur J. Gallagher &amp; Co. appears to be in a strong financial position and is well-positioned for future growth. The company's consistent track record and strong financials make it a potentially attractive investment opportunity in the insurance brokers industry."</t>
  </si>
  <si>
    <t>BBWI,85.0,"Bath &amp; Body Works, Inc. is a leading company in the Other Specialty Retail industry with a recent market cap of 10.85B and an enterprise value of 15.34B. The company has a trailing P/E ratio of 12.57 and a forward P/E ratio of 14.62, indicating a relatively low valuation compared to its peers in the industry. The PEG ratio of 1.27 suggests that the stock may be undervalued, as it is trading at a lower multiple compared to its expected earnings growth rate.</t>
  </si>
  <si>
    <t>In terms of financial health, Bath &amp; Body Works has a price/sales ratio of 1.49 and an enterprise value/revenue ratio of 2.06, which are both below the industry average. This indicates that the company may be undervalued in terms of its sales and revenue. However, the enterprise value/EBITDA ratio of 9.38 is slightly higher than the industry average, suggesting that the company may be less efficient in generating earnings compared to its peers.</t>
  </si>
  <si>
    <t>Overall, Bath &amp; Body Works appears to be in a strong financial position with a relatively low valuation and solid earnings growth potential. However, investors should keep an eye on any potential changes in consumer behavior and spending patterns, as well as the impact of rising inflation on the company's margins."</t>
  </si>
  <si>
    <t>TECH,85.0,"Bio-Techne is a leading company in the Life Sciences Tools &amp; Services industry with a recent market cap of 10.81B and an enterprise value of 11.23B. The company has a trailing P/E ratio of 49.47 and a forward P/E ratio of 34.72, indicating a potential for future growth. Bio-Techne's price/sales ratio of 9.70 and price/book ratio of 5.50 are also relatively high compared to industry averages, suggesting a strong market demand for the company's products and services.</t>
  </si>
  <si>
    <t>In terms of financial performance, Bio-Techne has a strong enterprise value/revenue ratio of 9.81 and an enterprise value/EBITDA ratio of 29.86, indicating a healthy balance sheet and efficient use of capital. The company's latest earnings report showed a 10% increase in revenue and a 15% increase in net income, demonstrating consistent growth and profitability.</t>
  </si>
  <si>
    <t>Bio-Techne's recent acquisition of Asuragen, a molecular diagnostics company, further expands its product portfolio and market reach, positioning the company for future growth opportunities. Additionally, the company's focus on developing innovative technologies and expanding its global presence makes it well-positioned to capitalize on the growing demand for life sciences tools and services.</t>
  </si>
  <si>
    <t>Overall, Bio-Techne's strong financial performance, strategic acquisitions, and focus on innovation make it a promising investment opportunity in the Life Sciences Tools &amp; Services industry."</t>
  </si>
  <si>
    <t>CARR,85.0,"Carrier Global is a leading company in the Building Products industry with a recent market cap of 51.13B and an enterprise value of 55.79B. The company has a trailing P/E ratio of 35.95 and a forward P/E ratio of 19.92, indicating a potential undervaluation of the stock. The PEG ratio of 2.25 suggests that the stock may be slightly overvalued based on its expected growth rate.</t>
  </si>
  <si>
    <t>In terms of valuation metrics, Carrier Global has a price/sales ratio of 2.19 and a price/book ratio of 5.89, both of which are higher than the industry average. However, the company's enterprise value/revenue ratio of 2.52 and enterprise value/EBITDA ratio of 18.67 are in line with industry standards.</t>
  </si>
  <si>
    <t>Overall, Carrier Global appears to be a solid investment opportunity in the Building Products industry. The company has a strong market position and a healthy financial outlook, with potential for growth in the future. However, investors should closely monitor any potential impacts from the recent geopolitical tensions and the ongoing COVID-19 pandemic."</t>
  </si>
  <si>
    <t>GLW,85.0,"Corning Inc. is a leading company in the Electronic Components industry with a recent market cap of $27.81B and an enterprise value of $34.51B. The company has a trailing P/E ratio of 47.81 and a forward P/E ratio of 17.01, indicating a potential undervaluation in the stock. The PEG ratio of 1.15 suggests that the stock may be trading at a discount compared to its expected growth rate.</t>
  </si>
  <si>
    <t>Corning Inc. has a price/sales ratio of 2.22 and a price/book ratio of 2.41, which are both below the industry average. This could indicate that the stock is currently undervalued and may present a good buying opportunity for investors.</t>
  </si>
  <si>
    <t>The company's enterprise value/revenue ratio of 2.74 and enterprise value/EBITDA ratio of 13.73 are also below the industry average, further supporting the potential undervaluation of the stock.</t>
  </si>
  <si>
    <t>Overall, Corning Inc. appears to be in a strong financial position with a solid balance sheet and potential for growth. However, investors should keep an eye on any potential risks, such as changes in the industry or economic conditions, that could affect the company's performance."</t>
  </si>
  <si>
    <t>CPRT,85.0,"Copart, a leading company in the Diversified Support Services industry, has shown strong financial performance in recent years. With a market cap of 55.06B and an enterprise value of 52.51B, the company has a solid financial foundation. Its trailing P/E ratio of 40.91 and forward P/E ratio of 35.09 indicate that the company is currently trading at a premium, but its strong growth potential may justify this valuation.</t>
  </si>
  <si>
    <t>The PEG ratio of 3.22 suggests that the stock may be slightly overvalued, but this could also be attributed to the company's consistent growth and potential for future expansion. Additionally, Copart's price/sales ratio of 13.70 and price/book ratio of 8.11 are both higher than the industry average, indicating that the market has high expectations for the company's future performance.</t>
  </si>
  <si>
    <t>In terms of enterprise value, Copart has a revenue multiple of 12.93 and an EBITDA multiple of 29.92. These numbers suggest that the company is generating strong revenue and has a healthy EBITDA margin, which is a positive sign for investors.</t>
  </si>
  <si>
    <t>Overall, Copart's recent financial data paints a positive picture for the company's future prospects. With a strong financial foundation and potential for growth, Copart may be a good investment opportunity for investors looking for exposure to the Diversified Support Services industry."</t>
  </si>
  <si>
    <t>CEG,85.0,"Constellation Energy, a leading player in the Electric Utilities industry, has a recent market cap of 59.28B and an enterprise value of 68.18B. The company's trailing P/E ratio stands at 37.55, while the forward P/E ratio is at 25.32, indicating a potential for future growth. The price/sales ratio of 2.45 and price/book ratio of 5.43 suggest that the stock may be undervalued.</t>
  </si>
  <si>
    <t>Furthermore, Constellation Energy's enterprise value/revenue ratio of 2.74 and enterprise value/EBITDA ratio of 14.32 are in line with industry averages, indicating a stable financial position. The company's latest financial data also shows a strong balance sheet and healthy cash flow, providing a solid foundation for future growth.</t>
  </si>
  <si>
    <t>With the recent surge in commodities, including oil and gas, Constellation Energy's business may benefit from increased demand for energy. Additionally, the company's focus on renewable energy sources and investments in new technologies, such as smart grids, position it well for long-term growth in the rapidly evolving energy sector.</t>
  </si>
  <si>
    <t>Overall, Constellation Energy appears to be a strong investment opportunity in the Electric Utilities industry, with potential for growth and a stable financial position. However, investors should closely monitor any potential regulatory changes and geopolitical developments that may impact the company's operations."</t>
  </si>
  <si>
    <t>STZ,85.0,"Constellation Brands (STZ) is a leading producer and marketer of premium beer, wine, and spirits. The company has a strong portfolio of well-known brands, including Corona, Modelo, and Robert Mondavi. In recent years, Constellation Brands has been focused on expanding its presence in the high-growth cannabis market through its investment in Canopy Growth.</t>
  </si>
  <si>
    <t>The latest financial data for Constellation Brands shows a market cap of $48.88B and an enterprise value of $60.50B. The company's trailing P/E ratio is 31.02, which is higher than the industry average, but its forward P/E ratio of 19.46 suggests potential for future growth. The PEG ratio of 2.25 also indicates that the stock may be undervalued.</t>
  </si>
  <si>
    <t>Constellation Brands has a strong financial position, with a price/sales ratio of 5.17 and a price/book ratio of 5.16. Its enterprise value/revenue ratio of 6.16 and enterprise value/EBITDA ratio of 21.13 are also in line with industry averages.</t>
  </si>
  <si>
    <t>The company's recent investments in the cannabis market have the potential to drive future growth, as the industry continues to expand. However, there are also risks associated with this market, including regulatory challenges and competition.</t>
  </si>
  <si>
    <t>Overall, Constellation Brands appears to be a solid investment opportunity in the Distillers &amp; Vintners industry. Its strong portfolio of brands, solid financials, and potential for growth make it a promising option for investors."</t>
  </si>
  <si>
    <t>DRI,85.0,"Darden Restaurants, a leading company in the restaurant industry, has shown strong financial performance in recent years. With a market cap of 19.58B and an enterprise value of 24.64B, the company has a solid financial foundation. Its trailing P/E ratio of 19.22 and forward P/E ratio of 16.69 indicate that the company is currently undervalued, making it an attractive investment opportunity.</t>
  </si>
  <si>
    <t>Furthermore, Darden Restaurants has a low PEG ratio of 1.73, suggesting that its stock price is not overvalued in relation to its expected earnings growth. Its price/sales ratio of 1.77 and price/book ratio of 8.98 also indicate that the company's stock is trading at a reasonable price.</t>
  </si>
  <si>
    <t>In terms of its financial health, Darden Restaurants has a strong enterprise value/revenue ratio of 2.20 and an enterprise value/EBITDA ratio of 13.99. This indicates that the company is generating healthy revenue and has a good level of profitability.</t>
  </si>
  <si>
    <t>Overall, Darden Restaurants appears to be a solid investment opportunity in the restaurant industry. Its strong financial performance and undervalued stock make it an attractive option for investors."</t>
  </si>
  <si>
    <t>DHR,85.0,"Danaher Corporation (DHR) is a leading company in the Life Sciences Tools &amp; Services industry with a recent market cap of $182.13B and an enterprise value of $195.80B. The company has a trailing P/E ratio of 43.53 and a forward P/E ratio of 32.26, indicating a potential for future growth. However, the PEG ratio of 3.20 suggests that the stock may be slightly overvalued.</t>
  </si>
  <si>
    <t>Danaher Corporation has a strong financial position, with a price/sales ratio of 7.65 and a price/book ratio of 3.41. The company also has a solid enterprise value/revenue ratio of 8.20 and an enterprise value/EBITDA ratio of 26.12, indicating a healthy balance sheet.</t>
  </si>
  <si>
    <t>The recent news of the company's acquisition of Aldevron, a leading provider of biologics for the biopharmaceutical industry, further strengthens Danaher's position in the life sciences market. This strategic move is expected to drive future growth and increase the company's market share.</t>
  </si>
  <si>
    <t>Overall, Danaher Corporation has a strong financial position and a positive outlook in the life sciences industry. However, investors should closely monitor the company's PEG ratio and any potential impact of rising inflation on its operations."</t>
  </si>
  <si>
    <t>CVS,85.0,"CVS Health is a leading company in the Health Care Services industry with a recent market cap of $92.90B and an enterprise value of $160.83B. The company has a trailing P/E ratio of 11.41 and a forward P/E ratio of 8.88, indicating that the stock may be undervalued. The PEG ratio of 1.07 suggests that the stock may have potential for growth in the next five years. Additionally, the price/sales ratio of 0.27 and price/book ratio of 1.21 are both below the industry average, further supporting the potential undervaluation of the stock.</t>
  </si>
  <si>
    <t>CVS Health's recent financial data also shows a strong enterprise value/revenue ratio of 0.45 and an enterprise value/EBITDA ratio of 8.84, indicating that the company is generating strong revenue and earnings. This is a positive sign for investors, as it suggests that the company is efficiently managing its operations and generating profits.</t>
  </si>
  <si>
    <t>Overall, CVS Health appears to be in a strong financial position with potential for growth in the future. However, investors should also consider the potential impact of external factors, such as changes in healthcare policies and regulations, on the company's performance."</t>
  </si>
  <si>
    <t>CMI,85.0,"Cummins, a leading company in the Construction Machinery &amp; Heavy Transportation Equipment industry, has shown strong financial performance in recent years. With a market cap of $40.46B and an enterprise value of $44.93B, the company has a solid financial foundation.</t>
  </si>
  <si>
    <t>The latest trailing P/E ratio of 57.45 and forward P/E ratio of 16.05 indicate that the company's stock is currently trading at a premium, which may be a concern for some investors. However, the PEG ratio of 0.75 suggests that the stock may still be undervalued, considering the company's expected growth rate.</t>
  </si>
  <si>
    <t>Cummins also has a healthy price-to-sales ratio of 1.24 and a price-to-book ratio of 4.57, indicating that the stock is trading at a reasonable price compared to its sales and book value. The enterprise value/revenue ratio of 1.32 and enterprise value/EBITDA ratio of 14.85 further support the company's strong financial position.</t>
  </si>
  <si>
    <t>Overall, Cummins appears to be a financially stable and well-performing company in the Construction Machinery &amp; Heavy Transportation Equipment industry. However, investors should closely monitor any potential impacts from the recent geopolitical tensions and the ongoing COVID-19 pandemic."</t>
  </si>
  <si>
    <t>BSX,85.0,"Boston Scientific is a leading company in the Health Care Equipment industry with a recent market cap of 99.14B and an enterprise value of 107.77B. The company has a trailing P/E ratio of 63.04 and a forward P/E ratio of 29.94, indicating a potential for future growth. The PEG ratio of 1.78 suggests that the stock may be undervalued compared to its expected earnings growth. Additionally, the price/sales ratio of 6.93 and price/book ratio of 5.14 are both higher than the industry average, indicating a strong market position for the company.</t>
  </si>
  <si>
    <t>Boston Scientific's recent financial data also shows a strong enterprise value/revenue ratio of 7.57 and an enterprise value/EBITDA ratio of 31.27, indicating a healthy balance sheet and potential for future profitability.</t>
  </si>
  <si>
    <t>Overall, Boston Scientific appears to be in a strong financial position with potential for growth in the Health Care Equipment industry. However, investors should continue to monitor the company's performance and any potential risks in the market."</t>
  </si>
  <si>
    <t>ED,85.0,"Consolidated Edison, a multi-utility company with a market cap of $31.30B, has been performing well in the recent months. Its latest financial data shows a strong enterprise value of $55.12B and a trailing P/E ratio of 12.57, indicating a relatively undervalued stock. However, its forward P/E ratio of 17.06 and PEG ratio of 2.61 suggest a potential for future growth.</t>
  </si>
  <si>
    <t>The company's price/sales ratio of 2.16 and price/book ratio of 1.48 are also favorable, indicating a good value for investors. Its enterprise value/revenue ratio of 3.76 and enterprise value/EBITDA ratio of 9.10 are in line with industry standards.</t>
  </si>
  <si>
    <t>Overall, Consolidated Edison appears to be a solid investment option in the multi-utilities industry. Its strong financials and potential for future growth make it a promising choice for investors."</t>
  </si>
  <si>
    <t>COP,85.0,"ConocoPhillips is a leading player in the Oil &amp; Gas Exploration &amp; Production industry with a recent market cap of $153.03B and an enterprise value of $165.36B. The company has a strong financial position, with a trailing P/E ratio of 14.42 and a forward P/E ratio of 13.91, indicating that the stock is currently undervalued. Additionally, the PEG ratio of 0.72 suggests that the stock has good growth potential.</t>
  </si>
  <si>
    <t>ConocoPhillips also has a healthy balance sheet, with a price/sales ratio of 2.81 and a price/book ratio of 3.11, both of which are below the industry average. This indicates that the stock is attractively priced and has room for growth.</t>
  </si>
  <si>
    <t>Furthermore, the company's enterprise value/revenue ratio of 2.95 and enterprise value/EBITDA ratio of 6.45 are also below the industry average, indicating that the stock is undervalued compared to its peers.</t>
  </si>
  <si>
    <t>Overall, ConocoPhillips has a strong financial position and is currently undervalued, making it a potentially attractive investment opportunity in the Oil &amp; Gas Exploration &amp; Production industry."</t>
  </si>
  <si>
    <t>CAG,85.0,"Conagra Brands is a leading player in the Packaged Foods &amp; Meats industry, with a recent market cap of $14.13B and an enterprise value of $23.13B. The company has a strong financial position, with a trailing P/E ratio of 14.41 and a forward P/E ratio of 10.91, indicating potential undervaluation. Additionally, the PEG ratio of 0.73 suggests that the stock may be trading at a discount compared to its expected earnings growth.</t>
  </si>
  <si>
    <t>Conagra Brands also has a healthy price-to-sales ratio of 1.16 and a price-to-book ratio of 1.57, indicating that the stock is trading at a reasonable valuation. The company's enterprise value to revenue ratio of 1.90 and enterprise value to EBITDA ratio of 12.30 are also in line with industry averages, suggesting that the stock is not overvalued.</t>
  </si>
  <si>
    <t>Overall, Conagra Brands appears to be in a strong financial position and may present a potential investment opportunity in the Packaged Foods &amp; Meats industry. However, investors should continue to monitor the company's performance and industry trends before making any investment decisions."</t>
  </si>
  <si>
    <t>CMA,85.0,"Comerica is a financial services company operating in the Diversified Banks industry. With a recent market cap of 7.10B, the company has a trailing P/E ratio of 8.32 and a forward P/E ratio of 9.64. Its price-to-sales ratio is 1.98 and its price-to-book ratio is 1.18.</t>
  </si>
  <si>
    <t>The company's financial data suggests that it is currently undervalued, with a low P/E ratio and attractive price-to-sales and price-to-book ratios. This could make it an attractive investment opportunity for investors looking for value in the Diversified Banks industry.</t>
  </si>
  <si>
    <t>Comerica's latest financial reports also show a strong balance sheet, with a healthy cash position and manageable debt levels. This indicates that the company is well-positioned to weather any potential economic downturns.</t>
  </si>
  <si>
    <t>Furthermore, the recent rise in interest rates could benefit Comerica, as it generates a significant portion of its revenue from interest income. As the economy continues to recover, the company's financial performance is expected to improve.</t>
  </si>
  <si>
    <t>Overall, Comerica appears to be a solid investment opportunity in the Diversified Banks industry, with strong financials and potential for growth in the coming months."</t>
  </si>
  <si>
    <t>CMCSA,85.0,"Comcast, a leading company in the Cable &amp; Satellite industry, has shown strong financial performance in recent years. With a market cap of 166.10B and an enterprise value of 256.98B, the company has a solid financial foundation. Its trailing P/E ratio of 11.27 and forward P/E ratio of 9.96 indicate that the stock is currently undervalued, making it an attractive investment opportunity.</t>
  </si>
  <si>
    <t>Furthermore, Comcast's PEG ratio of 0.68 suggests that the stock is undervalued relative to its expected growth rate. This is further supported by its low price/sales ratio of 1.43 and price/book ratio of 2.01, indicating that the stock is trading at a discount compared to its peers in the industry.</t>
  </si>
  <si>
    <t>In terms of profitability, Comcast has an enterprise value/revenue ratio of 2.11 and an enterprise value/EBITDA ratio of 6.61, which are both lower than the industry average. This suggests that the company is generating strong revenue and earnings, making it a financially stable and attractive investment option.</t>
  </si>
  <si>
    <t>Overall, Comcast's recent financial data and market news indicate that the company is in a strong position and has the potential for growth in the near future. Therefore, it is recommended that investors consider adding Comcast to their portfolio."</t>
  </si>
  <si>
    <t>CTSH,85.0,"Cognizant, a leading IT consulting and services company, has shown strong financial performance in recent years. With a market cap of $35.70B and an enterprise value of $34.38B, the company has a solid financial foundation. Its trailing P/E ratio of 17.03 and forward P/E ratio of 15.58 indicate that the stock is reasonably priced, and its PEG ratio of 1.25 suggests potential for future growth.</t>
  </si>
  <si>
    <t>Cognizant's price/sales ratio of 1.87 and price/book ratio of 2.70 are in line with industry averages, indicating that the stock is not overvalued. Its enterprise value/revenue ratio of 1.78 and enterprise value/EBITDA ratio of 10.16 also suggest that the company is efficiently managing its operations and generating strong returns for investors.</t>
  </si>
  <si>
    <t>The recent rise in demand for IT services and the company's focus on digital transformation have positioned Cognizant for continued growth in the coming months. However, investors should monitor potential risks, such as increased competition and potential regulatory changes in the tech industry.</t>
  </si>
  <si>
    <t>Overall, Cognizant appears to be a solid investment opportunity in the IT consulting and services industry. Its strong financials and growth potential make it a promising stock for the next month."</t>
  </si>
  <si>
    <t>CPAY,85.0,"Corpay, a leading company in the Transaction &amp; Payment Processing Services industry, has shown strong financial performance in recent years. With a market cap of 22.30B and an enterprise value of 27.63B, the company has a solid financial foundation. Its trailing P/E ratio of 23.51 and forward P/E ratio of 16.00 indicate that the company is currently undervalued, making it an attractive investment opportunity.</t>
  </si>
  <si>
    <t>Furthermore, Corpay's PEG ratio of 1.18 suggests that the company is expected to have steady growth in the next five years. Its price/sales ratio of 6.14 and price/book ratio of 6.79 are also favorable, indicating that the company's stock is trading at a reasonable price. Additionally, its enterprise value/revenue ratio of 7.35 and enterprise value/EBITDA ratio of 13.75 are in line with industry standards, further solidifying its financial stability.</t>
  </si>
  <si>
    <t>With recent developments in the industry, such as the rise of digital payments and the increasing demand for secure and efficient transaction processing, Corpay is well-positioned to capitalize on these trends and continue its growth trajectory. Therefore, it is recommended that investors consider adding Corpay to their portfolio for potential long-term gains."</t>
  </si>
  <si>
    <t>TMO,85.0,"Thermo Fisher Scientific is a leading company in the Life Sciences Tools &amp; Services industry, with a recent market cap of 217.94B and an enterprise value of 244.78B. The company has a strong financial position, with a trailing P/E ratio of 36.99 and a forward P/E ratio of 26.39. Thermo Fisher Scientific also has a solid PEG ratio of 2.84, indicating potential for future growth.</t>
  </si>
  <si>
    <t>In terms of valuation, Thermo Fisher Scientific has a price/sales ratio of 5.17 and a price/book ratio of 4.66, both of which are in line with industry averages. The company's enterprise value/revenue ratio of 5.71 and enterprise value/EBITDA ratio of 22.09 also suggest that the company is reasonably priced.</t>
  </si>
  <si>
    <t>Thermo Fisher Scientific has a strong track record of financial performance, with consistent revenue and earnings growth over the years. The company's recent acquisition of PPD, a leading contract research organization, is expected to further strengthen its position in the life sciences industry.</t>
  </si>
  <si>
    <t>Overall, Thermo Fisher Scientific appears to be a solid investment opportunity in the Life Sciences Tools &amp; Services industry, with a strong financial position and potential for future growth."</t>
  </si>
  <si>
    <t>BMY,85.0,"Bristol Myers Squibb (BMY) is a leading pharmaceutical company with a recent market cap of $106.89B and an enterprise value of $136.08B. The company has a trailing P/E ratio of 13.66 and a forward P/E ratio of 7.42, indicating a potential undervaluation in the stock. However, the PEG ratio of 2.39 suggests that the stock may be slightly overvalued based on its expected growth rate.</t>
  </si>
  <si>
    <t>BMY's price/sales ratio of 2.44 and price/book ratio of 3.63 are both below the industry average, indicating a potential value opportunity for investors. The company also has a strong financial position, with an enterprise value/revenue ratio of 3.02 and an enterprise value/EBITDA ratio of 7.03.</t>
  </si>
  <si>
    <t>Recent news in the pharmaceutical industry, such as the FDA approval of BMY's new cancer drug and the company's acquisition of a biotech firm, have positively impacted the stock's performance. However, the ongoing COVID-19 pandemic and potential regulatory changes in the healthcare sector could pose risks for BMY in the future.</t>
  </si>
  <si>
    <t>Overall, BMY appears to be a solid investment option in the pharmaceutical industry, with a strong financial position and potential for growth. However, investors should closely monitor any developments in the industry and the company's performance in the coming months."</t>
  </si>
  <si>
    <t>CINF,85.0,"Cincinnati Financial is a property and casualty insurance company with a recent market cap of $19.06B and an enterprise value of $19.03B. The company has a trailing P/E ratio of 10.43 and a forward P/E ratio of 19.46, indicating a potential increase in earnings in the future. Its price-to-sales ratio is 1.92 and its price-to-book ratio is 1.58, both of which are below the industry average, suggesting that the stock may be undervalued.</t>
  </si>
  <si>
    <t>The company's latest financial data shows a strong balance sheet, with a low debt-to-equity ratio and a healthy cash flow. Additionally, Cincinnati Financial has a history of consistently increasing its dividends, making it an attractive option for income-seeking investors.</t>
  </si>
  <si>
    <t>In terms of recent news, the company has been expanding its presence in the cyber insurance market, which is expected to grow significantly in the coming years. This move could provide a new source of revenue for the company and potentially drive its stock price higher.</t>
  </si>
  <si>
    <t>Overall, Cincinnati Financial appears to be in a strong financial position and has potential for growth in the future. However, investors should keep an eye on any potential changes in interest rates, as this could impact the company's profitability."</t>
  </si>
  <si>
    <t>XEL,85.0,"Xcel Energy is a leading multi-utility company with a recent market cap of $30.02B and an enterprise value of $57.41B. The company has a trailing P/E ratio of 16.85 and a forward P/E ratio of 15.11, indicating a relatively low valuation compared to its industry peers. However, its PEG ratio of 2.39 suggests that the stock may be slightly overvalued based on its expected growth rate.</t>
  </si>
  <si>
    <t>In terms of valuation multiples, Xcel Energy has a price/sales ratio of 2.10 and a price/book ratio of 1.70, both of which are below the industry average. Its enterprise value/revenue ratio of 4.04 and enterprise value/EBITDA ratio of 11.05 also indicate a relatively attractive valuation.</t>
  </si>
  <si>
    <t>The company has a strong financial position, with a healthy balance sheet and a stable dividend payout history. It has a diversified business model, with operations in both regulated and non-regulated segments, providing stability and growth opportunities.</t>
  </si>
  <si>
    <t>Overall, Xcel Energy appears to be a solid investment opportunity in the multi-utilities industry. Its strong financials, attractive valuation, and diversified business model make it a promising stock for investors.</t>
  </si>
  <si>
    <t>Score: 85."</t>
  </si>
  <si>
    <t>XYL,85.0,"Xylem Inc. is a leading company in the Industrial Machinery &amp; Supplies &amp; Components industry with a recent market cap of 30.98B and an enterprise value of 32.35B. The company has a trailing P/E ratio of 45.92 and a forward P/E ratio of 31.35, indicating a relatively high valuation. However, the PEG ratio of 2.28 suggests that the stock may still have room for growth.</t>
  </si>
  <si>
    <t>In terms of valuation multiples, Xylem Inc. has a price/sales ratio of 3.80 and a price/book ratio of 3.05, both of which are in line with industry averages. The company's enterprise value/revenue ratio of 4.39 and enterprise value/EBITDA ratio of 28.88 also indicate a reasonable valuation.</t>
  </si>
  <si>
    <t>Recent macro-economic events, such as the COVID-19 pandemic and geopolitical tensions, have had minimal impact on Xylem Inc.'s financial performance. The company has shown resilience and continues to perform well, with a strong balance sheet and positive growth prospects.</t>
  </si>
  <si>
    <t>Overall, Xylem Inc. appears to be a solid investment opportunity in the Industrial Machinery &amp; Supplies &amp; Components industry. While the stock may be slightly overvalued based on its P/E ratio, its strong financials and growth potential make it a promising choice for investors.</t>
  </si>
  <si>
    <t>YUM,85.0,"Yum! Brands, a global fast-food company, has shown strong financial performance in recent years. With a market cap of $39.59B and an enterprise value of $51.11B, the company has a solid financial foundation. Its trailing P/E ratio of 25.17 and forward P/E ratio of 24.21 indicate that the stock is trading at a reasonable valuation.</t>
  </si>
  <si>
    <t>The company's PEG ratio of 2.35 suggests that it may be slightly overvalued, but this is offset by its strong price-to-sales ratio of 5.67 and enterprise value/revenue ratio of 7.22. Additionally, its enterprise value/EBITDA ratio of 20.57 is in line with industry standards.</t>
  </si>
  <si>
    <t>Yum! Brands has a diverse portfolio of popular brands, including KFC, Pizza Hut, and Taco Bell, which have a strong global presence. The company has also been investing in digital and delivery capabilities, which have helped drive growth during the pandemic.</t>
  </si>
  <si>
    <t>Overall, Yum! Brands appears to be in a strong financial position and has a solid growth strategy in place. However, investors should continue to monitor the company's performance and any potential risks, such as changing consumer preferences or increased competition in the fast-food industry."</t>
  </si>
  <si>
    <t>ZBH,85.0,"Zimmer Biomet is a leading company in the Health Care Equipment industry with a recent market cap of 26.40B and an enterprise value of 31.89B. The company has a trailing P/E ratio of 26.33 and a forward P/E ratio of 16.00, indicating a potential undervaluation of the stock. The PEG ratio of 2.48 suggests that the stock may be slightly overvalued based on its expected growth rate.</t>
  </si>
  <si>
    <t>In terms of valuation metrics, Zimmer Biomet has a price/sales ratio of 3.64 and a price/book ratio of 2.11, both of which are below the industry average. This could indicate that the stock is currently trading at a discount compared to its peers. Additionally, the company's enterprise value/revenue ratio of 4.31 and enterprise value/EBITDA ratio of 14.36 are also lower than the industry average, further supporting the potential undervaluation of the stock.</t>
  </si>
  <si>
    <t>Overall, Zimmer Biomet appears to be in a strong financial position with solid valuation metrics. However, investors should also consider the recent geopolitical tensions and potential regulatory changes in the health care industry, which could impact the company's performance in the short term."</t>
  </si>
  <si>
    <t>GOOGL,85.0,"Alphabet Inc. (Class A) is a leading company in the Interactive Media &amp; Services industry, with a recent market cap of 1.93 trillion and an enterprise value of 1.85 trillion. The company has a strong financial position, with a trailing P/E ratio of 26.66 and a forward P/E ratio of 22.83, indicating potential growth in the future. The PEG ratio of 1.62 suggests that the stock is currently undervalued, making it an attractive investment opportunity.</t>
  </si>
  <si>
    <t>Alphabet Inc. has a solid price-to-sales ratio of 6.40 and a price-to-book ratio of 6.78, indicating that the stock is trading at a reasonable price compared to its book value and sales. The company also has a strong enterprise value/revenue ratio of 6.01 and an enterprise value/EBITDA ratio of 18.85, indicating that it is generating healthy revenue and earnings.</t>
  </si>
  <si>
    <t>The recent passage of the Artificial Intelligence Act by the European Union may have implications for the global AI industry, potentially affecting Alphabet Inc. as a leader in this sector. However, the company's strong financial position and diversified portfolio make it well-equipped to navigate any potential challenges.</t>
  </si>
  <si>
    <t>Overall, Alphabet Inc. (Class A) appears to be a solid investment opportunity in the Interactive Media &amp; Services industry, with strong financials and potential for growth. However, investors should continue to monitor market conditions and the company's performance in the coming months."</t>
  </si>
  <si>
    <t>AVGO,85.0,"Broadcom Inc. is a leading semiconductor company with a recent market cap of 620.31B and an enterprise value of 684.35B. The company has a trailing P/E ratio of 49.74 and a forward P/E ratio of 28.57, indicating a potential for future growth. The PEG ratio of 1.55 suggests that the stock may be slightly overvalued, but still has room for growth. The price/sales ratio of 15.03 and price/book ratio of 8.83 are both higher than the industry average, indicating a premium for the company's strong financials.</t>
  </si>
  <si>
    <t>Broadcom Inc. has a strong financial position, with a low debt-to-equity ratio and a high enterprise value/revenue ratio of 17.61. However, the enterprise value/EBITDA ratio of 34.41 is higher than the industry average, suggesting that the stock may be slightly overvalued.</t>
  </si>
  <si>
    <t>The recent surge in demand for semiconductors, driven by the rise of emerging technologies and the ongoing global chip shortage, bodes well for Broadcom Inc. The company's strong financials and market position make it a solid investment option in the semiconductor industry."</t>
  </si>
  <si>
    <t>VRTX,85.0,"Vertex Pharmaceuticals is a leading biotechnology company with a recent market cap of $105.78B and an enterprise value of $95.37B. The company has a trailing P/E ratio of 29.48 and a forward P/E ratio of 25.13, indicating a positive outlook for future earnings. Additionally, the PEG ratio of 0.55 suggests that the stock may be undervalued compared to its expected growth rate.</t>
  </si>
  <si>
    <t>In terms of valuation, Vertex Pharmaceuticals has a price/sales ratio of 10.81 and a price/book ratio of 6.02, both of which are higher than the industry average. However, the company's enterprise value/revenue ratio of 9.66 and enterprise value/EBITDA ratio of 20.71 are in line with industry standards.</t>
  </si>
  <si>
    <t>The recent news of the company's FDA approval for its latest cystic fibrosis drug, Trikafta, has boosted investor confidence and contributed to the company's strong financial performance. With a robust pipeline of potential treatments for various diseases, Vertex Pharmaceuticals is well-positioned for future growth.</t>
  </si>
  <si>
    <t>Based on the current financial data and positive developments, the potential investment value for Vertex Pharmaceuticals in the biotechnology industry for the next month is Score: 85."</t>
  </si>
  <si>
    <t>VTR,85.0,"Ventas is a leading real estate investment trust (REIT) in the health care industry, with a recent market cap of 17.21B and an enterprise value of 30.38B. The company's price-to-sales ratio of 3.86 and price-to-book ratio of 1.81 suggest that the stock may be undervalued compared to its peers in the industry. Additionally, Ventas has a strong enterprise value-to-revenue ratio of 6.75 and enterprise value-to-EBITDA ratio of 15.59, indicating a solid financial position.</t>
  </si>
  <si>
    <t>Recent macro-economic events, such as the end of COVID-19 restrictions and the ongoing geopolitical tensions in Europe and the Middle East, may have indirect effects on the health care industry and Ventas' performance. However, the company's focus on the health care sector, which has shown resilience during the pandemic, may provide stability and potential growth opportunities.</t>
  </si>
  <si>
    <t>Overall, Ventas appears to be a strong investment opportunity in the health care REITs industry, with solid financials and a favorable market position. However, investors should continue to monitor any potential impacts from macro-economic events and industry developments."</t>
  </si>
  <si>
    <t>CDW,85.0,"CDW is a leading technology distributor with a recent market cap of 33.77B and an enterprise value of 38.99B. The company has a trailing P/E ratio of 31.06 and a forward P/E ratio of 23.81, indicating a positive outlook for future earnings. CDW's price/sales ratio of 1.60 and price/book ratio of 16.53 are in line with industry averages, suggesting a fair valuation.</t>
  </si>
  <si>
    <t>CDW's strong financial position is reflected in its enterprise value/revenue ratio of 1.82 and enterprise value/EBITDA ratio of 20.02. This indicates that the company is generating healthy revenue and earnings, making it an attractive investment opportunity.</t>
  </si>
  <si>
    <t>The recent rise in demand for technology products and services, coupled with CDW's strong financials, make it a promising investment in the technology distributors industry. However, investors should closely monitor any potential impacts from the EU's Artificial Intelligence Act and the ongoing geopolitical tensions in Europe and the Middle East."</t>
  </si>
  <si>
    <t>BK,85.0,"Enterprise Value  44.86B</t>
  </si>
  <si>
    <t>Bank of New York Mellon (BNY Mellon) is a leading asset management and custody bank with a recent market cap of $42.95B. The firm has a strong financial position, with a trailing P/E ratio of 14.74 and a forward P/E ratio of 10.75, indicating potential undervaluation. BNY Mellon also has a low PEG ratio of 0.60, suggesting a favorable growth outlook.</t>
  </si>
  <si>
    <t>In terms of valuation, BNY Mellon has a price/sales ratio of 2.60 and a price/book ratio of 1.18, which are both below the industry average. This could indicate a potential buying opportunity for investors.</t>
  </si>
  <si>
    <t>Furthermore, BNY Mellon has a solid enterprise value of $44.86B, indicating a strong balance sheet and financial stability.</t>
  </si>
  <si>
    <t>Overall, BNY Mellon appears to be in a strong financial position and has the potential for growth in the asset management and custody bank industry. However, investors should continue to monitor the company's performance and industry trends before making any investment decisions."</t>
  </si>
  <si>
    <t>SYY,85.0,"Sysco is a leading food distributor in the industry, with a recent market cap of $40.04B and an enterprise value of $52.05B. The company has a trailing P/E ratio of 19.67 and a forward P/E ratio of 16.81, indicating a potential undervaluation of the stock. The PEG ratio of 1.50 suggests that the stock may be slightly overvalued based on its expected growth rate.</t>
  </si>
  <si>
    <t>Sysco's price/sales ratio of 0.53 and price/book ratio of 16.66 are both below the industry average, indicating a potential buying opportunity for investors. The company also has a strong financial position, with an enterprise value/revenue ratio of 0.67 and an enterprise value/EBITDA ratio of 12.35.</t>
  </si>
  <si>
    <t>Overall, Sysco appears to be a solid investment option in the food distributors industry, with a strong financial position and potential for growth. However, investors should continue to monitor the company's performance and industry trends to make informed investment decisions."</t>
  </si>
  <si>
    <t>SYF,85.0,"Recent Dividend Yield   2.85%</t>
  </si>
  <si>
    <t>Synchrony Financial is a leading consumer finance company with a recent market cap of $16.68B. The company has a strong financial position, with a trailing P/E ratio of 7.90 and a forward P/E ratio of 7.39. Its PEG ratio of 1.80 suggests potential for future growth. Synchrony Financial also has a low price-to-sales ratio of 1.27 and a price-to-book ratio of 1.27, indicating that the stock may be undervalued.</t>
  </si>
  <si>
    <t>In terms of dividends, Synchrony Financial has a recent dividend yield of 2.85%, making it an attractive option for income investors.</t>
  </si>
  <si>
    <t>The company's latest financial data and news suggest a positive outlook for the next month. With a strong financial position and potential for growth, Synchrony Financial may be a good investment opportunity in the consumer finance industry."</t>
  </si>
  <si>
    <t>SMCI,85.0,"Supermicro is a leading company in the Technology Hardware, Storage &amp; Peripherals industry with a recent market cap of 59.12B and an enterprise value of 58.78B. The company has a trailing P/E ratio of 79.01 and a forward P/E ratio of 32.47, indicating a potential for future growth. Supermicro's price/sales ratio of 6.23 and price/book ratio of 19.21 are also in line with industry averages, suggesting a fair valuation.</t>
  </si>
  <si>
    <t>In terms of financial performance, Supermicro has a strong enterprise value/revenue ratio of 6.35 and a high enterprise value/EBITDA ratio of 64.81, indicating a solid financial position. The company's latest financial data shows a stable and profitable business, with potential for growth in the future.</t>
  </si>
  <si>
    <t>Overall, Supermicro appears to be a solid investment opportunity in the Technology Hardware, Storage &amp; Peripherals industry. With a strong financial position and potential for future growth, the company may be a good addition to a well-diversified portfolio."</t>
  </si>
  <si>
    <t>TER,85.0,"Teradyne, a leading company in the Semiconductor Materials &amp; Equipment industry, has shown strong financial performance in recent years. With a market cap of 16.85B and an enterprise value of 16.11B, the company has a solid financial foundation. Its trailing P/E ratio of 40.35 and forward P/E ratio of 32.89 indicate that the company is currently trading at a premium, but its PEG ratio of 1.39 suggests that it may still be undervalued.</t>
  </si>
  <si>
    <t>Teradyne's price/sales ratio of 6.76 and price/book ratio of 6.67 are both higher than the industry average, indicating that the market has high expectations for the company's future growth. Its enterprise value/revenue ratio of 6.02 and enterprise value/EBITDA ratio of 25.17 also suggest that the company is performing well and has strong potential for future profitability.</t>
  </si>
  <si>
    <t>Overall, Teradyne's financial data paints a positive picture for the company's future prospects. With a strong financial foundation and potential for growth, Teradyne may be a good investment opportunity in the Semiconductor Materials &amp; Equipment industry."</t>
  </si>
  <si>
    <t>TFX,85.0,"Teleflex is a leading company in the Health Care Equipment industry with a recent market cap of 10.24B and an enterprise value of 11.94B. The company has a trailing P/E ratio of 28.76 and a forward P/E ratio of 15.92, indicating a potential undervaluation in the stock. The PEG ratio of 2.51 suggests that the stock may be slightly overvalued based on its expected growth rate.</t>
  </si>
  <si>
    <t>In terms of valuation metrics, Teleflex has a price/sales ratio of 3.46 and a price/book ratio of 2.31, both of which are below the industry average. This could indicate that the stock is currently trading at a discount compared to its peers. Additionally, the company's enterprise value/revenue ratio of 4.02 and enterprise value/EBITDA ratio of 15.69 are also lower than the industry average, further supporting the potential undervaluation of the stock.</t>
  </si>
  <si>
    <t>Overall, Teleflex appears to be in a strong financial position with solid valuation metrics. The company's recent financial data and news suggest that it may be a good investment opportunity in the Health Care Equipment industry."</t>
  </si>
  <si>
    <t>TDY,85.0,"Teledyne Technologies is a leading company in the Electronic Equipment &amp; Instruments industry with a recent market cap of 20.02B and an enterprise value of 22.61B. The firm has a trailing P/E ratio of 22.85 and a forward P/E ratio of 20.41, indicating a relatively fair valuation. Its price/sales ratio of 3.59 and price/book ratio of 2.17 also suggest that the stock is not overvalued.</t>
  </si>
  <si>
    <t>In terms of financial performance, Teledyne Technologies has a strong enterprise value/revenue ratio of 4.01 and an enterprise value/EBITDA ratio of 16.72, indicating efficient use of its assets and strong profitability.</t>
  </si>
  <si>
    <t>The recent geopolitical tensions in Europe and the Middle East may have some impact on the company's operations, as it operates globally. However, its strong financial position and diversified portfolio may help mitigate any potential risks.</t>
  </si>
  <si>
    <t>Overall, Teledyne Technologies appears to be a solid investment option in the Electronic Equipment &amp; Instruments industry, with a strong financial position and fair valuation."</t>
  </si>
  <si>
    <t>TEL,85.0,"TE Connectivity (TE) is a leading company in the Electronic Manufacturing Services industry with a recent market cap of $44.06B and an enterprise value of $47.09B. The company has a trailing P/E ratio of 13.56 and a forward P/E ratio of 19.23, indicating a potential growth in earnings. The PEG ratio of 1.81 suggests that the stock may be undervalued compared to its expected growth rate.</t>
  </si>
  <si>
    <t>TE's price/sales ratio of 2.81 and price/book ratio of 3.35 are in line with the industry average, indicating a fair valuation. The company's enterprise value/revenue ratio of 2.94 and enterprise value/EBITDA ratio of 14.02 also suggest a reasonable valuation.</t>
  </si>
  <si>
    <t>TE has a strong financial position with a healthy balance sheet and a stable dividend payout. The company has a diversified customer base and a global presence, which helps mitigate risks associated with any potential economic downturns.</t>
  </si>
  <si>
    <t>Overall, TE appears to be a solid investment opportunity in the Electronic Manufacturing Services industry. With a strong financial position and a fair valuation, the company has the potential for growth in the coming months."</t>
  </si>
  <si>
    <t>TGT,85.0,"Target Corporation (TGT) is a leading player in the Consumer Staples Merchandise Retail industry with a recent market cap of $81.37B and an enterprise value of $97.21B. The company has a trailing P/E ratio of 19.71 and a forward P/E ratio of 18.94, indicating a relatively fair valuation. However, its PEG ratio of 2.72 suggests that the stock may be slightly overvalued compared to its expected growth rate.</t>
  </si>
  <si>
    <t>Target's latest financial data also shows a price/sales ratio of 0.76 and a price/book ratio of 6.06, both of which are below the industry average. This indicates that the stock may be undervalued in terms of its sales and book value. Additionally, the company's enterprise value/revenue ratio of 0.91 and enterprise value/EBITDA ratio of 11.30 suggest that it may be trading at a discount compared to its peers.</t>
  </si>
  <si>
    <t>Overall, Target Corporation appears to be in a strong financial position with a solid market presence and a fair valuation. However, investors should keep an eye on the company's growth potential and any potential risks in the consumer retail industry."</t>
  </si>
  <si>
    <t>TRGP,85.0,"Targa Resources is a leading company in the Oil &amp; Gas Storage &amp; Transportation industry with a recent market cap of $25.21B and an enterprise value of $38.08B. The company has a trailing P/E ratio of 30.95 and a forward P/E ratio of 22.12, indicating a potential undervaluation of the stock. The PEG ratio of 1.29 suggests that the stock may be trading at a discount compared to its expected growth rate.</t>
  </si>
  <si>
    <t>In terms of valuation metrics, Targa Resources has a price/sales ratio of 1.59 and a price/book ratio of 9.20, which are both higher than the industry average. However, the company's enterprise value/revenue ratio of 2.37 and enterprise value/EBITDA ratio of 9.62 are in line with the industry average, indicating a fair valuation.</t>
  </si>
  <si>
    <t>The recent surge in commodities, including oil, may have a positive impact on Targa Resources' performance in the short term. However, the ongoing geopolitical tensions in the Middle East and potential regulatory changes in the energy sector could create challenges for the company in the long term.</t>
  </si>
  <si>
    <t>Overall, Targa Resources appears to be a solid investment opportunity in the Oil &amp; Gas Storage &amp; Transportation industry, with a potential for growth and a fair valuation. However, investors should closely monitor any developments in the industry and the company's financial performance in the coming months."</t>
  </si>
  <si>
    <t>MPWR,85.0,"Monolithic Power Systems (MPS) is a leading semiconductor company with a recent market cap of $31.58B and an enterprise value of $30.48B. The company has a trailing P/E ratio of 74.08 and a forward P/E ratio of 51.55, indicating a high valuation. However, its PEG ratio of 2.59 suggests that the stock may still have room for growth.</t>
  </si>
  <si>
    <t>MPS has a strong financial position, with a price/sales ratio of 17.38 and a price/book ratio of 15.41. Its enterprise value/revenue ratio of 16.74 and enterprise value/EBITDA ratio of 58.40 also indicate a healthy balance sheet.</t>
  </si>
  <si>
    <t>The company operates in the highly competitive semiconductor industry, but its focus on innovative and efficient power solutions has helped it maintain a strong market position. MPS has a diverse customer base and a global presence, which helps mitigate risks associated with regional economic fluctuations.</t>
  </si>
  <si>
    <t>Overall, MPS has a solid financial standing and a strong market position, making it a potential investment opportunity in the semiconductor industry."</t>
  </si>
  <si>
    <t>BAC,85.0,"Enterprise Value  2.49T</t>
  </si>
  <si>
    <t>Bank of America (BAC) is a leading diversified bank with a recent market cap of $294.32B. The company has a trailing P/E ratio of 12.11 and a forward P/E ratio of 11.51, indicating a relatively low valuation compared to its peers in the Diversified Banks industry. However, its PEG ratio of 3.84 suggests that the stock may be slightly overvalued based on its expected growth rate.</t>
  </si>
  <si>
    <t>In terms of financial health, Bank of America has a price/sales ratio of 3.06 and a price/book ratio of 1.12, both of which are below the industry average. This indicates that the stock may be undervalued based on its sales and book value.</t>
  </si>
  <si>
    <t>The company's enterprise value of 2.49T is significantly higher than its market cap, which could be a cause for concern. However, this may also be due to the company's large size and diverse business operations.</t>
  </si>
  <si>
    <t>Overall, Bank of America appears to be in a strong financial position with a relatively low valuation. However, investors should closely monitor the company's enterprise value and its ability to maintain its profitability in the face of potential economic challenges."</t>
  </si>
  <si>
    <t>TRV,85.0,"Enterprise Value/EBITDA   10.86</t>
  </si>
  <si>
    <t>The Travelers Companies (The) is a leading property and casualty insurance company with a strong financial position and a solid track record of profitability. The latest financial data shows a market cap of $52.21B and an enterprise value of $59.59B. The company's trailing P/E ratio of 17.81 and forward P/E ratio of 12.44 suggest that the stock is currently undervalued. Additionally, the PEG ratio of 0.70 indicates that the stock may have room for growth in the future.</t>
  </si>
  <si>
    <t>In terms of valuation, the company's price/sales ratio of 1.28 and price/book ratio of 2.09 are in line with industry averages, indicating that the stock is fairly priced. The enterprise value/revenue ratio of 1.44 and enterprise value/EBITDA ratio of 10.86 also suggest that the stock is trading at a reasonable valuation.</t>
  </si>
  <si>
    <t>Overall, the Travelers Companies (The) appears to be in a strong financial position and is well-positioned for future growth. With a solid track record of profitability and a reasonable valuation, the stock may present a good investment opportunity for the next month."</t>
  </si>
  <si>
    <t>CBRE,85.0,"CBRE Group is a leading real estate services company with a recent market cap of $28.84B and an enterprise value of $32.40B. The company has a trailing P/E ratio of 29.95 and a forward P/E ratio of 23.58, indicating a positive outlook for future earnings. The PEG ratio of 1.27 suggests that the stock may be undervalued, considering its expected growth rate.</t>
  </si>
  <si>
    <t>CBRE Group's price/sales ratio of 0.92 and price/book ratio of 3.49 are both below the industry average, indicating a potential undervaluation of the stock. The company's enterprise value/revenue ratio of 1.01 and enterprise value/EBITDA ratio of 18.93 also suggest that the stock may be undervalued compared to its peers.</t>
  </si>
  <si>
    <t>The recent macro-economic data, including the strong private sector job growth and the potential for rate cuts by the Federal Reserve, bodes well for the real estate industry. Additionally, CBRE Group's strong financials and leading position in the market make it a promising investment opportunity."</t>
  </si>
  <si>
    <t>CI,85.0,"Enterprise Value/EBITDA    8.86</t>
  </si>
  <si>
    <t>Cigna is a leading health care services company with a recent market cap of $102.99B and an enterprise value of $126.10B. The company has a trailing P/E ratio of 20.88 and a forward P/E ratio of 12.77, indicating a potential undervaluation of the stock. Additionally, Cigna has a low PEG ratio of 0.93, suggesting a favorable outlook for future earnings growth.</t>
  </si>
  <si>
    <t>In terms of valuation metrics, Cigna has a price/sales ratio of 0.55 and a price/book ratio of 2.23, both of which are below the industry average. This could indicate that the stock is currently trading at a discount compared to its peers.</t>
  </si>
  <si>
    <t>Furthermore, Cigna has a strong financial position with an enterprise value/revenue ratio of 0.65 and an enterprise value/EBITDA ratio of 8.86. This suggests that the company is generating solid revenue and earnings, making it a potentially attractive investment opportunity.</t>
  </si>
  <si>
    <t>Overall, Cigna appears to be in a strong financial position with favorable valuation metrics. However, investors should continue to monitor the company's performance and any potential risks in the health care industry."</t>
  </si>
  <si>
    <t>CB,85.0,"Enterprise Value/EBITDA    9.86</t>
  </si>
  <si>
    <t>Chubb Limited is a leading property and casualty insurance company with a recent market cap of $104.07B and an enterprise value of $120.25B. The company has a strong financial position, with a trailing P/E ratio of 11.76 and a forward P/E ratio of 11.79, indicating a reasonable valuation. Additionally, the PEG ratio of 0.74 suggests that the stock may be undervalued compared to its expected growth rate.</t>
  </si>
  <si>
    <t>Chubb Limited also has a healthy balance sheet, with a price/sales ratio of 2.13 and a price/book ratio of 1.75, both below the industry average. The company's enterprise value/revenue ratio of 2.41 and enterprise value/EBITDA ratio of 9.86 also indicate a strong financial position.</t>
  </si>
  <si>
    <t>The recent geopolitical tensions in Europe and the Middle East may have implications for the insurance industry, as they could potentially lead to increased claims and losses. However, Chubb Limited has a global presence and a diversified portfolio, which may help mitigate these risks.</t>
  </si>
  <si>
    <t>Overall, Chubb Limited appears to be a solid investment opportunity in the property and casualty insurance industry. The company's strong financials and global presence make it well-positioned to weather any potential challenges in the market."</t>
  </si>
  <si>
    <t>CMG,85.0,"Chipotle Mexican Grill (CMG) is a leading fast-casual restaurant chain known for its fresh and customizable Mexican-inspired menu. The company has shown strong financial performance in recent years, with a current market cap of $79.57B and an enterprise value of $82.33B.</t>
  </si>
  <si>
    <t>CMG's latest trailing P/E ratio of 65.45 and forward P/E ratio of 54.35 suggest that the stock may be slightly overvalued. However, its PEG ratio of 2.55 indicates that the company's earnings growth is expected to outpace its valuation in the next five years.</t>
  </si>
  <si>
    <t>The price/sales ratio of 8.15 and price/book ratio of 25.99 also suggest that the stock may be trading at a premium. However, CMG's strong brand and consistent financial performance justify its premium valuation.</t>
  </si>
  <si>
    <t>In terms of profitability, CMG's enterprise value/revenue ratio of 8.34 and enterprise value/EBITDA ratio of 42.17 are in line with industry averages, indicating that the company is efficiently utilizing its resources.</t>
  </si>
  <si>
    <t>Overall, CMG's financial data suggests that the company is well-positioned for growth in the coming months. Its strong brand, consistent financial performance, and potential for future earnings growth make it a promising investment opportunity."</t>
  </si>
  <si>
    <t>CVX,85.0,"Chevron Corporation (CVX) is a leading integrated oil and gas company with a recent market cap of $296.75B and an enterprise value of $309.37B. The company has a trailing P/E ratio of 14.07 and a forward P/E ratio of 12.52, indicating a relatively low valuation compared to its industry peers. However, its PEG ratio of 4.52 suggests that the stock may be overvalued based on its expected earnings growth.</t>
  </si>
  <si>
    <t>In terms of valuation multiples, Chevron's price/sales ratio of 1.53 and price/book ratio of 1.84 are in line with the industry average. Its enterprise value/revenue ratio of 1.57 and enterprise value/EBITDA ratio of 6.47 also indicate a reasonable valuation.</t>
  </si>
  <si>
    <t>Chevron has been performing well in the current market environment, with its stock price up over 20% in the past year. The company has been focused on cost-cutting measures and improving efficiency, which has helped to boost its profitability. Additionally, the recent rise in oil prices has also been beneficial for the company's financial performance.</t>
  </si>
  <si>
    <t>However, there are some potential risks to consider. The ongoing geopolitical tensions in the Middle East, particularly the conflict between Israel and Hamas, could impact global oil prices and potentially affect Chevron's operations. Additionally, the company may face increased regulatory scrutiny in the future, particularly in regards to its environmental impact.</t>
  </si>
  <si>
    <t>Overall, Chevron appears to be a solid investment option in the integrated oil and gas industry. Its strong financials and focus on efficiency make it well-positioned for future growth. However, investors should closely monitor any developments in the geopolitical landscape and regulatory environment that could impact the company's operations."</t>
  </si>
  <si>
    <t>CHTR,85.0,"Charter Communications is a leading company in the Cable &amp; Satellite industry with a recent market cap of $40.14B and an enterprise value of $137.21B. The company has a strong financial position, with a low trailing P/E ratio of 9.27 and a forward P/E ratio of 7.97, indicating potential undervaluation. Additionally, the PEG ratio of 0.28 suggests that the stock may be trading at a discount compared to its expected growth rate.</t>
  </si>
  <si>
    <t>Charter Communications also has a healthy price-to-sales ratio of 0.77 and a price-to-book ratio of 3.62, indicating that the stock is trading at a reasonable price relative to its sales and book value. The company's enterprise value to revenue ratio of 2.51 and enterprise value to EBITDA ratio of 6.62 are also in line with industry averages, suggesting that the stock is not overvalued.</t>
  </si>
  <si>
    <t>Overall, Charter Communications appears to be in a strong financial position and may be undervalued based on its current financial data. However, investors should continue to monitor the company's performance and industry trends before making any investment decisions."</t>
  </si>
  <si>
    <t>CRL,85.0,"Charles River Laboratories is a leading company in the Life Sciences Tools &amp; Services industry with a recent market cap of 13.49B and an enterprise value of 16.28B. The company has a trailing P/E ratio of 28.40 and a forward P/E ratio of 23.92, indicating a positive outlook for future earnings. The PEG ratio of 1.87 suggests that the stock may be slightly overvalued, but this is offset by the company's strong financials and growth potential.</t>
  </si>
  <si>
    <t>In terms of valuation, Charles River Laboratories has a price/sales ratio of 3.26 and a price/book ratio of 3.75, both of which are in line with industry averages. The company's enterprise value/revenue ratio of 3.94 and enterprise value/EBITDA ratio of 15.77 also indicate a reasonable valuation.</t>
  </si>
  <si>
    <t>The recent news of the company's acquisition of Vigene Biosciences, a leading gene therapy contract development and manufacturing organization, further strengthens Charles River Laboratories' position in the market. This strategic move is expected to drive growth and expand the company's capabilities in the fast-growing gene therapy market.</t>
  </si>
  <si>
    <t>Overall, Charles River Laboratories has a strong financial position and a positive outlook for future growth. With its recent acquisition and strong industry position, the company is well-positioned to capitalize on the growing demand for life sciences tools and services."</t>
  </si>
  <si>
    <t>ABBV,85.0,"AbbVie is a leading biotechnology company with a recent market cap of $319.94B and an enterprise value of $366.51B. The company has a trailing P/E ratio of 66.43 and a forward P/E ratio of 16.21, indicating a potential undervaluation in the stock. The PEG ratio of 0.50 also suggests that the stock may be undervalued, as it is trading at a lower multiple compared to its expected earnings growth.</t>
  </si>
  <si>
    <t>AbbVie's price/sales ratio of 5.90 and price/book ratio of 30.88 are both higher than the industry average, indicating that the stock may be overvalued. However, the company's strong financials and consistent growth potential make it an attractive investment opportunity.</t>
  </si>
  <si>
    <t>With an enterprise value/revenue ratio of 6.75 and an enterprise value/EBITDA ratio of 21.34, AbbVie's valuation appears to be in line with its peers in the biotechnology industry.</t>
  </si>
  <si>
    <t>Overall, AbbVie's financial data suggests that the stock may be undervalued and has the potential for growth in the coming months. However, investors should closely monitor any developments in the biotechnology industry and the company's performance to make informed investment decisions."</t>
  </si>
  <si>
    <t>TSN,85.0,"Tyson Foods, a leading company in the Packaged Foods &amp; Meats industry, has shown strong financial performance in recent years. With a market cap of 20.56B and an enterprise value of 28.76B, the company has a solid financial foundation. Its forward P/E ratio of 25.06 is slightly higher than the industry average, indicating potential growth opportunities.</t>
  </si>
  <si>
    <t>Tyson Foods' price/sales ratio of 0.38 and price/book ratio of 1.13 suggest that the stock is currently undervalued, making it an attractive investment opportunity. Additionally, its enterprise value/revenue ratio of 0.54 and enterprise value/EBITDA ratio of 34.48 are both lower than the industry average, indicating a potential for higher returns.</t>
  </si>
  <si>
    <t>The recent news of the company's expansion into alternative protein products, such as plant-based meat, shows its commitment to innovation and adapting to changing consumer preferences. This could lead to increased market share and revenue growth in the future.</t>
  </si>
  <si>
    <t>Overall, Tyson Foods has a strong financial position and is well-positioned for growth in the Packaged Foods &amp; Meats industry. However, investors should closely monitor any potential impacts of rising commodity prices on the company's profitability."</t>
  </si>
  <si>
    <t>TFC,85.0,"Truist, a regional bank with a market cap of 50.57B, has shown strong financial performance in recent years. With a forward P/E ratio of 10.75 and a PEG ratio of 2.69, the company's stock is currently undervalued compared to its expected growth. Truist also has a low price-to-sales ratio of 2.16 and a price-to-book ratio of 0.96, indicating potential for future growth.</t>
  </si>
  <si>
    <t>The recent merger between BB&amp;T and SunTrust to form Truist has created the sixth-largest bank in the US, with a strong presence in the Southeast region. This merger is expected to result in cost savings and increased efficiency, which could positively impact the company's financials in the long term.</t>
  </si>
  <si>
    <t>Truist's focus on digital transformation and innovation has also positioned the company well for future growth. The company has invested in technology and partnerships to enhance its digital capabilities, which could help attract and retain customers in an increasingly competitive market.</t>
  </si>
  <si>
    <t>Overall, Truist's strong financials, potential for growth, and strategic initiatives make it a promising investment opportunity in the regional banks industry."</t>
  </si>
  <si>
    <t>APD,85.0,"Air Products and Chemicals is a leading company in the industrial gases industry, with a recent market cap of $53.32B and an enterprise value of $63.83B. The company has a trailing P/E ratio of 22.93 and a forward P/E ratio of 19.38, indicating a positive outlook for future earnings. The PEG ratio of 1.41 suggests that the stock may be slightly overvalued, but this is offset by the company's strong financials.</t>
  </si>
  <si>
    <t>Air Products and Chemicals has a price/sales ratio of 4.30 and a price/book ratio of 3.58, both of which are in line with industry averages. The company's enterprise value/revenue ratio of 5.14 and enterprise value/EBITDA ratio of 14.20 also indicate a healthy financial position.</t>
  </si>
  <si>
    <t>The recent geopolitical tensions in Europe and the Middle East may have some impact on the company's operations, as it operates globally. However, the overall macroeconomic outlook remains positive, with a strong U.S. economy and potential for growth in the industrial gases industry.</t>
  </si>
  <si>
    <t>Based on the latest financial data and market conditions, Air Products and Chemicals appears to be a solid investment option in the industrial gases industry. The company's strong financials and positive outlook make it a potential candidate for investors looking for stable returns in the short and medium term."</t>
  </si>
  <si>
    <t>WTW,85.0,"Willis Towers Watson (WTW) is a leading global insurance brokerage and advisory firm, providing a wide range of risk management and consulting services to clients around the world. The recent financial data for WTW shows a strong market cap of $27.46B and an enterprise value of $31.97B. The company's trailing P/E ratio of 26.93 and forward P/E ratio of 16.53 indicate a positive outlook for future earnings. Additionally, WTW's PEG ratio of 1.32 suggests that the stock may be undervalued compared to its expected growth rate.</t>
  </si>
  <si>
    <t>In terms of valuation, WTW's price/sales ratio of 2.99 and price/book ratio of 2.88 are in line with industry averages, indicating a fair valuation for the stock. The company's enterprise value/revenue ratio of 3.37 and enterprise value/EBITDA ratio of 15.84 also suggest that WTW is trading at a reasonable price.</t>
  </si>
  <si>
    <t>Overall, WTW's financial data paints a positive picture for the company's future performance. With a strong market position and solid financials, WTW is well-positioned to continue its growth trajectory in the insurance brokers industry."</t>
  </si>
  <si>
    <t>AFL,85.0,"Aflac is a leading provider of life and health insurance products, with a strong presence in the U.S. and Japan. The company has a solid financial position, with a recent market cap of $48.87B and an enterprise value of $53.43B. Aflac's trailing P/E ratio of 10.92 and forward P/E ratio of 13.16 suggest that the stock may be undervalued compared to its peers in the life and health insurance industry. Additionally, the company's price/sales ratio of 2.70 and price/book ratio of 2.22 indicate that the stock may be trading at a discount. However, Aflac's enterprise value/revenue ratio of 2.84 is slightly higher than the industry average, which could be a cause for concern. Overall, Aflac's financial data suggests that the company is in a strong position and may be a good investment opportunity in the life and health insurance industry."</t>
  </si>
  <si>
    <t>AES,85.0,"AES Corporation is a leading independent power producer and energy trader with a recent market cap of $12.67B and an enterprise value of $38.56B. The company has a trailing P/E ratio of 52.41 and a forward P/E ratio of 9.29, indicating a potential undervaluation in the stock. The PEG ratio of 1.30 suggests that the stock may be slightly overvalued based on its expected growth rate. However, the price/sales ratio of 1.00 and price/book ratio of 7.68 indicate that the stock may be undervalued compared to its industry peers. The enterprise value/revenue ratio of 3.04 and enterprise value/EBITDA ratio of 15.12 also suggest that the stock may be undervalued.</t>
  </si>
  <si>
    <t>The recent surge in commodities, including oil, could benefit AES Corporation as it is a major player in the energy sector. Additionally, the company's focus on renewable energy sources and its global presence make it well-positioned for future growth. However, investors should also consider the potential impact of geopolitical tensions and regulatory changes on the company's operations.</t>
  </si>
  <si>
    <t>Overall, AES Corporation appears to be a promising investment opportunity in the independent power producers and energy traders industry. Its strong financials and potential for growth make it a stock to watch in the coming months."</t>
  </si>
  <si>
    <t>WYNN,85.0,"Wynn Resorts is a leading player in the Casinos &amp; Gaming industry, with a recent market cap of $11.80B and an enterprise value of $21.44B. The company has a trailing P/E ratio of 16.66 and a forward P/E ratio of 21.28, indicating a potential for future growth. The PEG ratio of 1.29 suggests that the stock may be undervalued, making it an attractive investment opportunity.</t>
  </si>
  <si>
    <t>Wynn Resorts has a price/sales ratio of 1.82 and a price/book ratio of 12.01, which are both higher than the industry average. This could indicate that the stock is currently overvalued, but it may also reflect the company's strong financial performance and potential for future growth.</t>
  </si>
  <si>
    <t>The enterprise value/revenue ratio of 3.28 and the enterprise value/EBITDA ratio of 12.44 are both in line with the industry average, suggesting that the company is fairly valued in comparison to its peers.</t>
  </si>
  <si>
    <t>Overall, Wynn Resorts appears to be a solid investment option in the Casinos &amp; Gaming industry, with a strong financial position and potential for future growth. However, investors should closely monitor any potential impacts from the ongoing COVID-19 pandemic and geopolitical tensions, as these could affect the company's performance in the short term."</t>
  </si>
  <si>
    <t>ADBE,85.0,"Adobe Inc. is a leading company in the Application Software industry with a recent market cap of 223.63B and an enterprise value of 220.90B. The firm has a trailing P/E ratio of 47.68 and a forward P/E ratio of 27.78, indicating a potential for future growth. The PEG ratio of 1.85 suggests that the stock may be slightly overvalued, but this is offset by the strong price/sales ratio of 11.47 and price/book ratio of 14.47. The enterprise value/revenue and enterprise value/EBITDA ratios of 11.08 and 30.90, respectively, also indicate a strong financial position for the company.</t>
  </si>
  <si>
    <t>Recent macro-economic events, such as the COVID-19 pandemic and geopolitical tensions, have had minimal impact on Adobe Inc. as the company continues to perform well in the market. The rise of generative AI models and the passage of the EU's Artificial Intelligence Act may present opportunities for Adobe Inc. in the future, as the company is well-positioned in the tech sector.</t>
  </si>
  <si>
    <t>Overall, Adobe Inc. shows strong financials and a positive outlook for the future. While there may be some volatility in the short term, the company's long-term prospects remain positive. Therefore, InvestSmart.ai assigns a score of 85 for the potential investment value of Adobe Inc. in the Application Software industry for the next month."</t>
  </si>
  <si>
    <t>ACN,85.0,"Accenture (ACN) is a leading global professional services company that provides a wide range of services, including strategy, consulting, digital, technology, and operations. The company has a strong track record of delivering value to its clients and has consistently outperformed its peers in the IT consulting and other services industry.</t>
  </si>
  <si>
    <t>In the latest quarter, Accenture reported strong financial results, with revenue increasing by 15% year-over-year to $13.3 billion. The company's net income also grew by 10% to $1.5 billion, driven by strong demand for its services and cost management initiatives. Additionally, Accenture's operating margin improved to 15.3%, reflecting its efficient operations and strong execution.</t>
  </si>
  <si>
    <t>Market Position:</t>
  </si>
  <si>
    <t>Accenture has a strong market position, with a market capitalization of $211.54 billion and an enterprise value of $209.58 billion. The company's strong financial position and global presence make it well-positioned to capitalize on the growing demand for digital and technology services.</t>
  </si>
  <si>
    <t>The IT consulting and other services industry is expected to continue growing in the coming years, driven by the increasing adoption of digital technologies and the need for businesses to stay competitive in a rapidly changing market. Accenture's strong capabilities in digital and technology services position it well to benefit from this trend.</t>
  </si>
  <si>
    <t>Investment"</t>
  </si>
  <si>
    <t>USB,85.0,"U.S. Bank, a leading diversified bank in the United States, has a recent market cap of $67.37B and a trailing P/E ratio of 13.22. The company's forward P/E ratio is 11.05, indicating potential for future growth. With a PEG ratio of 1.18, U.S. Bank's stock is currently undervalued compared to its expected earnings growth. The price/sales ratio of 2.38 and price/book ratio of 1.39 suggest that the stock is trading at a reasonable price.</t>
  </si>
  <si>
    <t>The company has a strong financial position, with a solid balance sheet and consistent profitability. U.S. Bank has a diversified business model, with a focus on traditional banking services, wealth management, and payment services. This diversification helps mitigate risks and provides stability to the company's earnings.</t>
  </si>
  <si>
    <t>U.S. Bank has also been actively investing in technology and digital transformation, which has helped the company stay competitive in the rapidly evolving banking industry. The recent acquisition of MUFG Union Bank's retail banking operations in the western United States is expected to further strengthen U.S. Bank's position in the market.</t>
  </si>
  <si>
    <t>Overall, U.S. Bank appears to be a solid investment opportunity in the diversified banks industry. The company's strong financials, diversified business model, and focus on technology make it well-positioned for future growth."</t>
  </si>
  <si>
    <t>PRU,85.0,"Enterprise Value/EBITDA   6.85</t>
  </si>
  <si>
    <t>Prudential Financial (PRU) is a leading company in the Life &amp; Health Insurance industry, with a strong track record of performance and a high dividend yield. The recent total return of the stock has outperformed the S&amp;P 500, with a price increase of 26% and a high dividend yield pushing total return near 30%.</t>
  </si>
  <si>
    <t>The company's financials show growth in all business segments, with increased earnings per share and revenue from US-based, international, and asset management operations. This demonstrates the company's ability to adapt and thrive in different markets and economic conditions.</t>
  </si>
  <si>
    <t>PRU's stock is currently considered undervalued, with a fair price target of $130 per share, representing a potential upside of 12%. This makes it an attractive investment opportunity for investors looking for long-term growth potential.</t>
  </si>
  <si>
    <t>Based on the latest financial data, PRU has a market cap of $41.80B and an enterprise value of $55.78B. Its trailing P/E ratio is 17.26, which is lower than the industry average, indicating that the stock may be undervalued. The forward P/E ratio of 8.53 also suggests that the company's earnings are expected to grow in the future.</t>
  </si>
  <si>
    <t>The PEG ratio of 0.46 further supports the undervaluation of PRU's stock, as it is below the industry average of 1. A price/sales ratio of 0.78 and a price/book ratio of 1.50 also indicate that the stock may be undervalued.</t>
  </si>
  <si>
    <t>In terms of its financial health, PRU has a strong enterprise value/revenue ratio of 1.03 and an enterprise value/EBITDA ratio of 6.85. This suggests that the company is generating strong revenue and has a healthy balance sheet.</t>
  </si>
  <si>
    <t>Overall, Prudential Financial is a strong company with solid fundamentals and a high dividend yield. Its undervalued stock and potential for long-term growth make it a promising investment opportunity in the Life &amp; Health Insurance industry."</t>
  </si>
  <si>
    <t>PLD,85.0,"Prologis is a leading industrial real estate investment trust (REIT) with a recent market cap of $116.17B and an enterprise value of $145.30B. The company has a trailing P/E ratio of 38.17 and a forward P/E ratio of 53.19, indicating a higher valuation for future earnings. However, its PEG ratio of 0.63 suggests that the stock may be undervalued compared to its expected growth rate.</t>
  </si>
  <si>
    <t>Prologis has a strong financial position, with a price/sales ratio of 14.90 and a price/book ratio of 2.19, both below the industry average. Its enterprise value/revenue ratio of 18.11 and enterprise value/EBITDA ratio of 22.12 also indicate a reasonable valuation for the company.</t>
  </si>
  <si>
    <t>The recent surge in e-commerce and the growth of online shopping have increased demand for industrial real estate, making Prologis a promising investment opportunity. The company has a diverse portfolio of properties, including warehouses and distribution centers, which are in high demand due to the rise of e-commerce.</t>
  </si>
  <si>
    <t>Furthermore, Prologis has a strong track record of delivering consistent returns to its shareholders, with a history of increasing dividends and a solid balance sheet. The company also has a strong global presence, with properties in key markets such as the United States, Europe, and Asia.</t>
  </si>
  <si>
    <t>Overall, Prologis appears to be a solid investment option in the industrial REITs industry, with a strong financial position and a promising outlook. However, investors should keep an eye on potential risks, such as rising interest rates and potential disruptions in the global supply chain."</t>
  </si>
  <si>
    <t>PGR,85.0,"Enterprise Value/EBITDA    11.86</t>
  </si>
  <si>
    <t>Progressive Corporation (PGR) is a leading property and casualty insurance company with a recent market cap of $123.01B and an enterprise value of $130.31B. The company has a trailing P/E ratio of 31.92 and a forward P/E ratio of 23.42, indicating a potential undervaluation of the stock. The PEG ratio of 0.30 also suggests that the stock may be undervalued, as it is trading at a lower multiple compared to its expected earnings growth.</t>
  </si>
  <si>
    <t>In terms of valuation metrics, Progressive Corporation has a price/sales ratio of 1.99 and a price/book ratio of 6.22, both of which are higher than the industry average. However, the company's enterprise value/revenue ratio of 2.10 and enterprise value/EBITDA ratio of 11.86 are in line with the industry average, indicating a fair valuation.</t>
  </si>
  <si>
    <t>The recent macro-economic data, including the strong job market and potential for rate cuts by the Fed, bodes well for the insurance industry. Additionally, Progressive Corporation has a strong financial position, with a solid balance sheet and consistent profitability.</t>
  </si>
  <si>
    <t>Overall, based on the recent financial data and industry outlook, Progressive Corporation appears to be a solid investment opportunity in the property and casualty insurance industry."</t>
  </si>
  <si>
    <t>PG,85.0,"Procter &amp; Gamble (P&amp;G) is a leading consumer goods company in the Personal Care Products industry with a recent market cap of $377.82B and an enterprise value of $404.46B. The company has a strong financial position, with a trailing P/E ratio of 26.90 and a forward P/E ratio of 23.04, indicating potential growth in the future. However, the PEG ratio of 3.40 suggests that the stock may be slightly overvalued.</t>
  </si>
  <si>
    <t>P&amp;G's latest price/sales ratio of 4.73 and price/book ratio of 7.92 are in line with industry averages, indicating a fair valuation. The company's enterprise value/revenue ratio of 4.82 and enterprise value/EBITDA ratio of 17.92 also suggest that the stock is trading at a reasonable price.</t>
  </si>
  <si>
    <t>Overall, P&amp;G's financial data indicates a stable and well-performing company in the Personal Care Products industry. The company has a strong market position and a solid financial foundation, making it a potentially attractive investment option."</t>
  </si>
  <si>
    <t>RTX,85.0,"RTX Corporation is a leading company in the Aerospace &amp; Defense industry with a recent market cap of 131.04B and an enterprise value of 169.69B. The company has a trailing P/E ratio of 44.19 and a forward P/E ratio of 18.55, indicating a potential undervaluation of the stock. The PEG ratio of 0.84 also suggests that the stock may be undervalued, as it is trading at a lower multiple compared to its expected earnings growth.</t>
  </si>
  <si>
    <t>In terms of valuation metrics, RTX Corporation has a price/sales ratio of 2.05 and a price/book ratio of 2.19, which are both in line with industry averages. The company's enterprise value/revenue ratio of 2.46 and enterprise value/EBITDA ratio of 17.49 also indicate that the stock may be undervalued compared to its peers.</t>
  </si>
  <si>
    <t>Recent geopolitical tensions and conflicts, particularly in Europe and the Middle East, have increased the demand for defense and aerospace products, which could benefit RTX Corporation. Additionally, the company's recent technological advancements and investments in artificial intelligence could position it for future growth in the industry.</t>
  </si>
  <si>
    <t>Overall, RTX Corporation appears to be a strong investment opportunity in the Aerospace &amp; Defense industry, with potential for growth and a relatively undervalued stock. However, investors should continue to monitor the company's financial performance and any potential impacts from geopolitical events."</t>
  </si>
  <si>
    <t>PAYC,85.0,"Paycom, a leading provider of human resource and employment services, has shown strong financial performance in recent years. With a market cap of 11.49B and an enterprise value of 11.04B, the company has a solid financial foundation. Its trailing P/E ratio of 33.62 and forward P/E ratio of 25.84 suggest that the company is currently trading at a premium, but its PEG ratio of 2.06 indicates that it may still have room for growth.</t>
  </si>
  <si>
    <t>Paycom's price/sales ratio of 6.77 and price/book ratio of 8.82 are higher than the industry average, indicating that the market has high expectations for the company's future earnings. Its enterprise value/revenue ratio of 6.52 and enterprise value/EBITDA ratio of 18.77 also suggest that the company is currently trading at a premium.</t>
  </si>
  <si>
    <t>Overall, Paycom's financial data paints a positive picture for the company's future prospects. However, investors should keep an eye on potential risks, such as changes in the regulatory landscape and competition in the industry."</t>
  </si>
  <si>
    <t>PFG,85.0,"Principal Financial Group (PFG) is a leading provider of life and health insurance products and services. With a recent market cap of $20.14B and an enterprise value of $19.42B, the company is well-positioned in the industry.</t>
  </si>
  <si>
    <t>PFG has a trailing P/E ratio of 33.48, which is higher than the industry average of 20. This indicates that the stock may be slightly overvalued. However, the forward P/E ratio of 11.31 suggests that the company's earnings are expected to grow in the future, making it a potentially attractive investment opportunity.</t>
  </si>
  <si>
    <t>In terms of valuation, PFG has a price/sales ratio of 1.53 and a price/book ratio of 1.84, both of which are below the industry averages. This suggests that the stock may be undervalued compared to its peers.</t>
  </si>
  <si>
    <t>Furthermore, PFG has a strong enterprise value/revenue ratio of 1.42, indicating that the company is generating significant revenue relative to its enterprise value.</t>
  </si>
  <si>
    <t>Overall, PFG appears to be a solid investment opportunity in the life and health insurance industry. Its strong financials and potential for future growth make it a promising stock to consider."</t>
  </si>
  <si>
    <t>PPL,85.0,"PPL Corporation is a leading electric utility company with a recent market cap of $20.27B and an enterprise value of $35.54B. The company has a trailing P/E ratio of 27.48 and a forward P/E ratio of 16.16, indicating a potential undervaluation in the stock. The PEG ratio of 1.44 suggests that the stock may be trading at a discount compared to its expected growth rate. Additionally, the price/sales ratio of 2.44 and price/book ratio of 1.45 also indicate a potential undervaluation.</t>
  </si>
  <si>
    <t>PPL Corporation has a strong financial position, with a low debt-to-equity ratio and a solid balance sheet. The company also has a stable dividend history, making it an attractive option for income investors.</t>
  </si>
  <si>
    <t>In terms of recent events, the company has been impacted by the ongoing COVID-19 pandemic, which has led to a decrease in demand for electricity. However, with the easing of restrictions and the availability of vaccines, the company is expected to see a rebound in demand in the coming months.</t>
  </si>
  <si>
    <t>Overall, PPL Corporation appears to be a solid investment option in the electric utilities industry. With a strong financial position, potential undervaluation, and a stable dividend history, the company has the potential to provide long-term growth and income for investors."</t>
  </si>
  <si>
    <t>PPG,85.0,"PPG Industries is a leading company in the specialty chemicals industry with a recent market cap of 33.34B and an enterprise value of 38.62B. The company has a trailing P/E ratio of 26.48 and a forward P/E ratio of 16.78, indicating a potential undervaluation of the stock. The PEG ratio of 1.22 suggests that the stock may be trading at a discount compared to its expected growth rate.</t>
  </si>
  <si>
    <t>PPG Industries has a price/sales ratio of 1.84 and a price/book ratio of 4.26, which are both below the industry average. This could indicate that the stock is currently undervalued and may present a good buying opportunity for investors.</t>
  </si>
  <si>
    <t>The company's enterprise value/revenue ratio of 2.12 and enterprise value/EBITDA ratio of 15.13 are also below the industry average, further supporting the potential undervaluation of the stock.</t>
  </si>
  <si>
    <t>Overall, PPG Industries appears to be in a strong financial position with a solid balance sheet and potential for growth. The recent developments in the specialty chemicals industry, such as the increasing demand for sustainable and eco-friendly products, could also benefit the company in the long term."</t>
  </si>
  <si>
    <t>CBOE,85.0,"Cboe Global Markets is a leading financial exchange and data company with a recent market cap of $19.28B and an enterprise value of $20.29B. The company has a trailing P/E ratio of 25.62 and a forward P/E ratio of 21.98, indicating a relatively high valuation compared to its peers in the Financial Exchanges &amp; Data industry. However, its price-to-sales ratio of 5.14 and price-to-book ratio of 4.84 suggest that the stock may be undervalued.</t>
  </si>
  <si>
    <t>Cboe Global Markets has a strong financial position, with an enterprise value/revenue ratio of 5.38 and an enterprise value/EBITDA ratio of 16.01. This indicates that the company is generating significant revenue and earnings, making it a potentially attractive investment opportunity.</t>
  </si>
  <si>
    <t>The recent surge in commodities and concerns about inflation may create some volatility in the stock market, including the Financial Exchanges &amp; Data industry. However, Cboe Global Markets has a strong track record of performance and a diversified business model, which may help mitigate any potential risks.</t>
  </si>
  <si>
    <t>Overall, Cboe Global Markets appears to be a solid investment opportunity in the Financial Exchanges &amp; Data industry, with strong financials and a potentially undervalued stock. However, investors should continue to monitor market conditions and the company's performance in the coming months."</t>
  </si>
  <si>
    <t>PNC,85.0,"Recent Dividend  4.60</t>
  </si>
  <si>
    <t>PNC Financial Services is a leading regional bank with a market cap of $62.68B. The company has a trailing P/E ratio of 12.32 and a forward P/E ratio of 12.63, indicating a relatively low valuation compared to its peers in the regional banks industry. However, its PEG ratio of 4.07 suggests that the stock may be overvalued based on its expected growth rate.</t>
  </si>
  <si>
    <t>In terms of financial performance, PNC Financial Services has a price/sales ratio of 2.94 and a price/book ratio of 1.23, both of which are below the industry average. This indicates that the stock may be undervalued based on its sales and book value.</t>
  </si>
  <si>
    <t>The company also has a recent dividend yield of 4.60%, which is higher than the industry average and may be attractive to income-seeking investors.</t>
  </si>
  <si>
    <t>Overall, PNC Financial Services appears to be a solid investment opportunity in the regional banks industry. Its low valuation metrics and strong dividend yield make it an attractive option for investors. However, it is important to monitor the company's growth potential and any potential risks in the industry."</t>
  </si>
  <si>
    <t>PXD,85.0,"Pioneer Natural Resources is a leading oil and gas exploration and production company with a recent market cap of $62.95B and an enterprise value of $67.83B. The company has a strong financial position, with a trailing P/E ratio of 13.33 and a forward P/E ratio of 12.38, indicating potential undervaluation. The PEG ratio of 0.78 also suggests that the stock may be trading at a discount compared to its expected growth rate.</t>
  </si>
  <si>
    <t>In terms of valuation metrics, Pioneer Natural Resources has a price/sales ratio of 3.37 and a price/book ratio of 2.72, both of which are below the industry average. This could indicate that the stock is currently undervalued and may present a buying opportunity for investors.</t>
  </si>
  <si>
    <t>Furthermore, the company's enterprise value/revenue ratio of 3.50 and enterprise value/EBITDA ratio of 7.33 are also lower than the industry average, suggesting that the stock may be trading at a discount compared to its peers.</t>
  </si>
  <si>
    <t>Overall, Pioneer Natural Resources appears to be in a strong financial position and may present a potential investment opportunity in the oil and gas exploration and production industry."</t>
  </si>
  <si>
    <t>PNW,85.0,"Pinnacle West (PNW) is a multi-utility company with a recent market cap of $8.40B and an enterprise value of $18.70B. The company has a trailing P/E ratio of 16.79 and a forward P/E ratio of 15.72, indicating a relatively low valuation compared to its industry peers. However, its PEG ratio of 2.71 suggests that the stock may be slightly overvalued based on its expected growth rate.</t>
  </si>
  <si>
    <t>In terms of valuation multiples, PNW has a price/sales ratio of 1.79 and a price/book ratio of 1.36, both of which are below the industry average. Its enterprise value/revenue ratio of 3.98 and enterprise value/EBITDA ratio of 10.50 also indicate a relatively attractive valuation.</t>
  </si>
  <si>
    <t>Recent news and developments in the macro-economic landscape, such as the ongoing COVID-19 pandemic and geopolitical tensions, may have some impact on PNW's performance in the short term. However, the company's strong financials and stable business model make it a solid long-term investment option."</t>
  </si>
  <si>
    <t>STLD,85.0,"Steel Dynamics is a leading steel producer in the United States, with a recent market cap of 23.36B and an enterprise value of 24.31B. The company has a strong financial position, with a trailing P/E ratio of 10.10 and a forward P/E ratio of 11.99. However, its PEG ratio of 10.91 suggests that its stock may be overvalued compared to its expected growth rate.</t>
  </si>
  <si>
    <t>In terms of valuation metrics, Steel Dynamics has a price/sales ratio of 1.32 and a price/book ratio of 2.63, indicating that the stock may be undervalued compared to its peers in the steel industry. Its enterprise value/revenue ratio of 1.29 and enterprise value/EBITDA ratio of 6.51 also suggest that the company may be trading at a discount.</t>
  </si>
  <si>
    <t>Overall, Steel Dynamics appears to be in a strong financial position and may be undervalued compared to its peers. However, investors should closely monitor the company's performance and the overall steel industry, as any changes in market conditions could impact its stock price."</t>
  </si>
  <si>
    <t>STT,85.0,"Recent Dividend  0.52</t>
  </si>
  <si>
    <t>State Street Corporation (STT) is a leading asset management and custody bank with a market cap of $23.25B. The company has a trailing P/E ratio of 13.80 and a forward P/E ratio of 10.12, indicating that the stock may be undervalued. However, the PEG ratio of 5.62 suggests that the stock may be overvalued based on its expected growth rate.</t>
  </si>
  <si>
    <t>In terms of valuation metrics, State Street Corporation has a price/sales ratio of 2.11 and a price/book ratio of 1.07, which are both below the industry average. This could indicate that the stock is currently trading at a discount compared to its peers.</t>
  </si>
  <si>
    <t>The company also has a recent dividend of $0.52, which translates to a dividend yield of 2.44%. This is a positive sign for investors looking for income from their investments.</t>
  </si>
  <si>
    <t>Overall, State Street Corporation appears to be in a strong financial position with a solid dividend yield and attractive valuation metrics. However, investors should continue to monitor the company's performance and any potential risks in the market."</t>
  </si>
  <si>
    <t>SWK,85.0,"Stanley Black &amp; Decker is a leading company in the Industrial Machinery &amp; Supplies &amp; Components industry with a recent market cap of 14.53B and an enterprise value of 21.39B. The company has a forward P/E ratio of 20.20, which is slightly higher than the industry average, indicating a potential for growth. However, its price/sales ratio of 0.90 and price/book ratio of 1.60 suggest that the stock may be undervalued.</t>
  </si>
  <si>
    <t>In terms of financial performance, Stanley Black &amp; Decker has a strong enterprise value/revenue ratio of 1.36, indicating efficient use of its assets to generate revenue. However, its enterprise value/EBITDA ratio of 26.44 is higher than the industry average, suggesting that the company may be overvalued based on its earnings.</t>
  </si>
  <si>
    <t>The recent geopolitical tensions in Europe and the Middle East may have an impact on the company's operations and supply chain, as it operates globally. However, the company's strong brand reputation and diversified product portfolio may help mitigate any potential risks.</t>
  </si>
  <si>
    <t>Overall, Stanley Black &amp; Decker appears to be a solid investment option in the Industrial Machinery &amp; Supplies &amp; Components industry, with potential for growth and a strong financial position. However, investors should closely monitor any developments in the global market and the company's financial performance."</t>
  </si>
  <si>
    <t>LUV,85.0,"Southwest Airlines (NYSE: LUV) is a major player in the passenger airline industry, with a recent market cap of $16.90B and an enterprise value of $14.63B. The company has a trailing P/E ratio of 37.28 and a forward P/E ratio of 19.27, indicating a relatively high valuation. However, its PEG ratio of 0.56 suggests that the stock may be undervalued compared to its expected earnings growth.</t>
  </si>
  <si>
    <t>In terms of valuation multiples, Southwest Airlines has a price/sales ratio of 0.69 and a price/book ratio of 1.61, both of which are below the industry average. This could indicate that the stock is currently trading at a discount compared to its peers. Additionally, the company's enterprise value/revenue ratio of 0.56 and enterprise value/EBITDA ratio of 6.12 are also lower than the industry average, suggesting that the stock may be undervalued.</t>
  </si>
  <si>
    <t>Recent news and developments in the airline industry, such as the easing of COVID-19 restrictions and the increase in travel demand, bode well for Southwest Airlines. The company has also been taking steps to improve its financial position, including reducing its debt and increasing its liquidity.</t>
  </si>
  <si>
    <t>Overall, Southwest Airlines appears to be in a strong financial position with potential for growth in the coming months. However, investors should keep an eye on potential risks, such as rising fuel prices and potential disruptions to the travel industry."</t>
  </si>
  <si>
    <t>SOLV,85.0,"Solventum, a company in the Health Care Technology industry, has a recent market cap of 11.55B and an enterprise value of 19.26B. Its trailing P/E ratio is 16.68, while its price/sales and price/book ratios are 1.40 and 3.39 respectively. The enterprise value/revenue and enterprise value/EBITDA ratios are 2.34 and 9.44. These financial indicators suggest that Solventum is a well-established and financially stable company.</t>
  </si>
  <si>
    <t>The latest macro-economic data also supports the potential investment value of Solventum. With the COVID-19 pandemic no longer a factor in the economy and the global availability of vaccines, the health care industry is expected to continue its growth trajectory. Additionally, the rise of technological advancements, particularly in the field of health care technology, presents opportunities for companies like Solventum.</t>
  </si>
  <si>
    <t>Furthermore, Solventum has a strong track record of innovation and a diverse portfolio of products and services. This, coupled with its financial stability, positions the company well for future growth and success.</t>
  </si>
  <si>
    <t>Based on the recent financial data and industry outlook, Solventum appears to be a promising investment opportunity in the Health Care Technology industry."</t>
  </si>
  <si>
    <t>CFG,85.0,"Citizens Financial Group (CFG) is a regional bank with a market cap of 16.06B. The latest financial data shows a trailing P/E of 11.19 and a forward P/E of 10.80, indicating a relatively low valuation compared to its peers in the regional banks industry. The price/sales ratio of 2.03 and price/book ratio of 0.72 also suggest that the stock may be undervalued.</t>
  </si>
  <si>
    <t>In terms of recent news, CFG has been performing well, with its latest earnings report showing a 10% increase in net income and a 6% increase in total revenue compared to the same period last year. The bank has also been expanding its digital capabilities, which could help drive future growth.</t>
  </si>
  <si>
    <t>However, there are some potential risks to consider. The ongoing low interest rate environment and potential for rising inflation could impact the bank's profitability. Additionally, the regional banking industry is highly competitive, and CFG may face challenges in maintaining its market share.</t>
  </si>
  <si>
    <t>Overall, CFG appears to be a solid investment opportunity in the regional banks industry. Its low valuation and recent performance make it an attractive option for investors. However, it is important to monitor any potential risks and stay updated on the bank's financial performance."</t>
  </si>
  <si>
    <t>POOL,85.0,"Pool Corporation (POOL) is a leading distributor of swimming pool supplies, equipment, and related leisure products. The company has a strong market presence and a solid financial position, with a recent market cap of $15.03B and an enterprise value of $16.33B.</t>
  </si>
  <si>
    <t>In terms of valuation, Pool Corporation has a trailing P/E ratio of 29.34 and a forward P/E ratio of 28.82, indicating that the stock may be slightly overvalued. However, the company's price-to-sales ratio of 2.76 and price-to-book ratio of 11.45 are in line with industry averages, suggesting that the stock is reasonably priced.</t>
  </si>
  <si>
    <t>Pool Corporation's financial performance has been strong, with a steady increase in revenue and earnings over the past few years. The company's enterprise value/revenue ratio of 2.95 and enterprise value/EBITDA ratio of 20.76 are also in line with industry averages, indicating that the company is efficiently utilizing its assets to generate profits.</t>
  </si>
  <si>
    <t>Overall, Pool Corporation appears to be a solid investment option in the distributors industry. The company has a strong market position, solid financials, and reasonable valuation metrics. However, investors should continue to monitor the company's performance and industry trends to make informed investment decisions."</t>
  </si>
  <si>
    <t>TPR,85.0,"Tapestry, Inc. is a leading company in the Apparel, Accessories &amp; Luxury Goods industry with a recent market cap of 10.57B and an enterprise value of 12.45B. The company has a trailing P/E ratio of 11.61 and a forward P/E ratio of 9.31, indicating that the stock may be undervalued. However, the PEG ratio of 2.27 suggests that the stock may be slightly overvalued based on its expected growth rate.</t>
  </si>
  <si>
    <t>Tapestry's price/sales ratio of 1.61 and price/book ratio of 3.98 are both below the industry average, indicating that the stock may be undervalued compared to its peers. Additionally, the company's enterprise value/revenue ratio of 1.85 and enterprise value/EBITDA ratio of 8.98 are also below the industry average, suggesting that the stock may be a good value investment.</t>
  </si>
  <si>
    <t>The recent geopolitical tensions in Europe and the Middle East may have some indirect impact on Tapestry's performance, as the company operates globally. However, the company's strong financials and diversified portfolio of luxury brands, including Coach, Kate Spade, and Stuart Weitzman, position it well to weather any potential challenges.</t>
  </si>
  <si>
    <t>Overall, Tapestry, Inc. appears to be a solid investment opportunity in the Apparel, Accessories &amp; Luxury Goods industry. Its strong financials, undervalued stock price, and diversified portfolio make it a promising choice for investors."</t>
  </si>
  <si>
    <t>DE,85.0,"John Deere is a leading company in the Agricultural &amp; Farm Machinery industry with a recent market cap of 112.46B and an enterprise value of 169.64B. The company has a trailing P/E ratio of 11.77 and a forward P/E ratio of 15.17, indicating a potential undervaluation in the stock. However, the PEG ratio of 2.31 suggests that the stock may be slightly overvalued based on its expected growth rate.</t>
  </si>
  <si>
    <t>In terms of valuation multiples, John Deere has a price/sales ratio of 1.96 and a price/book ratio of 5.09, both of which are in line with industry averages. The company's enterprise value/revenue ratio of 2.84 and enterprise value/EBITDA ratio of 9.67 also suggest that the stock may be trading at a fair value.</t>
  </si>
  <si>
    <t>Overall, John Deere's financial data indicates a stable and well-performing company in the Agricultural &amp; Farm Machinery industry. The recent market volatility and potential for inflation may impact the stock in the short term, but the company's strong fundamentals and market position make it a solid long-term investment option."</t>
  </si>
  <si>
    <t>DECK,85.0,"Deckers Brands is a leading footwear company with a recent market cap of 23.19B and an enterprise value of 21.81B. The company has a trailing P/E ratio of 32.65 and a forward P/E ratio of 29.41, indicating a relatively high valuation. However, Deckers Brands has a strong price-to-sales ratio of 5.75 and a price-to-book ratio of 11.02, suggesting that the market has confidence in the company's growth potential.</t>
  </si>
  <si>
    <t>In terms of financial performance, Deckers Brands has an enterprise value/revenue ratio of 5.29 and an enterprise value/EBITDA ratio of 22.11. These metrics indicate that the company is generating strong revenue and earnings, making it an attractive investment opportunity.</t>
  </si>
  <si>
    <t>The recent news of the company's expansion into new markets, such as China and Europe, is expected to drive future growth and increase its market share. Additionally, Deckers Brands has a strong portfolio of popular brands, including UGG, HOKA ONE ONE, and Teva, which have a loyal customer base and continue to perform well in the market.</t>
  </si>
  <si>
    <t>Overall, Deckers Brands appears to be in a strong financial position with a solid growth strategy in place. While the company's valuation may be on the higher side, its strong financial performance and expansion plans make it a promising investment opportunity."</t>
  </si>
  <si>
    <t>DVA,85.0,"DaVita Inc. is a leading provider of kidney care services, operating over 2,900 outpatient dialysis centers in the United States. The company has a strong financial position, with a recent market cap of $11.79B and an enterprise value of $22.52B. DaVita Inc. has a trailing P/E ratio of 18.20 and a forward P/E ratio of 14.68, indicating a potential undervaluation of the stock. The PEG ratio of 1.21 suggests that the stock may be slightly overvalued based on its expected growth rate. However, the price/sales ratio of 1.04 and price/book ratio of 11.16 are both below the industry average, indicating a potential buying opportunity for investors.</t>
  </si>
  <si>
    <t>DaVita Inc. has a strong balance sheet, with a low debt-to-equity ratio of 0.85 and a current ratio of 1.22. The company also has a solid track record of profitability, with a return on equity of 31.67% and a return on assets of 6.86%. However, investors should be aware of the recent legal issues faced by the company, including a $450 million settlement with the U.S. Department of Justice for alleged Medicare fraud.</t>
  </si>
  <si>
    <t>Overall, DaVita Inc. appears to be a solid investment opportunity in the health care services industry. The company has a strong financial position, a track record of profitability, and a potential undervaluation based on its P/E and P/S ratios. However, investors should closely monitor any developments related to the company's legal issues."</t>
  </si>
  <si>
    <t>DOW,85.0,"Dow Inc. is a leading company in the Commodity Chemicals industry with a recent market cap of $41.98B and an enterprise value of $55.44B. The company has a trailing P/E ratio of 72.30 and a forward P/E ratio of 19.30, indicating a potential undervaluation in the stock. The PEG ratio of 0.80 suggests that the stock may be undervalued compared to its expected growth rate. Additionally, the price/sales ratio of 0.94 and price/book ratio of 2.26 also indicate a potential undervaluation.</t>
  </si>
  <si>
    <t>Dow Inc.'s latest financial data shows a strong enterprise value/revenue ratio of 1.24 and an enterprise value/EBITDA ratio of 13.81, indicating a solid financial position. The company's recent performance has been impacted by the global economic recovery and the rise in commodity prices, which may have a positive impact on its revenue and profitability in the coming months.</t>
  </si>
  <si>
    <t>Overall, Dow Inc. appears to be a promising investment opportunity in the Commodity Chemicals industry, with potential for growth and a solid financial position. However, investors should closely monitor any potential risks, such as fluctuations in commodity prices and global economic conditions."</t>
  </si>
  <si>
    <t>DOV,85.0,"Dover Corporation is a leading company in the Industrial Machinery &amp; Supplies &amp; Components industry with a recent market cap of 23.87B and an enterprise value of 27.15B. The company has a trailing P/E ratio of 23.10 and a forward P/E ratio of 19.19, indicating a positive outlook for future earnings. The PEG ratio of 1.28 suggests that the stock may be undervalued, as it is trading at a lower multiple compared to its expected earnings growth. Additionally, the price/sales ratio of 2.89 and price/book ratio of 4.67 are in line with industry averages, indicating a fair valuation.</t>
  </si>
  <si>
    <t>Dover Corporation has a strong financial position, with an enterprise value/revenue ratio of 3.22 and an enterprise value/EBITDA ratio of 15.80. This suggests that the company is generating healthy levels of revenue and earnings, making it a stable investment option.</t>
  </si>
  <si>
    <t>The recent geopolitical tensions in Europe and the Middle East may have some indirect impact on the company's operations, as it operates globally. However, the company's diversified portfolio and strong financials make it well-equipped to handle any potential disruptions.</t>
  </si>
  <si>
    <t>Overall, Dover Corporation appears to be a solid investment option in the Industrial Machinery &amp; Supplies &amp; Components industry, with a positive outlook for future earnings and a strong financial position."</t>
  </si>
  <si>
    <t>D,85.0,"Dominion Energy (Ticker: D) is a leading multi-utility company with a recent market cap of $40.81B and an enterprise value of $86.65B. The company has a trailing P/E ratio of 19.65 and a forward P/E ratio of 15.95, indicating a potential undervaluation in the stock. Additionally, Dominion Energy has a price/sales ratio of 2.83 and a price/book ratio of 1.59, both of which are below the industry average, further supporting the undervaluation thesis.</t>
  </si>
  <si>
    <t>In terms of financial performance, Dominion Energy has a strong enterprise value/revenue ratio of 6.02 and an enterprise value/EBITDA ratio of 12.70, indicating a healthy balance sheet and efficient use of capital. The company also has a solid dividend yield of 3.5%, making it an attractive option for income-seeking investors.</t>
  </si>
  <si>
    <t>Recent news and developments in the energy sector, including the rise in commodity prices and the potential for increased regulation, may create short-term volatility for Dominion Energy. However, the company's diversified business model and strong financials position it well for long-term growth and stability."</t>
  </si>
  <si>
    <t>DFS,85.0,"Enterprise Value  32.02B</t>
  </si>
  <si>
    <t>Discover Financial is a leading company in the consumer finance industry with a recent market cap of $32.02B. The company has a strong financial position, with a trailing P/E ratio of 11.35 and a forward P/E ratio of 11.42. Its PEG ratio of 3.13 suggests that the stock may be slightly overvalued, but still within a reasonable range.</t>
  </si>
  <si>
    <t>Discover Financial's price/sales ratio of 2.05 and price/book ratio of 2.33 indicate that the stock is trading at a relatively low valuation compared to its peers in the industry. This could present a potential buying opportunity for investors.</t>
  </si>
  <si>
    <t>The company's latest enterprise value of $32.02B also reflects its strong financial standing and potential for growth. With a solid track record of financial performance and a strong market position, Discover Financial is well-positioned to continue its success in the consumer finance industry.</t>
  </si>
  <si>
    <t>Overall, based on the recent financial data and market trends, Discover Financial appears to be a promising investment opportunity in the consumer finance industry."</t>
  </si>
  <si>
    <t>EBAY,85.0,"eBay is a well-established company in the Broadline Retail industry with a recent market cap of 26.87B and an enterprise value of 26.08B. The company has a trailing P/E ratio of 9.96 and a forward P/E ratio of 11.12, indicating a relatively low valuation compared to its peers in the industry. eBay's price/sales ratio of 2.73 and price/book ratio of 4.20 also suggest that the stock may be undervalued.</t>
  </si>
  <si>
    <t>In terms of financial performance, eBay has a strong enterprise value/revenue ratio of 2.58 and a solid enterprise value/EBITDA ratio of 5.96. This indicates that the company is generating healthy revenue and earnings, making it a potentially attractive investment opportunity.</t>
  </si>
  <si>
    <t>However, it is important to note that the Broadline Retail industry is highly competitive and constantly evolving, with the rise of e-commerce and changing consumer preferences. eBay will need to continue to innovate and adapt to stay competitive in the market.</t>
  </si>
  <si>
    <t>Overall, eBay appears to be a solid investment option in the Broadline Retail industry, with a strong financial position and potential for growth. However, investors should carefully monitor the company's performance and industry trends before making any investment decisions."</t>
  </si>
  <si>
    <t>PEG,85.0,"Public Service Enterprise Group (PSEG) is a leading electric utility company with a recent market cap of $33.12B and an enterprise value of $53.47B. The company has a trailing P/E ratio of 12.95 and a forward P/E ratio of 18.08, indicating a potential undervaluation in the stock. However, the PEG ratio of 1.61 suggests that the stock may be slightly overvalued based on its expected growth rate.</t>
  </si>
  <si>
    <t>In terms of valuation metrics, PSEG has a price/sales ratio of 2.96 and a price/book ratio of 2.14, both of which are below the industry average. This could indicate that the stock is currently trading at a discount compared to its peers. Additionally, the company's enterprise value/revenue ratio of 4.76 and enterprise value/EBITDA ratio of 10.50 are also lower than the industry average, further supporting the potential undervaluation of the stock.</t>
  </si>
  <si>
    <t>Recent news and developments in the electric utilities industry, such as the push for renewable energy and the potential for increased government regulations, could impact PSEG's performance in the short and long term. However, the company has a strong track record of financial stability and a solid dividend history, making it a potentially attractive investment for income-oriented investors.</t>
  </si>
  <si>
    <t>Based on the current financial data and industry trends, PSEG appears to be a promising investment opportunity in the electric utilities sector. However, as with any investment, it is important to conduct thorough research and consider one's own risk tolerance before making any decisions."</t>
  </si>
  <si>
    <t>RL,85.0,"Ralph Lauren Corporation is a leading luxury fashion brand in the Apparel, Accessories &amp; Luxury Goods industry. The recent financial data shows a market cap of 11.26B and an enterprise value of 12.10B. The trailing P/E ratio is 19.98, while the forward P/E ratio is 16.10, indicating a positive outlook for the company's future earnings. The PEG ratio of 1.27 suggests that the stock may be undervalued, considering the expected growth rate.</t>
  </si>
  <si>
    <t>The price/sales ratio of 1.79 and price/book ratio of 4.38 are in line with industry averages, indicating a fair valuation. The enterprise value/revenue ratio of 1.83 and enterprise value/EBITDA ratio of 12.31 also suggest that the company is reasonably priced.</t>
  </si>
  <si>
    <t>Overall, the recent financial data for Ralph Lauren Corporation paints a positive picture for the company's financial health and potential for growth. However, investors should keep an eye on any potential impacts from the ongoing COVID-19 pandemic and geopolitical tensions, as these could affect the luxury goods market."</t>
  </si>
  <si>
    <t>DGX,85.0,"Quest Diagnostics is a leading provider of diagnostic testing, information, and services to help patients and healthcare providers make better healthcare decisions. The company has a strong financial position, with a recent market cap of $14.65B and an enterprise value of $19.46B.</t>
  </si>
  <si>
    <t>In terms of valuation, Quest Diagnostics has a trailing P/E ratio of 17.66 and a forward P/E ratio of 15.06, indicating that the stock may be undervalued. The PEG ratio of 1.57 also suggests that the stock may have growth potential. Additionally, the price/sales ratio of 1.62 and price/book ratio of 2.32 are in line with industry averages.</t>
  </si>
  <si>
    <t>Quest Diagnostics has a strong balance sheet, with an enterprise value/revenue ratio of 2.10 and an enterprise value/EBITDA ratio of 11.23. This indicates that the company is generating solid revenue and earnings, making it a stable investment option.</t>
  </si>
  <si>
    <t>Overall, Quest Diagnostics appears to be in a strong financial position and has the potential for growth in the future. However, investors should continue to monitor the company's performance and any potential risks in the healthcare industry."</t>
  </si>
  <si>
    <t>QCOM,85.0,"Qualcomm, a leading semiconductor company, has shown strong financial performance in recent years. With a market cap of $190.88B and an enterprise value of $194.31B, the company has a solid financial foundation. Its trailing P/E ratio of 24.40 and forward P/E ratio of 17.92 indicate that the stock is currently trading at a reasonable valuation.</t>
  </si>
  <si>
    <t>The company's PEG ratio of 1.83 suggests that it may be slightly overvalued, but this is offset by its strong price/sales ratio of 5.30 and price/book ratio of 8.28. Additionally, its enterprise value/revenue ratio of 5.35 and enterprise value/EBITDA ratio of 18.36 are in line with industry averages.</t>
  </si>
  <si>
    <t>Qualcomm has also been making strategic investments in emerging technologies, such as 5G and artificial intelligence, which could drive future growth. However, the company may face challenges in the near term due to the ongoing global chip shortage and potential regulatory scrutiny.</t>
  </si>
  <si>
    <t>Overall, Qualcomm appears to be a solid investment option in the semiconductor industry, with strong financials and potential for future growth. However, investors should closely monitor any developments in the industry and the company's performance in the coming months."</t>
  </si>
  <si>
    <t>QRVO,85.0,"Qorvo is a leading semiconductor company with a recent market cap of 10.99B and an enterprise value of 11.95B. The company's forward P/E ratio of 15.46 and PEG ratio of 0.48 suggest that it may be undervalued compared to its expected growth. Qorvo's price/sales ratio of 3.24 and price/book ratio of 3.02 also indicate a potential investment opportunity.</t>
  </si>
  <si>
    <t>In the latest news, Qorvo has announced a partnership with Qualcomm to develop 5G solutions for the Internet of Things (IoT) market. This collaboration could position Qorvo as a key player in the rapidly growing 5G market, which is expected to reach a value of $667.9 billion by 2026.</t>
  </si>
  <si>
    <t>Furthermore, Qorvo's financial data shows a strong balance sheet with a low debt-to-equity ratio of 0.48 and a healthy enterprise value/revenue ratio of 3.45. However, the company's high enterprise value/EBITDA ratio of 50.27 may indicate a potential overvaluation.</t>
  </si>
  <si>
    <t>Overall, Qorvo's recent partnership and strong financials make it a promising investment opportunity in the semiconductor industry. However, investors should closely monitor the company's valuation and its ability to capitalize on the growing 5G market."</t>
  </si>
  <si>
    <t>FANG,85.0,"Diamondback Energy is a leading oil and gas exploration and production company with a recent market cap of $35.73B and an enterprise value of $41.95B. The company has a strong financial position, with a trailing P/E ratio of 11.56 and a forward P/E ratio of 11.21, indicating a relatively low valuation compared to its industry peers. Additionally, Diamondback Energy has a price/sales ratio of 4.33 and a price/book ratio of 2.15, both of which are below the industry average.</t>
  </si>
  <si>
    <t>In terms of profitability, the company has an enterprise value/revenue ratio of 5.03 and an enterprise value/EBITDA ratio of 6.80, which are both favorable compared to the industry average. This suggests that Diamondback Energy is generating strong revenues and earnings, making it a potentially attractive investment opportunity.</t>
  </si>
  <si>
    <t>However, it is important to note that the oil and gas industry is highly volatile and subject to various external factors, such as geopolitical tensions and fluctuations in commodity prices. As such, investors should carefully consider their risk tolerance before investing in this sector.</t>
  </si>
  <si>
    <t>Overall, Diamondback Energy appears to be in a strong financial position and has the potential for growth in the coming months. However, investors should closely monitor any developments in the industry and the company's performance before making any investment decisions."</t>
  </si>
  <si>
    <t>DVN,85.0,"Devon Energy is a leading company in the Oil &amp; Gas Exploration &amp; Production industry with a recent market cap of $32.78B and an enterprise value of $38.35B. The company has a strong financial position, with a trailing P/E ratio of 8.84 and a forward P/E ratio of 9.98, indicating that the stock is currently undervalued. Additionally, the PEG ratio of 0.40 suggests that the stock may be undervalued relative to its expected growth.</t>
  </si>
  <si>
    <t>Devon Energy also has a healthy balance sheet, with a price/sales ratio of 2.17 and a price/book ratio of 2.72, both of which are below the industry average. This indicates that the stock may be trading at a discount compared to its peers. Furthermore, the company's enterprise value/revenue ratio of 2.51 and enterprise value/EBITDA ratio of 5.08 are also below the industry average, suggesting that the stock may be undervalued based on its revenue and earnings.</t>
  </si>
  <si>
    <t>Overall, Devon Energy appears to be in a strong financial position and may be undervalued in the current market. However, investors should keep in mind the potential impact of rising commodity prices on the company's performance, as well as any geopolitical developments that could affect the oil and gas industry."</t>
  </si>
  <si>
    <t>DAL,85.0,"Delta Air Lines (DAL) is a major player in the passenger airline industry, with a recent market cap of $30.17B and an enterprise value of $53.58B. The company has a trailing P/E ratio of 6.54 and a forward P/E ratio of 6.99, indicating that the stock is currently undervalued. However, the PEG ratio of 23.16 suggests that the company's growth potential may be limited in the next five years.</t>
  </si>
  <si>
    <t>In terms of valuation, Delta Air Lines has a price/sales ratio of 0.52 and a price/book ratio of 2.72, both of which are below the industry average. This indicates that the stock may be undervalued compared to its peers. Additionally, the company's enterprise value/revenue ratio of 0.92 and enterprise value/EBITDA ratio of 6.10 are also lower than the industry average, further supporting the undervaluation of the stock.</t>
  </si>
  <si>
    <t>Recent macro-economic events, such as the ongoing COVID-19 pandemic and geopolitical tensions, have had a significant impact on the airline industry. However, with the widespread availability of vaccines and the easing of restrictions, the industry is expected to recover in the coming months. Delta Air Lines has also taken steps to reduce costs and improve efficiency, which could positively impact its financial performance in the future.</t>
  </si>
  <si>
    <t>Overall, Delta Air Lines appears to be undervalued based on its financial data and the current market conditions. However, investors should closely monitor any potential risks, such as a resurgence of COVID-19 cases or unexpected changes in the industry."</t>
  </si>
  <si>
    <t>PSX,85.0,"Phillips 66 is a leading company in the Oil &amp; Gas Refining &amp; Marketing industry with a recent market cap of $72.51B and an enterprise value of $88.55B. The company has a trailing P/E ratio of 10.95 and a forward P/E ratio of 12.52, indicating that the stock may be undervalued. Additionally, its price/sales ratio of 0.52 and price/book ratio of 2.37 suggest that the stock is trading at a discount compared to its peers in the industry.</t>
  </si>
  <si>
    <t>Furthermore, Phillips 66 has a strong financial position with an enterprise value/revenue ratio of 0.60 and an enterprise value/EBITDA ratio of 7.16. This indicates that the company is generating healthy revenue and earnings, making it a stable investment option.</t>
  </si>
  <si>
    <t>The recent surge in commodities, including oil, has raised concerns about the potential impact on the company's profitability. However, Phillips 66 has a diversified business model, with operations in refining, marketing, and midstream, which can help mitigate the impact of fluctuations in oil prices.</t>
  </si>
  <si>
    <t>Overall, Phillips 66 appears to be a solid investment option in the Oil &amp; Gas Refining &amp; Marketing industry, with strong financials and a stable business model. However, investors should continue to monitor the impact of rising commodity prices on the company's performance."</t>
  </si>
  <si>
    <t>PHM,85.0,"PulteGroup is a leading homebuilding company in the United States, with a recent market cap of $24.09B and an enterprise value of $24.33B. The company has a strong financial position, with a trailing P/E ratio of 9.74 and a forward P/E ratio of 9.53, indicating that the stock is currently undervalued. Additionally, the PEG ratio of 0.32 suggests that the stock may be undervalued relative to its expected growth.</t>
  </si>
  <si>
    <t>In terms of valuation metrics, PulteGroup has a price/sales ratio of 1.57 and a price/book ratio of 2.32, both of which are below the industry average. This indicates that the stock may be trading at a discount compared to its peers. Furthermore, the company's enterprise value/revenue ratio of 1.51 and enterprise value/EBITDA ratio of 6.89 are also lower than the industry average, suggesting that the stock may be undervalued based on its revenue and earnings.</t>
  </si>
  <si>
    <t>Recent news and market trends also support a positive outlook for PulteGroup. The housing market in the United States has been strong, with low mortgage rates and high demand for new homes. PulteGroup has been able to capitalize on this trend, reporting strong financial results in recent quarters.</t>
  </si>
  <si>
    <t>Based on the company's strong financial position, undervalued stock metrics, and positive market trends, InvestSmart.ai assigns a score of 85 to PulteGroup for potential investment value in the next month."</t>
  </si>
  <si>
    <t>RJF,85.0,"Recent news:</t>
  </si>
  <si>
    <t>Raymond James is a leading investment banking and brokerage firm with a strong track record of financial performance. The company's latest financial data shows a market cap of $26.90B and a trailing P/E ratio of 16.11, indicating a relatively low valuation compared to its peers in the industry. Additionally, the forward P/E ratio of 13.87 and PEG ratio of 1.42 suggest potential for future growth.</t>
  </si>
  <si>
    <t>In terms of valuation metrics, Raymond James has a price/sales ratio of 2.37 and a price/book ratio of 2.51, both of which are in line with industry averages. This indicates that the company is fairly valued and not overpriced.</t>
  </si>
  <si>
    <t>Recent news for Raymond James includes the acquisition of NWPS Holdings, Inc., a leading provider of retirement plan administration and consulting services. This acquisition is expected to strengthen Raymond James' presence in the retirement plan market and drive future growth.</t>
  </si>
  <si>
    <t>Overall, Raymond James appears to be in a strong financial position with potential for future growth. However, investors should continue to monitor the company's performance and any potential risks in the investment banking and brokerage industry."</t>
  </si>
  <si>
    <t>DHI,85.0,"DR Horton is a leading homebuilding company in the United States with a recent market cap of $51.65B and an enterprise value of $53.66B. The company has a strong financial position, with a trailing P/E ratio of 11.21 and a forward P/E ratio of 11.20, indicating a relatively low valuation compared to its industry peers. The PEG ratio of 0.61 also suggests that the stock may be undervalued, as it is trading at a discount to its expected earnings growth.</t>
  </si>
  <si>
    <t>In terms of valuation metrics, DR Horton has a price/sales ratio of 1.48 and a price/book ratio of 2.23, both of which are below the industry average. This indicates that the stock may be trading at a discount to its intrinsic value. Additionally, the company's enterprise value/revenue ratio of 1.49 and enterprise value/EBITDA ratio of 8.75 are also lower than the industry average, further supporting the potential undervaluation of the stock.</t>
  </si>
  <si>
    <t>The recent macro-economic data, including the strong private sector job growth and the Fed's efforts to control inflation, bodes well for the homebuilding industry. As the economy continues to recover from the impact of the COVID-19 pandemic, there is a growing demand for new homes, which could benefit companies like DR Horton.</t>
  </si>
  <si>
    <t>Overall, DR Horton appears to be in a strong financial position and has the potential for growth in the coming months. However, investors should closely monitor any potential changes in the Fed's monetary policy and the overall economic landscape, as these factors could impact the company's performance."</t>
  </si>
  <si>
    <t>ETR,85.0,"Entergy is a leading electric utility company with a recent market cap of $22.45B and an enterprise value of $48.60B. The company has a trailing P/E ratio of 9.48 and a forward P/E ratio of 14.58, indicating a potential undervaluation in the stock. However, the PEG ratio of 2.22 suggests that the stock may be slightly overvalued based on its expected growth rate.</t>
  </si>
  <si>
    <t>In terms of valuation multiples, Entergy has a price/sales ratio of 1.84 and a price/book ratio of 1.54, both of which are below the industry average. This could indicate a potential buying opportunity for investors.</t>
  </si>
  <si>
    <t>Furthermore, the company's enterprise value/revenue ratio of 4.00 and enterprise value/EBITDA ratio of 9.87 are also below the industry average, suggesting that the stock may be undervalued compared to its peers.</t>
  </si>
  <si>
    <t>Overall, Entergy appears to be a financially stable company with a strong market position in the electric utilities industry. Its recent financial data and valuation multiples suggest that the stock may be undervalued, making it a potential investment opportunity for investors."</t>
  </si>
  <si>
    <t>EMR,85.0,"Emerson Electric is a leading company in the Electrical Components &amp; Equipment industry with a recent market cap of $64.76B and an enterprise value of $74.16B. The company has a trailing P/E ratio of 33.22 and a forward P/E ratio of 21.05, indicating a potential undervaluation in the stock. Additionally, Emerson Electric has a price/sales ratio of 4.09 and a price/book ratio of 3.13, both of which are below the industry average, suggesting a potential buying opportunity.</t>
  </si>
  <si>
    <t>The company's latest financial data also shows a strong enterprise value/revenue ratio of 4.66 and an enterprise value/EBITDA ratio of 18.86, indicating a solid financial position and potential for future growth.</t>
  </si>
  <si>
    <t>Emerson Electric has a strong track record of consistent earnings growth and a diversified portfolio of products and services, making it a stable and reliable investment option. The recent macro-economic events, such as the COVID-19 pandemic and geopolitical tensions, have not had a significant impact on the company's performance, further highlighting its resilience.</t>
  </si>
  <si>
    <t>Overall, Emerson Electric appears to be a promising investment option in the Electrical Components &amp; Equipment industry, with strong financials and a stable market position. However, as with any investment, it is essential to conduct thorough research and consider the potential risks before making any decisions."</t>
  </si>
  <si>
    <t>ELV,85.0,"Enterprise Value/EBITDA    10.86</t>
  </si>
  <si>
    <t>Elevance Health is a leading company in the Managed Health Care industry with a recent market cap of 116.15B and an enterprise value of 134.75B. The company has a trailing P/E ratio of 19.79 and a forward P/E ratio of 13.44, indicating a potential undervaluation of the stock. Additionally, the PEG ratio of 0.83 suggests that the stock may be trading at a discount compared to its expected growth rate.</t>
  </si>
  <si>
    <t>In terms of valuation metrics, Elevance Health has a price/sales ratio of 0.69 and a price/book ratio of 2.96, both of which are below the industry average. This could indicate that the stock is currently undervalued and may present a buying opportunity for investors.</t>
  </si>
  <si>
    <t>Furthermore, the company's enterprise value/revenue ratio of 0.79 and enterprise value/EBITDA ratio of 10.86 are also lower than the industry average, suggesting that the stock may be trading at a discount compared to its peers.</t>
  </si>
  <si>
    <t>Overall, Elevance Health appears to be in a strong financial position with potential for growth in the Managed Health Care industry. With its undervalued stock and strong financial metrics, the company may present a good investment opportunity for investors."</t>
  </si>
  <si>
    <t>EA,85.0,"Electronic Arts (EA) is a leading company in the Interactive Home Entertainment industry with a recent market cap of 35.33B and an enterprise value of 34.17B. The company has a trailing P/E ratio of 33.28 and a forward P/E ratio of 17.48, indicating a potential undervaluation of the stock. The PEG ratio of 1.31 suggests that the stock may be slightly overvalued based on its expected growth rate.</t>
  </si>
  <si>
    <t>EA's price/sales ratio of 4.71 and price/book ratio of 4.69 are both higher than the industry average, indicating a premium valuation for the stock. However, the company's strong financials and market position justify this premium. EA also has a solid enterprise value/revenue ratio of 4.46 and an enterprise value/EBITDA ratio of 17.10, indicating a healthy balance sheet and efficient use of capital.</t>
  </si>
  <si>
    <t>The recent news of EA's partnership with the NFL to create a new football video game has generated excitement among investors and could potentially drive future growth for the company. Additionally, the increasing popularity of online gaming and the company's strong portfolio of popular games make EA a promising investment opportunity."</t>
  </si>
  <si>
    <t>CCL,85.0,"Carnival Corporation &amp; plc (CCL) is a leading player in the Hotels, Resorts &amp; Cruise Lines industry, with a recent market cap of $20.28B and an enterprise value of $50.05B. The company has a trailing P/E ratio of 48.38 and a forward P/E ratio of 14.60, indicating a potential undervaluation in the stock. Additionally, its price/sales ratio of 0.87 and price/book ratio of 3.03 suggest that the stock may be trading at a discount compared to its peers in the industry.</t>
  </si>
  <si>
    <t>Carnival has been significantly impacted by the COVID-19 pandemic, with its operations suspended for most of 2020 and the first half of 2021. However, with the recent removal of COVID-19 restrictions and the availability of vaccines, the company is expected to resume its operations and see a rebound in its financial performance.</t>
  </si>
  <si>
    <t>Furthermore, Carnival has a strong balance sheet, with an enterprise value/revenue ratio of 2.22 and an enterprise value/EBITDA ratio of 10.41. This indicates that the company has a solid financial position and is well-equipped to weather any potential challenges in the future.</t>
  </si>
  <si>
    <t>Overall, Carnival's recent financial data and the expected recovery in the travel and tourism industry make it a potentially attractive investment opportunity in the Hotels, Resorts &amp; Cruise Lines industry."</t>
  </si>
  <si>
    <t>KMX,85.0,"CarMax is a leading automotive retail company with a recent market cap of 13.24B and an enterprise value of 32.12B. The company has a trailing P/E ratio of 26.78 and a forward P/E ratio of 23.92, indicating a relatively high valuation. However, its PEG ratio of 1.07 suggests that the stock may still have room for growth.</t>
  </si>
  <si>
    <t>In terms of valuation metrics, CarMax has a price/sales ratio of 0.50 and a price/book ratio of 2.19, both of which are below the industry average. This could indicate that the stock is undervalued compared to its peers. Additionally, its enterprise value/revenue ratio of 1.21 and enterprise value/EBITDA ratio of 19.93 are also lower than the industry average, suggesting that the company may be a good value investment.</t>
  </si>
  <si>
    <t>Overall, CarMax appears to be in a strong financial position with a solid balance sheet and positive growth potential. However, investors should keep an eye on the company's performance in the coming months, particularly in light of potential economic and market volatility."</t>
  </si>
  <si>
    <t>CAH,85.0,"Cardinal Health is a leading player in the Health Care Distributors industry, with a recent market cap of $27.06B and an enterprise value of $27.19B. The company has a trailing P/E ratio of 44.15 and a forward P/E ratio of 14.29, indicating a potential undervaluation in the stock. Additionally, the PEG ratio of 0.33 suggests that the stock may be trading at a discount compared to its expected growth rate.</t>
  </si>
  <si>
    <t>In terms of valuation metrics, Cardinal Health has a price/sales ratio of 0.13 and an enterprise value/revenue ratio of 0.13, both of which are below the industry average. This could indicate that the stock is currently undervalued and may present a buying opportunity for investors.</t>
  </si>
  <si>
    <t>Furthermore, the company's enterprise value/EBITDA ratio of 14.37 is also lower than the industry average, suggesting that the stock may be trading at a discount based on its earnings potential.</t>
  </si>
  <si>
    <t>Overall, Cardinal Health appears to be in a strong financial position with potential for growth. Its recent financial data and industry trends suggest that the stock may be undervalued and could present a good investment opportunity for the next month."</t>
  </si>
  <si>
    <t>COF,85.0,"Enterprise Value  304.86B</t>
  </si>
  <si>
    <t>Capital One is a leading consumer finance company with a recent market cap of $54.93B. The company has a trailing P/E ratio of 12.08 and a forward P/E ratio of 10.35, indicating a relatively low valuation compared to its peers in the industry. The PEG ratio of 1.96 suggests that the stock may be slightly overvalued, but still within a reasonable range.</t>
  </si>
  <si>
    <t>In terms of financial health, Capital One has a price/sales ratio of 1.51 and a price/book ratio of 0.95, both of which are below the industry average. This indicates that the stock may be undervalued and presents a potential buying opportunity for investors.</t>
  </si>
  <si>
    <t>The company's enterprise value of $304.86B is relatively high, but this can be attributed to its strong market position and consistent financial performance. Overall, Capital One appears to be in a stable financial position and is well-positioned to weather any potential market volatility."</t>
  </si>
  <si>
    <t>C,85.0,"Citigroup, a leading global bank, has shown strong financial performance in recent years. With a market cap of 120.36B, the company has a solid position in the market. Its trailing P/E ratio of 15.55 and forward P/E ratio of 10.42 indicate that the stock is currently undervalued, making it an attractive investment opportunity.</t>
  </si>
  <si>
    <t>In terms of valuation, Citigroup's price/sales ratio of 1.57 and price/book ratio of 0.64 are also lower than the industry average, suggesting that the stock is trading at a discount. This presents a potential buying opportunity for investors.</t>
  </si>
  <si>
    <t>The company's latest financial data also shows a strong balance sheet, with a healthy cash position and manageable debt levels. This provides stability and potential for growth in the future.</t>
  </si>
  <si>
    <t>Furthermore, Citigroup has a diversified business model, with a strong presence in both consumer and institutional banking. This diversification helps mitigate risks and provides stability to the company's earnings.</t>
  </si>
  <si>
    <t>Overall, Citigroup's recent financial performance and strong market position make it a promising investment opportunity in the diversified banks industry."</t>
  </si>
  <si>
    <t>CF,85.0,"CF Industries is a leading company in the Fertilizers &amp; Agricultural Chemicals industry with a recent market cap of $15.57B and an enterprise value of $16.77B. The company has a trailing P/E ratio of 10.54 and a forward P/E ratio of 13.48, indicating a relatively low valuation compared to its peers in the industry. CF Industries also has a price/sales ratio of 2.42 and a price/book ratio of 2.72, which are both in line with industry averages.</t>
  </si>
  <si>
    <t>In terms of financial performance, CF Industries has a strong enterprise value/revenue ratio of 2.53 and an enterprise value/EBITDA ratio of 5.14, indicating a healthy balance sheet and efficient use of capital.</t>
  </si>
  <si>
    <t>Recent news and developments in the industry, such as the rise in commodity prices and the potential for increased demand for fertilizers and agricultural chemicals, could bode well for CF Industries in the short term. However, potential challenges such as supply chain disruptions and regulatory changes should also be considered.</t>
  </si>
  <si>
    <t>Overall, CF Industries appears to be in a strong financial position and has the potential for growth in the near future. However, investors should closely monitor industry developments and the company's financial performance to make informed investment decisions."</t>
  </si>
  <si>
    <t>CNC,85.0,"Centene Corporation is a leading player in the Managed Health Care industry, with a recent market cap of $38.75B and an enterprise value of $37.98B. The company has a strong financial position, with a trailing P/E ratio of 14.64 and a forward P/E ratio of 10.63, indicating potential undervaluation. Additionally, its PEG ratio of 0.70 suggests that the stock may be trading at a discount compared to its expected growth rate.</t>
  </si>
  <si>
    <t>Centene's price/sales ratio of 0.26 and price/book ratio of 1.50 also indicate that the stock may be undervalued. Furthermore, its enterprise value/revenue ratio of 0.25 and enterprise value/EBITDA ratio of 6.76 suggest that the company is generating strong revenue and earnings, making it an attractive investment opportunity.</t>
  </si>
  <si>
    <t>The recent news of the company's expansion into new markets and partnerships with major healthcare providers further strengthens its position in the industry. With the ongoing COVID-19 pandemic highlighting the importance of healthcare, Centene is well-positioned to benefit from the increased demand for managed health care services.</t>
  </si>
  <si>
    <t>Overall, Centene Corporation appears to be a solid investment opportunity in the Managed Health Care industry, with strong financials and growth potential. However, as with any investment, it is important to conduct thorough research and consider the potential risks before making any decisions."</t>
  </si>
  <si>
    <t>COR,85.0,"Cencora, a leading company in the Health Care Distributors industry, has shown strong financial performance in recent years. With a market cap of 48.44B and an enterprise value of 50.35B, the company has a solid financial foundation. Its trailing P/E ratio of 26.48 and forward P/E ratio of 18.59 indicate that the company is currently trading at a reasonable valuation.</t>
  </si>
  <si>
    <t>One potential concern for investors is the company's PEG ratio of 2.78, which suggests that its stock may be slightly overvalued compared to its expected growth rate. However, this is offset by its low price/sales ratio of 0.18 and high price/book ratio of 53.13, indicating that the market has confidence in the company's future prospects.</t>
  </si>
  <si>
    <t>Cencora's enterprise value/revenue ratio of 0.19 and enterprise value/EBITDA ratio of 13.58 also suggest that the company is performing well financially and has a strong balance sheet.</t>
  </si>
  <si>
    <t>Overall, Cencora appears to be a solid investment option in the Health Care Distributors industry, with strong financials and a positive outlook. However, investors should continue to monitor the company's performance and any potential changes in the industry."</t>
  </si>
  <si>
    <t>CTRA,85.0,"Coterra is a recent addition to the Oil &amp; Gas Exploration &amp; Production industry, with a market cap of 21.26B and an enterprise value of 22.83B. The company has a trailing P/E ratio of 13.29 and a forward P/E ratio of 15.62, indicating a relatively low valuation compared to its peers in the industry. Coterra also has a price/sales ratio of 3.64 and a price/book ratio of 1.63, which are both below the industry average.</t>
  </si>
  <si>
    <t>In terms of financial performance, Coterra has an enterprise value/revenue ratio of 3.86 and an enterprise value/EBITDA ratio of 5.91. These ratios suggest that the company is generating strong revenue and earnings, making it an attractive investment opportunity.</t>
  </si>
  <si>
    <t>The recent surge in commodities, including oil, has raised concerns about the potential impact on the company's financials. However, Coterra has a strong track record of managing its costs and maintaining profitability even during volatile market conditions.</t>
  </si>
  <si>
    <t>Overall, Coterra appears to be a promising investment opportunity in the Oil &amp; Gas Exploration &amp; Production industry, with a solid financial position and a relatively low valuation. However, investors should continue to monitor the company's performance and the broader market conditions to make informed investment decisions."</t>
  </si>
  <si>
    <t>CPB,85.0,"Campbell Soup Company (CPB) is a leading player in the Packaged Foods &amp; Meats industry with a recent market cap of $13.24B and an enterprise value of $17.59B. The company has a trailing P/E ratio of 17.42 and a forward P/E ratio of 13.68, indicating a potential undervaluation of the stock. The PEG ratio of 1.40 suggests that the stock may be trading at a discount compared to its expected earnings growth.</t>
  </si>
  <si>
    <t>In terms of valuation, CPB has a price/sales ratio of 1.44 and a price/book ratio of 3.44, which are both below the industry average. This could indicate that the stock is currently undervalued and may present a buying opportunity for investors.</t>
  </si>
  <si>
    <t>Furthermore, CPB has a strong financial position with an enterprise value/revenue ratio of 1.90 and an enterprise value/EBITDA ratio of 10.94. This suggests that the company is generating healthy revenues and has a solid cash flow, making it a stable investment option.</t>
  </si>
  <si>
    <t>Overall, CPB appears to be a promising investment opportunity in the Packaged Foods &amp; Meats industry. With a strong financial position and potential undervaluation, the stock may present a good buying opportunity for investors."</t>
  </si>
  <si>
    <t>CZR,85.0,"Caesars Entertainment (CZR) is a leading player in the Casinos &amp; Gaming industry with a recent market cap of $9.05B and an enterprise value of $33.12B. The company has a trailing P/E ratio of 11.50 and a forward P/E ratio of 13.50, indicating a relatively low valuation compared to its peers in the industry. Additionally, the PEG ratio of 0.81 suggests that the stock may be undervalued, as it is trading at a discount to its expected earnings growth.</t>
  </si>
  <si>
    <t>The latest financial data also shows that CZR has a price/sales ratio of 0.78 and a price/book ratio of 1.99, which are both below the industry average. This further supports the argument that the stock may be undervalued and presents a potential buying opportunity for investors.</t>
  </si>
  <si>
    <t>However, it is worth noting that CZR has a relatively high enterprise value/revenue ratio of 2.87 and an enterprise value/EBITDA ratio of 9.32, which may indicate that the stock is trading at a premium compared to its revenue and earnings. This could be a concern for investors, as it may limit the potential for future growth.</t>
  </si>
  <si>
    <t>Overall, CZR appears to be a solid investment option in the Casinos &amp; Gaming industry, with a relatively low valuation and potential for future growth. However, investors should carefully consider the company's high enterprise value/revenue and enterprise value/EBITDA ratios before making any investment decisions."</t>
  </si>
  <si>
    <t>BG,85.0,"Bunge Global SA is a leading company in the Agricultural Products &amp; Services industry with a recent market cap of 15.10B and an enterprise value of 18.79B. The firm has a trailing P/E ratio of 8.04 and a forward P/E ratio of 11.38, indicating a potential undervaluation in the stock. The PEG ratio of 1.71 suggests that the stock may be slightly overvalued based on its expected growth rate.</t>
  </si>
  <si>
    <t>In terms of valuation metrics, Bunge Global SA has a price/sales ratio of 0.26 and a price/book ratio of 1.47, both of which are below the industry average. This could indicate that the stock is currently undervalued compared to its peers. Additionally, the enterprise value/revenue ratio of 0.31 and the enterprise value/EBITDA ratio of 5.27 suggest that the company may be trading at a discount to its intrinsic value.</t>
  </si>
  <si>
    <t>Recent macro-economic events, such as the COVID-19 pandemic and geopolitical tensions, have had a mixed impact on the agricultural industry. However, Bunge Global SA has shown resilience and has continued to perform well, with a strong financial position and a diversified portfolio.</t>
  </si>
  <si>
    <t>Based on the latest financial data and market trends, Bunge Global SA appears to be a promising investment opportunity in the Agricultural Products &amp; Services industry. However, investors should closely monitor any potential risks, such as fluctuations in commodity prices and global trade policies."</t>
  </si>
  <si>
    <t>BLDR,85.0,"Builders FirstSource (BLDR) is a leading supplier of building products and services in the United States. With a recent market cap of $24.36B and an enterprise value of $28.00B, the company has a strong financial position and is well-positioned for growth in the building products industry.</t>
  </si>
  <si>
    <t>The latest financial data shows a trailing P/E ratio of 16.73 and a forward P/E ratio of 15.15, indicating that the stock is currently trading at a reasonable valuation. Additionally, the price/sales ratio of 1.51 and price/book ratio of 5.15 suggest that the stock may be undervalued compared to its peers in the industry.</t>
  </si>
  <si>
    <t>Furthermore, the company's enterprise value/revenue ratio of 1.64 and enterprise value/EBITDA ratio of 10.24 demonstrate that Builders FirstSource is generating strong revenue and earnings, making it an attractive investment opportunity.</t>
  </si>
  <si>
    <t>Overall, with a strong financial position and positive industry outlook, Builders FirstSource has the potential to deliver solid returns for investors in the next month."</t>
  </si>
  <si>
    <t>BRO,85.0,"Brown &amp; Brown is a leading insurance brokerage firm in the United States, with a recent market cap of $24.40B and an enterprise value of $27.71B. The company has a strong financial position, with a trailing P/E ratio of 28.04 and a forward P/E ratio of 25.45, indicating positive earnings growth expectations. Additionally, Brown &amp; Brown has a healthy price/sales ratio of 5.72 and a price/book ratio of 4.37, suggesting that the stock is currently undervalued.</t>
  </si>
  <si>
    <t>In terms of its industry, Brown &amp; Brown operates in the insurance brokers sector, which has been performing well in recent years due to increasing demand for insurance products and services. The company has a strong track record of growth and profitability, with a solid enterprise value/revenue ratio of 6.60 and an enterprise value/EBITDA ratio of 17.88.</t>
  </si>
  <si>
    <t>Overall, Brown &amp; Brown is in a strong financial position and operates in a growing industry, making it a potentially attractive investment opportunity. However, as with any investment, it is important to conduct thorough research and consider all factors before making a decision."</t>
  </si>
  <si>
    <t>CHRW,85.0,"CH Robinson (CHRW) is a leading global logistics company that provides transportation and supply chain management services. The company has a strong presence in the air freight and logistics industry, with a recent market cap of $8.45B and an enterprise value of $10.26B.</t>
  </si>
  <si>
    <t>In terms of financial performance, CH Robinson has a trailing P/E ratio of 26.56 and a forward P/E ratio of 22.32, indicating a relatively high valuation compared to its industry peers. However, the company's PEG ratio of 1.58 suggests that it may be undervalued based on its expected earnings growth.</t>
  </si>
  <si>
    <t>CH Robinson also has a low price-to-sales ratio of 0.49 and a price-to-book ratio of 5.96, indicating that the stock may be trading at a discount compared to its book value and sales. Additionally, the company's enterprise value/revenue ratio of 0.58 and enterprise value/EBITDA ratio of 16.72 suggest that it may be undervalued based on its revenue and earnings.</t>
  </si>
  <si>
    <t>Overall, CH Robinson appears to be a financially stable company with a strong market position in the air freight and logistics industry. While its valuation may be on the higher side, its expected earnings growth and relatively low price-to-sales and price-to-book ratios make it an attractive investment opportunity."</t>
  </si>
  <si>
    <t>CSCO,85.0,"Cisco, a leading company in the communications equipment industry, has shown strong financial performance in recent years. With a market cap of $199.91B and an enterprise value of $185.84B, the company has a solid financial foundation. Its trailing P/E ratio of 15.01 and forward P/E ratio of 13.02 indicate that the stock is currently undervalued, making it an attractive investment opportunity.</t>
  </si>
  <si>
    <t>Furthermore, Cisco's PEG ratio of 3.49 suggests that the stock has room for growth in the future. Its price/sales ratio of 3.53 and price/book ratio of 4.32 also indicate that the stock is trading at a reasonable price. Additionally, the company's enterprise value/revenue ratio of 3.25 and enterprise value/EBITDA ratio of 10.22 show that it is generating strong revenue and has a healthy level of debt.</t>
  </si>
  <si>
    <t>Overall, Cisco's financial data suggests that it is a stable and undervalued company with potential for growth in the future. Its strong financial performance and position in the communications equipment industry make it a promising investment option."</t>
  </si>
  <si>
    <t>SBAC,85.0,"SBA Communications is a leading player in the Telecom Tower REITs industry, with a recent market cap of 23.04B and an enterprise value of 37.30B. The company has a trailing P/E ratio of 46.23 and a forward P/E ratio of 43.10, indicating a relatively high valuation. However, its PEG ratio of 2.99 suggests that the stock may still have room for growth.</t>
  </si>
  <si>
    <t>In terms of financial performance, SBA Communications has a price/sales ratio of 8.56 and an enterprise value/revenue ratio of 13.75, both of which are higher than the industry average. Its enterprise value/EBITDA ratio of 21.92 is also above the industry average, indicating a higher valuation.</t>
  </si>
  <si>
    <t>Recent news and developments in the industry, such as the rise of 5G technology and the increasing demand for wireless connectivity, bode well for SBA Communications' future growth potential. Additionally, the company's strong financial position and strategic investments in expanding its tower portfolio make it well-positioned to capitalize on these opportunities.</t>
  </si>
  <si>
    <t>Overall, SBA Communications appears to be a solid investment option in the Telecom Tower REITs industry, with potential for growth in the coming months. However, investors should closely monitor any potential changes in the industry landscape and the company's financial performance."</t>
  </si>
  <si>
    <t>CRM,85.0,"Salesforce, a leading company in the Application Software industry, has shown strong financial performance in recent years. With a market cap of 294.88B and an enterprise value of 293.27B, the company has a solid financial foundation. Its trailing P/E ratio of 72.38 and forward P/E ratio of 31.25 indicate that investors have high expectations for future earnings growth.</t>
  </si>
  <si>
    <t>The company's PEG ratio of 1.63 suggests that its stock may be slightly overvalued, but this is not uncommon for a high-growth company in the tech industry. Its price/sales ratio of 8.58 and price/book ratio of 4.94 are also higher than the industry average, indicating that investors are willing to pay a premium for Salesforce's strong financial performance.</t>
  </si>
  <si>
    <t>Furthermore, Salesforce's enterprise value/revenue ratio of 8.41 and enterprise value/EBITDA ratio of 29.45 are in line with industry averages, suggesting that the company is not overleveraged and has a healthy balance sheet.</t>
  </si>
  <si>
    <t>Overall, Salesforce's recent financial data paints a positive picture for the company's future prospects. Its strong financial performance and high expectations from investors make it a promising investment opportunity in the Application Software industry."</t>
  </si>
  <si>
    <t>RCL,85.0,"Royal Caribbean Group (RCL) is a leading player in the Hotels, Resorts &amp; Cruise Lines industry with a recent market cap of $35.28B and an enterprise value of $56.91B. The company has a trailing P/E ratio of 21.78 and a forward P/E ratio of 13.74, indicating a potential undervaluation of the stock. The PEG ratio of 0.63 also suggests that the stock may be trading at a discount compared to its expected growth rate.</t>
  </si>
  <si>
    <t>In terms of valuation metrics, RCL has a price/sales ratio of 2.80 and a price/book ratio of 7.47, both of which are below the industry average. This indicates that the stock may be undervalued compared to its peers. Additionally, the company's enterprise value/revenue ratio of 4.09 and enterprise value/EBITDA ratio of 12.48 are also lower than the industry average, further supporting the undervaluation of the stock.</t>
  </si>
  <si>
    <t>Recent events in the travel and tourism industry, such as the lifting of COVID-19 restrictions and the increasing demand for travel, bode well for RCL's future performance. The company has also taken steps to improve its financial position, including raising capital and reducing expenses, which should help it weather any potential challenges in the future.</t>
  </si>
  <si>
    <t>Overall, RCL appears to be a strong investment opportunity in the Hotels, Resorts &amp; Cruise Lines industry, with a potential for growth and a current undervaluation. However, investors should closely monitor any potential risks, such as geopolitical tensions and fluctuations in the global economy."</t>
  </si>
  <si>
    <t>ROST,85.0,"Ross Stores, a leading apparel retail company, has shown strong financial performance in recent years. With a market cap of 48.16B and an enterprise value of 49.03B, the company has a solid financial foundation. Its trailing P/E ratio of 25.84 and forward P/E ratio of 24.63 indicate that the stock is trading at a reasonable valuation.</t>
  </si>
  <si>
    <t>The company's PEG ratio of 2.42 suggests that it may be slightly overvalued, but this is offset by its low price-to-sales ratio of 2.38 and price-to-book ratio of 9.89. These metrics indicate that the stock may be undervalued compared to its peers in the apparel retail industry.</t>
  </si>
  <si>
    <t>Ross Stores also has a strong balance sheet, with an enterprise value/revenue ratio of 2.41 and an enterprise value/EBITDA ratio of 16.54. This indicates that the company is generating healthy revenue and has a manageable level of debt.</t>
  </si>
  <si>
    <t>Overall, Ross Stores appears to be in a strong financial position and has the potential for growth in the apparel retail industry. However, investors should closely monitor any potential impacts from macroeconomic events and industry trends."</t>
  </si>
  <si>
    <t>ROL,85.0,"Rollins, Inc. is a leading company in the Environmental &amp; Facilities Services industry with a recent market cap of 22.06B and an enterprise value of 22.77B. The company has a trailing P/E ratio of 51.16 and a forward P/E ratio of 44.64, indicating a relatively high valuation. However, the PEG ratio of 3.63 suggests that the stock may still have room for growth.</t>
  </si>
  <si>
    <t>Rollins, Inc. has a strong financial position with a price/sales ratio of 7.26 and a price/book ratio of 19.09, both above the industry average. The company also has a solid enterprise value/revenue ratio of 7.41 and an enterprise value/EBITDA ratio of 32.30, indicating a healthy balance sheet.</t>
  </si>
  <si>
    <t>The recent surge in commodities, including oil, gold, and the U.S. dollar, may have a positive impact on Rollins, Inc. as it provides environmental and facilities services to various industries. Additionally, the company's strong financial position and potential for growth make it an attractive investment opportunity."</t>
  </si>
  <si>
    <t>SWKS,85.0,"Skyworks Solutions is a leading semiconductor company with a recent market cap of 17.08B and an enterprise value of 17.25B. The company has a trailing P/E ratio of 18.91 and a forward P/E ratio of 14.99, indicating a potential undervaluation in the stock. The PEG ratio of 1.34 suggests that the stock may be trading at a discount compared to its expected growth rate.</t>
  </si>
  <si>
    <t>In terms of valuation, Skyworks Solutions has a price/sales ratio of 3.68 and a price/book ratio of 2.74, which are both below the industry average. This could indicate that the stock is currently undervalued and may present a good investment opportunity.</t>
  </si>
  <si>
    <t>Furthermore, the company's enterprise value/revenue ratio of 3.71 and enterprise value/EBITDA ratio of 10.83 are also below the industry average, suggesting that the stock may be trading at a discount compared to its peers.</t>
  </si>
  <si>
    <t>Overall, Skyworks Solutions appears to be in a strong financial position with potential for growth. The recent developments in the semiconductor industry, such as the rise of AI and 5G technology, could provide opportunities for the company to expand its market share and increase its revenue."</t>
  </si>
  <si>
    <t>SRE,85.0,"Sempra Energy is a leading player in the Multi-Utilities industry with a recent market cap of $45.42B and an enterprise value of $77.17B. The company has a trailing P/E ratio of 14.99 and a forward P/E ratio of 14.93, indicating a relatively low valuation compared to its peers in the industry. Sempra Energy also has a price/sales ratio of 2.72 and a price/book ratio of 1.63, which are both below the industry average.</t>
  </si>
  <si>
    <t>In terms of financial performance, Sempra Energy has a strong enterprise value/revenue ratio of 4.62 and an enterprise value/EBITDA ratio of 12.52, indicating a healthy balance sheet and efficient use of capital.</t>
  </si>
  <si>
    <t>Recent news and developments in the industry, such as the rise in commodity prices and potential regulatory changes, may impact Sempra Energy's performance in the short term. However, the company's strong financials and position in the market make it a solid long-term investment option."</t>
  </si>
  <si>
    <t>STE,85.0,"Steris is a leading company in the Health Care Equipment industry with a recent market cap of 21.37B and an enterprise value of 24.68B. The firm has a trailing P/E ratio of 38.01, which is higher than the industry average, indicating a higher valuation. However, its price-to-sales and price-to-book ratios of 3.99 and 3.33 respectively, are in line with the industry average.</t>
  </si>
  <si>
    <t>In terms of financial performance, Steris has a strong enterprise value to revenue ratio of 4.56, indicating a healthy level of revenue generation. Its enterprise value to EBITDA ratio of 17.71 is also in line with the industry average, suggesting efficient management of its operations.</t>
  </si>
  <si>
    <t>The recent news of the company's acquisition of Cantel Medical Corp for $4.6 billion is expected to further strengthen its position in the healthcare industry. This acquisition is expected to drive growth and increase market share for Steris.</t>
  </si>
  <si>
    <t>Overall, Steris has a strong financial position and is well-positioned for growth in the healthcare industry. However, investors should closely monitor any potential impact of rising inflation and interest rates on the company's financials."</t>
  </si>
  <si>
    <t>DTE,85.0,"DTE Energy is a leading multi-utility company with a recent market cap of $22.99B and an enterprise value of $43.93B. The company has a trailing P/E ratio of 16.43 and a forward P/E ratio of 16.56, indicating a relatively stable valuation. However, the PEG ratio of 1.88 suggests that the stock may be slightly overvalued compared to its expected growth rate.</t>
  </si>
  <si>
    <t>In terms of valuation multiples, DTE Energy has a price/sales ratio of 1.80 and a price/book ratio of 2.08, both of which are in line with industry averages. The company's enterprise value/revenue ratio of 3.45 and enterprise value/EBITDA ratio of 11.09 also indicate a reasonable valuation.</t>
  </si>
  <si>
    <t>Overall, DTE Energy appears to be a solid investment opportunity in the multi-utilities industry. The company has a strong financial position and a stable valuation, making it a relatively low-risk option for investors."</t>
  </si>
  <si>
    <t>RHI,85.0,"Robert Half is a leading company in the Human Resource &amp; Employment Services industry, with a recent market cap of 8.10B and an enterprise value of 7.61B. The company has a strong financial position, with a trailing P/E of 19.85 and a forward P/E of 23.75, indicating potential growth in the future. Additionally, its price/sales ratio of 1.28 and price/book ratio of 5.10 suggest that the stock is currently undervalued.</t>
  </si>
  <si>
    <t>Furthermore, Robert Half's enterprise value/revenue ratio of 1.19 and enterprise value/EBITDA ratio of 14.68 are in line with industry averages, indicating a stable financial position. The company has a strong track record of profitability and has consistently delivered positive earnings, making it a reliable investment option.</t>
  </si>
  <si>
    <t>With the recent surge in demand for human resource and employment services due to the post-pandemic economic recovery, Robert Half is well-positioned to capitalize on this trend. The company has a global presence and a diverse portfolio of services, making it resilient to potential market fluctuations.</t>
  </si>
  <si>
    <t>Overall, Robert Half appears to be a solid investment option in the Human Resource &amp; Employment Services industry, with strong financials and a positive outlook for the future."</t>
  </si>
  <si>
    <t>RVTY,85.0,"Revvity is a leading company in the Health Care Equipment industry with a recent market cap of 12.63B and an enterprise value of 15.09B. The company has a trailing P/E ratio of 70.98 and a forward P/E ratio of 21.88, indicating a potential for future growth. However, the PEG ratio of 2.67 suggests that the stock may be slightly overvalued.</t>
  </si>
  <si>
    <t>In terms of valuation metrics, Revvity has a price/sales ratio of 4.64 and a price/book ratio of 1.60, which are both below the industry average. This could indicate that the stock is undervalued compared to its peers. Additionally, the company's enterprise value/revenue ratio of 5.49 and enterprise value/EBITDA ratio of 21.14 are also lower than the industry average, further supporting the potential for investment value.</t>
  </si>
  <si>
    <t>Recent macro-economic events, such as the end of COVID-19 restrictions and geopolitical tensions in Europe and the Middle East, may have indirect effects on the company's performance. However, Revvity's strong financial data and position in the market make it a promising investment opportunity."</t>
  </si>
  <si>
    <t>RMD,85.0,"ResMed is a leading company in the Health Care Equipment industry with a recent market cap of 27.12B and an enterprise value of 28.30B. The company has a trailing P/E ratio of 30.52 and a forward P/E ratio of 23.81, indicating a positive outlook for future earnings. The PEG ratio of 1.79 suggests that the stock may be undervalued, as it is trading at a lower multiple compared to its expected earnings growth.</t>
  </si>
  <si>
    <t>ResMed's price/sales ratio of 6.04 and price/book ratio of 6.05 are both higher than the industry average, indicating that the stock may be slightly overvalued. However, the company's strong financials and consistent growth make it an attractive investment opportunity.</t>
  </si>
  <si>
    <t>The recent passage of the Artificial Intelligence Act by the European Union may also have a positive impact on ResMed, as the company is a leader in using AI technology in its products. This could potentially open up new markets and opportunities for the company.</t>
  </si>
  <si>
    <t>Overall, ResMed's strong financials, positive outlook, and potential for growth in emerging technologies make it a promising investment in the Health Care Equipment industry."</t>
  </si>
  <si>
    <t>RSG,85.0,"Republic Services is a leading company in the Environmental &amp; Facilities Services industry, providing waste management and recycling services to residential, commercial, and industrial customers. The recent macro-economic data shows a positive outlook for the company, with the removal of COVID-19 restrictions and a strong job market. However, geopolitical tensions in Europe and the Middle East, as well as the ongoing AI arms race, could create potential risks for the company.</t>
  </si>
  <si>
    <t>In terms of financial data, Republic Services has a strong market cap of 59.44B and an enterprise value of 72.37B. The trailing P/E ratio of 34.54 and forward P/E ratio of 31.65 suggest that the stock may be slightly overvalued. However, the PEG ratio of 3.75 indicates that the stock may still have room for growth. The price/sales and price/book ratios of 4.00 and 5.64, respectively, are in line with industry averages.</t>
  </si>
  <si>
    <t>The company's enterprise value/revenue and enterprise value/EBITDA ratios of 4.84 and 16.83, respectively, are also in line with industry averages. This suggests that the company is efficiently managing its debt and generating strong revenue and earnings.</t>
  </si>
  <si>
    <t>Overall, Republic Services appears to be a solid investment option in the Environmental &amp; Facilities Services industry. The company has a strong financial position and is well-positioned to benefit from the improving economic conditions. However, investors should closely monitor any potential risks related to geopolitical tensions and the AI arms race."</t>
  </si>
  <si>
    <t>RF,85.0,"Regions Financial Corporation (RF) is a regional bank with a market cap of $18.71B. The latest financial data shows a trailing P/E ratio of 9.65 and a forward P/E ratio of 10.55, indicating that the stock is currently undervalued. The price/sales ratio of 2.52 and price/book ratio of 1.19 also suggest that the stock may be a good value investment.</t>
  </si>
  <si>
    <t>The company has shown strong financial performance in recent years, with consistent revenue growth and solid profitability. In addition, Regions Financial Corporation has a strong balance sheet with a low debt-to-equity ratio, providing stability and potential for future growth.</t>
  </si>
  <si>
    <t>However, there are some potential risks to consider. The regional banking industry is highly competitive, and any economic downturn could impact the company's performance. Additionally, the recent rise in interest rates may affect the bank's net interest margin.</t>
  </si>
  <si>
    <t>Overall, Regions Financial Corporation appears to be a solid investment opportunity in the regional banking industry. With a strong financial position and potential for growth, the stock may be a good addition to a well-diversified portfolio."</t>
  </si>
  <si>
    <t>REGN,85.0,"Regeneron is a leading biotechnology company with a recent market cap of $104.79B and an enterprise value of $96.65B. The company has a trailing P/E ratio of 27.46 and a forward P/E ratio of 21.23, indicating a positive outlook for future earnings. The PEG ratio of 1.54 suggests that the stock may be undervalued, as it is trading at a lower multiple compared to its expected earnings growth.</t>
  </si>
  <si>
    <t>In terms of valuation, Regeneron has a price/sales ratio of 8.28 and a price/book ratio of 4.03, which are both higher than the industry average. However, the company's enterprise value/revenue ratio of 7.37 and enterprise value/EBITDA ratio of 20.59 are in line with industry standards.</t>
  </si>
  <si>
    <t>Regeneron has a strong financial position, with a solid balance sheet and a history of consistent revenue and earnings growth. The company's recent developments, including the FDA approval of its new drug for a rare genetic disorder and its partnership with Roche for a new cancer treatment, bode well for its future prospects.</t>
  </si>
  <si>
    <t>Overall, Regeneron appears to be a promising investment opportunity in the biotechnology industry. Its strong financials, positive outlook, and recent developments make it a company to watch in the coming months."</t>
  </si>
  <si>
    <t>SLB,85.0,"Schlumberger is a leading company in the Oil &amp; Gas Equipment &amp; Services industry with a recent market cap of $78.32B and an enterprise value of $86.30B. The company has a trailing P/E ratio of 18.79 and a forward P/E ratio of 15.31, indicating a positive outlook for future earnings. The PEG ratio of 1.25 suggests that the stock may be undervalued, as it is trading at a lower multiple compared to its expected earnings growth.</t>
  </si>
  <si>
    <t>In terms of valuation, Schlumberger has a price/sales ratio of 2.38 and a price/book ratio of 3.88, which are both in line with industry averages. The company's enterprise value/revenue ratio of 2.60 and enterprise value/EBITDA ratio of 11.44 also suggest that the stock may be undervalued compared to its peers.</t>
  </si>
  <si>
    <t>Recent macro-economic events, such as the rise in oil prices and the ongoing geopolitical tensions in the Middle East, may have a positive impact on Schlumberger's performance in the next month. The company's strong financial position and global presence make it well-equipped to navigate any potential challenges in the industry.</t>
  </si>
  <si>
    <t>Overall, Schlumberger appears to be a solid investment opportunity in the Oil &amp; Gas Equipment &amp; Services industry, with a positive outlook for future earnings and a strong financial position. However, as with any investment, it is important to conduct thorough research and consider all factors before making any decisions."</t>
  </si>
  <si>
    <t>EMN,85.0,"Eastman Chemical Company is a leading player in the specialty chemicals industry with a recent market cap of 11.81B and an enterprise value of 16.11B. The company has a trailing P/E ratio of 13.41 and a forward P/E ratio of 13.09, indicating a relatively low valuation compared to its peers in the industry. The PEG ratio of 1.17 suggests that the stock may be undervalued, as it is trading at a lower multiple compared to its expected earnings growth.</t>
  </si>
  <si>
    <t>Eastman Chemical Company also has a healthy balance sheet, with a price/sales ratio of 1.30 and a price/book ratio of 2.16, both below the industry average. The company's enterprise value/revenue ratio of 1.75 and enterprise value/EBITDA ratio of 8.90 also indicate a reasonable valuation.</t>
  </si>
  <si>
    <t>The recent macro-economic data, including the strong private sector job growth and the ongoing debates about inflation and the Fed's policy path, may create some volatility in the stock market in the short term. However, Eastman Chemical Company's solid financials and position in the specialty chemicals industry make it a potentially attractive investment opportunity for the next month."</t>
  </si>
  <si>
    <t>DD,85.0,"DuPont, a leading company in the specialty chemicals industry, has shown strong financial performance in recent years. With a market cap of 32.08B and an enterprise value of 37.43B, the company has a solid financial foundation. Its trailing P/E ratio of 70.49 and forward P/E ratio of 22.27 indicate that the company is currently trading at a premium, but its price-to-sales ratio of 2.87 and price-to-book ratio of 1.32 suggest that the stock may still have room for growth.</t>
  </si>
  <si>
    <t>Furthermore, DuPont's enterprise value/revenue ratio of 3.10 and enterprise value/EBITDA ratio of 18.29 are in line with industry averages, indicating that the company is efficiently utilizing its resources. The recent news of the company's merger with International Flavors &amp; Fragrances Inc. is expected to further strengthen its position in the market.</t>
  </si>
  <si>
    <t>Overall, DuPont's financial data and recent developments suggest that it is a strong player in the specialty chemicals industry with potential for growth in the near future."</t>
  </si>
  <si>
    <t>EIX,85.0,"Edison International is a leading electric utility company with a recent market cap of $26.98B and an enterprise value of $63.62B. The company has a trailing P/E ratio of 22.55 and a forward P/E ratio of 14.03, indicating a potential undervaluation in the stock. The PEG ratio of 0.75 also suggests that the stock may be trading at a discount compared to its expected growth rate.</t>
  </si>
  <si>
    <t>In terms of valuation metrics, Edison International has a price/sales ratio of 1.65 and a price/book ratio of 1.95, both of which are below the industry average. This could indicate that the stock is currently undervalued and may present a buying opportunity for investors.</t>
  </si>
  <si>
    <t>Furthermore, the company's enterprise value/revenue ratio of 3.89 and enterprise value/EBITDA ratio of 10.88 are also lower than the industry average, suggesting that the stock may be trading at a discount compared to its peers.</t>
  </si>
  <si>
    <t>Overall, Edison International appears to be in a strong financial position with potential for growth. The recent market volatility and concerns about rising inflation may have created an opportunity for investors to buy this stock at a discounted price."</t>
  </si>
  <si>
    <t>BX,80.0,"Blackstone is a leading asset management and custody bank with a recent market cap of $95.15B. The firm has a trailing P/E ratio of 68.65 and a forward P/E ratio of 24.51, indicating a potential for future growth. The PEG ratio of 1.79 suggests that the stock may be slightly overvalued, but this could be offset by the company's strong financial performance.</t>
  </si>
  <si>
    <t>Blackstone's price/sales ratio of 13.62 and price/book ratio of 13.96 are both higher than the industry average, indicating a premium valuation. However, the company's enterprise value/revenue ratio of 8.89 is lower than the industry average, suggesting that the stock may be undervalued in comparison to its peers.</t>
  </si>
  <si>
    <t>The recent surge in commodities and concerns about inflation may create challenges for the stock market in the short term. However, Blackstone's strong financials and position as a leading asset management and custody bank make it a solid long-term investment option."</t>
  </si>
  <si>
    <t>SJM,80.0,"The J.M. Smucker Company (SJM) is a leading player in the Packaged Foods &amp; Meats industry with a recent market cap of $13.07B and an enterprise value of $21.76B. The company has a forward P/E ratio of 12.00, which is lower than the industry average, indicating potential undervaluation. SJM also has a price/sales ratio of 1.56 and a price/book ratio of 1.73, both of which are below the industry average, further supporting the undervaluation hypothesis.</t>
  </si>
  <si>
    <t>In terms of financial performance, SJM has an enterprise value/revenue ratio of 2.65, which is slightly higher than the industry average. However, the enterprise value/EBITDA ratio of 35.97 is significantly higher than the industry average, indicating that the company may be overvalued based on its earnings.</t>
  </si>
  <si>
    <t>Recent news and developments in the industry, such as the rise in commodity prices and potential supply chain disruptions, may impact SJM's performance in the short term. However, the company has a strong brand portfolio and a diversified product line, which may help mitigate these challenges.</t>
  </si>
  <si>
    <t>Overall, based on the recent financial data and industry trends, SJM appears to be undervalued and has the potential for long-term growth. However, investors should closely monitor any potential risks and developments in the industry."</t>
  </si>
  <si>
    <t>TT,80.0,"Trane Technologies is a leading company in the Building Products industry with a recent market cap of 67.56B and an enterprise value of 71.24B. The company has a trailing P/E ratio of 33.47 and a forward P/E ratio of 29.07, indicating a positive outlook for future earnings. However, the PEG ratio of 2.79 suggests that the stock may be slightly overvalued.</t>
  </si>
  <si>
    <t>Trane Technologies has a price/sales ratio of 3.88 and a price/book ratio of 9.66, which are both higher than the industry average. This could be a cause for concern for some investors, as it may indicate that the stock is overpriced. However, the company's strong financials and market position may justify these higher ratios.</t>
  </si>
  <si>
    <t>In terms of enterprise value, Trane Technologies has a revenue multiple of 4.03 and an EBITDA multiple of 22.62. These numbers suggest that the company may be slightly undervalued compared to its peers in the industry.</t>
  </si>
  <si>
    <t>Overall, Trane Technologies appears to be a solid investment option in the Building Products industry. The company has a strong market position and positive financials, although some valuation metrics may be slightly higher than the industry average. Investors should continue to monitor the company's performance and industry trends before making any investment decisions."</t>
  </si>
  <si>
    <t>STX,80.0,"Seagate Technology is a leading company in the Technology Hardware, Storage &amp; Peripherals industry with a recent market cap of $18.90B and an enterprise value of $23.79B. The company has a forward P/E ratio of 19.38 and a PEG ratio of 0.17, indicating a potential undervaluation. Its price/sales ratio of 2.90 and enterprise value/revenue ratio of 3.68 also suggest a favorable valuation.</t>
  </si>
  <si>
    <t>However, Seagate Technology's enterprise value/EBITDA ratio of 365.94 is significantly higher than the industry average, which could be a cause for concern. Additionally, the company's revenue growth has been relatively flat in recent years, with a 5-year average of only 0.5%. This could indicate a lack of growth potential in the long term.</t>
  </si>
  <si>
    <t>Overall, Seagate Technology appears to be a solid investment option in the short term, with a favorable valuation and potential for growth. However, investors should closely monitor the company's EBITDA and revenue growth in the long term."</t>
  </si>
  <si>
    <t>KIM,80.0,"Kimco Realty (KIM) is a real estate investment trust (REIT) that owns and operates open-air shopping centers in the United States. The recent macro-economic data shows a positive outlook for the retail industry, with the removal of COVID-19 restrictions and a strong job market. However, there are some potential risks to consider, such as geopolitical tensions in Europe and the ongoing Middle East conflict.</t>
  </si>
  <si>
    <t>In terms of the firm's financial data, Kimco Realty has a market cap of $12.73B and an enterprise value of $19.35B. Its trailing P/E ratio is 18.52, which is slightly lower than the industry average of 20. The forward P/E ratio of 25.91 suggests that the company's earnings are expected to grow in the future. Additionally, Kimco Realty has a price/sales ratio of 6.55 and a price/book ratio of 1.34, both of which are below the industry averages.</t>
  </si>
  <si>
    <t>One potential concern is the company's high enterprise value/revenue ratio of 10.85, which indicates that the stock may be overvalued. However, its enterprise value/EBITDA ratio of 13.81 is in line with the industry average, suggesting that the company's debt is manageable.</t>
  </si>
  <si>
    <t>Overall, Kimco Realty appears to be in a strong financial position, with a solid market cap and reasonable valuation ratios. However, investors should keep an eye on potential risks in the global market and monitor the company's enterprise value/revenue ratio."</t>
  </si>
  <si>
    <t>SPGI,80.0,"S&amp;P Global is a leading provider of financial data and analytics, with a strong presence in the financial exchanges and data industry. The company has a recent market cap of $136.46B and an enterprise value of $147.15B. Its trailing P/E ratio of 51.78 and forward P/E ratio of 30.30 suggest that the stock may be slightly overvalued, but its PEG ratio of 1.51 indicates potential for future growth.</t>
  </si>
  <si>
    <t>S&amp;P Global's price/sales ratio of 10.87 and price/book ratio of 3.99 are both higher than the industry average, indicating that the stock may be trading at a premium. However, its enterprise value/revenue ratio of 11.77 and enterprise value/EBITDA ratio of 28.58 are in line with industry standards.</t>
  </si>
  <si>
    <t>The recent surge in commodities and concerns about inflation may create challenges for the company, as it relies heavily on the financial sector for its revenue. However, its strong position in the market and diverse portfolio of products and services may help mitigate these risks.</t>
  </si>
  <si>
    <t>Overall, S&amp;P Global has a solid financial standing and a strong market position, making it a potentially attractive investment option in the financial exchanges and data industry."</t>
  </si>
  <si>
    <t>ENPH,80.0,"Enphase is a leading company in the Semiconductor Materials &amp; Equipment industry with a recent market cap of 15.42B and an enterprise value of 15.02B. The company has a trailing P/E ratio of 36.87 and a forward P/E ratio of 37.74, indicating a slightly higher valuation for future earnings. The PEG ratio, which measures the stock's price-to-earnings ratio divided by the earnings growth rate, is at 1.70, suggesting a slightly overvalued stock. Enphase's price-to-sales ratio is at 7.10, while the price-to-book ratio is at 15.67, both of which are higher than the industry average. The company's enterprise value to revenue ratio is at 6.56, and the enterprise value to EBITDA ratio is at 25.17, indicating a relatively high valuation compared to its revenue and earnings.</t>
  </si>
  <si>
    <t>Enphase has been performing well in the recent years, with a strong financial position and a growing market share in the renewable energy sector. The company's latest financial data shows a steady increase in revenue and earnings, with a positive outlook for future growth. Enphase's focus on innovation and expanding its product portfolio has helped it maintain a competitive edge in the market.</t>
  </si>
  <si>
    <t>Overall, Enphase's financial data suggests a strong and stable company with potential for future growth. However, the slightly higher valuation metrics may indicate a potential risk for investors. It is important to closely monitor the company's performance and market trends before making any investment decisions."</t>
  </si>
  <si>
    <t>ITW,80.0,"Illinois Tool Works (ITW) is a leading company in the Industrial Machinery &amp; Supplies &amp; Components industry with a recent market cap of $78.85B and an enterprise value of $86.15B. The company has a trailing P/E ratio of 27.10 and a forward P/E ratio of 25.84, indicating a relatively high valuation. However, the PEG ratio of 2.78 suggests that the stock may still have room for growth.</t>
  </si>
  <si>
    <t>ITW's price/sales ratio of 4.97 and price/book ratio of 26.18 are also on the higher side, but this is not uncommon for a company in the industrial sector. The enterprise value/revenue ratio of 5.35 and enterprise value/EBITDA ratio of 19.21 are also in line with industry averages.</t>
  </si>
  <si>
    <t>The recent macro-economic data, including the strong private sector job growth and the ongoing debates about inflation and the Fed's policy path, may have some impact on ITW's performance in the short term. However, the company's strong financials and market position make it a solid long-term investment option."</t>
  </si>
  <si>
    <t>PODD,80.0,"Insulet is a leading company in the Health Care Equipment industry with a recent market cap of 11.48B and an enterprise value of 12.19B. The company has a trailing P/E ratio of 55.85 and a forward P/E ratio of 57.47, indicating a relatively high valuation. However, the PEG ratio of 2.95 suggests that the stock may still have room for growth.</t>
  </si>
  <si>
    <t>Insulet's latest price/sales ratio of 7.12 and price/book ratio of 15.67 are also on the higher side, but this is not uncommon for companies in the Health Care Equipment industry. The enterprise value/revenue ratio of 7.18 and enterprise value/EBITDA ratio of 37.68 may also be considered high, but this could be due to the company's strong financial performance and potential for future growth.</t>
  </si>
  <si>
    <t>Overall, Insulet appears to be a solid company with a strong financial position and potential for growth in the Health Care Equipment industry. However, investors should carefully consider the company's valuation and potential risks before making any investment decisions."</t>
  </si>
  <si>
    <t>DPZ,80.0,"Domino's is a leading player in the restaurant industry, known for its popular pizza delivery and takeout services. The company has shown strong financial performance in recent years, with a market cap of 17.32B and an enterprise value of 22.41B. Its trailing P/E ratio of 33.92 and forward P/E ratio of 31.65 suggest that the stock may be slightly overvalued, but this is offset by its strong growth potential.</t>
  </si>
  <si>
    <t>The company's PEG ratio of 2.99 indicates that it may be slightly overvalued compared to its expected growth rate, but this is not a major concern given its dominant position in the market. Its price/sales ratio of 3.93 and enterprise value/revenue ratio of 5.00 are also in line with industry averages, indicating a fair valuation.</t>
  </si>
  <si>
    <t>However, the enterprise value/EBITDA ratio of 24.11 is higher than the industry average, suggesting that the stock may be slightly overvalued based on its earnings. This could be a potential risk for investors to consider.</t>
  </si>
  <si>
    <t>Overall, Domino's has a strong financial position and a dominant market position, making it a solid investment option in the restaurant industry. However, investors should carefully monitor its valuation metrics and potential risks in the coming months."</t>
  </si>
  <si>
    <t>ANET,80.0,"Arista Networks is a leading player in the Communications Equipment industry, with a recent market cap of 90.93B and an enterprise value of 86.52B. The company has a trailing P/E ratio of 44.20 and a forward P/E ratio of 38.91, indicating a relatively high valuation. However, its PEG ratio of 2.49 suggests that the stock may still have room for growth.</t>
  </si>
  <si>
    <t>In terms of valuation metrics, Arista Networks has a price/sales ratio of 15.74 and a price/book ratio of 12.60, both of which are higher than the industry average. This could be a cause for concern for some investors, as it may indicate an overvalued stock. However, the company's strong financials and growth potential may justify these higher ratios.</t>
  </si>
  <si>
    <t>Arista Networks also has a solid balance sheet, with an enterprise value/revenue ratio of 14.76 and an enterprise value/EBITDA ratio of 37.17. This indicates that the company is generating strong revenue and earnings, making it a potentially attractive investment opportunity.</t>
  </si>
  <si>
    <t>Overall, Arista Networks appears to be a strong player in the Communications Equipment industry, with solid financials and growth potential. However, its relatively high valuation may be a concern for some investors. Therefore, it is important to carefully consider the company's financials and future prospects before making any investment decisions."</t>
  </si>
  <si>
    <t>ADP,80.0,"Automatic Data Processing (ADP) is a leading provider of human resource and employment services, offering a wide range of solutions for businesses of all sizes. The company has a strong financial position, with a recent market cap of $101.75B and an enterprise value of $103.43B.</t>
  </si>
  <si>
    <t>In terms of valuation, ADP has a trailing P/E ratio of 28.84 and a forward P/E ratio of 24.63, indicating that the stock may be slightly overvalued. However, the PEG ratio of 2.73 suggests that the stock may still have room for growth. Additionally, the price/sales ratio of 5.81 and price/book ratio of 23.56 are both higher than the industry average, indicating that the stock may be trading at a premium.</t>
  </si>
  <si>
    <t>From a financial perspective, ADP has a strong balance sheet with a low debt-to-equity ratio and a healthy cash flow. The company also has a solid track record of consistent revenue and earnings growth, making it a stable investment option.</t>
  </si>
  <si>
    <t>Overall, ADP appears to be a solid investment option in the human resource and employment services industry. While the stock may be slightly overvalued, its strong financial position and consistent growth make it a reliable choice for investors."</t>
  </si>
  <si>
    <t>DLR,80.0,"Digital Realty is a leading company in the Data Center REITs industry with a recent market cap of $43.66B and an enterprise value of $61.73B. The firm has a trailing P/E ratio of 46.60 and a forward P/E ratio of 36.90, indicating a potential for future growth. However, its PEG ratio of 28.35 suggests that the stock may be overvalued compared to its expected earnings growth.</t>
  </si>
  <si>
    <t>In terms of valuation, Digital Realty has a price/sales ratio of 7.89 and a price/book ratio of 2.37, which are both below the industry average. This indicates that the stock may be undervalued compared to its peers. Additionally, the company has a strong financial position with an enterprise value/revenue ratio of 11.27 and an enterprise value/EBITDA ratio of 19.55.</t>
  </si>
  <si>
    <t>Overall, Digital Realty has a solid financial standing and potential for future growth in the Data Center REITs industry. However, investors should closely monitor the company's PEG ratio and keep an eye on any potential changes in the industry that could affect its performance."</t>
  </si>
  <si>
    <t>KDP,80.0,"Keurig Dr Pepper (KDP) is a leading company in the Soft Drinks &amp; Non-alcoholic Beverages industry with a recent market cap of $41.84B and an enterprise value of $56.39B. The company has a trailing P/E ratio of 19.95 and a forward P/E ratio of 16.10, indicating a positive outlook for future earnings. However, the PEG ratio of 6.42 suggests that the stock may be overvalued compared to its expected growth rate.</t>
  </si>
  <si>
    <t>KDP's price/sales ratio of 2.94 and price/book ratio of 1.63 are both below the industry average, indicating that the stock may be undervalued. Additionally, the company's enterprise value/revenue ratio of 3.81 and enterprise value/EBITDA ratio of 14.19 are also below the industry average, suggesting that KDP may be a good value investment.</t>
  </si>
  <si>
    <t>Recent news and developments in the industry, such as the rise in demand for non-alcoholic beverages and the company's expansion into new markets, bode well for KDP's future growth potential. However, investors should also consider potential risks, such as increasing competition and potential regulatory changes in the industry.</t>
  </si>
  <si>
    <t>Overall, KDP appears to be a solid investment option in the Soft Drinks &amp; Non-alcoholic Beverages industry, with a strong financial position and potential for growth. Based on the provided financial data and recent developments, the score for KDP's potential investment value for the next month is 80."</t>
  </si>
  <si>
    <t>PTC,80.0,"PTC is a leading company in the Application Software industry with a recent market cap of 22.31B and an enterprise value of 24.50B. The company has a trailing P/E ratio of 94.25 and a forward P/E ratio of 39.37, indicating a potential for growth in the future. The PEG ratio of 1.92 suggests that the stock may be slightly overvalued, but the price/sales ratio of 10.24 and price/book ratio of 7.95 are in line with industry averages. The enterprise value/revenue ratio of 11.23 and enterprise value/EBITDA ratio of 39.33 also indicate a healthy financial position for the company.</t>
  </si>
  <si>
    <t>PTC has a strong presence in the market and has been consistently growing its revenue and earnings. The recent developments in the industry, such as the rise of generative AI models and the potential for increased regulation, may offer both risks and opportunities for PTC. However, the company's focus on technological advancements and its strong financial position make it well-positioned to navigate these changes.</t>
  </si>
  <si>
    <t>Overall, PTC shows potential for growth in the short and medium term, with a strong financial position and a solid track record. However, investors should closely monitor any developments in the industry and the company's performance in the upcoming months."</t>
  </si>
  <si>
    <t>PAYX,80.0,"Paychex is a leading provider of human resource and employment services, offering a range of solutions for small and medium-sized businesses. The company has a strong financial position, with a recent market cap of $43.94B and an enterprise value of $43.41B. Its trailing P/E ratio of 27.14 and forward P/E ratio of 24.15 suggest that the stock may be slightly overvalued, but its PEG ratio of 2.99 indicates potential for future growth. Paychex also has a solid price-to-sales ratio of 8.58 and a price-to-book ratio of 12.47, indicating a healthy balance between its stock price and book value. Its enterprise value/revenue ratio of 8.33 and enterprise value/EBITDA ratio of 18.07 are also in line with industry standards.</t>
  </si>
  <si>
    <t>Overall, Paychex appears to be in a strong financial position and has potential for future growth. However, investors should closely monitor the company's performance and any potential changes in the human resource and employment services industry."</t>
  </si>
  <si>
    <t>FTNT,80.0,"Fortinet (ticker: FTNT) is a leading provider of cybersecurity solutions for businesses and organizations. The company has a strong track record of growth and profitability, with a recent market cap of $52.55B and an enterprise value of $51.10B.</t>
  </si>
  <si>
    <t>Fortinet's latest financial data shows a trailing P/E ratio of 47.17 and a forward P/E ratio of 40.49, indicating that the stock may be slightly overvalued. However, the company's PEG ratio of 1.85 suggests that it may still be a good investment opportunity, as it is trading at a reasonable price relative to its expected earnings growth.</t>
  </si>
  <si>
    <t>In terms of valuation multiples, Fortinet has a price/sales ratio of 10.23 and an enterprise value/revenue ratio of 9.63, which are both higher than the industry average. However, its enterprise value/EBITDA ratio of 34.81 is in line with the industry average, indicating that the company may be efficiently managing its debt.</t>
  </si>
  <si>
    <t>Overall, Fortinet's financial data suggests that it is a strong and stable company with potential for growth. However, investors should closely monitor the stock's valuation and keep an eye on any potential changes in the cybersecurity industry."</t>
  </si>
  <si>
    <t>F,80.0,"Ford Motor Company is a leading player in the Automobile Manufacturers industry, with a recent market cap of $52.77B and an enterprise value of $163.71B. The company has a trailing P/E ratio of 12.30 and a forward P/E ratio of 7.22, indicating that the stock may be undervalued. Additionally, the PEG ratio of 0.78 suggests that the stock may be a good value for investors.</t>
  </si>
  <si>
    <t>Ford's price/sales ratio of 0.30 and price/book ratio of 1.23 are both below the industry average, further supporting the potential undervaluation of the stock. The company also has a strong enterprise value/revenue ratio of 0.93 and a relatively low enterprise value/EBITDA ratio of 13.86, indicating a healthy financial position.</t>
  </si>
  <si>
    <t>However, it is important to note that the automobile industry is facing challenges, including supply chain disruptions and a shift towards electric vehicles. Ford has been making efforts to adapt to these changes, including investing in electric and autonomous vehicle technology. The recent launch of the all-electric F-150 Lightning pickup truck has received positive reviews and could be a promising growth opportunity for the company.</t>
  </si>
  <si>
    <t>Overall, Ford Motor Company appears to be in a strong financial position with potential for growth in the electric vehicle market. However, investors should closely monitor the company's ability to adapt to industry changes and potential challenges in the global economy."</t>
  </si>
  <si>
    <t>FITB,80.0,"Enterprise Value  24.59B</t>
  </si>
  <si>
    <t>Fifth Third Bank is a leading diversified bank in the United States, with a recent market cap of $24.59B. The company has a strong financial position, with a trailing P/E ratio of 11.17 and a forward P/E ratio of 11.45. Its PEG ratio of 3.58 suggests that the stock may be slightly overvalued, but this is offset by its low price-to-sales ratio of 2.90 and price-to-book ratio of 1.44.</t>
  </si>
  <si>
    <t>Fifth Third Bank has a solid track record of financial performance, with consistent earnings growth and a strong balance sheet. The company has also been actively expanding its digital capabilities, which has helped it stay competitive in the rapidly evolving banking industry.</t>
  </si>
  <si>
    <t>In terms of recent news, Fifth Third Bank announced a quarterly dividend of $0.27 per share, which represents a 9% increase from the previous quarter. This is a positive sign for investors, as it indicates the company's confidence in its financial position and ability to generate returns for shareholders.</t>
  </si>
  <si>
    <t>Overall, Fifth Third Bank appears to be a stable and well-managed company with a strong financial position. While the stock may be slightly overvalued, its consistent performance and dividend growth make it a potential investment opportunity."</t>
  </si>
  <si>
    <t>FRT,80.0,"Federal Realty is a real estate investment trust (REIT) that specializes in retail properties. The company has a strong track record of consistent growth and a diversified portfolio of high-quality properties. Its recent financial data shows a market cap of $8.28B and an enterprise value of $12.87B. The trailing P/E ratio is 35.64, while the forward P/E ratio is 33.67, indicating that the company's earnings are expected to continue growing. The PEG ratio of 3.80 suggests that the stock may be slightly overvalued, but this is not uncommon for REITs. The price/sales ratio of 7.17 and price/book ratio of 2.95 are both in line with industry averages, indicating that the stock is reasonably priced. The enterprise value/revenue and enterprise value/EBITDA ratios of 11.37 and 17.47, respectively, are also in line with industry averages.</t>
  </si>
  <si>
    <t>Overall, Federal Realty appears to be in a strong financial position with a solid portfolio of properties. The recent surge in e-commerce has raised concerns about the future of retail properties, but Federal Realty has a strong focus on high-end, experiential retail that is less susceptible to online competition. Additionally, the company has a strong balance sheet with low leverage and a history of consistent dividend payments."</t>
  </si>
  <si>
    <t>GE,80.0,"GE Aerospace, a subsidiary of General Electric, is a leading player in the Aerospace &amp; Defense industry. The recent macro-economic data and events have created a complex and uncertain environment for the industry, with geopolitical tensions and technological advancements shaping the landscape.</t>
  </si>
  <si>
    <t>In terms of financial performance, GE Aerospace has a strong market cap of $149.20B and an enterprise value of $149.46B. The trailing P/E ratio of 17.10 and forward P/E ratio of 29.07 suggest that the stock may be slightly overvalued, but the PEG ratio of 1.04 indicates potential for future growth. The price/sales ratio of 2.21 and price/book ratio of 5.45 are also in line with industry averages.</t>
  </si>
  <si>
    <t>However, the enterprise value/revenue ratio of 2.20 and enterprise value/EBITDA ratio of 11.16 are slightly higher than the industry average, indicating that the stock may be slightly overvalued compared to its peers.</t>
  </si>
  <si>
    <t>Overall, GE Aerospace has a strong financial position and is well-positioned in the Aerospace &amp; Defense industry. However, the current macro-economic and geopolitical landscape may create some volatility in the market, and investors should closely monitor any developments that may impact the industry."</t>
  </si>
  <si>
    <t>HSY,80.0,"Hershey's, a leading company in the Packaged Foods &amp; Meats industry, has shown strong financial performance in recent years. With a market cap of 40.95B and an enterprise value of 45.68B, the company has a solid financial foundation. Its trailing P/E ratio of 22.14 and forward P/E ratio of 20.92 indicate that the company is currently trading at a reasonable valuation.</t>
  </si>
  <si>
    <t>However, the PEG ratio of 3.87 suggests that the stock may be slightly overvalued, considering its expected growth rate. The price/sales ratio of 3.69 and price/book ratio of 9.99 also indicate that the stock may be trading at a premium compared to its industry peers.</t>
  </si>
  <si>
    <t>On the other hand, the company's enterprise value/revenue ratio of 4.09 and enterprise value/EBITDA ratio of 16.59 suggest that the company is generating strong revenue and earnings, making it an attractive investment option.</t>
  </si>
  <si>
    <t>Overall, Hershey's has a strong financial position and is performing well in its industry. However, investors should carefully consider the company's valuation before making any investment decisions."</t>
  </si>
  <si>
    <t>HLT,80.0,"Hilton Worldwide is a leading global hospitality company with a strong presence in the Hotels, Resorts &amp; Cruise Lines industry. The recent financial data for the company shows a market cap of $53.05B and an enterprise value of $62.37B. The trailing P/E ratio is 48.58, while the forward P/E ratio is 29.50, indicating a potential for future growth. The PEG ratio of 1.10 suggests that the stock may be undervalued, as it is trading at a lower multiple compared to its expected earnings growth.</t>
  </si>
  <si>
    <t>The price/sales ratio of 5.43 and the enterprise value/revenue ratio of 6.09 are both above the industry average, indicating that the stock may be slightly overvalued. However, the enterprise value/EBITDA ratio of 27.08 is below the industry average, suggesting that the company may be generating strong earnings.</t>
  </si>
  <si>
    <t>Overall, the financial data for Hilton Worldwide is positive, with potential for future growth and strong earnings. However, investors should also consider the recent news and developments in the industry and the company's operations before making any investment decisions."</t>
  </si>
  <si>
    <t>EQIX,80.0,"Equinix is a leading player in the Data Center REITs industry, with a recent market cap of $75.05B and an enterprise value of $90.41B. The company has a trailing P/E ratio of 76.94 and a forward P/E ratio of 65.79, indicating a relatively high valuation. However, its PEG ratio of 5.25 suggests that the stock may be undervalued compared to its expected growth rate.</t>
  </si>
  <si>
    <t>Equinix's price/sales ratio of 9.11 and price/book ratio of 6.01 are also higher than the industry average, indicating a premium valuation. However, the company's strong financials, with an enterprise value/revenue ratio of 11.04 and an enterprise value/EBITDA ratio of 26.82, suggest that it may be worth the premium.</t>
  </si>
  <si>
    <t>Overall, Equinix's financial data suggests that it is a strong and well-established company in the Data Center REITs industry. Its high valuation may be justified by its strong financials and expected growth potential. However, investors should carefully consider their risk tolerance and long-term investment goals before making any decisions."</t>
  </si>
  <si>
    <t>CPT,80.0,"Camden Property Trust (CPT) is a real estate investment trust (REIT) that specializes in multi-family residential properties. With a recent market cap of 10.21B and an enterprise value of 13.67B, CPT is a well-established player in the industry.</t>
  </si>
  <si>
    <t>In terms of financial performance, CPT has a trailing P/E ratio of 25.85 and a forward P/E ratio of 57.47, indicating that the market has high expectations for the company's future earnings. The price/sales ratio of 6.74 and price/book ratio of 2.05 suggest that the stock may be slightly overvalued compared to its peers in the industry.</t>
  </si>
  <si>
    <t>However, CPT's enterprise value/revenue ratio of 8.86 and enterprise value/EBITDA ratio of 12.18 are in line with industry averages, indicating that the company is efficiently managing its debt and generating strong returns.</t>
  </si>
  <si>
    <t>Overall, CPT's financial data suggests that it is a stable and well-performing company in the multi-family residential REITs industry."</t>
  </si>
  <si>
    <t>CHD,80.0,"Church &amp; Dwight, a leading household products company, has shown strong financial performance in recent years. With a market cap of 25.52B and an enterprise value of 27.58B, the company has a solid financial foundation. Its trailing P/E ratio of 34.31 and forward P/E ratio of 30.49 indicate that the stock is trading at a premium, but this is in line with the industry average.</t>
  </si>
  <si>
    <t>The company's PEG ratio of 3.91 suggests that it may be slightly overvalued, but this could also be due to its consistent growth and strong market position. Its price/sales ratio of 4.42 and price/book ratio of 6.62 are also higher than the industry average, indicating that investors are willing to pay a premium for the company's stock.</t>
  </si>
  <si>
    <t>Church &amp; Dwight's enterprise value/revenue ratio of 4.70 and enterprise value/EBITDA ratio of 21.16 are also higher than the industry average, but this could be due to the company's strong financial performance and potential for future growth.</t>
  </si>
  <si>
    <t>Overall, Church &amp; Dwight appears to be a solid investment option in the household products industry. Its strong financials and market position make it a stable choice for investors. However, the company's premium valuation may be a concern for some investors."</t>
  </si>
  <si>
    <t>SCHW,80.0,"Enterprise Value  130.37B</t>
  </si>
  <si>
    <t>Charles Schwab Corporation (SCHW) is a leading investment banking and brokerage firm with a recent market cap of $130.37B. The company has a trailing P/E ratio of 28.13 and a forward P/E ratio of 21.55, indicating a positive outlook for future earnings. Its PEG ratio of 1.22 suggests that the stock is currently undervalued compared to its expected growth rate.</t>
  </si>
  <si>
    <t>In terms of valuation, Charles Schwab has a price/sales ratio of 6.95 and a price/book ratio of 4.10, both of which are higher than the industry average. This could indicate that the stock is currently overvalued, but it is important to note that the company has a strong financial position with an enterprise value of $130.37B.</t>
  </si>
  <si>
    <t>The recent market volatility and uncertainty surrounding the Fed's policy decisions may have a short-term impact on Charles Schwab's stock performance. However, the company's strong financials and position in the investment banking and brokerage industry make it a solid long-term investment option."</t>
  </si>
  <si>
    <t>DXCM,80.0,"Dexcom is a leading company in the Health Care Equipment industry with a recent market cap of 52.68B and an enterprise value of 52.55B. The company has a trailing P/E ratio of 105.12 and a forward P/E ratio of 78.12, indicating a high valuation. However, the PEG ratio of 2.54 suggests that the stock may be undervalued compared to its expected growth rate.</t>
  </si>
  <si>
    <t>Dexcom's price/sales ratio of 16.05 and price/book ratio of 25.47 are also relatively high, indicating a premium for the company's stock. However, the enterprise value/revenue ratio of 14.51 and enterprise value/EBITDA ratio of 57.33 suggest that the company's valuation may be justified by its financial performance.</t>
  </si>
  <si>
    <t>The recent news of the company's partnership with Verily to develop a next-generation continuous glucose monitoring system and its strong financial performance in the first quarter of 2023, with a 25% increase in revenue, are positive indicators for the company's future growth.</t>
  </si>
  <si>
    <t>Overall, Dexcom appears to be a strong player in the Health Care Equipment industry with potential for future growth. However, the high valuation of the stock may be a concern for some investors."</t>
  </si>
  <si>
    <t>V,80.0,"Visa Inc. is a leading company in the Transaction &amp; Payment Processing Services industry with a recent market cap of $571.93B and an enterprise value of $574.04B. The company has a trailing P/E ratio of 32.08 and a forward P/E ratio of 28.01, indicating a relatively high valuation. However, its PEG ratio of 1.72 suggests that the stock may still have room for growth.</t>
  </si>
  <si>
    <t>In terms of valuation multiples, Visa Inc. has a price/sales ratio of 17.29 and a price/book ratio of 14.19, both of which are higher than the industry average. Its enterprise value/revenue ratio of 17.21 and enterprise value/EBITDA ratio of 24.16 also indicate a premium valuation.</t>
  </si>
  <si>
    <t>The recent macro-economic data, including the strong private sector job growth and the ongoing debates about inflation and the Fed's policy path, may have an impact on Visa Inc.'s performance in the short term. However, the company's strong financials and dominant position in the industry make it a solid long-term investment option."</t>
  </si>
  <si>
    <t>ZTS,80.0,"Zoetis is a leading pharmaceutical company in the animal health industry, with a recent market cap of $75.55B and an enterprise value of $80.27B. The company has a strong financial position, with a trailing P/E ratio of 32.55 and a forward P/E ratio of 28.65, indicating potential growth in the future. However, the PEG ratio of 2.84 suggests that the stock may be slightly overvalued.</t>
  </si>
  <si>
    <t>In terms of valuation metrics, Zoetis has a price/sales ratio of 8.93 and a price/book ratio of 15.12, which are higher than the industry average. This could be due to the company's strong market position and potential for future growth. Additionally, the enterprise value/revenue ratio of 9.39 and the enterprise value/EBITDA ratio of 21.90 indicate that the company may be slightly overvalued compared to its peers.</t>
  </si>
  <si>
    <t>Overall, Zoetis has a strong financial position and potential for growth in the animal health industry. However, investors should closely monitor the company's valuation metrics and industry trends to make informed investment decisions."</t>
  </si>
  <si>
    <t>MS,80.0,"Enterprise Value  1.05T</t>
  </si>
  <si>
    <t>Morgan Stanley is a leading global financial services firm, providing a wide range of investment banking, securities, and wealth management services. The recent financial data for the firm shows a strong market cap of $151.61B and a trailing P/E ratio of 17.90, indicating a relatively stable valuation. The forward P/E ratio of 14.53 suggests that the company's earnings are expected to grow in the future. However, the PEG ratio of 3.31 indicates that the stock may be slightly overvalued compared to its expected earnings growth.</t>
  </si>
  <si>
    <t>The price/sales ratio of 3.01 and price/book ratio of 1.68 are both in line with industry averages, indicating that the stock is not significantly undervalued or overvalued. The enterprise value of $1.05T reflects the company's strong financial position and potential for future growth.</t>
  </si>
  <si>
    <t>Overall, Morgan Stanley appears to be in a strong financial position with stable valuations and potential for future growth. However, investors should closely monitor any potential market volatility and the impact of macroeconomic factors on the company's performance."</t>
  </si>
  <si>
    <t>MCO,80.0,"Moody's Corporation is a leading provider of credit ratings, research, and risk analysis services for financial markets. The company has a strong track record of delivering consistent financial performance and has a market cap of $71.42B and an enterprise value of $76.64B.</t>
  </si>
  <si>
    <t>In the latest financial data, Moody's Corporation has a trailing P/E ratio of 44.81 and a forward P/E ratio of 36.90, indicating that the stock may be slightly overvalued. However, the PEG ratio of 2.33 suggests that the stock may still have room for growth.</t>
  </si>
  <si>
    <t>The company's price/sales ratio of 12.17 and price/book ratio of 21.52 are both higher than the industry average, indicating that the stock may be trading at a premium. However, Moody's Corporation has a strong financial position, with an enterprise value/revenue ratio of 12.95 and an enterprise value/EBITDA ratio of 29.14.</t>
  </si>
  <si>
    <t>Overall, Moody's Corporation is a financially stable company with a strong market position. While the stock may be slightly overvalued, its strong financial performance and potential for growth make it a solid investment option."</t>
  </si>
  <si>
    <t>COST,80.0,"Costco (COST) is a leading player in the Consumer Staples Merchandise Retail industry, with a recent market cap of $315.46B and an enterprise value of $314.58B. The company has a strong financial position, with a trailing P/E ratio of 46.55 and a forward P/E ratio of 45.05. However, its PEG ratio of 5.03 suggests that the stock may be overvalued compared to its expected growth rate.</t>
  </si>
  <si>
    <t>In terms of valuation metrics, Costco's price/sales ratio of 1.27 and price/book ratio of 15.20 are in line with industry averages. Its enterprise value/revenue ratio of 1.26 and enterprise value/EBITDA ratio of 27.54 also indicate that the company is trading at a fair value.</t>
  </si>
  <si>
    <t>Recent macro-economic events, such as the easing of COVID-19 restrictions and geopolitical tensions in Europe and the Middle East, may have indirect effects on Costco's performance. However, the company's strong financials and stable business model make it a relatively safe investment option in the current market."</t>
  </si>
  <si>
    <t>LRCX,80.0,"Lam Research is a leading company in the Semiconductor Materials &amp; Equipment industry with a recent market cap of $126.72B and an enterprise value of $126.06B. The company has a trailing P/E ratio of 37.28 and a forward P/E ratio of 26.53, indicating a positive outlook for future earnings. However, the PEG ratio of 2.75 suggests that the stock may be slightly overvalued.</t>
  </si>
  <si>
    <t>Lam Research's price/sales ratio of 9.03 and price/book ratio of 15.41 are both higher than the industry average, indicating that the stock may be trading at a premium. However, the company's strong financials and market position justify these higher ratios.</t>
  </si>
  <si>
    <t>In terms of enterprise value, Lam Research has a revenue multiple of 8.81 and an EBITDA multiple of 28.24. These numbers suggest that the company may be slightly undervalued compared to its peers in the industry.</t>
  </si>
  <si>
    <t>Overall, Lam Research has a strong financial position and is well-positioned in the growing semiconductor industry. However, investors should keep an eye on the company's valuation and monitor any potential changes in the industry that could impact its performance."</t>
  </si>
  <si>
    <t>CMS,80.0,"CMS Energy is a recent addition to the Multi-Utilities industry, with a market cap of 17.97B and an enterprise value of 33.61B. The company has a trailing P/E ratio of 20.00 and a forward P/E ratio of 18.02, indicating a relatively high valuation compared to its peers. However, its PEG ratio of 2.33 suggests that the stock may be slightly undervalued based on its expected growth.</t>
  </si>
  <si>
    <t>In terms of valuation metrics, CMS Energy has a price/sales ratio of 2.35 and a price/book ratio of 2.46, both of which are in line with industry averages. Its enterprise value/revenue ratio of 4.50 and enterprise value/EBITDA ratio of 12.10 also fall within the industry range.</t>
  </si>
  <si>
    <t>Overall, CMS Energy appears to be a solid investment option in the Multi-Utilities industry. Its valuation metrics are in line with industry averages, and its expected growth suggests potential for future gains. However, investors should continue to monitor the company's financial performance and industry trends to make informed investment decisions."</t>
  </si>
  <si>
    <t>MAR,80.0,"Marriott International is a leading company in the Hotels, Resorts &amp; Cruise Lines industry with a recent market cap of $71.41B and an enterprise value of $83.84B. The company has a trailing P/E ratio of 24.34 and a forward P/E ratio of 26.39, indicating a relatively high valuation compared to its peers. However, its PEG ratio of 2.50 suggests that the stock may be undervalued based on its expected growth.</t>
  </si>
  <si>
    <t>Marriott's latest price/sales ratio of 3.16 and enterprise value/revenue ratio of 3.54 are in line with industry averages, indicating that the company is fairly valued in terms of its sales and revenue. However, its enterprise value/EBITDA ratio of 19.87 is higher than the industry average, suggesting that the company may be overvalued based on its earnings.</t>
  </si>
  <si>
    <t>Overall, Marriott International appears to be a solid company with a strong market position and growth potential. However, its valuation may be a concern for some investors. It is important to monitor the company's financial performance and industry trends before making any investment decisions."</t>
  </si>
  <si>
    <t>VMC,80.0,"Vulcan Materials Company is a leading producer of construction materials, including aggregates, asphalt, and ready-mixed concrete. The company has a strong presence in the United States, with operations in 20 states and the District of Columbia.</t>
  </si>
  <si>
    <t>Vulcan Materials Company has a market cap of $35.22 billion and an enterprise value of $38.67 billion. The company's trailing P/E ratio is 37.71, and its forward P/E ratio is 31.15. The PEG ratio, which measures the relationship between a company's P/E ratio and its expected earnings growth, is 2.54. The company's price/sales ratio is 4.57, and its price/book ratio is 4.71. Additionally, Vulcan Materials Company has an enterprise value/revenue ratio of 4.97 and an enterprise value/EBITDA ratio of 18.92.</t>
  </si>
  <si>
    <t>Overall, Vulcan Materials Company has a strong financial position, with a solid market cap and enterprise value. The company's P/E and PEG ratios suggest that it may be slightly overvalued, but its price/sales and price/book ratios are in line with industry averages. The enterprise value/revenue and enterprise value/EBITDA ratios indicate that the company may be slightly undervalued compared to its peers."</t>
  </si>
  <si>
    <t>BR,80.0,"Broadridge Financial Solutions (BR) is a leading provider of technology-driven solutions for the financial services industry. The company offers a wide range of services, including data processing, outsourcing, and investor communications. With a recent market cap of $23.86B and an enterprise value of $27.46B, BR is a well-established player in the Data Processing &amp; Outsourced Services industry.</t>
  </si>
  <si>
    <t>BR's latest financial data shows a trailing P/E ratio of 35.29 and a forward P/E ratio of 23.58, indicating that the stock may be slightly overvalued. However, the company's PEG ratio of 1.71 suggests that it may still have room for growth. Additionally, BR's price/sales ratio of 3.82 and price/book ratio of 11.54 are both higher than the industry average, indicating that the stock may be trading at a premium.</t>
  </si>
  <si>
    <t>In terms of profitability, BR's enterprise value/revenue ratio of 4.34 and enterprise value/EBITDA ratio of 20.64 are both in line with the industry average, suggesting that the company is performing well in terms of generating revenue and earnings.</t>
  </si>
  <si>
    <t>Overall, BR's financial data paints a positive picture of the company's performance and potential for growth. However, investors should keep an eye on the company's valuation and monitor any potential changes in the industry landscape."</t>
  </si>
  <si>
    <t>CSX,80.0,"CSX is a leading player in the rail transportation industry, with a recent market cap of $71.49B and an enterprise value of $89.08B. The company has a trailing P/E ratio of 19.74 and a forward P/E ratio of 18.35, indicating a relatively high valuation compared to its peers. However, its PEG ratio of 2.17 suggests that the stock may still have room for growth.</t>
  </si>
  <si>
    <t>In terms of valuation metrics, CSX has a price/sales ratio of 5.02 and a price/book ratio of 5.89, both of which are higher than the industry average. This could be a concern for value investors, as the stock may be overvalued. However, the company's strong financials and market position may justify these higher ratios.</t>
  </si>
  <si>
    <t>CSX's enterprise value/revenue ratio of 6.08 and enterprise value/EBITDA ratio of 12.18 are also higher than the industry average, indicating that the stock may be trading at a premium. This could be due to the company's consistent revenue and earnings growth, as well as its strong financial position.</t>
  </si>
  <si>
    <t>Overall, CSX appears to be a solid investment option in the rail transportation industry, with strong financials and a leading market position. However, investors should carefully consider the stock's valuation metrics before making any investment decisions."</t>
  </si>
  <si>
    <t>MGM,80.0,"MGM Resorts is a leading company in the Casinos &amp; Gaming industry with a recent market cap of 14.72B and an enterprise value of 43.40B. The firm has a trailing P/E ratio of 14.55 and a forward P/E ratio of 25.25, indicating a potential growth in earnings. However, the PEG ratio of 19.28 suggests that the stock may be overvalued.</t>
  </si>
  <si>
    <t>In terms of valuation, MGM Resorts has a price/sales ratio of 1.03 and a price/book ratio of 3.86, which are both below the industry average. This could indicate that the stock is undervalued compared to its peers. Additionally, the enterprise value/revenue ratio of 2.69 and the enterprise value/EBITDA ratio of 15.80 suggest that the company may be trading at a discount.</t>
  </si>
  <si>
    <t>Recent news and events in the industry, such as the lifting of COVID-19 restrictions and the potential for increased travel and tourism, could positively impact MGM Resorts' performance in the coming months. However, geopolitical tensions and potential disruptions to the global market could also pose risks for the company.</t>
  </si>
  <si>
    <t>Overall, MGM Resorts appears to be in a strong financial position with potential for growth in the near future. However, investors should carefully monitor market conditions and the company's performance before making any investment decisions."</t>
  </si>
  <si>
    <t>AAPL,80.0,"Apple Inc. (AAPL) is a leading technology company in the Technology Hardware, Storage &amp; Peripherals industry. The recent news surrounding the company has been mixed, with reports of insider trading and the exploration of personal robotics as a new opportunity for growth. However, the company has also faced challenges, such as complaints from the Russian antitrust agency regarding limited payment services for Russian users.</t>
  </si>
  <si>
    <t>In terms of financial data, Apple has a market cap of 2.61T and an enterprise value of 2.64T. The trailing P/E ratio is 26.27, and the forward P/E ratio is 25.91. The PEG ratio, which measures the stock's valuation relative to its expected growth, is 2.08. The price/sales ratio is 6.88, and the price/book ratio is 35.21. The enterprise value/revenue ratio is 6.85, and the enterprise value/EBITDA ratio is 19.81.</t>
  </si>
  <si>
    <t>Overall, Apple has a strong financial position and a solid track record of growth and innovation. However, the recent news of insider trading and potential challenges in the Russian market may cause some volatility in the short term. In the long term, the company's potential entry into the personal robotics market could provide new opportunities for growth."</t>
  </si>
  <si>
    <t>TRMB,80.0,"Trimble Inc. is a leading company in the Electronic Equipment &amp; Instruments industry with a recent market cap of 15.44B and an enterprise value of 18.40B. The company has a trailing P/E ratio of 50.27 and a forward P/E ratio of 23.04, indicating a potential for future growth. However, the PEG ratio of 2.31 suggests that the stock may be slightly overvalued.</t>
  </si>
  <si>
    <t>Trimble Inc. has a strong financial position with a price/sales ratio of 4.12 and a price/book ratio of 3.43, both of which are below the industry average. The company also has a solid enterprise value/revenue ratio of 4.84 and an enterprise value/EBITDA ratio of 23.94, indicating a healthy balance sheet.</t>
  </si>
  <si>
    <t>The recent geopolitical tensions in Europe and the Middle East may have indirect effects on Trimble Inc. as it operates globally. However, the company's focus on technological advancements, particularly in the field of AI, may offer opportunities for growth in the long term.</t>
  </si>
  <si>
    <t>Overall, Trimble Inc. appears to be a strong company with a solid financial position and potential for future growth. However, investors should closely monitor any developments in the geopolitical landscape and the impact on the company's operations."</t>
  </si>
  <si>
    <t>MKC,80.0,"McCormick &amp; Company is a leading player in the Packaged Foods &amp; Meats industry with a recent market cap of 21.01B and an enterprise value of 25.29B. The company has a trailing P/E ratio of 29.87 and a forward P/E ratio of 26.81, indicating a relatively high valuation. However, its PEG ratio of 2.71 suggests that the stock may still have room for growth.</t>
  </si>
  <si>
    <t>In terms of valuation multiples, McCormick &amp; Company has a price/sales ratio of 3.15 and a price/book ratio of 4.02, both of which are higher than the industry average. Its enterprise value/revenue ratio of 3.78 and enterprise value/EBITDA ratio of 20.42 also indicate a premium valuation.</t>
  </si>
  <si>
    <t>The company's latest financial data shows a strong performance, with a 5-year expected PEG ratio of 2.71 and a solid revenue growth rate. However, investors should be aware of potential risks, such as the impact of rising commodity prices on the company's margins and the potential for increased competition in the industry.</t>
  </si>
  <si>
    <t>Overall, McCormick &amp; Company appears to be a solid investment option in the Packaged Foods &amp; Meats industry, with a strong financial performance and potential for growth. However, investors should carefully consider the company's valuation and potential risks before making any investment decisions."</t>
  </si>
  <si>
    <t>PCG,75.0,"PG&amp;E Corporation is a multi-utility company with a recent market cap of $43.58B and an enterprise value of $100.68B. The company has a trailing P/E ratio of 15.90 and a forward P/E ratio of 12.35, indicating a potential undervaluation of the stock. The PEG ratio of 1.13 suggests that the stock may be slightly overvalued based on its expected growth rate. PG&amp;E Corporation also has a price/sales ratio of 1.46 and a price/book ratio of 1.74, both of which are below the industry average, indicating a potential value opportunity for investors.</t>
  </si>
  <si>
    <t>However, it is important to note that PG&amp;E Corporation has a high enterprise value/revenue ratio of 4.12 and an enterprise value/EBITDA ratio of 13.82, which may suggest that the stock is overvalued compared to its revenue and earnings. Additionally, the company has faced significant financial challenges in recent years, including bankruptcy and legal issues related to wildfires in California.</t>
  </si>
  <si>
    <t>Overall, PG&amp;E Corporation may present a potential investment opportunity for the next month, but investors should carefully consider the company's financial situation and potential risks before making any investment decisions."</t>
  </si>
  <si>
    <t>PM,75.0,"Philip Morris International (PM) is a leading tobacco company with a recent market cap of $142.74B and an enterprise value of $187.59B. The company has a trailing P/E ratio of 18.29 and a forward P/E ratio of 14.41, indicating a potential undervaluation of the stock. However, the PEG ratio of 2.07 suggests that the stock may be slightly overvalued based on its expected growth rate.</t>
  </si>
  <si>
    <t>PM's price/sales ratio of 4.05 and enterprise value/revenue ratio of 5.33 are in line with industry averages, indicating a fair valuation. However, the enterprise value/EBITDA ratio of 14.03 is slightly higher than the industry average, suggesting that the stock may be overvalued based on its earnings.</t>
  </si>
  <si>
    <t>The recent news of the EU's Artificial Intelligence Act may have implications for the tobacco industry, as AI technology is increasingly being used for marketing and sales. Additionally, the ongoing COVID-19 pandemic and geopolitical tensions may also impact the tobacco industry's performance.</t>
  </si>
  <si>
    <t>Overall, PM's financial data suggests a fair valuation for the stock, with some potential for undervaluation based on its P/E ratios. However, investors should closely monitor any developments in the industry and global events that may affect the company's performance."</t>
  </si>
  <si>
    <t>PWR,75.0,"Quanta Services is a leading provider of specialized contracting services, primarily in the electric power, oil and gas, and telecommunications industries. The company has a recent market cap of $37.33B and an enterprise value of $40.50B.</t>
  </si>
  <si>
    <t>In terms of financial performance, Quanta Services has a trailing P/E ratio of 51.22 and a forward P/E ratio of 30.12, indicating a relatively high valuation. However, the company's PEG ratio of 2.01 suggests that it may be undervalued compared to its expected earnings growth over the next five years.</t>
  </si>
  <si>
    <t>Quanta Services also has a price/sales ratio of 1.83 and a price/book ratio of 5.95, both of which are higher than the industry average. This could indicate that the stock is currently overvalued.</t>
  </si>
  <si>
    <t>On the other hand, the company's enterprise value/revenue ratio of 1.94 and enterprise value/EBITDA ratio of 22.87 are both in line with industry averages, suggesting that the stock may be fairly valued.</t>
  </si>
  <si>
    <t>Overall, Quanta Services appears to be a solid company with a strong market position in its industry. However, its current valuation may be a cause for concern, and investors should carefully consider their risk tolerance before making any investment decisions."</t>
  </si>
  <si>
    <t>UNP,75.0,"Union Pacific Corporation (UNP) is a leading player in the rail transportation industry with a recent market cap of $147.97B and an enterprise value of $181.07B. The company has a trailing P/E ratio of 23.21 and a forward P/E ratio of 21.55, indicating a relatively high valuation compared to its peers. However, its PEG ratio of 2.61 suggests that the stock may be undervalued based on its expected growth.</t>
  </si>
  <si>
    <t>UNP's latest financial data also shows a price/sales ratio of 6.14 and a price/book ratio of 10.01, both of which are higher than the industry average. This could be a concern for investors looking for undervalued stocks. However, the company's enterprise value/revenue ratio of 7.51 and enterprise value/EBITDA ratio of 15.23 are in line with industry standards.</t>
  </si>
  <si>
    <t>The recent surge in commodities, including oil, could potentially impact UNP's transportation costs and profitability. However, the company has a strong track record of managing costs and maintaining a healthy balance sheet, which could help mitigate any potential risks.</t>
  </si>
  <si>
    <t>Overall, UNP's financial data suggests a relatively stable and well-managed company with a strong market position. However, investors should closely monitor any potential impacts from rising commodity prices and keep an eye on the company's valuation compared to its peers."</t>
  </si>
  <si>
    <t>PNR,75.0,"Pentair is a leading company in the Industrial Machinery &amp; Supplies &amp; Components industry with a recent market cap of 13.82B and an enterprise value of 15.74B. The company has a trailing P/E ratio of 22.20 and a forward P/E ratio of 19.80, indicating that the stock may be slightly overvalued. However, the PEG ratio of 1.86 suggests that the stock may still have growth potential.</t>
  </si>
  <si>
    <t>In terms of valuation, Pentair has a price/sales ratio of 3.37 and a price/book ratio of 4.30, which are both higher than the industry average. This could be a concern for investors, but the company's strong financials and market position may justify these higher ratios.</t>
  </si>
  <si>
    <t>Pentair's enterprise value/revenue ratio of 3.84 and enterprise value/EBITDA ratio of 18.48 are also higher than the industry average, indicating that the stock may be slightly overvalued. However, the company's recent financial performance and potential for growth may justify these higher ratios.</t>
  </si>
  <si>
    <t>Overall, Pentair appears to be a strong company with a solid financial position and potential for growth. However, investors should closely monitor the stock's valuation and industry trends before making any investment decisions."</t>
  </si>
  <si>
    <t>UPS,75.0,"United Parcel Service (UPS) is a global leader in the air freight and logistics industry, providing a wide range of services including package delivery, supply chain management, and freight transportation. The recent macro-economic data, including the easing of COVID-19 restrictions and the ongoing geopolitical tensions in Europe and the Middle East, may have implications for UPS's operations and performance.</t>
  </si>
  <si>
    <t>In terms of financial data, UPS has a strong market cap of $127.25B and an enterprise value of $147.90B. The company's trailing P/E ratio of 19.12 and forward P/E ratio of 17.95 suggest that the stock may be slightly undervalued. However, the PEG ratio of 1.79 indicates that the stock may be slightly overvalued based on its expected growth rate.</t>
  </si>
  <si>
    <t>UPS's price/sales ratio of 1.41 and price/book ratio of 7.35 are both higher than the industry average, indicating that the stock may be trading at a premium. However, the company's enterprise value/revenue ratio of 1.63 and enterprise value/EBITDA ratio of 11.62 are in line with the industry average, suggesting that the stock may be fairly valued.</t>
  </si>
  <si>
    <t>Overall, UPS's financial data suggests that the stock may be slightly undervalued but also trading at a premium compared to its industry peers. The company's strong market position and diverse range of services make it a solid investment option in the air freight and logistics industry."</t>
  </si>
  <si>
    <t>AMAT,75.0,"Applied Materials is a leading company in the Semiconductor Materials &amp; Equipment industry with a recent market cap of 171.19B and an enterprise value of 169.69B. The company has a trailing P/E ratio of 24.24 and a forward P/E ratio of 24.94, indicating a relatively high valuation. However, its PEG ratio of 2.46 suggests that the stock may still have room for growth.</t>
  </si>
  <si>
    <t>In terms of valuation multiples, Applied Materials has a price/sales ratio of 6.55 and a price/book ratio of 9.82, both of which are higher than the industry average. Its enterprise value/revenue ratio of 6.41 and enterprise value/EBITDA ratio of 19.32 also indicate a premium valuation.</t>
  </si>
  <si>
    <t>The company's latest financial data shows strong revenue and earnings growth, with a 41% increase in revenue and a 64% increase in earnings in the most recent quarter. This growth is driven by the increasing demand for semiconductor materials and equipment, as well as Applied Materials' strong market position and technological advancements.</t>
  </si>
  <si>
    <t>Overall, Applied Materials has a solid financial position and is well-positioned to benefit from the growing demand for semiconductor materials and equipment. However, its high valuation multiples may limit its potential for short-term gains. Therefore, it is recommended to closely monitor the company's performance and industry trends before making any investment decisions."</t>
  </si>
  <si>
    <t>ABNB,75.0,"Airbnb, a leading company in the Hotels, Resorts &amp; Cruise Lines industry, has been facing some challenges in recent months due to the COVID-19 pandemic. However, with the recent lifting of restrictions and the availability of vaccines, the company's financial outlook is expected to improve.</t>
  </si>
  <si>
    <t>According to the latest financial data, Airbnb has a market cap of $102.13B and an enterprise value of $94.37B. The company's trailing P/E ratio is 22.12, which is slightly higher than the industry average. However, its forward P/E ratio of 35.09 suggests that investors have high expectations for the company's future earnings.</t>
  </si>
  <si>
    <t>The PEG ratio, which takes into account the company's expected growth, is 9.79, indicating that the stock may be slightly overvalued. However, Airbnb's price/sales ratio of 10.69 and price/book ratio of 12.51 are in line with the industry average, suggesting that the stock is fairly valued.</t>
  </si>
  <si>
    <t>One potential concern for investors is Airbnb's high enterprise value/revenue ratio of 9.52, which is significantly higher than the industry average. This could indicate that the company is overvalued compared to its revenue. Additionally, the enterprise value/EBITDA ratio of 42.34 is also higher than the industry average, suggesting that the company may be overvalued based on its earnings.</t>
  </si>
  <si>
    <t>Overall, while Airbnb's financial data may raise some concerns, the company's strong brand and potential for growth in the post-pandemic travel industry make it an attractive investment opportunity."</t>
  </si>
  <si>
    <t>FICO,75.0,"Fair Isaac (FICO) is a leading company in the application software industry with a recent market cap of $31 billion and an enterprise value of $32.83 billion. The company has a trailing P/E ratio of 69.72 and a forward P/E ratio of 45.87, indicating a high valuation. However, its PEG ratio of 2.23 suggests that the stock may still have room for growth.</t>
  </si>
  <si>
    <t>In terms of financial performance, Fair Isaac has a price/sales ratio of 20.36 and an enterprise value/revenue ratio of 21.17, both of which are higher than the industry average. Its enterprise value/EBITDA ratio of 48.53 is also higher than the industry average, indicating a relatively high valuation.</t>
  </si>
  <si>
    <t>The recent surge in commodities and concerns about inflation may create challenges for the company, as it could impact the Fed's ability to cut rates as expected. However, Fair Isaac's strong position in the application software industry and its focus on emerging technologies like artificial intelligence may provide opportunities for growth in the long term."</t>
  </si>
  <si>
    <t>EXPE,75.0,"Expedia Group (EXPE) is a leading player in the Hotels, Resorts &amp; Cruise Lines industry, providing online travel services to customers worldwide. The recent macro-economic data, including the easing of COVID-19 restrictions and the ongoing geopolitical tensions in Europe and the Middle East, may have indirect effects on the company's performance.</t>
  </si>
  <si>
    <t>In terms of financial data, EXPE has a market cap of $17.95B and an enterprise value of $20.26B. Its trailing P/E ratio is 24.80, while the forward P/E ratio is 11.12, indicating potential growth in the company's earnings. The PEG ratio of 0.42 suggests that the stock may be undervalued, considering its expected earnings growth.</t>
  </si>
  <si>
    <t>EXPE's price/sales ratio of 1.54 and price/book ratio of 11.70 are relatively higher than the industry average, indicating that the stock may be overvalued. However, its enterprise value/revenue ratio of 1.58 and enterprise value/EBITDA ratio of 9.79 are in line with the industry average, suggesting that the company's valuation is reasonable.</t>
  </si>
  <si>
    <t>Overall, EXPE's financial data suggests that the stock may have potential for growth in the short and medium term, given its expected earnings growth and reasonable valuation. However, investors should closely monitor any potential impacts from geopolitical tensions and the ongoing COVID-19 pandemic."</t>
  </si>
  <si>
    <t>A,75.0,"Agilent Technologies is a leading company in the Life Sciences Tools &amp; Services industry, with a recent market cap of $42.25B and an enterprise value of $43.06B. The company has a strong financial position, with a trailing P/E ratio of 34.49 and a forward P/E ratio of 26.32. However, its PEG ratio of 2.77 suggests that the stock may be slightly overvalued.</t>
  </si>
  <si>
    <t>Agilent Technologies has a solid price-to-sales ratio of 6.32 and a price-to-book ratio of 6.83, indicating that the stock is trading at a premium compared to its industry peers. Its enterprise value/revenue ratio of 6.39 and enterprise value/EBITDA ratio of 25.48 also suggest that the stock may be slightly overvalued.</t>
  </si>
  <si>
    <t>Overall, Agilent Technologies has a strong financial position and is a leader in its industry. However, its current valuation may be a cause for concern. Investors should closely monitor the company's financial performance and industry trends before making any investment decisions."</t>
  </si>
  <si>
    <t>EL,75.0,"The Estée Lauder Companies (EL) is a leading player in the Personal Care Products industry, with a recent market cap of $54.76B and an enterprise value of $61.03B. The company has a trailing P/E ratio of 118.43 and a forward P/E ratio of 36.23, indicating a high valuation. However, its PEG ratio of 1.72 suggests that the stock may still have room for growth.</t>
  </si>
  <si>
    <t>EL's latest financial data also shows a price/sales ratio of 3.63 and a price/book ratio of 9.59, both of which are higher than the industry average. This could be a reflection of the company's strong brand and market position. Its enterprise value/revenue ratio of 4.03 and enterprise value/EBITDA ratio of 31.46 are also higher than the industry average, indicating a premium valuation.</t>
  </si>
  <si>
    <t>Overall, EL's financial data suggests that the company is currently trading at a premium, but its strong brand and market position may justify this valuation. However, investors should keep an eye on the company's future earnings growth and potential risks in the industry, such as increasing competition and changing consumer preferences."</t>
  </si>
  <si>
    <t>AMD,75.0,"Advanced Micro Devices (AMD) is a leading semiconductor company with a recent market cap of $288.80B and an enterprise value of $286.03B. The company has a trailing P/E ratio of 337.17 and a forward P/E ratio of 53.48, indicating a high valuation. However, its PEG ratio of 0.72 suggests that the stock may be undervalued compared to its expected growth rate.</t>
  </si>
  <si>
    <t>AMD's price/sales ratio of 12.80 and price/book ratio of 5.17 are also relatively high, but in line with industry averages. Its enterprise value/revenue ratio of 12.61 and enterprise value/EBITDA ratio of 68.94 indicate that the company may be overvalued compared to its revenue and earnings.</t>
  </si>
  <si>
    <t>AMD has been performing well in the semiconductor industry, with its stock price reaching record highs in recent months. The company has been gaining market share from its competitors and has a strong product pipeline, including its new Zen 3 processors and upcoming RDNA 2 graphics cards.</t>
  </si>
  <si>
    <t>However, there are concerns about potential supply chain disruptions and the impact of rising commodity prices on the company's margins. Additionally, the ongoing global chip shortage may affect AMD's ability to meet demand for its products."</t>
  </si>
  <si>
    <t>ABT,75.0,"Abbott, a leading company in the Health Care Equipment industry, has shown strong financial performance in recent years. With a market cap of 194.38B and an enterprise value of 202.72B, the company has a solid financial foundation. Its trailing P/E ratio of 34.36 and forward P/E ratio of 24.27 indicate that the company is currently trading at a premium, but its PEG ratio of 6.15 suggests that it may be slightly overvalued.</t>
  </si>
  <si>
    <t>Abbott's price/sales ratio of 4.88 and price/book ratio of 5.04 are both higher than the industry average, indicating that the market has high expectations for the company's future growth. Its enterprise value/revenue ratio of 5.05 and enterprise value/EBITDA ratio of 19.23 also suggest that the company may be slightly overvalued.</t>
  </si>
  <si>
    <t>Overall, Abbott has a strong financial position and is well-positioned in the Health Care Equipment industry. However, its current valuation may be a cause for concern, and investors should closely monitor the company's performance in the coming months."</t>
  </si>
  <si>
    <t>AOS,75.0,"O. Smith is a leading company in the Building Products industry with a recent market cap of 13.02B and an enterprise value of 12.81B. The firm has a trailing P/E ratio of 24.00 and a forward P/E ratio of 21.88, indicating a positive outlook for future earnings. However, the PEG ratio of 2.19 suggests that the stock may be slightly overvalued compared to its expected growth rate.</t>
  </si>
  <si>
    <t>In terms of valuation, O. Smith has a price/sales ratio of 3.47 and a price/book ratio of 7.06, which are both higher than the industry average. This could indicate that the stock is currently trading at a premium. Additionally, the enterprise value/revenue ratio of 3.33 and the enterprise value/EBITDA ratio of 15.56 suggest that the stock may be slightly overvalued compared to its peers.</t>
  </si>
  <si>
    <t>Overall, O. Smith has a strong financial position and positive earnings outlook, but its current valuation may be a cause for concern. Investors should closely monitor the stock's performance and consider the potential risks before making any investment decisions."</t>
  </si>
  <si>
    <t>FAST,75.0,"Fastenal is a leading company in the Trading Companies &amp; Distributors industry, with a recent market cap of 43.68B and an enterprise value of 44.00B. The company has a strong financial position, with a trailing P/E of 37.78 and a forward P/E of 35.46. However, its PEG ratio of 3.94 suggests that its stock may be slightly overvalued.</t>
  </si>
  <si>
    <t>In terms of valuation metrics, Fastenal has a price/sales ratio of 5.95 and a price/book ratio of 13.04, both of which are higher than the industry average. This indicates that the stock may be trading at a premium compared to its peers. Additionally, its enterprise value/revenue ratio of 5.99 and enterprise value/EBITDA ratio of 25.73 are also higher than the industry average, suggesting that the stock may be overvalued.</t>
  </si>
  <si>
    <t>Overall, Fastenal has a strong financial position and is a leader in its industry. However, its valuation metrics suggest that the stock may be slightly overvalued. Investors should closely monitor the company's financial performance and industry trends before making any investment decisions."</t>
  </si>
  <si>
    <t>CME,75.0,"CME Group, a leading financial exchange and data company, has shown strong financial performance in recent years. With a market cap of $77.33B and an enterprise value of $77.74B, the company has a solid financial foundation. Its trailing P/E ratio of 24.24 and forward P/E ratio of 22.47 indicate that the stock is trading at a reasonable valuation.</t>
  </si>
  <si>
    <t>However, the PEG ratio of 8.67 suggests that the stock may be slightly overvalued compared to its expected earnings growth. Additionally, the price/sales ratio of 13.84 and price/book ratio of 2.89 are higher than the industry average, indicating that the stock may be trading at a premium.</t>
  </si>
  <si>
    <t>On the positive side, CME Group has a strong enterprise value/revenue ratio of 13.93 and enterprise value/EBITDA ratio of 16.66, indicating that the company is generating strong revenue and earnings.</t>
  </si>
  <si>
    <t>Overall, CME Group has a strong financial position and is well-positioned in the financial exchanges and data industry. However, investors should closely monitor the stock's valuation and keep an eye on any potential changes in the industry landscape."</t>
  </si>
  <si>
    <t>SBUX,75.0,"Starbucks (SBUX) is a leading global coffee chain with a strong brand and loyal customer base. The company has a recent market cap of $101.11B and an enterprise value of $122.19B. Its trailing P/E ratio is 23.88 and forward P/E ratio is 21.88, indicating a relatively high valuation. However, its PEG ratio of 1.24 suggests that the stock may still have room for growth.</t>
  </si>
  <si>
    <t>In terms of financial performance, Starbucks has a price/sales ratio of 2.79 and an enterprise value/revenue ratio of 3.33, which are both in line with industry averages. Its enterprise value/EBITDA ratio of 15.87 is slightly higher than the industry average, indicating that the company may be slightly overvalued.</t>
  </si>
  <si>
    <t>Overall, Starbucks has a strong financial position and a solid track record of growth. However, its high valuation may limit potential returns in the short term. Investors should closely monitor the company's performance and any potential changes in consumer behavior or market conditions."</t>
  </si>
  <si>
    <t>SO,75.0,"Southern Company (SO) is a leading electric utility company with a recent market cap of $77.83B and an enterprise value of $140.58B. The company has a trailing P/E ratio of 19.71 and a forward P/E ratio of 17.76, indicating a relatively high valuation compared to its peers in the industry. The PEG ratio of 2.69 suggests that the stock may be overvalued, as it is trading at a premium to its expected earnings growth.</t>
  </si>
  <si>
    <t>In terms of valuation metrics, Southern Company has a price/sales ratio of 3.10 and a price/book ratio of 2.48, which are both in line with industry averages. However, the enterprise value/revenue ratio of 5.57 and the enterprise value/EBITDA ratio of 11.94 are slightly higher than the industry average, indicating that the stock may be slightly overvalued.</t>
  </si>
  <si>
    <t>The company has a strong financial position, with a healthy balance sheet and a stable dividend yield of 4.2%. However, there are some concerns about the company's exposure to potential regulatory changes and the impact of rising interest rates on its debt-heavy capital structure.</t>
  </si>
  <si>
    <t>Overall, Southern Company is a solid company with a strong market position in the electric utilities industry. However, the stock may be slightly overvalued at its current price levels. Investors should closely monitor any potential regulatory changes and the company's ability to manage its debt in the face of rising interest rates."</t>
  </si>
  <si>
    <t>SNA,75.0,"Snap-on is a leading company in the Industrial Machinery &amp; Supplies &amp; Components industry with a recent market cap of 15.43B and an enterprise value of 15.71B. The company has a trailing P/E ratio of 15.57 and a forward P/E ratio of 15.27, indicating a relatively low valuation compared to its peers in the industry. However, its PEG ratio of 2.05 suggests that the stock may be slightly overvalued based on its expected growth rate.</t>
  </si>
  <si>
    <t>Snap-on's price/sales ratio of 3.08 and price/book ratio of 3.04 are in line with the industry average, indicating that the stock is trading at a fair value. Its enterprise value/revenue ratio of 3.08 and enterprise value/EBITDA ratio of 10.64 also suggest that the company is not overleveraged and has a healthy balance sheet.</t>
  </si>
  <si>
    <t>Overall, Snap-on's financial data suggests that the company is in a stable financial position and is trading at a fair value. However, investors should closely monitor the company's future growth prospects and any potential changes in the industry that could impact its performance."</t>
  </si>
  <si>
    <t>SPG,75.0,"Simon Property Group (SPG) is a leading retail real estate investment trust (REIT) with a recent market cap of $48.88B and an enterprise value of $73.27B. The company has a trailing P/E ratio of 21.50 and a forward P/E ratio of 27.17, indicating a relatively high valuation compared to its peers in the Retail REITs industry. However, the PEG ratio of 7.88 suggests that the stock may be overvalued, as it is trading at a premium to its expected earnings growth.</t>
  </si>
  <si>
    <t>SPG's price/sales ratio of 8.67 and price/book ratio of 16.39 are also higher than the industry average, indicating that the stock may be overvalued based on these metrics. However, the company's strong financial position, with an enterprise value/revenue ratio of 12.95 and an enterprise value/EBITDA ratio of 14.99, suggests that it may be able to weather any potential economic downturns.</t>
  </si>
  <si>
    <t>The recent news of the company's plans to acquire rival REIT Taubman Centers for $3.6B has raised concerns among investors about the potential impact on SPG's financials. However, the acquisition is expected to strengthen SPG's position in the retail real estate market and provide long-term growth opportunities.</t>
  </si>
  <si>
    <t>Overall, SPG's financial data suggests that the stock may be overvalued, but its strong financial position and potential for growth through acquisitions make it a solid long-term investment option."</t>
  </si>
  <si>
    <t>SHW,75.0,"Sherwin-Williams is a leading company in the Specialty Chemicals industry with a recent market cap of 84.86B and an enterprise value of 96.39B. The company has a trailing P/E ratio of 36.10 and a forward P/E ratio of 29.67, indicating a positive outlook for future earnings. However, the PEG ratio of 4.36 suggests that the stock may be slightly overvalued.</t>
  </si>
  <si>
    <t>In terms of valuation metrics, Sherwin-Williams has a price/sales ratio of 3.74 and a price/book ratio of 22.84, both of which are higher than the industry average. This could be a concern for investors, as it may indicate that the stock is trading at a premium compared to its peers.</t>
  </si>
  <si>
    <t>On the other hand, the company's enterprise value/revenue ratio of 4.18 and enterprise value/EBITDA ratio of 23.23 are in line with the industry average, suggesting that the stock is fairly valued in terms of its revenue and earnings.</t>
  </si>
  <si>
    <t>Overall, Sherwin-Williams has a strong financial position and a positive outlook for future earnings. However, the stock may be slightly overvalued based on its PEG ratio and valuation metrics. Investors should closely monitor the company's performance and industry trends before making any investment decisions."</t>
  </si>
  <si>
    <t>KO,75.0,"The Coca-Cola Company (KO) is a leading player in the Soft Drinks &amp; Non-alcoholic Beverages industry with a recent market cap of $259.32B and an enterprise value of $287.72B. The company has a trailing P/E ratio of 24.35 and a forward P/E ratio of 21.41, indicating a relatively high valuation. However, its PEG ratio of 3.03 suggests that the stock may be overvalued compared to its expected earnings growth.</t>
  </si>
  <si>
    <t>In terms of valuation multiples, KO has a price/sales ratio of 5.70 and a price/book ratio of 10.00, both of which are higher than the industry average. Its enterprise value/revenue ratio of 6.29 and enterprise value/EBITDA ratio of 18.44 also indicate a premium valuation.</t>
  </si>
  <si>
    <t>Recent news and developments for KO have been positive, with the company reporting strong earnings and revenue growth in its latest quarterly report. The company has also been investing in new products and expanding its market reach, which could drive future growth.</t>
  </si>
  <si>
    <t>Overall, KO is a well-established company with a strong brand and a solid financial position. However, its high valuation multiples may limit its potential for short-term gains. Investors should carefully consider their investment objectives and risk tolerance before making any decisions regarding KO."</t>
  </si>
  <si>
    <t>NOW,75.0,"ServiceNow (ticker: NOW) is a leading company in the Systems Software industry with a recent market cap of $155.19B and an enterprise value of $152.59B. The company has a trailing P/E ratio of 89.90 and a forward P/E ratio of 57.14, indicating a high valuation. However, its PEG ratio of 2.84 suggests that the stock may still have room for growth.</t>
  </si>
  <si>
    <t>In terms of valuation multiples, ServiceNow has a price/sales ratio of 17.35 and a price/book ratio of 20.34, both of which are higher than the industry average. Its enterprise value/revenue ratio of 17.01 and enterprise value/EBITDA ratio of 95.73 also indicate a premium valuation.</t>
  </si>
  <si>
    <t>Recent news and developments in the industry, such as the rise of cloud computing and the increasing demand for digital transformation, have been favorable for ServiceNow. The company has a strong track record of revenue growth and profitability, with a 30% year-over-year increase in revenue in its latest quarterly report.</t>
  </si>
  <si>
    <t>Overall, ServiceNow is a well-established and financially sound company with a strong market position. However, its high valuation multiples may make it a riskier investment in the short term. Investors should closely monitor the company's performance and industry trends before making any investment decisions."</t>
  </si>
  <si>
    <t>CL,75.0,"Colgate-Palmolive is a leading company in the Household Products industry with a recent market cap of 73.21B and an enterprise value of 81.30B. The company has a trailing P/E ratio of 32.15 and a forward P/E ratio of 25.45, indicating a positive outlook for future earnings. However, the PEG ratio of 2.23 suggests that the stock may be slightly overvalued.</t>
  </si>
  <si>
    <t>In terms of valuation metrics, Colgate-Palmolive has a price/sales ratio of 3.80 and a price/book ratio of 120.21, which are both higher than the industry average. This could be a concern for investors looking for undervalued stocks. Additionally, the enterprise value/revenue ratio of 4.18 and the enterprise value/EBITDA ratio of 19.15 are also higher than the industry average, indicating that the stock may be trading at a premium.</t>
  </si>
  <si>
    <t>Overall, Colgate-Palmolive has a strong financial position and a positive outlook for future earnings. However, the stock may be slightly overvalued compared to its industry peers. Investors should carefully consider their investment goals and risk tolerance before making any decisions."</t>
  </si>
  <si>
    <t>CNP,75.0,"CenterPoint Energy is a recent addition to the Multi-Utilities industry, with a market cap of 18.01B and an enterprise value of 35.99B. The company has a trailing P/E ratio of 20.76 and a forward P/E ratio of 17.48, indicating a relatively high valuation compared to its peers. However, its PEG ratio of 2.16 suggests that the stock may be slightly undervalued based on its expected growth.</t>
  </si>
  <si>
    <t>In terms of its financials, CenterPoint Energy has a price/sales ratio of 2.07 and a price/book ratio of 1.86, both of which are below the industry average. This could indicate that the stock is currently trading at a discount. However, its enterprise value/revenue ratio of 4.14 and enterprise value/EBITDA ratio of 11.29 are slightly higher than the industry average, suggesting that the company may be slightly overvalued based on its revenue and earnings.</t>
  </si>
  <si>
    <t>Overall, CenterPoint Energy appears to be a solid company with a strong market position in the Multi-Utilities industry. Its financials are generally in line with industry averages, with some slight variations. However, its relatively high valuation may be a cause for concern for some investors."</t>
  </si>
  <si>
    <t>ROP,75.0,"Roper Technologies (ROP) is a leading company in the Electronic Equipment &amp; Instruments industry with a recent market cap of $58.42B and an enterprise value of $64.58B. The company has a trailing P/E ratio of 42.85 and a forward P/E ratio of 30.12, indicating a potential for future growth. However, the PEG ratio of 2.21 suggests that the stock may be slightly overvalued.</t>
  </si>
  <si>
    <t>In terms of valuation, Roper Technologies has a price/sales ratio of 9.49 and a price/book ratio of 3.35, which are both higher than the industry average. This could be a concern for investors, as it may indicate that the stock is trading at a premium. Additionally, the enterprise value/revenue ratio of 10.45 and the enterprise value/EBITDA ratio of 24.25 are also higher than the industry average, suggesting that the stock may be overvalued.</t>
  </si>
  <si>
    <t>Overall, Roper Technologies has a strong financial position and a solid track record of growth. However, the current valuation metrics may be a cause for concern for some investors. It is important to closely monitor the company's performance and future developments in the industry before making any investment decisions."</t>
  </si>
  <si>
    <t>DLTR,75.0,"Dollar Tree, a leading discount retailer in the Consumer Staples Merchandise Retail industry, has a recent market cap of $29.38B and an enterprise value of $39.08B. The company's trailing P/E ratio is 19.68, and its forward P/E ratio is 19.96, indicating a relatively stable valuation. However, its PEG ratio of 2.38 suggests that the stock may be slightly overvalued compared to its expected earnings growth.</t>
  </si>
  <si>
    <t>Dollar Tree's price/sales ratio of 0.97 and price/book ratio of 4.02 are both below the industry average, indicating that the stock may be undervalued. Its enterprise value/revenue ratio of 1.28 is also lower than the industry average, suggesting that the company may be generating more revenue per dollar of investment.</t>
  </si>
  <si>
    <t>However, Dollar Tree's enterprise value/EBITDA ratio of -955.49 is significantly lower than the industry average, indicating that the company may have a high level of debt compared to its earnings. This could potentially pose a risk to investors.</t>
  </si>
  <si>
    <t>Overall, Dollar Tree's financial data suggests that the stock may be undervalued, but its high debt levels could be a concern. Investors should closely monitor the company's debt and earnings growth in the coming months."</t>
  </si>
  <si>
    <t>REG,75.0,"Regency Centers is a leading Real Estate Investment Trust (REIT) in the retail sector with a recent market cap of 11.03B and an enterprise value of 15.57B. The company has a trailing P/E ratio of 29.25 and a forward P/E ratio of 32.57, indicating a relatively high valuation. However, the PEG ratio of 5.02 suggests that the stock may be overvalued compared to its expected growth rate.</t>
  </si>
  <si>
    <t>In terms of valuation multiples, Regency Centers has a price/sales ratio of 7.96 and a price/book ratio of 1.62, which are both below the industry average. This could indicate that the stock is undervalued compared to its peers. However, the enterprise value/revenue and enterprise value/EBITDA ratios of 11.77 and 17.71, respectively, are slightly higher than the industry average, suggesting that the stock may be slightly overvalued based on these metrics.</t>
  </si>
  <si>
    <t>Overall, Regency Centers has a strong financial position and a solid track record in the retail REIT industry. However, the current valuation may be a concern for some investors. The company's future performance will depend on its ability to navigate the changing retail landscape and adapt to evolving consumer trends."</t>
  </si>
  <si>
    <t>CTVA,75.0,"Corteva, a leading company in the Fertilizers &amp; Agricultural Chemicals industry, has a recent market cap of $39.95B and an enterprise value of $39.70B. The firm's trailing P/E ratio is 43.98, while the forward P/E ratio is 20.33, indicating potential growth in the future. The PEG ratio, which measures the stock's valuation relative to its expected earnings growth, is at 2.50, suggesting that the stock may be slightly overvalued. The price/sales ratio is 2.36, and the price/book ratio is 1.60, both of which are below the industry average, indicating a potential undervaluation of the stock. The enterprise value/revenue ratio is 2.30, and the enterprise value/EBITDA ratio is 15.65, both of which are in line with the industry average.</t>
  </si>
  <si>
    <t>Overall, Corteva's financial data suggests that the company is in a stable financial position, with potential for growth in the future. However, investors should closely monitor the company's performance and any potential risks, such as changes in commodity prices or regulatory changes in the agricultural industry."</t>
  </si>
  <si>
    <t>LLY,75.0,"Eli Lilly and Company is a leading pharmaceutical company with a recent market cap of 726.35B and an enterprise value of 748.64B. The company has a trailing P/E ratio of 131.72 and a forward P/E ratio of 60.98, indicating a high valuation. However, its PEG ratio of 1.45 suggests that the stock may still have room for growth.</t>
  </si>
  <si>
    <t>In terms of valuation multiples, Eli Lilly and Company has a price/sales ratio of 20.22 and a price/book ratio of 67.43, both of which are higher than the industry average. Its enterprise value/revenue ratio of 21.94 and enterprise value/EBITDA ratio of 87.38 also indicate a relatively high valuation.</t>
  </si>
  <si>
    <t>The company has a strong financial position, with a solid balance sheet and consistent revenue growth. However, it is important to note that the pharmaceutical industry is highly competitive and subject to regulatory changes, which could impact the company's performance.</t>
  </si>
  <si>
    <t>Overall, Eli Lilly and Company is a well-established company with a strong financial position, but its high valuation multiples may make it a riskier investment. Investors should carefully consider their risk tolerance and long-term investment goals before making any decisions."</t>
  </si>
  <si>
    <t>EW,75.0,"Edwards Lifesciences is a leading company in the Health Care Equipment industry with a recent market cap of $56.77B and an enterprise value of $55.82B. The company has a trailing P/E ratio of 41.00 and a forward P/E ratio of 34.36, indicating a positive outlook for future earnings. However, the PEG ratio of 5.42 suggests that the stock may be slightly overvalued compared to its expected growth rate.</t>
  </si>
  <si>
    <t>In terms of valuation, Edwards Lifesciences has a price/sales ratio of 9.57 and a price/book ratio of 8.54, which are both higher than the industry average. This could be a concern for investors looking for undervalued stocks. Additionally, the enterprise value/revenue ratio of 9.30 and the enterprise value/EBITDA ratio of 31.70 are also higher than the industry average, indicating that the stock may be trading at a premium.</t>
  </si>
  <si>
    <t>Recent news and developments in the health care industry, such as the increasing demand for medical devices and advancements in technology, could bode well for Edwards Lifesciences. However, investors should also consider potential risks, such as regulatory changes and competition in the market.</t>
  </si>
  <si>
    <t>Overall, Edwards Lifesciences appears to be a strong company with a positive outlook, but its current valuation may be a concern for some investors. Therefore, it is important to carefully evaluate the company's financials and industry trends before making any investment decisions."</t>
  </si>
  <si>
    <t>ECL,75.0,"Ecolab is a leading company in the specialty chemicals industry with a recent market cap of $65.03B and an enterprise value of $72.84B. The company has a trailing P/E ratio of 47.48 and a forward P/E ratio of 36.10, indicating a higher valuation compared to its industry peers. However, its PEG ratio of 2.41 suggests that the stock may be slightly overvalued, considering its expected growth rate.</t>
  </si>
  <si>
    <t>Ecolab's price/sales ratio of 4.25 and price/book ratio of 8.08 are also higher than the industry average, indicating a premium valuation. However, the company's strong financials and market position justify these higher valuations. Ecolab's enterprise value/revenue ratio of 4.75 and enterprise value/EBITDA ratio of 24.06 are in line with its industry peers, suggesting that the company is not overleveraged.</t>
  </si>
  <si>
    <t>The recent macro-economic data, including the strong private sector job growth and the Fed's efforts to control inflation, bode well for Ecolab's business. The company's focus on sustainability and environmental solutions also aligns with the current market trends and consumer preferences.</t>
  </si>
  <si>
    <t>Overall, Ecolab is a strong company with a solid financial position and a positive outlook. However, its current valuations may limit its potential for short-term gains. Therefore, it is recommended to monitor the stock closely and consider a long-term investment approach."</t>
  </si>
  <si>
    <t>ETN,75.0,"Eaton Corporation is a leading company in the Electrical Components &amp; Equipment industry with a recent market cap of 125.87B and an enterprise value of 133.06B. The company has a trailing P/E ratio of 39.25 and a forward P/E ratio of 30.86, indicating a positive outlook for future earnings. However, the PEG ratio of 2.98 suggests that the stock may be slightly overvalued.</t>
  </si>
  <si>
    <t>In terms of valuation, Eaton Corporation has a price/sales ratio of 5.44 and a price/book ratio of 6.61, both of which are higher than the industry average. This could be a concern for investors looking for undervalued stocks. Additionally, the enterprise value/revenue ratio of 5.74 and the enterprise value/EBITDA ratio of 27.13 are also higher than the industry average, indicating that the stock may be trading at a premium.</t>
  </si>
  <si>
    <t>The company's latest financial data shows a strong performance, with a positive outlook for future earnings. However, the high valuation metrics may be a cause for concern for some investors. It is important to monitor the company's financial performance and industry trends before making any investment decisions."</t>
  </si>
  <si>
    <t>TYL,75.0,"Tyler Technologies is a leading company in the Application Software industry with a recent market cap of 17.56B and an enterprise value of 18.09B. The company has a trailing P/E ratio of 106.67 and a forward P/E ratio of 45.87, indicating a high valuation. However, its PEG ratio of 2.32 suggests that the stock may be undervalued compared to its expected growth rate.</t>
  </si>
  <si>
    <t>Tyler Technologies also has a high price-to-sales ratio of 9.07 and a price-to-book ratio of 5.98, indicating that the stock may be overvalued based on these metrics. Its enterprise value to revenue ratio of 9.27 and enterprise value to EBITDA ratio of 46.06 also suggest a relatively high valuation.</t>
  </si>
  <si>
    <t>Overall, Tyler Technologies has a strong financial position and is well-positioned in the Application Software industry. However, its high valuation metrics may make it a riskier investment in the short term. Investors should closely monitor the company's performance and market conditions before making any investment decisions."</t>
  </si>
  <si>
    <t>DUK,75.0,"Duke Energy is a leading electric utility company with a recent market cap of $74.48B and an enterprise value of $156.64B. The company has a trailing P/E ratio of 18.04 and a forward P/E ratio of 16.16, indicating a relatively low valuation compared to its peers in the industry. However, its PEG ratio of 2.45 suggests that the stock may be slightly overvalued based on its expected growth rate.</t>
  </si>
  <si>
    <t>Duke Energy's price/sales ratio of 2.56 and price/book ratio of 1.58 are also lower than the industry average, indicating a potential undervaluation of the stock. Its enterprise value/revenue ratio of 5.39 and enterprise value/EBITDA ratio of 11.30 are also in line with industry averages, suggesting a fair valuation.</t>
  </si>
  <si>
    <t>The company has a strong financial position, with a solid balance sheet and stable cash flow. It also has a diversified portfolio of assets, including renewable energy sources, which positions it well for future growth opportunities.</t>
  </si>
  <si>
    <t>Overall, Duke Energy appears to be a stable and well-managed company with a fair valuation. However, investors should closely monitor any potential regulatory changes or shifts in the energy market that could impact the company's performance."</t>
  </si>
  <si>
    <t>UBER,75.0,"Uber, a leading company in the passenger ground transportation industry, has shown strong financial performance in recent years. With a market cap of $160.24B and an enterprise value of $166.03B, the company has a solid financial foundation.</t>
  </si>
  <si>
    <t>In terms of valuation, Uber's trailing P/E ratio of 88.48 and forward P/E ratio of 60.24 indicate that the stock may be slightly overvalued. However, its PEG ratio of 2.18 suggests that the stock may still have room for growth.</t>
  </si>
  <si>
    <t>Uber's price/sales ratio of 4.32 and price/book ratio of 14.24 are both higher than the industry average, indicating that the stock may be trading at a premium. However, its enterprise value/revenue ratio of 4.45 and enterprise value/EBITDA ratio of 43.96 are in line with industry standards.</t>
  </si>
  <si>
    <t>Overall, Uber's financial data suggests that the company is in a strong position and has potential for growth. However, investors should closely monitor the company's valuation and keep an eye on any potential regulatory changes or competition in the industry."</t>
  </si>
  <si>
    <t>ULTA,75.0,"Ulta Beauty is a leading company in the Other Specialty Retail industry with a recent market cap of 25.08B and an enterprise value of 26.23B. The company has a trailing P/E ratio of 19.96 and a forward P/E ratio of 19.16, indicating a relatively stable valuation. However, the PEG ratio of 1.96 suggests that the stock may be slightly overvalued compared to its expected growth rate.</t>
  </si>
  <si>
    <t>In terms of financial health, Ulta Beauty has a price/sales ratio of 2.30 and a price/book ratio of 11.01, both of which are higher than the industry average. This could indicate that the stock is currently trading at a premium. Additionally, the enterprise value/revenue ratio of 2.34 and the enterprise value/EBITDA ratio of 13.59 suggest that the company may be slightly overvalued compared to its revenue and earnings.</t>
  </si>
  <si>
    <t>Overall, Ulta Beauty appears to be a stable and well-established company in the Other Specialty Retail industry. However, its current valuation may be slightly inflated, and investors should carefully consider their investment decisions."</t>
  </si>
  <si>
    <t>DG,75.0,"Dollar General, a leading discount retailer in the Consumer Staples Merchandise Retail industry, has shown strong financial performance in recent years. With a market cap of $34.02B and an enterprise value of $51.58B, the company has a solid financial foundation. Its trailing P/E ratio of 20.52 and forward P/E ratio of 21.60 indicate that the stock is trading at a reasonable valuation.</t>
  </si>
  <si>
    <t>However, the PEG ratio of 8.19 suggests that the stock may be overvalued compared to its expected earnings growth. Additionally, the price/sales ratio of 0.88 and price/book ratio of 5.04 are slightly higher than the industry average, indicating that the stock may be trading at a premium.</t>
  </si>
  <si>
    <t>On the positive side, Dollar General has a strong enterprise value/revenue ratio of 1.33 and a solid enterprise value/EBITDA ratio of 15.65, indicating that the company is generating strong revenue and earnings.</t>
  </si>
  <si>
    <t>Overall, Dollar General's financial data suggests that the company is in a strong position, but investors should carefully consider the stock's valuation before making any investment decisions."</t>
  </si>
  <si>
    <t>ROK,75.0,"Rockwell Automation is a leading company in the Electrical Components &amp; Equipment industry with a recent market cap of $32.11B and an enterprise value of $35.42B. The company has a trailing P/E ratio of 26.69 and a forward P/E ratio of 21.98, indicating a positive outlook for future earnings. However, the PEG ratio of 2.28 suggests that the stock may be slightly overvalued.</t>
  </si>
  <si>
    <t>In terms of valuation metrics, Rockwell Automation has a price/sales ratio of 3.55 and a price/book ratio of 8.90, both of which are higher than the industry average. This could indicate that the stock is currently trading at a premium compared to its peers.</t>
  </si>
  <si>
    <t>On the other hand, the company's enterprise value/revenue ratio of 3.88 and enterprise value/EBITDA ratio of 19.63 are in line with the industry average, suggesting that the stock is fairly valued in terms of its revenue and earnings.</t>
  </si>
  <si>
    <t>Overall, Rockwell Automation has a strong financial position and is well-positioned in the industry. However, the stock may be slightly overvalued based on its PEG ratio and valuation metrics. Investors should closely monitor the company's performance and industry trends before making any investment decisions."</t>
  </si>
  <si>
    <t>HRL,75.0,"Hormel Foods, a leading company in the Packaged Foods &amp; Meats industry, has shown strong financial performance in recent years. With a market cap of $19.30B and an enterprise value of $21.63B, the company has a solid financial foundation. Its trailing P/E ratio of 24.30 and forward P/E ratio of 22.03 indicate that the stock is currently trading at a reasonable valuation.</t>
  </si>
  <si>
    <t>However, the PEG ratio of 3.07 suggests that the stock may be slightly overvalued compared to its expected growth rate. Additionally, the price/sales ratio of 1.59 and price/book ratio of 2.46 are slightly higher than the industry average, indicating that the stock may be trading at a premium.</t>
  </si>
  <si>
    <t>On the positive side, Hormel Foods has a strong enterprise value/revenue ratio of 1.78 and a solid enterprise value/EBITDA ratio of 16.06, indicating that the company is generating strong revenue and earnings.</t>
  </si>
  <si>
    <t>Overall, Hormel Foods appears to be a stable and well-performing company in the Packaged Foods &amp; Meats industry. However, investors should closely monitor the company's future growth and valuation metrics to make informed investment decisions."</t>
  </si>
  <si>
    <t>LOW,75.0,"Lowe's, a leading home improvement retail company, has shown strong financial performance in recent years. With a market cap of 139.87B and an enterprise value of 179.09B, the company has a solid financial foundation. Its trailing P/E ratio of 18.52 and forward P/E ratio of 20.20 indicate that the stock is reasonably priced.</t>
  </si>
  <si>
    <t>However, the PEG ratio of 3.18 suggests that the stock may be slightly overvalued, considering its expected growth rate. Additionally, the price/sales ratio of 1.65 and enterprise value/revenue ratio of 2.07 are slightly higher than the industry average, indicating that the stock may be trading at a premium.</t>
  </si>
  <si>
    <t>On the positive side, Lowe's has a strong balance sheet with a low debt-to-equity ratio and a healthy cash flow. The company has also been investing in technology and expanding its e-commerce capabilities, which could drive future growth.</t>
  </si>
  <si>
    <t>Overall, Lowe's is a well-established company with a strong financial position and potential for growth. However, investors should closely monitor the company's valuation and keep an eye on any potential headwinds in the home improvement retail industry."</t>
  </si>
  <si>
    <t>KMB,75.0,"Kimberly-Clark (KMB) is a leading company in the Household Products industry with a recent market cap of $43.02B and an enterprise value of $50.04B. The company has a trailing P/E ratio of 24.51 and a forward P/E ratio of 18.45, indicating a positive outlook for future earnings. However, the PEG ratio of 1.62 suggests that the stock may be slightly overvalued.</t>
  </si>
  <si>
    <t>In terms of valuation, Kimberly-Clark has a price/sales ratio of 2.12 and a price/book ratio of 47.02, which are both higher than the industry average. This could be a concern for investors looking for undervalued stocks. However, the company's strong financial position is reflected in its enterprise value/revenue ratio of 2.45 and enterprise value/EBITDA ratio of 16.32, which are both lower than the industry average.</t>
  </si>
  <si>
    <t>Overall, Kimberly-Clark has a solid financial standing and a positive outlook for future earnings. However, the stock may be slightly overvalued compared to its peers. Investors should closely monitor the company's performance and industry trends before making any investment decisions."</t>
  </si>
  <si>
    <t>KEYS,75.0,"Keysight is a leading company in the Electronic Equipment &amp; Instruments industry with a recent market cap of 26.84B and an enterprise value of 27.15B. The company has a trailing P/E ratio of 28.26 and a forward P/E ratio of 23.81, indicating a positive outlook for future earnings. However, the PEG ratio of 2.97 suggests that the stock may be slightly overvalued.</t>
  </si>
  <si>
    <t>In terms of valuation metrics, Keysight has a price/sales ratio of 5.12 and a price/book ratio of 5.57, both of which are higher than the industry average. This could be a concern for investors looking for undervalued stocks. Additionally, the enterprise value/revenue ratio of 5.08 and the enterprise value/EBITDA ratio of 17.39 are also higher than the industry average, indicating that the stock may be trading at a premium.</t>
  </si>
  <si>
    <t>Overall, Keysight has a strong financial position and is well-positioned in the Electronic Equipment &amp; Instruments industry. However, the stock may be slightly overvalued based on its current valuation metrics. Investors should closely monitor the company's performance and future earnings growth before making any investment decisions."</t>
  </si>
  <si>
    <t>TXN,75.0,"Texas Instruments (TXN) is a leading semiconductor company with a recent market cap of $155.04B and an enterprise value of $157.69B. The company has a trailing P/E ratio of 24.10 and a forward P/E ratio of 34.01, indicating a higher expected growth rate in the future. However, its PEG ratio of 3.28 suggests that the stock may be slightly overvalued.</t>
  </si>
  <si>
    <t>In terms of valuation, TXN has a price/sales ratio of 8.91 and a price/book ratio of 9.18, both of which are higher than the industry average. This could be due to the company's strong financial performance and market position. Its enterprise value/revenue ratio of 9.00 and enterprise value/EBITDA ratio of 17.50 also indicate a premium valuation.</t>
  </si>
  <si>
    <t>Overall, TXN has a strong financial position and is well-positioned in the semiconductor industry. However, its current valuation may be a concern for some investors. It will be important to monitor the company's future growth and earnings to determine if the stock is worth its current price."</t>
  </si>
  <si>
    <t>TTWO,75.0,"Take-Two Interactive is a leading company in the Interactive Home Entertainment industry, with a recent market cap of 25.54B and an enterprise value of 28.15B. The company's latest financial data shows a forward P/E ratio of 24.94 and a PEG ratio of 2.49, indicating a relatively high valuation compared to its expected growth rate. Additionally, Take-Two's price/sales ratio of 4.70 and price/book ratio of 3.00 suggest that the stock may be overvalued.</t>
  </si>
  <si>
    <t>However, the company's strong position in the industry and its recent success with popular game titles such as Grand Theft Auto and Red Dead Redemption make it an attractive investment opportunity. Take-Two's focus on digital sales and its expansion into the mobile gaming market also show potential for future growth.</t>
  </si>
  <si>
    <t>Considering the current market conditions and the company's financial data, Take-Two Interactive may be a suitable investment option for the short term. However, investors should closely monitor any potential changes in the industry and the company's performance in the upcoming months."</t>
  </si>
  <si>
    <t>SNPS,75.0,"Synopsys is a leading company in the application software industry, with a recent market cap of 86.92B and an enterprise value of 86.32B. The company has a trailing P/E ratio of 62.89 and a forward P/E ratio of 43.29, indicating a potential for future growth. However, the PEG ratio of 2.66 suggests that the stock may be slightly overvalued.</t>
  </si>
  <si>
    <t>In terms of valuation metrics, Synopsys has a price/sales ratio of 14.43 and a price/book ratio of 13.03, both of which are higher than the industry average. This could be a concern for investors, as it may indicate that the stock is overpriced.</t>
  </si>
  <si>
    <t>On the other hand, the company's enterprise value/revenue ratio of 14.08 and enterprise value/EBITDA ratio of 49.53 are in line with the industry average, suggesting that the company is efficiently managing its operations and generating profits.</t>
  </si>
  <si>
    <t>Overall, Synopsys appears to be a solid company with strong financials and a potential for future growth. However, investors should carefully consider the current valuation metrics before making any investment decisions."</t>
  </si>
  <si>
    <t>SYK,75.0,"Stryker Corporation is a leading company in the Health Care Equipment industry with a recent market cap of 132.93B and an enterprise value of 142.87B. The company has a trailing P/E ratio of 42.35 and a forward P/E ratio of 29.50, indicating a potential for future growth. However, the PEG ratio of 3.19 suggests that the stock may be slightly overvalued.</t>
  </si>
  <si>
    <t>In terms of valuation metrics, Stryker Corporation has a price/sales ratio of 6.54 and a price/book ratio of 7.15, both of which are higher than the industry average. This could be a concern for investors, as it may indicate that the stock is trading at a premium.</t>
  </si>
  <si>
    <t>On the other hand, the company's enterprise value/revenue ratio of 6.97 and enterprise value/EBITDA ratio of 28.96 are in line with the industry average, suggesting that the stock is fairly valued in terms of its revenue and earnings.</t>
  </si>
  <si>
    <t>Overall, Stryker Corporation has a strong financial position and is well-positioned in the Health Care Equipment industry. However, investors should carefully consider the company's valuation metrics before making any investment decisions."</t>
  </si>
  <si>
    <t>BA,75.0,"Boeing, a leading aerospace and defense company, has faced significant challenges in recent years, including the grounding of its 737 Max aircraft and the impact of the COVID-19 pandemic on the aviation industry. However, the company has shown resilience and is poised for potential growth in the coming months.</t>
  </si>
  <si>
    <t>Boeing's latest financial data shows a market cap of $114.73B and an enterprise value of $151.37B. The forward P/E ratio of 125.00 and PEG ratio of 6.53 suggest that the stock may be overvalued, but this could also be due to the company's recent struggles. The price/sales ratio of 1.46 and enterprise value/revenue ratio of 1.95 indicate that the stock may be undervalued compared to its peers in the aerospace and defense industry.</t>
  </si>
  <si>
    <t>Furthermore, Boeing's enterprise value/EBITDA ratio of 65.39 is higher than the industry average, which could be a cause for concern. However, the company has a strong balance sheet and has taken steps to improve its financial position, including reducing its debt and increasing its cash reserves.</t>
  </si>
  <si>
    <t>Overall, Boeing's recent financial data suggests that the company may be undervalued and has potential for growth in the coming months. However, investors should closely monitor the company's performance and any potential risks, such as ongoing supply chain disruptions and geopolitical tensions."</t>
  </si>
  <si>
    <t>K,75.0,"Kellanova, a leading company in the Packaged Foods &amp; Meats industry, has shown strong financial performance in recent years. With a market cap of 19.71B and an enterprise value of 25.96B, the company has a solid financial foundation. Its trailing P/E ratio of 25.63 and forward P/E ratio of 16.08 indicate that the company is currently trading at a reasonable valuation.</t>
  </si>
  <si>
    <t>However, the PEG ratio of 3.05 suggests that the stock may be slightly overvalued, considering its expected growth rate. Additionally, the price/sales ratio of 1.51 and price/book ratio of 6.21 are higher than the industry average, indicating that the stock may be trading at a premium.</t>
  </si>
  <si>
    <t>On the positive side, Kellanova's enterprise value/revenue ratio of 1.98 and enterprise value/EBITDA ratio of 14.73 are lower than the industry average, suggesting that the company is generating strong revenue and earnings.</t>
  </si>
  <si>
    <t>Overall, Kellanova's financial data suggests that the company is in a stable financial position, but investors should carefully consider the valuation before making any investment decisions."</t>
  </si>
  <si>
    <t>MSI,75.0,"Motorola Solutions is a leading provider of communication equipment and services, catering to various industries such as public safety, government, and enterprise. The company has a strong financial position, with a recent market cap of $58.66B and an enterprise value of $63.50B.</t>
  </si>
  <si>
    <t>In terms of valuation, Motorola Solutions has a trailing P/E ratio of 35.46 and a forward P/E ratio of 27.32, indicating that the stock may be slightly overvalued. However, the PEG ratio of 2.44 suggests that the stock may still have growth potential.</t>
  </si>
  <si>
    <t>The company's price/sales ratio of 6.07 and price/book ratio of 81.02 are also on the higher side, indicating that the stock may be trading at a premium. However, the enterprise value/revenue ratio of 6.36 and enterprise value/EBITDA ratio of 23.08 are in line with industry averages, suggesting that the stock may be fairly valued.</t>
  </si>
  <si>
    <t>Overall, Motorola Solutions has a strong financial position and is well-positioned in the communications equipment industry. However, the stock may be slightly overvalued at its current price levels. Investors should closely monitor the company's financial performance and industry trends before making any investment decisions."</t>
  </si>
  <si>
    <t>MNST,75.0,"Monster Beverage is a leading company in the Soft Drinks &amp; Non-alcoholic Beverages industry with a recent market cap of 59.56B and an enterprise value of 56.31B. The company has a trailing P/E ratio of 36.93 and a forward P/E ratio of 30.67, indicating a positive outlook for future earnings. However, the PEG ratio of 1.94 suggests that the stock may be slightly overvalued.</t>
  </si>
  <si>
    <t>In terms of valuation metrics, Monster Beverage has a price/sales ratio of 8.43 and a price/book ratio of 7.24, both of which are higher than the industry average. This could be a cause for concern for investors, as it may indicate that the stock is overpriced.</t>
  </si>
  <si>
    <t>On the other hand, the company's enterprise value/revenue ratio of 7.89 and enterprise value/EBITDA ratio of 27.84 are in line with the industry average, suggesting that the company is not overleveraged.</t>
  </si>
  <si>
    <t>Overall, Monster Beverage has a strong financial position and a positive outlook for future earnings. However, the stock may be slightly overvalued based on its PEG ratio and valuation metrics. Investors should closely monitor the company's performance and industry trends before making any investment decisions."</t>
  </si>
  <si>
    <t>MCHP,75.0,"Microchip Technology is a leading company in the semiconductor industry with a recent market cap of $47.54B and an enterprise value of $52.99B. The company has a trailing P/E ratio of 20.56 and a forward P/E ratio of 27.78, indicating a potential for future growth. However, its PEG ratio of 8.70 suggests that the stock may be overvalued compared to its expected earnings growth.</t>
  </si>
  <si>
    <t>In terms of valuation, Microchip Technology has a price/sales ratio of 5.67 and a price/book ratio of 6.71, which are both higher than the industry average. This could be a concern for investors looking for undervalued stocks. Additionally, the company's enterprise value/revenue ratio of 6.20 and enterprise value/EBITDA ratio of 13.07 are also higher than the industry average, indicating a higher valuation for the company.</t>
  </si>
  <si>
    <t>Overall, Microchip Technology has a strong market position and potential for future growth, but its current valuation may be a concern for some investors. It is important to closely monitor the company's financial performance and industry trends before making any investment decisions."</t>
  </si>
  <si>
    <t>MTD,75.0,"Mettler Toledo is a leading company in the Life Sciences Tools &amp; Services industry, with a recent market cap of 28.25B and an enterprise value of 30.27B. The company has a strong financial position, with a trailing P/E ratio of 36.80 and a forward P/E ratio of 33.22. However, its PEG ratio of 3.17 suggests that its stock may be overvalued compared to its expected growth rate.</t>
  </si>
  <si>
    <t>In terms of valuation metrics, Mettler Toledo has a price/sales ratio of 7.66 and an enterprise value/revenue ratio of 7.99, which are both higher than the industry average. Its enterprise value/EBITDA ratio of 25.82 is also higher than the industry average, indicating that the company may be overvalued based on its earnings.</t>
  </si>
  <si>
    <t>Overall, Mettler Toledo has a strong financial position and is a leader in its industry. However, its current valuation may be a cause for concern, as it appears to be overvalued compared to its expected growth rate and industry peers."</t>
  </si>
  <si>
    <t>BEN,75.0,"Franklin Templeton is a leading asset management and custody bank company with a recent market cap of $14.36B and an enterprise value of $22.24B. The company has a trailing P/E ratio of 14.36 and a forward P/E ratio of 10.70, indicating a potential undervaluation in the stock. However, the PEG ratio of 3.07 suggests that the stock may be overvalued in relation to its expected growth.</t>
  </si>
  <si>
    <t>In terms of valuation multiples, Franklin Templeton has a price/sales ratio of 1.70 and a price/book ratio of 1.20, both of which are below the industry average. This could indicate a potential buying opportunity for investors.</t>
  </si>
  <si>
    <t>On the other hand, the company's enterprise value/revenue ratio of 2.82 and enterprise value/EBITDA ratio of 10.70 are slightly higher than the industry average, suggesting that the stock may be slightly overvalued.</t>
  </si>
  <si>
    <t>Overall, Franklin Templeton's financial data suggests that the stock may be undervalued in terms of its P/E and valuation multiples, but overvalued in terms of its PEG ratio and enterprise value ratios. Investors should closely monitor the company's performance and future growth prospects before making any investment decisions."</t>
  </si>
  <si>
    <t>MLM,75.0,"Martin Marietta Materials (MLM) is a leading company in the construction materials industry with a recent market cap of $37.22B and an enterprise value of $40.68B. The firm has a trailing P/E ratio of 31.16 and a forward P/E ratio of 28.01, indicating a relatively high valuation. However, the PEG ratio of 3.92 suggests that the stock may be undervalued compared to its expected growth rate.</t>
  </si>
  <si>
    <t>MLM's price/sales ratio of 5.52 and price/book ratio of 4.63 are both above the industry average, indicating that the stock may be overvalued. However, the company's strong financials and market position may justify these higher ratios.</t>
  </si>
  <si>
    <t>In terms of profitability, MLM has an enterprise value/revenue ratio of 6.00 and an enterprise value/EBITDA ratio of 18.73. These ratios suggest that the company is generating strong profits and has a solid financial position.</t>
  </si>
  <si>
    <t>Overall, MLM appears to be a strong company in the construction materials industry with a solid financial position. However, its valuation may be a concern for some investors. It is important to monitor the company's performance and industry trends before making any investment decisions."</t>
  </si>
  <si>
    <t>MMC,75.0,"Marsh McLennan is a leading insurance brokerage and risk management firm with a strong global presence. The company's latest financial data shows a market cap of $100.23B and an enterprise value of $112.30B. Its trailing P/E ratio is 26.97 and forward P/E ratio is 23.64, indicating a relatively high valuation. The PEG ratio of 2.49 suggests that the stock may be slightly overvalued compared to its expected growth rate.</t>
  </si>
  <si>
    <t>In terms of valuation multiples, Marsh McLennan's price/sales ratio of 4.46 and price/book ratio of 8.22 are both above the industry average, indicating a premium for the company's stock. However, its enterprise value/revenue ratio of 4.94 and enterprise value/EBITDA ratio of 17.78 are in line with industry averages, suggesting that the company's financials are in a healthy state.</t>
  </si>
  <si>
    <t>Overall, Marsh McLennan's financial data suggests that the company is well-positioned in the insurance brokers industry, with a strong market presence and healthy financials. However, its current valuation may be a cause for concern, and investors should carefully monitor any potential changes in the industry and the company's performance."</t>
  </si>
  <si>
    <t>WDC,75.0,"Western Digital (WDC) is a leading company in the Technology Hardware, Storage &amp; Peripherals industry with a recent market cap of $22.43B and an enterprise value of $29.22B. The company's latest financial data shows a forward P/E ratio of 14.10, indicating a relatively low valuation compared to its peers in the industry. Additionally, WDC's price/sales ratio of 1.97 and price/book ratio of 2.23 suggest that the stock may be undervalued.</t>
  </si>
  <si>
    <t>However, it is worth noting that WDC's enterprise value/revenue ratio of 2.60 and enterprise value/EBITDA ratio of -25.41 are not as favorable, indicating potential concerns about the company's financial health and profitability.</t>
  </si>
  <si>
    <t>Overall, WDC's financial data suggests that the stock may be undervalued, but investors should carefully consider the company's financial health and profitability before making any investment decisions."</t>
  </si>
  <si>
    <t>WELL,75.0,"Welltower is a leading company in the Health Care REITs industry with a recent market cap of $51.76B and an enterprise value of $65.88B. The company has a trailing P/E ratio of 131.86 and a forward P/E ratio of 69.93, indicating a high valuation. However, its PEG ratio of 2.16 suggests that the stock may be slightly undervalued compared to its expected growth rate.</t>
  </si>
  <si>
    <t>Welltower's price/sales ratio of 7.11 and price/book ratio of 2.04 are in line with industry averages, indicating a fair valuation. Its enterprise value/revenue ratio of 9.92 and enterprise value/EBITDA ratio of 27.44 are also in line with industry averages, suggesting that the company is not overleveraged.</t>
  </si>
  <si>
    <t>Overall, Welltower appears to be a stable and well-managed company with a strong market position in the Health Care REITs industry. However, its high valuation may limit potential returns in the short term. Therefore, it is recommended to closely monitor the company's performance and wait for a potential dip in stock price before considering an investment."</t>
  </si>
  <si>
    <t>WEC,75.0,"WEC Energy Group is a leading electric utility company with a recent market cap of $25.86B and an enterprise value of $44.65B. The company has a trailing P/E ratio of 19.41 and a forward P/E ratio of 16.75, indicating a relatively high valuation compared to its peers in the industry. However, its PEG ratio of 2.54 suggests that the stock may be slightly overvalued, considering its expected growth rate.</t>
  </si>
  <si>
    <t>In terms of financial performance, WEC Energy Group has a price/sales ratio of 2.91 and a price/book ratio of 2.21, which are both in line with industry averages. Its enterprise value/revenue ratio of 5.02 and enterprise value/EBITDA ratio of 12.66 also indicate a relatively healthy financial position.</t>
  </si>
  <si>
    <t>The recent geopolitical tensions in Europe and the Middle East may have some indirect impact on the company's operations, as it relies on energy supplies and global market sentiment. However, the company's strong financials and stable business model make it a relatively safe investment option in the electric utilities industry."</t>
  </si>
  <si>
    <t>WM,75.0,"Waste Management is a leading company in the Environmental &amp; Facilities Services industry with a recent market cap of 84.78B and an enterprise value of 100.55B. The company has a trailing P/E ratio of 37.30 and a forward P/E ratio of 30.67, indicating a relatively high valuation. The PEG ratio of 2.92 suggests that the stock may be overvalued compared to its expected growth rate.</t>
  </si>
  <si>
    <t>In terms of valuation multiples, Waste Management has a price/sales ratio of 4.21 and a price/book ratio of 12.28, both of which are higher than the industry average. The enterprise value/revenue ratio of 4.92 and the enterprise value/EBITDA ratio of 17.98 also indicate a relatively high valuation for the company.</t>
  </si>
  <si>
    <t>However, Waste Management has a strong financial position with a solid balance sheet and consistent profitability. The company has a strong track record of generating steady cash flows and has been able to maintain a stable dividend payout to its shareholders.</t>
  </si>
  <si>
    <t>Overall, while the valuation may be a concern, Waste Management's strong financials and market position make it a solid investment option for the long term. In the short term, the stock may experience some volatility due to market conditions and industry trends, but the company's fundamentals remain strong."</t>
  </si>
  <si>
    <t>VRSK,75.0,"Verisk is a leading company in the Research &amp; Consulting Services industry with a recent market cap of 33.27B and an enterprise value of 36.06B. The firm has a trailing P/E ratio of 44.44 and a forward P/E ratio of 35.84, indicating a relatively high valuation. However, its PEG ratio of 2.62 suggests that the stock may still have room for growth.</t>
  </si>
  <si>
    <t>Verisk's latest financial data also shows a price/sales ratio of 12.75 and a price/book ratio of 107.31, both of which are higher than the industry average. This could be a concern for some investors, but it is worth noting that the company has a strong enterprise value/revenue ratio of 13.45 and an enterprise value/EBITDA ratio of 25.32, indicating a solid financial position.</t>
  </si>
  <si>
    <t>Overall, Verisk's financial data suggests that the company is well-positioned in the industry and has potential for growth. However, investors should carefully consider the high valuation and monitor any changes in the market and industry landscape."</t>
  </si>
  <si>
    <t>VRSN,75.0,"Verisign is a leading company in the Internet Services &amp; Infrastructure industry with a recent market cap of 19.32B and an enterprise value of 20.19B. The company has a trailing P/E ratio of 24.23 and a forward P/E ratio of 23.75, indicating that the stock may be slightly overvalued. However, the PEG ratio of 2.74 suggests that the stock may still have room for growth.</t>
  </si>
  <si>
    <t>Verisign's latest price/sales ratio of 13.27 and enterprise value/revenue ratio of 13.52 are both higher than the industry average, indicating that the stock may be trading at a premium. However, the company's enterprise value/EBITDA ratio of 18.42 is lower than the industry average, suggesting that the company may be undervalued based on its earnings.</t>
  </si>
  <si>
    <t>Overall, Verisign's financial data suggests that the stock may be slightly overvalued but still has potential for growth. The company's strong position in the Internet Services &amp; Infrastructure industry and its consistent financial performance make it a solid investment option for the long term."</t>
  </si>
  <si>
    <t>TDG,75.0,"TransDigm Group (TDG) is a leading player in the Aerospace &amp; Defense industry, with a recent market cap of $66.94B and an enterprise value of $83.23B. The company has a trailing P/E ratio of 51.07 and a forward P/E ratio of 38.02, indicating a relatively high valuation. However, its PEG ratio of 4.75 suggests that the stock may be undervalued compared to its expected growth rate.</t>
  </si>
  <si>
    <t>In terms of financial performance, TDG has a price/sales ratio of 9.90 and an enterprise value/revenue ratio of 11.93, both of which are higher than the industry average. This indicates that the stock may be overvalued compared to its revenue. However, its enterprise value/EBITDA ratio of 25.84 is lower than the industry average, suggesting that the company may be generating strong earnings.</t>
  </si>
  <si>
    <t>Overall, TDG's financial data suggests that the stock may be overvalued in terms of its revenue but undervalued in terms of its earnings potential. This could be due to the recent volatility in the Aerospace &amp; Defense industry, as well as the company's strong position in the market."</t>
  </si>
  <si>
    <t>ANSS,75.0,"Ansys is a leading company in the application software industry, with a recent market cap of $30.06B and an enterprise value of $30.05B. The company has a trailing P/E ratio of 60.28 and a forward P/E ratio of 35.59, indicating a potential for future growth. However, the PEG ratio of 2.16 suggests that the stock may be slightly overvalued.</t>
  </si>
  <si>
    <t>Ansys has a price/sales ratio of 13.30 and a price/book ratio of 5.58, which are both higher than the industry average. This could be a reflection of the company's strong financial performance and potential for future growth. The enterprise value/revenue ratio of 13.24 and the enterprise value/EBITDA ratio of 38.94 also indicate that the company may be slightly overvalued.</t>
  </si>
  <si>
    <t>Overall, Ansys has a strong financial position and potential for future growth, but investors should be cautious of the slightly high valuation metrics. The recent developments in the application software industry, such as the rise of AI and increased demand for software solutions, could provide opportunities for Ansys to further expand its market share and profitability."</t>
  </si>
  <si>
    <t>APH,75.0,"Amphenol is a leading company in the Electronic Components industry with a recent market cap of 67.82B and an enterprise value of 70.50B. The firm has a trailing P/E ratio of 36.35 and a forward P/E ratio of 34.36, indicating a relatively high valuation. The PEG ratio, which measures the stock's valuation relative to its expected growth, is at 5.83, suggesting that the stock may be overvalued. Additionally, the price/sales ratio of 5.59 and price/book ratio of 8.13 also indicate a relatively high valuation.</t>
  </si>
  <si>
    <t>However, Amphenol has a strong financial position with a low debt-to-equity ratio and a solid track record of revenue and earnings growth. The company also has a diversified customer base and a strong presence in key markets, which provides stability and growth potential.</t>
  </si>
  <si>
    <t>Based on the recent financial data and the company's position in the industry, Amphenol may be a good long-term investment option. However, investors should closely monitor the stock's valuation and any potential risks in the industry, such as supply chain disruptions or changes in demand for electronic components."</t>
  </si>
  <si>
    <t>AAL,75.0,"American Airlines Group (AAL) is a major player in the passenger airlines industry, with a recent market cap of $9.44B and an enterprise value of $42.52B. The company's trailing P/E ratio of 11.91 and forward P/E ratio of 5.39 suggest that the stock is currently undervalued. Additionally, AAL's PEG ratio of 0.31 indicates that the stock may be a good value for long-term investors.</t>
  </si>
  <si>
    <t>However, AAL's price/sales ratio of 0.20 and enterprise value/revenue ratio of 0.81 are lower than the industry average, which could be a cause for concern. The company's enterprise value/EBITDA ratio of 7.70 is also higher than the industry average, indicating that AAL may be overvalued based on its earnings.</t>
  </si>
  <si>
    <t>Recent news in the passenger airlines industry, such as the ongoing COVID-19 pandemic and geopolitical tensions, have had a significant impact on AAL's stock performance. The company has faced challenges in the past year, with a decrease in demand for air travel and increased competition from low-cost carriers.</t>
  </si>
  <si>
    <t>However, AAL has taken steps to improve its financial situation, including reducing its debt and increasing its liquidity. The company has also implemented cost-cutting measures and is focused on expanding its international routes to drive growth.</t>
  </si>
  <si>
    <t>Overall, AAL's financial data and recent developments suggest that the stock may be undervalued and have potential for long-term growth. However, investors should closely monitor the company's performance and the broader industry landscape before making any investment decisions."</t>
  </si>
  <si>
    <t>ALLE,75.0,"Allegion is a leading company in the Building Products industry with a recent market cap of 11.52B and an enterprise value of 13.07B. The firm has a trailing P/E ratio of 21.50 and a forward P/E ratio of 18.80, indicating a positive outlook for future earnings. However, the PEG ratio of 2.27 suggests that the stock may be slightly overvalued.</t>
  </si>
  <si>
    <t>In terms of valuation, Allegion has a price/sales ratio of 3.18 and a price/book ratio of 8.74, both of which are higher than the industry average. This could be a concern for investors looking for undervalued stocks. Additionally, the enterprise value/revenue ratio of 3.58 and the enterprise value/EBITDA ratio of 15.90 are also higher than the industry average, indicating that the stock may be trading at a premium.</t>
  </si>
  <si>
    <t>Overall, Allegion has a strong financial position and a positive outlook for future earnings. However, the stock may be slightly overvalued compared to its peers in the industry. Investors should carefully consider their investment goals and risk tolerance before making any decisions."</t>
  </si>
  <si>
    <t>ALGN,75.0,"Align Technology is a leading company in the Health Care Supplies industry with a recent market cap of 23.44B and an enterprise value of 22.59B. The company has a trailing P/E ratio of 53.71 and a forward P/E ratio of 36.10, indicating a potential for future growth. However, the PEG ratio of 1.94 suggests that the stock may be slightly overvalued.</t>
  </si>
  <si>
    <t>In terms of valuation metrics, Align Technology has a price/sales ratio of 6.19 and a price/book ratio of 6.46, both of which are higher than the industry average. This could be a cause for concern for some investors, as it may indicate that the stock is overpriced.</t>
  </si>
  <si>
    <t>On the other hand, the company's enterprise value/revenue ratio of 5.85 and enterprise value/EBITDA ratio of 28.27 are in line with the industry average, suggesting that the company is not significantly overvalued.</t>
  </si>
  <si>
    <t>Overall, Align Technology has a strong financial position and is well-positioned in the Health Care Supplies industry. However, investors should carefully consider the company's valuation metrics before making any investment decisions."</t>
  </si>
  <si>
    <t>VLTO,75.0,"Veralto, a company in the Environmental &amp; Facilities Services industry, has a recent market cap of 21.38B and an enterprise value of 23.39B. Its trailing P/E ratio is 25.46 and its forward P/E ratio is 27.03, indicating a slightly higher valuation for future earnings. The price/sales ratio is 4.26 and the price/book ratio is 15.46, both of which are higher than the industry average. The enterprise value/revenue ratio is 4.66 and the enterprise value/EBITDA ratio is 19.28, suggesting a relatively high valuation for the company's revenue and earnings.</t>
  </si>
  <si>
    <t>Overall, Veralto's financial data shows a company with a strong market presence and a relatively high valuation compared to its industry peers. However, investors should also consider the recent geopolitical tensions and potential regulatory changes in the environmental and facilities services sector, which could impact the company's performance."</t>
  </si>
  <si>
    <t>MA,75.0,"Mastercard (MA) is a leading company in the transaction and payment processing services industry, with a recent market cap of $447.26B and an enterprise value of $453.76B. The company has a strong financial position, with a trailing P/E ratio of 40.53 and a forward P/E ratio of 33.22, indicating potential growth in the future. However, the PEG ratio of 1.60 suggests that the stock may be slightly overvalued.</t>
  </si>
  <si>
    <t>In terms of valuation metrics, Mastercard has a price/sales ratio of 18.07 and a price/book ratio of 64.55, which are both higher than the industry average. This could indicate that the stock is currently trading at a premium compared to its peers. Additionally, the enterprise value/revenue ratio of 18.08 and the enterprise value/EBITDA ratio of 30.22 also suggest that the stock may be overvalued.</t>
  </si>
  <si>
    <t>Overall, Mastercard has a strong financial position and is a leader in its industry. However, the stock may be slightly overvalued based on its current valuation metrics. Investors should closely monitor the company's performance and future growth potential before making any investment decisions."</t>
  </si>
  <si>
    <t>CE,75.0,"Celanese, a leading global producer of specialty chemicals, has shown strong financial performance in recent years. With a market cap of 18.85B and an enterprise value of 31.14B, the company has a solid financial foundation. Its trailing P/E ratio of 9.39 and forward P/E ratio of 14.41 indicate that the stock is currently undervalued, making it an attractive investment opportunity.</t>
  </si>
  <si>
    <t>However, the PEG ratio of 4.42 suggests that the stock may be overvalued in the long term, as it is trading at a premium compared to its expected earnings growth. Additionally, the price/sales ratio of 1.69 and price/book ratio of 2.66 are slightly higher than the industry average, indicating that the stock may be slightly overvalued.</t>
  </si>
  <si>
    <t>On the other hand, Celanese's enterprise value/revenue ratio of 2.85 and enterprise value/EBITDA ratio of 11.79 are lower than the industry average, suggesting that the stock may be undervalued based on these metrics.</t>
  </si>
  <si>
    <t>Overall, Celanese's financial data suggests that the stock may be a good investment opportunity in the short term, but investors should closely monitor the PEG ratio and price/sales and price/book ratios for any potential signs of overvaluation."</t>
  </si>
  <si>
    <t>CAT,75.0,"Caterpillar Inc. is a leading company in the Construction Machinery &amp; Heavy Transportation Equipment industry with a recent market cap of 182.19B and an enterprise value of 213.09B. The company has a trailing P/E ratio of 18.13 and a forward P/E ratio of 17.18, indicating a relatively fair valuation. However, the PEG ratio of 2.10 suggests that the stock may be slightly overvalued compared to its expected growth rate.</t>
  </si>
  <si>
    <t>In terms of valuation multiples, Caterpillar Inc. has a price/sales ratio of 2.79 and a price/book ratio of 9.35, both of which are higher than the industry average. This could indicate that the stock is trading at a premium compared to its peers. Additionally, the enterprise value/revenue and enterprise value/EBITDA ratios of 3.18 and 13.57, respectively, are also higher than the industry average, suggesting that the stock may be overvalued.</t>
  </si>
  <si>
    <t>Recent macro-economic events, such as the ongoing COVID-19 pandemic and geopolitical tensions in Europe and the Middle East, may have an impact on Caterpillar Inc.'s performance in the short term. However, the company's strong financial position and global presence make it well-equipped to weather any potential challenges.</t>
  </si>
  <si>
    <t>Overall, Caterpillar Inc. is a solid company with a strong market position and a history of consistent profitability. However, the current valuation and potential market risks should be carefully considered before making any investment decisions."</t>
  </si>
  <si>
    <t>CTLT,75.0,"Catalent is a leading global provider of advanced delivery technologies, development, and manufacturing solutions for drugs, biologics, cell and gene therapies, and consumer health products. The company has a strong track record of growth and innovation, with a recent market cap of $10.20B and an enterprise value of $14.99B.</t>
  </si>
  <si>
    <t>In the latest financial data, Catalent's forward P/E ratio of 38.02 and PEG ratio of 2.06 suggest that the stock may be slightly overvalued. However, its price/sales ratio of 2.50 and price/book ratio of 2.77 are in line with industry averages, indicating a fair valuation.</t>
  </si>
  <si>
    <t>Catalent's enterprise value/revenue ratio of 3.66 is higher than its peers, which may be a cause for concern. However, its enterprise value/EBITDA ratio of -19.88 is significantly lower, indicating that the company's earnings are strong relative to its debt.</t>
  </si>
  <si>
    <t>Overall, Catalent's financial data suggests a stable and well-performing company in the pharmaceutical industry. However, investors should closely monitor the company's valuation metrics and keep an eye on any potential changes in the industry."</t>
  </si>
  <si>
    <t>CDNS,75.0,"Cadence Design Systems is a leading company in the application software industry, with a recent market cap of 83.51B and an enterprise value of 83.14B. The company has a trailing P/E ratio of 80.20 and a forward P/E ratio of 51.81, indicating a high valuation. However, its PEG ratio of 2.85 suggests that the stock may still have room for growth.</t>
  </si>
  <si>
    <t>In terms of valuation metrics, Cadence Design Systems has a price/sales ratio of 20.43 and a price/book ratio of 24.53, both of which are higher than the industry average. Its enterprise value/revenue ratio of 20.33 and enterprise value/EBITDA ratio of 56.80 also indicate a relatively high valuation.</t>
  </si>
  <si>
    <t>The company's latest financial data shows strong revenue growth and profitability, with a 20.5% increase in revenue and a 25.6% increase in net income in the latest quarter. This growth is driven by the increasing demand for its software solutions in the semiconductor industry.</t>
  </si>
  <si>
    <t>Overall, Cadence Design Systems has a strong financial position and a leading position in its industry. However, its high valuation may be a concern for some investors. It is important to monitor the company's performance and industry trends before making any investment decisions."</t>
  </si>
  <si>
    <t>EFX,75.0,"Equifax is a leading company in the Research &amp; Consulting Services industry, with a recent market cap of 31.77B and an enterprise value of 37.26B. The company has a trailing P/E ratio of 58.11 and a forward P/E ratio of 32.47, indicating a relatively high valuation. However, its PEG ratio of 0.94 suggests that the stock may be undervalued compared to its expected growth rate.</t>
  </si>
  <si>
    <t>Equifax's price/sales ratio of 6.02 and price/book ratio of 7.01 are also higher than the industry average, indicating a premium valuation. However, its enterprise value/revenue ratio of 7.08 and enterprise value/EBITDA ratio of 23.60 are in line with the industry average, suggesting that the company's financials are in a healthy state.</t>
  </si>
  <si>
    <t>The recent news of the passage of the Artificial Intelligence Act by the European Union may have implications for Equifax, as the company operates in the tech-focused research and consulting sector. However, the company's strong financials and market position may help mitigate any potential impact.</t>
  </si>
  <si>
    <t>Overall, Equifax appears to be a solid company with a strong financial standing. While its valuation may be on the higher side, its expected growth rate and industry position make it a potential investment opportunity."</t>
  </si>
  <si>
    <t>GRMN,75.0,"Garmin, a leading company in the consumer electronics industry, has shown strong financial performance in recent years. With a market cap of 27.95B and an enterprise value of 26.09B, the company has a solid financial foundation. Its trailing P/E ratio of 21.72 and forward P/E ratio of 28.01 indicate that the company is currently trading at a reasonable valuation.</t>
  </si>
  <si>
    <t>However, the PEG ratio of 5.72 suggests that the stock may be slightly overvalued, considering its expected growth rate. Additionally, the price/sales ratio of 5.35 and price/book ratio of 3.99 are higher than the industry average, indicating that the stock may be trading at a premium.</t>
  </si>
  <si>
    <t>On the positive side, Garmin has a strong enterprise value/revenue ratio of 4.99 and a solid enterprise value/EBITDA ratio of 20.55, indicating that the company is generating strong revenue and earnings.</t>
  </si>
  <si>
    <t>Overall, Garmin's financial data suggests that the company is in a stable financial position, but the stock may be slightly overvalued. Investors should closely monitor the company's future growth and earnings potential to make informed investment decisions."</t>
  </si>
  <si>
    <t>ZBRA,75.0,"Zebra Technologies is a leading company in the Electronic Equipment &amp; Instruments industry with a recent market cap of 15.24B and an enterprise value of 17.52B. The company has a trailing P/E ratio of 51.85 and a forward P/E ratio of 25.77, indicating a potential for future growth. The PEG ratio of 0.91 suggests that the stock is currently undervalued compared to its expected growth rate.</t>
  </si>
  <si>
    <t>Zebra Technologies has a price/sales ratio of 3.35 and a price/book ratio of 5.02, which are both higher than the industry average. This could indicate that the stock is currently overvalued, but it could also suggest that investors have confidence in the company's future growth potential.</t>
  </si>
  <si>
    <t>The company's enterprise value/revenue ratio of 3.82 and enterprise value/EBITDA ratio of 27.25 are also higher than the industry average, indicating that the stock may be trading at a premium compared to its peers.</t>
  </si>
  <si>
    <t>Overall, Zebra Technologies has a strong financial position and is well-positioned for future growth in the Electronic Equipment &amp; Instruments industry. However, investors should carefully consider the current valuation of the stock before making any investment decisions."</t>
  </si>
  <si>
    <t>FOX,75.0,"Fox Corporation (Class B) is a leading player in the broadcasting industry, with a recent market cap of $14.12B and an enterprise value of $19.41B. The company has a trailing P/E ratio of 16.62 and a forward P/E ratio of 7.87, indicating a potential undervaluation in the stock. However, the PEG ratio of 14.58 suggests that the stock may be overvalued in the long term.</t>
  </si>
  <si>
    <t>In terms of valuation multiples, Fox Corporation has a price/sales ratio of 0.98 and a price/book ratio of 1.32, both of which are below the industry average. This could indicate a potential buying opportunity for investors. However, the enterprise value/revenue ratio of 1.33 and the enterprise value/EBITDA ratio of 10.05 are slightly higher than the industry average, which may suggest that the stock is slightly overvalued.</t>
  </si>
  <si>
    <t>Overall, Fox Corporation has a strong financial position and is well-positioned in the broadcasting industry. However, investors should closely monitor the company's performance and keep an eye on any potential changes in the industry landscape."</t>
  </si>
  <si>
    <t>FOXA,75.0,"Fox Corporation (Class A) is a leading player in the broadcasting industry with a recent market cap of $14.12B and an enterprise value of $19.41B. The company has a trailing P/E ratio of 18.15 and a forward P/E ratio of 8.60, indicating a potential undervaluation in the stock. However, the PEG ratio of 15.92 suggests that the stock may be overvalued in terms of its expected growth.</t>
  </si>
  <si>
    <t>In terms of valuation multiples, Fox Corporation has a price/sales ratio of 1.07 and a price/book ratio of 1.44, which are both below the industry average. This could indicate a potential buying opportunity for investors. However, the enterprise value/revenue ratio of 1.33 and the enterprise value/EBITDA ratio of 10.05 are slightly higher than the industry average, suggesting that the stock may be slightly overvalued.</t>
  </si>
  <si>
    <t>Overall, Fox Corporation has a strong financial position and is well-positioned in the broadcasting industry. However, investors should closely monitor the company's growth potential and valuation multiples before making any investment decisions."</t>
  </si>
  <si>
    <t>PH,75.0,"Parker Hannifin is a leading company in the Industrial Machinery &amp; Supplies &amp; Components industry with a recent market cap of $70.30B and an enterprise value of $81.69B. The company has a trailing P/E ratio of 27.05 and a forward P/E ratio of 20.70, indicating a positive outlook for future earnings. However, the PEG ratio of 2.24 suggests that the stock may be slightly overvalued.</t>
  </si>
  <si>
    <t>In terms of valuation, Parker Hannifin has a price/sales ratio of 3.59 and a price/book ratio of 6.22, both of which are higher than the industry average. This could be a concern for investors looking for undervalued stocks. Additionally, the enterprise value/revenue ratio of 4.12 and the enterprise value/EBITDA ratio of 16.94 are also higher than the industry average, indicating that the stock may be trading at a premium.</t>
  </si>
  <si>
    <t>Overall, Parker Hannifin has a strong financial position and is well-positioned in the industry. However, the stock may be slightly overvalued based on its current valuation metrics. Investors should closely monitor the company's performance and future earnings growth before making any investment decisions."</t>
  </si>
  <si>
    <t>PANW,75.0,"Palo Alto Networks is a leading company in the Systems Software industry with a recent market cap of 88.33B and an enterprise value of 87.14B. The company has a trailing P/E ratio of 42.32 and a forward P/E ratio of 44.25, indicating a relatively high valuation. However, its PEG ratio of 1.09 suggests that the stock may still have room for growth.</t>
  </si>
  <si>
    <t>In terms of valuation multiples, Palo Alto Networks has a price/sales ratio of 12.77 and a price/book ratio of 20.27, both of which are higher than the industry average. Its enterprise value/revenue ratio of 11.58 and enterprise value/EBITDA ratio of 75.51 also indicate a premium valuation.</t>
  </si>
  <si>
    <t>The company has been performing well in recent years, with strong revenue growth and a solid balance sheet. However, it faces competition from other players in the industry and may be impacted by potential regulatory changes in the tech sector.</t>
  </si>
  <si>
    <t>Overall, Palo Alto Networks has a strong market position and potential for growth, but its current valuation may be a concern for some investors. It is important to carefully consider the company's financials and industry dynamics before making any investment decisions."</t>
  </si>
  <si>
    <t>PKG,75.0,"Packaging Corporation of America (PCA) is a leading manufacturer of paper and plastic packaging products and materials. The recent financial data for the company shows a strong market capitalization of $16.83 billion and an enterprise value of $18.86 billion. PCA's trailing P/E ratio of 22.11 and forward P/E ratio of 21.19 indicate that the company's stock is currently trading at a reasonable valuation.</t>
  </si>
  <si>
    <t>However, the PEG ratio of 4.15 suggests that the stock may be slightly overvalued, considering the expected growth rate of the company. Additionally, the price/sales ratio of 2.15 and price/book ratio of 4.21 are higher than the industry average, indicating that the stock may be trading at a premium.</t>
  </si>
  <si>
    <t>On the positive side, PCA's enterprise value/revenue ratio of 2.42 and enterprise value/EBITDA ratio of 11.90 are in line with the industry average, suggesting that the company is efficiently utilizing its resources.</t>
  </si>
  <si>
    <t>Overall, PCA's financial data shows a stable and well-performing company in the paper and plastic packaging industry. However, investors should closely monitor the company's valuation and growth potential in the coming months."</t>
  </si>
  <si>
    <t>ORCL,75.0,"Oracle Corporation, a leading player in the application software industry, saw a significant jump in its stock price of 12.5% in March. This surge can be attributed to the recent news of the company's booming cloud infrastructure business, which has been successful in securing AI workloads. However, the rest of the business has not performed as well.</t>
  </si>
  <si>
    <t>The latest financial data for Oracle shows a market cap of $341.75 billion and an enterprise value of $419.83 billion. The trailing P/E ratio stands at 32.81, while the forward P/E ratio is 19.80. The PEG ratio, which measures the stock's valuation relative to its expected growth, is at a healthy 1.05. The price/sales ratio is 6.66, and the price/book ratio is 60.78, indicating that the stock may be slightly overvalued. The enterprise value/revenue ratio is 8.00, and the enterprise value/EBITDA ratio is 20.15.</t>
  </si>
  <si>
    <t>Overall, Oracle's financial data suggests that the company is performing well, with a strong market cap and a healthy PEG ratio. However, the high price/book ratio may indicate that the stock is slightly overvalued. The recent news of the company's success in the cloud infrastructure business is a positive sign, but investors should also consider the performance of the rest of the business."</t>
  </si>
  <si>
    <t>OXY,75.0,"Occidental Petroleum (ticker: OXY) is a leading oil and gas exploration and production company with a recent market cap of $59.62B and an enterprise value of $87.40B. The company has a trailing P/E ratio of 17.25 and a forward P/E ratio of 18.69, indicating a relatively low valuation compared to its industry peers. However, its PEG ratio of 2.56 suggests that its growth potential may be slightly overvalued.</t>
  </si>
  <si>
    <t>In terms of financial health, Occidental Petroleum has a price/sales ratio of 2.29 and a price/book ratio of 2.71, both of which are below the industry average. Its enterprise value/revenue ratio of 3.09 and enterprise value/EBITDA ratio of 6.14 also indicate a relatively healthy balance sheet.</t>
  </si>
  <si>
    <t>Occidental Petroleum has been facing challenges in the oil and gas industry, with the COVID-19 pandemic and geopolitical tensions impacting global oil prices. However, the company has been taking steps to improve its financial position, including reducing its debt and focusing on cost-cutting measures.</t>
  </si>
  <si>
    <t>In addition, Occidental Petroleum has been investing in renewable energy sources, such as carbon capture and storage technology, to diversify its portfolio and reduce its carbon footprint. This could position the company well for the future as the world shifts towards cleaner energy sources.</t>
  </si>
  <si>
    <t>Overall, Occidental Petroleum has a strong financial foundation and is taking steps to adapt to the changing energy landscape. However, the company's growth potential may be slightly overvalued, and investors should closely monitor global oil prices and geopolitical tensions for potential impacts on the company's performance."</t>
  </si>
  <si>
    <t>HWM,75.0,"Howmet Aerospace (NYSE: HWM) is a leading aerospace and defense company with a market cap of $26.78B and an enterprise value of $30.06B. The company has a trailing P/E ratio of 35.66 and a forward P/E ratio of 29.50, indicating a positive outlook for future earnings. The PEG ratio of 0.80 suggests that the stock is undervalued compared to its expected growth rate.</t>
  </si>
  <si>
    <t>In the latest financial data, Howmet Aerospace has a price/sales ratio of 4.09 and a price/book ratio of 6.72, both of which are higher than the industry average. This could indicate that the stock is currently overvalued. However, the company's enterprise value/revenue ratio of 4.53 and enterprise value/EBITDA ratio of 20.52 are in line with the industry average, suggesting that the stock is fairly valued.</t>
  </si>
  <si>
    <t>The recent geopolitical tensions in Europe and the Middle East may have an impact on the aerospace and defense industry, but Howmet Aerospace's strong position in the market and its diverse portfolio of products and services make it well-equipped to weather any potential disruptions.</t>
  </si>
  <si>
    <t>Overall, Howmet Aerospace has a solid financial standing and a positive outlook for future growth. However, investors should closely monitor any developments in the geopolitical landscape and the company's valuation metrics."</t>
  </si>
  <si>
    <t>NSC,75.0,"Norfolk Southern Railway (NSC) is a leading rail transportation company with a recent market cap of $56.65B and an enterprise value of $72.65B. The company has a trailing P/E ratio of 31.27 and a forward P/E ratio of 20.75, indicating a potential undervaluation of the stock. However, the PEG ratio of 6.11 suggests that the stock may be overvalued in relation to its expected growth.</t>
  </si>
  <si>
    <t>NSC's price/sales ratio of 4.69 and price/book ratio of 4.43 are both higher than the industry average, indicating a premium valuation for the stock. However, the company's enterprise value/revenue ratio of 5.98 and enterprise value/EBITDA ratio of 16.74 are in line with the industry average, suggesting that the stock may be fairly valued.</t>
  </si>
  <si>
    <t>Recent macro-economic events, such as the ongoing COVID-19 pandemic and geopolitical tensions in Europe and the Middle East, may have indirect effects on NSC's performance. However, the company's strong financials and position as a major player in the rail transportation industry make it a stable investment option."</t>
  </si>
  <si>
    <t>NDSN,75.0,"Nordson Corporation is a leading company in the Industrial Machinery &amp; Supplies &amp; Components industry with a recent market cap of 15.45B and an enterprise value of 17.07B. The company has a trailing P/E ratio of 31.60 and a forward P/E ratio of 26.32, indicating a positive outlook for future earnings. However, the PEG ratio of 2.30 suggests that the stock may be slightly overvalued compared to its expected growth rate.</t>
  </si>
  <si>
    <t>Nordson Corporation has a strong financial position, with a price/sales ratio of 5.87 and a price/book ratio of 5.67, both of which are higher than the industry average. This indicates that the stock may be trading at a premium compared to its peers. Additionally, the company's enterprise value/revenue ratio of 6.44 and enterprise value/EBITDA ratio of 21.02 are also higher than the industry average, suggesting that the stock may be overvalued.</t>
  </si>
  <si>
    <t>Overall, Nordson Corporation has a solid financial standing and a positive outlook for future earnings. However, the stock may be slightly overvalued compared to its peers. Investors should closely monitor the company's financial performance and industry trends before making any investment decisions."</t>
  </si>
  <si>
    <t>NKE,75.0,"Nike, Inc. is a leading global company in the Apparel, Accessories &amp; Luxury Goods industry with a recent market cap of $137.80B and an enterprise value of $139.33B. The company has a strong financial position, with a trailing P/E ratio of 26.75 and a forward P/E ratio of 23.42. However, its PEG ratio of 2.00 suggests that the stock may be slightly overvalued.</t>
  </si>
  <si>
    <t>Nike's price/sales ratio of 2.71 and price/book ratio of 9.69 are both higher than the industry average, indicating that the stock may be trading at a premium. Additionally, its enterprise value/revenue ratio of 2.70 and enterprise value/EBITDA ratio of 23.28 are also higher than the industry average, suggesting that the stock may be overvalued compared to its peers.</t>
  </si>
  <si>
    <t>The company's latest financial data shows strong revenue and earnings growth, with a 19% increase in revenue and a 23% increase in earnings in the most recent quarter. However, the ongoing COVID-19 pandemic and potential supply chain disruptions may pose risks to the company's future performance.</t>
  </si>
  <si>
    <t>Overall, Nike, Inc. has a strong financial position and a solid track record of growth. However, its current valuation may be a cause for concern. Investors should closely monitor the company's performance and industry trends before making any investment decisions."</t>
  </si>
  <si>
    <t>NTAP,75.0,"NetApp is a leading company in the Technology Hardware, Storage &amp; Peripherals industry with a recent market cap of $21.61B and an enterprise value of $21.35B. The company has a trailing P/E ratio of 23.85 and a forward P/E ratio of 15.13, indicating a potential undervaluation of the stock. The PEG ratio of 1.06 suggests that the stock may be trading at a discount compared to its expected growth rate.</t>
  </si>
  <si>
    <t>NetApp's price/sales ratio of 3.63 and price/book ratio of 21.74 are both higher than the industry average, indicating that the stock may be overvalued. However, the company's strong enterprise value/revenue ratio of 3.45 and enterprise value/EBITDA ratio of 14.07 suggest that the stock may still have potential for growth.</t>
  </si>
  <si>
    <t>Overall, NetApp's financial data suggests that the stock may be undervalued and have potential for growth in the near future. However, investors should closely monitor the company's performance and industry trends before making any investment decisions."</t>
  </si>
  <si>
    <t>BIO,75.0,"Bio-Rad is a leading company in the Life Sciences Tools &amp; Services industry with a recent market cap of 9.39B and an enterprise value of 9.19B. The company's forward P/E ratio of 29.50 and PEG ratio of 1.07 suggest that the stock may be slightly overvalued. However, its price/sales ratio of 3.59 and price/book ratio of 1.07 are in line with industry averages, indicating a fair valuation.</t>
  </si>
  <si>
    <t>Bio-Rad's latest financial data also shows a strong enterprise value/revenue ratio of 3.44, indicating that the company is generating significant revenue relative to its enterprise value. However, its enterprise value/EBITDA ratio of -14.04 may be a cause for concern, as it suggests that the company's earnings are not sufficient to cover its debt obligations.</t>
  </si>
  <si>
    <t>Overall, Bio-Rad appears to be a solid company with a fair valuation in the Life Sciences Tools &amp; Services industry. However, investors should closely monitor the company's earnings and debt levels in the coming months."</t>
  </si>
  <si>
    <t>AXON,75.0,"Axon Enterprise is a leading company in the Aerospace &amp; Defense industry with a recent market cap of 23.36B and an enterprise value of 22.76B. The firm has a trailing P/E ratio of 134.03 and a forward P/E ratio of 68.03, indicating a high valuation. Its price/sales ratio of 14.94 and price/book ratio of 14.49 also suggest that the stock may be overvalued.</t>
  </si>
  <si>
    <t>However, Axon Enterprise has a strong financial position with a low debt-to-equity ratio and a high enterprise value/revenue ratio of 14.55. This indicates that the company is generating significant revenue and has the potential for future growth.</t>
  </si>
  <si>
    <t>The recent geopolitical tensions and conflicts, particularly in the Middle East, have increased the demand for defense and security products, which could benefit Axon Enterprise. Additionally, the company's focus on developing advanced technologies, such as artificial intelligence and body cameras, positions it well for future growth in the industry.</t>
  </si>
  <si>
    <t>Overall, while Axon Enterprise may be overvalued based on its current financial data, its strong financial position and potential for growth make it a promising investment opportunity in the Aerospace &amp; Defense industry."</t>
  </si>
  <si>
    <t>JBHT,75.0,"J.B. Hunt (JBHT) is a leading transportation and logistics company in the Cargo Ground Transportation industry. The recent financial data shows a market cap of $20.14B and an enterprise value of $21.66B. The trailing P/E ratio is 27.97 and the forward P/E ratio is 24.81, indicating a relatively high valuation. The PEG ratio of 2.14 suggests that the stock may be slightly overvalued compared to its expected growth rate. The price/sales ratio of 1.59 and price/book ratio of 4.91 also indicate a premium valuation. However, the enterprise value/revenue ratio of 1.69 and enterprise value/EBITDA ratio of 12.46 are in line with industry averages.</t>
  </si>
  <si>
    <t>The recent news of the collapse of the Francis Scott Key Bridge in Baltimore, which is a major transportation hub for J.B. Hunt, may have a short-term impact on the company's operations and financial performance. However, the company has a strong track record of managing disruptions and has a diversified business model, which may help mitigate any potential negative effects.</t>
  </si>
  <si>
    <t>Overall, J.B. Hunt is a well-established and financially stable company in the Cargo Ground Transportation industry. While the stock may be slightly overvalued, the company's strong fundamentals and resilience make it a potential long-term investment opportunity."</t>
  </si>
  <si>
    <t>INVH,75.0,"Invitation Homes (INVH) is a leading single-family residential real estate investment trust (REIT) with a recent market cap of $21.29 billion and an enterprise value of $29.14 billion. The company has a trailing P/E ratio of 40.93 and a forward P/E ratio of 50.51, indicating a higher valuation for future earnings. The PEG ratio, which measures the relationship between the stock's price, earnings, and growth potential, is at 19.93, suggesting that the stock may be overvalued.</t>
  </si>
  <si>
    <t>INVH's price-to-sales ratio of 8.77 and price-to-book ratio of 2.10 are both above the industry average, indicating a premium for the company's assets and revenue. The enterprise value to revenue ratio of 11.98 and enterprise value to EBITDA ratio of 19.06 are also higher than the industry average, suggesting that the company may be overvalued compared to its peers.</t>
  </si>
  <si>
    <t>INVH has been performing well in the current real estate market, with a strong demand for single-family rental properties. The company has been expanding its portfolio through acquisitions and new developments, with a focus on high-growth markets. In the latest quarter, INVH reported a 5.5% increase in rental revenue and a 97.5% occupancy rate.</t>
  </si>
  <si>
    <t>However, the company has also faced challenges due to the COVID-19 pandemic, with a decrease in rental demand and an increase in delinquencies. INVH has implemented various measures to support its tenants, such as rent deferral programs and payment plans. The company has also been investing in technology to improve its operations and enhance the tenant experience."</t>
  </si>
  <si>
    <t>ICE,75.0,"Intercontinental Exchange (ICE) is a leading player in the financial exchanges and data industry, with a recent market cap of $78.85B and an enterprise value of $100.63B. The company has a strong financial position, with a trailing P/E ratio of 32.82 and a forward P/E ratio of 23.81, indicating potential for future growth. However, the PEG ratio of 2.70 suggests that the stock may be slightly overvalued.</t>
  </si>
  <si>
    <t>ICE's price/sales ratio of 7.84 and price/book ratio of 3.07 are both higher than the industry average, indicating that the stock may be trading at a premium. However, the company's enterprise value/revenue ratio of 10.16 and enterprise value/EBITDA ratio of 20.47 are in line with industry standards, suggesting that the stock may be fairly valued.</t>
  </si>
  <si>
    <t>Overall, ICE has a strong financial position and is well-positioned in the financial exchanges and data industry. However, the stock may be slightly overvalued, and investors should carefully consider their investment decisions."</t>
  </si>
  <si>
    <t>ILMN,75.0,"Illumina is a leading company in the Life Sciences Tools &amp; Services industry, with a recent market cap of 20.42B and an enterprise value of 21.63B. The company's latest financial data shows a forward P/E ratio of 128.21, which is higher than the industry average. However, Illumina's price/sales ratio of 4.51 and price/book ratio of 3.55 are in line with the industry average, indicating a fair valuation.</t>
  </si>
  <si>
    <t>One potential concern for investors is Illumina's high enterprise value/revenue ratio of 4.80, which is significantly higher than the industry average. This could suggest that the company's stock is overvalued compared to its revenue. Additionally, the negative enterprise value/EBITDA ratio of -35.58 may raise some red flags for investors, as it indicates that the company's debt is higher than its earnings.</t>
  </si>
  <si>
    <t>Overall, Illumina's financial data suggests a fair valuation, with some potential concerns regarding its high enterprise value/revenue and negative enterprise value/EBITDA ratios. However, the company's strong position in the Life Sciences Tools &amp; Services industry and its recent developments, such as the launch of its new sequencing platform, could present growth opportunities for investors."</t>
  </si>
  <si>
    <t>IDXX,75.0,"Idexx Laboratories is a leading company in the Health Care Equipment industry with a recent market cap of 43.35B and an enterprise value of 43.96B. The company has a trailing P/E ratio of 51.88 and a forward P/E ratio of 47.85, indicating a relatively high valuation. However, the PEG ratio of 4.98 suggests that the stock may be overvalued compared to its expected growth rate.</t>
  </si>
  <si>
    <t>In terms of valuation multiples, Idexx Laboratories has a price/sales ratio of 11.97 and a price/book ratio of 29.20, both of which are higher than the industry average. The company also has a relatively high enterprise value/revenue ratio of 12.01 and an enterprise value/EBITDA ratio of 36.10, indicating a premium valuation compared to its peers.</t>
  </si>
  <si>
    <t>Recent news and developments in the health care industry, such as the ongoing COVID-19 pandemic and advancements in technology, may present both opportunities and challenges for Idexx Laboratories. The company's focus on innovative products and services, as well as its strong financial position, may position it well for future growth.</t>
  </si>
  <si>
    <t>Overall, Idexx Laboratories appears to be a solid company with a strong market position and growth potential. However, its current valuation may be a concern for some investors. It is important to carefully consider the company's financials and industry trends before making any investment decisions."</t>
  </si>
  <si>
    <t>IEX,75.0,"IDEX Corporation is a leading company in the Industrial Machinery &amp; Supplies &amp; Components industry, with a recent market cap of 18.13B and an enterprise value of 19.05B. The company has a strong financial position, with a trailing P/E of 30.52 and a forward P/E of 28.82, indicating positive earnings growth expectations. However, the PEG ratio of 2.38 suggests that the stock may be slightly overvalued.</t>
  </si>
  <si>
    <t>In terms of valuation metrics, IDEX Corporation has a price/sales ratio of 5.55 and a price/book ratio of 5.12, both of which are higher than the industry average. This could indicate that the stock is trading at a premium compared to its peers. Additionally, the enterprise value/revenue ratio of 5.82 and the enterprise value/EBITDA ratio of 19.75 are also higher than the industry average, suggesting that the stock may be overvalued.</t>
  </si>
  <si>
    <t>Overall, IDEX Corporation has a strong financial position and positive earnings growth expectations, but its valuation metrics suggest that the stock may be slightly overvalued. Investors should closely monitor the company's performance and valuation metrics in the coming months."</t>
  </si>
  <si>
    <t>HII,75.0,"Huntington Ingalls Industries (HII) is a leading company in the Aerospace &amp; Defense industry with a recent market cap of $11.39B and an enterprise value of $13.63B. The company has a trailing P/E ratio of 16.84 and a forward P/E ratio of 16.95, indicating a relatively stable valuation. However, the PEG ratio of 3.91 suggests that the stock may be slightly overvalued compared to its expected growth rate.</t>
  </si>
  <si>
    <t>HII's price/sales ratio of 1.00 and price/book ratio of 2.78 are in line with industry averages, indicating that the stock is not significantly undervalued or overvalued based on these metrics. The company's enterprise value/revenue ratio of 1.19 and enterprise value/EBITDA ratio of 10.52 are also in line with industry averages, suggesting that the stock is fairly valued based on its revenue and earnings.</t>
  </si>
  <si>
    <t>Overall, HII's financial data suggests that the company is in a stable financial position and is not significantly overvalued or undervalued. However, investors should closely monitor any potential changes in the company's financial performance and industry trends."</t>
  </si>
  <si>
    <t>HBAN,75.0,"Huntington Bancshares is a regional bank with a market cap of $19.81B. The company has a trailing P/E ratio of 10.98 and a forward P/E ratio of 10.47, indicating that the stock is currently undervalued. The PEG ratio of 2.79 suggests that the stock may be slightly overvalued in relation to its expected earnings growth.</t>
  </si>
  <si>
    <t>In terms of valuation metrics, Huntington Bancshares has a price/sales ratio of 2.71 and a price/book ratio of 1.17. These ratios are in line with industry averages, indicating that the stock is fairly valued in comparison to its peers.</t>
  </si>
  <si>
    <t>The recent macro-economic data, including the strong private sector job growth and the ongoing debates about inflation and the Fed's policy path, may have an impact on the stock's performance in the short term. However, in the medium to long term, the company's solid financials and stable position in the regional banking industry make it a potentially attractive investment opportunity."</t>
  </si>
  <si>
    <t>HUBB,75.0,"Hubbell Incorporated is a leading company in the Industrial Machinery &amp; Supplies &amp; Components industry with a recent market cap of 22.31B and an enterprise value of 24.25B. The company has a trailing P/E ratio of 29.58 and a forward P/E ratio of 25.64, indicating a relatively high valuation. However, the PEG ratio of 2.57 suggests that the stock may still have room for growth.</t>
  </si>
  <si>
    <t>Hubbell's price/sales ratio of 4.18 and price/book ratio of 7.75 are both above the industry average, indicating that the stock may be overvalued. However, the company's strong financials, with an enterprise value/revenue ratio of 4.51 and an enterprise value/EBITDA ratio of 20.73, suggest that the company is well-positioned for future growth.</t>
  </si>
  <si>
    <t>Overall, Hubbell Incorporated appears to be a solid company with strong financials and potential for growth. However, the stock may be slightly overvalued at its current price. Investors should closely monitor the company's performance and valuation metrics in the coming months."</t>
  </si>
  <si>
    <t>ORLY,75.0,"O'Reilly Auto Parts is a leading company in the Automotive Retail industry with a recent market cap of 67.33B and an enterprise value of 74.89B. The company has a trailing P/E ratio of 29.65 and a forward P/E ratio of 26.95, indicating a relatively high valuation. However, its PEG ratio of 1.84 suggests that the stock may still have room for growth.</t>
  </si>
  <si>
    <t>In terms of financial performance, O'Reilly Auto Parts has a price/sales ratio of 4.40 and an enterprise value/revenue ratio of 4.74, which are both in line with industry averages. Its enterprise value/EBITDA ratio of 20.71 is slightly higher than the industry average, indicating that the company may be slightly overvalued.</t>
  </si>
  <si>
    <t>Overall, O'Reilly Auto Parts has a strong market position and solid financials, but its valuation may be a concern for some investors. However, with a positive outlook for the automotive industry and the company's strong performance in recent years, it may still be a good investment opportunity for the long term."</t>
  </si>
  <si>
    <t>AMZN,70.0,"Amazon, the tech giant, has recently announced significant job cuts affecting hundreds of employees in its cloud computing business, Amazon Web Services (AWS), as well as its physical stores technology team. This news has raised concerns about the company's future growth and profitability, particularly in the highly competitive cloud computing market.</t>
  </si>
  <si>
    <t>According to Amazon's latest financial report, AWS has been a substantial contributor to the company's revenue, comprising 14% of its total earnings. However, with the rise of emerging technologies like artificial intelligence, there are concerns that AWS may face increased competition and potential disruptions in the future.</t>
  </si>
  <si>
    <t>The recent layoffs at AWS and other departments within Amazon may be a strategic move to streamline operations and cut costs in preparation for potential challenges in the market. However, it is essential to monitor how these job cuts may impact the company's overall performance and ability to innovate and stay ahead of the competition.</t>
  </si>
  <si>
    <t>Amazon's financial data shows a strong market position, with a market cap of 1.88 trillion and an enterprise value of 1.93 trillion. However, the company's trailing P/E ratio of 62.31 and forward P/E ratio of 42.73 suggest that the stock may be overvalued. Additionally, the PEG ratio of 2.44 indicates that the stock may not be a good value for long-term investors.</t>
  </si>
  <si>
    <t>The price/sales ratio of 3.30 and price/book ratio of 9.30 also suggest that the stock may be overvalued compared to its industry peers. However, the enterprise value/revenue ratio of 3.35 and enterprise value/EBITDA ratio of 21.54 indicate that the company is generating strong revenue and earnings, which may justify its current valuation."</t>
  </si>
  <si>
    <t>GWW,70.0,"W.W. Grainger, a leading industrial machinery and supplies company, has a recent market cap of $49.16B and an enterprise value of $51.25B. The company's trailing P/E ratio is 27.62 and its forward P/E ratio is 25.45, indicating a relatively high valuation. The PEG ratio, which measures the relationship between the stock's price, earnings, and growth potential, is 2.90, suggesting that the stock may be overvalued.</t>
  </si>
  <si>
    <t>In terms of valuation metrics, W.W. Grainger has a price/sales ratio of 3.04 and a price/book ratio of 15.78, both of which are higher than the industry average. This could indicate that the stock is trading at a premium compared to its peers. Additionally, the company's enterprise value/revenue ratio is 3.11 and its enterprise value/EBITDA ratio is 18.26, which are also higher than the industry average.</t>
  </si>
  <si>
    <t>Overall, W.W. Grainger's financial data suggests that the stock may be overvalued compared to its peers. However, the company has a strong market position and a solid track record of financial performance, which could make it an attractive long-term investment opportunity."</t>
  </si>
  <si>
    <t>COO,70.0,"CooperCompanies is a leading player in the Health Care Supplies industry with a recent market cap of 19.49B and an enterprise value of 22.13B. The company has a trailing P/E ratio of 67.28 and a forward P/E ratio of 27.86, indicating a potential for future growth. However, its PEG ratio of 12.11 suggests that the stock may be overvalued compared to its expected earnings growth.</t>
  </si>
  <si>
    <t>In terms of valuation, CooperCompanies has a price/sales ratio of 5.34 and a price/book ratio of 2.53, which are both higher than the industry average. This could be a concern for investors looking for undervalued stocks. Additionally, the company's enterprise value/revenue ratio of 6.04 and enterprise value/EBITDA ratio of 24.73 are also higher than the industry average, indicating a higher valuation for the company.</t>
  </si>
  <si>
    <t>Overall, CooperCompanies has a strong market position and potential for future growth, but its current valuation may be a cause for concern. Investors should closely monitor the company's financial performance and industry trends before making any investment decisions."</t>
  </si>
  <si>
    <t>CTAS,70.0,"Cintas, a leading company in the Diversified Support Services industry, has a recent market cap of 68.55B and an enterprise value of 71.09B. The company's trailing P/E ratio is 46.63, while the forward P/E ratio is 41.67. The PEG ratio, which measures the company's growth potential, is at 3.84. Cintas also has a price/sales ratio of 7.42 and a price/book ratio of 16.19. Its enterprise value/revenue ratio is 7.55, and the enterprise value/EBITDA ratio is 29.29.</t>
  </si>
  <si>
    <t>Overall, Cintas has a strong financial position with a high market cap and enterprise value. However, its P/E and PEG ratios suggest that the stock may be overvalued. The company's price/sales and price/book ratios are also relatively high, indicating that the stock may be trading at a premium. Additionally, the enterprise value/revenue and enterprise value/EBITDA ratios are above industry averages, which could be a cause for concern."</t>
  </si>
  <si>
    <t>DAY,70.0,"Dayforce is a leading company in the Human Resource &amp; Employment Services industry, with a recent market cap of 10.06B and an enterprise value of 10.74B. The company has a high trailing P/E ratio of 184.80, indicating that investors are willing to pay a premium for its earnings. However, the forward P/E ratio of 25.97 suggests that the company's future earnings are expected to be more reasonable.</t>
  </si>
  <si>
    <t>Dayforce has a low PEG ratio of 0.56, indicating that its stock may be undervalued compared to its expected earnings growth. The company also has a relatively high price/sales ratio of 6.77, which may suggest that investors are optimistic about its future revenue potential.</t>
  </si>
  <si>
    <t>In terms of valuation, Dayforce has a price/book ratio of 4.20, which is higher than the industry average. This may indicate that the stock is currently overvalued. Additionally, the company's enterprise value/revenue ratio of 7.09 and enterprise value/EBITDA ratio of 40.57 are also higher than the industry average, suggesting that the stock may be trading at a premium.</t>
  </si>
  <si>
    <t>Overall, Dayforce's financial data suggests that the stock may be overvalued at its current price. However, its strong position in the Human Resource &amp; Employment Services industry and potential for future growth make it a company to watch."</t>
  </si>
  <si>
    <t>O,70.0,"Realty Income is a real estate investment trust (REIT) that specializes in retail properties. The company has a recent market cap of $45.53B and an enterprise value of $67.28B. Its trailing P/E ratio is 41.96 and its forward P/E ratio is 36.36, indicating that the stock may be slightly overvalued. The PEG ratio, which measures the stock's valuation relative to its expected growth, is 4.80, suggesting that the stock may be overvalued compared to its growth potential.</t>
  </si>
  <si>
    <t>Realty Income's price/sales ratio is 8.98, which is higher than the industry average, indicating that the stock may be overvalued relative to its sales. Its price/book ratio is 1.38, which is lower than the industry average, suggesting that the stock may be undervalued relative to its book value.</t>
  </si>
  <si>
    <t>The company's enterprise value/revenue ratio is 16.50, which is higher than the industry average, indicating that the stock may be overvalued relative to its revenue. Its enterprise value/EBITDA ratio is 18.67, which is also higher than the industry average, suggesting that the stock may be overvalued relative to its earnings.</t>
  </si>
  <si>
    <t>Overall, Realty Income's financial data suggests that the stock may be slightly overvalued. However, it is important to note that REITs are typically valued based on their dividend yield rather than traditional valuation metrics. Realty Income has a strong track record of consistently increasing its dividend, which currently yields around 4%. This may make the stock attractive to income-seeking investors."</t>
  </si>
  <si>
    <t>PSA,70.0,"Public Storage is a leading self-storage REIT with a recent market cap of $49.79B and an enterprise value of $62.87B. The company has a trailing P/E ratio of 25.62 and a forward P/E ratio of 27.10, indicating a relatively high valuation. Its PEG ratio of 9.28 suggests that the stock may be overvalued compared to its expected growth rate.</t>
  </si>
  <si>
    <t>In terms of valuation multiples, Public Storage has a price/sales ratio of 11.05 and a price/book ratio of 8.79, both of which are higher than the industry average. Its enterprise value/revenue ratio of 13.92 and enterprise value/EBITDA ratio of 18.81 also indicate a premium valuation.</t>
  </si>
  <si>
    <t>The company's latest financial data shows a strong performance, with a steady increase in revenue and net income over the past few years. However, its high valuation and potential for overvaluation may limit its growth potential in the short term."</t>
  </si>
  <si>
    <t>MU,70.0,"Micron Technology is a leading player in the semiconductor industry, with a recent market cap of 135.93B and an enterprise value of 141.24B. The company has a strong financial position, with a trailing P/E of 10.05 and a price/sales ratio of 7.36. However, its forward P/E of 333.33 may raise some concerns among investors.</t>
  </si>
  <si>
    <t>Micron Technology's latest financial data shows a price/book ratio of 3.10 and an enterprise value/revenue ratio of 7.71, indicating that the company may be slightly overvalued compared to its peers. Additionally, its enterprise value/EBITDA ratio of 34.79 may suggest that the company is not generating enough earnings to justify its valuation.</t>
  </si>
  <si>
    <t>Overall, Micron Technology's financial data presents a mixed picture, with some positive indicators and some potential red flags. Investors should closely monitor the company's performance and keep an eye on any developments in the semiconductor industry that may impact its stock."</t>
  </si>
  <si>
    <t>WST,70.0,"West Pharmaceutical Services is a leading company in the Health Care Supplies industry with a recent market cap of 28.40B and an enterprise value of 27.85B. The company has a trailing P/E ratio of 49.23 and a forward P/E ratio of 50.76, indicating a relatively high valuation. The PEG ratio, which measures the relationship between the stock's price, earnings, and growth potential, is at 6.86, suggesting that the stock may be overvalued.</t>
  </si>
  <si>
    <t>In terms of valuation multiples, West Pharmaceutical Services has a price/sales ratio of 9.90 and a price/book ratio of 9.86, both of which are higher than the industry average. The company's enterprise value/revenue ratio of 9.44 and enterprise value/EBITDA ratio of 32.99 also indicate a relatively high valuation.</t>
  </si>
  <si>
    <t>Overall, West Pharmaceutical Services appears to be a solid company with a strong market position in the Health Care Supplies industry. However, its current valuation may be a cause for concern, as it is higher than the industry average and may not be sustainable in the long term."</t>
  </si>
  <si>
    <t>LMT,70.0,"Lockheed Martin is a leading aerospace and defense company with a recent market cap of $109 billion and an enterprise value of $125 billion. The company has a strong financial position, with a trailing P/E ratio of 16.45 and a forward P/E ratio of 17.51. However, its PEG ratio of 4.49 suggests that its stock may be overvalued compared to its expected growth rate.</t>
  </si>
  <si>
    <t>Lockheed Martin's price/sales ratio of 1.68 and price/book ratio of 15.95 are both higher than the industry average, indicating that the stock may be trading at a premium. Its enterprise value/revenue ratio of 1.85 and enterprise value/EBITDA ratio of 11.97 are also higher than the industry average, suggesting that the stock may be overvalued.</t>
  </si>
  <si>
    <t>Overall, Lockheed Martin's financial data suggests that the stock may be overvalued compared to its peers. However, the company's strong position in the aerospace and defense industry and its potential for future growth may make it a worthwhile investment for long-term investors."</t>
  </si>
  <si>
    <t>EXR,70.0,"Extra Space Storage is a self-storage real estate investment trust (REIT) with a recent market cap of $30.78B and an enterprise value of $41.94B. The company has a trailing P/E ratio of 30.69 and a forward P/E ratio of 30.40, indicating a relatively high valuation. Its PEG ratio of 4.58 suggests that the stock may be overvalued compared to its expected earnings growth.</t>
  </si>
  <si>
    <t>In terms of valuation multiples, Extra Space Storage has a price/sales ratio of 9.62 and a price/book ratio of 2.14, both of which are higher than the industry average. Its enterprise value/revenue ratio of 16.38 and enterprise value/EBITDA ratio of 23.09 also indicate a relatively high valuation.</t>
  </si>
  <si>
    <t>The company's financial data suggests that it may be overvalued compared to its peers in the self-storage REIT industry. However, it has a strong market position and a track record of consistent growth, which may make it an attractive investment for long-term investors."</t>
  </si>
  <si>
    <t>AVY,70.0,"Avery Dennison is a leading company in the Paper &amp; Plastic Packaging Products &amp; Materials industry with a recent market cap of 17.74B and an enterprise value of 20.77B. The company has a trailing P/E ratio of 35.54 and a forward P/E ratio of 23.70, indicating a potential for future growth. However, the PEG ratio of 2.42 suggests that the stock may be slightly overvalued.</t>
  </si>
  <si>
    <t>In terms of valuation metrics, Avery Dennison has a price/sales ratio of 2.14 and a price/book ratio of 8.34, both of which are higher than the industry average. This could be a concern for investors, as it may indicate that the stock is overpriced. Additionally, the enterprise value/revenue ratio of 2.48 and the enterprise value/EBITDA ratio of 18.68 are also higher than the industry average, further supporting the notion that the stock may be overvalued.</t>
  </si>
  <si>
    <t>However, the company has a strong financial position with a healthy balance sheet and a consistent track record of profitability. This, combined with its leading position in the industry, makes Avery Dennison a stable and reliable investment option."</t>
  </si>
  <si>
    <t>NEM,70.0,"Newmont is a leading gold mining company with a recent market cap of $42.41B and an enterprise value of $48.82B. The firm has a trailing P/E ratio of 44.33 and a forward P/E ratio of 14.49, indicating a potential undervaluation in the stock. The PEG ratio of 1.24 suggests that the stock may be slightly overvalued based on its expected growth rate.</t>
  </si>
  <si>
    <t>In terms of valuation metrics, Newmont has a price/sales ratio of 2.62 and a price/book ratio of 1.46, both of which are below the industry average. This could indicate that the stock is currently trading at a discount compared to its peers.</t>
  </si>
  <si>
    <t>However, the enterprise value/revenue ratio of 4.13 and the high enterprise value/EBITDA ratio of 152.57 may suggest that the stock is overvalued based on its revenue and earnings. This could be a concern for investors, as it may indicate a potential risk of a correction in the stock price.</t>
  </si>
  <si>
    <t>Overall, Newmont's financial data suggests that the stock may be undervalued based on its P/E and price/sales ratios, but overvalued based on its enterprise value/revenue and enterprise value/EBITDA ratios. Investors should carefully consider these factors before making any investment decisions."</t>
  </si>
  <si>
    <t>WMB,70.0,"Williams Companies (WMB) is a leading player in the Oil &amp; Gas Storage &amp; Transportation industry, with a recent market cap of $47.88B and an enterprise value of $72.23B. The company has a trailing P/E ratio of 14.66 and a forward P/E ratio of 20.92, indicating a potential for future growth. However, its PEG ratio of 9.43 suggests that the stock may be overvalued compared to its expected earnings growth.</t>
  </si>
  <si>
    <t>In terms of valuation, WMB has a price/sales ratio of 4.41 and a price/book ratio of 3.87, both of which are higher than the industry average. This could indicate that the stock is currently trading at a premium. Additionally, its enterprise value/revenue ratio of 6.62 and enterprise value/EBITDA ratio of 9.37 are also higher than the industry average, suggesting that the stock may be overvalued.</t>
  </si>
  <si>
    <t>Overall, WMB's financial data suggests that the stock may be overvalued compared to its industry peers. However, the company's strong market position and potential for future growth in the Oil &amp; Gas Storage &amp; Transportation industry could make it an attractive investment opportunity for long-term investors."</t>
  </si>
  <si>
    <t>WY,70.0,"Weyerhaeuser is a leading timber REIT (Real Estate Investment Trust) company with a recent market cap of $25.85B and an enterprise value of $29.77B. The company has a trailing P/E ratio of 30.81 and a forward P/E ratio of 31.25, indicating a relatively high valuation. The PEG ratio, which measures the relationship between the stock's price, earnings, and growth potential, is at 6.64, suggesting that the stock may be overvalued.</t>
  </si>
  <si>
    <t>In terms of valuation multiples, Weyerhaeuser has a price/sales ratio of 3.38 and a price/book ratio of 2.53, both of which are slightly above the industry average. The enterprise value/revenue ratio is at 3.88, while the enterprise value/EBITDA ratio is at 17.34, indicating that the company may be trading at a premium compared to its peers.</t>
  </si>
  <si>
    <t>The recent macro-economic data, including the strong private sector job growth and the ongoing debates about inflation and the Fed's policy path, may have an impact on the timber REIT industry. However, Weyerhaeuser's strong financial position and its focus on sustainable forestry practices may provide some stability in the face of potential market volatility.</t>
  </si>
  <si>
    <t>Overall, Weyerhaeuser's financial data suggests that the stock may be overvalued, but the company's strong position in the timber REIT industry and its commitment to sustainability make it a potential long-term investment opportunity."</t>
  </si>
  <si>
    <t>MSCI,70.0,"MSCI (Market Cap: $42.96B) is a leading provider of financial data and analytics, serving clients in the investment management industry. The company's latest financial data shows a strong market position, with a high market cap and a relatively low P/E ratio compared to its peers in the Financial Exchanges &amp; Data industry.</t>
  </si>
  <si>
    <t>MSCI's forward P/E ratio of 35.97 suggests that the market has high expectations for the company's future earnings growth. However, its PEG ratio of 3.39 indicates that this growth may be priced in and may not be sustainable in the long term.</t>
  </si>
  <si>
    <t>The company's price/sales ratio of 17.12 and enterprise value/revenue ratio of 18.64 are also relatively high, indicating that the stock may be overvalued compared to its revenue. However, its enterprise value/EBITDA ratio of 27.48 is in line with industry averages, suggesting that the company is generating strong earnings.</t>
  </si>
  <si>
    <t>Overall, MSCI's financial data paints a mixed picture, with some indicators showing potential overvaluation while others suggest strong earnings potential. Investors should closely monitor the company's future earnings growth and market trends to make informed investment decisions."</t>
  </si>
  <si>
    <t>MCD,70.0,"McDonald's is a global fast-food chain with a strong presence in the restaurant industry. The company's recent financial data shows a market cap of 200.54B and an enterprise value of 249.05B. Its trailing P/E ratio is 24.03, and its forward P/E ratio is 22.27, indicating a relatively high valuation. The PEG ratio, which measures the stock's valuation relative to its expected growth, is 2.33, suggesting that the stock may be slightly overvalued.</t>
  </si>
  <si>
    <t>In terms of its financial performance, McDonald's has a price/sales ratio of 7.98 and an enterprise value/revenue ratio of 9.77, both of which are higher than the industry average. Its enterprise value/EBITDA ratio of 17.97 is also higher than the industry average, indicating that the company may be overvalued compared to its earnings.</t>
  </si>
  <si>
    <t>Overall, McDonald's is a well-established company with a strong brand and global presence. However, its recent financial data suggests that the stock may be slightly overvalued. Investors should closely monitor the company's performance and valuation metrics before making any investment decisions."</t>
  </si>
  <si>
    <t>ISRG,70.0,"Intuitive Surgical is a leading company in the Health Care Equipment industry with a recent market cap of 135.53B and an enterprise value of 130.30B. The company has a trailing P/E ratio of 76.02 and a forward P/E ratio of 61.35, indicating a relatively high valuation. However, the PEG ratio of 7.08 suggests that the stock may be overvalued compared to its expected growth rate.</t>
  </si>
  <si>
    <t>In terms of valuation multiples, Intuitive Surgical has a price/sales ratio of 19.18 and a price/book ratio of 10.18, both of which are higher than the industry average. The enterprise value/revenue ratio of 18.29 and the enterprise value/EBITDA ratio of 59.54 also indicate a premium valuation for the company.</t>
  </si>
  <si>
    <t>Recent news and developments in the health care industry, such as the COVID-19 pandemic and advancements in technology, have created both challenges and opportunities for Intuitive Surgical. The company's innovative robotic surgical systems have gained popularity in the market, but competition is also increasing. Additionally, the company's high valuation may make it vulnerable to market volatility.</t>
  </si>
  <si>
    <t>Overall, while Intuitive Surgical is a strong player in the health care equipment industry, its high valuation and potential challenges in the market may make it a riskier investment option. Investors should carefully consider their risk tolerance and do thorough research before making any investment decisions."</t>
  </si>
  <si>
    <t>MRNA,70.0,"Moderna, a biotechnology company, has been making headlines recently for its role in developing a COVID-19 vaccine. The company's latest financial data shows a market cap of 39.67B and an enterprise value of 32.31B. Its trailing P/E ratio is 7.06, which is relatively low compared to the industry average. However, its price/sales ratio of 5.86 and price/book ratio of 2.86 are slightly higher than the industry average, indicating that the stock may be slightly overvalued.</t>
  </si>
  <si>
    <t>Moderna's enterprise value/revenue ratio of 4.78 is also higher than the industry average, suggesting that the company may be overvalued based on its revenue. Additionally, its enterprise value/EBITDA ratio of -9.84 is negative, which could be a cause for concern for investors.</t>
  </si>
  <si>
    <t>Overall, Moderna's financial data shows a mixed picture, with some indicators pointing towards overvaluation. However, the company's involvement in the development of a COVID-19 vaccine could potentially drive future growth and increase its value."</t>
  </si>
  <si>
    <t>LW,70.0,"Lamb Weston is a leading company in the Packaged Foods &amp; Meats industry with a recent market cap of $14.99B and an enterprise value of $18.54B. The company has a trailing P/E ratio of 13.46 and a forward P/E ratio of 15.77, indicating a relatively low valuation compared to its peers in the industry. However, its PEG ratio of 3.36 suggests that the stock may be slightly overvalued based on its expected growth rate.</t>
  </si>
  <si>
    <t>In terms of financial performance, Lamb Weston has a price/sales ratio of 2.39 and a price/book ratio of 8.99, both of which are higher than the industry average. This could indicate that the stock is currently trading at a premium compared to its peers. Additionally, the company's enterprise value/revenue ratio of 2.92 and enterprise value/EBITDA ratio of 13.80 are also higher than the industry average, suggesting that the stock may be overvalued.</t>
  </si>
  <si>
    <t>Overall, Lamb Weston's financial data suggests that the stock may be slightly overvalued compared to its peers in the Packaged Foods &amp; Meats industry. However, the company has a strong market position and a solid track record of financial performance, which could make it a good long-term investment option."</t>
  </si>
  <si>
    <t>IBM,70.0,"IBM, a leading IT consulting and services company, has a recent market cap of $173.15B and an enterprise value of $219.65B. The firm's trailing P/E ratio is 23.18 and its forward P/E ratio is 18.76, indicating a potential undervaluation. However, its PEG ratio of 4.36 suggests that the stock may be overvalued in relation to its expected growth.</t>
  </si>
  <si>
    <t>IBM's price/sales ratio of 2.82 and price/book ratio of 7.68 are both higher than the industry average, indicating a premium valuation. Its enterprise value/revenue ratio of 3.55 and enterprise value/EBITDA ratio of 14.95 are also higher than the industry average, suggesting that the stock may be overvalued.</t>
  </si>
  <si>
    <t>Overall, IBM's financial data suggests that the stock may be overvalued in the short term, but its strong market position and potential for future growth make it a solid long-term investment. However, investors should closely monitor the company's performance and any potential changes in the IT consulting and services industry."</t>
  </si>
  <si>
    <t>IFF,70.0,"International Flavors &amp; Fragrances (IFF) is a leading company in the specialty chemicals industry with a recent market cap of $21.51B and an enterprise value of $31.61B. The company has a forward P/E ratio of 23.04 and a PEG ratio of 19.38, indicating a relatively high valuation compared to its expected growth rate. However, its price/sales ratio of 1.87 and price/book ratio of 1.47 suggest that the stock may be undervalued.</t>
  </si>
  <si>
    <t>IFF's latest financial data also shows a strong enterprise value/revenue ratio of 2.75, indicating that the company is generating significant revenue relative to its enterprise value. However, its enterprise value/EBITDA ratio of -31.73 may raise some concerns, as it suggests that the company's earnings are not sufficient to cover its debt obligations.</t>
  </si>
  <si>
    <t>Overall, IFF's financial data presents a mixed picture, with some indicators pointing towards a potentially undervalued stock and others raising concerns about its profitability and debt. Investors should carefully consider these factors before making any investment decisions."</t>
  </si>
  <si>
    <t>CSGP,65.0,"CoStar Group is a leading provider of commercial real estate information, analytics, and online marketplaces. The company's recent financial data shows a strong market cap of $38.06B and an enterprise value of $33.95B. However, the trailing P/E ratio of 101.28 and forward P/E ratio of 238.10 may indicate that the stock is currently overvalued.</t>
  </si>
  <si>
    <t>The PEG ratio of 8.91 suggests that the stock may be overpriced relative to its expected growth rate. Additionally, the price/sales ratio of 15.44 and price/book ratio of 5.19 may also indicate that the stock is trading at a premium.</t>
  </si>
  <si>
    <t>On the positive side, CoStar Group has a strong enterprise value/revenue ratio of 13.83 and enterprise value/EBITDA ratio of 87.10, indicating a healthy financial position.</t>
  </si>
  <si>
    <t>Overall, CoStar Group's financial data suggests that the stock may be overvalued at its current price. Investors should carefully consider the company's growth potential and market conditions before making any investment decisions."</t>
  </si>
  <si>
    <t>UDR,65.0,"UDR, Inc. is a real estate investment trust (REIT) that specializes in multi-family residential properties. With a recent market cap of 11.91B and an enterprise value of 17.94B, the company has a strong presence in the market. However, its trailing P/E of 27.00 and forward P/E of 92.59 may indicate that the stock is currently overvalued.</t>
  </si>
  <si>
    <t>UDR's price/sales ratio of 7.32 and price/book ratio of 3.02 are also higher than the industry average, suggesting that the stock may be trading at a premium. Additionally, its enterprise value/revenue ratio of 11.02 and enterprise value/EBITDA ratio of 13.29 are also higher than the industry average, indicating that the company may be overvalued compared to its peers.</t>
  </si>
  <si>
    <t>The recent surge in commodity prices, particularly in the housing market, may have a positive impact on UDR's performance in the short term. However, the company's high valuation and potential for increased competition in the multi-family residential market may pose challenges in the long term."</t>
  </si>
  <si>
    <t>CCI,65.0,"Crown Castle (CCI) is a leading player in the Telecom Tower REITs industry with a recent market cap of $44.69B and an enterprise value of $73.40B. The company has a trailing P/E ratio of 29.73 and a forward P/E ratio of 35.21, indicating a relatively high valuation. However, its PEG ratio of 9.02 suggests that the stock may be overvalued compared to its expected growth rate.</t>
  </si>
  <si>
    <t>In terms of valuation metrics, CCI has a price/sales ratio of 6.39 and a price/book ratio of 7.00, both of which are higher than the industry average. Its enterprise value/revenue ratio of 10.51 and enterprise value/EBITDA ratio of 17.89 also indicate a premium valuation.</t>
  </si>
  <si>
    <t>Recent news and developments in the industry, such as the increasing demand for 5G infrastructure and the potential for consolidation in the market, could bode well for CCI's future growth. However, the company also faces competition from other players in the industry and potential regulatory challenges.</t>
  </si>
  <si>
    <t>Overall, CCI's financial data and industry outlook suggest a mixed picture for potential investors. While the company has a strong market position and potential for growth, its high valuation and potential challenges in the industry should be carefully considered."</t>
  </si>
  <si>
    <t>ODFL,65.0,"Old Dominion is a leading company in the Cargo Ground Transportation industry, with a recent market cap of 47.14B and an enterprise value of 46.79B. The company has a strong financial position, with a trailing P/E of 38.48 and a forward P/E of 32.89. However, its PEG ratio of 4.00 suggests that the stock may be overvalued compared to its expected growth rate.</t>
  </si>
  <si>
    <t>Old Dominion's price/sales ratio of 8.13 and price/book ratio of 11.07 are also higher than the industry average, indicating a premium valuation. Its enterprise value/revenue ratio of 7.98 and enterprise value/EBITDA ratio of 23.72 are also relatively high, suggesting that the company may be overvalued compared to its revenue and earnings.</t>
  </si>
  <si>
    <t>Overall, Old Dominion's financial data suggests that the stock may be overvalued at its current price. Investors should carefully consider the company's valuation before making any investment decisions."</t>
  </si>
  <si>
    <t>GEN,65.0,"Gen Digital is a leading company in the Systems Software industry with a recent market cap of 14.05B and an enterprise value of 22.86B. The firm has a trailing P/E ratio of 9.98 and a forward P/E ratio of 9.63, indicating that the stock is currently undervalued. However, the PEG ratio of 5.35 suggests that the stock may be overvalued in the long term.</t>
  </si>
  <si>
    <t>In terms of valuation metrics, Gen Digital has a price/sales ratio of 3.75 and a price/book ratio of 5.81, both of which are higher than the industry average. This could indicate that the stock is currently overvalued compared to its peers. Additionally, the enterprise value/revenue ratio of 6.03 and the enterprise value/EBITDA ratio of 14.43 suggest that the stock may be overvalued based on its revenue and earnings.</t>
  </si>
  <si>
    <t>Overall, Gen Digital's financial data suggests that the stock may be overvalued in the short term, but could have potential for long-term growth. Investors should closely monitor the company's performance and industry trends before making any investment decisions."</t>
  </si>
  <si>
    <t>DOC,65.0,"Healthpeak is a real estate investment trust (REIT) focused on healthcare properties, including senior housing, medical office buildings, and life science facilities. The recent COVID-19 pandemic has highlighted the importance of healthcare real estate, making Healthpeak a potentially attractive investment opportunity.</t>
  </si>
  <si>
    <t>In terms of financial data, Healthpeak has a market cap of $12.95B and an enterprise value of $19.92B. Its trailing P/E ratio is 32.59, which is slightly higher than the industry average of 30.86. However, its forward P/E ratio of 101.01 is significantly higher than the industry average of 22.86, indicating potential overvaluation.</t>
  </si>
  <si>
    <t>Healthpeak's price/sales ratio of 4.58 and price/book ratio of 2.04 are both below the industry averages of 6.08 and 2.72, respectively. This suggests that the stock may be undervalued based on these metrics.</t>
  </si>
  <si>
    <t>However, its enterprise value/revenue ratio of 9.13 and enterprise value/EBITDA ratio of 15.74 are both higher than the industry averages of 8.08 and 14.01, respectively. This could indicate that the stock is overvalued based on these metrics.</t>
  </si>
  <si>
    <t>Overall, Healthpeak's financial data presents a mixed picture, with some metrics suggesting potential undervaluation and others indicating potential overvaluation. Investors should carefully consider the company's financials and industry trends before making any investment decisions."</t>
  </si>
  <si>
    <t>BIIB,65.0,"Biogen, a leading biotechnology company, has been facing some challenges in recent months. The company's latest financial data shows a market cap of $30.18B and an enterprise value of $36.47B. Its trailing P/E ratio is 26.05, while the forward P/E ratio is 13.62, indicating a potential undervaluation of the stock. However, the PEG ratio of 6.24 suggests that the stock may be overvalued based on its expected growth.</t>
  </si>
  <si>
    <t>Biogen's price/sales ratio of 3.07 and price/book ratio of 2.04 are both below the industry average, indicating a potential buying opportunity for investors. However, the enterprise value/revenue ratio of 3.71 and enterprise value/EBITDA ratio of 17.89 are slightly higher than the industry average, which may be a cause for concern.</t>
  </si>
  <si>
    <t>Overall, Biogen's financial data suggests a mixed outlook for the company. While some valuation metrics indicate a potential undervaluation, others suggest a potential overvaluation. Investors should closely monitor the company's performance and future developments in the biotechnology industry before making any investment decisions."</t>
  </si>
  <si>
    <t>ATO,65.0,"Atmos Energy is a natural gas distribution company operating in the Gas Utilities industry. The recent financial data for the company shows a market cap of $17.76B and an enterprise value of $25.03B. The trailing P/E ratio is 18.81 and the forward P/E ratio is 17.86, indicating a relatively high valuation for the company. The PEG ratio, which measures the relationship between the stock's price, earnings, and growth potential, is at 2.83, suggesting that the stock may be overvalued.</t>
  </si>
  <si>
    <t>In terms of valuation multiples, the price/sales ratio is at 4.39 and the price/book ratio is at 1.58, both of which are slightly above the industry average. The enterprise value/revenue ratio is at 6.34, indicating that the company's stock price may be overvalued compared to its revenue. The enterprise value/EBITDA ratio is at 13.64, which is also higher than the industry average.</t>
  </si>
  <si>
    <t>Overall, the financial data suggests that Atmos Energy may be overvalued in the current market. However, it is important to note that the company has a strong track record of consistent earnings and dividend growth, which may be attractive to investors looking for stable returns."</t>
  </si>
  <si>
    <t>AVB,65.0,"AvalonBay Communities is a real estate investment trust (REIT) that specializes in multi-family residential properties. The recent financial data for the company shows a strong market cap of $25.57B and an enterprise value of $33.31B. However, the trailing P/E ratio of 27.42 and forward P/E ratio of 36.76 suggest that the stock may be slightly overvalued.</t>
  </si>
  <si>
    <t>The PEG ratio of 4.93 indicates that the company's growth may not be keeping up with its current valuation. Additionally, the price/sales ratio of 9.20 and price/book ratio of 2.17 also suggest that the stock may be overvalued compared to its industry peers.</t>
  </si>
  <si>
    <t>On the positive side, the enterprise value/revenue ratio of 12.03 and enterprise value/EBITDA ratio of 16.98 indicate that the company is generating strong revenue and earnings, which could potentially support its current valuation.</t>
  </si>
  <si>
    <t>Overall, the recent financial data for AvalonBay Communities suggests that the stock may be slightly overvalued. Investors should closely monitor the company's growth and earnings potential in the coming months."</t>
  </si>
  <si>
    <t>IRM,65.0,"Iron Mountain (IRM) is a leading company in the Other Specialized REITs industry with a recent market cap of 23.02B and an enterprise value of 37.58B. The company has a trailing P/E ratio of 125.00 and a forward P/E ratio of 39.68, indicating a high valuation. However, its price-to-sales ratio of 4.22 and price-to-book ratio of 108.75 suggest that the stock may be overvalued.</t>
  </si>
  <si>
    <t>In terms of financial performance, Iron Mountain has a strong enterprise value/revenue ratio of 6.86 and an enterprise value/EBITDA ratio of 23.22, indicating a healthy level of debt and operational efficiency.</t>
  </si>
  <si>
    <t>Recent news and developments in the industry, such as the rise of remote work and the increasing need for secure data storage, bode well for Iron Mountain's business model. However, the company may face challenges in the future as more companies shift to digital storage and reduce their physical storage needs.</t>
  </si>
  <si>
    <t>Overall, Iron Mountain's financial data and industry trends suggest a mixed outlook for the company. While it may benefit from current market conditions, it may also face challenges in the long term."</t>
  </si>
  <si>
    <t>MMM,60.0,"3M is a recent addition to the Industrial Conglomerates industry, with a market cap of $51.37B and an enterprise value of $62.24B. The company has a trailing P/E ratio of 16.99 and a forward P/E ratio of 9.78, indicating a potential undervaluation in the stock. The PEG ratio of 1.90 suggests that the stock may be slightly overvalued based on its expected growth rate.</t>
  </si>
  <si>
    <t>3M's price/sales ratio of 1.57 and price/book ratio of 10.69 are both higher than the industry average, indicating a premium valuation for the stock. However, the company's enterprise value/revenue ratio of 1.90 is in line with the industry average, suggesting that the stock may be fairly valued.</t>
  </si>
  <si>
    <t>The enterprise value/EBITDA ratio of -9.21 is a cause for concern, as it indicates that the company has negative EBITDA. This could be a red flag for investors, as it may suggest financial instability.</t>
  </si>
  <si>
    <t>Overall, 3M's financial data presents a mixed picture, with some indicators pointing towards undervaluation and others towards overvaluation. Investors should carefully consider the company's financial situation before making any investment decisions."</t>
  </si>
  <si>
    <t>EQR,60.0,"Equity Residential is a leading multi-family residential real estate investment trust (REIT) with a recent market cap of $23.09B and an enterprise value of $30.78B. The company has a trailing P/E ratio of 28.57 and a forward P/E ratio of 41.15, indicating a higher valuation for future earnings. The PEG ratio, which measures the relationship between the stock's price, earnings, and growth potential, is at 6.27, suggesting that the stock may be overvalued.</t>
  </si>
  <si>
    <t>In terms of valuation metrics, Equity Residential has a price/sales ratio of 8.28 and a price/book ratio of 2.09, both of which are higher than the industry average. This could indicate that the stock is trading at a premium compared to its peers. The company's enterprise value/revenue ratio of 10.71 and enterprise value/EBITDA ratio of 15.04 are also higher than the industry average, suggesting that the stock may be overvalued based on its revenue and earnings.</t>
  </si>
  <si>
    <t>Overall, Equity Residential's financial data suggests that the stock may be overvalued compared to its industry peers. Investors should carefully consider the company's valuation metrics before making any investment decisions."</t>
  </si>
  <si>
    <t>GEV,60.0,"GE Vernova is a recent entrant in the Renewable Electricity industry, with a market cap of 38.09B and an enterprise value of 37.17B. The company's latest financial data shows a price/sales ratio of 1.15 and a price/book ratio of 4.76, indicating a relatively high valuation compared to its peers in the industry. However, its enterprise value/revenue ratio of 1.12 and enterprise value/EBITDA ratio of 37.70 suggest that the company may be overvalued.</t>
  </si>
  <si>
    <t>The recent surge in commodities, including oil, gold, and the U.S. dollar, has raised concerns about the potential impact on the renewable energy sector. This dynamic could create challenges for GE Vernova as it navigates the delicate balance between controlling costs and maintaining profitability.</t>
  </si>
  <si>
    <t>Furthermore, the company's financial performance may be affected by the ongoing geopolitical tensions in Europe and the Middle East, as well as potential regulatory changes in the tech sector. These factors could create volatility in the stock market and impact investor sentiment towards GE Vernova.</t>
  </si>
  <si>
    <t>Overall, while GE Vernova may have potential for growth in the long term, its current valuation and external factors may pose risks for investors in the short term."</t>
  </si>
  <si>
    <t>NCLH,60.0,"Norwegian Cruise Line Holdings (NCLH) is a leading player in the Hotels, Resorts &amp; Cruise Lines industry with a recent market cap of $8.20B and an enterprise value of $21.85B. The company's latest trailing P/E ratio of 49.38 and forward P/E ratio of 15.53 suggest that the stock may be overvalued. However, its PEG ratio of 0.42 indicates that the stock may have growth potential.</t>
  </si>
  <si>
    <t>NCLH's price/sales ratio of 0.96 and price/book ratio of 27.25 are both higher than the industry average, indicating that the stock may be trading at a premium. Its enterprise value/revenue ratio of 2.56 and enterprise value/EBITDA ratio of 12.32 also suggest that the stock may be overvalued.</t>
  </si>
  <si>
    <t>The recent COVID-19 pandemic has significantly impacted the cruise industry, and NCLH is no exception. The company has faced financial challenges, including a decline in revenue and an increase in debt. However, with the widespread availability of vaccines and the easing of COVID-19 restrictions, the company's financial situation is expected to improve in the coming months."</t>
  </si>
  <si>
    <t>CLX,60.0,"Clorox, a leading household products company, has been facing some challenges in recent months. The company's latest financial data shows a market cap of $18.46B and an enterprise value of $21.23B. However, its trailing P/E ratio of 236.05 and forward P/E ratio of 21.98 may be cause for concern for investors.</t>
  </si>
  <si>
    <t>The company's PEG ratio of 0.45 suggests that it may be undervalued, but its price/sales ratio of 2.53 and price/book ratio of 348.22 may indicate that it is overvalued. Additionally, its enterprise value/revenue ratio of 2.90 and enterprise value/EBITDA ratio of 43.41 may also raise red flags for investors.</t>
  </si>
  <si>
    <t>Overall, Clorox's financial data presents a mixed picture, with some indicators suggesting undervaluation and others pointing to potential overvaluation. Investors should closely monitor the company's performance and future financial reports to make informed investment decisions."</t>
  </si>
  <si>
    <t>TSLA,50.0,"Tesla, Inc. (TSLA) has been facing a series of challenges in recent months, leading to concerns about the company's stock performance. The latest news from a banking giant warning of a potential 30% crash in Tesla's stock has added to the uncertainty surrounding the company.</t>
  </si>
  <si>
    <t>One of the main issues facing Tesla is its struggle to retain AI talent, which CEO Elon Musk has described as the ""craziest talent war"" he has ever seen. This could have implications for the company's ability to innovate and maintain its competitive edge in the EV market.</t>
  </si>
  <si>
    <t>Furthermore, Tesla has been facing a demand problem, with a decrease in vehicle deliveries in the first quarter of this year compared to the same period last year. This has raised concerns among investors about the company's ability to meet its sales targets and maintain its market share.</t>
  </si>
  <si>
    <t>In addition, one Wall Street analyst has predicted that Tesla's stock still has over 30% downside potential, citing the company's demand issues as a key factor. This sentiment is echoed by another investor who believes Tesla's stock is only worth $14 per share, significantly lower than its current value.</t>
  </si>
  <si>
    <t>However, there is some positive news for Tesla as the company plans to explore locations in India for a new $3 billion EV factory. This could open up new opportunities for growth and expansion in a key market for electric vehicles.</t>
  </si>
  <si>
    <t>Overall, Tesla's stock performance in the next month is likely to be volatile, with concerns about demand and competition in the EV market. However, the company's long-term prospects will depend on its ability to address these challenges and continue to innovate and expand into new markets."</t>
  </si>
  <si>
    <t>WMT,50.0,"Walmart, a leading company in the Consumer Staples Merchandise Retail industry, recently announced a 3-for-1 stock split in late February. However, despite this recent news, the company's stock may not be a smart buy for investors at this time.</t>
  </si>
  <si>
    <t>According to the latest financial data, Walmart's market cap is at $476.71B and its enterprise value is at $528.17B. The trailing P/E ratio is 30.97 and the forward P/E ratio is 25.13, indicating that the stock may be overvalued. Additionally, the PEG ratio of 2.44 suggests that the stock may not be a good value for its growth potential.</t>
  </si>
  <si>
    <t>Furthermore, Walmart's price/sales ratio of 0.74 and price/book ratio of 5.68 are higher than the industry average, indicating that the stock may be overpriced compared to its peers. The enterprise value/revenue ratio of 0.81 and enterprise value/EBITDA ratio of 14.52 also suggest that the stock may not be a good value for its financial performance.</t>
  </si>
  <si>
    <t>Considering the recent stock split and the company's financial data, it may be wise for investors to look for other potential opportunities in the Consumer Staples Merchandise Retail industry. Therefore, the score for Walmart's potential investment value for the next month is 50."</t>
  </si>
  <si>
    <t>BF.B,,"Brown-Forman is a leading company in the Distillers &amp; Vintners industry, with a strong portfolio of well-known brands such as Jack Daniel's, Woodford Reserve, and Finlandia. The company has a long history of success and a solid financial track record, with consistent revenue and earnings growth over the years.</t>
  </si>
  <si>
    <t>However, the recent lack of news or financial data makes it difficult to assess the current situation of the company. Without any recent updates, it is challenging to determine the potential investment value of Brown-Forman for the next month.</t>
  </si>
  <si>
    <t>Investors should keep an eye on the company's performance and any upcoming news or financial reports that may provide more insight into its current situation. Until then, it is recommended to wait for more information before making any investment decisions.</t>
  </si>
  <si>
    <t>Score: N/A"</t>
  </si>
  <si>
    <t>Health Care Providers &amp; Services,"The health care providers and services sector is expected to continue its strong performance in the coming months, driven by a resilient U.S. economy and robust private sector job growth. However, there are some concerns about the potential impact of rising commodity prices on the Fed's ability to cut rates as expected. Additionally, the ongoing geopolitical tensions in Europe and the Middle East could create some volatility in the market. Overall, the sector's long-term prospects remain positive, but investors should closely monitor economic data and developments in the global landscape.",85,2024-04-04</t>
  </si>
  <si>
    <t>Health Care Technology,"The health care technology sector continues to show strong potential for investment, with advancements in AI and other emerging technologies driving growth. However, the recent surge in commodities and concerns about inflation may create challenges for the sector in the short term. Additionally, the upcoming 2024 U.S. presidential election and the FTC's actions on mergers and acquisitions could have implications for specific companies in this sector.",85,2024-04-04</t>
  </si>
  <si>
    <t>Biotechnology,"The biotechnology sector continues to show strong potential for investment, with advancements in technology and the ongoing COVID-19 pandemic driving growth. However, there are also potential risks to consider, such as geopolitical tensions and potential regulatory changes in the tech industry. The recent surge in commodities and concerns about inflation may also impact the sector's performance in the short term.",85,2024-04-04</t>
  </si>
  <si>
    <t>Life Sciences Tools &amp; Services,"The life sciences tools and services sector is expected to continue its strong performance in the short term, with the recent economic data showing signs of resilience in the U.S. economy. However, there are some mixed signals, particularly regarding inflation and the Fed's policy decisions, which could create volatility in the market. Additionally, the upcoming 2024 U.S. presidential election and the FTC's actions on mergers and acquisitions may have implications for specific companies in this sector. The passage of the Artificial Intelligence Act by the European Union may also influence the global AI industry, potentially affecting U.S. companies operating in this sector.",85,2024-04-04</t>
  </si>
  <si>
    <t>IT Services,"The economic outlook for the IT services sector remains positive, with the recent data showing strong private sector job growth and a resilient labor market. However, there are some concerns about the potential impact of rising commodity prices on the Fed's ability to cut rates as expected. Additionally, the passage of the EU's Artificial Intelligence Act may have indirect effects on U.S. companies operating in this sector. Overall, the sector is expected to continue to perform well in the short and medium term, but the long-term outlook may be influenced by factors such as the 2024 presidential election and the development of emerging technologies.",85,2024-04-04</t>
  </si>
  <si>
    <t>Wireless Telecommunication Services,"The wireless telecommunication services sector is expected to continue its strong performance in the short term, with the U.S. economy showing signs of resilience and private sector job growth expanding at a fast pace. However, there are some concerns about the potential impact of rising commodity prices on the Fed's ability to cut rates as expected, which could create volatility in the market. In the medium to long term, the sector's performance will depend on a variety of factors, including the outcome of the 2024 presidential election and the development of emerging technologies like artificial intelligence.",80,2024-04-04</t>
  </si>
  <si>
    <t>Health Care REITs,"The recent economic outlook for the Health Care REITs sector is positive, with strong private sector job growth and a resilient U.S. economy. However, there are some potential challenges, such as the ongoing debate about inflation and the Fed's policy decisions. Additionally, the upcoming 2024 U.S. presidential election and the FTC's actions on mergers and acquisitions could have implications for the sector. Overall, the sector's long-term prospects are likely to be positive, assuming the economy continues to grow and the Fed maintains a balanced approach to monetary policy.",80,2024-04-04</t>
  </si>
  <si>
    <t>Industrial REITs,"The recent economic outlook for the Industrial REITs sector is positive, with strong private sector job growth and a resilient U.S. economy. However, there are some concerns about the potential impact of rising commodity prices on the Fed's ability to cut rates as expected. Additionally, the ongoing geopolitical tensions in Europe and the Middle East could create volatility in the market. Overall, the sector's performance will depend on the Fed's ability to balance inflation control and economic growth, as well as potential developments in the global economy and political landscape.",80,2024-04-04</t>
  </si>
  <si>
    <t>Household Products,"The recent economic outlook for the household products sector is positive, with the U.S. economy showing signs of resilience and strong private sector job growth. However, there are some mixed signals, particularly regarding inflation and the Fed's policy decisions, which could create volatility in the stock market. Additionally, the upcoming 2024 U.S. presidential election and the FTC's actions on mergers and acquisitions may have implications for specific companies in this sector. Overall, the long-term trend for the household products sector is likely to be positive, assuming the economy continues to grow and the Fed maintains a balanced approach to monetary policy.",80,2024-04-04</t>
  </si>
  <si>
    <t>Interactive Media &amp; Services,"The economic outlook for the Interactive Media &amp; Services sector remains positive, with strong private sector job growth and a resilient U.S. economy. However, there are some potential challenges, including the ongoing debate about inflation and the Fed's policy decisions. Additionally, the upcoming 2024 U.S. presidential election and the FTC's actions on mergers and acquisitions could have implications for the sector. The passage of the EU's Artificial Intelligence Act may also impact the global AI industry, potentially affecting U.S. companies in this sector.",80,2024-04-04</t>
  </si>
  <si>
    <t>Mortgage Real Estate Investment Trusts (REITs),"The recent economic outlook for Mortgage Real Estate Investment Trusts (REITs) is positive, with the U.S. economy showing signs of resilience and strong private sector job growth. However, there are some mixed signals, particularly regarding inflation and the Fed's policy decisions, which could create volatility in the stock market. Additionally, the upcoming 2024 U.S. presidential election and the FTC's actions on mergers and acquisitions may have implications for the sector. Overall, the long-term trend for REITs is likely to be positive, assuming the economy continues to grow and the Fed maintains a balanced approach to monetary policy.",80,2024-04-04</t>
  </si>
  <si>
    <t>Semiconductors &amp; Semiconductor Equipment,"The recent economic outlook for the semiconductors and semiconductor equipment sector is positive, with strong private sector job growth and a resilient U.S. economy. However, there are some concerns about the potential impact of rising commodity prices on the Fed's ability to cut rates as expected. Additionally, the ongoing geopolitical tensions in Europe and the Middle East could create volatility in the market. The passage of the Artificial Intelligence Act by the European Union may also have indirect effects on the sector, as it could influence global AI policies and regulations.",80,2024-04-04</t>
  </si>
  <si>
    <t>Professional Services,"The professional services sector is expected to continue its strong performance in the short term, with private sector job growth expanding at a fast pace. However, there are concerns about the potential impact of rising commodity prices on the Fed's ability to cut rates as expected. In the medium to long term, the sector's prospects will depend on a variety of factors, including the outcome of the 2024 presidential election and the FTC's actions on mergers and acquisitions. The recent passage of the Artificial Intelligence Act by the European Union may also have indirect effects on the sector, as it could influence the global AI industry and potentially impact U.S. companies operating in this sector.",80,2024-04-04</t>
  </si>
  <si>
    <t>Construction &amp; Engineering,"The construction and engineering sector is expected to continue its growth trajectory in the coming months, driven by strong private sector job growth and ongoing infrastructure projects. However, there are concerns about rising commodity prices and potential inflationary pressures, which could impact the sector's performance. Additionally, the collapse of the Francis Scott Key Bridge in Baltimore highlights the need for continued investment in infrastructure and potential opportunities for companies in this sector.",75,2024-04-04</t>
  </si>
  <si>
    <t>Office REITs,"The recent economic outlook for the office REIT sector is mixed, with strong private sector job growth but ongoing debates about the pace of inflation and the Fed's policy path. The stock market has been volatile, with concerns about the impact of rising commodity prices on the central bank's ability to cut rates as expected. Additionally, the upcoming 2024 U.S. presidential election and the FTC's actions on mergers and acquisitions could also have significant implications for the sector. However, the long-term trend for the sector is likely to be positive, assuming the economy continues to grow and the Fed maintains a balanced approach to monetary policy.",75,2024-04-04</t>
  </si>
  <si>
    <t>Media,"The media sector is facing a complex economic outlook, with mixed signals from various indicators. While private sector job growth remains strong, there are ongoing debates about the pace of inflation and the Federal Reserve's policy path. The recent surge in commodities, including oil and gold, has raised concerns about the central bank's ability to cut rates as expected. Additionally, the upcoming 2024 U.S. presidential election and the FTC's actions on mergers and acquisitions could have significant implications for the sector. The passage of the Artificial Intelligence Act by the European Union may also indirectly impact the media industry, as it sets the tone for future AI-related policies.",75,2024-04-04</t>
  </si>
  <si>
    <t>Diversified REITs,"The recent economic outlook for the Diversified REITs sector is positive, with the U.S. economy showing signs of resilience and strong private sector job growth. However, there are also concerns about inflation and the Fed's ability to achieve its target, which could create volatility in the stock market. Additionally, the upcoming 2024 U.S. presidential election and the FTC's actions on mergers and acquisitions could have implications for the sector. The passage of the EU's Artificial Intelligence Act may also indirectly impact U.S. companies operating in this sector.",75,2024-04-04</t>
  </si>
  <si>
    <t>Residential REITs,"The recent economic outlook for the residential REITs sector is positive, with strong private sector job growth and a resilient U.S. economy. However, there are some concerns about the potential impact of rising commodity prices on the Fed's ability to cut rates as expected. Additionally, the upcoming 2024 U.S. presidential election and the FTC's actions on mergers and acquisitions could have implications for this sector. Overall, the sector's performance will depend on the Fed's ability to balance inflation control and economic growth, as well as potential regulatory changes.",75,2024-04-04</t>
  </si>
  <si>
    <t>Technology Hardware, Storage &amp; Peripherals,"The technology hardware, storage, and peripherals sector is facing a complex economic outlook. While the U.S. economy continues to show signs of resilience, there are mixed signals from various indicators, including inflation and the Fed's policy decisions. The recent surge in commodities and the upcoming 2024 U.S. presidential election also add to the uncertainty in the market. Additionally, the passage of the Artificial Intelligence Act by the European Union may have implications for the global AI industry, potentially affecting U.S. companies in this sector. Overall, the sector's performance in the short and medium term will depend on the Fed's ability to navigate these challenges and maintain a balanced approach to monetary policy.",75,2024-04-04</t>
  </si>
  <si>
    <t>Distributors,"The recent economic outlook for the distributors sector is mixed, with strong private sector job growth but ongoing debates about the pace of inflation and the Fed's policy path. The stock market has been volatile, with concerns about the impact of rising commodity prices on the central bank's ability to cut rates as expected. Additionally, the upcoming 2024 U.S. presidential election and the FTC's actions on mergers and acquisitions could also have significant implications for the sector. However, the passage of the Artificial Intelligence Act by the European Union may influence the global AI industry, potentially benefiting distributors who utilize AI technology.",75,2024-04-04</t>
  </si>
  <si>
    <t>Software,"The software sector continues to be a key player in the global economy, with the rise of artificial intelligence and other emerging technologies driving growth and innovation. However, the recent volatility in the stock market and uncertainty surrounding the Fed's policy decisions may create challenges for this sector in the short term. Additionally, the passage of the EU's Artificial Intelligence Act could have implications for U.S. companies operating in this space. Overall, the long-term outlook for the software sector remains positive, but investors should closely monitor economic data and regulatory developments.",75,2024-04-04</t>
  </si>
  <si>
    <t>Trading Companies &amp; Distributors,"The recent economic outlook for the Trading Companies &amp; Distributors sector is mixed, with strong private sector job growth but ongoing debates about the pace of inflation and the Federal Reserve's policy path. The stock market has been volatile, with concerns about the impact of rising commodity prices on the central bank's ability to cut rates as expected. Additionally, the upcoming 2024 U.S. presidential election and the FTC's actions on mergers and acquisitions could also have significant implications for the sector. The passage of the Artificial Intelligence Act by the European Union may also influence the global AI industry, potentially affecting U.S. companies in this sector.",75,2024-04-04</t>
  </si>
  <si>
    <t>Passenger Airlines,"The passenger airline sector has faced significant challenges in recent years due to the COVID-19 pandemic and geopolitical tensions. However, with the pandemic largely under control and the easing of restrictions, the sector is expected to see a rebound in demand for air travel. The recent economic data also suggests a strong labor market, which could lead to increased consumer spending on travel. However, the ongoing geopolitical tensions and potential for increased regulation in the tech sector could create some uncertainty for the sector.",75,2024-04-04</t>
  </si>
  <si>
    <t>Machinery,"The recent economic outlook for the machinery sector is mixed, with strong private sector job growth but ongoing debates about the pace of inflation and the Fed's policy path. The stock market has been volatile, with concerns about the impact of rising commodity prices on the central bank's ability to cut rates as expected. Additionally, the passage of the Artificial Intelligence Act by the European Union may have indirect effects on the sector, potentially influencing the global AI industry and U.S. companies operating in this sector. Overall, the sector's long-term prospects will depend on a variety of factors, including the outcome of the 2024 presidential election and the development of emerging technologies.",75,2024-04-04</t>
  </si>
  <si>
    <t>Personal Care Products,"The personal care products sector has shown resilience in the recent economic landscape, with strong private sector job growth and a robust labor market. However, there are mixed signals from various indicators, including concerns about inflation and the Fed's policy decisions. The upcoming 2024 U.S. presidential election and the FTC's actions on mergers and acquisitions could also have significant implications for this sector. Additionally, the rise of emerging technologies, such as artificial intelligence, may impact the global market for personal care products.",75,2024-04-04</t>
  </si>
  <si>
    <t>Beverages,"The recent economic outlook for the beverages sector is positive, with the U.S. economy showing signs of resilience and strong private sector job growth. However, there are some mixed signals, particularly regarding inflation and the Fed's policy decisions, which could create volatility in the stock market. Additionally, the upcoming 2024 U.S. presidential election and the FTC's actions on mergers and acquisitions may have implications for the sector. Overall, the long-term trend for the sector is likely to be positive, assuming the economy continues to grow and the Fed maintains a balanced approach to monetary policy.",75,2024-04-04</t>
  </si>
  <si>
    <t>Specialty Retail,"The recent economic outlook for the specialty retail sector is positive, with private sector job growth expanding at a fast pace and inflation expected to slow down. However, there are some uncertainties surrounding the Fed's policy decisions and the upcoming 2024 U.S. presidential election, which could impact the sector's performance. Additionally, the EU's passage of the Artificial Intelligence Act may have indirect effects on the sector, as it could influence the global AI industry.",75,2024-04-04</t>
  </si>
  <si>
    <t>Electronic Equipment, Instruments &amp; Components,"The recent economic outlook for the Electronic Equipment, Instruments &amp; Components sector is mixed, with strong private sector job growth but ongoing debates about inflation and the Fed's policy path. The stock market has been volatile, with concerns about rising commodity prices potentially impacting the central bank's ability to cut rates as expected. Additionally, the upcoming 2024 U.S. presidential election and the FTC's actions on mergers and acquisitions could have significant implications for the sector. The passage of the Artificial Intelligence Act by the European Union may also influence the global AI industry, potentially affecting U.S. companies in this sector.",75,2024-04-04</t>
  </si>
  <si>
    <t>Communications Equipment,"The recent economic outlook for the communications equipment sector is positive, with strong private sector job growth and a resilient U.S. economy. However, there are some potential challenges, such as the ongoing debate about inflation and the Fed's policy decisions, as well as the upcoming 2024 presidential election and the FTC's actions on mergers and acquisitions. Additionally, the passage of the EU's Artificial Intelligence Act may have indirect effects on the sector, as it could influence the global AI industry and potentially impact U.S. companies operating in this space.",75,2024-04-04</t>
  </si>
  <si>
    <t>Health Care Equipment &amp; Supplies,"The health care equipment and supplies sector has been relatively stable in recent weeks, with the overall economic outlook showing signs of resilience. Private sector job growth has been strong, and inflation is expected to slow further, which could potentially support the sector's performance. However, there are still uncertainties surrounding the Fed's policy decisions and the potential impact of rising commodity prices on the market. Additionally, the ongoing geopolitical tensions in Europe and the Middle East could also have indirect effects on the sector.",75,2024-04-04</t>
  </si>
  <si>
    <t>Specialized REITs,"The recent economic outlook for the specialized REITs sector is positive, with the U.S. economy showing signs of resilience and strong private sector job growth. However, there are also concerns about inflation and the Fed's policy decisions, which could create volatility in the stock market. Additionally, the upcoming 2024 U.S. presidential election and the FTC's actions on mergers and acquisitions may have implications for this sector. The passage of the EU's Artificial Intelligence Act could also indirectly affect U.S. companies operating in this sector.",75,2024-04-04</t>
  </si>
  <si>
    <t>Consumer Finance,"The recent economic data for the consumer finance sector shows a mixed outlook. While private sector job growth remains strong, there are concerns about the pace of inflation and the potential impact on the Fed's policy decisions. The stock market has also been volatile, with rising commodity prices creating challenges for the central bank. Additionally, the upcoming 2024 presidential election and the FTC's actions on mergers and acquisitions could have significant implications for the sector. However, the long-term trend for the sector is likely to be positive, assuming the economy continues to grow and the Fed maintains a balanced approach to monetary policy.",75,2024-04-04</t>
  </si>
  <si>
    <t>Construction Materials,"The construction materials sector is expected to see continued growth in the coming months, driven by the ongoing strength of the U.S. economy and the demand for new construction projects. However, there are some concerns about rising commodity prices and potential supply chain disruptions, which could impact the sector's profitability. Additionally, the recent collapse of the Francis Scott Key Bridge highlights the need for continued investment in infrastructure, which could provide opportunities for companies in this sector.",75,2024-04-04</t>
  </si>
  <si>
    <t>Containers &amp; Packaging,"The recent economic outlook for the Containers &amp; Packaging sector is mixed, with strong private sector job growth but ongoing debates about the pace of inflation and the Fed's policy path. The stock market has been volatile, with concerns about the impact of rising commodity prices on the central bank's ability to cut rates as expected. Additionally, the proactive role of the FTC under Lina Khan in blocking mergers and acquisitions could have implications for specific sectors and industries, potentially affecting stock performance. However, the long-term trend for this sector is likely to be positive, assuming the economy continues to grow and the Fed maintains a balanced approach to monetary policy.",75,2024-04-04</t>
  </si>
  <si>
    <t>Building Products,"The building products sector is expected to see continued growth in the coming months, driven by a strong housing market and increased demand for home renovations. However, rising commodity prices and potential supply chain disruptions could pose challenges for the sector. The ongoing debate about the Fed's policy path and potential rate cuts may also impact the sector's performance.",75,2024-04-04</t>
  </si>
  <si>
    <t>Aerospace &amp; Defense,"The aerospace and defense sector is facing a complex economic landscape, with mixed signals from various indicators. While private sector job growth remains strong, there are ongoing debates about the pace of inflation and the Fed's policy path. The recent surge in commodities, including oil and gold, has raised concerns about the potential impact on the Fed's ability to cut rates as expected. Additionally, the upcoming 2024 U.S. presidential election and the FTC's actions on mergers and acquisitions could have significant implications for the sector. The passage of the Artificial Intelligence Act by the European Union may also influence the global AI industry, potentially affecting U.S. companies in this sector.",75,2024-04-04</t>
  </si>
  <si>
    <t>Oil, Gas &amp; Consumable Fuels,"The recent economic outlook for the Oil, Gas &amp; Consumable Fuels sector is mixed, with strong private sector job growth but ongoing debates about the pace of inflation and the Fed's policy path. The stock market has been volatile, with concerns about the impact of rising commodity prices on the central bank's ability to cut rates as expected. Additionally, the ongoing conflict in the Middle East and potential disruptions to energy supplies could also impact this sector. However, the long-term prospects for this sector remain positive, assuming the economy continues to grow and the Fed maintains a balanced approach to monetary policy.",75,2024-04-04</t>
  </si>
  <si>
    <t>Entertainment,"The entertainment sector has been impacted by the ongoing geopolitical tensions in Europe and the Middle East, as well as the rise of generative AI models. However, the recent macro-economic data shows signs of resilience in the U.S. economy, with strong private sector job growth and a potential for rate cuts by the Federal Reserve. The stock market has been volatile, but the long-term outlook for the entertainment sector remains positive.",75,2024-04-04</t>
  </si>
  <si>
    <t>Electric Utilities,"The recent economic outlook for the electric utilities sector is positive, with strong private sector job growth and a resilient U.S. economy. However, there are some concerns about the potential impact of rising commodity prices on the Federal Reserve's ability to cut rates as expected. Additionally, the upcoming 2024 U.S. presidential election and the FTC's actions on mergers and acquisitions could have implications for the sector. The passage of the EU's Artificial Intelligence Act may also indirectly affect U.S. companies operating in this sector.",75,2024-04-04</t>
  </si>
  <si>
    <t>Water Utilities,"The recent economic outlook for the water utilities sector is positive, with the U.S. economy showing signs of resilience and strong private sector job growth. However, there are also concerns about inflation and the Fed's policy decisions, which could impact the sector's performance. Additionally, the ongoing geopolitical tensions in Europe and the Middle East may also have indirect effects on the sector.",75,2024-04-04</t>
  </si>
  <si>
    <t>Energy Equipment &amp; Services,"The energy equipment and services sector is facing potential challenges in the coming months due to the ongoing geopolitical tensions in the Middle East and the recent collapse of the Francis Scott Key Bridge. These events could impact the sector's performance, particularly in terms of transportation and logistics. Additionally, the recent surge in commodities, including oil, could create challenges for the sector as the Fed navigates its policy decisions. However, the long-term outlook for the sector remains positive, assuming the economy continues to grow and the Fed maintains a balanced approach to monetary policy.",70,2024-04-04</t>
  </si>
  <si>
    <t>Gas Utilities,"The recent economic outlook for the gas utilities sector is mixed, with strong private sector job growth but ongoing debates about the pace of inflation and the Fed's policy path. The stock market has been volatile, with concerns about the impact of rising commodity prices on the central bank's ability to cut rates as expected. Additionally, the ongoing geopolitical tensions in the Middle East and Europe could potentially impact the sector, as well as the passage of the Artificial Intelligence Act by the European Union, which may have indirect effects on U.S. companies operating in this sector.",70,2024-04-04</t>
  </si>
  <si>
    <t>Multi-Utilities,"The recent economic outlook for the multi-utilities sector is mixed, with strong private sector job growth but ongoing debates about inflation and the Fed's policy path. The stock market has been volatile, with concerns about rising commodity prices potentially impacting the central bank's ability to cut rates as expected. Additionally, the upcoming 2024 U.S. presidential election and the FTC's actions on mergers and acquisitions could have significant implications for the sector. The passage of the EU's Artificial Intelligence Act may also influence the global AI industry, potentially affecting U.S. companies in this sector.",70,2024-04-04</t>
  </si>
  <si>
    <t>Chemicals,"The chemical sector is facing a mixed economic outlook, with strong private sector job growth but ongoing debates about inflation and the Fed's policy path. The recent surge in commodities, including oil and gold, has raised concerns about the potential impact on the Fed's ability to cut rates as expected. Additionally, the upcoming 2024 U.S. presidential election and the FTC's actions on mergers and acquisitions could also have significant implications for the sector. However, the passage of the Artificial Intelligence Act by the European Union may offer opportunities for chemical companies utilizing AI technology.",70,2024-04-04</t>
  </si>
  <si>
    <t>Metals &amp; Mining,"The recent economic outlook for the Metals &amp; Mining sector is mixed, with strong private sector job growth but ongoing debates about the pace of inflation and the Fed's policy path. The stock market has been volatile, with concerns about the impact of rising commodity prices on the central bank's ability to cut rates as expected. Additionally, geopolitical tensions in Europe and the Middle East could potentially impact the sector, as well as the ongoing technological advancements in the industry.",70,2024-04-04</t>
  </si>
  <si>
    <t>Paper &amp; Forest Products,"The recent economic outlook for the paper and forest products sector is mixed. On one hand, the U.S. economy continues to show signs of resilience, with strong private sector job growth and a robust labor market. However, there are concerns about the potential impact of rising commodity prices on the Fed's ability to cut rates as expected. Additionally, the upcoming 2024 U.S. presidential election and the FTC's actions on mergers and acquisitions could also have significant implications for the sector. The passage of the Artificial Intelligence Act by the European Union may also indirectly affect the sector, as it could influence the global AI industry and potentially impact U.S. companies operating in this sector.",70,2024-04-04</t>
  </si>
  <si>
    <t>Pharmaceuticals,"The pharmaceutical sector has been relatively stable in recent weeks, with the S&amp;P 500 Pharmaceuticals Index showing a slight increase. However, the economic outlook for the sector remains uncertain, with mixed signals from various indicators. While the U.S. economy continues to show signs of resilience, concerns about inflation and the Fed's policy decisions could create challenges for the sector. Additionally, the ongoing geopolitical tensions in Europe and the Middle East may impact global market sentiment and potentially affect the pharmaceutical industry.",70,2024-04-04</t>
  </si>
  <si>
    <t>Banks,"The recent economic data shows mixed signals for the banking sector. While private sector job growth remains strong, there are ongoing debates about the pace of inflation and the Federal Reserve's policy path. This could create challenges for the central bank as it tries to balance controlling inflation with supporting economic growth. Additionally, the upcoming 2024 U.S. presidential election and the FTC's actions on mergers and acquisitions could have significant implications for the sector. The passage of the Artificial Intelligence Act by the European Union may also indirectly affect the sector, as it could set the tone for future AI-related policies.",70,2024-04-04</t>
  </si>
  <si>
    <t>Financial Services,"The recent economic data and news suggest a mixed outlook for the financial services sector. While private sector job growth remains strong, there are ongoing debates about the pace of inflation and the Federal Reserve's policy decisions. The stock market has been volatile, with concerns about rising commodity prices potentially impacting the central bank's ability to cut rates as expected. Additionally, the upcoming 2024 U.S. presidential election and the FTC's actions on mergers and acquisitions could have significant implications for the sector. The passage of the Artificial Intelligence Act by the European Union may also influence the global AI industry, potentially affecting U.S. companies in this sector.",70,2024-04-04</t>
  </si>
  <si>
    <t>Capital Markets,"The recent economic data and news suggest a mixed outlook for the capital markets sector. While private sector job growth remains strong, there are concerns about the pace of inflation and the Fed's policy decisions. The stock market has been volatile, and the upcoming 2024 presidential election and the FTC's actions on mergers and acquisitions could also have significant implications for the sector. Additionally, the passage of the Artificial Intelligence Act by the EU may influence the global AI industry, potentially affecting U.S. companies in this sector.",70,2024-04-04</t>
  </si>
  <si>
    <t>Food Products,"The latest economic data shows a mixed outlook for the food products sector. While private sector job growth remains strong, there are concerns about rising inflation and the potential impact on the Fed's ability to cut rates. Additionally, the ongoing geopolitical tensions in Europe and the Middle East could create challenges for companies in this sector. However, the passage of the Artificial Intelligence Act by the EU may offer opportunities for companies utilizing AI technology in the food industry.",70,2024-04-04</t>
  </si>
  <si>
    <t>Tobacco,"The tobacco sector has been facing challenges in recent years due to increasing regulations and declining smoking rates. However, the sector has shown resilience and continues to generate profits. The economic outlook for the sector remains stable, with potential for growth in emerging markets. However, investors should be aware of potential legal and regulatory risks, as well as changing consumer preferences.",70,2024-04-04</t>
  </si>
  <si>
    <t>,"The recent economic outlook for the sector is mixed, with strong private sector job growth but ongoing debates about inflation and the Fed's policy path. The stock market has been volatile, with concerns about rising commodity prices potentially impacting the central bank's ability to cut rates as expected. The upcoming 2024 U.S. presidential election and the FTC's actions on mergers and acquisitions could also have significant implications for the sector. Additionally, the passage of the Artificial Intelligence Act by the European Union may influence the global AI industry, potentially affecting U.S. companies in this sector.",70,2024-04-04</t>
  </si>
  <si>
    <t>Marine Transportation,"The marine transportation sector is facing potential challenges in the near future due to the collapse of the Francis Scott Key Bridge and the ongoing geopolitical tensions in the Middle East. These events could impact transportation and logistics, potentially affecting related industries in the U.S. stock market. Additionally, the recent surge in commodities, including oil, could create challenges for the sector as the Fed navigates the delicate balance between controlling inflation and supporting economic growth.",70,2024-04-04</t>
  </si>
  <si>
    <t>Ground Transportation,"The ground transportation sector is facing a mixed economic outlook, with strong private sector job growth but ongoing debates about inflation and the Fed's policy path. The recent surge in commodities, including oil, could create challenges for the central bank as it balances controlling inflation and supporting economic growth. Additionally, the collapse of the Francis Scott Key Bridge in Baltimore may have implications for transportation and logistics, potentially affecting related industries in the stock market.",70,2024-04-04</t>
  </si>
  <si>
    <t>Transportation Infrastructure,"The transportation infrastructure sector is facing potential challenges in the near future due to the collapse of the Francis Scott Key Bridge and the ongoing geopolitical tensions in Europe and the Middle East. These events could impact the sector's performance, particularly in terms of transportation and logistics. However, the recent strong private sector job growth and the overall resilience of the U.S. economy may provide some stability for the sector. Investors should closely monitor any developments in the infrastructure and geopolitical landscape that could affect the sector's performance.",70,2024-04-04</t>
  </si>
  <si>
    <t>Automobile Components,"The recent economic outlook for the automobile components sector is mixed. On one hand, the U.S. economy continues to show signs of resilience, with strong private sector job growth and a robust labor market. However, there are concerns about rising inflation and the potential impact on the Federal Reserve's ability to cut rates as expected. Additionally, the ongoing geopolitical tensions in Europe and the Middle East could create challenges for the sector, particularly in terms of trade and energy supplies. Overall, the sector may face some volatility in the short term, but the long-term outlook remains positive.",70,2024-04-04</t>
  </si>
  <si>
    <t>Household Durables,"The recent economic data for the household durables sector shows a mixed outlook. While private sector job growth remains strong, there are concerns about the potential impact of rising commodity prices on the Fed's ability to cut rates as expected. Additionally, the upcoming 2024 U.S. presidential election and the FTC's actions on mergers and acquisitions could have significant implications for the sector. The passage of the Artificial Intelligence Act by the European Union may also indirectly affect U.S. companies operating in this sector.",70,2024-04-04</t>
  </si>
  <si>
    <t>Leisure Products,"The leisure products sector has been impacted by the recent economic outlook, with mixed signals from various indicators. While private sector job growth remains strong, there are ongoing debates about the pace of inflation and the Fed's policy path. This has led to volatility in the stock market, with concerns about the impact of rising commodity prices on the central bank's ability to cut rates as expected. Additionally, the upcoming 2024 U.S. presidential election and the FTC's actions on mergers and acquisitions could have significant implications for the sector. The passage of the EU's Artificial Intelligence Act may also influence the global AI industry, potentially affecting U.S. companies in this sector.",70,2024-04-04</t>
  </si>
  <si>
    <t>Independent Power and Renewable Electricity Producers,"The recent economic outlook for the Independent Power and Renewable Electricity Producers sector is mixed. While the U.S. economy continues to show signs of resilience, with strong private sector job growth, there are concerns about the potential impact of rising commodity prices on the Fed's ability to cut rates as expected. Additionally, the ongoing geopolitical tensions in Europe and the Middle East could create challenges for companies in this sector. However, the passage of the Artificial Intelligence Act by the European Union may offer opportunities for growth and innovation in the renewable energy industry.",70,2024-04-04</t>
  </si>
  <si>
    <t>Industrial Conglomerates,"The industrial conglomerates sector is facing a mixed economic outlook, with strong private sector job growth but ongoing debates about inflation and the Fed's policy path. The recent surge in commodities, including oil and gold, has raised concerns about the potential impact on the Fed's ability to cut rates as expected. Additionally, the upcoming 2024 U.S. presidential election and the FTC's actions on mergers and acquisitions could also have significant implications for the sector. However, the passage of the Artificial Intelligence Act by the European Union may offer opportunities for companies operating in the AI industry.",70,2024-04-04</t>
  </si>
  <si>
    <t>Commercial Services &amp; Supplies,"The recent economic data and news suggest a mixed outlook for the Commercial Services &amp; Supplies sector. While the U.S. economy continues to show signs of resilience, with strong private sector job growth, there are concerns about the potential impact of rising commodity prices on the Fed's ability to cut rates as expected. Additionally, the upcoming 2024 U.S. presidential election and the FTC's actions on mergers and acquisitions could also have significant implications for the sector. However, the passage of the Artificial Intelligence Act by the European Union may offer opportunities for tech-focused investors, but the potential for increased regulation in the tech sector is a factor to keep in mind.",70,2024-04-04</t>
  </si>
  <si>
    <t>Air Freight &amp; Logistics,"The air freight and logistics sector is facing a mixed economic outlook, with strong private sector job growth but ongoing debates about inflation and the Fed's policy path. The recent surge in commodities, including oil and gold, has raised concerns about the potential impact on the Fed's ability to cut rates as expected. Additionally, the ongoing geopolitical tensions in Europe and the Middle East could also have indirect effects on the sector, particularly for companies involved in transportation and logistics. However, the passage of the Artificial Intelligence Act by the EU may offer opportunities for tech-focused investors in this sector.",70,2024-04-04</t>
  </si>
  <si>
    <t>Diversified Telecommunication Services,"The recent economic outlook for the Diversified Telecommunication Services sector is mixed. While the U.S. economy continues to show signs of resilience, with strong private sector job growth, there are concerns about inflation and the Fed's policy decisions. The stock market has been volatile, with investors closely monitoring the central bank's actions and their potential impact on the sector. Additionally, the ongoing geopolitical tensions in Europe and the Middle East could also have indirect effects on the sector's performance.",70,2024-04-04</t>
  </si>
  <si>
    <t>Hotel &amp; Resort REITs,"The recent economic outlook for the Hotel &amp; Resort REITs sector is mixed. While the U.S. economy continues to show signs of resilience, with strong private sector job growth, there are concerns about inflation and the Fed's policy decisions. The stock market has been volatile, with investors closely monitoring the central bank's actions and their potential impact on the sector. Additionally, the ongoing geopolitical tensions in Europe and the Middle East could also have indirect effects on the sector's performance.",70,2024-04-04</t>
  </si>
  <si>
    <t>Real Estate Management &amp; Development,"The real estate management and development sector is facing a mixed economic outlook. On one hand, the U.S. economy continues to show signs of resilience, with strong private sector job growth and a robust labor market. However, there are concerns about the potential impact of rising commodity prices on the Fed's ability to cut rates as expected. Additionally, the upcoming 2024 U.S. presidential election and the FTC's actions on mergers and acquisitions could also have significant implications for the sector. The passage of the Artificial Intelligence Act by the European Union may also indirectly affect U.S. companies operating in this sector.",70,2024-04-04</t>
  </si>
  <si>
    <t>Electrical Equipment,"The recent economic data and news suggest a mixed outlook for the electrical equipment sector. While the U.S. economy continues to show signs of resilience, with strong private sector job growth, there are concerns about inflation and the Fed's policy decisions. The stock market has been volatile, and the upcoming 2024 presidential election and the FTC's actions on mergers and acquisitions could also have significant implications for the sector. Additionally, the passage of the Artificial Intelligence Act by the European Union may influence the global AI industry, potentially affecting U.S. companies in this sector.",70,2024-04-04</t>
  </si>
  <si>
    <t>Retail REITs,"The recent economic data and news suggest a mixed outlook for the retail REIT sector. While the U.S. economy continues to show signs of resilience, with strong private sector job growth, there are concerns about the potential impact of rising commodity prices on the Fed's ability to cut rates as expected. Additionally, the upcoming 2024 U.S. presidential election and the FTC's actions on mergers and acquisitions could have significant implications for the sector. However, the passage of the Artificial Intelligence Act by the European Union may offer opportunities for growth in the retail REITs sector.",65,2024-04-04</t>
  </si>
  <si>
    <t>Insurance,"The recent economic data and news suggest a mixed outlook for the insurance sector. While the U.S. economy continues to show signs of resilience, with strong private sector job growth, there are concerns about the potential impact of rising commodity prices on the Fed's ability to cut rates as expected. Additionally, the upcoming 2024 U.S. presidential election and the FTC's actions on mergers and acquisitions could have significant implications for the sector. However, the passage of the Artificial Intelligence Act by the European Union may offer opportunities for insurance companies utilizing AI technology.",65,2024-04-04</t>
  </si>
  <si>
    <t>Diversified Consumer Services,"The recent economic data and news suggest a mixed outlook for the Diversified Consumer Services sector. While the U.S. economy continues to show signs of resilience, with strong private sector job growth, there are concerns about the potential impact of rising commodity prices on the Fed's ability to cut rates as expected. Additionally, the upcoming 2024 U.S. presidential election and the FTC's actions on mergers and acquisitions could have significant implications for the sector. However, the passage of the Artificial Intelligence Act by the European Union may offer opportunities for tech-focused investors in this sector.",65,2024-04-04</t>
  </si>
  <si>
    <t>Consumer Staples Distribution &amp; Retail,"The recent economic data and news suggest a mixed outlook for the Consumer Staples Distribution &amp; Retail sector. While the U.S. economy continues to show signs of resilience, with strong private sector job growth, there are concerns about the potential impact of rising commodity prices on the Fed's ability to cut rates as expected. Additionally, the upcoming 2024 U.S. presidential election and the FTC's actions on mergers and acquisitions could have significant implications for the sector. However, the passage of the Artificial Intelligence Act by the European Union may offer opportunities for U.S. companies operating in this sector.",65,2024-04-04</t>
  </si>
  <si>
    <t>Textiles, Apparel &amp; Luxury Goods,"The recent economic outlook for the Textiles, Apparel &amp; Luxury Goods sector is mixed. While the U.S. economy continues to show signs of resilience, with strong private sector job growth, there are concerns about inflation and the Fed's policy decisions. The stock market has been volatile, with rising commodity prices and uncertainty surrounding the Fed's ability to cut rates as expected. Additionally, the upcoming 2024 U.S. presidential election and the FTC's actions on mergers and acquisitions could have significant implications for the sector. However, the passage of the Artificial Intelligence Act by the European Union may offer opportunities for companies in this sector, as it could influence the global AI industry.",65,2024-04-04</t>
  </si>
  <si>
    <t>Automobiles,"The recent economic data and news suggest a mixed outlook for the automobile sector. While the U.S. economy continues to show signs of resilience, with strong private sector job growth, there are concerns about rising inflation and the Fed's ability to achieve its 2% target. Additionally, the ongoing geopolitical tensions in Europe and the Middle East could potentially impact the sector, particularly in terms of trade and energy supplies. However, the passage of the Artificial Intelligence Act by the EU may offer opportunities for tech-focused investors in the industry.",65,2024-04-04</t>
  </si>
  <si>
    <t>Hotels, Restaurants &amp; Leisure,"The recent economic data and news suggest a mixed outlook for the Hotels, Restaurants &amp; Leisure sector. While the U.S. economy continues to show signs of resilience, with strong private sector job growth, there are concerns about the potential impact of rising commodity prices on the Fed's ability to cut rates as expected. Additionally, the upcoming 2024 U.S. presidential election and the FTC's actions on mergers and acquisitions could have significant implications for the sector. However, the passage of the Artificial Intelligence Act by the European Union may offer opportunities for tech-focused investors in this sector.",65,2024-04-04</t>
  </si>
  <si>
    <t>Broadline Retail,"The recent economic data and news suggest a mixed outlook for the broadline retail sector. While the U.S. economy continues to show signs of resilience, with strong private sector job growth, there are concerns about inflation and the Fed's policy decisions. The stock market has been volatile, and the upcoming 2024 presidential election and the FTC's actions on mergers and acquisitions could also have significant implications for the sector. Additionally, the rise of e-commerce and the changing consumer behavior may pose challenges for traditional brick-and-mortar retailers.",60,2024-04-04</t>
  </si>
  <si>
    <t>MDT,90,"Medtronic, a leading company in the Health Care Equipment industry, has shown strong financial performance in recent years. With a market cap of 111.01B and an enterprise value of 127.87B, the company has a solid financial foundation. Its trailing P/E ratio of 26.54 and forward P/E ratio of 15.29 indicate that the company is currently undervalued, making it an attractive investment opportunity.</t>
  </si>
  <si>
    <t>Furthermore, Medtronic's PEG ratio of 1.58 suggests that the company has a strong potential for future growth. Its price/sales ratio of 3.45 and price/book ratio of 2.14 also indicate that the company's stock is currently undervalued. Additionally, its enterprise value/revenue ratio of 3.96 and enterprise value/EBITDA ratio of 14.35 show that the company is generating strong revenue and has a healthy balance sheet.</t>
  </si>
  <si>
    <t>Overall, Medtronic's recent financial data and market performance make it a promising investment opportunity in the Health Care Equipment industry. Its strong financial foundation, potential for future growth, and undervalued stock make it a favorable choice for investors."</t>
  </si>
  <si>
    <t>LYV,85,"Live Nation Entertainment (NYSE: LYV) is a leading live entertainment company that produces concerts, festivals, and other live events. The company has a strong presence in the global entertainment market and has been expanding its reach through strategic acquisitions and partnerships.</t>
  </si>
  <si>
    <t>In the latest quarter, Live Nation reported a 94% increase in revenue compared to the same period last year, driven by the return of live events and strong ticket sales. The company also reported a net income of $71.4 million, a significant improvement from the net loss of $588.2 million in the same quarter last year. Live Nation's strong financial performance is a testament to its resilience and ability to adapt to the challenges posed by the pandemic.</t>
  </si>
  <si>
    <t>The live entertainment industry is expected to rebound strongly as COVID-19 restrictions ease and people are eager to attend live events again. According to a recent report by Grand View Research, the global live entertainment market is projected to reach $1.9 trillion by 2028, growing at a CAGR of 4.9% from 2021 to 2028. This presents a significant growth opportunity for Live Nation.</t>
  </si>
  <si>
    <t>Valuation:</t>
  </si>
  <si>
    <t>Live Nation's current market cap is $22.42 billion, with an enterprise value of $24.63 billion. The company's trailing P/E ratio of 70.91 and forward P/E ratio of 60.61 may seem high, but it is important to note that these ratios are expected to decrease as the company's earnings continue to improve. The PEG ratio of 1.87 also indicates that the stock may be undervalued, considering its growth potential."</t>
  </si>
  <si>
    <t>LEN,85,"Lennar Corporation (LEN) is a leading homebuilding company in the United States. The recent financial data for the company shows a strong market cap of $44.96B and an enterprise value of $43.43B. The trailing P/E ratio of 11.76 and forward P/E ratio of 11.31 indicate that the stock is currently undervalued. Additionally, the PEG ratio of 1.36 suggests that the stock has potential for future growth.</t>
  </si>
  <si>
    <t>The company's price/sales ratio of 1.34 and price/book ratio of 1.71 are in line with industry averages, indicating a fair valuation. The enterprise value/revenue ratio of 1.27 and enterprise value/EBITDA ratio of 7.83 also suggest that the company is performing well financially.</t>
  </si>
  <si>
    <t>Lennar has a strong track record of delivering consistent earnings and revenue growth, and its recent expansion into the rental market has further diversified its revenue streams. The company's focus on innovation and technology, as well as its strong balance sheet, make it well-positioned for future growth."</t>
  </si>
  <si>
    <t>KMB,85,"Kimberly-Clark (KMB) is a leading company in the Household Products industry with a recent market cap of $41.40B and an enterprise value of $48.42B. The company has a trailing P/E ratio of 23.59 and a forward P/E ratio of 17.76, indicating a potential undervaluation of the stock. The PEG ratio of 1.56 suggests that the stock may be trading at a discount compared to its expected earnings growth. Additionally, the price/sales ratio of 2.04 and price/book ratio of 45.25 also indicate a potential undervaluation of the stock.</t>
  </si>
  <si>
    <t>Furthermore, the company's enterprise value/revenue ratio of 2.37 and enterprise value/EBITDA ratio of 15.79 are in line with industry averages, suggesting a stable financial position. However, investors should note that the company's high debt-to-equity ratio of 1.86 may pose some risks.</t>
  </si>
  <si>
    <t>Overall, the recent financial data for Kimberly-Clark suggests that the stock may be undervalued and presents a potential investment opportunity in the Household Products industry."</t>
  </si>
  <si>
    <t>KDP,85,"Keurig Dr Pepper (KDP) is a leading company in the Soft Drinks &amp; Non-alcoholic Beverages industry with a recent market cap of $40.60B and an enterprise value of $55.16B. The company has a trailing P/E ratio of 18.88 and a forward P/E ratio of 15.29, indicating a positive outlook for future earnings. The PEG ratio of 1.01 suggests that the stock is currently undervalued compared to its expected growth rate.</t>
  </si>
  <si>
    <t>KDP's price/sales ratio of 2.78 and price/book ratio of 1.58 are in line with industry averages, indicating a fair valuation. The company's enterprise value/revenue ratio of 3.72 and enterprise value/EBITDA ratio of 13.88 also suggest that the stock is trading at a reasonable price.</t>
  </si>
  <si>
    <t>Overall, KDP's financial data suggests that the company is in a strong financial position and has the potential for future growth. With a diverse portfolio of popular beverage brands and a strong distribution network, KDP is well-positioned to capitalize on the growing demand for non-alcoholic beverages."</t>
  </si>
  <si>
    <t>KVUE,85,"Kenvue is a leading company in the Personal Care Products industry with a recent market cap of 36.04B and an enterprise value of 43.09B. The company has a trailing P/E ratio of 20.91 and a forward P/E ratio of 16.21, indicating a positive outlook for future earnings. However, the PEG ratio of 2.05 suggests that the stock may be slightly overvalued.</t>
  </si>
  <si>
    <t>Kenvue's price/sales ratio of 2.25 and price/book ratio of 3.31 are in line with industry averages, indicating a fair valuation. The company's enterprise value/revenue ratio of 2.79 and enterprise value/EBITDA ratio of 17.66 also suggest a reasonable valuation.</t>
  </si>
  <si>
    <t>Overall, Kenvue's financial data shows a stable and well-performing company in the Personal Care Products industry. The company's strong market position and positive earnings outlook make it a potential investment opportunity for the next month."</t>
  </si>
  <si>
    <t>LDOS,85,"Leidos, a company in the Diversified Support Services industry, has a recent market cap of 17.30B and an enterprise value of 21.72B. Its trailing P/E ratio is 88.50 and its forward P/E ratio is 16.67, indicating potential growth in earnings. The price/sales ratio is 1.14 and the price/book ratio is 4.12, suggesting that the stock may be undervalued. Additionally, the enterprise value/revenue ratio is 1.41 and the enterprise value/EBITDA ratio is 22.96, which are both relatively low compared to the industry average.</t>
  </si>
  <si>
    <t>Leidos has a strong financial position and a diverse portfolio of services, including defense, intelligence, and healthcare. The recent acquisition of Dynetics has expanded its capabilities in the defense sector, providing potential for growth in this area. The company also has a strong backlog of contracts, indicating a stable revenue stream.</t>
  </si>
  <si>
    <t>However, there are potential risks to consider, such as the impact of government budget cuts on defense spending and the potential for increased competition in the healthcare sector. It is important for investors to monitor these factors and the company's performance closely.</t>
  </si>
  <si>
    <t>Overall, Leidos appears to be a solid investment opportunity in the Diversified Support Services industry. Its strong financials, diverse portfolio, and potential for growth make it a promising stock to consider."</t>
  </si>
  <si>
    <t>LVS,85,"Las Vegas Sands (LVS) is a leading player in the Casinos &amp; Gaming industry with a recent market cap of $38.65B and an enterprise value of $47.57B. The company has a trailing P/E ratio of 32.05 and a forward P/E ratio of 17.73, indicating a potential undervaluation of the stock. The PEG ratio of 0.70 also suggests that the stock may be trading at a discount compared to its expected growth rate.</t>
  </si>
  <si>
    <t>LVS has a strong financial position with a price/sales ratio of 3.78 and a price/book ratio of 9.38, indicating that the stock may be undervalued based on its sales and book value. The company also has a healthy enterprise value/revenue ratio of 4.59 and an enterprise value/EBITDA ratio of 12.33, indicating a strong financial performance.</t>
  </si>
  <si>
    <t>The recent news of the easing of COVID-19 restrictions and the return of tourism to Las Vegas is a positive sign for LVS. The company's strong presence in Macau, the world's largest gambling market, also provides a competitive advantage. However, the ongoing geopolitical tensions between the US and China may have an impact on the company's operations in Macau.</t>
  </si>
  <si>
    <t>Overall, LVS has a strong financial position and potential for growth in the coming months. Considering the positive industry outlook and the company's financial performance, LVS may present a good investment opportunity in the Casinos &amp; Gaming industry."</t>
  </si>
  <si>
    <t>LKQ,85,"LKQ Corporation is a leading distributor of aftermarket automotive parts and accessories, with a recent market cap of 13.86B and an enterprise value of 19.20B. The company has a strong financial standing, with a trailing P/E of 14.77 and a forward P/E of 12.89, indicating potential undervaluation. Additionally, the PEG ratio of 1.76 suggests that the stock may be trading at a discount compared to its expected earnings growth.</t>
  </si>
  <si>
    <t>In terms of valuation, LKQ Corporation has a price/sales ratio of 1.01 and a price/book ratio of 2.25, which are both below the industry average. This indicates that the stock may be undervalued compared to its peers. Furthermore, the company's enterprise value/revenue ratio of 1.38 and enterprise value/EBITDA ratio of 10.86 suggest that the stock may be trading at a discount to its intrinsic value.</t>
  </si>
  <si>
    <t>Overall, LKQ Corporation appears to be in a strong financial position with potential for growth. The recent market conditions and the company's financial data suggest that the stock may be undervalued, making it a potential investment opportunity."</t>
  </si>
  <si>
    <t>KR,85,"Kroger, a leading food retail company, has been performing well in the recent market conditions. With a market cap of 35.37B and an enterprise value of 52.28B, the company has a strong financial standing. Its trailing P/E ratio of 19.13 and forward P/E ratio of 11.43 indicate that the company is currently undervalued, making it an attractive investment opportunity.</t>
  </si>
  <si>
    <t>Furthermore, Kroger's PEG ratio of 1.86 suggests that the company has a good growth potential in the next five years. Its price/sales ratio of 0.24 and price/book ratio of 3.16 also indicate that the stock is currently undervalued. Additionally, the company's enterprise value/revenue ratio of 0.35 and enterprise value/EBITDA ratio of 7.81 are lower than the industry average, further highlighting its potential for growth.</t>
  </si>
  <si>
    <t>Kroger has also been making strategic moves to stay competitive in the food retail industry, such as expanding its online presence and investing in new technologies. These initiatives are expected to drive the company's growth in the future.</t>
  </si>
  <si>
    <t>Based on the latest financial data and market trends, Kroger appears to be a strong investment opportunity in the food retail industry. Its undervalued stock and potential for growth make it a promising choice for investors."</t>
  </si>
  <si>
    <t>LULU,85,"Lululemon Athletica, a leading athletic apparel company, has been performing well in the recent market conditions. With a market cap of 57.84B and an enterprise value of 57.92B, the company has a strong financial standing. Its trailing P/E ratio of 58.31 and forward P/E ratio of 32.36 indicate that the company is currently trading at a premium, but its expected growth potential is reflected in its PEG ratio of 1.36.</t>
  </si>
  <si>
    <t>In terms of valuation, Lululemon Athletica has a price/sales ratio of 6.36 and a price/book ratio of 16.40, which are higher than the industry average. However, its enterprise value/revenue ratio of 6.30 and enterprise value/EBITDA ratio of 24.42 are in line with the industry average, indicating that the company is not overvalued.</t>
  </si>
  <si>
    <t>Overall, Lululemon Athletica has a strong financial position and is well-positioned for future growth. Its recent performance and expected growth potential make it a promising investment opportunity in the Apparel, Accessories &amp; Luxury Goods industry."</t>
  </si>
  <si>
    <t>NEM,85,"Newmont is a leading gold mining company with a recent market cap of $36.81B and an enterprise value of $43.22B. The company has a trailing P/E ratio of 44.33 and a forward P/E ratio of 12.79, indicating potential growth in the future. Its PEG ratio of 0.79 suggests that the stock may be undervalued compared to its expected earnings growth. Newmont's price/sales ratio of 2.27 and price/book ratio of 1.27 are also relatively low, making it an attractive investment opportunity.</t>
  </si>
  <si>
    <t>The company's latest financial data shows a strong enterprise value/revenue ratio of 3.66, indicating efficient use of its assets to generate revenue. However, its enterprise value/EBITDA ratio of 135.07 is relatively high, suggesting that the company may have a high level of debt.</t>
  </si>
  <si>
    <t>Overall, Newmont's financial data suggests that it is a strong and potentially undervalued company in the gold industry. Its efficient use of assets and potential for future growth make it a promising investment opportunity."</t>
  </si>
  <si>
    <t>NFLX,85,"Netflix, one of the leading companies in the Movies &amp; Entertainment industry, has been performing well in recent months. The latest financial data shows a market cap of $268.04B and an enterprise value of $275.45B. The trailing P/E ratio is 51.49, while the forward P/E ratio is 35.97, indicating potential growth in the future. The PEG ratio of 1.64 suggests that the stock may be slightly overvalued, but still within a reasonable range. The price/sales ratio of 8.26 and price/book ratio of 13.02 also indicate a premium valuation for the stock.</t>
  </si>
  <si>
    <t>Netflix's strong financials are supported by its growing subscriber base and increasing revenue. The company's focus on original content and international expansion has been driving its success in the highly competitive streaming market. However, the company faces challenges such as rising competition and content production costs."</t>
  </si>
  <si>
    <t>NTAP,85,"NetApp, a leading data storage and management company, has been performing well in the recent market conditions. With a market cap of 21.70B and an enterprise value of 21.44B, the company has a strong financial standing. Its trailing P/E ratio of 23.99 and forward P/E ratio of 16.61 indicate that the stock is currently trading at a reasonable valuation.</t>
  </si>
  <si>
    <t>The company's PEG ratio of 1.06 suggests that it may be slightly overvalued, but this is offset by its strong price/sales ratio of 3.65 and price/book ratio of 21.83. NetApp's enterprise value/revenue ratio of 3.47 and enterprise value/EBITDA ratio of 14.12 also indicate a healthy financial position.</t>
  </si>
  <si>
    <t>Overall, NetApp's financial data suggests that it is a stable and well-performing company in the technology hardware, storage, and peripherals industry. Its strong financial standing and reasonable valuation make it a potential investment opportunity for the next month."</t>
  </si>
  <si>
    <t>MSCI,85,"MSCI is a leading provider of financial data and analytics, serving clients in the financial industry, including asset managers, banks, and hedge funds. The company has a strong market position and a diverse portfolio of products and services, making it well-positioned for future growth.</t>
  </si>
  <si>
    <t>Recent financial data shows a market cap of $44.72B and an enterprise value of $48.89B. The trailing P/E ratio is 39.30, while the forward P/E ratio is 37.45, indicating a potential undervaluation of the stock. The PEG ratio of 3.54 suggests that the stock may be slightly overvalued, but this could be justified by the company's strong growth potential.</t>
  </si>
  <si>
    <t>MSCI's price/sales ratio of 17.85 and enterprise value/revenue ratio of 19.33 are higher than the industry average, indicating a premium valuation. However, the company's strong financial performance and market position justify this premium.</t>
  </si>
  <si>
    <t>The enterprise value/EBITDA ratio of 28.51 is also higher than the industry average, but this can be attributed to the company's investments in technology and innovation, which are crucial for its long-term growth.</t>
  </si>
  <si>
    <t>Overall, MSCI's recent financial data and market position suggest a strong potential for future growth. However, investors should carefully consider the premium valuation of the stock and potential risks in the financial industry before making any investment decisions."</t>
  </si>
  <si>
    <t>MOS,85,"The Mosaic Company is a leading producer and marketer of concentrated phosphate and potash crop nutrients. With a recent market cap of 10.18B and an enterprise value of 13.82B, the company has a strong financial standing in the Fertilizers &amp; Agricultural Chemicals industry.</t>
  </si>
  <si>
    <t>In terms of valuation, Mosaic's trailing P/E ratio of 9.04 and forward P/E ratio of 10.50 suggest that the stock may be undervalued. Additionally, its price/sales ratio of 0.77 and price/book ratio of 0.83 indicate that the stock is trading at a discount compared to its peers in the industry.</t>
  </si>
  <si>
    <t>Furthermore, Mosaic's enterprise value/revenue ratio of 1.01 and enterprise value/EBITDA ratio of 5.58 are in line with industry averages, indicating a fair valuation for the company.</t>
  </si>
  <si>
    <t>Overall, Mosaic's strong financial standing and attractive valuation metrics make it a potential investment opportunity in the Fertilizers &amp; Agricultural Chemicals industry."</t>
  </si>
  <si>
    <t>LHX,85,"L3Harris is a leading company in the Aerospace &amp; Defense industry with a recent market cap of $39.89B and an enterprise value of $52.45B. The firm has a trailing P/E ratio of 32.59 and a forward P/E ratio of 16.58, indicating a potential undervaluation in the stock. However, the PEG ratio of 3.62 suggests that the stock may be overvalued in comparison to its expected earnings growth.</t>
  </si>
  <si>
    <t>The latest financial data also shows a price/sales ratio of 2.06 and a price/book ratio of 2.13, which are both below the industry average. This could indicate a potential buying opportunity for investors. Additionally, the enterprise value/revenue ratio of 2.70 and the enterprise value/EBITDA ratio of 17.90 are also below the industry average, further supporting the potential undervaluation of the stock.</t>
  </si>
  <si>
    <t>Overall, L3Harris appears to be in a strong financial position with potential for growth in the Aerospace &amp; Defense industry. However, investors should carefully consider the PEG ratio and potential risks in the industry before making any investment decisions."</t>
  </si>
  <si>
    <t>NEE,85,"NextEra Energy is a leading company in the Multi-Utilities industry with a recent market cap of $113.31B and an enterprise value of $183.84B. The company has a trailing P/E ratio of 15.34 and a forward P/E ratio of 16.23, indicating a relatively low valuation compared to its peers in the industry. However, the PEG ratio of 2.29 suggests that the stock may be slightly overvalued based on its expected growth rate.</t>
  </si>
  <si>
    <t>NextEra Energy's price/sales ratio of 3.99 and price/book ratio of 2.39 are both in line with industry averages, indicating a fair valuation. The company's enterprise value/revenue ratio of 6.54 and enterprise value/EBITDA ratio of 10.97 are also in line with industry averages, suggesting that the stock is not significantly undervalued or overvalued based on these metrics.</t>
  </si>
  <si>
    <t>Overall, NextEra Energy appears to be a solid investment option in the Multi-Utilities industry. The company has a strong market position and a relatively low valuation compared to its peers. However, investors should keep an eye on the PEG ratio and potential risks in the industry, such as regulatory changes and competition."</t>
  </si>
  <si>
    <t>NWS,85,"News Corp (Class B) is a global media and publishing company with a market cap of 15.18B and an enterprise value of 17.70B. The latest financial data shows a trailing P/E ratio of 68.53 and a forward P/E ratio of 27.03, indicating a potential for future earnings growth. The PEG ratio of 1.18 suggests that the stock may be undervalued compared to its expected earnings growth. The price/sales ratio of 1.58 and price/book ratio of 1.91 also indicate a relatively low valuation for the company.</t>
  </si>
  <si>
    <t>News Corp has a strong presence in the publishing industry, with a diverse portfolio of media and news outlets. The company has been able to adapt to the changing media landscape and has shown resilience during the COVID-19 pandemic. However, there are potential risks to consider, such as the ongoing shift towards digital media and potential regulatory changes in the industry.</t>
  </si>
  <si>
    <t>Overall, News Corp (Class B) shows potential for growth and has a solid financial foundation. With a strong presence in the publishing industry and a relatively low valuation, the stock may present a good investment opportunity for the next month."</t>
  </si>
  <si>
    <t>IP,85,"International Paper (IP) is a leading company in the Paper &amp; Plastic Packaging Products &amp; Materials industry with a recent market cap of 12.14B and an enterprise value of 16.93B. The company has a trailing P/E ratio of 40.76 and a forward P/E ratio of 15.65, indicating a potential undervaluation of the stock. The PEG ratio of 0.38 also suggests that the stock may be undervalued, as it is trading at a lower multiple compared to its expected earnings growth rate.</t>
  </si>
  <si>
    <t>IP's price/sales ratio of 0.65 and price/book ratio of 1.45 are both below the industry average, indicating a potential undervaluation of the stock. The company's enterprise value/revenue ratio of 0.90 and enterprise value/EBITDA ratio of 7.58 also suggest that the stock may be undervalued compared to its peers.</t>
  </si>
  <si>
    <t>Overall, IP's recent financial data suggests that the stock may be undervalued and presents a potential investment opportunity in the Paper &amp; Plastic Packaging Products &amp; Materials industry. However, investors should conduct further research and analysis before making any investment decisions."</t>
  </si>
  <si>
    <t>IR,85,"Ingersoll Rand (IR) is a leading industrial machinery and supplies company with a recent market cap of $36.97B and an enterprise value of $38.14B. The company has a trailing P/E ratio of 48.23 and a forward P/E ratio of 28.09, indicating a potential for future earnings growth. The PEG ratio of 1.46 suggests that the stock may be undervalued compared to its expected earnings growth over the next five years.</t>
  </si>
  <si>
    <t>IR's price/sales ratio of 5.45 and price/book ratio of 3.78 are in line with industry averages, indicating a fair valuation. The company's enterprise value/revenue ratio of 5.55 and enterprise value/EBITDA ratio of 23.16 also suggest a reasonable valuation.</t>
  </si>
  <si>
    <t>In the latest news, IR announced its fourth-quarter and full-year 2020 financial results, reporting a 6% increase in revenue and a 12% increase in adjusted earnings per share compared to the previous year. The company also provided a positive outlook for 2021, expecting continued growth in its core businesses.</t>
  </si>
  <si>
    <t>Overall, IR appears to be a solid investment opportunity in the industrial machinery and supplies industry. With a strong financial position and positive growth prospects, the company has the potential to deliver returns for investors in the next month."</t>
  </si>
  <si>
    <t>INCY,85,"Incyte is a biotechnology company with a recent market cap of $13.26B and an enterprise value of $9.64B. The company has a trailing P/E ratio of 22.28 and a forward P/E ratio of 12.48, indicating potential growth in earnings. The PEG ratio of 0.51 suggests that the stock may be undervalued compared to its expected growth rate. Incyte's price/sales ratio of 3.61 and price/book ratio of 2.55 are in line with industry averages, indicating a fair valuation. The company's enterprise value/revenue ratio of 2.61 and enterprise value/EBITDA ratio of 10.49 also suggest a reasonable valuation.</t>
  </si>
  <si>
    <t>In terms of recent events, Incyte announced positive results from its Phase 3 clinical trial for a new treatment for atopic dermatitis, a chronic inflammatory skin disease. This could potentially lead to increased revenue and profitability for the company in the future.</t>
  </si>
  <si>
    <t>Based on the provided financial data and recent developments, Incyte appears to be a solid investment opportunity in the biotechnology industry. However, as with any investment, it is important to carefully consider the risks and do thorough research before making any decisions."</t>
  </si>
  <si>
    <t>IQV,85,"IQVIA is a leading company in the Life Sciences Tools &amp; Services industry with a recent market cap of 45.95B and an enterprise value of 58.35B. The company has a trailing P/E ratio of 34.63 and a forward P/E ratio of 22.73, indicating a potential for future growth. The PEG ratio of 1.67 suggests that the stock may be undervalued compared to its expected earnings growth. Additionally, the price/sales ratio of 3.14 and price/book ratio of 7.52 are in line with industry averages, indicating a fair valuation.</t>
  </si>
  <si>
    <t>IQVIA's strong financials are reflected in its enterprise value/revenue ratio of 3.89 and enterprise value/EBITDA ratio of 17.92, which are lower than industry averages. This suggests that the company is generating strong revenue and earnings, making it an attractive investment opportunity.</t>
  </si>
  <si>
    <t>The recent advancements in the healthcare and life sciences industry, coupled with IQVIA's strong financials and market position, make it a promising investment option for the next month. However, investors should keep an eye on potential risks and market conditions."</t>
  </si>
  <si>
    <t>INTU,85,"Intuit, a leading company in the Application Software industry, has been performing well in the recent market conditions. With a market cap of 186.61B and an enterprise value of 191.63B, the company has a strong financial standing. Its trailing P/E ratio of 68.08 and forward P/E ratio of 40.65 indicate that the company is currently trading at a premium, but its expected growth potential may justify this valuation.</t>
  </si>
  <si>
    <t>The PEG ratio of 2.83 suggests that the stock may be slightly overvalued, but this could also be due to the company's strong performance in the past year. Its price/sales ratio of 12.52 and price/book ratio of 11.04 are also higher than the industry average, indicating a premium valuation. However, Intuit's strong financials and potential for future growth make it an attractive investment option.</t>
  </si>
  <si>
    <t>The company's enterprise value/revenue ratio of 12.70 and enterprise value/EBITDA ratio of 43.83 are also higher than the industry average, but this could be due to its dominant position in the market and strong financial performance. Overall, Intuit's financial data suggests that it is a solid investment option in the Application Software industry."</t>
  </si>
  <si>
    <t>L,85,"Loews Corporation is a multi-line insurance company with a recent market cap of $16.54B and an enterprise value of $25.14B. The company has a trailing P/E ratio of 11.83, which is lower than the industry average, indicating potential undervaluation. Additionally, its price/sales and price/book ratios of 1.08 and 1.05 respectively, are also lower than the industry average, further supporting the potential undervaluation of the company.</t>
  </si>
  <si>
    <t>Furthermore, Loews Corporation has a strong enterprise value/revenue ratio of 1.60, indicating that the company is generating significant revenue relative to its enterprise value. This is a positive sign for investors as it suggests the company is efficiently utilizing its resources to generate revenue.</t>
  </si>
  <si>
    <t>Overall, based on the recent financial data, Loews Corporation appears to be a potentially undervalued company in the multi-line insurance industry. However, it is important for investors to conduct further research and analysis before making any investment decisions."</t>
  </si>
  <si>
    <t>MKTX,85,"MarketAxess is a leading financial technology company that operates an electronic trading platform for fixed-income securities. The company has shown strong financial performance in recent years, with a market cap of 8.26B and an enterprise value of 7.81B. Its trailing P/E ratio of 31.82 and forward P/E ratio of 28.17 indicate that the stock may be slightly overvalued, but this is offset by its strong growth potential.</t>
  </si>
  <si>
    <t>MarketAxess has a PEG ratio of 2.91, which suggests that the stock may be undervalued compared to its expected earnings growth. Its price/sales ratio of 10.91 and price/book ratio of 6.38 are also relatively high, indicating that the stock may be trading at a premium. However, this can be justified by the company's strong financials and market position.</t>
  </si>
  <si>
    <t>The company's enterprise value/revenue ratio of 10.38 and enterprise value/EBITDA ratio of 19.00 are in line with industry averages, indicating that the stock is not overvalued in comparison to its peers.</t>
  </si>
  <si>
    <t>Overall, MarketAxess has a strong financial position and growth potential, making it a promising investment opportunity in the financial exchanges and data industry."</t>
  </si>
  <si>
    <t>MTB,85,"Recent Dividend Yield   3.44%</t>
  </si>
  <si>
    <t>M&amp;T Bank (MTB) is a regional bank with a market cap of 22.81B. The latest financial data shows a trailing P/E of 8.67 and a forward P/E of 9.74, indicating a relatively low valuation compared to its peers in the Regional Banks industry. The PEG ratio of 1.39 suggests potential for future growth. The price/sales ratio of 2.43 and price/book ratio of 0.91 also indicate a relatively undervalued stock.</t>
  </si>
  <si>
    <t>In terms of dividends, M&amp;T Bank has a recent dividend yield of 3.44%, which may be attractive to income-seeking investors. The company has a strong track record of consistently paying dividends, with a history of increasing dividends over the years.</t>
  </si>
  <si>
    <t>Overall, M&amp;T Bank appears to be in a strong financial position with potential for growth. However, investors should also consider potential risks and challenges in the banking industry, such as regulatory changes and economic downturns. It is important to conduct further research and analysis before making any investment decisions."</t>
  </si>
  <si>
    <t>LYB,85,"LyondellBasell (LYB) is a leading company in the specialty chemicals industry with a recent market cap of $32.27B and an enterprise value of $41.88B. The company has a trailing P/E ratio of 15.35 and a forward P/E ratio of 11.38, indicating a potential undervaluation of the stock. Additionally, LYB has a low price-to-sales ratio of 0.79 and a price-to-book ratio of 2.50, suggesting that the stock may be trading at a discount compared to its peers.</t>
  </si>
  <si>
    <t>Furthermore, LYB has a strong financial position with an enterprise value/revenue ratio of 1.02 and an enterprise value/EBITDA ratio of 9.03. This indicates that the company is generating solid revenue and earnings, making it a potentially attractive investment opportunity.</t>
  </si>
  <si>
    <t>The recent news of the company's expansion plans in China and its focus on sustainability and innovation also bode well for its future growth potential. However, it is important to note that the specialty chemicals industry is highly competitive and subject to fluctuations in raw material prices, which could impact LYB's profitability.</t>
  </si>
  <si>
    <t>Overall, based on the recent financial data and news, LYB appears to be a promising investment opportunity in the specialty chemicals industry. Its strong financial position, potential undervaluation, and growth plans make it a stock to watch in the coming months."</t>
  </si>
  <si>
    <t>IEX,85,"IDEX Corporation is a leading company in the Industrial Machinery &amp; Supplies &amp; Components industry with a recent market cap of 18.11B and an enterprise value of 19.03B. The company has a trailing P/E ratio of 30.51 and a forward P/E ratio of 28.82, indicating a relatively high valuation. However, the PEG ratio of 2.47 suggests that the stock may still have room for growth.</t>
  </si>
  <si>
    <t>In terms of valuation multiples, IDEX Corporation has a price/sales ratio of 5.55 and a price/book ratio of 5.12, both of which are higher than the industry average. This could be a reflection of the company's strong financial performance and growth potential. Additionally, the enterprise value/revenue ratio of 5.81 and the enterprise value/EBITDA ratio of 19.73 also indicate a relatively high valuation.</t>
  </si>
  <si>
    <t>Overall, IDEX Corporation appears to be a strong and well-performing company in the Industrial Machinery &amp; Supplies &amp; Components industry. Its high valuation multiples may be a concern for some investors, but the company's strong financials and growth potential make it a promising investment opportunity."</t>
  </si>
  <si>
    <t>HBAN,85,"Enterprise Value  18.77B</t>
  </si>
  <si>
    <t>Huntington Bancshares is a regional bank with a recent market cap of 18.77B. The company has a trailing P/E ratio of 10.45 and a forward P/E ratio of 9.97, indicating a relatively low valuation compared to its peers in the regional banks industry. However, its PEG ratio of 2.79 suggests that its growth potential may be slightly overvalued. The company's price/sales ratio of 2.58 and price/book ratio of 1.11 also indicate a reasonable valuation.</t>
  </si>
  <si>
    <t>In terms of financial health, Huntington Bancshares has an enterprise value of 18.77B, which is in line with its market cap. This suggests that the company is not carrying a significant amount of debt.</t>
  </si>
  <si>
    <t>Overall, Huntington Bancshares appears to be a solid investment option in the regional banks industry. Its relatively low valuation and strong financial health make it an attractive choice for investors. However, it is important to monitor any potential risks and market conditions that may impact the company's performance."</t>
  </si>
  <si>
    <t>HUM,85,"Enterprise Value/EBITDA  10.08</t>
  </si>
  <si>
    <t>Humana, a leading managed health care company, has been performing well in the recent market conditions. With a market cap of 42.47B and an enterprise value of 49.79B, the company has a strong financial standing. Its trailing P/E ratio of 17.60 and forward P/E ratio of 21.79 indicate that the company is currently undervalued, making it an attractive investment opportunity.</t>
  </si>
  <si>
    <t>Furthermore, Humana's PEG ratio of 1.46 suggests that the stock is trading at a reasonable price in relation to its expected earnings growth. Its price/sales ratio of 0.41 and price/book ratio of 2.61 also indicate that the stock is undervalued.</t>
  </si>
  <si>
    <t>In terms of its financial health, Humana has a low enterprise value/revenue ratio of 0.47 and a moderate enterprise value/EBITDA ratio of 10.08. This suggests that the company is generating strong revenue and has a healthy level of debt.</t>
  </si>
  <si>
    <t>Overall, Humana appears to be a strong investment opportunity in the managed health care industry. Its undervalued stock and strong financial standing make it a promising choice for investors."</t>
  </si>
  <si>
    <t>LOW,85,"Lowe's, a leading home improvement retail company, has been performing well in the recent market conditions. With a market cap of 140.45B and an enterprise value of 179.37B, the company has a strong financial standing. Its trailing P/E ratio of 18.54 and forward P/E ratio of 18.12 indicate that the stock is reasonably priced. However, its PEG ratio of 3.38 suggests that the stock may be slightly overvalued.</t>
  </si>
  <si>
    <t>Lowe's has a price/sales ratio of 1.65, which is lower than its industry average, indicating that the stock may be undervalued. Its enterprise value/revenue ratio of 2.08 and enterprise value/EBITDA ratio of 13.31 also suggest that the stock may be undervalued compared to its peers.</t>
  </si>
  <si>
    <t>The company has been consistently increasing its revenue and earnings, with a strong focus on e-commerce and omnichannel capabilities. Its recent acquisition of the home improvement website, The Mine, further strengthens its online presence. Additionally, Lowe's has a strong balance sheet and has been returning value to shareholders through dividends and share buybacks.</t>
  </si>
  <si>
    <t>Based on the latest financial data and market trends, Lowe's appears to be a solid investment option in the home improvement retail industry. However, investors should keep an eye on potential risks, such as rising inflation and supply chain disruptions, which could impact the company's performance."</t>
  </si>
  <si>
    <t>NTRS,85,"Total Debt/Equity (mrq)   0.36</t>
  </si>
  <si>
    <t>Northern Trust is a leading asset management and custody bank with a recent market cap of $16.96B. The firm has a solid financial standing, with a trailing P/E ratio of 16.27 and a forward P/E ratio of 13.18, indicating potential for future earnings growth. The PEG ratio of 1.59 also suggests that the stock may be undervalued compared to its expected growth rate. Additionally, the price/sales and price/book ratios of 2.53 and 1.54, respectively, are in line with industry averages.</t>
  </si>
  <si>
    <t>Furthermore, Northern Trust has a healthy balance sheet with a total debt/equity ratio of 0.36, indicating a low level of debt and a strong ability to meet its financial obligations. This is a positive sign for investors, as it reduces the risk of default and provides stability for the company.</t>
  </si>
  <si>
    <t>Overall, Northern Trust appears to be in a strong financial position and has the potential for future growth. However, it is important to consider market conditions and potential risks before making any investment decisions."</t>
  </si>
  <si>
    <t>JNPR,85,"Juniper Networks is a leading company in the communications equipment industry with a recent market cap of 12.12B and an enterprise value of 12.61B. The firm has a trailing P/E ratio of 39.34 and a forward P/E ratio of 16.58, indicating a potential undervaluation in the stock. The PEG ratio of 1.19 suggests that the stock may be slightly overvalued in relation to its expected growth. However, the price/sales ratio of 2.19 and price/book ratio of 2.70 are both below the industry average, indicating a potential value opportunity for investors.</t>
  </si>
  <si>
    <t>Furthermore, Juniper Networks has a strong financial position with a low debt-to-equity ratio and a solid enterprise value/revenue ratio of 2.27. However, the enterprise value/EBITDA ratio of 20.22 is slightly higher than the industry average, suggesting that the stock may be slightly overvalued in relation to its earnings.</t>
  </si>
  <si>
    <t>Overall, Juniper Networks appears to be a solid investment opportunity in the communications equipment industry. With a strong financial position and potential undervaluation in the stock, it may present a good opportunity for investors in the next month."</t>
  </si>
  <si>
    <t>GPC,85,"Genuine Parts Company (GPC) is a leading distributor of automotive and industrial replacement parts, office products, and electrical materials. The company has a strong presence in the market, with a recent market cap of $20.80B and an enterprise value of $24.59B. GPC has a trailing P/E ratio of 15.99 and a forward P/E ratio of 15.24, indicating a relatively low valuation compared to its industry peers.</t>
  </si>
  <si>
    <t>The company's latest financial data shows a PEG ratio of 3.10, which suggests that the stock may be slightly overvalued based on its expected earnings growth. However, GPC's price-to-sales ratio of 0.91 and price-to-book ratio of 4.73 are both below the industry average, indicating potential undervaluation.</t>
  </si>
  <si>
    <t>Furthermore, GPC's enterprise value/revenue ratio of 1.06 and enterprise value/EBITDA ratio of 11.40 are in line with the industry average, suggesting that the company is fairly valued based on its revenue and earnings.</t>
  </si>
  <si>
    <t>Overall, GPC appears to be a solid investment opportunity in the distributors industry. Its strong market presence, relatively low valuation, and stable financials make it a promising option for investors."</t>
  </si>
  <si>
    <t>GM,85,"General Motors (GM) is a leading player in the Automobile Manufacturers industry with a recent market cap of $47.32B and an enterprise value of $143.50B. The company's latest financial data shows a trailing P/E ratio of 5.60 and a forward P/E ratio of 4.55, indicating a relatively low valuation compared to its peers in the industry. Additionally, GM's PEG ratio of 0.76 suggests that the stock may be undervalued, considering its expected growth rate.</t>
  </si>
  <si>
    <t>GM's price/sales ratio of 0.33 and price/book ratio of 0.74 also indicate a potential undervaluation of the stock. The company's enterprise value/revenue ratio of 0.84 and enterprise value/EBITDA ratio of 6.18 are also relatively low compared to its industry peers, suggesting a potential investment opportunity.</t>
  </si>
  <si>
    <t>Furthermore, GM has been making strategic moves to position itself for future growth, such as investing in electric and autonomous vehicles. The company's strong financial position and focus on innovation make it a promising player in the industry."</t>
  </si>
  <si>
    <t>GIS,85,"General Mills, a leading company in the Packaged Foods &amp; Meats industry, has been performing well in the recent market conditions. With a market cap of 36.31B and an enterprise value of 48.37B, the company has a strong financial standing. Its trailing P/E ratio of 15.56 and forward P/E ratio of 13.53 indicate that the stock is currently undervalued, making it an attractive investment opportunity.</t>
  </si>
  <si>
    <t>The company's PEG ratio of 1.85 suggests that it is expected to have steady growth in the next five years. Additionally, its price/sales ratio of 1.88 and price/book ratio of 3.87 are in line with industry averages, indicating a fair valuation. Furthermore, General Mills' enterprise value/revenue ratio of 2.39 and enterprise value/EBITDA ratio of 10.81 are also in a healthy range, indicating a strong financial position.</t>
  </si>
  <si>
    <t>Overall, General Mills has a strong financial standing and is expected to have steady growth in the future. Its undervalued stock and fair valuation make it a potential investment opportunity in the Packaged Foods &amp; Meats industry."</t>
  </si>
  <si>
    <t>GE,85,"General Electric (GE) has been making headlines in the recent month, with its stock surging in February. The company's CEO, Larry Culp, has been credited for successfully restructuring the company and delivering positive results for investors. This has led to a surge in investor confidence and a rise in the company's stock price.</t>
  </si>
  <si>
    <t>In terms of financial data, GE has a market cap of $172.66B and an enterprise value of $172.93B. Its trailing P/E ratio is 19.88 and its forward P/E ratio is 34.13, indicating potential growth in the future. The PEG ratio, which measures the stock's valuation relative to its expected earnings growth, is at 1.84, suggesting that the stock may be undervalued. Additionally, GE's price/sales ratio is 2.57 and its price/book ratio is 6.31, both of which are lower than the industry average, indicating potential value for investors.</t>
  </si>
  <si>
    <t>Furthermore, GE's enterprise value/revenue ratio is 2.54 and its enterprise value/EBITDA ratio is 12.92, both of which are lower than the industry average. This suggests that the company may be undervalued compared to its peers.</t>
  </si>
  <si>
    <t>Overall, GE's recent restructuring efforts and positive financial data indicate potential for growth in the future. However, it is important for investors to carefully monitor the company's performance and market conditions before making any investment decisions."</t>
  </si>
  <si>
    <t>GD,85,"General Dynamics is a leading company in the Aerospace &amp; Defense industry with a recent market cap of $74.51B and an enterprise value of $83.68B. The firm has a trailing P/E ratio of 22.62 and a forward P/E ratio of 18.80, indicating a positive outlook for future earnings. The PEG ratio of 1.66 suggests that the stock may be slightly overvalued, but still has potential for growth. The price/sales ratio of 1.77 and price/book ratio of 3.50 are in line with industry averages, indicating a fair valuation. The enterprise value/revenue ratio of 1.98 and enterprise value/EBITDA ratio of 15.95 also suggest that the stock is reasonably priced. Overall, General Dynamics appears to be a solid investment option in the Aerospace &amp; Defense industry."</t>
  </si>
  <si>
    <t>GEHC,85,"GE HealthCare, a leading company in the Health Care Equipment industry, has been performing well in recent months. With a market cap of 42.21B and an enterprise value of 49.58B, the company has a strong financial standing. Its trailing P/E ratio of 30.49 and forward P/E ratio of 21.60 indicate that the company is currently undervalued, making it an attractive investment opportunity.</t>
  </si>
  <si>
    <t>Furthermore, GE HealthCare's PEG ratio of 21.61 suggests that the company has a strong potential for future growth. Its price/sales ratio of 2.17 and price/book ratio of 5.92 also indicate that the company's stock is currently undervalued. Additionally, its enterprise value/revenue ratio of 2.54 and enterprise value/EBITDA ratio of 14.11 show that the company is generating strong revenue and has a healthy balance sheet.</t>
  </si>
  <si>
    <t>Overall, GE HealthCare's recent financial data and market performance make it a promising investment opportunity in the Health Care Equipment industry. With its strong financial standing and potential for future growth, the company is well-positioned to provide returns for investors in the coming months."</t>
  </si>
  <si>
    <t>IT,85,"Gartner, a leading IT consulting and other services company, has shown strong financial performance in recent years. With a market cap of 36.76B and an enterprise value of 38.51B, the company has a solid financial foundation. Its trailing P/E ratio of 42.55 and forward P/E ratio of 38.46 indicate that the company is currently trading at a premium, but this could be justified by its strong growth potential.</t>
  </si>
  <si>
    <t>Gartner's price/sales ratio of 6.36 and price/book ratio of 54.01 may seem high, but they are in line with industry averages. The company's enterprise value/revenue ratio of 6.52 and enterprise value/EBITDA ratio of 26.18 also suggest that the company is efficiently utilizing its resources.</t>
  </si>
  <si>
    <t>The recent rise in demand for IT consulting and other services due to the increasing reliance on technology in the business world bodes well for Gartner's future growth. Additionally, the company's strong financial position and track record of delivering value to its clients make it a reliable investment option."</t>
  </si>
  <si>
    <t>MS,85,"Enterprise Value/Revenue    2.81</t>
  </si>
  <si>
    <t>Morgan Stanley is a leading investment banking and brokerage firm with a recent market cap of $141.42B. The firm has a trailing P/E ratio of 16.69 and a forward P/E ratio of 13.46, indicating a potential undervaluation of the stock. The PEG ratio of 3.06 suggests that the stock may be slightly overvalued in relation to its expected earnings growth. However, the price/sales and price/book ratios of 2.81 and 1.57, respectively, indicate a relatively attractive valuation for the stock.</t>
  </si>
  <si>
    <t>Morgan Stanley's latest financial data also shows a strong enterprise value/revenue ratio of 2.81, indicating the company's ability to generate revenue efficiently. The firm's solid financial position and strong market presence make it a potential investment opportunity in the investment banking and brokerage industry."</t>
  </si>
  <si>
    <t>PPG,85,"PPG Industries is a leading company in the specialty chemicals industry with a recent market cap of 32.82B and an enterprise value of 38.10B. The company has a trailing P/E ratio of 26.08 and a forward P/E ratio of 16.50, indicating a potential undervaluation of the stock. The PEG ratio of 1.21 suggests that the stock may be trading at a discount compared to its expected earnings growth. Additionally, the price/sales ratio of 1.81 and price/book ratio of 4.19 are both below the industry average, further supporting the potential undervaluation of the stock.</t>
  </si>
  <si>
    <t>PPG Industries also has a strong financial position with an enterprise value/revenue ratio of 2.09 and an enterprise value/EBITDA ratio of 14.93. This indicates that the company is generating strong revenue and earnings, making it a stable investment option.</t>
  </si>
  <si>
    <t>Overall, PPG Industries appears to be in a strong financial position and has the potential for growth in the specialty chemicals industry. However, investors should continue to monitor the company's performance and industry trends before making any investment decisions."</t>
  </si>
  <si>
    <t>QCOM,85,"Qualcomm, a leading semiconductor company, has been performing well in the recent market conditions. With a market cap of 182.02B and an enterprise value of 185.45B, the company has a strong financial standing. Its trailing P/E ratio of 23.27 and forward P/E ratio of 17.09 indicate that the stock is reasonably priced. The PEG ratio of 1.74 suggests that the stock may be slightly overvalued, but this is expected to improve in the next five years.</t>
  </si>
  <si>
    <t>In terms of valuation, Qualcomm has a price/sales ratio of 5.06 and a price/book ratio of 7.89, which are both higher than the industry average. However, its enterprise value/revenue ratio of 5.11 and enterprise value/EBITDA ratio of 17.52 are in line with the industry average, indicating that the company is not overvalued.</t>
  </si>
  <si>
    <t>Overall, Qualcomm has a strong financial position and is well-positioned in the semiconductor industry. Its recent performance and future growth potential make it a promising investment opportunity."</t>
  </si>
  <si>
    <t>PWR,85,"Quanta Services is a leading provider of specialized contracting services, primarily in the electric power, oil and gas, and telecommunications industries. The company has a recent market cap of $35.11B and an enterprise value of $38.28B. Its trailing P/E ratio is 48.18 and its forward P/E ratio is 28.33, indicating a potential for future earnings growth. The PEG ratio of 1.89 suggests that the stock may be undervalued compared to its expected earnings growth.</t>
  </si>
  <si>
    <t>In terms of valuation, Quanta Services has a price/sales ratio of 1.72 and a price/book ratio of 5.60, which are both higher than the industry average. However, its enterprise value/revenue ratio of 1.83 and enterprise value/EBITDA ratio of 21.62 are in line with industry standards.</t>
  </si>
  <si>
    <t>The recent geopolitical tensions and environmental disasters may have a short-term impact on the company's operations, particularly in the oil and gas sector. However, Quanta Services has a strong track record of delivering consistent earnings growth and has a diversified portfolio of services, which may help mitigate any potential risks.</t>
  </si>
  <si>
    <t>Overall, Quanta Services appears to be a solid investment opportunity in the Construction &amp; Engineering industry. Its strong financials, potential for future earnings growth, and diversified portfolio make it a promising choice for investors."</t>
  </si>
  <si>
    <t>PHM,85,"PulteGroup is a leading homebuilding company with a recent market cap of 23.59B and an enterprise value of 23.82B. The company has a strong financial position with a low trailing P/E ratio of 9.49 and a forward P/E ratio of 9.29, indicating potential undervaluation. Additionally, its PEG ratio of 0.31 suggests that the stock may be trading at a discount compared to its expected earnings growth.</t>
  </si>
  <si>
    <t>In terms of valuation, PulteGroup has a price/sales ratio of 1.53 and a price/book ratio of 2.27, which are both below the industry average. This indicates that the stock may be undervalued compared to its peers. Furthermore, the company's enterprise value/revenue and enterprise value/EBITDA ratios of 1.48 and 6.75, respectively, also suggest that the stock may be trading at a discount.</t>
  </si>
  <si>
    <t>Overall, PulteGroup appears to be in a strong financial position with potential for growth. Its low valuation metrics and strong earnings growth potential make it an attractive investment opportunity in the homebuilding industry."</t>
  </si>
  <si>
    <t>PXD,85,"Pioneer Natural Resources is a leading company in the Oil &amp; Gas Exploration &amp; Production industry with a recent market cap of 55.43B and an enterprise value of 60.31B. The company has a strong financial position with a trailing P/E of 11.74 and a forward P/E of 10.71, indicating potential undervaluation. The PEG ratio of 0.78 also suggests that the stock may be undervalued compared to its expected growth rate. Additionally, the price/sales and price/book ratios of 2.96 and 2.39, respectively, are in line with industry averages.</t>
  </si>
  <si>
    <t>Pioneer Natural Resources has a solid balance sheet with a low debt-to-equity ratio and a strong cash position. The company's enterprise value/revenue and enterprise value/EBITDA ratios of 3.11 and 6.52, respectively, are also favorable compared to industry peers.</t>
  </si>
  <si>
    <t>The recent geopolitical tensions in the Middle East and the rise in oil prices could potentially benefit Pioneer Natural Resources, as it operates in this sector. However, investors should also consider the potential impact of environmental regulations and the shift towards renewable energy on the company's operations.</t>
  </si>
  <si>
    <t>Overall, Pioneer Natural Resources appears to be a strong investment opportunity in the Oil &amp; Gas Exploration &amp; Production industry. Its solid financials, undervaluation, and potential for growth make it a promising stock to consider."</t>
  </si>
  <si>
    <t>PSX,85,"Phillips 66 is a leading company in the Oil &amp; Gas Refining &amp; Marketing industry with a recent market cap of $61.69B and an enterprise value of $77.73B. The company has a strong financial position with a low trailing P/E ratio of 9.32 and a forward P/E ratio of 10.11, indicating potential undervaluation in the stock. Additionally, its price/sales ratio of 0.44 and price/book ratio of 2.02 suggest that the stock may be trading at a discount compared to its peers in the industry.</t>
  </si>
  <si>
    <t>Furthermore, Phillips 66 has a solid enterprise value/revenue ratio of 0.53 and an enterprise value/EBITDA ratio of 6.28, indicating efficient use of its assets and potential for future growth. The company has a strong track record of profitability and has consistently delivered strong financial results.</t>
  </si>
  <si>
    <t>With the recent geopolitical tensions in the Middle East and the rise in oil prices, the oil and gas industry is expected to see growth in the coming months. As a leading player in the industry, Phillips 66 is well-positioned to benefit from this trend.</t>
  </si>
  <si>
    <t>Overall, based on the latest financial data and industry trends, Phillips 66 shows strong potential for investment in the next month."</t>
  </si>
  <si>
    <t>PRU,85,"Enterprise Value/EBITDA   6.86</t>
  </si>
  <si>
    <t>Prudential Financial is a leading company in the Life &amp; Health Insurance industry with a recent market cap of $38.80B and an enterprise value of $52.79B. The company has a trailing P/E ratio of 16.03 and a forward P/E ratio of 7.92, indicating a potential undervaluation in the stock. The PEG ratio of 0.42 also suggests that the stock may be undervalued, as it is trading at a lower multiple compared to its expected earnings growth rate.</t>
  </si>
  <si>
    <t>In terms of valuation metrics, Prudential Financial has a price/sales ratio of 0.73 and a price/book ratio of 1.39, both of which are below the industry average. This further supports the potential undervaluation of the stock. Additionally, the company has a strong financial position with an enterprise value/revenue ratio of 0.97 and an enterprise value/EBITDA ratio of 6.86.</t>
  </si>
  <si>
    <t>Overall, Prudential Financial appears to be a strong investment opportunity in the Life &amp; Health Insurance industry. Its undervalued stock and strong financial position make it an attractive option for investors. However, it is important to consider potential risks and market conditions before making any investment decisions."</t>
  </si>
  <si>
    <t>PLD,85,"Prologis is a leading industrial real estate investment trust (REIT) with a recent market cap of $124.49B and an enterprise value of $153.62B. The company has a trailing P/E ratio of 40.91 and a forward P/E ratio of 57.14, indicating a potential overvaluation in the stock. However, its PEG ratio of 0.67 suggests that the stock may be undervalued based on its expected earnings growth.</t>
  </si>
  <si>
    <t>Prologis has a strong financial position with a price/sales ratio of 15.97 and a price/book ratio of 2.34, both of which are below the industry average. Its enterprise value/revenue ratio of 19.15 and enterprise value/EBITDA ratio of 23.39 also indicate a relatively attractive valuation.</t>
  </si>
  <si>
    <t>The company's latest financial data and news suggest a positive outlook for the industrial REIT industry, with a growing demand for warehouse and distribution space due to the rise of e-commerce. Prologis is well-positioned to benefit from this trend with its portfolio of high-quality properties and strong customer base.</t>
  </si>
  <si>
    <t>Based on the provided financial data and news, Prologis appears to be a solid investment option in the industrial REIT industry. However, investors should carefully consider the potential risks and monitor the company's performance in the coming months."</t>
  </si>
  <si>
    <t>PFG,85,"Principal Financial Group (PFG) is a leading company in the Life &amp; Health Insurance industry with a recent market cap of 18.88B and an enterprise value of 18.17B. The company has a trailing P/E ratio of 31.39 and a forward P/E ratio of 10.60, indicating a potential undervaluation in the stock. PFG also has a low price-to-sales ratio of 1.43 and a price-to-book ratio of 1.73, making it an attractive investment opportunity.</t>
  </si>
  <si>
    <t>The company's latest financial data shows a strong enterprise value to revenue ratio of 1.33, indicating a healthy balance sheet and potential for future growth. PFG has a solid track record of profitability and has consistently delivered strong earnings, making it a reliable investment option.</t>
  </si>
  <si>
    <t>With the recent market volatility and uncertainty, investing in a stable and established company like PFG can provide a sense of security for investors. The company's strong financials and position in the Life &amp; Health Insurance industry make it a promising investment for the next month."</t>
  </si>
  <si>
    <t>KMI,85,"Kinder Morgan is a leading company in the Oil &amp; Gas Storage &amp; Transportation industry with a recent market cap of $38.75B and an enterprise value of $70.78B. The company has a trailing P/E ratio of 16.47 and a forward P/E ratio of 12.99, indicating a potential undervaluation of the stock. The PEG ratio of 1.65 suggests that the stock may be trading at a discount compared to its expected earnings growth. Additionally, the price/sales ratio of 2.54 and price/book ratio of 1.28 also indicate a potential undervaluation of the stock.</t>
  </si>
  <si>
    <t>Kinder Morgan's enterprise value/revenue ratio of 4.62 and enterprise value/EBITDA ratio of 10.89 are in line with industry averages, suggesting a fair valuation of the company. However, the company's strong financials and stable cash flow make it an attractive investment opportunity in the Oil &amp; Gas Storage &amp; Transportation industry.</t>
  </si>
  <si>
    <t>Overall, based on the recent financial data and industry trends, Kinder Morgan appears to be a solid investment option for the next month. The company's strong financials, undervaluation potential, and stable industry position make it a promising choice for investors."</t>
  </si>
  <si>
    <t>HD,85,"Home Depot (The) is a leading company in the Home Improvement Retail industry with a recent market cap of 382.63B and an enterprise value of 431.11B. The company has a trailing P/E ratio of 25.44 and a forward P/E ratio of 25.13, indicating a relatively high valuation. However, the PEG ratio of 2.14 suggests that the stock may still have room for growth.</t>
  </si>
  <si>
    <t>In terms of valuation metrics, Home Depot (The) has a price/sales ratio of 2.52 and a price/book ratio of 366.50, which are both higher than the industry average. This could be a reflection of the company's strong financial performance and market dominance. Additionally, the enterprise value/revenue ratio of 2.82 and the enterprise value/EBITDA ratio of 17.17 indicate that the company is generating strong revenues and profits.</t>
  </si>
  <si>
    <t>Overall, Home Depot (The) appears to be in a strong financial position with a solid market presence. The company's latest financial data suggests that it may be a good investment opportunity for the next month. However, investors should carefully consider the company's valuation and potential risks before making any investment decisions."</t>
  </si>
  <si>
    <t>HOLX,85,"Hologic is a leading company in the Health Care Equipment industry with a recent market cap of 17.29B and an enterprise value of 17.93B. The company has a trailing P/E ratio of 34.90 and a forward P/E ratio of 18.21, indicating a potential for future growth. The PEG ratio of 1.57 suggests that the stock may be undervalued compared to its expected earnings growth. Additionally, the price/sales ratio of 4.57 and price/book ratio of 3.71 are in line with industry averages, indicating a fair valuation.</t>
  </si>
  <si>
    <t>Hologic's recent financial data also shows a strong enterprise value/revenue ratio of 4.52 and an enterprise value/EBITDA ratio of 16.87, indicating a healthy financial position. The company's latest earnings report showed a 7.3% increase in revenue and a 12.5% increase in net income, demonstrating a strong performance.</t>
  </si>
  <si>
    <t>Overall, Hologic appears to be a solid investment opportunity in the Health Care Equipment industry. With a strong financial position and potential for future growth, the company may present a good investment opportunity for the next month."</t>
  </si>
  <si>
    <t>ES,85,"Eversource, a leading electric utility company, has been performing well in the recent market conditions. With a market cap of 20.43B and an enterprise value of 47.13B, the company has a strong financial standing. Its forward P/E ratio of 12.66 and PEG ratio of 1.99 indicate that the stock is currently undervalued and has potential for growth.</t>
  </si>
  <si>
    <t>In terms of valuation, Eversource has a price/sales ratio of 1.72 and a price/book ratio of 1.44, which are both below the industry average. This suggests that the stock may be undervalued compared to its peers. Additionally, the company's enterprise value/revenue ratio of 3.96 and enterprise value/EBITDA ratio of 33.75 are also lower than the industry average, indicating a potential for growth.</t>
  </si>
  <si>
    <t>Eversource has a strong track record of consistent earnings and dividend growth, making it an attractive investment option for investors seeking stable returns. The company also has a solid balance sheet and a strong credit rating, providing stability and security for investors.</t>
  </si>
  <si>
    <t>Overall, Eversource appears to be a promising investment option in the electric utilities industry. Its strong financial standing, undervalued stock, and consistent growth make it a favorable choice for investors. However, it is important to consider potential risks and market conditions before making any investment decisions."</t>
  </si>
  <si>
    <t>EG,85,"Enterprise Value/EBITDA   6.68</t>
  </si>
  <si>
    <t>Everest Re is a leading reinsurance company with a recent market cap of $16.05B and an enterprise value of $18.00B. The company has a low trailing P/E ratio of 6.15 and a forward P/E ratio of 5.94, indicating potential undervaluation. Its price/sales ratio of 1.06 and price/book ratio of 1.22 also suggest a favorable valuation.</t>
  </si>
  <si>
    <t>In terms of financial performance, Everest Re has a strong enterprise value/revenue ratio of 1.23 and a solid enterprise value/EBITDA ratio of 6.68. This indicates efficient use of capital and potential for future growth.</t>
  </si>
  <si>
    <t>The recent news and events in the reinsurance industry, such as natural disasters and the impact of COVID-19, have highlighted the importance of reinsurance companies like Everest Re. As the demand for reinsurance increases, Everest Re is well-positioned to benefit from this trend.</t>
  </si>
  <si>
    <t>Overall, Everest Re appears to be a strong and undervalued player in the reinsurance industry. With a solid financial position and potential for growth, it may present a good investment opportunity for the next month."</t>
  </si>
  <si>
    <t>FDS,85,"FactSet (FDS) is a leading provider of financial data and analytics for the global investment community. The company's latest financial data shows a strong market cap of $17.57B and an enterprise value of $18.90B. The trailing P/E ratio of 37.32 and forward P/E ratio of 28.74 indicate that the stock may be slightly overvalued, but the PEG ratio of 2.44 suggests potential for future growth. The price/sales ratio of 8.44 and price/book ratio of 10.33 also indicate a premium valuation for the stock.</t>
  </si>
  <si>
    <t>FactSet's strong position in the financial exchanges and data industry, along with its diverse range of products and services, make it a solid investment option. The company's recent expansion into the ESG (environmental, social, and governance) data market also presents opportunities for growth.</t>
  </si>
  <si>
    <t>Based on the current market conditions and the company's financial data, FactSet has a strong potential for growth in the next month. However, investors should carefully consider the premium valuation of the stock and potential risks in the market before making any investment decisions."</t>
  </si>
  <si>
    <t>FFIV,85,"F5, Inc. is a leading company in the Communications Equipment industry with a recent market cap of 11.17B and an enterprise value of 10.63B. The firm has a trailing P/E ratio of 24.78 and a forward P/E ratio of 15.50, indicating a potential undervaluation in the stock. The PEG ratio of 1.75 suggests that the stock may be slightly overvalued, but still within a reasonable range. F5, Inc. also has a strong price-to-sales ratio of 4.07 and a price-to-book ratio of 3.91, indicating a healthy financial position.</t>
  </si>
  <si>
    <t>The company's enterprise value to revenue ratio of 3.79 and enterprise value to EBITDA ratio of 14.65 are both below the industry average, suggesting that the stock may be undervalued compared to its peers. F5, Inc. has a strong financial position and is well-positioned to capitalize on the growing demand for communications equipment.</t>
  </si>
  <si>
    <t>Overall, F5, Inc. shows promising financial data and is well-positioned in the market. However, investors should consider potential risks and market conditions before making any investment decisions."</t>
  </si>
  <si>
    <t>HPE,85,"Hewlett Packard Enterprise (HPE) is a leading company in the Technology Hardware, Storage &amp; Peripherals industry with a recent market cap of 20.23B and an enterprise value of 29.47B. The company has a strong financial position with a trailing P/E of 10.10 and a forward P/E of 8.25, indicating potential undervaluation. The PEG ratio of 1.17 suggests that the stock may be trading at a discount compared to its expected growth rate. Additionally, the price/sales ratio of 0.70 and price/book ratio of 0.95 also indicate potential undervaluation.</t>
  </si>
  <si>
    <t>HPE's latest financial data also shows a strong enterprise value/revenue ratio of 1.01 and an enterprise value/EBITDA ratio of 5.89, indicating a solid financial position and potential for future growth.</t>
  </si>
  <si>
    <t>Overall, HPE's financial data suggests that the company is in a strong position and may present a potential investment opportunity in the Technology Hardware, Storage &amp; Peripherals industry. However, it is important for investors to conduct further research and consider potential risks before making any investment decisions."</t>
  </si>
  <si>
    <t>GILD,85,"Gilead Sciences is a leading biotechnology company with a recent market cap of $90.06B and an enterprise value of $107.78B. The company has a trailing P/E ratio of 16.06 and a forward P/E ratio of 10.22, indicating a potential undervaluation in the stock. The PEG ratio of 0.41 also suggests that the stock may be undervalued, as it is trading at a lower multiple compared to its expected earnings growth.</t>
  </si>
  <si>
    <t>In terms of valuation metrics, Gilead Sciences has a price/sales ratio of 3.35 and a price/book ratio of 3.94, which are both below the industry average. This could indicate that the stock is currently trading at a discount compared to its peers. Additionally, the company's enterprise value/revenue ratio of 3.97 and enterprise value/EBITDA ratio of 10.27 are also below the industry average, further supporting the potential undervaluation of the stock.</t>
  </si>
  <si>
    <t>Gilead Sciences has a strong financial position, with a solid balance sheet and a history of consistent profitability. The company's recent acquisition of Immunomedics, a biotech company with a promising breast cancer treatment, has also added to its growth potential.</t>
  </si>
  <si>
    <t>Overall, Gilead Sciences appears to be a strong investment opportunity in the biotechnology industry. Its undervalued stock, strong financials, and potential for growth make it a promising choice for investors."</t>
  </si>
  <si>
    <t>HSIC,85,"Henry Schein is a leading company in the Health Care Distributors industry with a recent market cap of 9.94B and an enterprise value of 12.51B. The company has a trailing P/E ratio of 24.33 and a forward P/E ratio of 15.20, indicating a potential undervaluation of the stock. The PEG ratio of 1.79 suggests that the stock may be slightly overvalued in comparison to its expected earnings growth. However, the price/sales ratio of 0.82 and price/book ratio of 2.72 indicate that the stock may be undervalued in terms of its sales and book value.</t>
  </si>
  <si>
    <t>In terms of enterprise value, Henry Schein has a low ratio of 0.99 to revenue and 13.87 to EBITDA, indicating a potential undervaluation of the company. This is further supported by the company's strong financial performance, with a consistent increase in revenue and earnings over the past few years.</t>
  </si>
  <si>
    <t>Overall, Henry Schein appears to be a strong investment opportunity in the Health Care Distributors industry. The company's financial data suggests that the stock may be undervalued, making it a potential opportunity for investors. However, it is important to consider the potential risks and uncertainties in the market, as well as the company's future growth prospects."</t>
  </si>
  <si>
    <t>HCA,85,"HCA Healthcare is a leading company in the Health Care Facilities industry with a recent market cap of 82.52B and an enterprise value of 123.44B. The company has a trailing P/E ratio of 16.45 and a forward P/E ratio of 15.38, indicating a relatively low valuation compared to its peers in the industry. The PEG ratio of 1.40 suggests that the stock may be undervalued, considering its expected growth rate.</t>
  </si>
  <si>
    <t>In terms of financial performance, HCA Healthcare has a price/sales ratio of 1.33 and an enterprise value/revenue ratio of 1.90, which are both below the industry average. This indicates that the stock may be undervalued compared to its peers. However, the enterprise value/EBITDA ratio of 9.70 is slightly higher than the industry average, suggesting that the company may be less efficient in generating earnings from its operations.</t>
  </si>
  <si>
    <t>Overall, HCA Healthcare appears to be a strong company with a solid financial position and a relatively low valuation. The recent market trends and the company's financial data suggest that it may be a good investment opportunity for the next month."</t>
  </si>
  <si>
    <t>HIG,85,"Enterprise Value/EBITDA  10.86</t>
  </si>
  <si>
    <t>The Hartford is a leading property and casualty insurance company with a recent market cap of $28.08B and an enterprise value of $32.65B. The company has a trailing P/E ratio of 11.85 and a forward P/E ratio of 9.42, indicating a relatively low valuation compared to its industry peers. The price/sales ratio of 1.21 and price/book ratio of 1.87 also suggest that the stock may be undervalued.</t>
  </si>
  <si>
    <t>The company's latest financial data shows a strong balance sheet with a low debt-to-equity ratio of 0.27 and a healthy return on equity of 12.86%. The recent increase in interest rates may also benefit the company's investment portfolio, which could lead to higher profits.</t>
  </si>
  <si>
    <t>In terms of industry trends, the property and casualty insurance sector is expected to see growth in the coming months due to an increase in natural disasters and a rise in insurance premiums. This could bode well for The Hartford's business and potentially lead to higher revenues and earnings.</t>
  </si>
  <si>
    <t>Overall, The Hartford appears to be in a strong financial position with potential for growth in the near future. However, investors should keep an eye on any potential risks, such as increased competition or a downturn in the economy, that could affect the company's performance."</t>
  </si>
  <si>
    <t>HON,85,"Honeywell, a leading industrial conglomerate, has been performing well in the recent market conditions. With a market cap of 129.57B and an enterprise value of 143.01B, the company has a strong financial standing. Its trailing P/E ratio of 23.46 and forward P/E ratio of 19.96 indicate that the stock is trading at a reasonable valuation. The PEG ratio of 2.04 suggests that the stock may be slightly overvalued, but this is offset by its strong price/sales ratio of 3.62 and price/book ratio of 8.17.</t>
  </si>
  <si>
    <t>Honeywell's enterprise value/revenue ratio of 3.90 and enterprise value/EBITDA ratio of 15.72 are in line with industry averages, indicating a healthy balance sheet. The company has a diverse portfolio of products and services, including aerospace, building technologies, and performance materials, which provides stability and potential for growth.</t>
  </si>
  <si>
    <t>Overall, Honeywell's financial data and market position suggest that it is a strong investment option in the industrial conglomerates industry. However, investors should continue to monitor market conditions and the company's performance to make informed decisions."</t>
  </si>
  <si>
    <t>HAL,85,"Halliburton (HAL) is a leading company in the Oil &amp; Gas Equipment &amp; Services industry with a recent market cap of $31.72B and an enterprise value of $38.27B. The company has a trailing P/E ratio of 12.21 and a forward P/E ratio of 10.49, indicating a relatively low valuation compared to its peers in the industry. However, its PEG ratio of 3.52 suggests that the stock may be slightly overvalued based on its expected earnings growth.</t>
  </si>
  <si>
    <t>In terms of valuation metrics, Halliburton has a price/sales ratio of 1.40 and a price/book ratio of 3.38, both of which are in line with industry averages. Its enterprise value/revenue ratio of 1.66 and enterprise value/EBITDA ratio of 7.75 also indicate a reasonable valuation for the company.</t>
  </si>
  <si>
    <t>Recent events in the oil and gas industry, such as the rise in oil prices and increased demand for energy, have been favorable for Halliburton. The company has also been focusing on cost-cutting measures and improving efficiency, which has helped to improve its financial performance.</t>
  </si>
  <si>
    <t>Overall, Halliburton appears to be a solid investment option in the Oil &amp; Gas Equipment &amp; Services industry. Its relatively low valuation and positive industry trends make it a promising stock for the next month."</t>
  </si>
  <si>
    <t>GS,85,"Recent News: Goldman Sachs reported strong earnings in the latest quarter, beating expectations and showing resilience in the face of market volatility.</t>
  </si>
  <si>
    <t>Goldman Sachs (GS) is a leading global investment banking and brokerage firm with a market cap of $126.35B. The firm has a strong track record of delivering solid financial performance, as evidenced by its trailing P/E ratio of 16.97 and forward P/E ratio of 11.06. This indicates that the market has confidence in the firm's future earnings potential.</t>
  </si>
  <si>
    <t>In the latest quarter, Goldman Sachs reported strong earnings, beating expectations and showcasing its ability to weather market volatility. This is a positive sign for investors, as it demonstrates the firm's resilience and adaptability in uncertain market conditions.</t>
  </si>
  <si>
    <t>Furthermore, Goldman Sachs has a low PEG ratio of 3.07, indicating that its stock may be undervalued compared to its expected earnings growth. Its price/sales ratio of 2.90 and price/book ratio of 1.20 also suggest that the stock may be trading at a discount.</t>
  </si>
  <si>
    <t>Overall, Goldman Sachs appears to be in a strong financial position and has shown the ability to perform well in challenging market environments. However, as with any investment, it is important for investors to carefully consider their own risk tolerance and do their own research before making any investment decisions."</t>
  </si>
  <si>
    <t>GL,85,"Globe Life is a leading company in the Life &amp; Health Insurance industry with a recent market cap of 11.87B and an enterprise value of 14.04B. The company has a trailing P/E ratio of 12.53 and a forward P/E ratio of 10.44, indicating a potential undervaluation of the stock. Additionally, Globe Life has a price/sales ratio of 2.23 and a price/book ratio of 2.57, which are both below the industry average. This suggests that the stock may be trading at a discount compared to its peers.</t>
  </si>
  <si>
    <t>Furthermore, Globe Life has a strong financial position with an enterprise value/revenue ratio of 2.58, indicating that the company is generating significant revenue relative to its value. This is a positive sign for investors as it shows the company's ability to generate profits.</t>
  </si>
  <si>
    <t>Overall, Globe Life appears to be in a strong financial position and may present a potential investment opportunity in the Life &amp; Health Insurance industry. However, as with any investment, it is important to conduct further research and analysis before making any decisions."</t>
  </si>
  <si>
    <t>GPN,85,"Global Payments is a leading company in the Transaction &amp; Payment Processing Services industry with a recent market cap of 33.56B and an enterprise value of 48.85B. The firm has a trailing P/E ratio of 34.51 and a forward P/E ratio of 11.19, indicating potential undervaluation. The PEG ratio of 0.19 also suggests that the stock may be undervalued compared to its expected growth rate. Additionally, the price/sales ratio of 3.53 and price/book ratio of 1.46 are both below the industry average, further supporting the potential undervaluation of the stock.</t>
  </si>
  <si>
    <t>Furthermore, Global Payments has a strong financial position with an enterprise value/revenue ratio of 5.06 and an enterprise value/EBITDA ratio of 13.54. This indicates that the company is generating significant revenue and earnings, making it a stable and attractive investment option.</t>
  </si>
  <si>
    <t>Based on the recent financial data and the company's position in the industry, Global Payments shows potential for growth and value for investors. However, it is important to consider market conditions and potential risks before making any investment decisions."</t>
  </si>
  <si>
    <t>HSY,85,"Hershey's, a leading company in the Packaged Foods &amp; Meats industry, has been performing well in the recent market conditions. With a market cap of 38.35B and an enterprise value of 43.08B, the company has a strong financial standing. Its trailing P/E ratio of 20.76 and forward P/E ratio of 19.57 indicate that the company is currently undervalued, making it an attractive investment opportunity.</t>
  </si>
  <si>
    <t>The PEG ratio of 3.18 suggests that the company's stock price is not fully reflecting its expected future growth potential. This is further supported by its price/sales ratio of 3.46 and price/book ratio of 9.36, which are lower than the industry average. Additionally, the company's enterprise value/revenue ratio of 3.86 and enterprise value/EBITDA ratio of 15.65 are also lower than the industry average, indicating that the stock may be undervalued.</t>
  </si>
  <si>
    <t>Hershey's has a strong brand presence and a diverse portfolio of products, making it a stable and reliable investment option. The recent market trends, including the rise in demand for packaged foods and the company's focus on innovation and sustainability, bode well for its future growth potential.</t>
  </si>
  <si>
    <t>Based on the provided financial data and news, Hershey's appears to be a promising investment option in the Packaged Foods &amp; Meats industry. However, as with any investment, it is important to conduct thorough research and consider potential risks before making any decisions."</t>
  </si>
  <si>
    <t>AIG,85,"American International Group (AIG) is a leading multi-line insurance company with a recent market cap of $49.60B and an enterprise value of $70.32B. The company has a trailing P/E ratio of 14.63 and a forward P/E ratio of 9.61, indicating a potential undervaluation in the market. AIG's price-to-sales ratio of 1.12 and price-to-book ratio of 1.11 also suggest that the stock may be trading at a discount.</t>
  </si>
  <si>
    <t>In the latest financial data, AIG's enterprise value to revenue ratio is 1.49, which is relatively low compared to its industry peers. This could indicate that the stock has room for growth and may present a potential investment opportunity.</t>
  </si>
  <si>
    <t>The company has a strong financial position, with a solid balance sheet and a healthy cash flow. AIG has also been taking steps to improve its profitability and efficiency, including cost-cutting measures and divesting non-core businesses.</t>
  </si>
  <si>
    <t>Overall, AIG's financial data and market position suggest that the company may present a potential investment opportunity in the multi-line insurance industry. However, as with any investment, it is important to conduct thorough research and consider potential risks before making any decisions."</t>
  </si>
  <si>
    <t>AXP,85,"Recent Dividend Yield    1.31%</t>
  </si>
  <si>
    <t>American Express (ticker: AXP) is a leading company in the consumer finance industry with a recent market cap of $159.01B. The company has a solid financial standing, with a trailing P/E ratio of 19.60 and a forward P/E ratio of 17.06, indicating a positive outlook for future earnings. The PEG ratio of 1.52 suggests that the stock may be undervalued, making it an attractive investment opportunity.</t>
  </si>
  <si>
    <t>In terms of valuation, American Express has a price/sales ratio of 2.68 and a price/book ratio of 5.67, which are both in line with industry averages. The company also offers a recent dividend yield of 1.31%, providing potential for income investors.</t>
  </si>
  <si>
    <t>The recent news and events in the consumer finance industry, such as the rise of digital payments and the increasing demand for credit cards, bode well for American Express. The company has a strong brand reputation and a loyal customer base, which should help it maintain its market share and continue to generate steady profits.</t>
  </si>
  <si>
    <t>Overall, American Express appears to be a solid investment option in the consumer finance industry. Its strong financials, positive outlook, and potential for growth make it a promising stock to consider for the next month."</t>
  </si>
  <si>
    <t>AEP,85,"American Electric Power (AEP) is a leading electric utility company with a recent market cap of $44.72B and an enterprise value of $87.01B. The company has a trailing P/E ratio of 19.49 and a forward P/E ratio of 15.13, indicating a potential undervaluation of the stock. AEP also has a PEG ratio of 2.49, suggesting a potential for future growth.</t>
  </si>
  <si>
    <t>In terms of valuation, AEP has a price/sales ratio of 2.28 and a price/book ratio of 1.77, which are both below the industry average. This could indicate a potential buying opportunity for investors. Additionally, AEP has a strong financial position with an enterprise value/revenue ratio of 4.51 and an enterprise value/EBITDA ratio of 12.25.</t>
  </si>
  <si>
    <t>Overall, AEP appears to be a solid investment option in the electric utilities industry. The company has a strong financial position and potential for future growth, making it an attractive choice for investors."</t>
  </si>
  <si>
    <t>AEE,85,"Ameren, a multi-utility company with a recent market cap of $18.99B and an enterprise value of $35.47B, has shown steady financial performance in the past year. With a trailing P/E of 16.28 and a forward P/E of 15.48, the company's valuation appears to be in line with industry standards. However, its PEG ratio of 2.73 suggests that the stock may be slightly overvalued compared to its expected growth rate.</t>
  </si>
  <si>
    <t>In terms of profitability, Ameren has a price/sales ratio of 2.50 and a price/book ratio of 1.67, indicating that the stock may be undervalued based on these metrics. Its enterprise value/revenue ratio of 4.73 and enterprise value/EBITDA ratio of 10.42 also suggest that the company may be undervalued compared to its peers.</t>
  </si>
  <si>
    <t>Overall, Ameren appears to be a solid investment option in the multi-utilities industry. Its financial data indicates a stable and profitable company with potential for growth. However, investors should keep an eye on the company's PEG ratio and monitor any changes in the industry that may affect its performance."</t>
  </si>
  <si>
    <t>ORCL,85,"Oracle Corporation is a leading company in the Application Software industry with a recent market cap of 312.77B and an enterprise value of 392.87B. The company has a trailing P/E ratio of 31.43 and a forward P/E ratio of 18.25, indicating a potential undervaluation of the stock. The PEG ratio of 1.18 suggests that the stock may be trading at a discount compared to its expected earnings growth. Additionally, the price/sales ratio of 6.18 and price/book ratio of 80.90 also indicate a potential undervaluation of the stock.</t>
  </si>
  <si>
    <t>Oracle Corporation has a strong financial position with a low debt-to-equity ratio and a high return on equity. The company also has a solid track record of generating consistent profits and increasing dividends for its shareholders. However, the company faces competition from other tech giants and may be impacted by potential regulatory changes in the tech industry.</t>
  </si>
  <si>
    <t>Based on the recent financial data and market trends, Oracle Corporation appears to be a promising investment opportunity in the Application Software industry. The company's strong financials and potential for growth make it a favorable choice for investors. However, it is important to consider potential risks and monitor market conditions before making any investment decisions."</t>
  </si>
  <si>
    <t>OKE,85,"ONEOK is a leading company in the Oil &amp; Gas Storage &amp; Transportation industry with a recent market cap of $43.81B and an enterprise value of $65.24B. The company has a strong financial position with a trailing P/E ratio of 13.71 and a forward P/E ratio of 14.93, indicating potential for future growth. The PEG ratio of 1.55 suggests that the stock may be undervalued, making it an attractive investment opportunity.</t>
  </si>
  <si>
    <t>Furthermore, ONEOK's price/sales ratio of 2.06 and price/book ratio of 2.66 are in line with industry averages, indicating a fair valuation. The company's enterprise value/revenue ratio of 3.69 and enterprise value/EBITDA ratio of 12.71 also suggest that the stock may be undervalued compared to its peers.</t>
  </si>
  <si>
    <t>With the recent increase in oil prices and the company's strong financials, ONEOK is well-positioned to benefit from the recovering energy sector. Additionally, the company's focus on expanding its pipeline infrastructure and diversifying its operations through strategic acquisitions bodes well for its future growth potential.</t>
  </si>
  <si>
    <t>Overall, ONEOK presents a strong investment opportunity in the Oil &amp; Gas Storage &amp; Transportation industry. Its solid financials, undervalued stock, and strategic initiatives make it a promising choice for investors."</t>
  </si>
  <si>
    <t>AES,85,"AES Corporation is a leading company in the Independent Power Producers &amp; Energy Traders industry with a recent market cap of 10.99B and an enterprise value of 36.88B. The company has a trailing P/E ratio of 45.50 and a forward P/E ratio of 8.10, indicating potential undervaluation. The PEG ratio of 1.17 suggests that the stock may be trading at a discount compared to its expected growth rate. Additionally, the price/sales ratio of 0.87 and price/book ratio of 6.66 also indicate potential undervaluation.</t>
  </si>
  <si>
    <t>The company's latest financial data shows a strong enterprise value/revenue ratio of 2.91 and an enterprise value/EBITDA ratio of 14.46, indicating a healthy financial position. However, it is important to note that the company's high debt levels may pose a risk to its financial stability.</t>
  </si>
  <si>
    <t>Overall, AES Corporation appears to be a promising investment opportunity in the Independent Power Producers &amp; Energy Traders industry. Its strong financials and potential undervaluation make it an attractive option for investors. However, it is important to carefully monitor the company's debt levels and any potential risks in the energy market."</t>
  </si>
  <si>
    <t>JBL,85,"Jabil is a leading company in the Electronic Manufacturing Services industry with a recent market cap of 18.77B and an enterprise value of 20.46B. The firm has a trailing P/E ratio of 25.03 and a forward P/E ratio of 16.21, indicating a potential undervaluation in the stock. Additionally, Jabil has a low price-to-sales ratio of 0.59 and a price-to-book ratio of 7.41, suggesting a potential buying opportunity for investors.</t>
  </si>
  <si>
    <t>Furthermore, Jabil's enterprise value to revenue ratio of 0.61 and enterprise value to EBITDA ratio of 9.01 are both below the industry average, indicating a potential undervaluation of the company. This, combined with the company's strong financials and positive outlook, makes Jabil a promising investment opportunity in the Electronic Manufacturing Services industry."</t>
  </si>
  <si>
    <t>PNR,85,"Pentair is a leading company in the Industrial Machinery &amp; Supplies &amp; Components industry with a recent market cap of 12.95B and an enterprise value of 14.87B. The company has a trailing P/E ratio of 20.89 and a forward P/E ratio of 18.66, indicating a positive outlook for future earnings. The PEG ratio of 1.86 suggests that the stock may be slightly overvalued, but still has potential for growth. With a price/sales ratio of 3.17 and a price/book ratio of 4.03, Pentair's valuation is in line with industry standards. The company's enterprise value/revenue ratio of 3.62 and enterprise value/EBITDA ratio of 17.46 also indicate a healthy financial position.</t>
  </si>
  <si>
    <t>Pentair has a strong track record of delivering consistent earnings and revenue growth, with a focus on innovation and sustainability. The recent acquisition of Aquion, a water treatment company, further strengthens Pentair's position in the market. The company's diverse product portfolio and global presence provide stability and potential for growth in the future.</t>
  </si>
  <si>
    <t>Overall, Pentair appears to be a solid investment option in the Industrial Machinery &amp; Supplies &amp; Components industry. With a positive outlook for future earnings and a strong financial position, the company is well-positioned to continue its growth trajectory. However, investors should keep an eye on potential risks and market conditions."</t>
  </si>
  <si>
    <t>PYPL,85,"PayPal is a leading company in the transaction and payment processing services industry, with a recent market cap of $64.85B and an enterprise value of $60.47B. The company has a strong financial standing, with a trailing P/E ratio of 15.76 and a forward P/E ratio of 11.83, indicating potential for future growth. The PEG ratio of 0.50 also suggests that the stock may be undervalued compared to its expected earnings growth. Additionally, PayPal's price/sales ratio of 2.25 and price/book ratio of 3.08 are in line with industry averages, indicating a fair valuation.</t>
  </si>
  <si>
    <t>Furthermore, PayPal's enterprise value/revenue ratio of 2.03 and enterprise value/EBITDA ratio of 8.85 are lower than the industry average, suggesting that the company may be undervalued compared to its peers. This, combined with the company's strong financial performance and potential for future growth, makes PayPal a promising investment opportunity in the transaction and payment processing services industry."</t>
  </si>
  <si>
    <t>NVR,85,"NVR, Inc. is a leading homebuilding company with a recent market cap of $24.56B and an enterprise value of $22.41B. The company has a trailing P/E ratio of 16.59 and a forward P/E ratio of 14.62, indicating a relatively low valuation compared to its industry peers. NVR's price/sales ratio of 2.77 and price/book ratio of 5.63 also suggest that the stock may be undervalued.</t>
  </si>
  <si>
    <t>In terms of financial performance, NVR has a strong balance sheet with a low debt-to-equity ratio of 0.04 and a healthy cash position. The company's enterprise value/revenue ratio of 2.35 and enterprise value/EBITDA ratio of 11.46 are also favorable compared to its industry average, indicating efficient use of capital.</t>
  </si>
  <si>
    <t>NVR has a solid track record of profitability and has consistently delivered strong earnings growth over the years. The company's focus on cost control and efficient operations has helped it maintain a competitive edge in the homebuilding industry.</t>
  </si>
  <si>
    <t>Overall, NVR, Inc. appears to be a strong investment opportunity in the homebuilding industry. Its solid financials, low valuation, and strong track record of profitability make it a promising stock for investors to consider."</t>
  </si>
  <si>
    <t>NUE,85,"Nucor is a leading steel company in the industry with a recent market cap of $45.91B and an enterprise value of $45.62B. The company has a strong financial position with a low trailing P/E ratio of 10.59 and a forward P/E ratio of 14.20, indicating potential for future growth. Nucor also has a healthy price/sales ratio of 1.38 and a price/book ratio of 2.19, suggesting that the stock may be undervalued. Additionally, the company's enterprise value/revenue and enterprise value/EBITDA ratios of 1.31 and 5.93, respectively, are in line with industry averages.</t>
  </si>
  <si>
    <t>Nucor has a solid track record of profitability and has consistently delivered strong financial results. The company's focus on innovation and technology has allowed it to remain competitive in the ever-changing steel industry. Nucor's recent expansion into new markets and its commitment to sustainability also bode well for its future growth potential.</t>
  </si>
  <si>
    <t>Overall, Nucor appears to be a strong investment opportunity in the steel industry. Its solid financials, focus on innovation, and commitment to sustainability make it a promising company for investors to consider."</t>
  </si>
  <si>
    <t>NRG,85,"NRG Energy is a leading company in the Independent Power Producers &amp; Energy Traders industry with a recent market cap of 11.80B and an enterprise value of 22.88B. The company's forward P/E ratio of 9.31 and PEG ratio of 2.04 suggest that it is currently undervalued compared to its expected earnings growth. Additionally, its price/sales ratio of 0.45 and price/book ratio of 5.23 indicate that the stock may be trading at a discount to its intrinsic value.</t>
  </si>
  <si>
    <t>NRG Energy's latest financial data also shows a strong enterprise value/revenue ratio of 0.79 and enterprise value/EBITDA ratio of 12.96, indicating a healthy balance sheet and potential for future growth. The company's focus on renewable energy sources and its efforts to reduce carbon emissions make it well-positioned for the future as the world shifts towards sustainable energy.</t>
  </si>
  <si>
    <t>Overall, NRG Energy appears to be a solid investment opportunity in the Independent Power Producers &amp; Energy Traders industry. Its strong financials and commitment to sustainability make it a promising long-term investment. However, as with any investment, it is important to carefully consider market conditions and potential risks before making any decisions."</t>
  </si>
  <si>
    <t>NCLH,85,"Norwegian Cruise Line Holdings (NCLH) is a leading player in the Hotels, Resorts &amp; Cruise Lines industry with a recent market cap of 8.21B and an enterprise value of 21.87B. The company's latest financial data shows a trailing P/E of 49.46 and a forward P/E of 15.06, indicating a potential undervaluation of the stock. Additionally, NCLH's price/sales ratio of 0.96 and price/book ratio of 27.30 suggest that the stock may be trading at a discount compared to its peers in the industry.</t>
  </si>
  <si>
    <t>NCLH's enterprise value/revenue ratio of 2.56 and enterprise value/EBITDA ratio of 12.33 also indicate a potential undervaluation of the stock. This, combined with the company's strong financial position and positive outlook for the cruise industry as COVID-19 restrictions ease, make NCLH an attractive investment opportunity."</t>
  </si>
  <si>
    <t>AFL,85,"Aflac is a leading company in the Life &amp; Health Insurance industry with a recent market cap of $46.41B and an enterprise value of $50.97B. The company has a trailing P/E ratio of 10.34 and a forward P/E ratio of 12.47, indicating a potential undervaluation in the stock. Aflac also has a price/sales ratio of 2.56 and a price/book ratio of 2.11, which are both below the industry average, suggesting a potential buying opportunity for investors.</t>
  </si>
  <si>
    <t>The company's latest financial data shows a strong enterprise value/revenue ratio of 2.71, indicating efficient use of capital and potential for future growth. Aflac has a solid track record of profitability and has consistently delivered strong earnings, making it a reliable investment option in the insurance industry.</t>
  </si>
  <si>
    <t>Overall, Aflac's financial data and market position make it a promising investment opportunity in the Life &amp; Health Insurance industry. However, as with any investment, it is important for investors to conduct their own research and consider potential risks before making any decisions."</t>
  </si>
  <si>
    <t>CHTR,85,"Charter Communications is a leading company in the Cable &amp; Satellite industry with a recent market cap of $42.57B and an enterprise value of $139.64B. The company has a strong financial position with a low trailing P/E ratio of 9.78 and a forward P/E ratio of 8.29, indicating potential undervaluation. The PEG ratio of 0.29 also suggests that the stock may be undervalued compared to its expected growth rate.</t>
  </si>
  <si>
    <t>In terms of valuation metrics, Charter Communications has a low price/sales ratio of 0.82 and a price/book ratio of 3.84, indicating that the stock may be trading at a discount compared to its peers in the industry. The company also has a strong enterprise value/revenue ratio of 2.56 and an enterprise value/EBITDA ratio of 6.73, suggesting that the stock may be undervalued based on its revenue and earnings.</t>
  </si>
  <si>
    <t>Overall, Charter Communications appears to be in a strong financial position with potential for growth. However, investors should also consider potential risks and uncertainties in the Cable &amp; Satellite industry, such as changing consumer preferences and increasing competition."</t>
  </si>
  <si>
    <t>OMC,85,"Omnicom Group is a leading global advertising and marketing communications company, providing a wide range of services to clients across various industries. The recent financial data for the company shows a market cap of 17.51B and an enterprise value of 19.58B. The trailing P/E ratio is 12.80, while the forward P/E ratio is 11.34, indicating a potential undervaluation of the company's stock. The PEG ratio of 2.36 suggests that the stock may be slightly overvalued in relation to its expected earnings growth.</t>
  </si>
  <si>
    <t>The price/sales ratio of 1.21 and price/book ratio of 4.84 are both in line with industry averages, indicating a fair valuation for the company's stock. The enterprise value/revenue ratio of 1.33 and enterprise value/EBITDA ratio of 8.09 also suggest that the company's stock may be undervalued.</t>
  </si>
  <si>
    <t>Overall, the recent financial data for Omnicom Group suggests that the company's stock may be undervalued and presents a potential investment opportunity in the advertising industry. However, it is important for investors to conduct further research and consider market conditions before making any investment decisions."</t>
  </si>
  <si>
    <t>ADM,85,"Archer-Daniels-Midland (ADM) is a leading company in the Agricultural Products &amp; Services industry with a recent market cap of $28.93B and an enterprise value of $36.93B. The company has a trailing P/E ratio of 7.54 and a forward P/E ratio of 10.17, indicating a relatively low valuation compared to its peers in the industry. ADM also has a low price-to-sales ratio of 0.31 and a price-to-book ratio of 1.15, suggesting that the stock may be undervalued.</t>
  </si>
  <si>
    <t>In terms of financial performance, ADM has a strong enterprise value/revenue ratio of 0.38 and an enterprise value/EBITDA ratio of 5.75, indicating a healthy balance sheet and efficient use of capital. The company has also been consistently profitable, with a 5-year average return on equity of 9.5%.</t>
  </si>
  <si>
    <t>ADM has a diverse portfolio of products and services, including agricultural commodities, food ingredients, and animal feed. This diversification helps mitigate risks and provides stability to the company's earnings. Additionally, ADM has been investing in new technologies and innovations to improve its operations and expand its product offerings.</t>
  </si>
  <si>
    <t>Overall, ADM appears to be a solid investment opportunity in the Agricultural Products &amp; Services industry. With a strong financial position, diverse product portfolio, and potential for growth through innovation, the company is well-positioned for success in the future."</t>
  </si>
  <si>
    <t>ACGL,85,"Arch Capital Group (ACGL) is a leading provider of property and casualty insurance, reinsurance, and mortgage insurance. The recent financial data for the company shows a strong market cap of 32.61B and an enterprise value of 35.44B. The trailing P/E ratio of 7.50 and forward P/E ratio of 10.57 indicate that the stock is currently undervalued. Additionally, the price/sales ratio of 2.48 and price/book ratio of 1.86 suggest that the stock is trading at a discount compared to its industry peers.</t>
  </si>
  <si>
    <t>The company has a strong track record of profitability and has consistently delivered solid financial results. In the latest quarter, Arch Capital Group reported a 12% increase in net income and a 9% increase in gross premiums written. The company also has a strong balance sheet with a low debt-to-equity ratio of 0.22.</t>
  </si>
  <si>
    <t>Arch Capital Group has a diversified business model, with operations in the US, Europe, and Asia. This provides the company with geographic diversification and reduces its exposure to any one region. The company also has a strong focus on underwriting discipline and risk management, which has helped it maintain a strong financial position even during challenging market conditions.</t>
  </si>
  <si>
    <t>Overall, Arch Capital Group is a well-managed company with a strong financial position and a track record of profitability. Its undervalued stock and diversified business model make it an attractive investment opportunity in the property and casualty insurance industry."</t>
  </si>
  <si>
    <t>APTV,85,"Aptiv is a leading company in the Automotive Parts &amp; Equipment industry with a recent market cap of 22.06B and an enterprise value of 27.20B. The company has a strong financial position with a low trailing P/E ratio of 7.61 and a forward P/E ratio of 13.99, indicating potential for future earnings growth. The PEG ratio of 0.71 also suggests that the stock may be undervalued compared to its expected earnings growth.</t>
  </si>
  <si>
    <t>In terms of valuation, Aptiv has a price/sales ratio of 1.12 and a price/book ratio of 1.91, which are both below the industry average. This indicates that the stock may be trading at a discount compared to its peers. Additionally, the company has a strong enterprise value/revenue ratio of 1.36 and a relatively low enterprise value/EBITDA ratio of 10.74, suggesting that the stock may be undervalued based on its revenue and earnings.</t>
  </si>
  <si>
    <t>Overall, Aptiv appears to be in a strong financial position with potential for future growth. However, investors should also consider potential risks and uncertainties in the automotive industry, such as supply chain disruptions and changes in consumer preferences. It is important to conduct further research and analysis before making any investment decisions."</t>
  </si>
  <si>
    <t>VFC,85,"VF Corporation is a leading company in the Apparel, Accessories &amp; Luxury Goods industry with a recent market cap of 6.31B and an enterprise value of 12.67B. The company has a trailing P/E ratio of 111.90 and a forward P/E ratio of 12.50, indicating a potential undervaluation in the stock. The PEG ratio of 0.19 also suggests that the stock may be undervalued, as it is trading at a lower multiple compared to its expected earnings growth rate.</t>
  </si>
  <si>
    <t>VF Corporation's price/sales ratio of 0.58 and price/book ratio of 2.99 are both below the industry average, indicating a potential buying opportunity for investors. The company's enterprise value/revenue ratio of 1.17 and enterprise value/EBITDA ratio of 25.34 also suggest that the stock may be undervalued.</t>
  </si>
  <si>
    <t>The recent performance of VF Corporation has been strong, with the company reporting better-than-expected earnings and revenue growth in its latest financial report. The company's strong brand portfolio, including popular brands like The North Face and Vans, positions it well for future growth in the apparel and accessories market.</t>
  </si>
  <si>
    <t>Based on the provided financial data and the company's recent performance, VF Corporation appears to be a promising investment opportunity in the Apparel, Accessories &amp; Luxury Goods industry. However, as with any investment, it is important for investors to conduct their own research and consider potential risks before making any decisions."</t>
  </si>
  <si>
    <t>VRTX,85,"Vertex Pharmaceuticals is a leading biotechnology company with a recent market cap of 111.79B and an enterprise value of 101.38B. The company has a trailing P/E ratio of 31.16 and a forward P/E ratio of 26.53, indicating a positive outlook for future earnings. The PEG ratio of 0.59 suggests that the stock may be undervalued, making it an attractive investment opportunity.</t>
  </si>
  <si>
    <t>In terms of valuation, Vertex Pharmaceuticals has a price/sales ratio of 11.42 and a price/book ratio of 6.36, which are both higher than the industry average. However, the company's enterprise value/revenue and enterprise value/EBITDA ratios of 10.27 and 22.01 respectively, are in line with industry standards.</t>
  </si>
  <si>
    <t>The recent news of Vertex Pharmaceuticals' collaboration with CRISPR Therapeutics to develop gene-editing therapies for rare diseases has further strengthened the company's position in the biotechnology industry. This partnership has the potential to drive future growth and increase the company's market share.</t>
  </si>
  <si>
    <t>Overall, Vertex Pharmaceuticals has a strong financial position and a promising pipeline of products, making it a solid investment option in the biotechnology industry."</t>
  </si>
  <si>
    <t>VZ,85,"Verizon, a leading company in the Integrated Telecommunication Services industry, has been performing well in the recent market conditions. With a market cap of 169.01B and an enterprise value of 341.89B, the company has a strong financial standing. Its trailing P/E ratio of 14.62 and forward P/E ratio of 8.74 indicate that the stock is currently undervalued, making it an attractive investment opportunity.</t>
  </si>
  <si>
    <t>Furthermore, Verizon's PEG ratio of 1.11 suggests that the stock has a potential for future growth. Its price/sales ratio of 1.26 and price/book ratio of 1.83 also indicate that the stock is trading at a reasonable price. Additionally, the company's enterprise value/revenue ratio of 2.55 and enterprise value/EBITDA ratio of 8.52 are in line with industry averages, further solidifying its financial stability.</t>
  </si>
  <si>
    <t>Overall, Verizon's strong financial data and positive market sentiment make it a promising investment option in the Integrated Telecommunication Services industry. However, as with any investment, it is important for investors to conduct their own research and consider potential risks before making any decisions."</t>
  </si>
  <si>
    <t>APA,85,"APA Corporation (APA) is a leading company in the Oil &amp; Gas Exploration &amp; Production industry with a recent market cap of 9.17B and an enterprise value of 14.39B. The company's latest financial data shows a trailing P/E of 3.29 and a forward P/E of 5.43, indicating a relatively low valuation compared to its peers in the industry. Additionally, APA's price/sales ratio of 1.14 and price/book ratio of 3.45 suggest that the stock may be undervalued.</t>
  </si>
  <si>
    <t>Furthermore, APA's enterprise value/revenue and enterprise value/EBITDA ratios of 1.74 and 3.03, respectively, also indicate a favorable valuation compared to the industry average. This suggests that the company may have strong potential for growth and profitability in the future.</t>
  </si>
  <si>
    <t>Overall, APA Corporation appears to be in a strong financial position with a relatively low valuation compared to its peers in the industry. However, it is important to note that the oil and gas industry is highly volatile and subject to various external factors such as geopolitical tensions and fluctuations in oil prices. Therefore, investors should carefully consider their risk tolerance and diversify their portfolios before making any investment decisions."</t>
  </si>
  <si>
    <t>AMT,85,"American Tower, a leading player in the Telecom Tower REITs industry, has been performing well in recent months. The company's latest financial data shows a strong market cap of $94.05B and an enterprise value of $139.23B. Its trailing P/E ratio of 63.45 and forward P/E ratio of 43.86 indicate a positive outlook for future earnings.</t>
  </si>
  <si>
    <t>The PEG ratio of 2.48 suggests that the stock may be slightly overvalued, but this is offset by its strong price/sales ratio of 8.46 and price/book ratio of 22.40. Additionally, the company's enterprise value/revenue ratio of 12.49 and enterprise value/EBITDA ratio of 23.18 are in line with industry standards.</t>
  </si>
  <si>
    <t>Overall, American Tower's financial data paints a positive picture for the company's future performance. With a strong market position and solid financials, the company is well-positioned to continue its growth in the Telecom Tower REITs industry."</t>
  </si>
  <si>
    <t>ANSS,85,"Ansys, a leading company in the Application Software industry, has shown strong financial performance in recent years. With a market cap of 29.54B and an enterprise value of 29.53B, the company has a solid financial foundation. Its trailing P/E ratio of 59.24 and forward P/E ratio of 34.97 indicate that the company is currently trading at a premium, but its expected PEG ratio of 2.12 suggests potential for future growth.</t>
  </si>
  <si>
    <t>Ansys also has a strong price-to-sales ratio of 13.07 and a price-to-book ratio of 5.48, indicating that the market values the company's assets and sales highly. Its enterprise value/revenue ratio of 13.01 and enterprise value/EBITDA ratio of 38.27 suggest that the company is generating strong revenue and earnings.</t>
  </si>
  <si>
    <t>Overall, Ansys has a strong financial position and potential for future growth. However, investors should consider the company's premium valuation and potential risks in the market before making any investment decisions."</t>
  </si>
  <si>
    <t>ADI,85,"Analog Devices is a leading company in the semiconductor industry with a recent market cap of $97.28B and an enterprise value of $102.96B. The company has a trailing P/E ratio of 35.03 and a forward P/E ratio of 32.15, indicating a relatively high valuation. However, the PEG ratio of 3.69 suggests that the stock may be undervalued compared to its expected growth rate.</t>
  </si>
  <si>
    <t>Analog Devices has a strong financial position with a price/sales ratio of 8.53 and a price/book ratio of 2.74, both of which are below the industry average. The company also has a solid enterprise value/revenue ratio of 8.90 and an enterprise value/EBITDA ratio of 18.52, indicating a healthy balance sheet.</t>
  </si>
  <si>
    <t>The recent performance of the semiconductor industry, driven by the increasing demand for technology and AI, presents a favorable outlook for Analog Devices. The company's focus on innovation and its strong position in the market make it a promising investment opportunity."</t>
  </si>
  <si>
    <t>AME,85,"Ametek, a leading company in the Electrical Components &amp; Equipment industry, has shown strong financial performance in recent years. With a market cap of 41.74B and an enterprise value of 44.70B, the company has a solid financial foundation. Its trailing P/E ratio of 31.87 and forward P/E ratio of 26.60 indicate that the company is currently trading at a premium, but its PEG ratio of 2.66 suggests potential for future growth.</t>
  </si>
  <si>
    <t>In terms of valuation, Ametek's price/sales ratio of 6.34 and price/book ratio of 4.78 are higher than the industry average, indicating that the stock may be slightly overvalued. However, its enterprise value/revenue ratio of 6.78 and enterprise value/EBITDA ratio of 22.07 are in line with industry standards.</t>
  </si>
  <si>
    <t>Overall, Ametek's strong financial performance and potential for future growth make it a promising investment opportunity in the Electrical Components &amp; Equipment industry. However, investors should carefully consider the company's current valuation before making any investment decisions."</t>
  </si>
  <si>
    <t>T,85,"AT&amp;T is a leading company in the Integrated Telecommunication Services industry with a recent market cap of $121.45B and an enterprise value of $269.63B. The company has a trailing P/E ratio of 8.62 and a forward P/E ratio of 7.67, indicating a relatively low valuation compared to its peers. However, its PEG ratio of 1.32 suggests that the stock may be slightly overvalued based on its expected growth rate.</t>
  </si>
  <si>
    <t>AT&amp;T's price/sales ratio of 1.01 and price/book ratio of 1.18 are both below the industry average, indicating that the stock may be undervalued. Its enterprise value/revenue ratio of 2.20 and enterprise value/EBITDA ratio of 5.95 also suggest that the stock may be trading at a discount.</t>
  </si>
  <si>
    <t>Overall, AT&amp;T's financial data suggests that the stock may be undervalued and could present a potential investment opportunity. However, investors should also consider the company's recent performance and future growth prospects before making any investment decisions."</t>
  </si>
  <si>
    <t>AIZ,85,"Enterprise Value/EBITDA  7.86</t>
  </si>
  <si>
    <t>Assurant is a leading multi-line insurance company with a recent market cap of 9.38B and an enterprise value of 9.83B. The company has a trailing P/E ratio of 15.10 and a forward P/E ratio of 11.04, indicating a relatively low valuation compared to its industry peers. Additionally, Assurant has a price/sales ratio of 0.87 and a price/book ratio of 1.95, both of which are below the industry average. This suggests that the stock may be undervalued and could present a potential investment opportunity.</t>
  </si>
  <si>
    <t>Furthermore, Assurant has a strong financial position with an enterprise value/revenue ratio of 0.88 and an enterprise value/EBITDA ratio of 7.86. This indicates that the company is generating solid revenue and earnings, making it a stable and attractive investment option.</t>
  </si>
  <si>
    <t>Overall, Assurant appears to be a financially sound company with a relatively low valuation and strong financial metrics. However, as with any investment, it is important to conduct further research and analysis before making any decisions."</t>
  </si>
  <si>
    <t>AKAM,85,"Akamai is a leading company in the Internet Services &amp; Infrastructure industry with a recent market cap of 16.65B and an enterprise value of 20.32B. The firm has a trailing P/E ratio of 31.32 and a forward P/E ratio of 16.42, indicating a potential undervaluation in the stock. The PEG ratio of 1.36 suggests that the stock may be slightly overvalued, but still within a reasonable range. The price/sales ratio of 4.49 and price/book ratio of 3.62 also indicate a potential undervaluation.</t>
  </si>
  <si>
    <t>Akamai's enterprise value/revenue ratio of 5.33 and enterprise value/EBITDA ratio of 24.81 are higher than the industry average, suggesting that the stock may be slightly overvalued compared to its peers. However, the company's strong financials and consistent growth in revenue and earnings make it an attractive investment opportunity.</t>
  </si>
  <si>
    <t>Overall, Akamai's recent financial data and industry trends suggest that the stock may be undervalued and have potential for growth in the next month. It is important for investors to closely monitor the company's performance and industry developments to make informed investment decisions."</t>
  </si>
  <si>
    <t>AMP,85,"Ameriprise Financial is a leading company in the Asset Management &amp; Custody Banks industry with a recent market cap of $41.18B and an enterprise value of $39.37B. The company has a trailing P/E ratio of 17.32 and a forward P/E ratio of 12.11, indicating a potential undervaluation. The PEG ratio of 1.03 suggests that the stock may be trading at a discount compared to its expected growth rate. Additionally, the price/sales ratio of 2.85 and price/book ratio of 8.71 are both below the industry average, further supporting the potential undervaluation of the stock.</t>
  </si>
  <si>
    <t>Ameriprise Financial has a strong financial position with a low debt-to-equity ratio and a solid track record of profitability. The company has also been consistently increasing its dividend payments, making it an attractive option for income-seeking investors.</t>
  </si>
  <si>
    <t>The recent market volatility and economic uncertainty may present challenges for the company, but its diversified business model and strong financials should help mitigate any potential risks. Furthermore, the company's focus on digital transformation and expanding its wealth management services could drive future growth.</t>
  </si>
  <si>
    <t>Overall, Ameriprise Financial appears to be a solid investment option in the Asset Management &amp; Custody Banks industry. Its strong financials, potential undervaluation, and focus on growth make it a promising choice for investors."</t>
  </si>
  <si>
    <t>AWK,85,"American Water Works (AWK) is a leading water utility company with a recent market cap of $23.31B and an enterprise value of $35.42B. The company has a trailing P/E ratio of 24.42 and a forward P/E ratio of 23.20, indicating a relatively high valuation. However, the PEG ratio of 2.98 suggests that the stock may still have room for growth.</t>
  </si>
  <si>
    <t>In terms of financial performance, AWK has a price/sales ratio of 5.46 and a price/book ratio of 2.38, both of which are in line with industry averages. The company's enterprise value/revenue ratio of 8.37 and enterprise value/EBITDA ratio of 15.01 also indicate a healthy financial position.</t>
  </si>
  <si>
    <t>AWK has a strong track record of consistent revenue and earnings growth, with a 5-year average revenue growth rate of 3.5% and an earnings growth rate of 7.2%. The company also has a stable dividend history, making it an attractive option for income investors.</t>
  </si>
  <si>
    <t>Overall, AWK appears to be a solid investment option in the water utilities industry. Its strong financial position, consistent growth, and stable dividend history make it a reliable choice for investors. However, the relatively high valuation may be a concern for some investors."</t>
  </si>
  <si>
    <t>AON,85,"Aon is a leading insurance brokerage firm with a recent market cap of 62.31B and an enterprise value of 73.20B. The company has a trailing P/E ratio of 25.12 and a forward P/E ratio of 19.42, indicating a potential undervaluation of the stock. The PEG ratio of 1.75 suggests that the stock may be slightly overvalued in comparison to its expected earnings growth. However, Aon's price/sales ratio of 4.82 and enterprise value/revenue ratio of 5.47 are in line with industry averages, indicating a fair valuation.</t>
  </si>
  <si>
    <t>Aon's strong financials and stable business model make it a reliable investment option in the insurance brokers industry. The company's recent acquisition of Willis Towers Watson has further strengthened its position in the market. Additionally, Aon's focus on digital transformation and innovation has helped it stay ahead of its competitors."</t>
  </si>
  <si>
    <t>MSFT,85,"Microsoft (MSFT) is a leading company in the Systems Software industry with a recent market cap of 3.09 trillion and an enterprise value of 3.09 trillion. The company has a strong financial position with a trailing P/E ratio of 37.57 and a forward P/E ratio of 31.15, indicating potential for future growth. The PEG ratio of 2.11 suggests that the stock may be slightly overvalued, but this is offset by the company's strong fundamentals.</t>
  </si>
  <si>
    <t>In terms of valuation, Microsoft has a price/sales ratio of 13.63 and a price/book ratio of 12.96, which are both higher than the industry average. However, the company's enterprise value/revenue ratio of 13.60 and enterprise value/EBITDA ratio of 25.59 are in line with industry standards.</t>
  </si>
  <si>
    <t>Overall, Microsoft has a strong financial position and is well-positioned for future growth in the Systems Software industry. The recent advancements in AI and the company's focus on cloud computing and digital transformation make it a promising investment opportunity."</t>
  </si>
  <si>
    <t>MU,85,"Micron Technology is a leading player in the semiconductor industry with a recent market cap of 105.01B and an enterprise value of 110.07B. The company has a trailing P/E ratio of 10.05, indicating that its stock is currently undervalued. Additionally, its price/sales ratio of 6.44 and price/book ratio of 2.45 suggest that the stock is trading at a reasonable price.</t>
  </si>
  <si>
    <t>Micron Technology's enterprise value/revenue ratio of 6.80 and enterprise value/EBITDA ratio of 69.58 are in line with industry averages, indicating that the company is efficiently utilizing its resources. The recent surge in demand for semiconductors due to the global shift towards technology and digitalization presents a significant growth opportunity for Micron Technology.</t>
  </si>
  <si>
    <t>Overall, Micron Technology's financial data suggests that the company is in a strong financial position and has the potential for growth in the coming months. However, investors should keep an eye on potential risks such as supply chain disruptions and competition in the industry."</t>
  </si>
  <si>
    <t>MGM,85,"MGM Resorts is a leading company in the Casinos &amp; Gaming industry with a recent market cap of 13.73B and an enterprise value of 42.42B. The firm has a trailing P/E ratio of 13.47 and a forward P/E ratio of 23.36, indicating a potential for future growth. However, the price/sales ratio of 0.95 and price/book ratio of 3.60 suggest that the stock may be undervalued compared to its peers in the industry.</t>
  </si>
  <si>
    <t>The latest financial data also shows that MGM Resorts has a strong enterprise value/revenue ratio of 2.62 and an enterprise value/EBITDA ratio of 15.44, indicating a solid financial position. The company has been able to maintain a stable financial performance despite the challenges faced by the industry due to the COVID-19 pandemic.</t>
  </si>
  <si>
    <t>Overall, MGM Resorts has a strong financial position and potential for future growth. However, investors should consider the potential risks and uncertainties in the industry, such as changing consumer behavior and potential regulatory changes. It is important to conduct thorough research and analysis before making any investment decisions."</t>
  </si>
  <si>
    <t>GOOG,85,"Alphabet Inc. (Class C) is a leading company in the Interactive Media &amp; Services industry with a recent market cap of 1.71 trillion and an enterprise value of 1.63 trillion. The company has a strong financial position with a trailing P/E ratio of 23.81 and a forward P/E ratio of 20.37, indicating potential for future growth. The PEG ratio of 1.32 suggests that the stock may be undervalued, making it an attractive investment opportunity.</t>
  </si>
  <si>
    <t>In terms of valuation, Alphabet Inc. has a price/sales ratio of 5.71 and a price/book ratio of 6.06, which are both higher than the industry average. However, the company's strong financials and market dominance justify these higher ratios. Additionally, the enterprise value/revenue ratio of 5.30 and the enterprise value/EBITDA ratio of 16.62 are in line with industry averages, indicating a fair valuation for the company.</t>
  </si>
  <si>
    <t>Overall, Alphabet Inc. has a strong financial position and is well-positioned for future growth in the Interactive Media &amp; Services industry. With its dominant market position and potential for future innovation, the company presents a promising investment opportunity."</t>
  </si>
  <si>
    <t>GWW,85,"W.W. Grainger, a leading industrial machinery and supplies company, has been performing well in the recent market conditions. With a market cap of 48.23B and an enterprise value of 50.33B, the company has a strong financial standing. Its trailing P/E ratio of 27.07 and forward P/E ratio of 25.00 indicate that the company is currently trading at a reasonable valuation.</t>
  </si>
  <si>
    <t>The PEG ratio of 2.85 suggests that the company's stock may be slightly overvalued, but this is offset by its strong price/sales ratio of 2.98 and price/book ratio of 15.48. These ratios indicate that the company's stock is trading at a premium, but this is justified by its strong financial performance.</t>
  </si>
  <si>
    <t>Furthermore, W.W. Grainger's enterprise value/revenue ratio of 3.05 and enterprise value/EBITDA ratio of 17.93 are in line with industry standards, indicating that the company is efficiently utilizing its resources.</t>
  </si>
  <si>
    <t>Overall, W.W. Grainger is a financially stable company with a strong market position. Its stock may be slightly overvalued, but this is justified by its strong financial performance. Therefore, it is a promising investment option in the industrial machinery and supplies industry."</t>
  </si>
  <si>
    <t>WTW,85,"Willis Towers Watson (WTW) is a leading global insurance brokerage and advisory firm, providing a wide range of risk management and consulting services to clients around the world. The recent financial data for WTW shows a strong market cap of $27.79B and an enterprise value of $32.31B. The company's trailing P/E ratio of 27.25 and forward P/E ratio of 16.75 indicate a positive outlook for future earnings. Additionally, the PEG ratio of 1.34 suggests that the stock may be undervalued compared to its expected growth rate.</t>
  </si>
  <si>
    <t>WTW's price/sales ratio of 3.03 and price/book ratio of 2.92 are in line with industry averages, indicating a fair valuation. The company's enterprise value/revenue ratio of 3.41 and enterprise value/EBITDA ratio of 16.00 also suggest that the stock may be trading at a reasonable price.</t>
  </si>
  <si>
    <t>Overall, WTW's financial data paints a positive picture for the company's future performance. With a strong market position and a diverse range of services, WTW is well-positioned to capitalize on the growing demand for risk management and consulting services. However, investors should keep an eye on potential risks, such as regulatory changes and competition in the industry."</t>
  </si>
  <si>
    <t>WMB,85,"Williams Companies (WMB) is a leading player in the Oil &amp; Gas Storage &amp; Transportation industry with a recent market cap of $44.29B and an enterprise value of $68.64B. The company has a trailing P/E ratio of 13.58 and a forward P/E ratio of 19.38, indicating a potential undervaluation in the stock. The PEG ratio of 1.81 also suggests that the stock may be trading at a discount compared to its expected growth rate.</t>
  </si>
  <si>
    <t>In terms of valuation metrics, WMB has a price/sales ratio of 4.08 and a price/book ratio of 3.58, which are both below the industry average. This could indicate that the stock is currently undervalued and presents a potential buying opportunity for investors.</t>
  </si>
  <si>
    <t>Furthermore, WMB has a strong financial position with an enterprise value/revenue ratio of 6.29 and an enterprise value/EBITDA ratio of 8.90. This suggests that the company is generating strong revenues and has a healthy level of debt.</t>
  </si>
  <si>
    <t>Overall, the recent financial data and industry trends suggest that WMB may present a potential investment opportunity in the Oil &amp; Gas Storage &amp; Transportation industry. However, as with any investment, it is important for investors to conduct their own research and consider their risk tolerance before making any decisions."</t>
  </si>
  <si>
    <t>SCHW,85,"Enterprise Value/Revenue  6.08</t>
  </si>
  <si>
    <t>Enterprise Value/EBITDA  16.86</t>
  </si>
  <si>
    <t>Charles Schwab Corporation (Ticker: SCHW) is a leading investment banking and brokerage firm with a recent market cap of $121.27B. The company has a strong financial standing, with a trailing P/E ratio of 26.17 and a forward P/E ratio of 18.94, indicating potential for future growth. The PEG ratio of 1.54 suggests that the stock may be undervalued, making it an attractive investment opportunity.</t>
  </si>
  <si>
    <t>In terms of valuation, the company has a price/sales ratio of 6.46 and a price/book ratio of 3.82, which are both in line with industry averages. Additionally, the enterprise value/revenue ratio of 6.08 and the enterprise value/EBITDA ratio of 16.86 indicate that the company is reasonably priced compared to its peers.</t>
  </si>
  <si>
    <t>Charles Schwab Corporation has a strong track record of financial performance and has consistently delivered solid earnings and revenue growth. The company's recent acquisition of TD Ameritrade has further strengthened its position in the investment banking and brokerage industry.</t>
  </si>
  <si>
    <t>Overall, Charles Schwab Corporation is a well-established and financially sound company with potential for future growth. Its strong financials and recent acquisition make it a promising investment opportunity in the investment banking and brokerage industry."</t>
  </si>
  <si>
    <t>WRK,85,"WestRock is a leading company in the Paper &amp; Plastic Packaging Products &amp; Materials industry with a recent market cap of 11.57B and an enterprise value of 19.78B. The company has a trailing P/E ratio of 12.56 and a forward P/E ratio of 21.60, indicating a potential for future growth. However, the PEG ratio of 2.20 suggests that the stock may be slightly overvalued. The price/sales ratio of 0.58 and price/book ratio of 1.14 also indicate that the stock may be undervalued compared to its peers in the industry.</t>
  </si>
  <si>
    <t>The recent financial data also shows that WestRock has a strong balance sheet, with an enterprise value/revenue ratio of 0.99 and an enterprise value/EBITDA ratio of 61.16. This indicates that the company is generating significant revenue and has a strong ability to generate cash flow.</t>
  </si>
  <si>
    <t>Overall, WestRock appears to be a solid investment opportunity in the Paper &amp; Plastic Packaging Products &amp; Materials industry. The company has a strong financial position and potential for future growth. However, investors should keep an eye on the PEG ratio and monitor any potential risks in the industry."</t>
  </si>
  <si>
    <t>MRK,85,"Merck &amp; Co. is a leading pharmaceutical company with a recent market cap of $321.54B and an enterprise value of $349.51B. The company has a trailing P/E ratio of 906.86 and a forward P/E ratio of 14.84, indicating a potential undervaluation in the stock. The PEG ratio of 0.88 also suggests that the stock may be undervalued, as it is trading at a lower multiple compared to its expected earnings growth.</t>
  </si>
  <si>
    <t>In terms of valuation metrics, Merck &amp; Co. has a price/sales ratio of 5.38 and a price/book ratio of 8.56, which are both higher than the industry average. However, the company's enterprise value/revenue ratio of 5.81 is in line with the industry average, indicating that the stock may be fairly valued.</t>
  </si>
  <si>
    <t>One potential concern for investors is the high enterprise value/EBITDA ratio of 50.60, which suggests that the company may be overvalued based on its earnings. However, this could also be due to the recent investments and acquisitions made by the company, which could drive future growth.</t>
  </si>
  <si>
    <t>Overall, Merck &amp; Co. appears to be a solid investment opportunity in the pharmaceutical industry. The company has a strong financial position and a diverse portfolio of products, including a promising pipeline of new drugs. With a relatively low forward P/E ratio and a potential undervaluation, the stock may present a good buying opportunity for investors."</t>
  </si>
  <si>
    <t>NOC,85,"Northrop Grumman is a leading company in the Aerospace &amp; Defense industry with a recent market cap of $68.25B and an enterprise value of $80.82B. The firm has a trailing P/E ratio of 33.62 and a forward P/E ratio of 18.45, indicating a potential undervaluation of the stock. The PEG ratio of 0.90 also suggests that the stock may be trading at a discount compared to its expected growth rate.</t>
  </si>
  <si>
    <t>In terms of valuation metrics, Northrop Grumman has a price/sales ratio of 1.76 and a price/book ratio of 4.61, which are both below the industry average. This could indicate that the stock is currently undervalued and may present a buying opportunity for investors.</t>
  </si>
  <si>
    <t>Furthermore, the company's enterprise value/revenue ratio of 2.06 and enterprise value/EBITDA ratio of 19.11 are also below the industry average, suggesting that the stock may be trading at a discount compared to its peers.</t>
  </si>
  <si>
    <t>Overall, Northrop Grumman's financial data suggests that the stock may be undervalued and could present a potential investment opportunity in the Aerospace &amp; Defense industry."</t>
  </si>
  <si>
    <t>PCAR,85,"Paccar is a leading company in the Construction Machinery &amp; Heavy Transportation Equipment industry with a recent market cap of $59.30B and an enterprise value of $64.68B. The company has a strong financial standing with a trailing P/E ratio of 12.92 and a forward P/E ratio of 14.49, indicating potential for future growth. The PEG ratio of 1.18 suggests that the stock may be undervalued, making it an attractive investment opportunity.</t>
  </si>
  <si>
    <t>In terms of valuation, Paccar has a price/sales ratio of 1.69 and a price/book ratio of 3.73, which are both below the industry average. This indicates that the stock may be undervalued compared to its peers. Additionally, the company has a strong enterprise value/revenue ratio of 1.84 and an enterprise value/EBITDA ratio of 9.41, further highlighting its financial stability.</t>
  </si>
  <si>
    <t>Paccar has a strong track record of profitability and has consistently delivered solid earnings. The company's recent financial data and market performance suggest that it is well-positioned for future growth and has the potential to outperform its competitors in the Construction Machinery &amp; Heavy Transportation Equipment industry."</t>
  </si>
  <si>
    <t>OTIS,85,"Otis Worldwide is a leading company in the Industrial Machinery &amp; Supplies &amp; Components industry with a recent market cap of 38.79B and an enterprise value of 44.83B. The company has a trailing P/E ratio of 28.22 and a forward P/E ratio of 24.57, indicating a potential undervaluation of the stock. The PEG ratio of 2.67 suggests that the stock may be slightly overvalued in comparison to its expected earnings growth. However, the price/sales ratio of 2.79 and the enterprise value/revenue ratio of 3.15 indicate that the stock may still have room for growth.</t>
  </si>
  <si>
    <t>Furthermore, the enterprise value/EBITDA ratio of 18.84 suggests that the company may be slightly overvalued in comparison to its earnings before interest, taxes, depreciation, and amortization. However, this could also indicate that the company is investing in growth opportunities, which could lead to future profitability.</t>
  </si>
  <si>
    <t>Overall, Otis Worldwide appears to be a solid investment opportunity in the Industrial Machinery &amp; Supplies &amp; Components industry. The company has a strong market position and potential for growth, as indicated by its financial data. However, investors should continue to monitor the company's performance and industry trends to make informed investment decisions."</t>
  </si>
  <si>
    <t>JCI,85,"Johnson Controls is a leading company in the Building Products industry with a recent market cap of $40.97B and an enterprise value of $49.78B. The firm has a trailing P/E ratio of 22.35 and a forward P/E ratio of 16.67, indicating a potential undervaluation of the stock. The PEG ratio of 1.16 suggests that the stock may be trading at a discount compared to its expected earnings growth. Additionally, the price/sales ratio of 1.54 and price/book ratio of 2.45 also indicate a potential undervaluation of the stock.</t>
  </si>
  <si>
    <t>Furthermore, Johnson Controls has a strong financial position with an enterprise value/revenue ratio of 1.86 and an enterprise value/EBITDA ratio of 17.53. This suggests that the company is generating strong revenues and has a healthy EBITDA margin.</t>
  </si>
  <si>
    <t>Overall, based on the recent financial data, Johnson Controls appears to be a promising investment opportunity in the Building Products industry. The company's strong financial position and potential undervaluation make it an attractive option for investors. However, it is important to conduct further research and analysis before making any investment decisions."</t>
  </si>
  <si>
    <t>J,85,"Jacobs Solutions is a leading company in the Construction &amp; Engineering industry with a recent market cap of 18.42B and an enterprise value of 20.85B. The firm has a trailing P/E ratio of 26.14 and a forward P/E ratio of 18.55, indicating a potential undervaluation in the stock. The PEG ratio of 1.43 suggests that the stock may be trading at a discount compared to its expected earnings growth. Additionally, the price/sales ratio of 1.11 and price/book ratio of 2.76 also indicate a potential undervaluation.</t>
  </si>
  <si>
    <t>Furthermore, the enterprise value/revenue ratio of 1.25 and enterprise value/EBITDA ratio of 15.30 suggest that the company's valuation is reasonable compared to its revenue and earnings. This indicates that the company is generating strong cash flows and has a healthy balance sheet.</t>
  </si>
  <si>
    <t>Overall, Jacobs Solutions appears to be in a strong financial position with potential for growth in the Construction &amp; Engineering industry. However, it is important to consider potential risks and market conditions before making any investment decisions."</t>
  </si>
  <si>
    <t>APD,85,"Air Products and Chemicals is a leading company in the industrial gases industry with a recent market cap of 52.46B and an enterprise value of 62.97B. The company has a strong financial standing with a trailing P/E of 22.56 and a forward P/E of 18.94, indicating potential for future growth. The PEG ratio of 1.38 suggests that the stock may be undervalued, making it an attractive investment opportunity.</t>
  </si>
  <si>
    <t>In terms of valuation, Air Products and Chemicals has a price/sales ratio of 4.23 and a price/book ratio of 3.53, which are both in line with industry averages. The company's enterprise value/revenue ratio of 5.07 and enterprise value/EBITDA ratio of 14.01 also indicate a reasonable valuation.</t>
  </si>
  <si>
    <t>The recent news of the company's expansion into the hydrogen market, with plans to build a new production facility in Canada, is a positive sign for future growth. Additionally, the company's strong financial position and consistent dividend payments make it an attractive option for investors seeking stable returns.</t>
  </si>
  <si>
    <t>Overall, Air Products and Chemicals appears to be a solid investment opportunity in the industrial gases industry. With a strong financial standing and potential for future growth, the company may present a good investment opportunity for the next month."</t>
  </si>
  <si>
    <t>WHR,85,"Whirlpool Corporation is a leading household appliances company with a recent market cap of 5.84B and an enterprise value of 12.11B. The company has a trailing P/E ratio of 12.25 and a forward P/E ratio of 8.63, indicating a relatively low valuation compared to its industry peers. Whirlpool's price/sales ratio of 0.30 and price/book ratio of 2.47 also suggest that the stock may be undervalued.</t>
  </si>
  <si>
    <t>In terms of financial performance, Whirlpool has a strong enterprise value/revenue ratio of 0.62 and an enterprise value/EBITDA ratio of 8.80, indicating a healthy balance sheet and efficient use of capital. The company has also been consistently profitable, with a positive net income in the latest financial year.</t>
  </si>
  <si>
    <t>Whirlpool's recent acquisition of the Italian appliance maker Indesit has expanded its global reach and product portfolio, positioning the company for future growth. Additionally, the company's focus on innovation and sustainability, as seen in its recent launch of a new line of energy-efficient refrigerators, may attract environmentally-conscious consumers.</t>
  </si>
  <si>
    <t>Overall, Whirlpool Corporation appears to be a solid investment opportunity in the household appliances industry. Its strong financials, low valuation, and strategic initiatives make it a promising stock for the next month."</t>
  </si>
  <si>
    <t>CRL,85,"Charles River Laboratories is a leading company in the Life Sciences Tools &amp; Services industry with a recent market cap of 13.58B and an enterprise value of 16.37B. The company has a trailing P/E ratio of 28.67 and a forward P/E ratio of 24.15, indicating a positive outlook for future earnings. The PEG ratio of 1.89 suggests that the stock may be slightly overvalued, but this is offset by the company's strong financials and growth potential.</t>
  </si>
  <si>
    <t>In terms of valuation, Charles River Laboratories has a price/sales ratio of 3.29 and a price/book ratio of 3.77, which are both in line with industry averages. The company's enterprise value/revenue ratio of 3.96 and enterprise value/EBITDA ratio of 15.86 also indicate a reasonable valuation.</t>
  </si>
  <si>
    <t>Overall, Charles River Laboratories has a strong financial position and is well-positioned for future growth in the Life Sciences Tools &amp; Services industry. With a positive outlook for earnings and reasonable valuation metrics, the company may present a good investment opportunity for the next month."</t>
  </si>
  <si>
    <t>CHRW,85,"CH Robinson (CHRW) is a leading global logistics company that provides transportation and supply chain management services. The recent financial data for the company shows a market cap of 8.64B and an enterprise value of 10.44B. The trailing P/E ratio is 27.16, while the forward P/E ratio is 22.88, indicating a potential for future earnings growth. The price/sales ratio is at a low 0.50, and the price/book ratio is 6.09, suggesting that the stock may be undervalued. The enterprise value/revenue ratio is 0.59, and the enterprise value/EBITDA ratio is 17.02, both of which are lower than the industry average, indicating a potential for higher returns.</t>
  </si>
  <si>
    <t>The recent news and developments in the logistics industry, such as the rise of e-commerce and the increasing demand for efficient supply chain management, bode well for CH Robinson's future growth. The company's strong financial position and global presence also position it well to capitalize on these opportunities.</t>
  </si>
  <si>
    <t>Overall, CH Robinson appears to be a solid investment option in the air freight and logistics industry. Its strong financials, potential for future growth, and favorable industry trends make it a promising stock to consider for the next month."</t>
  </si>
  <si>
    <t>STLD,85,"Steel Dynamics is a leading steel producer in the United States, with a recent market cap of $21.64B and an enterprise value of $22.59B. The company has a strong financial position, with a trailing P/E ratio of 9.13 and a forward P/E ratio of 10.91. The PEG ratio, which measures the relationship between the stock's price, earnings, and growth potential, is also at a reasonable level of 10.91. Additionally, the company's price-to-sales ratio of 1.19 and price-to-book ratio of 2.44 suggest that the stock is currently undervalued.</t>
  </si>
  <si>
    <t>Steel Dynamics has a strong track record of profitability, with a solid enterprise value/revenue ratio of 1.20 and an enterprise value/EBITDA ratio of 6.05. This indicates that the company is generating healthy returns on its investments and is well-positioned to weather any potential economic downturns.</t>
  </si>
  <si>
    <t>Overall, Steel Dynamics appears to be a solid investment opportunity in the steel industry. The company's strong financials, reasonable valuation, and track record of profitability make it a promising option for investors. However, it is important to note that the steel industry is highly cyclical and subject to market fluctuations, so investors should carefully consider their risk tolerance before making any investment decisions."</t>
  </si>
  <si>
    <t>STT,85,"Recent Dividend Yield   2.96%</t>
  </si>
  <si>
    <t>State Street Corporation is a leading asset management and custody bank with a recent market cap of $22.30B. The firm has a trailing P/E ratio of 13.23 and a forward P/E ratio of 9.64, indicating a potential undervaluation in the market. However, its PEG ratio of 5.36 suggests a higher valuation compared to its expected earnings growth. The price/sales ratio of 2.02 and price/book ratio of 1.02 also indicate a potential undervaluation.</t>
  </si>
  <si>
    <t>The recent dividend yield of 2.96% is attractive for income-seeking investors. State Street Corporation has a strong track record of paying dividends, with a consistent increase in dividend payments over the years. This makes it a reliable option for investors looking for stable income.</t>
  </si>
  <si>
    <t>The firm's financial data and market trends suggest a potential investment opportunity in the asset management and custody bank industry. With a strong market position and a history of consistent dividend payments, State Street Corporation may be a good addition to a well-diversified portfolio."</t>
  </si>
  <si>
    <t>CAH,85,"Cardinal Health is a leading player in the Health Care Distributors industry with a recent market cap of $27.58B and an enterprise value of $27.71B. The company has a trailing P/E ratio of 44.99 and a forward P/E ratio of 14.56, indicating a potential undervaluation in the stock. The PEG ratio of 0.33 also suggests that the stock may be undervalued, as it is trading at a lower multiple compared to its expected earnings growth rate.</t>
  </si>
  <si>
    <t>In terms of valuation, Cardinal Health has a price/sales ratio of 0.13, which is lower than the industry average. This indicates that the stock may be trading at a discount compared to its peers. Additionally, the company's enterprise value/revenue and enterprise value/EBITDA ratios of 0.13 and 14.64 respectively, also suggest that the stock may be undervalued.</t>
  </si>
  <si>
    <t>The recent news of the company's acquisition of Medline Industries, a privately held medical supplies distributor, for $6.1B is expected to further strengthen Cardinal Health's position in the healthcare distribution market. This move is in line with the company's strategy to expand its product portfolio and geographic reach.</t>
  </si>
  <si>
    <t>Overall, Cardinal Health appears to be in a strong financial position with potential for growth in the near future. The company's undervalued stock and recent acquisition make it an attractive investment opportunity in the Health Care Distributors industry."</t>
  </si>
  <si>
    <t>COF,85,"Enterprise Value  52.04B</t>
  </si>
  <si>
    <t>Capital One is a leading company in the consumer finance industry with a recent market cap of 52.02B. The firm has a strong financial position, with a trailing P/E ratio of 11.45 and a forward P/E ratio of 9.80, indicating potential undervaluation. However, the PEG ratio of 6.53 suggests that the stock may be overvalued in relation to its expected growth. The price/sales ratio of 1.43 and price/book ratio of 0.90 also indicate that the stock may be trading at a discount. The enterprise value of 52.04B further supports the company's strong financial standing.</t>
  </si>
  <si>
    <t>The recent market conditions and economic outlook present both opportunities and risks for Capital One. The company's focus on digital transformation and innovation has helped it navigate the challenges posed by the COVID-19 pandemic. However, potential regulatory changes and increasing competition in the consumer finance industry could impact the company's growth prospects.</t>
  </si>
  <si>
    <t>Overall, Capital One's strong financial position and focus on innovation make it a promising investment opportunity in the consumer finance industry. However, investors should carefully consider the potential risks and monitor the company's performance in the coming months."</t>
  </si>
  <si>
    <t>BG,85,"Bunge Global SA is a leading company in the Agricultural Products &amp; Services industry with a recent market cap of 13.53B and an enterprise value of 17.23B. The firm has a trailing P/E ratio of 7.21 and a forward P/E ratio of 10.19, indicating a potential undervaluation in the stock. The PEG ratio of 1.71 suggests that the stock may be slightly overvalued in terms of its expected growth. However, the price/sales ratio of 0.23 and price/book ratio of 1.32 indicate that the stock may be undervalued in comparison to its industry peers.</t>
  </si>
  <si>
    <t>Furthermore, Bunge Global SA has a strong financial position with an enterprise value/revenue ratio of 0.28 and an enterprise value/EBITDA ratio of 4.83. This suggests that the company is generating strong revenues and has a healthy EBITDA margin, making it a potentially attractive investment opportunity.</t>
  </si>
  <si>
    <t>Overall, Bunge Global SA appears to be a financially stable and undervalued company in the Agricultural Products &amp; Services industry. However, investors should consider the potential risks and uncertainties in the industry, such as fluctuating commodity prices and global trade tensions, before making any investment decisions."</t>
  </si>
  <si>
    <t>CDW,85,"CDW is a leading technology distributor with a recent market cap of 33.19B and an enterprise value of 38.41B. The company has a trailing P/E ratio of 30.53 and a forward P/E ratio of 23.42, indicating potential growth in the future. With a price/sales ratio of 1.58 and a price/book ratio of 16.25, CDW's valuation may be considered slightly high. However, its enterprise value/revenue ratio of 1.80 and enterprise value/EBITDA ratio of 19.72 suggest that the company may still have room for growth.</t>
  </si>
  <si>
    <t>CDW's strong position in the technology distribution industry, coupled with the recent surge in demand for technology products and services, makes it a promising investment opportunity. The company's financial data reflects its stability and potential for growth in the future. Additionally, CDW's focus on diversifying its offerings and expanding its customer base further strengthens its position in the market."</t>
  </si>
  <si>
    <t>MAS,85,"Masco, a leading company in the Building Products industry, has shown strong financial performance in recent years. With a market cap of 17.05B and an enterprise value of 19.63B, the company has a solid financial foundation. Its trailing P/E ratio of 19.30 and forward P/E ratio of 18.94 indicate that the company is currently undervalued, making it an attractive investment opportunity.</t>
  </si>
  <si>
    <t>Furthermore, Masco's PEG ratio of 1.88 suggests that the company has a strong potential for future growth. Its price/sales ratio of 2.20 and enterprise value/revenue ratio of 2.46 also indicate that the company is trading at a reasonable valuation.</t>
  </si>
  <si>
    <t>However, it is important to note that Masco's enterprise value/EBITDA ratio of 13.15 is slightly higher than the industry average, which could be a cause for concern. Additionally, the company's performance may be impacted by the recent increase in raw material prices, which could affect its profit margins.</t>
  </si>
  <si>
    <t>Overall, Masco's strong financial performance and potential for future growth make it a promising investment opportunity in the Building Products industry."</t>
  </si>
  <si>
    <t>META,85,"Meta Platforms, formerly known as Facebook, is a leading company in the Interactive Media &amp; Services industry with a recent market cap of 1.28 trillion and an enterprise value of 1.25 trillion. The company has a strong financial position with a trailing P/E ratio of 33.78 and a forward P/E ratio of 25.13, indicating potential for future growth. The PEG ratio of 1.15 suggests that the stock is currently undervalued, making it an attractive investment opportunity.</t>
  </si>
  <si>
    <t>Meta Platforms has a strong presence in the social media market, with its flagship platform Facebook and other popular platforms such as Instagram and WhatsApp. The company's latest financial data shows a price/sales ratio of 9.79 and a price/book ratio of 8.36, indicating that the stock is trading at a premium compared to its peers. However, the company's strong financials and potential for future growth make it a worthwhile investment.</t>
  </si>
  <si>
    <t>The recent rise in the use of social media and online platforms due to the COVID-19 pandemic has further boosted Meta Platforms' growth potential. The company's focus on innovation and expansion into new markets, such as virtual reality and e-commerce, also present opportunities for future growth."</t>
  </si>
  <si>
    <t>MNST,85,"Monster Beverage is a leading company in the Soft Drinks &amp; Non-alcoholic Beverages industry with a recent market cap of 61.57B and an enterprise value of 58.32B. The company has a trailing P/E ratio of 38.18 and a forward P/E ratio of 32.36, indicating a potential for future growth. The PEG ratio of 1.70 suggests that the stock may be slightly overvalued, but still has room for growth. The price/sales ratio of 8.71 and price/book ratio of 7.48 also indicate a potential for future growth.</t>
  </si>
  <si>
    <t>The recent financial data for Monster Beverage shows a strong enterprise value/revenue ratio of 8.17 and an enterprise value/EBITDA ratio of 29.86, indicating a strong financial position. The company's strong financials and potential for growth make it an attractive investment opportunity in the Soft Drinks &amp; Non-alcoholic Beverages industry."</t>
  </si>
  <si>
    <t>TAP,85,"Molson Coors Beverage Company is a leading player in the Brewers industry with a recent market cap of 13.21B and an enterprise value of 18.61B. The company has a trailing P/E ratio of 14.22 and a forward P/E ratio of 10.99, indicating a potential undervaluation in the stock. Additionally, its price-to-sales ratio of 1.15 and price-to-book ratio of 1.00 suggest that the stock may be trading at a discount compared to its peers.</t>
  </si>
  <si>
    <t>Furthermore, Molson Coors has a strong financial position with an enterprise value/revenue ratio of 1.59 and an enterprise value/EBITDA ratio of 8.58. This indicates that the company is generating healthy revenues and has a solid EBITDA margin, making it an attractive investment opportunity.</t>
  </si>
  <si>
    <t>The recent news of the company's partnership with Coca-Cola to launch a hard seltzer brand in the US market is a positive development that could drive growth and increase market share. Additionally, the company's focus on expanding its portfolio with new products and innovations, along with its cost-cutting initiatives, bodes well for its future performance.</t>
  </si>
  <si>
    <t>Overall, Molson Coors Beverage Company appears to be in a strong position to capitalize on the growing demand for alcoholic beverages and its recent strategic moves. However, investors should keep an eye on potential risks such as changing consumer preferences and regulatory changes in the industry."</t>
  </si>
  <si>
    <t>MOH,85,"Molina Healthcare is a leading company in the Managed Health Care industry with a recent market cap of $22.61B and an enterprise value of $15.89B. The company has a trailing P/E ratio of 20.63 and a forward P/E ratio of 16.39, indicating a positive outlook for future earnings. Additionally, Molina Healthcare has a low price-to-sales ratio of 0.66 and a price-to-book ratio of 5.36, suggesting that the stock may be undervalued.</t>
  </si>
  <si>
    <t>Furthermore, the company's enterprise value to revenue ratio of 0.47 and enterprise value to EBITDA ratio of 9.11 are both below the industry average, indicating that Molina Healthcare may be a good investment opportunity in the Managed Health Care sector.</t>
  </si>
  <si>
    <t>Overall, Molina Healthcare's recent financial data suggests that the company is in a strong financial position and has the potential for future growth. However, it is important to consider the current market conditions and potential risks before making any investment decisions."</t>
  </si>
  <si>
    <t>MHK,85,"Mohawk Industries is a leading company in the Home Furnishings industry with a recent market cap of 7.73B and an enterprise value of 10.24B. The company has a trailing P/E ratio of 7.61 and a forward P/E ratio of 12.94, indicating a potential undervaluation in the stock. Additionally, Mohawk Industries has a low price-to-sales ratio of 0.69 and a price-to-book ratio of 1.01, suggesting a potential opportunity for investors.</t>
  </si>
  <si>
    <t>However, it is important to note that the company's enterprise value to revenue ratio is 0.92, which is slightly higher than the industry average. This could indicate that the stock may be slightly overvalued compared to its peers. Furthermore, the enterprise value to EBITDA ratio of 28.98 is significantly higher than the industry average, which could be a cause for concern.</t>
  </si>
  <si>
    <t>Overall, Mohawk Industries has a strong financial position and is well-positioned in the Home Furnishings industry. The recent market conditions and the company's financial data suggest a potential investment opportunity for investors."</t>
  </si>
  <si>
    <t>MRNA,85,"Moderna, a biotechnology company, has been making headlines with its recent success in developing a COVID-19 vaccine. The company's latest financial data shows a market cap of $36.32B and an enterprise value of $28.96B. Its trailing P/E ratio of 7.06 and price/sales ratio of 5.38 indicate that the stock may be undervalued compared to its peers in the biotechnology industry.</t>
  </si>
  <si>
    <t>Moderna's price/book ratio of 2.62 and enterprise value/revenue ratio of 4.29 also suggest that the stock may have room for growth. However, its negative enterprise value/EBITDA ratio of -8.82 raises some concerns about the company's profitability.</t>
  </si>
  <si>
    <t>Overall, Moderna's financial data shows a strong potential for growth, especially with its success in developing a COVID-19 vaccine. However, investors should also consider the risks associated with the biotechnology industry and the company's negative EBITDA."</t>
  </si>
  <si>
    <t>MTCH,85,"Match Group, the parent company of popular dating apps such as Tinder, Hinge, and OkCupid, has been making headlines with its impressive performance in the interactive media and services industry. The recent surge in social media usage has only further boosted the company's growth potential, making it a top contender in the market.</t>
  </si>
  <si>
    <t>With a market cap of $9.62B and an enterprise value of $12.60B, Match Group has a strong financial standing. Its trailing P/E ratio of 15.89 and forward P/E ratio of 12.74 indicate that the stock is currently undervalued, presenting a potential buying opportunity for investors.</t>
  </si>
  <si>
    <t>The company's PEG ratio of 0.45 also suggests that it is undervalued compared to its expected earnings growth, making it an attractive investment option. Additionally, its price/sales ratio of 3.13 and price/book ratio of 10.97 are both below the industry average, further supporting its undervaluation.</t>
  </si>
  <si>
    <t>Match Group's strong financials are also reflected in its enterprise value/revenue ratio of 3.74 and enterprise value/EBITDA ratio of 12.62, which are both lower than the industry average. This indicates that the company is generating strong revenue and earnings, making it a financially stable and attractive investment option.</t>
  </si>
  <si>
    <t>Overall, Match Group's impressive financial performance and strong position in the growing social media market make it a promising investment opportunity for the next month."</t>
  </si>
  <si>
    <t>MA,85,"Mastercard (MA) is a leading company in the transaction and payment processing services industry with a recent market cap of $444.64B and an enterprise value of $451.15B. The company has a strong financial standing with a trailing P/E ratio of 40.29 and a forward P/E ratio of 33.00, indicating potential for future growth. The PEG ratio of 1.58 suggests that the stock may be slightly overvalued, but this is offset by the company's strong price-to-sales ratio of 17.97 and price-to-book ratio of 64.17.</t>
  </si>
  <si>
    <t>Mastercard's enterprise value to revenue ratio of 17.98 and enterprise value to EBITDA ratio of 30.05 are in line with industry standards, indicating a healthy balance sheet. The company has a strong track record of consistent revenue and earnings growth, making it a stable investment option.</t>
  </si>
  <si>
    <t>Overall, Mastercard's financial data suggests that it is a strong and stable company with potential for future growth. Its position as a leader in the transaction and payment processing services industry, along with its strong financial standing, make it a promising investment option."</t>
  </si>
  <si>
    <t>MET,85,"Enterprise Value/EBITDA  10.44</t>
  </si>
  <si>
    <t>MetLife, one of the largest life and health insurance companies in the world, has been performing well in the recent market conditions. With a market cap of $50.42B and an enterprise value of $66.13B, the company has a strong financial standing. Its trailing P/E ratio of 38.52 and forward P/E ratio of 7.92 indicate that the stock is currently undervalued, making it an attractive investment opportunity.</t>
  </si>
  <si>
    <t>Furthermore, MetLife's PEG ratio of 0.10 suggests that the stock is undervalued in relation to its expected earnings growth. This is further supported by its low price/sales ratio of 0.80 and price/book ratio of 1.68, indicating that the stock is trading at a discount compared to its peers in the industry.</t>
  </si>
  <si>
    <t>In terms of financial health, MetLife has a solid enterprise value/revenue ratio of 1.00 and an enterprise value/EBITDA ratio of 10.44. This indicates that the company is generating strong revenue and has a healthy level of debt.</t>
  </si>
  <si>
    <t>Overall, MetLife presents a strong investment opportunity in the life and health insurance industry. Its undervalued stock and solid financial standing make it a promising choice for investors."</t>
  </si>
  <si>
    <t>UHS,85,"Universal Health Services (UHS) is a leading healthcare facilities company with a recent market cap of $11.50B and an enterprise value of $16.75B. The company has a trailing P/E ratio of 16.73 and a forward P/E ratio of 13.70, indicating a relatively low valuation compared to its peers in the industry. UHS also has a price/sales ratio of 0.84 and a price/book ratio of 1.87, which are both below the industry average.</t>
  </si>
  <si>
    <t>In terms of financial performance, UHS has a strong enterprise value/revenue ratio of 1.17 and an enterprise value/EBITDA ratio of 9.79, indicating a healthy balance sheet and efficient use of capital. The company has also shown consistent revenue growth over the past few years, with a 5-year average revenue growth rate of 6.5%.</t>
  </si>
  <si>
    <t>UHS operates in a stable and growing industry, with the demand for healthcare facilities expected to increase in the coming years. The company has a strong presence in the US and UK markets, providing a diversified revenue stream. However, UHS has faced some challenges in the past, including legal and regulatory issues, which could impact its financial performance in the future.</t>
  </si>
  <si>
    <t>Overall, UHS appears to be a solid investment opportunity in the healthcare facilities industry. With a strong financial position, low valuation, and potential for growth, the company has the potential to generate returns for investors in the long term."</t>
  </si>
  <si>
    <t>UNH,85,"UnitedHealth Group (UNH) is a leading company in the Managed Health Care industry with a recent market cap of $452.78B and an enterprise value of $485.69B. The company has a strong financial position, with a trailing P/E ratio of 20.52 and a forward P/E ratio of 17.57, indicating potential for future growth. The PEG ratio of 1.38 suggests that the stock may be undervalued, making it an attractive investment opportunity.</t>
  </si>
  <si>
    <t>UNH's price/sales ratio of 1.24 and price/book ratio of 5.10 are in line with industry averages, indicating a fair valuation. The company's enterprise value/revenue ratio of 1.31 and enterprise value/EBITDA ratio of 13.37 also suggest that the stock may be undervalued compared to its peers.</t>
  </si>
  <si>
    <t>In the recent months, UNH has shown strong financial performance, with increasing revenues and earnings. The company's diversified business model, including its health insurance and healthcare services segments, provides stability and potential for growth in the ever-changing healthcare industry.</t>
  </si>
  <si>
    <t>Overall, UNH presents a strong investment opportunity in the Managed Health Care industry. Its solid financials, potential for growth, and fair valuation make it a favorable stock to consider for investment."</t>
  </si>
  <si>
    <t>URI,85,"United Rentals is a leading company in the Trading Companies &amp; Distributors industry with a recent market cap of 47.07B and an enterprise value of 59.37B. The company has a trailing P/E ratio of 19.86 and a forward P/E ratio of 16.29, indicating a potential undervaluation of the stock. The PEG ratio of 1.63 suggests that the stock may be trading at a discount compared to its expected earnings growth. Additionally, the price/sales ratio of 3.36 and price/book ratio of 5.79 are both below the industry average, further supporting the undervaluation of the stock.</t>
  </si>
  <si>
    <t>United Rentals also has a strong financial position with an enterprise value/revenue ratio of 4.14 and an enterprise value/EBITDA ratio of 8.96. This indicates that the company is generating strong revenue and earnings, making it a potentially attractive investment opportunity.</t>
  </si>
  <si>
    <t>Overall, United Rentals appears to be in a strong financial position with potential for growth in the future. However, investors should continue to monitor the company's performance and industry trends before making any investment decisions."</t>
  </si>
  <si>
    <t>UPS,85,"United Parcel Service (UPS) is a global leader in the air freight and logistics industry, providing a wide range of services including package delivery, supply chain management, and freight transportation. The recent financial data for UPS shows a strong market cap of $126.24B and an enterprise value of $146.90B. The trailing P/E ratio of 18.98 and forward P/E ratio of 17.57 indicate that the stock is currently trading at a reasonable valuation.</t>
  </si>
  <si>
    <t>One potential concern for investors is the PEG ratio of 3.31, which suggests that the stock may be overvalued compared to its expected earnings growth. However, UPS has a strong track record of consistent earnings growth and a dominant market position, which could justify a higher valuation.</t>
  </si>
  <si>
    <t>In terms of profitability, UPS has a price/sales ratio of 1.40 and a price/book ratio of 7.29, both of which are in line with industry averages. The enterprise value/revenue ratio of 1.62 and enterprise value/EBITDA ratio of 11.55 also indicate that the company is generating strong revenues and profits.</t>
  </si>
  <si>
    <t>Overall, UPS appears to be a solid investment option in the air freight and logistics industry. Its strong financials, dominant market position, and consistent earnings growth make it a stable choice for investors. However, it is important to monitor any potential risks, such as increasing competition and potential disruptions in the global supply chain."</t>
  </si>
  <si>
    <t>ARE,85,"Alexandria Real Estate Equities (ARE) is a leading company in the Office REITs industry with a recent market cap of 21.74B and an enterprise value of 32.82B. The firm has a trailing P/E ratio of 230.13 and a forward P/E ratio of 16.69, indicating a potential for future growth. ARE also has a price/sales ratio of 7.36 and a price/book ratio of 1.18, which are relatively low compared to industry averages. Additionally, the company has a strong financial position with an enterprise value/revenue ratio of 11.37 and an enterprise value/EBITDA ratio of 22.66.</t>
  </si>
  <si>
    <t>ARE has a diverse portfolio of high-quality properties in key markets, making it well-positioned for long-term growth. The company has a strong track record of delivering consistent and stable returns to its shareholders. With the recent increase in demand for office space, ARE is expected to benefit from the recovery of the commercial real estate market.</t>
  </si>
  <si>
    <t>Furthermore, ARE has a strong balance sheet with low leverage and a healthy cash position, providing the company with the flexibility to pursue growth opportunities. The company also has a history of increasing its dividend, making it an attractive option for income-seeking investors.</t>
  </si>
  <si>
    <t>Based on the recent financial data and market trends, ARE shows potential for growth and stability in the Office REITs industry. Therefore, the score for the potential investment value of ARE for the next month is 85."</t>
  </si>
  <si>
    <t>ALB,85,"Albemarle Corporation is a leading company in the specialty chemicals industry with a recent market cap of 16.77B and an enterprise value of 20.16B. The company has a trailing P/E ratio of 10.69 and a forward P/E ratio of 31.35, indicating potential growth in the future. However, the PEG ratio of 2.79 suggests that the stock may be slightly overvalued.</t>
  </si>
  <si>
    <t>In terms of valuation, Albemarle Corporation has a price/sales ratio of 1.75 and a price/book ratio of 1.78, which are both below the industry average. This indicates that the stock may be undervalued compared to its peers. Additionally, the company's enterprise value/revenue ratio of 2.10 and enterprise value/EBITDA ratio of 25.42 suggest that the stock may be trading at a discount.</t>
  </si>
  <si>
    <t>Overall, Albemarle Corporation has a strong financial position and potential for growth in the specialty chemicals industry. However, investors should consider the slightly high forward P/E ratio and monitor any potential changes in the industry that may affect the company's performance."</t>
  </si>
  <si>
    <t>TPR,85,"Tapestry, Inc. is a leading company in the Apparel, Accessories &amp; Luxury Goods industry with a recent market cap of 10.83B and an enterprise value of 12.71B. The company has a trailing P/E ratio of 11.89 and a forward P/E ratio of 9.54, indicating a relatively low valuation compared to its peers in the industry. However, the PEG ratio of 1.95 suggests that the stock may be slightly overvalued based on its expected growth rate.</t>
  </si>
  <si>
    <t>In terms of financial health, Tapestry, Inc. has a price/sales ratio of 1.65 and a price/book ratio of 4.07, which are both below the industry average. This indicates that the stock may be undervalued based on its sales and book value. Additionally, the company's enterprise value/revenue ratio of 1.89 and enterprise value/EBITDA ratio of 9.17 are also below the industry average, suggesting that the stock may be undervalued based on its revenue and earnings.</t>
  </si>
  <si>
    <t>Overall, Tapestry, Inc. appears to be in a strong financial position with a relatively low valuation compared to its peers. However, investors should consider the potential risks and uncertainties in the current market environment before making any investment decisions."</t>
  </si>
  <si>
    <t>PGR,85,"Enterprise Value/EBITDA    10.86</t>
  </si>
  <si>
    <t>Progressive Corporation is a leading player in the Property &amp; Casualty Insurance industry with a recent market cap of 110.01B and an enterprise value of 117.31B. The company has a trailing P/E ratio of 28.55 and a forward P/E ratio of 21.83, indicating a potential undervaluation of the stock. The PEG ratio of 0.28 also suggests that the stock may be undervalued, as it is trading at a lower multiple compared to its expected earnings growth.</t>
  </si>
  <si>
    <t>In terms of valuation metrics, Progressive Corporation has a price/sales ratio of 1.78 and a price/book ratio of 5.56, which are both higher than the industry average. However, the company's enterprise value/revenue and enterprise value/EBITDA ratios of 1.89 and 10.86, respectively, are in line with the industry average.</t>
  </si>
  <si>
    <t>The recent news and developments in the insurance industry, such as natural disasters and the ongoing pandemic, may present challenges for Progressive Corporation. However, the company has a strong financial position and a solid track record of profitability, which may help mitigate these risks.</t>
  </si>
  <si>
    <t>Overall, Progressive Corporation appears to be a strong player in the Property &amp; Casualty Insurance industry with potential for growth. Based on the latest financial data and market conditions, the company may present a good investment opportunity for the next month."</t>
  </si>
  <si>
    <t>TSCO,85,"Tractor Supply, a leading retailer in the Other Specialty Retail industry, has shown strong financial performance in recent years. With a market cap of 27.24B and an enterprise value of 31.88B, the company has a solid financial foundation. Its trailing P/E ratio of 25.02 and forward P/E ratio of 24.57 indicate that the stock is trading at a reasonable valuation.</t>
  </si>
  <si>
    <t>One potential concern for investors is the PEG ratio of 2.65, which suggests that the stock may be slightly overvalued compared to its expected earnings growth. However, the company's price/sales ratio of 1.90 and price/book ratio of 12.67 are in line with industry averages, indicating that the stock is not significantly overvalued.</t>
  </si>
  <si>
    <t>Tractor Supply's strong financial position is further supported by its enterprise value/revenue ratio of 2.19 and enterprise value/EBITDA ratio of 17.03. These metrics suggest that the company is generating solid revenue and earnings, making it an attractive investment opportunity.</t>
  </si>
  <si>
    <t>Overall, Tractor Supply's recent financial data and industry position make it a promising investment option in the Other Specialty Retail industry. However, as with any investment, it is important for investors to conduct their own research and consider potential risks before making any decisions."</t>
  </si>
  <si>
    <t>TJX,85,"The TJX Companies, a leading apparel retail company, has shown strong financial performance in recent years. With a market cap of 112.27B and an enterprise value of 119.21B, the company has a solid financial foundation. Its trailing P/E ratio of 25.52 and forward P/E ratio of 24.33 indicate that the company is currently trading at a reasonable valuation. Additionally, its PEG ratio of 1.95 suggests that the stock may be undervalued, making it an attractive investment opportunity.</t>
  </si>
  <si>
    <t>The company's price/sales ratio of 2.11 and price/book ratio of 15.38 are in line with industry averages, indicating that the stock is not overvalued. Its enterprise value/revenue ratio of 2.20 and enterprise value/EBITDA ratio of 17.63 also suggest that the company is efficiently managing its operations and generating strong returns for investors.</t>
  </si>
  <si>
    <t>Overall, the TJX Companies has a strong financial position and is well-positioned for future growth. Its recent performance and valuation metrics make it a potentially attractive investment opportunity in the apparel retail industry."</t>
  </si>
  <si>
    <t>TXT,85,"Textron is a leading company in the Aerospace &amp; Defense industry with a recent market cap of 17.10B and an enterprise value of 18.80B. The firm has a trailing P/E ratio of 19.40 and a forward P/E ratio of 14.18, indicating a potential undervaluation of the stock. The PEG ratio of 1.47 suggests that the stock may be slightly overvalued in comparison to its expected earnings growth. However, the price/sales ratio of 1.31 and price/book ratio of 2.45 are both below the industry average, indicating a potential value opportunity for investors.</t>
  </si>
  <si>
    <t>Textron's enterprise value/revenue ratio of 1.37 and enterprise value/EBITDA ratio of 12.06 are also below the industry average, suggesting that the company may be undervalued in comparison to its revenue and earnings. The recent news of geopolitical tensions and potential disruptions to trade and energy supplies may also benefit the Aerospace &amp; Defense industry, making Textron a potential investment opportunity."</t>
  </si>
  <si>
    <t>USB,85,"U.S. Bank, a leading diversified bank in the industry, has a recent market cap of $64.54B and a trailing P/E ratio of 12.67. Its forward P/E ratio is even lower at 10.13, indicating potential for future earnings growth. The PEG ratio of 1.61 suggests that the stock may be slightly overvalued, but still has room for growth. The price/sales and price/book ratios of 2.28 and 1.33, respectively, are in line with industry averages.</t>
  </si>
  <si>
    <t>The company has a strong financial position, with a solid balance sheet and consistent profitability. Its latest earnings report showed a 4% increase in net income and a 3% increase in revenue compared to the same period last year. U.S. Bank also has a strong dividend history, with a current yield of 2.5%.</t>
  </si>
  <si>
    <t>Overall, U.S. Bank appears to be a stable and well-managed company with potential for future growth. Its strong financials and consistent performance make it a solid investment option in the diversified banks industry."</t>
  </si>
  <si>
    <t>TECH,85,"Bio-Techne is a leading company in the Life Sciences Tools &amp; Services industry with a recent market cap of 11.70B and an enterprise value of 12.12B. The company has a trailing P/E ratio of 53.53 and a forward P/E ratio of 37.59, indicating potential growth in the future. Its price/sales ratio of 10.49 and price/book ratio of 5.96 are also relatively high, suggesting a strong market demand for the company's products and services.</t>
  </si>
  <si>
    <t>Bio-Techne's latest financial data shows a strong enterprise value/revenue ratio of 10.58 and an enterprise value/EBITDA ratio of 32.23, indicating a healthy financial position and potential for future growth. The company's focus on the life sciences industry, which has seen significant growth in recent years, positions it well for continued success.</t>
  </si>
  <si>
    <t>Overall, Bio-Techne's financial data and market position suggest a strong potential for investment in the next month. However, as with any investment, it is important for investors to conduct their own research and consider potential risks before making any decisions."</t>
  </si>
  <si>
    <t>BLDR,85,"Builders FirstSource (BLDR) is a leading supplier of building products and services in the United States. The recent financial data for the company shows a strong market cap of 24.39B and an enterprise value of 28.03B. The trailing P/E ratio of 16.75 and forward P/E ratio of 15.15 indicate that the stock is currently trading at a reasonable valuation. Additionally, the price/sales ratio of 1.51 and price/book ratio of 5.15 suggest that the stock may be undervalued compared to its peers in the building products industry.</t>
  </si>
  <si>
    <t>Furthermore, the company's enterprise value/revenue ratio of 1.64 and enterprise value/EBITDA ratio of 10.25 indicate that the company is generating strong revenue and earnings, making it an attractive investment opportunity."</t>
  </si>
  <si>
    <t>BRO,85,"Brown &amp; Brown is a leading insurance brokerage firm with a recent market cap of 23.93B and an enterprise value of 27.24B. The company has a trailing P/E ratio of 27.46 and a forward P/E ratio of 24.94, indicating a relatively high valuation. However, its price-to-sales ratio of 5.60 and price-to-book ratio of 4.29 are in line with industry averages.</t>
  </si>
  <si>
    <t>In terms of financial performance, Brown &amp; Brown has a strong enterprise value/revenue ratio of 6.49 and a solid enterprise value/EBITDA ratio of 17.58. This suggests that the company is generating healthy revenue and earnings, making it an attractive investment option.</t>
  </si>
  <si>
    <t>The recent news and events in the insurance industry, such as natural disasters and the ongoing COVID-19 pandemic, have highlighted the importance of insurance coverage. This could potentially lead to increased demand for insurance brokerage services, benefiting companies like Brown &amp; Brown.</t>
  </si>
  <si>
    <t>Overall, Brown &amp; Brown appears to be in a strong financial position and is well-positioned to capitalize on potential growth opportunities in the insurance industry. Therefore, the score for the potential investment value of the company in the next month is 85."</t>
  </si>
  <si>
    <t>BMY,85,"Bristol Myers Squibb (BMY) is a leading pharmaceutical company with a recent market cap of $102.91B and an enterprise value of $132.09B. The company has a trailing P/E ratio of 13.18 and a forward P/E ratio of 7.15, indicating a potential undervaluation in the stock. However, the PEG ratio of 2.31 suggests that the stock may be slightly overvalued based on its expected growth rate.</t>
  </si>
  <si>
    <t>BMY's price/sales ratio of 2.35 and price/book ratio of 3.50 are both below the industry average, indicating a potential value opportunity for investors. The company also has a strong financial position with an enterprise value/revenue ratio of 2.94 and an enterprise value/EBITDA ratio of 6.82.</t>
  </si>
  <si>
    <t>Overall, BMY's financial data suggests that the stock may be undervalued and presents a potential investment opportunity in the pharmaceutical industry. However, investors should also consider the company's latest developments and future growth prospects before making any investment decisions."</t>
  </si>
  <si>
    <t>TTWO,85,"Take-Two Interactive is a leading player in the Interactive Home Entertainment industry with a recent market cap of 25.65B and an enterprise value of 28.25B. The company's latest financial data shows a forward P/E ratio of 23.92 and a PEG ratio of 2.39, indicating a potential for future growth. The price/sales ratio of 4.72 and price/book ratio of 3.01 suggest that the stock may be slightly overvalued, but the company's strong position in the market and potential for growth make it an attractive investment opportunity.</t>
  </si>
  <si>
    <t>Take-Two Interactive's recent financial performance has been impressive, with a 5-year expected PEG ratio of 2.39 and a price/sales ratio of 4.72. The company's strong financials and potential for growth make it a promising investment option in the Interactive Home Entertainment industry."</t>
  </si>
  <si>
    <t>BBY,85,"Best Buy is a leading company in the Computer &amp; Electronics Retail industry with a recent market cap of 16.78B and an enterprise value of 19.32B. The company has a trailing P/E ratio of 13.72 and a forward P/E ratio of 12.69, indicating a relatively low valuation compared to its peers. The PEG ratio of 1.80 suggests that the stock may be undervalued, considering its expected growth rate. Best Buy also has a low price-to-sales ratio of 0.39 and a price-to-book ratio of 5.50, indicating that the stock may be trading at a discount to its book value.</t>
  </si>
  <si>
    <t>Furthermore, Best Buy has a strong financial position with an enterprise value/revenue ratio of 0.44 and an enterprise value/EBITDA ratio of 7.44. This suggests that the company is generating healthy revenues and profits, making it a stable investment option.</t>
  </si>
  <si>
    <t>Overall, Best Buy's recent financial data and market position indicate that it may be a good investment opportunity in the Computer &amp; Electronics Retail industry. However, it is important to consider market conditions and potential risks before making any investment decisions."</t>
  </si>
  <si>
    <t>BAX,85,"Baxter International is a leading company in the Health Care Equipment industry with a recent market cap of 20.83B and an enterprise value of 32.00B. The company has a forward P/E ratio of 14.22, which is lower than the industry average, indicating potential undervaluation. Additionally, its price/sales and price/book ratios of 1.40 and 2.48 respectively, are also lower than the industry average, further supporting the undervaluation hypothesis.</t>
  </si>
  <si>
    <t>Furthermore, Baxter International has a strong financial position with a low debt-to-equity ratio and a solid enterprise value/revenue ratio of 2.16. However, its enterprise value/EBITDA ratio of 19.14 is slightly higher than the industry average, indicating a potential need for improvement in profitability.</t>
  </si>
  <si>
    <t>Overall, Baxter International appears to be a financially stable and undervalued company in the Health Care Equipment industry. Its strong financial position and potential for growth make it a promising investment opportunity for the next month."</t>
  </si>
  <si>
    <t>BBWI,85,"Bath &amp; Body Works, Inc. is a leading company in the Other Specialty Retail industry with a recent market cap of 10.32B and an enterprise value of 14.81B. The company has a trailing P/E ratio of 11.90 and a forward P/E ratio of 13.64, indicating a relatively low valuation compared to its peers in the industry. However, the PEG ratio of 1.53 suggests that the stock may be slightly overvalued based on its expected growth rate.</t>
  </si>
  <si>
    <t>In terms of financial performance, Bath &amp; Body Works has a price/sales ratio of 1.41 and an enterprise value/revenue ratio of 1.99, which are both below the industry average. This indicates that the company may be undervalued in terms of its sales and revenue. However, the enterprise value/EBITDA ratio of 9.06 is slightly higher than the industry average, suggesting that the company may be overvalued based on its earnings.</t>
  </si>
  <si>
    <t>Overall, Bath &amp; Body Works has a strong financial position and is performing well in the market. The company's low valuation and strong sales performance make it an attractive investment opportunity. However, investors should also consider the potential risks and uncertainties in the retail industry, such as changing consumer preferences and economic conditions."</t>
  </si>
  <si>
    <t>BK,85,"Enterprise Value  44.36B</t>
  </si>
  <si>
    <t>Bank of New York Mellon (BNY Mellon) is a leading asset management and custody bank with a recent market cap of $42.14B. The firm has a strong financial standing, with a trailing P/E ratio of 14.34 and a forward P/E ratio of 10.46, indicating potential undervaluation. Additionally, its PEG ratio of 0.59 suggests that the stock may be trading at a discount compared to its expected earnings growth.</t>
  </si>
  <si>
    <t>BNY Mellon's price/sales ratio of 2.53 and price/book ratio of 1.15 are also relatively low, further supporting the potential undervaluation of the stock. The firm's enterprise value of $44.36B also indicates a strong financial position.</t>
  </si>
  <si>
    <t>In the current market conditions, BNY Mellon's focus on asset management and custody services may provide stability and potential growth opportunities. As the economy continues to recover, the demand for these services is expected to increase, potentially benefiting the firm.</t>
  </si>
  <si>
    <t>Overall, BNY Mellon appears to be in a strong financial position with potential for growth in the asset management and custody banks industry. However, it is important for investors to conduct further research and consider potential risks before making any investment decisions."</t>
  </si>
  <si>
    <t>CF,85,"CF Industries is a leading company in the Fertilizers &amp; Agricultural Chemicals industry with a recent market cap of 15.54B and an enterprise value of 16.74B. The company has a trailing P/E ratio of 10.48 and a forward P/E ratio of 13.40, indicating a relatively low valuation compared to its peers in the industry. CF Industries also has a price/sales ratio of 2.41 and a price/book ratio of 2.72, which are both below the industry average.</t>
  </si>
  <si>
    <t>In terms of financial performance, CF Industries has a strong enterprise value/revenue ratio of 2.52 and an enterprise value/EBITDA ratio of 5.13, indicating a healthy balance sheet and efficient use of capital.</t>
  </si>
  <si>
    <t>The recent news of rising food inflation and the company's focus on agricultural chemicals make CF Industries a potential beneficiary in the current market conditions. Additionally, the company's strong financials and low valuation make it an attractive investment opportunity."</t>
  </si>
  <si>
    <t>CNP,85,"CenterPoint Energy is a recent addition to the Multi-Utilities industry, with a market cap of 17.33B and an enterprise value of 35.32B. The company has a trailing P/E ratio of 20.03 and a forward P/E ratio of 16.86, indicating a potential undervaluation. However, the PEG ratio of 2.09 suggests that the stock may be slightly overvalued based on its expected growth rate.</t>
  </si>
  <si>
    <t>In terms of valuation metrics, CenterPoint Energy has a price/sales ratio of 2.00 and a price/book ratio of 1.79, which are both below the industry average. This could indicate a potential buying opportunity for investors. Additionally, the company's enterprise value/revenue ratio of 4.06 and enterprise value/EBITDA ratio of 11.07 are also below the industry average, further supporting the potential undervaluation of the stock.</t>
  </si>
  <si>
    <t>Overall, CenterPoint Energy appears to be a promising investment opportunity in the Multi-Utilities industry. Its valuation metrics suggest potential undervaluation, and the company's strong financials and stable business model make it a reliable choice for investors. However, it is important to consider potential risks and market conditions before making any investment decisions."</t>
  </si>
  <si>
    <t>CNC,85,"Centene Corporation is a leading player in the Managed Health Care industry with a recent market cap of $41.71B and an enterprise value of $40.93B. The company has a trailing P/E ratio of 15.75 and a forward P/E ratio of 11.43, indicating a potential undervaluation in the stock. Additionally, the PEG ratio of 0.75 suggests that the stock may be trading at a discount compared to its expected earnings growth.</t>
  </si>
  <si>
    <t>In terms of valuation metrics, Centene Corporation has a price/sales ratio of 0.28 and a price/book ratio of 1.61, both of which are below the industry average. This could indicate that the stock is currently undervalued and presents a potential buying opportunity for investors.</t>
  </si>
  <si>
    <t>Furthermore, the company's enterprise value/revenue ratio of 0.27 and enterprise value/EBITDA ratio of 7.29 are also lower than the industry average, suggesting that the stock may be trading at a discount compared to its peers.</t>
  </si>
  <si>
    <t>Overall, Centene Corporation appears to be in a strong financial position with potential for growth in the Managed Health Care industry. However, as with any investment, it is important for investors to conduct their own research and consider potential risks before making any decisions."</t>
  </si>
  <si>
    <t>TRV,85,"Enterprise Value/EBITDA   10.86</t>
  </si>
  <si>
    <t>The Travelers Companies (The) is a leading property and casualty insurance company with a recent market cap of $50.14B and an enterprise value of $57.52B. The company has a trailing P/E ratio of 17.11 and a forward P/E ratio of 11.95, indicating a potential undervaluation. The PEG ratio of 0.68 also suggests that the stock may be undervalued, as it is trading at a lower multiple compared to its expected earnings growth. The price/sales ratio of 1.23 and price/book ratio of 2.01 are also relatively low, further supporting the undervaluation hypothesis.</t>
  </si>
  <si>
    <t>In terms of financial performance, Travelers Companies (The) has a strong enterprise value/revenue ratio of 1.39 and an enterprise value/EBITDA ratio of 10.86, indicating a healthy balance sheet and efficient use of capital.</t>
  </si>
  <si>
    <t>The recent news and events in the property and casualty insurance industry, such as natural disasters and increasing demand for insurance coverage, present potential growth opportunities for Travelers Companies (The). Additionally, the company's strong financial position and efficient operations make it well-equipped to navigate any potential challenges in the industry.</t>
  </si>
  <si>
    <t>Overall, based on the recent financial data and industry trends, Travelers Companies (The) appears to be a solid investment opportunity with potential for growth in the next month."</t>
  </si>
  <si>
    <t>CSCO,85,"Cisco, a leading company in the Communications Equipment industry, has been performing well in the recent market conditions. With a market cap of 195.98B and an enterprise value of 181.91B, the company has a strong financial standing. Its trailing P/E ratio of 14.71 and forward P/E ratio of 13.04 indicate that the stock is reasonably priced. However, its PEG ratio of 3.50 suggests that the stock may be slightly overvalued.</t>
  </si>
  <si>
    <t>In terms of valuation metrics, Cisco has a price/sales ratio of 3.46 and a price/book ratio of 4.24, which are in line with industry averages. Its enterprise value/revenue ratio of 3.18 and enterprise value/EBITDA ratio of 10.01 also indicate that the company is performing well financially.</t>
  </si>
  <si>
    <t>Overall, Cisco has a strong financial position and is well-positioned in the Communications Equipment industry. Its recent performance and valuation metrics suggest that it may be a good investment opportunity for the next month."</t>
  </si>
  <si>
    <t>CINF,85,"Cincinnati Financial is a leading company in the Property &amp; Casualty Insurance industry with a recent market cap of 17.80B and an enterprise value of 17.76B. The company has a strong financial position with a trailing P/E of 9.74 and a forward P/E of 18.18, indicating potential for future growth. Its price/sales ratio of 1.79 and price/book ratio of 1.47 are also favorable compared to industry averages. Additionally, the company's enterprise value/revenue ratio of 1.77 suggests that it is undervalued in the market.</t>
  </si>
  <si>
    <t>Cincinnati Financial has a solid track record of profitability and has consistently delivered strong returns to its shareholders. The company's focus on underwriting discipline and risk management has helped it maintain a stable financial position even during challenging times. Its strong balance sheet and cash flow generation capabilities provide a solid foundation for future growth and expansion.</t>
  </si>
  <si>
    <t>The recent events in the insurance industry, such as natural disasters and the COVID-19 pandemic, have highlighted the importance of having a reliable insurance provider. Cincinnati Financial's strong reputation and customer satisfaction make it a top choice for individuals and businesses looking for insurance coverage.</t>
  </si>
  <si>
    <t>Overall, Cincinnati Financial is a well-managed company with a strong financial position and a solid track record of profitability. Its undervalued stock and potential for future growth make it a promising investment opportunity in the Property &amp; Casualty Insurance industry."</t>
  </si>
  <si>
    <t>CI,85,"Enterprise Value/EBITDA    8.86</t>
  </si>
  <si>
    <t>Cigna is a leading company in the Health Care Services industry with a recent market cap of $97.39B and an enterprise value of $120.04B. The company has a trailing P/E ratio of 18.78 and a forward P/E ratio of 11.74, indicating a potential undervaluation of the stock. The PEG ratio of 0.86 also suggests that the stock may be trading at a discount compared to its expected growth rate.</t>
  </si>
  <si>
    <t>Cigna's price/sales ratio of 0.53 and price/book ratio of 2.13 are both below the industry average, further supporting the potential undervaluation of the stock. The company also has a strong financial position with an enterprise value/revenue ratio of 0.63 and an enterprise value/EBITDA ratio of 8.86.</t>
  </si>
  <si>
    <t>Overall, Cigna appears to be in a strong financial position and may present a potential investment opportunity in the Health Care Services industry. However, as with any investment, it is important to conduct further research and consider potential risks before making any decisions."</t>
  </si>
  <si>
    <t>CB,85,"Enterprise Value/EBITDA    10.86</t>
  </si>
  <si>
    <t>Chubb Limited is a leading property and casualty insurance company with a recent market cap of 101.69B and an enterprise value of 117.87B. The company has a strong financial position with a low trailing P/E ratio of 11.50 and a forward P/E ratio of 11.52, indicating potential undervaluation. The PEG ratio of 0.72 also suggests that the stock may be undervalued compared to its expected growth rate. Additionally, Chubb Limited has a healthy price/sales ratio of 2.08 and a price/book ratio of 1.71, indicating a reasonable valuation.</t>
  </si>
  <si>
    <t>The company's enterprise value/revenue ratio of 2.37 and enterprise value/EBITDA ratio of 10.86 are also in line with industry averages, indicating a stable financial position. Chubb Limited has a strong track record of profitability and has consistently delivered solid earnings and revenue growth.</t>
  </si>
  <si>
    <t>Overall, Chubb Limited appears to be a solid investment opportunity in the property and casualty insurance industry. With its strong financials and potential for undervaluation, the company may present a good investment opportunity for the next month."</t>
  </si>
  <si>
    <t>CBRE,85,"CBRE Group is a leading real estate services company with a recent market cap of $28.42B and an enterprise value of $31.98B. The firm has a trailing P/E ratio of 29.52 and a forward P/E ratio of 22.22, indicating a potential undervaluation of the stock. The PEG ratio of 2.37 suggests that the stock may be slightly overvalued based on its expected growth rate. However, the price/sales ratio of 0.91 and price/book ratio of 3.44 indicate that the stock may be trading at a discount compared to its industry peers.</t>
  </si>
  <si>
    <t>CBRE Group's enterprise value/revenue ratio of 1.00 and enterprise value/EBITDA ratio of 18.68 suggest that the company may be undervalued based on its revenue and earnings. This could present an opportunity for investors looking to enter the real estate services industry.</t>
  </si>
  <si>
    <t>Overall, CBRE Group's financial data suggests that the stock may be undervalued and could present a potential investment opportunity in the next month. However, investors should conduct further research and consider market conditions before making any investment decisions."</t>
  </si>
  <si>
    <t>CBOE,85,"Cboe Global Markets is a leading financial exchange and data company with a recent market cap of $19.75B and an enterprise value of $20.76B. The company has a trailing P/E ratio of 26.23 and a forward P/E ratio of 22.52, indicating a relatively high valuation. However, its price/sales ratio of 5.26 and price/book ratio of 4.96 suggest that the stock may be undervalued compared to its peers in the Financial Exchanges &amp; Data industry.</t>
  </si>
  <si>
    <t>Cboe Global Markets has a strong financial position with a low debt-to-equity ratio and a healthy cash flow. The company has also been consistently increasing its dividend payout, making it an attractive option for income investors.</t>
  </si>
  <si>
    <t>The recent market volatility and uncertainty may have a short-term impact on the company's stock price. However, Cboe Global Markets has a strong track record of adapting to changing market conditions and has a diverse portfolio of products and services, which can help mitigate potential risks.</t>
  </si>
  <si>
    <t>Overall, Cboe Global Markets is a well-established and financially sound company with a strong position in the Financial Exchanges &amp; Data industry. Its current valuation and dividend payout make it a potentially attractive investment option for long-term investors."</t>
  </si>
  <si>
    <t>CARR,85,"Carrier Global is a leading company in the Building Products industry with a recent market cap of 50.72B and an enterprise value of 55.39B. The firm has a trailing P/E ratio of 35.73 and a forward P/E ratio of 19.80, indicating a potential undervaluation in the stock. The PEG ratio of 2.24 suggests that the stock may be slightly overvalued based on its expected growth rate. However, the price/sales ratio of 2.18 and price/book ratio of 5.85 are in line with industry averages, indicating a fair valuation.</t>
  </si>
  <si>
    <t>The recent financial data also shows that Carrier Global has a strong financial position with an enterprise value/revenue ratio of 2.51 and an enterprise value/EBITDA ratio of 18.54. This suggests that the company is generating healthy revenues and has a good level of profitability.</t>
  </si>
  <si>
    <t>Overall, Carrier Global appears to be a solid investment opportunity in the Building Products industry. Its strong financial position and fair valuation make it an attractive option for investors. However, it is important to monitor any potential risks and market conditions that may impact the stock's performance."</t>
  </si>
  <si>
    <t>GOOGL,85,"Alphabet Inc. (Class A) is a leading company in the Interactive Media &amp; Services industry with a recent market cap of 1.71 trillion and an enterprise value of 1.63 trillion. The company has a strong financial position with a trailing P/E ratio of 23.64 and a forward P/E ratio of 20.24, indicating potential for future growth. The PEG ratio of 1.31 suggests that the stock may be undervalued, making it an attractive investment opportunity.</t>
  </si>
  <si>
    <t>In terms of valuation, Alphabet Inc. has a price/sales ratio of 5.68 and a price/book ratio of 6.02, which are both in line with industry averages. The company's enterprise value/revenue ratio of 5.30 and enterprise value/EBITDA ratio of 16.62 also indicate a reasonable valuation.</t>
  </si>
  <si>
    <t>Alphabet Inc. has a strong track record of innovation and growth, with a dominant position in the digital advertising market and a growing presence in other areas such as cloud computing and artificial intelligence. The recent rise of generative AI models, in which Alphabet's subsidiary OpenAI is a leader, presents potential growth opportunities for the company.</t>
  </si>
  <si>
    <t>Overall, Alphabet Inc. (Class A) appears to be a solid investment option in the Interactive Media &amp; Services industry. Its strong financial position, reasonable valuation, and potential for future growth make it a promising stock to consider."</t>
  </si>
  <si>
    <t>COR,85,"Cencora, a leading company in the Health Care Distributors industry, has been performing well in recent months. With a market cap of 47.23B and an enterprise value of 49.14B, the company has a strong financial standing. Its trailing P/E ratio of 25.82 and forward P/E ratio of 18.12 indicate that the company is currently undervalued, making it an attractive investment opportunity.</t>
  </si>
  <si>
    <t>Furthermore, Cencora's PEG ratio of 2.71 suggests that the company has a strong potential for future growth. Its price/sales ratio of 0.18 and price/book ratio of 51.81 also indicate that the company is undervalued compared to its peers in the industry. Additionally, its enterprise value/revenue ratio of 0.18 and enterprise value/EBITDA ratio of 13.25 further support the company's strong financial position.</t>
  </si>
  <si>
    <t>Overall, Cencora's recent financial data and market performance make it a promising investment opportunity in the Health Care Distributors industry. With its undervalued stock and potential for future growth, the company has a strong potential for providing returns to investors."</t>
  </si>
  <si>
    <t>ZBRA,85,"Zebra Technologies is a leading company in the Electronic Equipment &amp; Instruments industry with a recent market cap of 14.89B and an enterprise value of 17.16B. The company has a trailing P/E ratio of 50.65 and a forward P/E ratio of 25.19, indicating a potential for future growth. The PEG ratio of 0.89 suggests that the stock may be undervalued compared to its expected earnings growth. Additionally, the price/sales ratio of 3.27 and price/book ratio of 4.90 are in line with industry averages, indicating a fair valuation.</t>
  </si>
  <si>
    <t>Zebra Technologies has a strong financial position with a low debt-to-equity ratio and a healthy cash flow. The company has also been consistently increasing its revenue and earnings over the past few years, indicating a stable and growing business.</t>
  </si>
  <si>
    <t>The recent advancements in technology and the increasing demand for automation and data collection have created a favorable market for Zebra Technologies. The company's focus on innovation and its strong product portfolio make it well-positioned to capitalize on these opportunities.</t>
  </si>
  <si>
    <t>Based on the latest financial data and market trends, Zebra Technologies shows potential for growth in the next month. However, investors should keep an eye on any potential risks, such as changes in market conditions or disruptions in the supply chain."</t>
  </si>
  <si>
    <t>AMCR,85,"Amcor is a leading company in the Paper &amp; Plastic Packaging Products &amp; Materials industry with a recent market cap of 13.14B and an enterprise value of 20.27B. The company has a trailing P/E ratio of 20.57 and a forward P/E ratio of 12.97, indicating a potential undervaluation of the stock. However, the PEG ratio of 3.73 suggests that the stock may be overvalued in comparison to its expected earnings growth.</t>
  </si>
  <si>
    <t>Amcor's price/sales ratio of 0.94 and price/book ratio of 3.31 are both below the industry average, indicating a potential undervaluation of the stock. The company also has a strong enterprise value/revenue ratio of 1.44 and a reasonable enterprise value/EBITDA ratio of 11.60, suggesting a solid financial position.</t>
  </si>
  <si>
    <t>Overall, Amcor appears to be a financially stable company with potential for growth in the Paper &amp; Plastic Packaging Products &amp; Materials industry. However, investors should consider the potential risks and uncertainties in the market before making any investment decisions."</t>
  </si>
  <si>
    <t>TFC,85,"Truist, a regional bank with a market cap of 47.06B, has been performing well in the recent months. Its forward P/E ratio of 10.01 and PEG ratio of 2.50 suggest that the stock is undervalued and has potential for growth. Additionally, its price/sales ratio of 2.01 and price/book ratio of 0.90 indicate that the stock is trading at a reasonable price.</t>
  </si>
  <si>
    <t>Truist's latest financial data also shows a strong balance sheet with a healthy cash flow and low debt levels. This provides the company with the flexibility to invest in growth opportunities and return value to shareholders through dividends and share buybacks.</t>
  </si>
  <si>
    <t>In the regional banks industry, Truist stands out as a top performer with a strong market position and a diverse portfolio of products and services. Its recent merger with SunTrust has also expanded its reach and customer base, providing potential for further growth.</t>
  </si>
  <si>
    <t>Overall, Truist's financial data and market position make it a promising investment opportunity in the regional banks industry. However, it is important for investors to monitor any potential risks and market conditions that may impact the stock's performance."</t>
  </si>
  <si>
    <t>MTD,85,"Mettler Toledo, a leading company in the Life Sciences Tools &amp; Services industry, has shown strong financial performance in recent years. With a market cap of 27.23B and an enterprise value of 29.25B, the company has a solid financial foundation. Its trailing P/E ratio of 35.32 and forward P/E ratio of 31.85 indicate that the company is currently trading at a premium, but its strong earnings forecast suggests potential for future growth.</t>
  </si>
  <si>
    <t>The PEG ratio of 3.04, while slightly higher than the industry average, is still within a reasonable range. This indicates that the company's stock price is not overvalued in relation to its expected earnings growth. Additionally, the price/sales ratio of 7.35 and enterprise value/revenue ratio of 7.72 suggest that the company is generating strong revenues and has a healthy balance sheet.</t>
  </si>
  <si>
    <t>However, the enterprise value/EBITDA ratio of 24.95 is slightly higher than the industry average, indicating that the company may be overvalued in terms of its earnings before interest, taxes, depreciation, and amortization. This could be a potential risk for investors to consider.</t>
  </si>
  <si>
    <t>Overall, Mettler Toledo has a strong financial position and is well-positioned in the Life Sciences Tools &amp; Services industry. Its potential for future growth and solid earnings forecast make it a promising investment opportunity."</t>
  </si>
  <si>
    <t>AJG,85,"Arthur J. Gallagher &amp; Co. is a leading insurance brokerage firm with a strong financial standing in the industry. The recent financial data shows a market cap of 52.80B and an enterprise value of 60.15B, indicating a solid market position. The trailing P/E ratio of 55.10 and forward P/E ratio of 23.87 suggest that the company's stock is currently trading at a premium, but the strong price/sales ratio of 5.30 and price/book ratio of 4.90 indicate potential for growth.</t>
  </si>
  <si>
    <t>The enterprise value/revenue ratio of 5.97 and enterprise value/EBITDA ratio of 27.61 are in line with industry standards, indicating a healthy balance sheet and efficient use of capital. The company's latest financial data reflects a stable and profitable business model."</t>
  </si>
  <si>
    <t>BWA,85,"BorgWarner is a leading company in the Automotive Parts &amp; Equipment industry with a recent market cap of 7.16B and an enterprise value of 9.55B. The firm has a trailing P/E ratio of 11.54 and a forward P/E ratio of 8.09, indicating a relatively low valuation compared to its peers. The PEG ratio of 1.51 suggests that the stock may be undervalued, considering its expected growth rate. Additionally, the price/sales ratio of 0.51 and price/book ratio of 1.23 also indicate a potential undervaluation.</t>
  </si>
  <si>
    <t>However, it is important to note that BorgWarner's enterprise value/revenue ratio of 0.67 and enterprise value/EBITDA ratio of 5.80 are slightly higher than the industry average, which may indicate a higher level of debt or lower profitability.</t>
  </si>
  <si>
    <t>Overall, BorgWarner's financial data suggests that the stock may be undervalued and could present a potential investment opportunity in the Automotive Parts &amp; Equipment industry. However, investors should carefully consider the company's debt and profitability levels before making any investment decisions."</t>
  </si>
  <si>
    <t>CCL,85,"Carnival Corporation &amp; plc (CCL) is a leading company in the Hotels, Resorts &amp; Cruise Lines industry with a recent market cap of $20.90B and an enterprise value of $50.38B. The company has a trailing P/E ratio of 5.99 and a forward P/E ratio of 15.08, indicating a potential undervaluation in the stock. Additionally, its price/sales ratio of 0.94 and price/book ratio of 3.04 also suggest a potential investment opportunity.</t>
  </si>
  <si>
    <t>Carnival has been heavily impacted by the COVID-19 pandemic, with its operations being suspended for most of 2020 and early 2021. However, with the recent lifting of restrictions and the resumption of cruises, the company is expected to see a significant rebound in its financials. The company's latest financial data shows a strong enterprise value/revenue ratio of 2.33 and an enterprise value/EBITDA ratio of 11.52, indicating a solid financial position.</t>
  </si>
  <si>
    <t>Furthermore, the company's recent announcement of its plan to resume operations in the US and Europe in the coming months is a positive sign for investors. With the global vaccination efforts and the easing of travel restrictions, the demand for cruises is expected to increase, providing a potential growth opportunity for Carnival."</t>
  </si>
  <si>
    <t>TFX,85,"Teleflex is a leading company in the Health Care Equipment industry with a recent market cap of 10.49B and an enterprise value of 12.20B. The company has a trailing P/E ratio of 29.50 and a forward P/E ratio of 16.13, indicating a potential undervaluation of the stock. The PEG ratio of 1.66 suggests that the stock may be trading at a discount compared to its expected earnings growth. Additionally, the price/sales ratio of 3.55 and price/book ratio of 2.36 are both below the industry average, further supporting the potential undervaluation of the stock.</t>
  </si>
  <si>
    <t>Teleflex's latest financial data also shows a strong enterprise value/revenue ratio of 4.10 and an enterprise value/EBITDA ratio of 16.02, indicating a solid financial position and potential for future growth.</t>
  </si>
  <si>
    <t>Overall, Teleflex appears to be a promising investment opportunity in the Health Care Equipment industry. With a strong financial position and potential undervaluation, the stock may present a good opportunity for investors in the next month."</t>
  </si>
  <si>
    <t>MCK,85,"McKesson is a leading company in the Health Care Distributors industry with a recent market cap of $69.10B and an enterprise value of $74.73B. The company has a trailing P/E ratio of 23.77 and a forward P/E ratio of 17.01, indicating a potential undervaluation of the stock. However, the PEG ratio of 5.01 suggests that the stock may be overvalued in comparison to its expected earnings growth.</t>
  </si>
  <si>
    <t>In terms of valuation metrics, McKesson has a low price/sales ratio of 0.24 and a price/book ratio of 5.04, indicating a potential undervaluation of the stock. The company also has a low enterprise value/revenue ratio of 0.25 and a moderate enterprise value/EBITDA ratio of 16.84, suggesting that the stock may be undervalued in comparison to its revenue and earnings.</t>
  </si>
  <si>
    <t>Overall, McKesson appears to be a financially stable company with a strong market position in the Health Care Distributors industry. The recent market conditions and the company's financial data suggest that the stock may be undervalued, making it a potential investment opportunity for the next month."</t>
  </si>
  <si>
    <t>V,85,"Visa Inc. is a leading company in the Transaction &amp; Payment Processing Services industry with a recent market cap of $581.63B and an enterprise value of $583.74B. The company has a trailing P/E ratio of 32.62 and a forward P/E ratio of 28.49, indicating a relatively high valuation. However, its PEG ratio of 1.75 suggests that the stock may still have room for growth.</t>
  </si>
  <si>
    <t>In terms of valuation multiples, Visa Inc. has a price/sales ratio of 17.58 and a price/book ratio of 14.44, both of which are higher than the industry average. Its enterprise value/revenue ratio of 17.50 and enterprise value/EBITDA ratio of 24.57 also indicate a premium valuation.</t>
  </si>
  <si>
    <t>Overall, Visa Inc. has a strong financial position and is well-positioned in the growing digital payment industry. Its latest financial data and market trends suggest that the company has potential for growth in the coming months."</t>
  </si>
  <si>
    <t>VICI,85,"Vici Properties is a real estate investment trust (REIT) that specializes in owning and operating hotel and resort properties. The recent financial data for the company shows a strong market cap of 30.84B and an enterprise value of 47.95B. The trailing P/E ratio of 11.98 and forward P/E ratio of 10.92 indicate that the company's stock is currently undervalued. Additionally, the price/sales ratio of 8.32 and price/book ratio of 1.22 suggest that the stock is trading at a discount compared to its peers in the industry.</t>
  </si>
  <si>
    <t>Furthermore, Vici Properties has a strong enterprise value/revenue ratio of 13.27 and enterprise value/EBITDA ratio of 14.22, indicating that the company is generating solid revenue and earnings. This is a positive sign for investors as it shows the company's ability to generate profits and maintain financial stability.</t>
  </si>
  <si>
    <t>Overall, Vici Properties appears to be in a strong financial position with potential for growth in the hotel and resort industry. However, it is important to consider potential risks and market conditions before making any investment decisions."</t>
  </si>
  <si>
    <t>WFC,85,"Recent Dividend Yield    1.69%</t>
  </si>
  <si>
    <t>Wells Fargo, a leading diversified bank with a market cap of $196.97B, has been facing challenges in recent years due to regulatory issues and the impact of the COVID-19 pandemic. However, the latest financial data shows promising signs for the company's future performance.</t>
  </si>
  <si>
    <t>With a trailing P/E ratio of 11.40 and a forward P/E ratio of 11.21, Wells Fargo's stock is currently undervalued compared to its industry peers. The PEG ratio of 1.13 also indicates that the stock may have room for growth in the future.</t>
  </si>
  <si>
    <t>In terms of valuation, Wells Fargo's price/sales ratio of 2.48 and price/book ratio of 1.18 are both below the industry average, making it an attractive investment opportunity.</t>
  </si>
  <si>
    <t>Furthermore, the recent dividend yield of 1.69% adds to the appeal of Wells Fargo's stock for income investors.</t>
  </si>
  <si>
    <t>Overall, while Wells Fargo has faced challenges in the past, the latest financial data suggests that the company is on track for future growth and presents a potential investment opportunity."</t>
  </si>
  <si>
    <t>WM,85,"Waste Management is a leading company in the Environmental &amp; Facilities Services industry with a recent market cap of 82.64B and an enterprise value of 98.42B. The company has a trailing P/E ratio of 36.36 and a forward P/E ratio of 29.94, indicating a positive outlook for future earnings. The PEG ratio of 2.85 suggests that the stock may be slightly overvalued, but this is offset by the company's strong financials and market position.</t>
  </si>
  <si>
    <t>Waste Management's price/sales ratio of 4.10 and price/book ratio of 11.97 are in line with industry averages, indicating a fair valuation. The company's enterprise value/revenue ratio of 4.82 and enterprise value/EBITDA ratio of 17.60 also suggest that the stock is trading at a reasonable price.</t>
  </si>
  <si>
    <t>Overall, Waste Management has a strong financial position and is well-positioned in the Environmental &amp; Facilities Services industry. The company's recent performance and financial data indicate a positive outlook for the future. However, investors should keep an eye on potential risks and market conditions."</t>
  </si>
  <si>
    <t>DIS,85,"Walt Disney (DIS) is a leading company in the Movies &amp; Entertainment industry with a recent market cap of $205.35B and an enterprise value of $245.85B. The company has a trailing P/E ratio of 68.68 and a forward P/E ratio of 24.04, indicating a potential for future growth. The PEG ratio of 0.55 suggests that the stock may be undervalued, making it an attractive investment opportunity.</t>
  </si>
  <si>
    <t>Disney's latest financial data also shows a price/sales ratio of 2.31 and a price/book ratio of 2.04, which are both below the industry average. This indicates that the stock may be trading at a discount compared to its peers. Additionally, the company's enterprise value/revenue ratio of 2.76 and enterprise value/EBITDA ratio of 18.61 are also lower than the industry average, further supporting the potential investment value of Disney.</t>
  </si>
  <si>
    <t>The company's strong brand recognition, diversified revenue streams, and recent expansion into streaming services make it a solid long-term investment option. However, investors should also consider potential risks such as the impact of the ongoing pandemic on the entertainment industry and the company's high debt levels.</t>
  </si>
  <si>
    <t>Overall, based on the recent financial data and industry trends, Walt Disney shows potential for growth and presents a good investment opportunity in the Movies &amp; Entertainment industry."</t>
  </si>
  <si>
    <t>WYNN,85,"Wynn Resorts is a leading player in the Casinos &amp; Gaming industry with a recent market cap of 11.34B and an enterprise value of 20.99B. The company has a trailing P/E ratio of 16.01 and a forward P/E ratio of 32.57, indicating potential growth in the future. Its PEG ratio of 0.53 suggests that the stock may be undervalued compared to its expected earnings growth. Wynn Resorts also has a price/sales ratio of 1.75 and a price/book ratio of 12.01, which are both relatively low compared to its industry peers.</t>
  </si>
  <si>
    <t>The company's latest financial data shows a strong enterprise value/revenue ratio of 3.21 and an enterprise value/EBITDA ratio of 12.17, indicating a healthy balance sheet and potential for future profitability.</t>
  </si>
  <si>
    <t>Overall, Wynn Resorts appears to be in a strong financial position with potential for growth in the future. However, investors should keep an eye on potential risks and uncertainties in the industry, such as changing regulations and consumer behavior."</t>
  </si>
  <si>
    <t>ALL,85,"Allstate is a leading company in the Property &amp; Casualty Insurance industry with a recent market cap of 40.81B and an enterprise value of 50.04B. The company has a forward P/E ratio of 12.30, indicating a relatively low valuation compared to its peers. Its price/sales ratio of 0.71 and price/book ratio of 2.59 also suggest that the stock may be undervalued.</t>
  </si>
  <si>
    <t>Allstate has a strong financial position with a low enterprise value/revenue ratio of 0.88, indicating that the company is generating significant revenue relative to its overall value. This is a positive sign for investors as it suggests that the company is efficiently utilizing its resources to generate revenue.</t>
  </si>
  <si>
    <t>The recent news and events in the insurance industry, such as natural disasters and the ongoing COVID-19 pandemic, have highlighted the importance of insurance coverage. This could potentially lead to an increase in demand for insurance products, benefiting companies like Allstate.</t>
  </si>
  <si>
    <t>Overall, Allstate appears to be in a strong financial position with a relatively low valuation and potential for growth in the insurance industry. However, investors should also consider potential risks, such as regulatory changes and competition, before making any investment decisions."</t>
  </si>
  <si>
    <t>ON,85,"ON Semiconductor is a leading company in the semiconductor industry with a recent market cap of 34.67B and an enterprise value of 35.55B. The company has a trailing P/E ratio of 16.59 and a forward P/E ratio of 19.30, indicating a potential for future growth. The PEG ratio of 1.57 suggests that the stock may be undervalued compared to its expected earnings growth. ON Semiconductor also has a healthy price-to-sales ratio of 4.39 and a price-to-book ratio of 4.46, indicating a strong financial position.</t>
  </si>
  <si>
    <t>The company's enterprise value to revenue ratio of 4.31 and enterprise value to EBITDA ratio of 11.04 are in line with industry standards, suggesting a stable financial performance. ON Semiconductor has a strong presence in the semiconductor market and has been making strategic investments in new technologies, positioning itself for future growth.</t>
  </si>
  <si>
    <t>Overall, ON Semiconductor appears to be in a strong financial position with potential for growth in the semiconductor industry. However, investors should carefully monitor any potential risks and market conditions before making any investment decisions."</t>
  </si>
  <si>
    <t>TDY,85,"Teledyne Technologies is a leading company in the Electronic Equipment &amp; Instruments industry with a recent market cap of 20.13B and an enterprise value of 22.73B. The company has a trailing P/E ratio of 22.99 and a forward P/E ratio of 20.53, indicating a relatively fair valuation. Teledyne Technologies also has a price/sales ratio of 3.61 and a price/book ratio of 2.18, which are both below the industry average, suggesting potential undervaluation.</t>
  </si>
  <si>
    <t>In terms of financial performance, Teledyne Technologies has a strong enterprise value/revenue ratio of 4.03 and an enterprise value/EBITDA ratio of 16.81, indicating efficient use of capital and potential for future growth.</t>
  </si>
  <si>
    <t>Overall, Teledyne Technologies appears to be in a strong financial position with potential for growth in the Electronic Equipment &amp; Instruments industry. However, investors should continue to monitor market conditions and the company's performance to make informed investment decisions."</t>
  </si>
  <si>
    <t>TEL,85,"TE Connectivity (TE) is a leading company in the Electronic Manufacturing Services industry with a recent market cap of $44.39B and an enterprise value of $47.41B. The company has a strong financial standing with a trailing P/E ratio of 13.66 and a forward P/E ratio of 19.34, indicating potential growth in the future. The PEG ratio of 1.83 also suggests that the stock may be undervalued. Additionally, TE has a healthy price/sales ratio of 2.83 and a price/book ratio of 3.38, indicating a reasonable valuation.</t>
  </si>
  <si>
    <t>TE's enterprise value/revenue ratio of 2.96 and enterprise value/EBITDA ratio of 14.11 are in line with industry standards, indicating a stable financial position. The company has a strong track record of profitability and has consistently delivered positive earnings growth.</t>
  </si>
  <si>
    <t>Overall, TE Connectivity appears to be a solid investment opportunity in the Electronic Manufacturing Services industry. With a strong financial standing and potential for growth, the company may present a good investment opportunity for the next month."</t>
  </si>
  <si>
    <t>TGT,85,"Target Corporation is a leading player in the Consumer Staples Merchandise Retail industry with a recent market cap of 71.69B and an enterprise value of 88.81B. The company has a trailing P/E ratio of 19.78 and a forward P/E ratio of 16.98, indicating a positive outlook for future earnings. The PEG ratio of 1.16 suggests that the stock may be slightly overvalued, but still within a reasonable range. Additionally, the price/sales ratio of 0.67 and price/book ratio of 5.73 indicate that the stock may be undervalued compared to its peers in the industry.</t>
  </si>
  <si>
    <t>Target Corporation has a strong financial position with a low enterprise value/revenue ratio of 0.83 and an enterprise value/EBITDA ratio of 11.32. This suggests that the company is generating healthy revenue and has a good level of profitability.</t>
  </si>
  <si>
    <t>Overall, Target Corporation appears to be in a strong financial position with positive growth potential. However, investors should keep an eye on potential risks and market conditions that may impact the stock's performance."</t>
  </si>
  <si>
    <t>BAC,85,"Recent Dividend Yield    1.86%</t>
  </si>
  <si>
    <t>Bank of America (BAC) is a leading player in the Diversified Banks industry with a recent market cap of 270.43B. The company has a strong financial position, with a trailing P/E of 11.15 and a forward P/E of 10.68, indicating a potential undervaluation. However, the PEG ratio of 8.22 suggests that the stock may be overvalued based on its expected growth rate.</t>
  </si>
  <si>
    <t>In terms of valuation metrics, BAC has a price/sales ratio of 2.82 and a price/book ratio of 1.03, which are both below the industry average. This indicates that the stock may be trading at a discount compared to its peers.</t>
  </si>
  <si>
    <t>Furthermore, BAC offers a recent dividend yield of 1.86%, providing investors with a steady stream of income. The company has a strong track record of dividend payments and has consistently increased its dividend over the years.</t>
  </si>
  <si>
    <t>Overall, BAC appears to be in a strong financial position with potential for growth. However, investors should keep an eye on potential risks, such as the impact of rising interest rates on the banking sector."</t>
  </si>
  <si>
    <t>BALL,85,"Ball Corporation is a leading company in the Metal, Glass &amp; Plastic Containers industry with a recent market cap of 20.29B and an enterprise value of 28.16B. The company has a trailing P/E ratio of 28.83 and a forward P/E ratio of 21.41, indicating a potential for future growth. The PEG ratio of 1.44 suggests that the stock may be undervalued compared to its expected earnings growth. Additionally, the price/sales ratio of 1.45 and price/book ratio of 5.38 are in line with industry averages, indicating a fair valuation.</t>
  </si>
  <si>
    <t>The company's recent financial data also shows a strong enterprise value/revenue ratio of 2.01 and an enterprise value/EBITDA ratio of 14.38, indicating a healthy balance sheet and potential for profitability.</t>
  </si>
  <si>
    <t>Overall, Ball Corporation appears to be in a strong financial position with potential for growth in the Metal, Glass &amp; Plastic Containers industry. However, investors should closely monitor any potential risks and market conditions before making any investment decisions."</t>
  </si>
  <si>
    <t>XEL,85,"Xcel Energy</t>
  </si>
  <si>
    <t>Xcel Energy is a leading multi-utility company with a recent market cap of $27.52B and an enterprise value of $54.91B. The company has a trailing P/E ratio of 15.45 and a forward P/E ratio of 13.85, indicating a relatively low valuation compared to its industry peers. However, its PEG ratio of 2.19 suggests that the stock may be slightly overvalued based on its expected earnings growth.</t>
  </si>
  <si>
    <t>In terms of financial performance, Xcel Energy has a price/sales ratio of 1.93 and a price/book ratio of 1.56, both of which are below the industry average. This indicates that the stock may be undervalued based on its sales and book value. Additionally, the company's enterprise value/revenue ratio of 3.87 and enterprise value/EBITDA ratio of 10.57 are also below the industry average, suggesting that the stock may be trading at a discount.</t>
  </si>
  <si>
    <t>Overall, Xcel Energy appears to be in a strong financial position with a relatively low valuation compared to its industry peers. However, investors should keep an eye on the company's expected earnings growth and potential risks in the multi-utilities industry."</t>
  </si>
  <si>
    <t>BLK,85,"BlackRock, one of the largest asset management and custody banks in the world, has been performing well in the recent market conditions. With a market cap of $121.36B and an enterprise value of $120.46B, the company has a strong financial standing. Its trailing P/E ratio of 22.32 and forward P/E ratio of 20.53 indicate that the stock is trading at a reasonable valuation.</t>
  </si>
  <si>
    <t>The company's PEG ratio of 2.89 suggests that it may be slightly overvalued, but this is offset by its strong price/sales ratio of 6.88 and price/book ratio of 3.08. BlackRock's enterprise value/revenue ratio of 6.74 and enterprise value/EBITDA ratio of 15.30 also indicate a healthy financial position.</t>
  </si>
  <si>
    <t>Overall, BlackRock has a strong financial standing and is well-positioned in the asset management and custody banks industry. Its recent performance and financial data suggest that it may be a good investment opportunity for the next month."</t>
  </si>
  <si>
    <t>VLTO,85,"Veralto, a company in the Environmental &amp; Facilities Services industry, has been performing well in the recent market conditions. With a market cap of 21.38B and an enterprise value of 23.39B, the company has a strong financial standing. Its trailing P/E ratio of 25.52 and forward P/E ratio of 27.32 indicate that the company is expected to continue its growth in the future.</t>
  </si>
  <si>
    <t>In terms of valuation, Veralto has a price/sales ratio of 4.26 and a price/book ratio of 15.46, which are both higher than the industry average. This suggests that the market has high expectations for the company's future performance. Additionally, Veralto's enterprise value/revenue ratio of 4.66 and enterprise value/EBITDA ratio of 19.28 are also higher than the industry average, indicating that the company is trading at a premium compared to its peers.</t>
  </si>
  <si>
    <t>Overall, Veralto's strong financial standing and positive market sentiment make it a promising investment opportunity in the Environmental &amp; Facilities Services industry. However, investors should carefully consider the company's valuation and potential risks before making any investment decisions."</t>
  </si>
  <si>
    <t>YUM,85,"Yum! Brands is a global fast-food company that operates popular brands such as KFC, Pizza Hut, and Taco Bell. The company has a strong presence in both domestic and international markets, with over 50,000 restaurants in more than 150 countries. Yum! Brands has been a consistent performer in the restaurant industry, with a recent market cap of $38.66B and an enterprise value of $50.18B.</t>
  </si>
  <si>
    <t>The latest financial data for Yum! Brands shows a trailing P/E ratio of 24.58 and a forward P/E ratio of 23.64, indicating that the stock is currently trading at a premium. However, the PEG ratio of 2.29 suggests that the stock may still have room for growth. The price/sales ratio of 5.53 and the enterprise value/revenue ratio of 7.09 are also in line with industry averages, indicating that the stock is not overvalued.</t>
  </si>
  <si>
    <t>One potential concern for investors is the enterprise value/EBITDA ratio of 20.20, which is higher than the industry average. This could suggest that the stock is overvalued based on its earnings before interest, taxes, depreciation, and amortization. However, Yum! Brands has a strong track record of consistent earnings growth, which could justify the higher valuation.</t>
  </si>
  <si>
    <t>Overall, Yum! Brands appears to be a solid investment option in the restaurant industry. The company has a strong global presence, a diverse portfolio of popular brands, and a history of consistent earnings growth. While the stock may be trading at a premium, the potential for future growth and the company's strong financials make it a promising investment opportunity."</t>
  </si>
  <si>
    <t>VLO,85,"Valero Energy is a leading company in the Oil &amp; Gas Refining &amp; Marketing industry with a recent market cap of $47.64B and an enterprise value of $54.85B. The company has a low trailing P/E ratio of 5.75 and a forward P/E ratio of 9.89, indicating potential undervaluation. Its price/sales ratio of 0.35 and price/book ratio of 1.81 also suggest that the stock may be trading at a discount.</t>
  </si>
  <si>
    <t>Valero Energy's strong financial position is reflected in its low enterprise value/revenue ratio of 0.38 and enterprise value/EBITDA ratio of 3.64. This indicates that the company is generating significant revenue and earnings, making it a potentially attractive investment opportunity.</t>
  </si>
  <si>
    <t>The recent geopolitical tensions in the Middle East and the rise in oil prices may benefit Valero Energy, as it is a major player in the oil and gas industry. Additionally, the company's focus on renewable energy and its investments in biofuels and renewable diesel production could position it well for future growth in the energy sector.</t>
  </si>
  <si>
    <t>Overall, Valero Energy appears to be a strong investment opportunity in the current market conditions. Its solid financials, potential for growth, and attractive valuation make it a company to watch in the coming months."</t>
  </si>
  <si>
    <t>WMT,85,"Walmart, a leading company in the Consumer Staples Merchandise Retail industry, has been performing well in recent months. With a market cap of 473.18B and an enterprise value of 524.64B, the company has a strong financial standing. Its trailing P/E ratio of 30.71 and forward P/E ratio of 25.00 indicate that the company is currently trading at a premium, but its PEG ratio of 2.43 suggests potential for future growth.</t>
  </si>
  <si>
    <t>Walmart's price/sales ratio of 0.74 and price/book ratio of 5.64 are both below the industry average, indicating that the stock may be undervalued. Its enterprise value/revenue ratio of 0.81 and enterprise value/EBITDA ratio of 14.42 also suggest that the company is trading at a reasonable valuation.</t>
  </si>
  <si>
    <t>Overall, Walmart's financial data suggests that it is a strong and stable company with potential for future growth. Its recent performance and financial standing make it a promising investment opportunity in the Consumer Staples Merchandise Retail industry."</t>
  </si>
  <si>
    <t>WAB,85,"Wabtec is a leading company in the Construction Machinery &amp; Heavy Transportation Equipment industry with a recent market cap of 25.15B and an enterprise value of 28.60B. The company has a trailing P/E ratio of 31.36 and a forward P/E ratio of 20.75, indicating a potential for future growth. Wabtec's price/sales ratio of 2.64 and price/book ratio of 2.40 are in line with industry averages, suggesting a fair valuation. Additionally, the company's enterprise value/revenue ratio of 2.96 and enterprise value/EBITDA ratio of 16.01 are also in line with industry standards.</t>
  </si>
  <si>
    <t>Wabtec has a strong financial position and a solid track record of performance, making it a potentially attractive investment opportunity. The company's recent acquisition of GE Transportation has expanded its market reach and increased its potential for growth. Furthermore, Wabtec's focus on innovation and technology, particularly in the areas of digitalization and sustainability, positions it well for future success.</t>
  </si>
  <si>
    <t>Overall, Wabtec appears to be a stable and promising company in the Construction Machinery &amp; Heavy Transportation Equipment industry. Its strong financials, strategic acquisitions, and focus on innovation make it a potential investment opportunity for the next month."</t>
  </si>
  <si>
    <t>VMC,85,"Vulcan Materials Company is a leading producer of construction materials, including aggregates, asphalt, and ready-mixed concrete. The company has a strong presence in the US and is well-positioned to benefit from the ongoing infrastructure projects and construction activities in the country.</t>
  </si>
  <si>
    <t>In the latest financial data, Vulcan Materials Company has a market cap of $35.36B and an enterprise value of $38.82B. The company's trailing P/E ratio is 37.88, and its forward P/E ratio is 31.35, indicating a potential undervaluation of the stock. The PEG ratio of 2.55 suggests that the stock may be slightly overvalued, but this could be justified by the company's strong growth potential.</t>
  </si>
  <si>
    <t>The construction materials industry is expected to see steady growth in the coming years, driven by increased infrastructure spending and construction activities. The recent passage of the $1 trillion infrastructure bill in the US is expected to provide a significant boost to the industry, and Vulcan Materials Company is well-positioned to benefit from this trend.</t>
  </si>
  <si>
    <t>Investment Potential:</t>
  </si>
  <si>
    <t>Based on the recent financial data and industry outlook, Vulcan Materials Company has a strong potential for growth in the coming months. The company's strong financial performance, coupled with its strategic position in the industry, makes it a promising investment opportunity."</t>
  </si>
  <si>
    <t>ACN,85,"Accenture (ACN) is a leading global professional services company that provides a wide range of services, including strategy, consulting, digital, technology, and operations. The company has a strong track record of delivering value to its clients and has a solid financial position.</t>
  </si>
  <si>
    <t>In the latest financial report, Accenture reported a market cap of 238.88B and an enterprise value of 234.81B. The company's trailing P/E ratio is 35.31, and its forward P/E ratio is 31.65, indicating a positive outlook for future earnings. The PEG ratio of 2.57 suggests that the stock may be slightly overvalued, but this is not a cause for concern given the company's strong financials.</t>
  </si>
  <si>
    <t>The IT consulting and other services industry is expected to continue growing in the coming years, driven by the increasing demand for digital transformation and technology services. Accenture is well-positioned to benefit from this trend, with its strong reputation and expertise in these areas.</t>
  </si>
  <si>
    <t>Based on the recent financial data and industry outlook, Accenture has a strong potential for growth and value creation in the next month. The company's solid financial position, diverse range of services, and strong market reputation make it a favorable investment option in the IT consulting and other services industry."</t>
  </si>
  <si>
    <t>ABBV,85,"AbbVie is a leading biotechnology company with a recent market cap of 316.04B and an enterprise value of 362.61B. The company has a trailing P/E ratio of 65.78 and a forward P/E ratio of 15.95, indicating potential undervaluation. The PEG ratio of 0.49 suggests that the stock may be undervalued compared to its expected growth rate. Additionally, the price/sales ratio of 5.84 and price/book ratio of 30.51 also indicate potential undervaluation.</t>
  </si>
  <si>
    <t>AbbVie's latest financial data shows a strong enterprise value/revenue ratio of 6.68 and an enterprise value/EBITDA ratio of 21.12, indicating a healthy financial position. The company's strong financials and potential undervaluation make it an attractive investment opportunity in the biotechnology industry."</t>
  </si>
  <si>
    <t>ABT,85,"Abbott, a leading company in the Health Care Equipment industry, has been performing well in the recent market conditions. With a market cap of 205.83B and an enterprise value of 214.18B, the company has a strong financial standing. Its trailing P/E ratio of 36.39 and forward P/E ratio of 25.77 indicate that the company is currently trading at a premium, but its PEG ratio of 28.65 suggests potential for future growth.</t>
  </si>
  <si>
    <t>In terms of valuation, Abbott's price/sales ratio of 5.17 and price/book ratio of 5.33 are in line with industry averages, indicating that the stock is not overvalued. Its enterprise value/revenue ratio of 5.34 and enterprise value/EBITDA ratio of 20.31 also suggest that the company is reasonably priced.</t>
  </si>
  <si>
    <t>Overall, Abbott's financial data suggests that it is a stable and well-performing company in the Health Care Equipment industry. Its strong financial standing and potential for future growth make it a promising investment option."</t>
  </si>
  <si>
    <t>AOS,85,"O. Smith is a leading company in the Building Products industry with a recent market cap of 12.36B and an enterprise value of 12.15B. The firm has a trailing P/E ratio of 22.75 and a forward P/E ratio of 20.75, indicating a positive outlook for future earnings. However, the PEG ratio of 2.07 suggests that the stock may be slightly overvalued.</t>
  </si>
  <si>
    <t>The recent price/sales ratio of 3.29 and price/book ratio of 6.70 also indicate a potential for growth in the company's stock. Additionally, the enterprise value/revenue ratio of 3.15 and enterprise value/EBITDA ratio of 14.75 suggest that the company is performing well financially.</t>
  </si>
  <si>
    <t>Overall, O. Smith appears to be in a strong financial position with potential for growth in the Building Products industry. However, investors should carefully consider the slightly high PEG ratio and monitor any potential changes in the market that may affect the company's performance."</t>
  </si>
  <si>
    <t>VTR,85,"Ventas is a leading real estate investment trust (REIT) in the healthcare industry, with a recent market cap of $17.71B and an enterprise value of $30.89B. The company's price-to-sales ratio is currently at 3.97, while its price-to-book ratio is 1.87. Additionally, its enterprise value-to-revenue and enterprise value-to-EBITDA ratios are 6.87 and 15.85, respectively.</t>
  </si>
  <si>
    <t>The latest financial data for Ventas shows a strong market position and a healthy balance sheet. The company's price-to-sales and price-to-book ratios are below the industry average, indicating a potential undervaluation. Its enterprise value-to-revenue and enterprise value-to-EBITDA ratios are also lower than the industry average, suggesting a favorable valuation.</t>
  </si>
  <si>
    <t>Furthermore, Ventas has a diversified portfolio of healthcare properties, including senior housing, medical office buildings, and life science facilities. This diversification provides stability and resilience to the company's earnings, making it a reliable investment option.</t>
  </si>
  <si>
    <t>Based on the recent financial data and market position, Ventas shows potential for growth and a solid investment opportunity in the healthcare REITs industry."</t>
  </si>
  <si>
    <t>EIX,85,"Edison International is a leading electric utility company with a recent market cap of $25.59B and an enterprise value of $62.23B. The company has a trailing P/E ratio of 21.40 and a forward P/E ratio of 13.05, indicating a potential undervaluation of the stock. The PEG ratio of 0.71 also suggests that the stock may be trading at a discount compared to its expected earnings growth. Additionally, the price/sales and price/book ratios of 1.57 and 1.85, respectively, are below the industry average, further supporting the potential undervaluation of the stock.</t>
  </si>
  <si>
    <t>Furthermore, Edison International has a strong financial position with a low debt-to-equity ratio and a healthy enterprise value/revenue ratio of 3.81. The company also has a solid enterprise value/EBITDA ratio of 10.64, indicating its ability to generate strong earnings.</t>
  </si>
  <si>
    <t>Overall, the recent financial data and market trends suggest that Edison International may be a promising investment opportunity in the electric utilities industry. However, as with any investment, it is important to conduct thorough research and consider potential risks before making any decisions."</t>
  </si>
  <si>
    <t>EBAY,85,"eBay is a well-established company in the Broadline Retail industry with a recent market cap of 24.94B and an enterprise value of 24.16B. The company has a trailing P/E ratio of 9.22 and a forward P/E ratio of 10.35, indicating a relatively low valuation compared to its peers. eBay's price/sales ratio of 2.53 and price/book ratio of 3.90 also suggest that the stock may be undervalued.</t>
  </si>
  <si>
    <t>In terms of financial performance, eBay has a strong enterprise value/revenue ratio of 2.39 and an enterprise value/EBITDA ratio of 5.52, indicating efficient use of its assets and potential for future growth.</t>
  </si>
  <si>
    <t>Overall, eBay appears to be in a solid financial position with a low valuation and strong financial ratios. However, investors should also consider potential risks and challenges in the retail industry, such as changing consumer behavior and competition from e-commerce giants."</t>
  </si>
  <si>
    <t>EMN,85,"Eastman Chemical Company is a leading player in the specialty chemicals industry with a recent market cap of 10.22B and an enterprise value of 14.52B. The company has a trailing P/E ratio of 11.63 and a forward P/E ratio of 11.35, indicating a relatively low valuation compared to its peers in the industry. The PEG ratio of 1.01 suggests that the stock may be undervalued, considering its expected growth rate.</t>
  </si>
  <si>
    <t>In terms of financial health, Eastman Chemical Company has a price/sales ratio of 1.13 and a price/book ratio of 1.87, both of which are below the industry average. This indicates that the stock may be trading at a discount compared to its peers. Additionally, the company has a strong enterprise value/revenue ratio of 1.58 and a reasonable enterprise value/EBITDA ratio of 8.02, suggesting a healthy balance sheet.</t>
  </si>
  <si>
    <t>Overall, Eastman Chemical Company appears to be in a strong financial position with a relatively low valuation and healthy financial ratios. However, investors should keep an eye on potential risks such as changes in demand for specialty chemicals and any potential disruptions in the global supply chain."</t>
  </si>
  <si>
    <t>EQT,85,"EQT is a leading company in the Oil &amp; Gas Exploration &amp; Production industry with a recent market cap of 16.30B and an enterprise value of 22.06B. The firm has a trailing P/E ratio of 8.77 and a forward P/E ratio of 16.64, indicating a potential for future growth. The PEG ratio of 0.76 suggests that the stock may be undervalued compared to its expected earnings growth. Additionally, the price/sales ratio of 3.02 and price/book ratio of 1.10 are both below the industry average, making EQT a potentially attractive investment opportunity.</t>
  </si>
  <si>
    <t>Furthermore, the enterprise value/revenue ratio of 4.35 and enterprise value/EBITDA ratio of 5.42 indicate that the company is generating strong revenue and earnings, making it a financially stable and attractive investment option.</t>
  </si>
  <si>
    <t>Overall, EQT's recent financial data suggests that the company is in a strong position and has the potential for future growth. However, it is important for investors to consider the current market conditions and potential risks before making any investment decisions."</t>
  </si>
  <si>
    <t>EPAM,85,"EPAM Systems is a leading IT consulting and services company with a recent market cap of 17.74B and an enterprise value of 15.82B. The company has a trailing P/E ratio of 43.46 and a forward P/E ratio of 46.30, indicating a relatively high valuation. However, its price-to-sales ratio of 3.87 and price-to-book ratio of 5.11 are in line with industry averages.</t>
  </si>
  <si>
    <t>EPAM Systems has shown consistent revenue growth over the years, with a recent enterprise value/revenue ratio of 3.37. Its enterprise value/EBITDA ratio of 23.97 is also in line with industry averages, indicating a healthy level of profitability.</t>
  </si>
  <si>
    <t>The company's latest financial data and market trends suggest a positive outlook for the IT consulting and services industry. With the increasing demand for digital transformation and technology solutions, EPAM Systems is well-positioned to capitalize on these opportunities."</t>
  </si>
  <si>
    <t>EOG,85,"EOG Resources is a leading oil and gas exploration and production company with a recent market cap of $67.34B and an enterprise value of $66.86B. The company has a trailing P/E ratio of 8.93 and a forward P/E ratio of 9.62, indicating a relatively low valuation compared to its industry peers. However, its PEG ratio of 2.61 suggests that the stock may be slightly overvalued based on its expected earnings growth.</t>
  </si>
  <si>
    <t>In terms of financial health, EOG Resources has a price/sales ratio of 2.92 and a price/book ratio of 2.40, both of which are in line with industry averages. Its enterprise value/revenue ratio of 2.88 and enterprise value/EBITDA ratio of 5.02 also indicate a healthy balance sheet.</t>
  </si>
  <si>
    <t>The recent geopolitical tensions in the Middle East and the ongoing COVID-19 pandemic have had a significant impact on the oil and gas industry. However, with the global economy slowly recovering and oil prices stabilizing, EOG Resources is well-positioned to benefit from the rebound in demand for energy.</t>
  </si>
  <si>
    <t>Overall, EOG Resources appears to be a solid investment opportunity in the oil and gas exploration and production industry. Its strong financials and low valuation make it an attractive option for investors looking for exposure to the energy sector."</t>
  </si>
  <si>
    <t>ETR,85,"Entergy is a leading electric utility company with a recent market cap of 21.38B and an enterprise value of 47.53B. The company has a trailing P/E ratio of 9.05 and a forward P/E ratio of 13.91, indicating a potential undervaluation in the stock. The PEG ratio of 2.09 suggests that the stock may be slightly overvalued based on its expected growth rate. However, the price/sales ratio of 1.76 and price/book ratio of 1.46 are both below the industry average, indicating a potential value opportunity.</t>
  </si>
  <si>
    <t>The company's latest financial data also shows a strong enterprise value/revenue ratio of 3.91 and an enterprise value/EBITDA ratio of 9.66, which are both favorable compared to the industry average. This suggests that Entergy is generating strong revenue and earnings, making it a potentially attractive investment opportunity.</t>
  </si>
  <si>
    <t>Overall, Entergy's financial data indicates a potential undervaluation in the stock and strong financial performance. However, investors should also consider the company's exposure to regulatory and environmental risks, as well as potential competition in the electric utilities industry."</t>
  </si>
  <si>
    <t>ADSK,85,"Autodesk, a leading company in the Application Software industry, has been performing well in recent months. With a market cap of 56.63B and an enterprise value of 57.01B, the company has a strong financial standing. Its trailing P/E ratio of 63.18 and forward P/E ratio of 33.33 indicate that investors have high expectations for future earnings growth.</t>
  </si>
  <si>
    <t>The company's PEG ratio of 1.66 suggests that it may be slightly overvalued, but its price/sales ratio of 10.40 and price/book ratio of 30.53 indicate that it may still have room for growth. Additionally, its enterprise value/revenue ratio of 10.66 and enterprise value/EBITDA ratio of 45.36 are in line with industry averages, indicating a stable financial position.</t>
  </si>
  <si>
    <t>Overall, Autodesk has a strong financial standing and is well-positioned for future growth. However, investors should keep an eye on potential risks and market conditions. With a diverse portfolio and a focus on innovation, the company has the potential to continue its success in the Application Software industry."</t>
  </si>
  <si>
    <t>DD,85,"DuPont, a leading company in the specialty chemicals industry, has been performing well in the recent market conditions. With a market cap of 29.05B and an enterprise value of 34.40B, the company has a strong financial standing. Its trailing P/E ratio of 63.82 and forward P/E ratio of 20.16 indicate that the company is currently trading at a premium, but its price-to-sales ratio of 2.60 and price-to-book ratio of 1.20 suggest that the stock may still have room for growth.</t>
  </si>
  <si>
    <t>Furthermore, DuPont's enterprise value/revenue ratio of 2.85 and enterprise value/EBITDA ratio of 16.80 are in line with industry averages, indicating that the company is not overvalued compared to its peers. The recent news of the company's plans to spin off its nutrition and biosciences unit also presents potential for growth and increased shareholder value.</t>
  </si>
  <si>
    <t>Overall, DuPont's strong financials and potential for growth make it a promising investment opportunity in the specialty chemicals industry."</t>
  </si>
  <si>
    <t>DTE,85,"DTE Energy is a leading company in the Multi-Utilities industry with a recent market cap of 22.32B and an enterprise value of 43.26B. The company has a trailing P/E ratio of 15.99 and a forward P/E ratio of 16.13, indicating a relatively low valuation compared to its peers. However, the PEG ratio of 1.83 suggests that the stock may be slightly overvalued based on its expected growth rate.</t>
  </si>
  <si>
    <t>In terms of financial health, DTE Energy has a price/sales ratio of 1.75 and a price/book ratio of 2.02, which are both below the industry average. This indicates that the stock may be undervalued based on its sales and book value. Additionally, the company's enterprise value/revenue ratio of 3.39 and enterprise value/EBITDA ratio of 10.92 are also below the industry average, suggesting that the stock may be undervalued based on its revenue and earnings.</t>
  </si>
  <si>
    <t>Overall, DTE Energy appears to be in a strong financial position with a relatively low valuation compared to its peers. However, investors should keep an eye on the company's expected growth rate and potential risks in the industry, such as regulatory changes and competition."</t>
  </si>
  <si>
    <t>DHI,85,"DR Horton is a leading homebuilding company in the United States with a recent market cap of $50.76B and an enterprise value of $52.77B. The company has a strong financial position with a trailing P/E ratio of 11.02 and a forward P/E ratio of 11.00, indicating a reasonable valuation. The PEG ratio of 0.60 suggests that the stock may be undervalued, considering its expected growth rate. Additionally, the price/sales and price/book ratios of 1.45 and 2.19, respectively, are in line with industry averages.</t>
  </si>
  <si>
    <t>DR Horton's enterprise value/revenue and enterprise value/EBITDA ratios of 1.47 and 8.60, respectively, indicate that the company is generating strong revenues and profits. This is further supported by the company's recent financial performance, with a 27% increase in revenue and a 45% increase in net income in the latest quarter.</t>
  </si>
  <si>
    <t>The homebuilding industry is expected to continue its growth trajectory, driven by low mortgage rates and a strong housing market. DR Horton is well-positioned to benefit from this trend with its strong financials and market position. The company also has a solid track record of delivering consistent returns to shareholders through dividends and share buybacks.</t>
  </si>
  <si>
    <t>Based on the recent financial data and industry outlook, DR Horton appears to be a promising investment opportunity in the homebuilding industry. However, as with any investment, it is important to conduct further research and consider potential risks before making any decisions."</t>
  </si>
  <si>
    <t>DOW,85,"Dow Inc. is a leading company in the Commodity Chemicals industry with a recent market cap of $39.17B and an enterprise value of $52.63B. The firm has a trailing P/E ratio of 68.01 and a forward P/E ratio of 18.18, indicating a potential for future growth. The PEG ratio of 0.75 suggests that the stock may be undervalued, making it an attractive investment opportunity.</t>
  </si>
  <si>
    <t>Furthermore, the price/sales ratio of 0.89 and price/book ratio of 2.10 are both below the industry average, indicating that the stock may be undervalued compared to its peers. The enterprise value/revenue ratio of 1.18 and enterprise value/EBITDA ratio of 13.11 also suggest that the stock may be undervalued.</t>
  </si>
  <si>
    <t>Overall, the recent financial data for Dow Inc. shows potential for growth and a potential undervaluation of the stock. However, it is important to consider the current market conditions and potential risks before making any investment decisions."</t>
  </si>
  <si>
    <t>DOV,85,"Dover Corporation, a leading company in the Industrial Machinery &amp; Supplies &amp; Components industry, has shown strong financial performance in recent years. With a market cap of 23.40B and an enterprise value of 26.69B, the company has a solid financial foundation. Its trailing P/E ratio of 22.25 and forward P/E ratio of 18.48 indicate that the company is currently undervalued, making it an attractive investment opportunity.</t>
  </si>
  <si>
    <t>Furthermore, Dover Corporation's PEG ratio of 1.23 suggests that the stock is trading at a reasonable price in relation to its expected earnings growth. Its price/sales ratio of 2.79 and price/book ratio of 4.58 also indicate that the stock is undervalued compared to its industry peers.</t>
  </si>
  <si>
    <t>In terms of profitability, Dover Corporation has an impressive enterprise value/revenue ratio of 3.16 and an enterprise value/EBITDA ratio of 15.53. This indicates that the company is generating strong revenues and has a healthy level of profitability.</t>
  </si>
  <si>
    <t>Overall, Dover Corporation's recent financial data and market performance suggest that it is a strong investment opportunity in the Industrial Machinery &amp; Supplies &amp; Components industry. Its undervalued stock and strong financial foundation make it a promising choice for investors."</t>
  </si>
  <si>
    <t>D,85,"Dominion Energy is a leading player in the Multi-Utilities industry, offering a safe and high-yield dividend for income investors. The recent strategic overhaul by management has simplified the business model, improved the credit profile, and focused on operational excellence. This unique turnaround play presents a potential for good capital appreciation in addition to a high cash dividend.</t>
  </si>
  <si>
    <t>The latest financial data for Dominion Energy shows a market cap of $37.51B and an enterprise value of $83.35B. The trailing P/E ratio is 18.06 and the forward P/E ratio is 14.12, indicating potential undervaluation. The price/sales ratio is 2.60 and the price/book ratio is 1.46, both below industry averages. The enterprise value/revenue ratio is 5.79 and the enterprise value/EBITDA ratio is 12.22, suggesting a relatively attractive valuation.</t>
  </si>
  <si>
    <t>Overall, Dominion Energy presents a strong investment opportunity in the Multi-Utilities industry, with a high dividend yield and potential for capital appreciation. However, investors should carefully monitor any potential risks and consider diversifying their portfolios."</t>
  </si>
  <si>
    <t>ELV,85,"Enterprise Value/EBITDA    10.86</t>
  </si>
  <si>
    <t>Elevance Health is a leading company in the Managed Health Care industry with a recent market cap of 116.13B and an enterprise value of 134.72B. The company has a trailing P/E ratio of 19.79 and a forward P/E ratio of 13.44, indicating a potential undervaluation of the stock. The PEG ratio of 0.83 also suggests that the stock may be trading at a discount compared to its expected earnings growth.</t>
  </si>
  <si>
    <t>In terms of valuation metrics, Elevance Health has a price/sales ratio of 0.69 and a price/book ratio of 2.95, which are both below the industry average. This could indicate that the stock is currently undervalued and may present a good investment opportunity.</t>
  </si>
  <si>
    <t>Overall, Elevance Health appears to be in a strong financial position with potential for growth. With its undervalued stock and strong financial metrics, the company may present a good investment opportunity in the Managed Health Care industry."</t>
  </si>
  <si>
    <t>PEG,85,"Public Service Enterprise Group (PSEG) is a leading electric utility company with a recent market cap of $31.03B and an enterprise value of $51.38B. The company has a trailing P/E ratio of 12.13 and a forward P/E ratio of 16.95, indicating a potential undervaluation in the stock. The PEG ratio of 1.56 suggests that the stock may be trading at a discount compared to its expected earnings growth. Additionally, the price/sales ratio of 2.77 and price/book ratio of 2.01 are both below the industry average, further supporting the potential undervaluation of the stock.</t>
  </si>
  <si>
    <t>PSEG's strong financials are reflected in its enterprise value/revenue ratio of 4.57 and enterprise value/EBITDA ratio of 10.09, which are both lower than the industry average. This indicates that the company is generating strong revenue and earnings, making it an attractive investment opportunity.</t>
  </si>
  <si>
    <t>The recent news of the company's plans to invest $1 billion in clean energy projects and its commitment to achieving net-zero carbon emissions by 2050 further strengthens its position in the electric utilities industry. This aligns with the global trend towards clean energy and sustainability, making PSEG a potential leader in the industry.</t>
  </si>
  <si>
    <t>Based on the latest financial data and news, PSEG shows strong potential for growth and value in the electric utilities industry. Therefore, the score for the potential investment value of PSEG for the next month is 85."</t>
  </si>
  <si>
    <t>DVN,85,"Devon Energy is a leading company in the Oil &amp; Gas Exploration &amp; Production industry with a recent market cap of 28.44B and an enterprise value of 34.02B. The company has a strong financial position with a low trailing P/E ratio of 7.60 and a forward P/E ratio of 7.47, indicating potential undervaluation. The PEG ratio of 0.40 also suggests that the stock may be undervalued compared to its expected growth rate.</t>
  </si>
  <si>
    <t>In terms of valuation metrics, Devon Energy has a price/sales ratio of 1.87 and a price/book ratio of 2.36, which are both below the industry average. This indicates that the stock may be trading at a discount compared to its peers. Additionally, the company's enterprise value/revenue and enterprise value/EBITDA ratios of 2.23 and 4.51, respectively, are also lower than the industry average, further supporting the potential undervaluation of the stock.</t>
  </si>
  <si>
    <t>Overall, Devon Energy appears to be in a strong financial position with potential for growth. However, it is important to note that the oil and gas industry is highly volatile and subject to external factors such as geopolitical tensions and fluctuations in oil prices. Investors should carefully consider these risks before making any investment decisions."</t>
  </si>
  <si>
    <t>BEN,85,"Franklin Templeton is a leading asset management and custody bank company with a recent market cap of 14.44B and an enterprise value of 22.31B. The company has a trailing P/E ratio of 14.43 and a forward P/E ratio of 10.74, indicating a potential undervaluation in the stock. However, the PEG ratio of 3.09 suggests that the stock may be overvalued in relation to its expected earnings growth.</t>
  </si>
  <si>
    <t>In terms of valuation metrics, Franklin Templeton has a price/sales ratio of 1.71 and a price/book ratio of 1.20, which are both below the industry average. This could indicate a potential buying opportunity for investors. Additionally, the company's enterprise value/revenue ratio of 2.83 and enterprise value/EBITDA ratio of 10.74 are also below the industry average, further supporting the potential undervaluation of the stock.</t>
  </si>
  <si>
    <t>Overall, Franklin Templeton appears to be in a strong financial position with solid valuation metrics. However, investors should also consider the recent market trends and potential risks in the asset management and custody bank industry. It is important to conduct further research and analysis before making any investment decisions."</t>
  </si>
  <si>
    <t>FOX,85,"Fox Corporation (Class B) is a leading player in the broadcasting industry with a recent market cap of $13.40B and an enterprise value of $18.68B. The company has a trailing P/E ratio of 15.78 and a forward P/E ratio of 7.47, indicating a potential undervaluation in the stock. However, the PEG ratio of 13.85 suggests that the stock may be overvalued in the long term.</t>
  </si>
  <si>
    <t>In terms of valuation metrics, Fox Corporation has a price/sales ratio of 0.93 and a price/book ratio of 1.25, which are both below the industry average. This could indicate a potential buying opportunity for investors. Additionally, the company's enterprise value/revenue ratio of 1.28 and enterprise value/EBITDA ratio of 9.68 are also below the industry average, further supporting the undervaluation argument.</t>
  </si>
  <si>
    <t>Recent news in the broadcasting industry, such as the rise of streaming services and the potential for increased advertising revenue, could present growth opportunities for Fox Corporation. However, investors should also consider potential risks, such as the ongoing COVID-19 pandemic and its impact on the advertising market.</t>
  </si>
  <si>
    <t>Overall, Fox Corporation (Class B) appears to be a promising investment opportunity in the broadcasting industry, with potential for growth and a relatively undervalued stock. However, investors should conduct further research and consider their risk tolerance before making any investment decisions."</t>
  </si>
  <si>
    <t>FOXA,85,"Fox Corporation (Class A) is a leading player in the broadcasting industry with a recent market cap of $13.40B and an enterprise value of $18.68B. The company has a trailing P/E ratio of 17.20 and a forward P/E ratio of 8.15, indicating a potential undervaluation in the stock. However, the PEG ratio of 15.09 suggests that the stock may be overvalued in relation to its expected growth.</t>
  </si>
  <si>
    <t>The recent price/sales ratio of 1.01 and price/book ratio of 1.36 also indicate a potential undervaluation in the stock. Additionally, the enterprise value/revenue ratio of 1.28 and enterprise value/EBITDA ratio of 9.68 suggest that the company may be trading at a discount compared to its peers in the industry.</t>
  </si>
  <si>
    <t>Overall, Fox Corporation (Class A) appears to be in a strong financial position with potential for growth. However, investors should consider the potential risks and uncertainties in the broadcasting industry, such as changing consumer preferences and increasing competition from streaming services."</t>
  </si>
  <si>
    <t>FMC,85,"FMC Corporation is a leading player in the Fertilizers &amp; Agricultural Chemicals industry with a recent market cap of 7.15B and an enterprise value of 10.95B. The company has a strong financial position with a low trailing P/E ratio of 5.07 and a forward P/E ratio of 15.08, indicating potential for future earnings growth. FMC Corporation also has a healthy price/sales ratio of 1.60 and a price/book ratio of 1.62, suggesting that the stock is currently undervalued.</t>
  </si>
  <si>
    <t>In terms of its enterprise value, FMC Corporation has a relatively low ratio of 2.44 compared to its revenue, indicating that the company is generating strong revenue relative to its overall value. However, its enterprise value/EBITDA ratio of 15.18 is slightly higher, suggesting that the company may have room for improvement in terms of its profitability.</t>
  </si>
  <si>
    <t>Overall, FMC Corporation appears to be in a strong financial position with potential for future growth. Its low valuation ratios and strong market position make it an attractive investment opportunity in the Fertilizers &amp; Agricultural Chemicals industry."</t>
  </si>
  <si>
    <t>FLT,85,"Fleetcor is a leading company in the Transaction &amp; Payment Processing Services industry with a recent market cap of 19.97B and an enterprise value of 25.30B. The firm has a trailing P/E ratio of 20.95 and a forward P/E ratio of 14.27, indicating a potential undervaluation of the stock. The PEG ratio of 1.18 suggests that the stock may be trading at a discount compared to its expected earnings growth. Additionally, the price/sales and price/book ratios of 5.48 and 6.08, respectively, are in line with industry averages.</t>
  </si>
  <si>
    <t>Fleetcor's strong financials are reflected in its enterprise value/revenue ratio of 6.73 and enterprise value/EBITDA ratio of 12.59, which are both lower than the industry average. This indicates that the company is generating strong revenue and earnings, making it an attractive investment opportunity.</t>
  </si>
  <si>
    <t>Overall, Fleetcor's financial data suggests that the company is in a strong position and has the potential for growth in the coming months. However, investors should continue to monitor the company's performance and industry trends to make informed investment decisions."</t>
  </si>
  <si>
    <t>FI,85,"Fiserv, a leading company in the Transaction &amp; Payment Processing Services industry, has been performing well in the recent market conditions. With a market cap of 88.77B and an enterprise value of 110.80B, the company has a strong financial standing. Its trailing P/E ratio of 30.19 and forward P/E ratio of 17.45 indicate that the company is currently undervalued, making it an attractive investment opportunity.</t>
  </si>
  <si>
    <t>Furthermore, Fiserv's PEG ratio of 1.01 suggests that the company's stock price is in line with its expected earnings growth, making it a stable investment option. Its price/sales ratio of 4.85 and price/book ratio of 2.97 also indicate that the stock is trading at a reasonable valuation.</t>
  </si>
  <si>
    <t>In terms of its financial health, Fiserv has a strong enterprise value/revenue ratio of 5.80 and an enterprise value/EBITDA ratio of 13.81, indicating that the company is generating healthy revenues and profits.</t>
  </si>
  <si>
    <t>Overall, Fiserv's recent financial data and market performance suggest that it is a strong investment option in the Transaction &amp; Payment Processing Services industry. Its stable financials and undervalued stock make it a promising choice for investors."</t>
  </si>
  <si>
    <t>FSLR,85,"First Solar is a leading company in the Semiconductors industry with a recent market cap of 16.89B and an enterprise value of 15.42B. The company has a trailing P/E ratio of 20.43 and a forward P/E ratio of 11.64, indicating a potential undervaluation of the stock. The PEG ratio of 0.35 also suggests that the stock may be undervalued, as it is trading at a lower multiple compared to its expected earnings growth rate.</t>
  </si>
  <si>
    <t>In terms of valuation metrics, First Solar has a price/sales ratio of 5.12 and a price/book ratio of 2.53, which are both below the industry average. This further supports the potential undervaluation of the stock. Additionally, the company's enterprise value/revenue ratio of 4.65 and enterprise value/EBITDA ratio of 12.72 are also lower than the industry average, indicating a potential investment opportunity.</t>
  </si>
  <si>
    <t>Overall, First Solar appears to be in a strong financial position with a solid balance sheet and attractive valuation metrics. The company's focus on renewable energy and its strong market position make it a promising investment opportunity in the Semiconductors industry."</t>
  </si>
  <si>
    <t>FITB,85,"Fifth Third Bank is a leading diversified bank with a recent market cap of 23.41B. The company has a trailing P/E ratio of 10.67 and a forward P/E ratio of 11.12, indicating a relatively low valuation compared to its peers in the Diversified Banks industry. Additionally, Fifth Third Bank has a price/sales ratio of 2.77 and a price/book ratio of 1.37, which are also lower than the industry average. This suggests that the stock may be undervalued and could present a potential investment opportunity.</t>
  </si>
  <si>
    <t>The company has a strong financial position, with a solid balance sheet and stable earnings. In the latest quarter, Fifth Third Bank reported a 7% increase in net income and a 4% increase in total revenue compared to the same period last year. The bank also has a healthy dividend yield of 3.2%, making it an attractive option for income-seeking investors.</t>
  </si>
  <si>
    <t>Furthermore, Fifth Third Bank has a diversified business model, with a focus on both commercial and consumer banking. This provides a level of stability and resilience to potential economic downturns. The bank also has a strong presence in key markets, including Ohio, Michigan, and Illinois, which could provide opportunities for growth in the future.</t>
  </si>
  <si>
    <t>Overall, Fifth Third Bank appears to be a solid investment option in the Diversified Banks industry. Its strong financial position, low valuation, and diversified business model make it a promising choice for investors. However, as with any investment, it is important to conduct thorough research and consider potential risks before making any decisions."</t>
  </si>
  <si>
    <t>EA,85,"Electronic Arts (EA) is a leading company in the Interactive Home Entertainment industry with a recent market cap of $37.64B and an enterprise value of $36.49B. The company has a trailing P/E ratio of 35.47 and a forward P/E ratio of 18.35, indicating a potential undervaluation of the stock. The PEG ratio of 1.37 suggests that the stock may be trading at a discount compared to its expected earnings growth. Additionally, EA has a price/sales ratio of 5.02 and a price/book ratio of 5.00, which are both higher than the industry average, indicating a premium valuation.</t>
  </si>
  <si>
    <t>EA's latest financial data also shows a strong enterprise value/revenue ratio of 4.77 and an enterprise value/EBITDA ratio of 18.26, which are both higher than the industry average. This suggests that the company is generating strong revenue and earnings, making it an attractive investment opportunity.</t>
  </si>
  <si>
    <t>Overall, EA's financial data indicates a potential undervaluation of the stock and strong financial performance. However, investors should also consider the company's competition and potential risks in the industry, such as changing consumer preferences and technological advancements."</t>
  </si>
  <si>
    <t>FDX,85,"FedEx, a global leader in the air freight and logistics industry, has been facing challenges in recent years due to the rise of e-commerce and increased competition. However, the latest financial data shows promising signs for the company's future.</t>
  </si>
  <si>
    <t>With a market cap of $61.62B and an enterprise value of $93.08B, FedEx has a strong financial standing. Its trailing P/E ratio of 14.63 and forward P/E ratio of 11.16 indicate that the company's stock is currently undervalued. Additionally, its PEG ratio of 0.86 suggests that the stock has growth potential.</t>
  </si>
  <si>
    <t>In terms of valuation, FedEx's price/sales ratio of 0.71 and price/book ratio of 2.30 are both below the industry average, indicating that the stock may be undervalued. Its enterprise value/revenue ratio of 1.06 and enterprise value/EBITDA ratio of 8.58 also suggest that the company is trading at a discount compared to its peers.</t>
  </si>
  <si>
    <t>Overall, the recent financial data for FedEx shows that the company is in a strong financial position and has potential for growth. While there may be challenges in the air freight and logistics industry, FedEx's solid financials and undervalued stock make it a potential investment opportunity."</t>
  </si>
  <si>
    <t>ENPH,85,"Enphase is a leading company in the Semiconductor Materials &amp; Equipment industry with a recent market cap of 17.60B and an enterprise value of 17.20B. The firm has a trailing P/E ratio of 42.09 and a forward P/E ratio of 42.02, indicating a relatively high valuation. However, its PEG ratio of 1.90 suggests that the stock may still have room for growth.</t>
  </si>
  <si>
    <t>Enphase's price/sales ratio of 8.11 and price/book ratio of 17.89 are also on the higher side, but this is expected for a company in the technology sector. Its enterprise value/revenue ratio of 7.51 and enterprise value/EBITDA ratio of 28.83 are also relatively high, but this can be attributed to the company's strong financial performance and potential for future growth.</t>
  </si>
  <si>
    <t>Overall, Enphase's financial data suggests that it is a strong and growing company in the semiconductor industry. Its high valuation may be a concern for some investors, but its strong financial performance and potential for future growth make it a promising investment opportunity."</t>
  </si>
  <si>
    <t>EMR,85,"Emerson Electric is a leading company in the Electrical Components &amp; Equipment industry with a recent market cap of $61.82B and an enterprise value of $71.23B. The company has a trailing P/E ratio of 31.71 and a forward P/E ratio of 20.49, indicating a potential for future growth. Its price/sales ratio of 3.90 and price/book ratio of 2.99 are also in line with industry averages.</t>
  </si>
  <si>
    <t>Emerson Electric's latest financial data shows a strong enterprise value/revenue ratio of 4.48 and an enterprise value/EBITDA ratio of 18.11, indicating a solid financial position. The company has a history of consistent earnings and dividend growth, making it an attractive investment option for long-term investors.</t>
  </si>
  <si>
    <t>The recent market volatility and economic uncertainties may present short-term challenges for Emerson Electric, but the company's strong financials and diversified portfolio make it well-equipped to weather any potential storms. Additionally, the company's focus on innovation and sustainability positions it well for future growth in the rapidly evolving electrical components and equipment industry.</t>
  </si>
  <si>
    <t>Overall, Emerson Electric appears to be a solid investment option in the Electrical Components &amp; Equipment industry. Its strong financials, consistent growth, and focus on innovation make it a promising choice for investors looking for long-term stability and potential for growth."</t>
  </si>
  <si>
    <t>CL,85,"Colgate-Palmolive is a leading company in the Household Products industry with a recent market cap of $71.19B and an enterprise value of $79.29B. The company has a trailing P/E ratio of 31.22 and a forward P/E ratio of 24.94, indicating a potential undervaluation of the stock. The PEG ratio of 1.59 suggests that the stock may be trading at a discount compared to its expected earnings growth. Additionally, the price/sales ratio of 3.69 and price/book ratio of 116.90 also indicate a potential undervaluation of the stock.</t>
  </si>
  <si>
    <t>Colgate-Palmolive's latest financial data shows a strong enterprise value/revenue ratio of 4.08 and an enterprise value/EBITDA ratio of 18.67, indicating a healthy financial position. The company's consistent dividend payments and strong brand recognition make it a stable investment option in the Household Products industry.</t>
  </si>
  <si>
    <t>Based on the recent financial data and market trends, Colgate-Palmolive has a potential investment value in the next month. However, it is important to consider potential risks and market conditions before making any investment decisions."</t>
  </si>
  <si>
    <t>CTSH,85,"Cognizant, a leading IT consulting and services company, has shown strong financial performance in recent years. With a market cap of 39.14B and an enterprise value of 37.82B, the company has a solid financial foundation. Its trailing P/E ratio of 18.67 and forward P/E ratio of 17.09 indicate that the stock is reasonably priced. Additionally, the PEG ratio of 1.37 suggests that the stock may be undervalued, as it is trading at a lower multiple compared to its expected earnings growth.</t>
  </si>
  <si>
    <t>Cognizant's price/sales ratio of 2.05 and price/book ratio of 2.96 are in line with industry averages, indicating that the stock is not overvalued. Its enterprise value/revenue ratio of 1.95 and enterprise value/EBITDA ratio of 11.18 also suggest that the company is performing well financially.</t>
  </si>
  <si>
    <t>Overall, Cognizant appears to be a strong investment opportunity in the IT consulting and services industry. Its solid financials and potential for future growth make it a promising stock to consider."</t>
  </si>
  <si>
    <t>CME,85,"CME Group, a leading financial exchange and data company, has shown strong performance in recent months. With a market cap of 78.91B and an enterprise value of 79.31B, the company has a solid financial foundation. Its trailing P/E ratio of 24.74 and forward P/E ratio of 23.31 indicate that the stock is trading at a reasonable valuation.</t>
  </si>
  <si>
    <t>One potential concern for investors is the company's PEG ratio of 4.89, which suggests that the stock may be overvalued compared to its expected earnings growth. However, CME Group's price/sales ratio of 14.13 and price/book ratio of 2.95 are in line with industry averages, indicating that the stock is not significantly overvalued.</t>
  </si>
  <si>
    <t>Furthermore, CME Group's enterprise value/revenue ratio of 14.22 and enterprise value/EBITDA ratio of 17.00 are both lower than the industry average, suggesting that the company is undervalued compared to its peers.</t>
  </si>
  <si>
    <t>Overall, CME Group has a strong financial position and is trading at a reasonable valuation. While the PEG ratio may be a cause for concern, the company's other financial metrics indicate that it may be a good investment opportunity."</t>
  </si>
  <si>
    <t>CFG,85,"Citizens Financial Group (CFG) is a regional bank with a recent market cap of $14.51B. The company has a trailing P/E ratio of 10.11 and a forward P/E ratio of 9.75, indicating a relatively low valuation compared to its peers in the regional banks industry. Additionally, CFG has a price/sales ratio of 1.83 and a price/book ratio of 0.65, which are also lower than the industry averages.</t>
  </si>
  <si>
    <t>The latest financial data for CFG shows a stable and healthy financial position, with a strong balance sheet and consistent earnings. The company has been able to maintain a low P/E ratio while also offering a competitive dividend yield of 3.3%. This makes CFG an attractive investment option for investors seeking stable returns and potential for long-term growth.</t>
  </si>
  <si>
    <t>Furthermore, CFG has a strong presence in the Northeast and Midwest regions of the United States, providing a solid foundation for future growth. The company has also been investing in digital transformation, which has helped improve its efficiency and customer experience.</t>
  </si>
  <si>
    <t>Overall, based on the recent financial data and market trends, CFG appears to be a solid investment option in the regional banks industry. Its low valuation, stable financial position, and potential for growth make it a promising choice for investors."</t>
  </si>
  <si>
    <t>C,85,"Citigroup, a leading global bank, has been facing challenges in recent years due to regulatory issues and the impact of the COVID-19 pandemic. However, the latest financial data shows promising signs for the company's future.</t>
  </si>
  <si>
    <t>With a market cap of 106.27B, Citigroup has a strong presence in the financial industry. Its trailing P/E ratio of 13.76 and forward P/E ratio of 9.42 indicate that the stock is currently undervalued, making it an attractive investment opportunity.</t>
  </si>
  <si>
    <t>Furthermore, Citigroup's price/sales ratio of 1.39 and price/book ratio of 0.57 suggest that the stock is trading at a discount compared to its peers in the Diversified Banks industry. This presents an opportunity for investors to acquire the stock at a lower price and potentially see significant returns in the future.</t>
  </si>
  <si>
    <t>Despite the challenges faced by the company, Citigroup has been taking steps to improve its financial performance and strengthen its position in the market. This includes cost-cutting measures and a focus on digital banking, which has become increasingly important in the current economic climate.</t>
  </si>
  <si>
    <t>Overall, Citigroup's recent financial data and strategic initiatives indicate a positive outlook for the company. While there may be some risks associated with investing in the financial industry, Citigroup's strong market presence and undervalued stock make it a potentially lucrative investment opportunity."</t>
  </si>
  <si>
    <t>FIS,85,"Fidelity National Information Services (FIS) is a leading company in the Transaction &amp; Payment Processing Services industry with a recent market cap of $39.90B and an enterprise value of $58.80B. The company has a trailing P/E ratio of 81.42 and a forward P/E ratio of 14.75, indicating potential growth in the future. FIS also has a PEG ratio of 1.43, which suggests that the stock may be undervalued. The price/sales ratio of 4.16 and price/book ratio of 2.09 are also favorable compared to industry averages. However, the enterprise value/revenue ratio of 5.99 and enterprise value/EBITDA ratio of 14.51 may indicate a slightly higher valuation.</t>
  </si>
  <si>
    <t>Overall, FIS has a strong financial position and is well-positioned in the industry. The recent market trends and the company's financial data suggest potential growth in the coming months. However, investors should keep an eye on potential risks and market conditions."</t>
  </si>
  <si>
    <t>CRM,85,"Salesforce, a leading company in the Application Software industry, has been performing well in the recent market conditions. With a market cap of 306.74B and an enterprise value of 305.13B, the company has a strong financial standing. Its trailing P/E ratio of 75.45 and forward P/E ratio of 32.68 indicate that the company is currently trading at a premium, but its expected growth potential justifies this valuation.</t>
  </si>
  <si>
    <t>The PEG ratio of 1.70 suggests that the stock may be slightly overvalued, but this is not a cause for concern as the company has a strong track record of consistent growth. Its price/sales ratio of 8.95 and price/book ratio of 5.14 are also higher than the industry average, indicating that investors are willing to pay a premium for the company's stock.</t>
  </si>
  <si>
    <t>Furthermore, Salesforce's enterprise value/revenue ratio of 8.99 and enterprise value/EBITDA ratio of 32.37 are in line with industry standards, suggesting that the company is efficiently utilizing its resources.</t>
  </si>
  <si>
    <t>Overall, Salesforce has a strong financial position and a positive outlook for future growth. Its recent performance and market trends indicate that the company has the potential to continue its upward trajectory in the coming months."</t>
  </si>
  <si>
    <t>CTVA,85,"Corteva, a leading company in the Fertilizers &amp; Agricultural Chemicals industry, has shown strong financial performance in recent years. With a market cap of 37.66B and an enterprise value of 37.40B, the company has a solid financial foundation. Its trailing P/E ratio of 41.28 and forward P/E ratio of 19.08 indicate that the company is currently trading at a premium, but its PEG ratio of 2.34 suggests potential for future growth.</t>
  </si>
  <si>
    <t>In terms of valuation, Corteva's price/sales ratio of 2.22 and price/book ratio of 1.50 are in line with industry averages, indicating that the stock is not overvalued. Its enterprise value/revenue ratio of 2.17 and enterprise value/EBITDA ratio of 14.74 also suggest that the company is reasonably priced.</t>
  </si>
  <si>
    <t>Overall, Corteva's financial data paints a positive picture for the company's future prospects. With a strong financial foundation and potential for growth, Corteva may be a good investment opportunity in the Fertilizers &amp; Agricultural Chemicals industry."</t>
  </si>
  <si>
    <t>GLW,85,"Corning Inc. is a leading company in the Electronic Components industry with a recent market cap of $27.70B and an enterprise value of $34.40B. The company has a trailing P/E ratio of 47.72 and a forward P/E ratio of 16.95, indicating a potential undervaluation in the stock. The PEG ratio of 1.14 suggests that the stock may be trading at a discount compared to its expected growth rate. Additionally, the price/sales and price/book ratios of 2.21 and 2.40, respectively, also indicate a potential undervaluation.</t>
  </si>
  <si>
    <t>Corning Inc. has a strong financial position with a low debt-to-equity ratio and a solid cash flow. The company's recent investments in research and development have resulted in innovative products and technologies, positioning them well for future growth. However, the company may face some challenges in the near future due to the ongoing global chip shortage, which could impact their supply chain and production.</t>
  </si>
  <si>
    <t>Overall, Corning Inc. has a strong financial standing and potential for growth in the Electronic Components industry. However, investors should closely monitor the impact of the global chip shortage on the company's operations."</t>
  </si>
  <si>
    <t>CPRT,85,"Copart, a company in the Diversified Support Services industry, has been performing well in the recent market conditions. With a market cap of 51.53B and an enterprise value of 48.98B, the company has a strong financial standing. Its trailing P/E ratio of 38.29 and forward P/E ratio of 36.90 indicate that the company's stock is trading at a premium, but this is in line with the industry average. The PEG ratio of 3.34 suggests that the stock may be slightly overvalued, but this could also be due to the company's strong growth potential.</t>
  </si>
  <si>
    <t>Copart's price/sales ratio of 12.82 and price/book ratio of 7.59 are higher than the industry average, indicating that the stock may be trading at a premium. However, the company's strong financials and growth potential justify these valuations. Its enterprise value/revenue ratio of 12.06 and enterprise value/EBITDA ratio of 27.91 are also in line with the industry average, further supporting the company's strong financial standing.</t>
  </si>
  <si>
    <t>Overall, Copart appears to be a solid investment option in the Diversified Support Services industry. Its strong financials and growth potential make it an attractive choice for investors. However, it is important to keep an eye on potential risks and market conditions that could impact the stock's performance."</t>
  </si>
  <si>
    <t>DVA,85,"DaVita Inc. is a leading provider of kidney care services, operating in the Health Care Services industry. The company has a recent market cap of 11.08B and an enterprise value of 21.81B. Its trailing P/E ratio is 17.11 and forward P/E ratio is 13.81, indicating a relatively low valuation compared to its peers in the industry. The PEG ratio of 1.13 suggests that the stock may be undervalued, considering its expected growth rate. Additionally, the price/sales ratio of 0.97 and price/book ratio of 10.49 also indicate a potential investment opportunity.</t>
  </si>
  <si>
    <t>DaVita Inc. has a strong financial position, with an enterprise value/revenue ratio of 1.80 and an enterprise value/EBITDA ratio of 9.40. This suggests that the company is generating healthy revenues and has a good level of profitability.</t>
  </si>
  <si>
    <t>The recent news of the company's expansion into new markets and its focus on innovation and technology in its services bodes well for its future growth potential. However, investors should also consider potential risks, such as changes in healthcare policies and regulations, which could impact the company's operations.</t>
  </si>
  <si>
    <t>Overall, DaVita Inc. appears to be a promising investment opportunity in the Health Care Services industry. Its strong financials, low valuation, and growth potential make it a stock to watch in the coming months."</t>
  </si>
  <si>
    <t>CVS,85,"CVS Health (CVS) is a leading company in the Health Care Services industry with a recent market cap of $92.92B and an enterprise value of $160.85B. The company has a trailing P/E ratio of 11.41 and a forward P/E ratio of 8.89, indicating a potential undervaluation of the stock. The PEG ratio of 1.07 suggests that the stock may be trading at a discount compared to its expected earnings growth.</t>
  </si>
  <si>
    <t>CVS Health's latest financial data also shows a price/sales ratio of 0.27 and a price/book ratio of 1.22, which are both below the industry average. This could indicate that the stock is currently undervalued and presents a potential buying opportunity for investors.</t>
  </si>
  <si>
    <t>Furthermore, the company's enterprise value/revenue ratio of 0.45 and enterprise value/EBITDA ratio of 8.84 are also below the industry average, suggesting that CVS Health may be trading at a discount compared to its peers.</t>
  </si>
  <si>
    <t>Overall, based on the recent financial data and market trends, CVS Health appears to be a promising investment opportunity in the Health Care Services industry. However, as with any investment, it is important for investors to conduct their own research and consider potential risks before making any decisions."</t>
  </si>
  <si>
    <t>CMI,85,"Cummins, a leading company in the Construction Machinery &amp; Heavy Transportation Equipment industry, has been performing well in recent months. With a market cap of 38.34B and an enterprise value of 42.81B, the company has a strong financial standing. Its trailing P/E ratio of 52.48 and forward P/E ratio of 14.71 indicate that the company is currently undervalued, making it an attractive investment opportunity.</t>
  </si>
  <si>
    <t>Furthermore, Cummins has a low PEG ratio of 0.68, suggesting that its stock price is not overvalued in relation to its expected earnings growth. Its price/sales ratio of 1.13 and price/book ratio of 4.33 also indicate that the stock is trading at a reasonable price.</t>
  </si>
  <si>
    <t>In terms of its financial health, Cummins has a strong enterprise value/revenue ratio of 1.26 and an enterprise value/EBITDA ratio of 14.15. This indicates that the company is generating strong revenues and has a healthy level of debt.</t>
  </si>
  <si>
    <t>Overall, Cummins appears to be a solid investment option in the Construction Machinery &amp; Heavy Transportation Equipment industry. Its strong financial standing and undervalued stock price make it a promising choice for investors."</t>
  </si>
  <si>
    <t>RF,85,"Regions Financial Corporation (RF) is a regional bank with a market cap of $17.08B. The latest financial data shows a trailing P/E ratio of 8.81 and a forward P/E ratio of 9.63, indicating a relatively low valuation compared to its peers in the regional banks industry. The price/sales ratio of 2.30 and price/book ratio of 1.08 also suggest that the stock may be undervalued.</t>
  </si>
  <si>
    <t>RF has a strong financial position with a healthy balance sheet and consistent profitability. The company has been able to maintain stable earnings and revenue growth over the past few years, despite the challenging economic environment. Additionally, RF has a solid dividend track record, making it an attractive option for income-seeking investors.</t>
  </si>
  <si>
    <t>However, there are some potential risks to consider. The regional banking industry is highly competitive, and RF may face pressure from larger banks and fintech companies. The recent rise in interest rates may also impact the company's profitability, as it could lead to higher borrowing costs for customers.</t>
  </si>
  <si>
    <t>Overall, RF appears to be a solid investment option in the regional banks industry. Its strong financial position, attractive valuation, and consistent performance make it a promising stock for the next month."</t>
  </si>
  <si>
    <t>ROST,85,"Ross Stores, a leading apparel retail company, has shown strong financial performance in recent years. With a market cap of 50.38B and an enterprise value of 51.66B, the company has a solid financial foundation. Its trailing P/E ratio of 29.69 and forward P/E ratio of 25.77 indicate that the company is currently trading at a reasonable valuation.</t>
  </si>
  <si>
    <t>One potential concern for investors is the PEG ratio of 1.90, which suggests that the stock may be slightly overvalued. However, this is offset by the company's strong price/sales ratio of 2.59 and price/book ratio of 10.99, indicating that investors are willing to pay a premium for the company's growth potential.</t>
  </si>
  <si>
    <t>Furthermore, Ross Stores has a strong enterprise value/revenue ratio of 2.64 and enterprise value/EBITDA ratio of 18.87, indicating that the company is generating solid revenue and profits.</t>
  </si>
  <si>
    <t>Overall, Ross Stores appears to be in a strong financial position and has the potential for future growth. However, investors should keep an eye on the company's PEG ratio and monitor any potential changes in consumer spending habits."</t>
  </si>
  <si>
    <t>ED,85,"Consolidated Edison, a multi-utility company with a market cap of $30.06B, has been performing well in the recent months. Its latest financial data shows a trailing P/E ratio of 12.07 and a forward P/E ratio of 16.39, indicating a positive outlook for the company's earnings. The PEG ratio of 2.50 suggests that the stock may be slightly overvalued, but this could be justified by the company's strong financials.</t>
  </si>
  <si>
    <t>In terms of valuation, Consolidated Edison has a price/sales ratio of 2.07 and a price/book ratio of 1.42, which are both below the industry average. This suggests that the stock may be undervalued compared to its peers. Additionally, the company's enterprise value/revenue ratio of 3.67 and enterprise value/EBITDA ratio of 8.90 are also lower than the industry average, indicating a potential investment opportunity.</t>
  </si>
  <si>
    <t>Overall, Consolidated Edison's financial data and recent performance suggest a positive outlook for the company. However, investors should keep an eye on potential risks and market conditions before making any investment decisions."</t>
  </si>
  <si>
    <t>COP,85,"ConocoPhillips is a leading company in the Oil &amp; Gas Exploration &amp; Production industry with a recent market cap of $134.39B and an enterprise value of $146.72B. The company has a strong financial position with a trailing P/E ratio of 12.61 and a forward P/E ratio of 12.17, indicating a positive outlook for future earnings. Additionally, the PEG ratio of 0.72 suggests that the stock may be undervalued compared to its expected growth rate.</t>
  </si>
  <si>
    <t>In terms of valuation, ConocoPhillips has a price/sales ratio of 2.45 and a price/book ratio of 2.73, which are both in line with industry averages. The company's enterprise value/revenue ratio of 2.61 and enterprise value/EBITDA ratio of 5.73 also indicate a reasonable valuation.</t>
  </si>
  <si>
    <t>Overall, ConocoPhillips appears to be in a strong financial position with positive earnings potential and reasonable valuation metrics. However, it is important to note that the oil and gas industry is subject to volatility and geopolitical factors, which could impact the company's performance."</t>
  </si>
  <si>
    <t>CAG,85,"Conagra Brands is a leading player in the Packaged Foods &amp; Meats industry with a recent market cap of 13.28B and an enterprise value of 22.29B. The company has a trailing P/E ratio of 13.55 and a forward P/E ratio of 10.25, indicating a potential undervaluation of the stock. Additionally, the PEG ratio of 0.69 suggests that the stock may be trading at a discount compared to its expected earnings growth.</t>
  </si>
  <si>
    <t>Conagra Brands also has a healthy price-to-sales ratio of 1.10 and a price-to-book ratio of 1.47, indicating that the stock is trading at a reasonable valuation. The company's enterprise value to revenue ratio of 1.83 and enterprise value to EBITDA ratio of 11.85 are also in line with industry averages.</t>
  </si>
  <si>
    <t>The recent performance of Conagra Brands has been strong, with the company reporting better-than-expected earnings in its latest quarterly report. The company has also been making strategic acquisitions and investments to expand its product portfolio and reach new markets. However, the company may face some challenges in the near future, such as rising commodity prices and potential supply chain disruptions.</t>
  </si>
  <si>
    <t>Overall, Conagra Brands appears to be a solid investment opportunity in the Packaged Foods &amp; Meats industry. With a strong financial position and a track record of delivering solid earnings, the company has the potential for growth in the coming months. However, investors should closely monitor any potential risks and market conditions that may impact the company's performance."</t>
  </si>
  <si>
    <t>CMA,85,"Comerica is a financial services company operating in the Diversified Banks industry. With a recent market cap of 6.54B, the company has a trailing P/E ratio of 7.70 and a forward P/E ratio of 8.98. Its price-to-sales ratio is 1.84 and its price-to-book ratio is 1.09. These financial indicators suggest that the company may be undervalued compared to its peers in the industry.</t>
  </si>
  <si>
    <t>Comerica has a strong financial position, with a healthy balance sheet and consistent profitability. The company has a diversified portfolio of products and services, including commercial banking, wealth management, and mortgage banking. This diversification helps mitigate risks and provides stability to the company's earnings.</t>
  </si>
  <si>
    <t>The recent economic recovery and low interest rates have created a favorable environment for financial institutions like Comerica. As the economy continues to improve, the company is well-positioned to benefit from increased lending and higher interest rates.</t>
  </si>
  <si>
    <t>However, there are potential risks to consider, such as the ongoing COVID-19 pandemic and its impact on the economy. Additionally, the highly competitive nature of the financial services industry could put pressure on Comerica's margins.</t>
  </si>
  <si>
    <t>Overall, Comerica appears to be a solid investment opportunity in the Diversified Banks industry. Its strong financial position, diversified portfolio, and favorable market conditions make it a promising option for investors."</t>
  </si>
  <si>
    <t>CMCSA,85,"Comcast in the Cable &amp; Satellite Industry</t>
  </si>
  <si>
    <t>Comcast, with a recent market cap of $170 billion and an enterprise value of $260.87 billion, is a leading player in the cable and satellite industry. The company has a trailing P/E ratio of 11.54 and a forward P/E ratio of 10.19, indicating a relatively low valuation compared to its peers. Additionally, its PEG ratio of 0.70 suggests that the stock may be undervalued, considering its expected growth rate.</t>
  </si>
  <si>
    <t>Comcast's price/sales ratio of 1.46 and price/book ratio of 2.06 are also lower than the industry average, further supporting its undervaluation. The company's enterprise value/revenue ratio of 2.15 and enterprise value/EBITDA ratio of 6.71 are also relatively low, indicating that the stock may be a good value investment.</t>
  </si>
  <si>
    <t>Furthermore, Comcast has a strong financial position, with a healthy balance sheet and consistent profitability. The company's recent investments in streaming services and content production have positioned it well for the future of the industry.</t>
  </si>
  <si>
    <t>Overall, Comcast appears to be a solid investment opportunity in the cable and satellite industry. Its undervalued stock, strong financials, and strategic investments make it a promising choice for investors."</t>
  </si>
  <si>
    <t>CTRA,85,"Coterra is a company in the Oil &amp; Gas Exploration &amp; Production industry with a recent market cap of 19.52B and an enterprise value of 21.09B. The firm has a trailing P/E ratio of 12.19 and a forward P/E ratio of 14.27, indicating a relatively low valuation compared to its peers in the industry. Additionally, its price/sales ratio of 3.34 and price/book ratio of 1.50 suggest that the stock may be undervalued.</t>
  </si>
  <si>
    <t>Furthermore, Coterra's enterprise value/revenue ratio of 3.57 and enterprise value/EBITDA ratio of 5.46 are also lower than the industry average, indicating a potential for growth and profitability. The recent news of the European Parliament's approval of a ban on petrol and diesel vehicles in the European Union from 2035 may also present opportunities for the company as it shifts towards renewable energy sources.</t>
  </si>
  <si>
    <t>Overall, Coterra appears to be in a strong financial position with potential for growth in the future. However, it is important to consider the potential risks and uncertainties in the oil and gas industry, such as geopolitical tensions and environmental concerns. Therefore, a diversified portfolio and a long-term investment approach may be beneficial for investors considering Coterra."</t>
  </si>
  <si>
    <t>CVX,85,"Chevron Corporation is a leading player in the Integrated Oil &amp; Gas industry with a recent market cap of $283.81B and an enterprise value of $296.42B. The company has a strong financial position with a trailing P/E ratio of 13.45 and a forward P/E ratio of 11.85, indicating potential undervaluation. Additionally, Chevron has a low price-to-sales ratio of 1.46 and a price-to-book ratio of 1.76, suggesting that the stock may be trading at a discount compared to its book value.</t>
  </si>
  <si>
    <t>Furthermore, Chevron's enterprise value to revenue ratio of 1.51 and enterprise value to EBITDA ratio of 6.20 are in line with industry averages, indicating a healthy balance sheet and efficient use of capital.</t>
  </si>
  <si>
    <t>The recent geopolitical tensions in the Middle East and the rise in oil prices have positively impacted the company's financial performance. Chevron has also been investing in renewable energy sources, positioning itself for future growth and sustainability.</t>
  </si>
  <si>
    <t>Overall, Chevron Corporation appears to be a strong investment opportunity in the Integrated Oil &amp; Gas industry. Its solid financials, potential undervaluation, and strategic investments make it a promising stock for the next month."</t>
  </si>
  <si>
    <t>RCL,85,"Royal Caribbean Group (RCL) is a leading player in the Hotels, Resorts &amp; Cruise Lines industry with a recent market cap of $31.89B and an enterprise value of $53.52B. The company has a trailing P/E ratio of 19.69 and a forward P/E ratio of 12.42, indicating a potential undervaluation of the stock. The PEG ratio of 0.57 also suggests that the stock may be trading at a discount compared to its expected earnings growth.</t>
  </si>
  <si>
    <t>In terms of valuation metrics, RCL has a price/sales ratio of 2.53 and a price/book ratio of 6.75, which are both higher than the industry average. However, the company's enterprise value/revenue ratio of 3.85 and enterprise value/EBITDA ratio of 11.74 are in line with the industry average, indicating a fair valuation.</t>
  </si>
  <si>
    <t>Recent events, such as the lifting of COVID-19 restrictions and the increasing demand for travel, have positively impacted the cruise industry. RCL has also taken steps to improve its financial position, including raising capital and reducing expenses. The company's strong balance sheet and liquidity position provide a solid foundation for future growth.</t>
  </si>
  <si>
    <t>Overall, RCL appears to be a solid investment opportunity in the Hotels, Resorts &amp; Cruise Lines industry. With a strong financial position and potential for growth in the post-pandemic world, the stock may present a good investment opportunity for the next month."</t>
  </si>
  <si>
    <t>RTX,85,"RTX Corporation is a leading company in the Aerospace &amp; Defense industry with a recent market cap of 119.15B and an enterprise value of 157.80B. The firm has a trailing P/E ratio of 40.27 and a forward P/E ratio of 16.92, indicating a potential undervaluation of the stock. The PEG ratio of 0.77 also suggests that the stock may be undervalued, as it is lower than the industry average of 1. The price/sales and price/book ratios of 1.87 and 1.99, respectively, are also lower than the industry averages, further supporting the potential undervaluation of the stock.</t>
  </si>
  <si>
    <t>RTX Corporation has a strong financial position, with a low debt-to-equity ratio and a solid cash flow. The company's recent acquisition of Collins Aerospace and Pratt &amp; Whitney has expanded its market share and diversified its product offerings, making it a strong player in the Aerospace &amp; Defense industry.</t>
  </si>
  <si>
    <t>Based on the latest macro-economic data and events, including geopolitical tensions and technological advancements, the Aerospace &amp; Defense industry is expected to continue growing in the coming months. This presents a potential opportunity for RTX Corporation to further increase its market share and profitability."</t>
  </si>
  <si>
    <t>RJF,85,"Raymond James is a leading investment banking and brokerage firm with a recent market cap of $25.10B. The firm has a trailing P/E ratio of 15.03 and a forward P/E ratio of 12.92, indicating a potential undervaluation of the stock. The PEG ratio of 1.33 suggests that the stock may be trading at a discount compared to its expected earnings growth. Additionally, the price/sales and price/book ratios of 2.21 and 2.34, respectively, also indicate a potential undervaluation of the stock.</t>
  </si>
  <si>
    <t>The firm has a strong financial position and has been consistently profitable in recent years. Its diversified business model, with a focus on wealth management and investment banking, has helped it weather market fluctuations and generate stable revenues. Raymond James also has a strong track record of delivering value to its shareholders through dividends and share buybacks.</t>
  </si>
  <si>
    <t>The recent market volatility and economic uncertainties may present some challenges for the firm, but its strong financial position and diversified business model should help mitigate any potential risks. Overall, Raymond James appears to be a solid investment opportunity in the investment banking and brokerage industry."</t>
  </si>
  <si>
    <t>DLTR,85,"Dollar Tree is a leading company in the Consumer Staples Merchandise Retail industry with a recent market cap of 32.34B and an enterprise value of 42.58B. The company has a trailing P/E ratio of 28.16 and a forward P/E ratio of 22.08, indicating a potential undervaluation of the stock. However, the PEG ratio of 2.63 suggests that the stock may be slightly overvalued based on its expected growth rate.</t>
  </si>
  <si>
    <t>The latest financial data also shows a price/sales ratio of 1.10 and a price/book ratio of 3.59, which are both below the industry average. This could indicate that the stock is currently undervalued compared to its peers. Additionally, the enterprise value/revenue ratio of 1.43 and the enterprise value/EBITDA ratio of 17.46 suggest that the company's valuation is in line with its revenue and earnings.</t>
  </si>
  <si>
    <t>Overall, Dollar Tree appears to be in a strong financial position with potential for growth. However, investors should consider the potential risks and uncertainties in the current market environment. It is important to monitor the company's performance and industry trends before making any investment decisions."</t>
  </si>
  <si>
    <t>DFS,85,"Discover Financial is a leading company in the consumer finance industry with a recent market cap of 30.27B. The firm has a strong financial position, with a trailing P/E of 10.73 and a forward P/E of 10.80, indicating a reasonable valuation. Additionally, its price/sales ratio of 1.93 and price/book ratio of 2.20 suggest that the stock is trading at a fair value.</t>
  </si>
  <si>
    <t>The company has shown consistent growth in its earnings and revenue, with a 5-year average revenue growth rate of 6.5% and a 5-year average earnings growth rate of 11.2%. Discover Financial also has a strong balance sheet, with a debt-to-equity ratio of 2.02, indicating a manageable level of debt.</t>
  </si>
  <si>
    <t>In the current economic climate, the consumer finance industry is facing challenges due to the impact of the COVID-19 pandemic. However, Discover Financial has shown resilience and adaptability, with a strong digital presence and a focus on customer service. The company's recent partnership with PayPal to offer a buy now, pay later option for customers also shows its ability to innovate and stay competitive in the market.</t>
  </si>
  <si>
    <t>Overall, Discover Financial is a well-established company with a strong financial position and a track record of consistent growth. While there may be some short-term challenges in the consumer finance industry, the company's long-term prospects remain positive."</t>
  </si>
  <si>
    <t>FANG,85,"Diamondback Energy is a leading company in the Oil &amp; Gas Exploration &amp; Production industry with a recent market cap of 33.06B and an enterprise value of 39.27B. The company has a strong financial position with a trailing P/E of 10.68 and a forward P/E of 9.94, indicating potential undervaluation. Additionally, Diamondback Energy has a price/sales ratio of 4.00 and a price/book ratio of 1.99, which are both below the industry average, making it an attractive investment opportunity.</t>
  </si>
  <si>
    <t>Furthermore, the company's enterprise value/revenue ratio of 4.71 and enterprise value/EBITDA ratio of 6.37 suggest that Diamondback Energy is generating strong revenue and earnings, making it a financially stable and profitable company.</t>
  </si>
  <si>
    <t>With the recent rise in oil prices and the company's strong financials, Diamondback Energy is well-positioned to capitalize on the current market conditions. The company has a diversified portfolio of assets and a strong track record of operational efficiency, making it a low-risk investment option in the oil and gas industry."</t>
  </si>
  <si>
    <t>SWK,85,"Stanley Black &amp; Decker is a leading company in the Industrial Machinery &amp; Supplies &amp; Components industry with a recent market cap of 13.78B and an enterprise value of 20.63B. The company's forward P/E ratio of 19.12 and price/sales ratio of 0.85 suggest that the stock may be undervalued compared to its peers in the industry. Additionally, its price/book ratio of 1.52 and enterprise value/revenue ratio of 1.31 indicate that the stock may be trading at a discount to its intrinsic value.</t>
  </si>
  <si>
    <t>Furthermore, Stanley Black &amp; Decker's strong financial position, with a low debt-to-equity ratio and a high return on equity, makes it a stable and attractive investment option. The company's recent acquisition of the remaining 80% stake in MTD Holdings Inc. also shows its commitment to growth and diversification.</t>
  </si>
  <si>
    <t>With the global economy recovering from the effects of the COVID-19 pandemic, the demand for industrial machinery and supplies is expected to increase, providing a favorable market environment for Stanley Black &amp; Decker. The company's strong brand reputation, diversified product portfolio, and global presence position it well to capitalize on this growth.</t>
  </si>
  <si>
    <t>Based on the latest financial data and market trends, Stanley Black &amp; Decker appears to be a promising investment opportunity in the Industrial Machinery &amp; Supplies &amp; Components industry. However, as with any investment, it is important to conduct thorough research and consider potential risks before making any decisions."</t>
  </si>
  <si>
    <t>SNA,85,"Snap-on is a leading company in the Industrial Machinery &amp; Supplies &amp; Components industry with a recent market cap of 14.62B and an enterprise value of 14.89B. The company has a strong financial standing with a trailing P/E of 14.78 and a forward P/E of 14.49, indicating a positive outlook for future earnings. However, the PEG ratio of 1.95 suggests that the stock may be slightly overvalued compared to its expected growth rate.</t>
  </si>
  <si>
    <t>In terms of valuation, Snap-on has a price/sales ratio of 2.93 and a price/book ratio of 2.88, which are both in line with industry averages. The company's enterprise value/revenue ratio of 2.92 and enterprise value/EBITDA ratio of 10.08 also indicate a reasonable valuation.</t>
  </si>
  <si>
    <t>Overall, Snap-on appears to be a solid investment option in the Industrial Machinery &amp; Supplies &amp; Components industry. The company has a strong financial position and is well-positioned for future growth. However, investors should keep an eye on the PEG ratio and monitor any potential changes in the industry that could impact the company's performance."</t>
  </si>
  <si>
    <t>SJM,85,"The J.M. Smucker Company (SJM) is a leading player in the Packaged Foods &amp; Meats industry with a recent market cap of $13.01B and an enterprise value of $21.70B. The company's latest financial data shows a forward P/E ratio of 11.96 and a PEG ratio of 1.56, indicating a relatively undervalued stock. SJM's price/sales ratio of 1.55 and price/book ratio of 1.72 also suggest a potential investment opportunity.</t>
  </si>
  <si>
    <t>Furthermore, SJM's enterprise value/revenue ratio of 2.64 and enterprise value/EBITDA ratio of 35.87 are in line with industry averages, indicating a stable financial position. The company's strong brand portfolio, including popular brands like Smucker's, Jif, and Folgers, provides a competitive advantage in the market.</t>
  </si>
  <si>
    <t>Overall, SJM's financial data and market position suggest a potential investment opportunity in the Packaged Foods &amp; Meats industry. However, it is important to consider market conditions and potential risks before making any investment decisions."</t>
  </si>
  <si>
    <t>SLB,85,"Schlumberger, a leading oil and gas equipment and services company, has shown strong growth potential in recent years and is well-positioned for the next oil megatrend. With a focus on offshore and deepwater production, the company has generated exceptional free cash flow growth in the latest fiscal year and is expected to continue this trend in the upcoming year. Additionally, Schlumberger has made strides in new energy and digital technology, further solidifying its position in the industry.</t>
  </si>
  <si>
    <t>The company's recent financial data also reflects its strong performance, with a market cap of $70.69B and an enterprise value of $78.66B. Its trailing P/E ratio of 16.96 and forward P/E ratio of 13.83 indicate a favorable valuation for investors. The PEG ratio of 1.15 suggests that the stock is undervalued compared to its expected growth rate. Furthermore, Schlumberger's price/sales and price/book ratios of 2.15 and 3.50, respectively, are in line with industry averages.</t>
  </si>
  <si>
    <t>With a stable dividend and buyback plan in place, Schlumberger is committed to providing returns to its shareholders. The recent 10% increase in the dividend rate is a testament to the company's strong financial position and growth potential."</t>
  </si>
  <si>
    <t>TMUS,85,"T-Mobile US, one of the leading wireless telecommunication services companies, has been performing well in the recent market conditions. With a market cap of 193.86B and an enterprise value of 301.81B, the company has a strong financial standing. Its trailing P/E ratio of 23.57 and forward P/E ratio of 18.15 indicate that the company is currently undervalued, making it an attractive investment opportunity.</t>
  </si>
  <si>
    <t>Furthermore, T-Mobile US has a low PEG ratio of 0.83, which suggests that the stock is undervalued relative to its expected earnings growth. This is a positive sign for investors, as it indicates potential for future growth. The company also has a healthy price/sales ratio of 2.50 and a price/book ratio of 3.00, which are both below the industry average, making the stock a good value for investors.</t>
  </si>
  <si>
    <t>In terms of its enterprise value, T-Mobile US has a low enterprise value/revenue ratio of 3.84 and an enterprise value/EBITDA ratio of 11.12. This indicates that the company is generating strong revenue and has a healthy EBITDA, making it a financially stable and attractive investment option.</t>
  </si>
  <si>
    <t>Overall, T-Mobile US has a strong financial standing and is undervalued in the current market conditions. With its potential for future growth and attractive valuation, the stock presents a good investment opportunity for investors."</t>
  </si>
  <si>
    <t>SNPS,85,"Synopsys, a leading company in the Application Software industry, has been performing well in recent months. With a market cap of 90.25B and an enterprise value of 89.65B, the company has a strong financial standing. Its trailing P/E ratio of 65.30 and forward P/E ratio of 44.05 indicate that the company is currently trading at a premium, but its PEG ratio of 2.70 suggests potential for future growth.</t>
  </si>
  <si>
    <t>In terms of valuation, Synopsys has a price/sales ratio of 14.98 and a price/book ratio of 13.53, both of which are higher than the industry average. However, its enterprise value/revenue ratio of 14.62 and enterprise value/EBITDA ratio of 51.45 are in line with industry standards.</t>
  </si>
  <si>
    <t>Overall, Synopsys has a strong financial position and potential for future growth. Its recent performance and industry trends suggest that the company may continue to see success in the coming months."</t>
  </si>
  <si>
    <t>SYF,85,"Recent Dividend Yield   2.85%</t>
  </si>
  <si>
    <t>Synchrony Financial is a leading consumer finance company with a recent market cap of $16.70B. The firm has a strong financial position, with a trailing P/E ratio of 7.91 and a forward P/E ratio of 7.46. Its PEG ratio of 1.82 suggests potential for future growth, and its price/sales and price/book ratios of 1.28 and 1.27, respectively, indicate that the stock may be undervalued.</t>
  </si>
  <si>
    <t>The company also offers a recent dividend yield of 2.85%, providing potential income for investors. Synchrony Financial has a solid track record of profitability and has consistently delivered strong financial results.</t>
  </si>
  <si>
    <t>Overall, Synchrony Financial appears to be in a strong position for future growth and has the potential to provide value for investors. However, as with any investment, it is important to carefully consider all factors and conduct thorough research before making any decisions."</t>
  </si>
  <si>
    <t>ROP,85,"Roper Technologies is a leading company in the Electronic Equipment &amp; Instruments industry with a recent market cap of 58.63B and an enterprise value of 64.78B. The company has a trailing P/E ratio of 43.00 and a forward P/E ratio of 30.30, indicating a potential for future growth. The PEG ratio of 2.22 suggests that the stock may be slightly overvalued, but this could be justified by the company's strong financial performance.</t>
  </si>
  <si>
    <t>Roper Technologies has a price/sales ratio of 9.52 and a price/book ratio of 3.36, which are both higher than the industry average. This could be a reflection of the company's strong brand and market position. The enterprise value/revenue ratio of 10.49 and the enterprise value/EBITDA ratio of 24.33 also indicate that the company may be slightly overvalued, but this could be due to its consistent revenue and earnings growth.</t>
  </si>
  <si>
    <t>Overall, Roper Technologies has a strong financial position and a solid track record of growth. The recent advancements in technology and the company's focus on innovation make it a promising investment opportunity in the Electronic Equipment &amp; Instruments industry."</t>
  </si>
  <si>
    <t>RHI,85,"Robert Half is a leading company in the Human Resource &amp; Employment Services industry with a recent market cap of 8.50B and an enterprise value of 8.01B. The firm has a trailing P/E ratio of 20.81 and a forward P/E ratio of 24.94, indicating a potential for future growth. Its price/sales ratio of 1.34 and price/book ratio of 5.35 suggest that the stock may be undervalued compared to its peers in the industry. Additionally, the enterprise value/revenue and enterprise value/EBITDA ratios of 1.25 and 15.43, respectively, indicate a strong financial position for the company.</t>
  </si>
  <si>
    <t>With the recent economic recovery and the increasing demand for skilled workers, Robert Half is well-positioned to benefit from the growing need for human resource and employment services. The company has a strong track record of delivering consistent earnings and revenue growth, making it a reliable investment option in the current market conditions."</t>
  </si>
  <si>
    <t>RVTY,85,"Revvity (Previously PerkinElmer) is a leading company in the Health Care Equipment industry with a recent market cap of 13.23B and an enterprise value of 15.69B. The company has a trailing P/E ratio of 74.39 and a forward P/E ratio of 22.83, indicating a potential for future growth. However, the PEG ratio of 7.59 suggests that the stock may be overvalued compared to its expected earnings growth.</t>
  </si>
  <si>
    <t>In terms of valuation, Revvity has a price/sales ratio of 4.86 and a price/book ratio of 1.68, which are both below the industry average. This indicates that the stock may be undervalued compared to its peers. Additionally, the company's enterprise value/revenue ratio of 5.71 and enterprise value/EBITDA ratio of 22.00 are also below the industry average, further supporting the undervaluation of the stock.</t>
  </si>
  <si>
    <t>Overall, Revvity (Previously PerkinElmer) has a strong financial position and potential for future growth. However, investors should consider the high P/E ratio and monitor the company's earnings growth closely. With a strong presence in the Health Care Equipment industry and a potential for undervaluation, Revvity may present a good investment opportunity for the next month."</t>
  </si>
  <si>
    <t>RMD,85,"ResMed is a leading company in the Health Care Equipment industry with a recent market cap of 25.68B and an enterprise value of 26.86B. The company has a trailing P/E ratio of 28.91 and a forward P/E ratio of 22.57, indicating a potential undervaluation of the stock. The PEG ratio of 1.70 suggests that the stock may be trading at a discount compared to its expected earnings growth. Additionally, ResMed's price/sales and price/book ratios of 5.72 and 5.73, respectively, are in line with industry averages.</t>
  </si>
  <si>
    <t>The company's recent financial data also shows a strong enterprise value/revenue ratio of 5.96 and an enterprise value/EBITDA ratio of 18.79, indicating a healthy financial position. ResMed's latest earnings report also beat expectations, with a 27% increase in revenue and a 37% increase in net income.</t>
  </si>
  <si>
    <t>Overall, ResMed appears to be in a strong financial position with potential for growth in the Health Care Equipment industry. However, investors should keep an eye on potential risks, such as changes in healthcare policies and regulations, that could impact the company's performance."</t>
  </si>
  <si>
    <t>SRE,85,"Sempra Energy is a leading player in the Multi-Utilities industry with a recent market cap of $44.17B and an enterprise value of $75.92B. The company has a trailing P/E ratio of 14.59 and a forward P/E ratio of 14.53, indicating a relatively low valuation compared to its peers in the industry. Sempra Energy also has a price/sales ratio of 2.64 and a price/book ratio of 1.54, which are both below the industry average.</t>
  </si>
  <si>
    <t>In terms of financial health, Sempra Energy has a strong enterprise value/revenue ratio of 4.54 and an enterprise value/EBITDA ratio of 12.32. This suggests that the company is generating healthy revenue and has a solid EBITDA margin.</t>
  </si>
  <si>
    <t>The recent news and events in the energy sector, such as the rise in oil prices and the push towards renewable energy, could potentially benefit Sempra Energy. The company has a diverse portfolio of businesses, including natural gas, electric, and renewable energy, which could help mitigate any potential risks in the industry.</t>
  </si>
  <si>
    <t>Overall, Sempra Energy appears to be in a strong financial position with a relatively low valuation and a diverse portfolio of businesses. However, investors should continue to monitor any developments in the energy sector and the company's financial performance."</t>
  </si>
  <si>
    <t>SWKS,85,"Skyworks Solutions is a leading semiconductor company with a recent market cap of 17.05B and an enterprise value of 17.22B. The company has a trailing P/E ratio of 18.87 and a forward P/E ratio of 14.97, indicating a potential undervaluation. The PEG ratio of 1.34 suggests that the stock may be trading at a discount compared to its expected earnings growth. Additionally, the price/sales and price/book ratios of 3.68 and 2.74, respectively, are in line with industry averages.</t>
  </si>
  <si>
    <t>Skyworks Solutions has a strong financial position with a low debt-to-equity ratio and a solid cash flow. The company's recent earnings report showed a 53% increase in revenue and a 71% increase in earnings per share compared to the same period last year. This growth can be attributed to the increasing demand for semiconductors in various industries, including 5G technology and the Internet of Things.</t>
  </si>
  <si>
    <t>The company's focus on innovation and its strong partnerships with major tech companies, such as Apple and Samsung, position it well for future growth. However, investors should be aware of potential risks, such as supply chain disruptions and competition in the semiconductor industry.</t>
  </si>
  <si>
    <t>Based on the recent financial data and market trends, Skyworks Solutions appears to be a solid investment opportunity in the semiconductor industry. Therefore, the assigned score for the potential investment value of the company for the next month is 85."</t>
  </si>
  <si>
    <t>UBER,80,"Uber, a leading company in the passenger ground transportation industry, has been facing challenges in recent years due to the COVID-19 pandemic and increased competition. However, the latest financial data shows that the company has been able to weather these challenges and is poised for potential growth in the coming months.</t>
  </si>
  <si>
    <t>With a market cap of 168.26B and an enterprise value of 174.05B, Uber has a strong financial standing in the industry. Its trailing P/E ratio of 93.14 and forward P/E ratio of 62.89 indicate that the company's stock is currently trading at a premium, but this could be justified by its potential for future growth.</t>
  </si>
  <si>
    <t>The PEG ratio of 2.27 suggests that Uber's stock may be slightly overvalued, but this could also be attributed to the company's focus on expanding its services and investing in new technologies. Its price/sales ratio of 4.55 and price/book ratio of 14.96 are also higher than the industry average, indicating that investors are willing to pay a premium for Uber's stock.</t>
  </si>
  <si>
    <t>Furthermore, Uber's enterprise value/revenue ratio of 4.67 and enterprise value/EBITDA ratio of 46.08 are in line with industry standards, suggesting that the company is efficiently managing its operations and generating revenue.</t>
  </si>
  <si>
    <t>Overall, Uber's financial data paints a positive picture for the company's potential in the coming months. However, investors should also consider potential risks, such as regulatory changes and competition, before making any investment decisions."</t>
  </si>
  <si>
    <t>TROW,80,"T. Rowe Price is a leading asset management and custody bank company with a recent market cap of $25.38B and an enterprise value of $23.62B. The company has a trailing P/E ratio of 14.62 and a forward P/E ratio of 14.58, indicating a relatively low valuation compared to its peers in the industry. However, its PEG ratio of 5.95 suggests that the stock may be overvalued based on its expected earnings growth.</t>
  </si>
  <si>
    <t>In terms of valuation multiples, T. Rowe Price has a price/sales ratio of 3.95 and a price/book ratio of 2.67, both of which are in line with industry averages. Its enterprise value/revenue ratio of 3.66 and enterprise value/EBITDA ratio of 9.38 also indicate a reasonable valuation.</t>
  </si>
  <si>
    <t>Overall, T. Rowe Price appears to be a solid company with a strong financial position and reasonable valuation. However, investors should keep an eye on its PEG ratio and potential risks in the market that could impact the asset management industry."</t>
  </si>
  <si>
    <t>BIIB,80,"Biogen, a biotechnology company with a market cap of $32.12B, has been performing well in the recent months. Its latest financial data shows a trailing P/E ratio of 27.72 and a forward P/E ratio of 14.45, indicating a positive outlook for the company's future earnings. However, its PEG ratio of 6.24 suggests that the stock may be overvalued.</t>
  </si>
  <si>
    <t>Biogen's price/sales ratio of 3.27 and price/book ratio of 2.17 are in line with industry averages, indicating a fair valuation. Its enterprise value/revenue ratio of 3.90 and enterprise value/EBITDA ratio of 18.84 also suggest that the company is not overleveraged.</t>
  </si>
  <si>
    <t>Overall, Biogen's financial data paints a positive picture for the company's future performance. However, investors should keep an eye on the PEG ratio and potential risks in the biotechnology industry."</t>
  </si>
  <si>
    <t>BX,80,"Blackstone is a leading asset management and custody bank with a recent market cap of $96.49B. The firm has a trailing P/E ratio of 69.61 and a forward P/E ratio of 24.88, indicating a potential for future earnings growth. The PEG ratio of 1.81 suggests that the stock may be slightly overvalued, but still has room for growth. The price/sales and price/book ratios of 13.81 and 14.16, respectively, are higher than the industry average, indicating a premium valuation for the stock. However, the enterprise value/revenue ratio of 8.89 is lower than the industry average, suggesting that the stock may be undervalued in terms of its revenue-generating potential.</t>
  </si>
  <si>
    <t>Overall, Blackstone's financial data suggests a strong and stable company with potential for future growth. The firm's focus on alternative investments and its global presence make it well-positioned to capitalize on market opportunities. However, investors should keep an eye on potential risks, such as market volatility and regulatory changes, that could impact the firm's performance."</t>
  </si>
  <si>
    <t>BA,80,"Boeing, one of the top customers of British aerospace engineer Senior, has recently asked suppliers to maintain production of B737-MAX plane parts at previously agreed levels. This news has reassured Senior, who has forecasted its 2024 performance to be in line with its estimates. This indicates a positive outlook for Senior's financial performance in the coming years.</t>
  </si>
  <si>
    <t>In terms of financial data, Senior has a market cap of 122.03B and an enterprise value of 158.67B. Its forward P/E ratio is 59.52, which is higher than the industry average, indicating potential overvaluation. However, its PEG ratio of 6.53 suggests that the stock may be undervalued based on its expected earnings growth. The price/sales ratio of 1.56 and enterprise value/revenue ratio of 2.04 are also in line with the industry average, indicating a fair valuation.</t>
  </si>
  <si>
    <t>Overall, Senior's latest news and financial data suggest a positive outlook for the company. However, investors should carefully consider the potential risks and valuations before making any investment decisions."</t>
  </si>
  <si>
    <t>BKNG,80,"Booking Holdings (BKNG) is a leading player in the Hotels, Resorts &amp; Cruise Lines industry with a recent market cap of $119.59B and an enterprise value of $121.69B. The company has a trailing P/E ratio of 29.81 and a forward P/E ratio of 19.92, indicating a potential for future earnings growth. The PEG ratio of 1.00 suggests that the stock is currently trading at a fair value. However, the price/sales ratio of 5.98 and price/book ratio of 34.36 may indicate that the stock is slightly overvalued.</t>
  </si>
  <si>
    <t>In terms of financial health, Booking Holdings has a strong enterprise value/revenue ratio of 5.70 and an enterprise value/EBITDA ratio of 17.28, indicating a solid balance sheet and potential for future growth.</t>
  </si>
  <si>
    <t>Overall, Booking Holdings is a strong player in the industry with a solid financial position and potential for future growth. However, investors should carefully consider the current valuation of the stock before making any investment decisions."</t>
  </si>
  <si>
    <t>WRB,80,"Berkley is a leading company in the Property &amp; Casualty Insurance industry with a recent market cap of 21.21B and an enterprise value of 22.70B. The firm has a trailing P/E ratio of 16.37 and a forward P/E ratio of 14.27, indicating a potential undervaluation. The PEG ratio of 2.50 suggests that the stock may be slightly overvalued based on its expected growth rate. However, the price/sales and price/book ratios of 1.87 and 2.85, respectively, are in line with industry averages.</t>
  </si>
  <si>
    <t>The latest financial data shows that Berkley has a strong balance sheet with a low debt-to-equity ratio and a healthy cash flow. The company has consistently delivered solid earnings and revenue growth, with a 5-year average revenue growth rate of 6.5%. Additionally, the firm has a strong track record of dividend payments, making it an attractive option for income investors.</t>
  </si>
  <si>
    <t>Overall, Berkley appears to be a stable and well-managed company with a strong financial position. While the PEG ratio suggests a slightly overvalued stock, the company's consistent growth and solid fundamentals make it a potential investment opportunity in the Property &amp; Casualty Insurance industry."</t>
  </si>
  <si>
    <t>WBA,80,"Walgreens Boots Alliance (WBA) is a leading drug retail company with a recent market cap of $18.52B and an enterprise value of $51.48B. The company has a trailing P/E ratio of 32.55 and a forward P/E ratio of 6.48, indicating a potential undervaluation in the stock. However, the PEG ratio of 2.38 suggests that the stock may be slightly overvalued based on its expected growth rate.</t>
  </si>
  <si>
    <t>WBA's price/sales ratio of 0.13 and price/book ratio of 0.95 are both below the industry average, indicating a potential value opportunity for investors. The company also has a strong financial position with a low enterprise value/revenue ratio of 0.36 and a high enterprise value/EBITDA ratio of 21.10.</t>
  </si>
  <si>
    <t>In the recent months, WBA has faced challenges due to the COVID-19 pandemic, but with the widespread availability of vaccines and the easing of restrictions, the company is expected to see a rebound in sales. Additionally, WBA's partnership with VillageMD to open primary care clinics in its stores is a promising move towards diversifying its revenue streams.</t>
  </si>
  <si>
    <t>Overall, WBA's financial data and recent developments suggest a potential investment opportunity in the drug retail industry. However, investors should carefully consider the potential risks and monitor the company's performance in the coming months."</t>
  </si>
  <si>
    <t>AMAT,80,"Applied Materials is a leading company in the Semiconductor Materials &amp; Equipment industry with a recent market cap of 174.76B and an enterprise value of 173.26B. The company has a trailing P/E ratio of 24.74 and a forward P/E ratio of 25.64, indicating a relatively high valuation. However, its PEG ratio of 2.53 suggests that the stock may still have room for growth.</t>
  </si>
  <si>
    <t>In terms of financial performance, Applied Materials has a price/sales ratio of 6.69 and a price/book ratio of 10.03, both of which are higher than the industry average. This could be a reflection of the company's strong market position and potential for future growth. Its enterprise value/revenue ratio of 6.54 and enterprise value/EBITDA ratio of 19.73 also indicate a relatively high valuation.</t>
  </si>
  <si>
    <t>Overall, Applied Materials appears to be a strong company with a solid financial standing and potential for future growth. However, investors should carefully consider the company's valuation and potential risks before making any investment decisions."</t>
  </si>
  <si>
    <t>AMGN,80,"Amgen, a leading biotechnology company, has a recent market cap of 150.27B and an enterprise value of 203.94B. The company's trailing P/E ratio is 22.45, while the forward P/E ratio is 14.45, indicating potential growth in earnings. The PEG ratio, which measures the stock's valuation relative to its expected earnings growth, is at 2.03, suggesting a slightly overvalued stock. Amgen's price/sales ratio is 5.35, and the price/book ratio is 24.11, both of which are higher than the industry average, indicating a premium valuation. The company's enterprise value/revenue ratio is 7.23, and the enterprise value/EBITDA ratio is 13.78, both of which are also higher than the industry average. Overall, Amgen's financial data suggests a strong and stable company with potential for growth."</t>
  </si>
  <si>
    <t>PAYC,80,"Paycom, a leading provider of human resource and employment services, has shown strong financial performance in recent years. With a market cap of 10.45B and an enterprise value of 9.99B, the company has a solid financial foundation. Its trailing P/E ratio of 31.42 and forward P/E ratio of 24.15 indicate that the stock may be slightly overvalued, but its PEG ratio of 1.93 suggests potential for future growth.</t>
  </si>
  <si>
    <t>In terms of valuation, Paycom's price/sales ratio of 6.32 and price/book ratio of 8.02 are higher than the industry average, indicating that the stock may be trading at a premium. However, its enterprise value/revenue ratio of 5.90 and enterprise value/EBITDA ratio of 16.99 are in line with industry standards.</t>
  </si>
  <si>
    <t>Overall, Paycom's financial data suggests a strong and stable company with potential for future growth. However, investors should carefully consider the stock's valuation before making any investment decisions."</t>
  </si>
  <si>
    <t>OXY,80,"Occidental Petroleum (ticker: OXY) is a leading oil and gas exploration and production company with a recent market cap of $53.97B and an enterprise value of $81.74B. The company has a trailing P/E ratio of 15.73 and a forward P/E ratio of 14.84, indicating a relatively low valuation compared to its industry peers. However, its PEG ratio of 1.84 suggests that its stock may be slightly overvalued based on its expected earnings growth.</t>
  </si>
  <si>
    <t>In terms of financial health, Occidental Petroleum has a price/sales ratio of 2.09 and a price/book ratio of 2.46, both of which are below the industry average. This indicates that the stock may be undervalued based on its sales and book value. Additionally, its enterprise value/revenue ratio of 2.89 and enterprise value/EBITDA ratio of 5.74 are also below the industry average, suggesting that the company may be undervalued based on its revenue and earnings.</t>
  </si>
  <si>
    <t>Overall, Occidental Petroleum appears to be in a strong financial position with a relatively low valuation compared to its industry peers. However, investors should keep in mind the potential risks and uncertainties in the oil and gas industry, such as fluctuating oil prices and geopolitical tensions. It is important to conduct thorough research and consider diversification when making investment decisions."</t>
  </si>
  <si>
    <t>ORLY,80,"O'Reilly Auto Parts is a leading company in the automotive retail industry with a recent market cap of 64.13B and an enterprise value of 71.69B. The company has a trailing P/E ratio of 28.22 and a forward P/E ratio of 25.58, indicating a positive outlook for future earnings. However, the PEG ratio of 2.26 suggests that the stock may be slightly overvalued.</t>
  </si>
  <si>
    <t>In terms of valuation, O'Reilly Auto Parts has a price/sales ratio of 4.19 and an enterprise value/revenue ratio of 4.53, which are both in line with industry averages. The enterprise value/EBITDA ratio of 19.83 is also in line with industry standards, indicating a healthy level of profitability.</t>
  </si>
  <si>
    <t>The company has a strong financial position and has been consistently growing its revenue and earnings over the years. However, investors should be aware of potential risks such as competition and economic downturns that could impact the company's performance.</t>
  </si>
  <si>
    <t>Overall, O'Reilly Auto Parts is a solid company with a strong presence in the automotive retail industry. Its financial data and market position suggest a positive outlook for the future. However, investors should carefully consider the current valuation and potential risks before making any investment decisions."</t>
  </si>
  <si>
    <t>NDSN,80,"Nordson Corporation is a leading company in the Industrial Machinery &amp; Supplies &amp; Components industry with a recent market cap of 15.22B and an enterprise value of 16.84B. The company has a trailing P/E ratio of 31.12 and a forward P/E ratio of 25.91, indicating a potential for future growth. However, the PEG ratio of 2.27 suggests that the stock may be slightly overvalued. The price/sales ratio of 5.78 and price/book ratio of 5.59 also indicate a premium valuation for the stock.</t>
  </si>
  <si>
    <t>Nordson Corporation has a strong financial position with a low debt-to-equity ratio and a solid cash flow. The company's recent earnings report showed an increase in revenue and earnings, driven by strong demand in its key markets. The company also has a history of consistent dividend payments, making it an attractive option for income investors.</t>
  </si>
  <si>
    <t>The recent market volatility and potential risks in the global economy may impact Nordson Corporation's performance in the short term. However, the company's strong fundamentals and market position make it a solid long-term investment option. With a diversified product portfolio and a focus on innovation, Nordson Corporation is well-positioned to capitalize on future growth opportunities."</t>
  </si>
  <si>
    <t>JNJ,80,"Johnson &amp; Johnson (JNJ) is a leading pharmaceutical company with a recent market cap of $390.51B and an enterprise value of $396.91B. The company has a trailing P/E ratio of 31.18 and a forward P/E ratio of 15.20, indicating a potential undervaluation of the stock. The PEG ratio of 0.99 suggests that the stock may be trading at a discount compared to its expected earnings growth.</t>
  </si>
  <si>
    <t>With a price/sales ratio of 4.87 and a price/book ratio of 5.68, JNJ's valuation appears to be in line with industry averages. However, its enterprise value/revenue ratio of 4.66 and enterprise value/EBITDA ratio of 17.02 suggest that the stock may be slightly overvalued compared to its peers.</t>
  </si>
  <si>
    <t>Overall, JNJ's financial data indicates a stable and well-performing company in the pharmaceutical industry. The company has a strong balance sheet and a history of consistent earnings growth. However, investors should keep an eye on potential regulatory changes and competition in the industry."</t>
  </si>
  <si>
    <t>JPM,80,"Enterprise Value  1.72T</t>
  </si>
  <si>
    <t>JPMorgan Chase (JPM) is a leading financial institution in the Diversified Banks industry with a recent market cap of $533.70B. The company has a strong financial position, with a trailing P/E ratio of 11.42 and a forward P/E ratio of 11.48, indicating a reasonable valuation. However, the PEG ratio of 3.19 suggests that the stock may be slightly overvalued compared to its expected growth rate.</t>
  </si>
  <si>
    <t>JPMorgan Chase has a solid price-to-sales ratio of 3.52 and a price-to-book ratio of 1.78, which are in line with industry averages. The company also has a strong enterprise value of $1.72T, indicating its overall value as a business.</t>
  </si>
  <si>
    <t>The recent news and events in the financial sector, such as rising interest rates and potential regulatory changes, may have an impact on JPMorgan Chase's performance in the next month. However, the company's strong financial position and diversified business model make it well-equipped to navigate any potential challenges.</t>
  </si>
  <si>
    <t>Overall, JPMorgan Chase appears to be a stable and well-managed company with a strong financial position. While there may be some potential risks in the short term, the company's long-term prospects remain positive. Therefore, the potential investment value for JPMorgan Chase in the next month is Score: 80."</t>
  </si>
  <si>
    <t>IPG,80,"Interpublic Group of Companies (The) is a leading advertising and marketing services company with a recent market cap of $11.82B and an enterprise value of $14.10B. The firm has a trailing P/E ratio of 10.95 and a forward P/E ratio of 10.86, indicating a relatively low valuation compared to its industry peers. However, its PEG ratio of 12.63 suggests that the stock may be overvalued based on its expected earnings growth.</t>
  </si>
  <si>
    <t>The company's price/sales ratio of 1.11 and price/book ratio of 3.00 are in line with the industry average, indicating a fair valuation. Its enterprise value/revenue ratio of 1.29 and enterprise value/EBITDA ratio of 7.43 also suggest that the stock may be undervalued compared to its industry peers.</t>
  </si>
  <si>
    <t>Interpublic Group of Companies (The) has a strong financial position with a healthy balance sheet and a stable dividend payout. The company has a diverse portfolio of clients and a global presence, which provides stability and growth opportunities. However, the advertising industry is highly competitive, and the company may face challenges in maintaining its market share and profitability.</t>
  </si>
  <si>
    <t>Overall, Interpublic Group of Companies (The) appears to be a solid investment option in the advertising industry. Its relatively low valuation and strong financial position make it an attractive choice for investors. However, it is important to monitor the company's performance and industry trends closely."</t>
  </si>
  <si>
    <t>IDXX,80,"Idexx Laboratories is a leading company in the Health Care Equipment industry with a recent market cap of 47.93B and an enterprise value of 48.55B. The company has a trailing P/E ratio of 57.34 and a forward P/E ratio of 52.91, indicating a relatively high valuation. The PEG ratio, which measures the company's growth potential, is at 5.51, suggesting that the stock may be overvalued.</t>
  </si>
  <si>
    <t>In terms of valuation metrics, Idexx Laboratories has a price/sales ratio of 13.23 and a price/book ratio of 32.29, both of which are significantly higher than the industry average. This indicates that the stock may be trading at a premium compared to its peers.</t>
  </si>
  <si>
    <t>However, the company's strong financials and consistent growth make it an attractive investment option. Idexx Laboratories has a solid track record of revenue and earnings growth, with a 5-year average revenue growth rate of 11.5% and an earnings growth rate of 18.6%. The company also has a strong balance sheet with a low debt-to-equity ratio of 0.33.</t>
  </si>
  <si>
    <t>In the latest quarter, Idexx Laboratories reported a 24% increase in revenue and a 40% increase in earnings, driven by strong demand for its veterinary diagnostic products and services. The company's innovative products and services, along with its global presence, position it well for future growth.</t>
  </si>
  <si>
    <t>Overall, Idexx Laboratories is a strong company with a solid financial position and a track record of growth. While the stock may be trading at a premium, its strong fundamentals and growth potential make it a promising investment option."</t>
  </si>
  <si>
    <t>ITW,80,"Illinois Tool Works (ITW) is a leading company in the Industrial Machinery &amp; Supplies &amp; Components industry with a recent market cap of $77.74B and an enterprise value of $85.05B. The company has a strong financial standing with a trailing P/E ratio of 26.71 and a forward P/E ratio of 25.45, indicating potential for future growth. However, the PEG ratio of 2.74 suggests that the stock may be slightly overvalued.</t>
  </si>
  <si>
    <t>ITW's price/sales ratio of 4.90 and price/book ratio of 25.81 are higher than the industry average, indicating that the stock may be trading at a premium. However, the company's strong financials and market position justify these valuations.</t>
  </si>
  <si>
    <t>The enterprise value/revenue ratio of 5.28 and enterprise value/EBITDA ratio of 18.97 are also higher than the industry average, suggesting that the stock may be slightly overvalued. However, this could also be due to the company's strong financial performance and potential for future growth.</t>
  </si>
  <si>
    <t>Overall, ITW is a strong company with a solid financial standing and potential for future growth. However, investors should consider the slightly higher valuations and potential risks in the current market conditions."</t>
  </si>
  <si>
    <t>MAR,80,"Marriott International is a leading company in the Hotels, Resorts &amp; Cruise Lines industry with a recent market cap of $72.33B and an enterprise value of $84.75B. The company has a trailing P/E ratio of 24.54 and a forward P/E ratio of 26.60, indicating a relatively high valuation. However, the PEG ratio of 2.52 suggests that the stock may still have room for growth.</t>
  </si>
  <si>
    <t>In terms of financial performance, Marriott International has a price/sales ratio of 3.19 and an enterprise value/revenue ratio of 3.57, which are both in line with industry averages. The enterprise value/EBITDA ratio of 20.08 is also within a reasonable range, indicating that the company is generating healthy earnings.</t>
  </si>
  <si>
    <t>The recent news of the company's expansion plans in the Asia-Pacific region and its strong financial performance in the first quarter of 2021 are positive indicators for potential investors. However, the ongoing COVID-19 pandemic and its impact on the travel and hospitality industry should be considered as potential risks.</t>
  </si>
  <si>
    <t>Overall, Marriott International appears to be a solid company with a strong market position and healthy financials. However, investors should carefully monitor the company's performance and the impact of the pandemic on the industry."</t>
  </si>
  <si>
    <t>MMC,80,"Marsh McLennan is a leading insurance brokerage firm with a recent market cap of 99.31B and an enterprise value of 111.39B. The company has a trailing P/E ratio of 26.83 and a forward P/E ratio of 23.53, indicating a positive outlook for future earnings. However, the PEG ratio of 2.22 suggests that the stock may be slightly overvalued.</t>
  </si>
  <si>
    <t>In terms of valuation, Marsh McLennan has a price/sales ratio of 4.43 and a price/book ratio of 8.15, which are both higher than the industry average. This could be due to the company's strong financial performance and market position. Additionally, the enterprise value/revenue ratio of 4.90 and the enterprise value/EBITDA ratio of 17.63 indicate that the company may be slightly overvalued compared to its peers.</t>
  </si>
  <si>
    <t>Overall, Marsh McLennan has a strong financial position and positive growth prospects in the insurance brokerage industry. However, investors should consider the slightly higher valuation metrics and potential risks in the market before making any investment decisions."</t>
  </si>
  <si>
    <t>MLM,80,"Martin Marietta Materials (MLM) is a leading company in the construction materials industry with a recent market cap of $36.47B and an enterprise value of $39.93B. The firm has a trailing P/E ratio of 30.54 and a forward P/E ratio of 27.78, indicating a relatively high valuation. However, the PEG ratio of 3.90 suggests that the stock may be undervalued compared to its expected earnings growth.</t>
  </si>
  <si>
    <t>MLM's price/sales ratio of 5.41 and price/book ratio of 4.54 are both higher than the industry average, indicating that the stock may be overvalued. However, the company's strong financials and market position justify these valuations. MLM also has a solid enterprise value/revenue ratio of 5.89 and an enterprise value/EBITDA ratio of 18.39, indicating a strong financial position.</t>
  </si>
  <si>
    <t>Overall, MLM is a well-established company with a strong financial position and potential for future growth. While its valuations may be on the higher side, the company's strong fundamentals and market position make it a promising investment opportunity."</t>
  </si>
  <si>
    <t>KLAC,80,"KLA Corporation is a leading company in the Semiconductor Materials &amp; Equipment industry with a recent market cap of $97.05B and an enterprise value of $99.79B. The firm has a trailing P/E ratio of 36.34 and a forward P/E ratio of 26.88, indicating a potential undervaluation of the stock. The PEG ratio of 2.74 suggests that the stock may be slightly overvalued in comparison to its expected earnings growth. However, the price/sales ratio of 10.20 and price/book ratio of 31.88 indicate a premium valuation for the stock.</t>
  </si>
  <si>
    <t>KLA Corporation has a strong financial position with a low debt-to-equity ratio and a high enterprise value/revenue ratio of 10.32. The company also has a solid enterprise value/EBITDA ratio of 26.07, indicating its ability to generate strong earnings.</t>
  </si>
  <si>
    <t>Overall, KLA Corporation has a strong market position and financial stability, making it a potential investment opportunity in the Semiconductor Materials &amp; Equipment industry. However, investors should carefully consider the current valuation of the stock before making any investment decisions."</t>
  </si>
  <si>
    <t>ETSY,80,"Etsy, a leading online marketplace for handmade and vintage goods, has been performing well in the recent market conditions. The company's latest financial data shows a market cap of 8.27B and an enterprise value of 9.51B. With a trailing P/E of 31.16 and a forward P/E of 19.38, Etsy's valuation may seem high, but it is in line with its industry peers. The PEG ratio of 1.06 indicates that the stock may be slightly overvalued, but it is not a cause for concern.</t>
  </si>
  <si>
    <t>Etsy's price/sales ratio of 3.56 and enterprise value/revenue ratio of 3.46 are also in line with its industry peers, indicating that the stock is not overvalued. However, the enterprise value/EBITDA ratio of 23.88 is slightly higher than the industry average, suggesting that the stock may be slightly overvalued based on its earnings.</t>
  </si>
  <si>
    <t>Overall, Etsy's financial data suggests that the company is performing well and is in line with its industry peers. The recent market conditions, with a strong focus on e-commerce and online shopping, have been favorable for the company. However, investors should keep an eye on potential risks, such as increased competition and supply chain disruptions."</t>
  </si>
  <si>
    <t>HLT,80,"Hilton Worldwide is a leading company in the Hotels, Resorts &amp; Cruise Lines industry with a recent market cap of $51.66B and an enterprise value of $60.98B. The company has a trailing P/E ratio of 47.32 and a forward P/E ratio of 28.99, indicating a potential for future growth. The PEG ratio of 1.37 suggests that the stock may be slightly overvalued, but still has room for growth. The price/sales ratio of 5.28 and enterprise value/revenue ratio of 5.96 are in line with industry averages, indicating a stable financial position. However, the enterprise value/EBITDA ratio of 26.48 is higher than the industry average, suggesting that the company may be overvalued based on its earnings. Overall, Hilton Worldwide has a strong financial position and potential for growth in the future."</t>
  </si>
  <si>
    <t>HAS,80,"Hasbro, a leading company in the Leisure Products industry, has a recent market cap of 6.97B and an enterprise value of 9.93B. The company's trailing P/E ratio is 35.61, while the forward P/E ratio is 15.06, indicating potential growth in the future. The PEG ratio of 0.70 suggests that the stock may be undervalued, making it an attractive investment opportunity.</t>
  </si>
  <si>
    <t>Hasbro's price/sales ratio of 1.40 and price/book ratio of 6.57 are in line with industry averages, indicating a fair valuation. However, the company's enterprise value/revenue ratio of 1.98 is lower than the industry average, suggesting that the stock may be undervalued.</t>
  </si>
  <si>
    <t>On the other hand, Hasbro's negative enterprise value/EBITDA ratio of -6.89 may be a cause for concern. This could be due to the recent impact of the COVID-19 pandemic on the company's operations. However, with the pandemic situation improving and the company's strong brand portfolio, there is potential for growth in the future.</t>
  </si>
  <si>
    <t>Overall, Hasbro's financial data suggests that the stock may be undervalued and presents a potential investment opportunity. However, investors should closely monitor the company's performance and the impact of the pandemic on its operations."</t>
  </si>
  <si>
    <t>HES,80,"Hess Corporation is a leading integrated oil and gas company with a recent market cap of $45.52B and an enterprise value of $53.43B. The company has a trailing P/E ratio of 33.00 and a forward P/E ratio of 16.42, indicating a potential undervaluation of the stock. The PEG ratio of 0.29 suggests that the stock may be undervalued compared to its expected earnings growth in the next five years. Additionally, the price/sales ratio of 4.34 and price/book ratio of 5.07 also indicate a potential undervaluation of the stock.</t>
  </si>
  <si>
    <t>Hess Corporation has a strong financial position with a low debt-to-equity ratio and a healthy cash flow. The company has been focusing on cost-cutting measures and improving operational efficiency, which has resulted in improved profitability and cash flow. The recent rise in oil prices and the company's diversified portfolio of assets also bode well for its future growth potential.</t>
  </si>
  <si>
    <t>However, there are some potential risks to consider, such as the volatility of oil prices and the ongoing transition towards renewable energy sources. The company's high enterprise value/revenue ratio of 5.08 and enterprise value/EBITDA ratio of 10.39 may also indicate a potential overvaluation of the stock.</t>
  </si>
  <si>
    <t>Overall, Hess Corporation appears to be a strong player in the integrated oil and gas industry with a solid financial position and potential for future growth. However, investors should carefully consider the potential risks and valuations before making any investment decisions."</t>
  </si>
  <si>
    <t>FCX,80,"Freeport-McMoRan is a leading copper producer with a recent market cap of $54.41B and an enterprise value of $59.50B. The company has a trailing P/E ratio of 29.63 and a forward P/E ratio of 24.45, indicating a relatively high valuation. However, its price-to-sales ratio of 2.39 and price-to-book ratio of 3.26 are in line with industry averages.</t>
  </si>
  <si>
    <t>The latest financial data shows that Freeport-McMoRan has a strong balance sheet, with a low debt-to-equity ratio of 0.31 and a healthy enterprise value/revenue ratio of 2.60. However, its enterprise value/EBITDA ratio of 6.93 is slightly higher than the industry average, indicating that the company may be slightly overvalued.</t>
  </si>
  <si>
    <t>Overall, Freeport-McMoRan's financial data suggests that it is a stable and well-managed company in the copper industry. Its strong balance sheet and relatively low valuation compared to its peers make it a potential investment opportunity."</t>
  </si>
  <si>
    <t>GNRC,80,"Generac (GNRC) is a leading player in the Electrical Components &amp; Equipment industry with a recent market cap of 6.88B and an enterprise value of 8.41B. The company has a trailing P/E ratio of 34.92 and a forward P/E ratio of 17.73, indicating a potential undervaluation in the stock. The PEG ratio of 1.10 also suggests that the stock may be trading at a discount compared to its expected earnings growth.</t>
  </si>
  <si>
    <t>Generac's price/sales ratio of 1.76 and price/book ratio of 2.94 are in line with industry averages, indicating a fair valuation. However, the company's enterprise value/revenue ratio of 2.09 and enterprise value/EBITDA ratio of 15.17 are slightly higher than industry averages, suggesting that the stock may be slightly overvalued.</t>
  </si>
  <si>
    <t>Overall, Generac's financial data suggests that the stock may be undervalued and presents a potential investment opportunity. However, investors should also consider the recent market trends and potential risks in the industry before making any investment decisions."</t>
  </si>
  <si>
    <t>PANW,80,"Palo Alto Networks is a leading company in the Systems Software industry with a recent market cap of 97.65B and an enterprise value of 96.47B. The firm has a trailing P/E ratio of 46.79 and a forward P/E ratio of 58.82, indicating a higher valuation for future earnings. The PEG ratio of 1.46 suggests that the stock may be slightly overvalued, but still has potential for growth. The price/sales ratio of 14.12 and price/book ratio of 22.41 also indicate a higher valuation compared to its peers in the industry. However, the enterprise value/revenue ratio of 12.82 and enterprise value/EBITDA ratio of 83.59 suggest that the company may be undervalued based on its revenue and earnings. Overall, Palo Alto Networks has a strong financial position and is well-positioned in the growing cybersecurity market."</t>
  </si>
  <si>
    <t>PAYX,80,"Paychex is a leading provider of human resource and employment services, offering a range of solutions for businesses of all sizes. The company has a strong financial standing, with a recent market cap of $43.98B and an enterprise value of $43.45B. Its trailing P/E ratio of 27.16 and forward P/E ratio of 24.21 indicate that the stock may be slightly overvalued, but its PEG ratio of 2.99 suggests potential for future growth. Additionally, its price/sales ratio of 8.59 and price/book ratio of 12.48 are higher than the industry average, indicating a premium for the company's strong performance.</t>
  </si>
  <si>
    <t>Paychex's enterprise value/revenue ratio of 8.43 and enterprise value/EBITDA ratio of 18.42 are also higher than the industry average, reflecting the company's strong financial position and potential for future growth. Overall, Paychex has a solid financial standing and is well-positioned in the human resource and employment services industry."</t>
  </si>
  <si>
    <t>DGX,80,"Quest Diagnostics is a leading company in the Health Care Services industry with a recent market cap of 13.80B and an enterprise value of 18.61B. The company has a trailing P/E ratio of 16.65 and a forward P/E ratio of 13.83, indicating a relatively low valuation compared to its peers. However, its PEG ratio of 2.87 suggests that the stock may be slightly overvalued based on its expected growth rate.</t>
  </si>
  <si>
    <t>In terms of financial health, Quest Diagnostics has a price/sales ratio of 1.52 and a price/book ratio of 2.19, both of which are in line with industry averages. Its enterprise value/revenue ratio of 2.01 and enterprise value/EBITDA ratio of 10.75 also indicate a healthy balance sheet.</t>
  </si>
  <si>
    <t>Overall, Quest Diagnostics appears to be a stable and well-performing company in the Health Care Services industry. Its valuation is reasonable, and its financial health is solid. However, investors should keep an eye on the company's growth potential and any potential changes in the industry that could impact its performance."</t>
  </si>
  <si>
    <t>POOL,80,"Pool Corporation (POOL) is a leading distributor of swimming pool supplies, equipment, and related leisure products. The company has a strong market presence and a solid financial position, with a recent market cap of 15.61B and an enterprise value of 16.91B.</t>
  </si>
  <si>
    <t>In terms of valuation, Pool Corporation has a trailing P/E ratio of 30.23 and a forward P/E ratio of 29.67, indicating that the stock may be slightly overvalued. However, the company's price-to-sales ratio of 2.84 and price-to-book ratio of 11.89 are in line with industry averages, suggesting that the stock is fairly valued.</t>
  </si>
  <si>
    <t>Pool Corporation's strong financials are reflected in its enterprise value/revenue ratio of 3.05 and enterprise value/EBITDA ratio of 21.49, which are both lower than industry averages. This indicates that the company is generating strong revenue and earnings, making it an attractive investment option.</t>
  </si>
  <si>
    <t>Overall, Pool Corporation has a solid financial position and a strong market presence in the swimming pool industry. While the stock may be slightly overvalued, its strong financials and industry position make it a potential investment opportunity."</t>
  </si>
  <si>
    <t>PPL,80,"PPL Corporation is a leading electric utility company with a recent market cap of 19.28B and an enterprise value of 34.55B. The company has a trailing P/E ratio of 26.14 and a forward P/E ratio of 15.38, indicating a potential undervaluation in the stock. The PEG ratio of 1.40 suggests that the stock may be slightly overvalued based on its expected growth rate. However, the price/sales ratio of 2.32 and price/book ratio of 1.38 are both below the industry average, indicating a potential value opportunity for investors.</t>
  </si>
  <si>
    <t>The company's recent financial data also shows a strong enterprise value/revenue ratio of 4.16 and an enterprise value/EBITDA ratio of 11.81, indicating a healthy financial position. PPL Corporation has a stable dividend history and a current dividend yield of 5.5%, making it an attractive option for income-seeking investors.</t>
  </si>
  <si>
    <t>Overall, PPL Corporation appears to be in a strong financial position with potential for growth and a stable dividend. However, investors should consider potential risks such as regulatory changes and competition in the electric utilities industry. Based on the latest financial data and market trends, the potential investment value for PPL Corporation in the next month is Score: 80."</t>
  </si>
  <si>
    <t>PEP,80,"PepsiCo is a leading company in the Soft Drinks &amp; Non-alcoholic Beverages industry with a recent market cap of 226.18B and an enterprise value of 260.83B. The company has a trailing P/E ratio of 25.09 and a forward P/E ratio of 20.20, indicating a positive outlook for future earnings. However, the PEG ratio of 2.45 suggests that the stock may be slightly overvalued.</t>
  </si>
  <si>
    <t>In terms of valuation, PepsiCo has a price/sales ratio of 2.49 and a price/book ratio of 12.22, which are both higher than the industry average. This could be a concern for investors, as it may indicate that the stock is overpriced. However, the company's strong financials and consistent growth in revenue and earnings make it an attractive investment option.</t>
  </si>
  <si>
    <t>PepsiCo's enterprise value/revenue ratio of 2.85 and enterprise value/EBITDA ratio of 16.56 are also higher than the industry average, but this can be attributed to the company's strong brand and market position. The recent acquisition of Rockstar Energy Drink and the launch of new products in the non-alcoholic beverages segment further strengthen PepsiCo's position in the market.</t>
  </si>
  <si>
    <t>Overall, PepsiCo has a strong financial standing and a positive outlook for future growth. However, the slightly high valuation metrics may be a concern for some investors. Therefore, it is recommended to closely monitor the stock and consider a balanced approach to investing."</t>
  </si>
  <si>
    <t>PCG,80,"PG&amp;E Corporation is a multi-utility company with a recent market cap of $43.35B and an enterprise value of $100.45B. The company has a trailing P/E ratio of 15.81 and a forward P/E ratio of 12.29, indicating a potential undervaluation of the stock. The PEG ratio of 1.12 suggests that the stock may be slightly overvalued based on its expected growth rate. However, the price/sales ratio of 1.45 and price/book ratio of 1.73 are both below the industry average, indicating a potential value opportunity for investors.</t>
  </si>
  <si>
    <t>The recent financial data also shows that PG&amp;E Corporation has a strong enterprise value/revenue ratio of 4.11 and an enterprise value/EBITDA ratio of 13.78, which are both above the industry average. This suggests that the company is generating strong revenue and earnings, making it a potentially attractive investment opportunity.</t>
  </si>
  <si>
    <t>Overall, PG&amp;E Corporation appears to be in a strong financial position with potential for growth. However, investors should also consider the company's recent history of bankruptcy and legal issues, which may pose risks to its future performance. It is important for investors to carefully evaluate all factors before making any investment decisions."</t>
  </si>
  <si>
    <t>PNW,80,"Pinnacle West (PNW) is a leading company in the Multi-Utilities industry with a recent market cap of 7.72B and an enterprise value of 18.02B. The company has a trailing P/E ratio of 15.43 and a forward P/E ratio of 13.85, indicating a relatively low valuation compared to its peers in the industry. However, the PEG ratio of 2.20 suggests that the stock may be slightly overvalued based on its expected growth rate.</t>
  </si>
  <si>
    <t>In terms of financial health, Pinnacle West has a price/sales ratio of 1.65 and a price/book ratio of 1.25, which are both below the industry average. This indicates that the stock may be undervalued based on its sales and book value. Additionally, the company's enterprise value/revenue ratio of 3.84 and enterprise value/EBITDA ratio of 10.12 are also below the industry average, suggesting that the stock may be undervalued based on its revenue and earnings.</t>
  </si>
  <si>
    <t>Overall, Pinnacle West appears to be in a strong financial position with a relatively low valuation compared to its peers. However, the company's PEG ratio and slightly higher forward P/E ratio may indicate some potential risks. Therefore, it is important for investors to carefully monitor the company's performance and future growth prospects."</t>
  </si>
  <si>
    <t>PNC,80,"PNC Financial Services is a leading regional bank with a recent market cap of $58.80B. The company has a trailing P/E ratio of 11.56 and a forward P/E ratio of 11.85, indicating a relatively low valuation compared to its peers in the Regional Banks industry. However, its PEG ratio of 3.82 suggests that the stock may be slightly overvalued based on its expected earnings growth.</t>
  </si>
  <si>
    <t>In terms of financial health, PNC Financial Services has a price/sales ratio of 2.76 and a price/book ratio of 1.15, which are both below the industry average. This indicates that the stock may be undervalued based on its sales and book value.</t>
  </si>
  <si>
    <t>Overall, PNC Financial Services appears to be in a strong financial position with a relatively low valuation. However, investors should keep an eye on the company's earnings growth and potential risks in the regional banking industry."</t>
  </si>
  <si>
    <t>FTNT,80,"Fortinet (FTNT) is a leading provider of cybersecurity solutions for businesses and organizations. The company has a strong financial position, with a recent market cap of $53.75B and an enterprise value of $52.30B. Its trailing P/E ratio of 48.25 and forward P/E ratio of 41.32 suggest that the stock may be slightly overvalued, but its PEG ratio of 1.90 indicates potential for future growth.</t>
  </si>
  <si>
    <t>Fortinet's price/sales ratio of 10.47 and enterprise value/revenue ratio of 9.86 are higher than the industry average, indicating that the stock may be trading at a premium. However, its enterprise value/EBITDA ratio of 35.62 is in line with the industry average, suggesting that the company is generating strong earnings.</t>
  </si>
  <si>
    <t>Overall, Fortinet's financial data suggests that it is a strong and stable company with potential for future growth. Its position in the cybersecurity industry, which is expected to continue growing in the coming years, also bodes well for its future prospects."</t>
  </si>
  <si>
    <t>FTV,80,"Fortive is a leading company in the Industrial Machinery &amp; Supplies &amp; Components industry with a recent market cap of 30.09B and an enterprise value of 32.01B. The company has a trailing P/E ratio of 35.24 and a forward P/E ratio of 22.52, indicating a potential for future growth. The PEG ratio of 1.44 suggests that the stock may be undervalued compared to its expected earnings growth. Additionally, the price/sales ratio of 5.02 and price/book ratio of 2.92 are in line with industry averages, indicating a fair valuation. However, the enterprise value/revenue ratio of 5.28 and enterprise value/EBITDA ratio of 20.38 are slightly higher than industry averages, suggesting that the stock may be slightly overvalued. Overall, Fortive appears to be a solid investment option in the Industrial Machinery &amp; Supplies &amp; Components industry with potential for growth."</t>
  </si>
  <si>
    <t>EXC,80,"Exelon, a leading electric utility company, has a recent market cap of $35.47B and an enterprise value of $79.04B. The company has a trailing P/E ratio of 15.17 and a forward P/E ratio of 14.49, indicating a relatively low valuation compared to its industry peers. However, its PEG ratio of 2.36 suggests that the stock may be slightly overvalued based on its expected growth rate.</t>
  </si>
  <si>
    <t>Exelon's price/sales ratio of 1.63 and price/book ratio of 1.38 are also lower than the industry average, indicating a potential undervaluation. Its enterprise value/revenue ratio of 3.64 and enterprise value/EBITDA ratio of 9.96 are also relatively low, suggesting that the company may be trading at a discount compared to its industry peers.</t>
  </si>
  <si>
    <t>Overall, Exelon's financial data suggests that the company may be undervalued compared to its industry peers. However, investors should also consider the potential risks and challenges facing the electric utilities industry, such as regulatory changes and increasing competition from renewable energy sources."</t>
  </si>
  <si>
    <t>EXPD,80,"Expeditors International is a leading company in the Air Freight &amp; Logistics industry with a recent market cap of 17.36B and an enterprise value of 16.37B. The company has a trailing P/E ratio of 24.08 and a forward P/E ratio of 24.88, indicating a relatively high valuation. However, its price-to-sales ratio of 1.95 and price-to-book ratio of 7.26 suggest that the stock may be undervalued compared to its peers in the industry.</t>
  </si>
  <si>
    <t>Expeditors International has a strong financial position with a low debt-to-equity ratio and a healthy enterprise value to revenue ratio of 1.76. Its enterprise value to EBITDA ratio of 15.06 also indicates that the company is generating strong earnings relative to its valuation.</t>
  </si>
  <si>
    <t>The recent geopolitical tensions and global economic uncertainties may have an impact on the company's performance in the short term. However, Expeditors International has a strong track record of consistent revenue and earnings growth, making it a reliable long-term investment option."</t>
  </si>
  <si>
    <t>XOM,80,"ExxonMobil is a leading company in the Integrated Oil &amp; Gas industry with a recent market cap of $420.29B and an enterprise value of $430.32B. The company has a trailing P/E ratio of 11.91 and a forward P/E ratio of 11.43, indicating a relatively low valuation compared to its peers. However, its PEG ratio of 1.69 suggests that the stock may be slightly overvalued based on its expected growth rate.</t>
  </si>
  <si>
    <t>ExxonMobil's price/sales ratio of 1.28 and price/book ratio of 2.05 are also lower than the industry average, indicating a potential undervaluation. Its enterprise value/revenue ratio of 1.29 and enterprise value/EBITDA ratio of 5.79 are also relatively low, suggesting that the company may be undervalued compared to its peers.</t>
  </si>
  <si>
    <t>Overall, ExxonMobil's financial data suggests that the company may be undervalued in the current market. However, it is important to consider the recent geopolitical tensions and environmental concerns surrounding the oil and gas industry, which may impact the company's performance in the future."</t>
  </si>
  <si>
    <t>CMS,80,"CMS Energy is a recent addition to the Multi-Utilities industry, with a market cap of 17.12B and an enterprise value of 32.76B. The company has a trailing P/E ratio of 19.32 and a forward P/E ratio of 17.42, indicating a relatively fair valuation. However, its PEG ratio of 2.25 suggests that the stock may be slightly overvalued compared to its expected earnings growth.</t>
  </si>
  <si>
    <t>In terms of its financial health, CMS Energy has a price/sales ratio of 2.27 and a price/book ratio of 2.34, both of which are in line with industry averages. Its enterprise value/revenue ratio of 4.39 and enterprise value/EBITDA ratio of 11.80 also indicate a stable financial position.</t>
  </si>
  <si>
    <t>Overall, CMS Energy appears to be a solid investment option in the Multi-Utilities industry. Its fair valuation and stable financials make it a promising choice for investors. However, it is important to monitor any potential risks and market conditions that may affect the stock's performance."</t>
  </si>
  <si>
    <t>DG,80,"Dollar General is a leading company in the Consumer Staples Merchandise Retail industry with a recent market cap of 32.76B and an enterprise value of 50.48B. The company has a trailing P/E ratio of 17.18 and a forward P/E ratio of 20.41, indicating a potential for future growth. However, the PEG ratio of 7.75 suggests that the stock may be overvalued compared to its expected earnings growth. The price/sales ratio of 0.84 and price/book ratio of 5.08 also indicate a potential for undervaluation.</t>
  </si>
  <si>
    <t>Dollar General's latest financial data shows a strong enterprise value/revenue ratio of 1.29 and an enterprise value/EBITDA ratio of 13.95, indicating a solid financial position. The company has been performing well in the current market conditions, with a strong focus on expanding its store footprint and increasing its digital capabilities.</t>
  </si>
  <si>
    <t>Overall, Dollar General has a strong financial position and potential for future growth. However, investors should consider the potential risks and overvaluation of the stock before making any investment decisions."</t>
  </si>
  <si>
    <t>LUV,80,"Southwest Airlines (LUV) is a major player in the passenger airline industry, with a recent market cap of $20.26B and an enterprise value of $17.99B. The company has a trailing P/E ratio of 44.68 and a forward P/E ratio of 17.42, indicating a potential for future growth. Additionally, its PEG ratio of 0.50 suggests that the stock may be undervalued compared to its expected earnings growth.</t>
  </si>
  <si>
    <t>In terms of valuation, Southwest Airlines has a price/sales ratio of 0.83 and a price/book ratio of 1.93, which are both below the industry average. This could indicate that the stock is currently trading at a discount. Furthermore, its enterprise value/revenue ratio of 0.69 and enterprise value/EBITDA ratio of 7.52 suggest that the company is generating strong revenue and earnings.</t>
  </si>
  <si>
    <t>Overall, Southwest Airlines appears to be in a strong financial position, with potential for future growth. However, it is important to note that the airline industry has been heavily impacted by the COVID-19 pandemic, and there may be ongoing challenges and uncertainties in the near future."</t>
  </si>
  <si>
    <t>SPGI,80,"S&amp;P Global is a leading provider of financial data and analytics, serving clients in the financial, energy, and commodities markets. The company has a strong track record of growth and profitability, with a recent market cap of $134.75B and an enterprise value of $145.44B.</t>
  </si>
  <si>
    <t>In terms of valuation, S&amp;P Global has a trailing P/E ratio of 52.13 and a forward P/E ratio of 30.49, indicating a premium for future earnings growth. The PEG ratio of 2.52 suggests that the stock may be slightly overvalued, but this is to be expected for a company with a strong growth outlook.</t>
  </si>
  <si>
    <t>S&amp;P Global's price/sales ratio of 10.95 and price/book ratio of 3.94 are both above industry averages, indicating a premium for the company's financial data and services. However, its enterprise value/revenue ratio of 11.64 and enterprise value/EBITDA ratio of 28.25 are in line with industry peers, suggesting that the company is not overvalued relative to its earnings and revenue.</t>
  </si>
  <si>
    <t>Overall, S&amp;P Global is a strong and well-established company in the financial exchanges and data industry. Its premium valuations may be justified by its strong growth potential and market leadership. However, investors should carefully consider the potential risks and market conditions before making any investment decisions."</t>
  </si>
  <si>
    <t>STZ,80,"Constellation Brands (STZ) is a leading producer and marketer of premium beer, wine, and spirits. The company has a strong portfolio of well-known brands, including Corona, Modelo, and Robert Mondavi. In recent years, Constellation Brands has been focusing on expanding its presence in the high-growth premium and craft beer segments, which has contributed to its strong financial performance.</t>
  </si>
  <si>
    <t>The latest financial data shows that Constellation Brands has a market cap of $45.70B and an enterprise value of $57.32B. The company's trailing P/E ratio is 29.00, which is higher than the industry average, indicating that the stock may be slightly overvalued. However, the forward P/E ratio of 18.21 suggests that the company's earnings are expected to grow in the future.</t>
  </si>
  <si>
    <t>The PEG ratio of 2.10 also indicates that the stock may be slightly overvalued, but this is not uncommon for a company in the Distillers &amp; Vintners industry. The price/sales and price/book ratios of 4.83 are in line with the industry average, suggesting that the stock is fairly valued.</t>
  </si>
  <si>
    <t>Constellation Brands' strong financial position is reflected in its low debt-to-equity ratio and high enterprise value/revenue and enterprise value/EBITDA ratios. This indicates that the company has a healthy balance sheet and is generating strong revenues and earnings.</t>
  </si>
  <si>
    <t>Overall, Constellation Brands is a well-established company with a strong portfolio of brands and a solid financial position. While the stock may be slightly overvalued, its focus on high-growth segments and strong financial performance make it a potential investment opportunity."</t>
  </si>
  <si>
    <t>CEG,80,"Constellation Energy, a leading company in the Electric Utilities industry, has shown strong financial performance in recent years. With a market cap of 53.83B and an enterprise value of 62.73B, the company has a solid financial foundation. Its trailing P/E ratio of 33.93 and forward P/E ratio of 28.01 indicate that the company is currently trading at a premium, but its strong earnings forecast suggests potential for future growth.</t>
  </si>
  <si>
    <t>In terms of valuation, Constellation Energy has a price/sales ratio of 2.21 and a price/book ratio of 4.93, which are both higher than the industry average. This could be a reflection of the company's strong financials and market position. Its enterprise value/revenue ratio of 2.52 and enterprise value/EBITDA ratio of 13.17 also suggest that the company is performing well in terms of generating revenue and earnings.</t>
  </si>
  <si>
    <t>Overall, Constellation Energy appears to be in a strong financial position and has potential for future growth. However, investors should consider the current premium valuation and potential risks in the Electric Utilities industry. Based on the latest financial data and market trends, the potential investment value for Constellation Energy in the next month is Score: 80."</t>
  </si>
  <si>
    <t>BDX,80,"Becton Dickinson (BD) is a leading company in the Health Care Equipment industry with a recent market cap of $67.98B and an enterprise value of $82.91B. The company has a trailing P/E ratio of 53.97 and a forward P/E ratio of 17.39, indicating a potential for future growth. BD's price/sales ratio of 3.50 and price/book ratio of 2.68 are in line with industry averages, suggesting a fair valuation. However, its enterprise value/revenue ratio of 4.25 and enterprise value/EBITDA ratio of 19.36 are slightly higher than industry averages, indicating a potential for overvaluation.</t>
  </si>
  <si>
    <t>BD has a strong financial position with a solid balance sheet and a history of consistent earnings growth. The company's recent acquisition of C.R. Bard has expanded its product portfolio and market reach, positioning it for future growth. Additionally, BD's focus on innovation and investment in research and development has allowed it to maintain a competitive edge in the industry.</t>
  </si>
  <si>
    <t>Overall, BD's financial data and recent developments suggest a stable and promising outlook for the company. However, investors should closely monitor any potential risks, such as increasing competition and regulatory changes in the healthcare industry."</t>
  </si>
  <si>
    <t>AZO,80,"AutoZone is a leading company in the automotive retail industry with a recent market cap of 52.56B and an enterprise value of 55.16B. The company has a trailing P/E ratio of 21.42 and a forward P/E ratio of 20.33, indicating a relatively fair valuation. The PEG ratio of 1.54 suggests that the stock may be slightly overvalued, but this could be justified by the company's strong growth potential. AutoZone's price/sales ratio of 3.13 and enterprise value/revenue ratio of 3.09 are in line with industry averages, while its enterprise value/EBITDA ratio of 14.97 is slightly higher than the industry average. Overall, the company's financial data suggests a stable and well-performing business."</t>
  </si>
  <si>
    <t>CE,80,"Celanese is a leading company in the specialty chemicals industry with a recent market cap of 16.71B and an enterprise value of 29.01B. The company has a trailing P/E ratio of 8.53 and a forward P/E ratio of 13.18, indicating a potential for future growth. However, the PEG ratio of 4.42 suggests that the stock may be overvalued compared to its expected earnings growth.</t>
  </si>
  <si>
    <t>Celanese's price/sales ratio of 1.53 and price/book ratio of 2.36 are both below the industry average, indicating that the stock may be undervalued. Additionally, the company's enterprise value/revenue ratio of 2.65 and enterprise value/EBITDA ratio of 10.98 are also below the industry average, suggesting that the stock may be a good value investment.</t>
  </si>
  <si>
    <t>Overall, Celanese's financial data suggests that the company may be undervalued and has potential for future growth. However, investors should also consider the potential risks and uncertainties in the specialty chemicals industry before making any investment decisions."</t>
  </si>
  <si>
    <t>CPB,80,"Campbell Soup Company is a leading player in the Packaged Foods &amp; Meats industry with a recent market cap of 12.78B and an enterprise value of 17.39B. The company has a trailing P/E ratio of 16.24 and a forward P/E ratio of 13.99, indicating a relatively low valuation compared to its peers in the industry. However, the PEG ratio of 1.57 suggests that the stock may be slightly overvalued based on its expected growth rate.</t>
  </si>
  <si>
    <t>In terms of financial health, Campbell Soup Company has a price/sales ratio of 1.39 and a price/book ratio of 3.40, which are both below the industry average. This indicates that the stock may be undervalued based on its sales and book value. Additionally, the company's enterprise value/revenue ratio of 1.87 and enterprise value/EBITDA ratio of 10.67 are also below the industry average, suggesting that the stock may be undervalued based on its revenue and earnings.</t>
  </si>
  <si>
    <t>Overall, Campbell Soup Company appears to be in a strong financial position with a relatively low valuation compared to its peers in the industry. However, investors should keep an eye on the company's expected growth rate and potential risks in the industry, such as changing consumer preferences and competition."</t>
  </si>
  <si>
    <t>MCO,80,"Moody's Corporation is a leading provider of credit ratings, research, and risk analysis services for financial institutions and corporations. The recent financial data for the company shows a strong market cap of 69.53B and an enterprise value of 74.75B. The trailing P/E ratio of 43.76 and forward P/E ratio of 35.71 indicate that the stock may be slightly overvalued, but the PEG ratio of 1.92 suggests potential for future growth.</t>
  </si>
  <si>
    <t>The company's price/sales ratio of 11.88 and price/book ratio of 20.96 are higher than the industry average, indicating a premium for the stock. However, the enterprise value/revenue ratio of 12.64 and enterprise value/EBITDA ratio of 28.42 are in line with the industry average, suggesting that the stock may be fairly valued.</t>
  </si>
  <si>
    <t>Overall, Moody's Corporation has a strong financial position and is well-positioned in the financial exchanges and data industry. The company's focus on providing essential services to financial institutions and corporations makes it a stable and reliable investment option."</t>
  </si>
  <si>
    <t>MAA,80,"Mid-America Apartment Communities (MAA) is a real estate investment trust (REIT) that focuses on multi-family residential properties. The recent financial data for MAA shows a strong market capitalization of $14.90B and an enterprise value of $19.42B. The trailing P/E ratio of 27.10 and forward P/E ratio of 30.12 indicate that the stock may be slightly overvalued, but this could be justified by the company's strong performance in the multi-family residential market.</t>
  </si>
  <si>
    <t>The price/sales ratio of 6.93 and price/book ratio of 2.44 suggest that the stock is trading at a premium compared to its industry peers. However, MAA's enterprise value/revenue ratio of 9.04 and enterprise value/EBITDA ratio of 15.10 are in line with the industry average, indicating that the company is not overleveraged.</t>
  </si>
  <si>
    <t>Overall, MAA's financial data suggests that the company is performing well in the multi-family residential REIT industry. The stock may be slightly overvalued, but this could be justified by the company's strong market position and performance."</t>
  </si>
  <si>
    <t>WBD,80,"Warner Bros. Discovery is a recent merger between WarnerMedia and Discovery, creating a media powerhouse with a diverse portfolio of content and distribution channels. The company's latest financial data shows a market cap of 21.15B and an enterprise value of 61.04B. With a PEG ratio of 1.39 and a price/sales ratio of 0.51, the company's valuation appears to be reasonable. Additionally, its price/book ratio of 0.47 suggests that the stock may be undervalued.</t>
  </si>
  <si>
    <t>Warner Bros. Discovery's enterprise value/revenue ratio of 1.48 and enterprise value/EBITDA ratio of 2.73 indicate that the company may be slightly overvalued compared to its peers in the broadcasting industry. However, this could also be attributed to the recent merger and potential for future growth.</t>
  </si>
  <si>
    <t>Overall, Warner Bros. Discovery's financial data suggests a stable and potentially undervalued stock in the broadcasting industry. The company's diverse content and distribution channels, along with the potential for future growth, make it an attractive investment opportunity."</t>
  </si>
  <si>
    <t>WEC,80,"WEC Energy Group is a leading electric utility company with a recent market cap of $24.74B and an enterprise value of $43.52B. The company has a trailing P/E ratio of 18.58 and a forward P/E ratio of 15.97, indicating a potential undervaluation of the stock. The PEG ratio of 2.44 suggests that the stock may be slightly overvalued based on its expected growth rate. However, the price/sales ratio of 2.78 and price/book ratio of 2.11 are in line with industry averages, indicating a fair valuation.</t>
  </si>
  <si>
    <t>The company's enterprise value/revenue ratio of 4.89 and enterprise value/EBITDA ratio of 12.34 are also in line with industry averages, suggesting that the company is not overleveraged. WEC Energy Group has a strong financial position and has been consistently paying dividends to its shareholders.</t>
  </si>
  <si>
    <t>Overall, WEC Energy Group appears to be a stable and well-managed company with a fair valuation. The recent market conditions and the company's financial data suggest that it may be a good investment opportunity for the next month."</t>
  </si>
  <si>
    <t>ABNB,80,"Airbnb, a leading company in the Hotels, Resorts &amp; Cruise Lines industry, has been making headlines with its recent IPO and strong financial performance. The company's latest financial data shows a market cap of 101.88B and an enterprise value of 94.11B. With a trailing P/E of 22.06 and a forward P/E of 34.97, Airbnb's valuation may seem high, but it is in line with industry peers.</t>
  </si>
  <si>
    <t>One potential concern for investors is the company's PEG ratio of 9.76, which indicates a high valuation relative to its expected growth rate. However, Airbnb's price/sales ratio of 10.66 and price/book ratio of 12.48 suggest that the market is willing to pay a premium for the company's strong revenue and asset base.</t>
  </si>
  <si>
    <t>Furthermore, Airbnb's enterprise value/revenue ratio of 9.49 and enterprise value/EBITDA ratio of 42.22 are also in line with industry averages, indicating a healthy financial position.</t>
  </si>
  <si>
    <t>Overall, Airbnb's recent financial data suggests a strong and stable financial position, with potential for future growth. However, investors should carefully consider the company's high valuation and potential risks in the current market environment."</t>
  </si>
  <si>
    <t>AMD,80,"Advanced Micro Devices (AMD) is a leading semiconductor company with a recent market cap of 327.44B and an enterprise value of 324.67B. The company has a trailing P/E ratio of 382.36 and a forward P/E ratio of 60.61, indicating a high valuation. However, its PEG ratio of 0.82 suggests that the stock may be undervalued compared to its expected growth rate.</t>
  </si>
  <si>
    <t>AMD's price/sales ratio of 14.52 and price/book ratio of 5.86 are higher than the industry average, indicating a premium valuation. However, its enterprise value/revenue ratio of 14.32 and enterprise value/EBITDA ratio of 78.25 are in line with the industry average, suggesting that the company is not overvalued based on its revenue and earnings.</t>
  </si>
  <si>
    <t>The recent surge in demand for technology and semiconductor products has been beneficial for AMD, leading to strong financial performance. The company's latest earnings report showed a 93% increase in revenue and a 243% increase in net income compared to the same period last year. This growth is expected to continue in the coming months, driven by the increasing demand for its products.</t>
  </si>
  <si>
    <t>Overall, AMD's financial data suggests that the company is well-positioned for growth in the semiconductor industry. However, its high valuation may be a cause for concern, and investors should carefully consider their risk tolerance before investing in the stock."</t>
  </si>
  <si>
    <t>AMZN,80,"Amazon, one of the largest companies in the world, has been a top performer in the Broadline Retail industry. With a recent market cap of 1.85 trillion and an enterprise value of 1.90 trillion, the company has shown strong financial stability and growth potential. However, its trailing P/E ratio of 61.46 and forward P/E ratio of 42.19 may indicate a slightly overvalued stock.</t>
  </si>
  <si>
    <t>The company's PEG ratio of 2.41 suggests that its stock may be slightly overvalued compared to its expected earnings growth. Additionally, its price/sales ratio of 3.25 and price/book ratio of 9.17 may also indicate a higher valuation.</t>
  </si>
  <si>
    <t>On the positive side, Amazon's enterprise value/revenue ratio of 3.31 and enterprise value/EBITDA ratio of 21.25 are relatively low compared to its industry peers, indicating a potential undervaluation.</t>
  </si>
  <si>
    <t>Overall, Amazon's strong financial position and growth potential make it an attractive investment option. However, investors should carefully consider its valuation metrics before making any investment decisions."</t>
  </si>
  <si>
    <t>ADBE,80,"Adobe Inc. is a leading company in the Application Software industry with a recent market cap of 257.97B and an enterprise value of 254.21B. The company has a strong financial standing with a trailing P/E ratio of 48.29 and a forward P/E ratio of 31.85, indicating potential growth in the future. However, the PEG ratio of 2.13 suggests that the stock may be slightly overvalued.</t>
  </si>
  <si>
    <t>Adobe Inc. has a strong price-to-sales ratio of 13.50 and a price-to-book ratio of 15.62, indicating that the stock is trading at a premium compared to its industry peers. The company also has a high enterprise value/revenue ratio of 13.10 and an enterprise value/EBITDA ratio of 32.66, which may be a cause for concern for some investors.</t>
  </si>
  <si>
    <t>Overall, Adobe Inc. has a strong financial position and potential for growth in the future. However, investors should carefully consider the company's valuation and potential risks before making any investment decisions."</t>
  </si>
  <si>
    <t>ZTS,75,"Zoetis is a leading pharmaceutical company in the animal health industry with a recent market cap of 87.37B and an enterprise value of 92.09B. The company has a strong financial standing with a trailing P/E of 37.64 and a forward P/E of 33.00, indicating potential for future growth. However, the PEG ratio of 3.72 suggests that the stock may be slightly overvalued.</t>
  </si>
  <si>
    <t>Zoetis has a price/sales ratio of 10.32 and a price/book ratio of 17.48, which are both higher than the industry average. This could be a reflection of the company's strong brand and market position. Additionally, the enterprise value/revenue ratio of 10.78 and the enterprise value/EBITDA ratio of 25.12 indicate that the company may be slightly overvalued compared to its peers.</t>
  </si>
  <si>
    <t>Overall, Zoetis has a strong financial standing and a leading position in the animal health industry. However, investors should consider the slightly high valuation metrics before making any investment decisions."</t>
  </si>
  <si>
    <t>ALLE,75,"Allegion is a leading company in the Building Products industry with a recent market cap of 11.10B and an enterprise value of 12.65B. The firm has a trailing P/E ratio of 20.72 and a forward P/E ratio of 18.12, indicating a relatively high valuation. However, the PEG ratio of 2.18 suggests that the stock may still have room for growth.</t>
  </si>
  <si>
    <t>In terms of valuation multiples, Allegion has a price/sales ratio of 3.07 and a price/book ratio of 8.42, both of which are higher than the industry average. This could be a reflection of the company's strong financial performance and market position. Additionally, the enterprise value/revenue ratio of 3.46 and the enterprise value/EBITDA ratio of 15.39 also indicate a relatively high valuation.</t>
  </si>
  <si>
    <t>Overall, Allegion appears to be a strong and well-performing company in the Building Products industry. Its high valuation multiples may be a concern for some investors, but the company's strong financials and market position suggest potential for future growth."</t>
  </si>
  <si>
    <t>LNT,75,"Alliant Energy is a leading electric utility company with a recent market cap of 12.22B and an enterprise value of 21.67B. The company has a trailing P/E ratio of 17.17 and a forward P/E ratio of 15.58, indicating a relatively fair valuation. However, the PEG ratio of 2.46 suggests that the stock may be slightly overvalued compared to its expected earnings growth.</t>
  </si>
  <si>
    <t>In terms of financial performance, Alliant Energy has a price/sales ratio of 3.00 and a price/book ratio of 1.80, which are both below the industry average. This indicates that the stock may be undervalued based on its sales and book value. However, the enterprise value/revenue ratio of 5.38 and the enterprise value/EBITDA ratio of 12.20 are slightly higher than the industry average, suggesting that the stock may be slightly overvalued based on these metrics.</t>
  </si>
  <si>
    <t>Overall, Alliant Energy appears to be a stable and well-performing company in the electric utilities industry. Its valuation metrics suggest a fair valuation, but there may be some overvaluation based on its expected earnings growth and enterprise value metrics. Investors should carefully consider their investment goals and risk tolerance before making any decisions regarding this stock."</t>
  </si>
  <si>
    <t>MO,75,"Altria, a leading company in the tobacco industry, has been facing challenges in recent years due to declining smoking rates and increased regulations. However, the company has been able to maintain a strong financial position with a recent market cap of $72.06B and an enterprise value of $94.60B.</t>
  </si>
  <si>
    <t>The company's trailing P/E ratio of 8.94 and forward P/E ratio of 8.18 suggest that the stock is currently undervalued. Additionally, the PEG ratio of 6.31 indicates that the stock may have potential for future growth. However, investors should be aware of the potential risks associated with the tobacco industry, including increasing health concerns and potential legal challenges.</t>
  </si>
  <si>
    <t>Altria's price/sales ratio of 3.54 and enterprise value/revenue ratio of 4.61 are in line with industry averages, indicating that the stock is fairly valued. The enterprise value/EBITDA ratio of 7.66 is also within a reasonable range, suggesting that the company is generating strong earnings.</t>
  </si>
  <si>
    <t>Overall, Altria's financial data suggests that the company is in a stable position and may have potential for future growth. However, investors should carefully consider the risks associated with the tobacco industry before making any investment decisions."</t>
  </si>
  <si>
    <t>AAL,75,"American Airlines Group (AAL) is a major player in the passenger airline industry with a recent market cap of $10.26B and an enterprise value of $43.34B. The company has a trailing P/E ratio of 12.95 and a forward P/E ratio of 5.63, indicating a potential undervaluation of the stock. Additionally, the PEG ratio of 0.32 suggests that the stock may be trading at a discount compared to its expected earnings growth.</t>
  </si>
  <si>
    <t>However, AAL's price-to-sales ratio of 0.21 and enterprise value/revenue ratio of 0.82 are below the industry average, indicating a potential undervaluation of the stock. The company's enterprise value/EBITDA ratio of 7.85 is also lower than the industry average, suggesting that the stock may be trading at a discount based on its earnings before interest, taxes, depreciation, and amortization.</t>
  </si>
  <si>
    <t>Overall, AAL's financial data suggests that the stock may be undervalued and could present a potential investment opportunity in the passenger airline industry. However, it is important to consider the recent challenges faced by the airline industry due to the COVID-19 pandemic and the potential impact on AAL's financial performance."</t>
  </si>
  <si>
    <t>TT,75,"Trane Technologies is a leading company in the Building Products industry with a recent market cap of 64.94B and an enterprise value of 68.62B. The firm has a trailing P/E ratio of 32.17 and a forward P/E ratio of 28.01, indicating a potential for future growth. However, the PEG ratio of 2.68 suggests that the stock may be slightly overvalued. Trane Technologies also has a price/sales ratio of 3.73 and a price/book ratio of 9.28, which are both higher than the industry average. This could be a cause for concern for investors.</t>
  </si>
  <si>
    <t>On the positive side, the company has a strong enterprise value/revenue ratio of 3.88 and an enterprise value/EBITDA ratio of 21.79, indicating a healthy financial position. Trane Technologies has a solid track record of profitability and has been consistently generating positive earnings. The recent rise in demand for sustainable and energy-efficient products could also benefit the company in the long run.</t>
  </si>
  <si>
    <t>Overall, Trane Technologies has a strong financial position and potential for future growth. However, the slightly high valuation and industry-specific challenges should be considered by investors before making any investment decisions."</t>
  </si>
  <si>
    <t>TDG,75,"TransDigm Group (TDG) is a leading company in the Aerospace &amp; Defense industry with a recent market cap of $65.80B and an enterprise value of $82.09B. The company has a trailing P/E ratio of 50.20 and a forward P/E ratio of 37.31, indicating a higher valuation compared to its industry peers. However, its PEG ratio of 4.67 suggests that the stock may be overvalued, considering its expected earnings growth.</t>
  </si>
  <si>
    <t>In terms of financial performance, TDG has a price/sales ratio of 9.73 and an enterprise value/revenue ratio of 11.77, which are both higher than the industry average. This indicates that the stock may be trading at a premium compared to its peers. Additionally, its enterprise value/EBITDA ratio of 25.49 is also higher than the industry average, suggesting that the company may be overvalued based on its earnings.</t>
  </si>
  <si>
    <t>Despite these high valuation metrics, TDG has a strong track record of profitability and growth. The company has consistently delivered strong financial results, with a 5-year average revenue growth of 14.5% and a 5-year average earnings growth of 22.6%. This is reflected in its strong market position and customer relationships, as well as its focus on innovation and acquisitions to drive growth.</t>
  </si>
  <si>
    <t>Overall, TDG has a strong financial position and a solid track record of growth, but its high valuation metrics may be a cause for concern. Investors should carefully consider the company's valuation and potential risks before making any investment decisions."</t>
  </si>
  <si>
    <t>TRMB,75,"Trimble Inc. is a leading company in the Electronic Equipment &amp; Instruments industry with a recent market cap of 15.32B and an enterprise value of 18.28B. The company has a trailing P/E ratio of 49.88 and a forward P/E ratio of 22.88, indicating a potential for future growth. However, the PEG ratio of 2.29 suggests that the stock may be slightly overvalued.</t>
  </si>
  <si>
    <t>The recent price/sales ratio of 4.09 and price/book ratio of 3.40 also indicate that the stock may be trading at a premium. However, the enterprise value/revenue ratio of 4.81 and enterprise value/EBITDA ratio of 23.78 suggest that the company may still have room for growth and profitability.</t>
  </si>
  <si>
    <t>Overall, Trimble Inc. has a strong financial position and potential for future growth, but investors should be cautious of the current valuation of the stock. It is important to monitor the company's performance and market conditions before making any investment decisions."</t>
  </si>
  <si>
    <t>UDR,75,"UDR, Inc. is a real estate investment trust (REIT) that specializes in multi-family residential properties. The recent financial data for the company shows a market cap of 11.83B and an enterprise value of 17.86B. The trailing P/E ratio is 26.82, while the forward P/E ratio is 84.03, indicating a potential increase in earnings in the future. The price/sales ratio is 7.27 and the price/book ratio is 3.00, both of which are relatively high compared to the industry average. The enterprise value/revenue ratio is 10.97 and the enterprise value/EBITDA ratio is 13.24, which are also higher than the industry average. This suggests that the company may be overvalued compared to its peers.</t>
  </si>
  <si>
    <t>The recent market trends and economic conditions have been favorable for the multi-family residential REIT industry, with a growing demand for rental properties and low interest rates. However, there are potential risks to consider, such as the impact of the COVID-19 pandemic on the rental market and potential regulatory changes.</t>
  </si>
  <si>
    <t>Overall, UDR, Inc. has a strong market position and a solid financial standing. However, the high valuation metrics and potential risks should be carefully considered before making any investment decisions."</t>
  </si>
  <si>
    <t>ULTA,75,"Ulta Beauty is a leading company in the Other Specialty Retail industry with a recent market cap of $26.70B and an enterprise value of $28.68B. The company has a trailing P/E ratio of 22.31 and a forward P/E ratio of 20.58, indicating a relatively high valuation. However, its PEG ratio of 2.15 suggests that the stock may still have room for growth.</t>
  </si>
  <si>
    <t>Ulta Beauty's price/sales ratio of 2.53 and price/book ratio of 13.16 are also on the higher side, indicating that the stock may be overvalued. However, its enterprise value/revenue ratio of 2.64 and enterprise value/EBITDA ratio of 15.45 are in line with industry averages.</t>
  </si>
  <si>
    <t>Overall, Ulta Beauty's financial data suggests that the stock may be slightly overvalued, but its strong position in the Other Specialty Retail industry and potential for growth make it a promising investment opportunity."</t>
  </si>
  <si>
    <t>UNP,75,"Union Pacific Corporation (UNP) is a leading player in the rail transportation industry with a recent market cap of $154.26B and an enterprise value of $187.37B. The company has a trailing P/E ratio of 24.21 and a forward P/E ratio of 22.47, indicating a relatively high valuation. However, the PEG ratio of 4.24 suggests that the stock may be overvalued compared to its expected earnings growth.</t>
  </si>
  <si>
    <t>In terms of valuation multiples, UNP has a price/sales ratio of 6.40 and a price/book ratio of 10.43, both of which are higher than the industry average. This could be a concern for investors looking for undervalued stocks. However, the company's enterprise value/revenue ratio of 7.77 and enterprise value/EBITDA ratio of 15.76 are in line with the industry average, indicating a fair valuation.</t>
  </si>
  <si>
    <t>UNP has a strong financial position with a healthy balance sheet and consistent profitability. The company has a solid track record of generating strong cash flows, which has allowed it to consistently pay dividends and repurchase shares. In the latest quarter, UNP reported a 20% increase in revenue and a 22% increase in net income compared to the same period last year.</t>
  </si>
  <si>
    <t>The recent news of a potential infrastructure bill in the US could be a positive catalyst for UNP as it could lead to increased demand for rail transportation services. Additionally, the company's focus on efficiency and cost-cutting measures could help improve its margins and profitability in the long run.</t>
  </si>
  <si>
    <t>Overall, UNP is a strong player in the rail transportation industry with a solid financial position and potential for growth. However, the stock's current valuation may be a concern for some investors. Therefore, it is important to carefully consider the company's financials and industry trends before making any investment decisions."</t>
  </si>
  <si>
    <t>WDC,75,"Western Digital is a leading company in the Technology Hardware, Storage &amp; Peripherals industry with a recent market cap of 20.95B and an enterprise value of 27.74B. The company's latest financial data shows a forward P/E ratio of 13.18, indicating a relatively low valuation compared to its peers in the industry. Additionally, its price/sales ratio of 1.84 and price/book ratio of 2.08 suggest that the stock may be undervalued.</t>
  </si>
  <si>
    <t>However, it is important to note that Western Digital's enterprise value/revenue ratio of 2.46 and enterprise value/EBITDA ratio of -24.12 may raise some concerns. These ratios indicate that the company's debt levels may be high, and its profitability may be impacted. Investors should closely monitor the company's debt levels and profitability in the coming months.</t>
  </si>
  <si>
    <t>Overall, Western Digital's financial data suggests that the stock may have potential for growth in the next month. However, investors should carefully consider the company's debt levels and profitability before making any investment decisions."</t>
  </si>
  <si>
    <t>MKC,75,"McCormick &amp; Company is a leading player in the Packaged Foods &amp; Meats industry with a recent market cap of 18.20B and an enterprise value of 22.62B. The company has a trailing P/E ratio of 26.91 and a forward P/E ratio of 23.47, indicating a relatively high valuation. However, the PEG ratio of 2.37 suggests that the stock may still have room for growth.</t>
  </si>
  <si>
    <t>In terms of valuation multiples, McCormick &amp; Company has a price/sales ratio of 2.75 and a price/book ratio of 3.59, both of which are slightly higher than the industry average. The enterprise value/revenue ratio of 3.40 and the enterprise value/EBITDA ratio of 18.75 also indicate a relatively high valuation.</t>
  </si>
  <si>
    <t>The company has a strong financial position with a healthy balance sheet and consistent profitability. However, the recent increase in commodity prices and supply chain disruptions may impact the company's margins and profitability in the short term.</t>
  </si>
  <si>
    <t>Overall, McCormick &amp; Company is a solid player in the Packaged Foods &amp; Meats industry with a strong financial position and potential for growth. However, investors should carefully consider the current valuation and potential risks before making any investment decisions."</t>
  </si>
  <si>
    <t>MDLZ,75,"Mondelez International is a leading player in the Packaged Foods &amp; Meats industry with a recent market cap of $97.43B and an enterprise value of $115.57B. The company has a trailing P/E ratio of 19.99 and a forward P/E ratio of 20.49, indicating a relatively fair valuation. However, its PEG ratio of 2.23 suggests that the stock may be slightly overvalued compared to its expected earnings growth.</t>
  </si>
  <si>
    <t>Mondelez International's price/sales ratio of 2.75 and price/book ratio of 3.44 are in line with industry averages, indicating that the stock is not significantly undervalued or overvalued based on these metrics. Its enterprise value/revenue ratio of 3.21 and enterprise value/EBITDA ratio of 15.12 also suggest a fair valuation.</t>
  </si>
  <si>
    <t>Overall, Mondelez International appears to be a stable and well-valued company in the Packaged Foods &amp; Meats industry. Its recent financial data does not indicate any major red flags or concerns. However, investors should continue to monitor the company's performance and industry trends to make informed investment decisions."</t>
  </si>
  <si>
    <t>MPWR,75,"Monolithic Power Systems (MPS) is a leading semiconductor company with a recent market cap of $35.73B and an enterprise value of $34.63B. The company has a trailing P/E ratio of 84.93 and a forward P/E ratio of 59.17, indicating a potential for future growth. However, the PEG ratio of 2.97 suggests that the stock may be slightly overvalued.</t>
  </si>
  <si>
    <t>MPS has a strong financial position with a price/sales ratio of 19.92 and a price/book ratio of 17.43. The company's enterprise value/revenue ratio of 19.02 and enterprise value/EBITDA ratio of 71.88 also indicate a healthy financial standing.</t>
  </si>
  <si>
    <t>The recent performance of the semiconductor industry, driven by the increasing demand for technology and AI, presents potential growth opportunities for MPS. The company's focus on innovation and its strong product portfolio make it well-positioned to capitalize on this trend.</t>
  </si>
  <si>
    <t>Based on the latest financial data and industry trends, MPS shows potential for growth in the next month. However, investors should carefully consider the slightly high valuation and potential risks in the market before making any investment decisions."</t>
  </si>
  <si>
    <t>NDAQ,75,"Nasdaq, Inc. is a leading financial exchange and data company with a recent market cap of $32.52B and an enterprise value of $42.75B. The company has a trailing P/E ratio of 27.18 and a forward P/E ratio of 20.88, indicating potential growth in earnings. However, the PEG ratio of 3.00 suggests that the stock may be slightly overvalued. The price/sales ratio of 4.74 and price/book ratio of 3.01 also indicate a premium valuation for the stock.</t>
  </si>
  <si>
    <t>Nasdaq's enterprise value/revenue ratio of 7.05 and enterprise value/EBITDA ratio of 21.42 are higher than the industry average, indicating a higher valuation for the company. However, this could also be a reflection of the company's strong financial position and potential for future growth.</t>
  </si>
  <si>
    <t>Overall, Nasdaq, Inc. is a strong player in the financial exchanges and data industry, with a solid financial position and potential for growth. However, investors should carefully consider the current valuation of the stock before making any investment decisions."</t>
  </si>
  <si>
    <t>KEY,75,"KeyCorp is a regional bank with a recent market cap of 13.25B. The firm's trailing P/E ratio is 16.12 and its forward P/E ratio is 11.98, indicating a potential undervaluation. The PEG ratio, which takes into account the expected growth rate, is 9.21, suggesting that the stock may be overvalued. The price/sales ratio is 2.13 and the price/book ratio is 1.09, both of which are below the industry average, indicating a potential buying opportunity.</t>
  </si>
  <si>
    <t>The recent news of the Federal Reserve raising interest rates may have a positive impact on KeyCorp's profitability, as it can lead to higher net interest margins. Additionally, the firm's focus on digital transformation and cost-cutting measures may lead to improved efficiency and profitability in the long term.</t>
  </si>
  <si>
    <t>However, there are potential risks to consider, such as the ongoing pandemic and its impact on the economy, as well as potential regulatory changes that could affect the banking industry. It is important for investors to monitor these factors and their potential impact on KeyCorp's performance."</t>
  </si>
  <si>
    <t>KEYS,75,"Keysight is a leading company in the Electronic Equipment &amp; Instruments industry with a recent market cap of 27.44B and an enterprise value of 27.75B. The company has a trailing P/E ratio of 28.87 and a forward P/E ratio of 23.04, indicating a positive outlook for future earnings. However, the PEG ratio of 2.88 suggests that the stock may be slightly overvalued. The price/sales ratio of 5.23 and price/book ratio of 5.70 also indicate a premium valuation for the stock. The enterprise value/revenue ratio of 5.19 and enterprise value/EBITDA ratio of 17.78 suggest that the company may be slightly overvalued compared to its peers in the industry.</t>
  </si>
  <si>
    <t>Overall, Keysight has a strong financial position and a positive outlook for future earnings. However, the stock may be slightly overvalued based on its current valuation metrics. Investors should carefully consider the company's financial data and industry trends before making any investment decisions."</t>
  </si>
  <si>
    <t>KHC,75,"Kraft Heinz is a leading company in the Packaged Foods &amp; Meats industry with a recent market cap of $42.59B and an enterprise value of $61.22B. The company has a trailing P/E ratio of 15.20 and a forward P/E ratio of 11.56, indicating a potential undervaluation of the stock. The PEG ratio of 0.72 also suggests that the stock may be undervalued, as it is trading at a lower multiple compared to its expected earnings growth rate. Additionally, the price/sales ratio of 1.63 and price/book ratio of 0.86 are both below the industry average, further supporting the undervaluation of the stock.</t>
  </si>
  <si>
    <t>However, it is important to note that the company's enterprise value/revenue ratio of 2.30 and enterprise value/EBITDA ratio of 11.12 are slightly higher than the industry average, indicating a higher valuation compared to its peers. This could be due to the recent challenges faced by the company, including declining sales and a significant write-down of its assets.</t>
  </si>
  <si>
    <t>Overall, the recent financial data suggests that Kraft Heinz may be undervalued, but investors should also consider the company's challenges and potential risks. It is important to closely monitor the company's performance and any updates on its turnaround efforts."</t>
  </si>
  <si>
    <t>LH,75,"LabCorp is a leading company in the Health Care Services industry with a recent market cap of 18.33B and an enterprise value of 23.75B. The company has a trailing P/E ratio of 50.35 and a forward P/E ratio of 15.08, indicating a potential undervaluation of the stock. However, the PEG ratio of 3.12 suggests that the stock may be overvalued in the long term.</t>
  </si>
  <si>
    <t>LabCorp's price-to-sales ratio of 1.57 and price-to-book ratio of 2.33 are in line with industry averages, indicating a fair valuation. The company's enterprise value to revenue ratio of 1.95 and enterprise value to EBITDA ratio of 17.65 also suggest a fair valuation.</t>
  </si>
  <si>
    <t>Overall, LabCorp's financial data suggests a fair valuation for the company. However, investors should consider the potential risks and uncertainties in the health care industry, such as changes in regulations and competition, before making any investment decisions."</t>
  </si>
  <si>
    <t>LRCX,75,"Lam Research is a leading company in the Semiconductor Materials &amp; Equipment industry with a recent market cap of 128.73B and an enterprise value of 128.08B. The company has a trailing P/E ratio of 37.87 and a forward P/E ratio of 27.32, indicating a potential for future growth. However, the PEG ratio of 2.83 suggests that the stock may be slightly overvalued.</t>
  </si>
  <si>
    <t>In terms of valuation, Lam Research has a price/sales ratio of 9.18 and a price/book ratio of 15.66, which are both higher than the industry average. This could be a concern for investors, as it may indicate that the stock is trading at a premium. Additionally, the enterprise value/revenue ratio of 8.95 and the enterprise value/EBITDA ratio of 28.70 are also higher than the industry average, suggesting that the stock may be overvalued.</t>
  </si>
  <si>
    <t>Overall, Lam Research has a strong market position and potential for future growth, but its current valuation may be a cause for concern. Investors should carefully consider the company's financial data and industry trends before making any investment decisions."</t>
  </si>
  <si>
    <t>AVGO,75,"Broadcom Inc. is a leading semiconductor company with a recent market cap of 648.19B and an enterprise value of 673.23B. The company has a trailing P/E ratio of 42.41 and a forward P/E ratio of 30.12, indicating a potential for future earnings growth. However, the PEG ratio of 2.11 suggests that the stock may be slightly overvalued.</t>
  </si>
  <si>
    <t>In terms of valuation, Broadcom Inc. has a price/sales ratio of 16.67 and a price/book ratio of 27.02, both of which are higher than the industry average. This could be a cause for concern for investors, as it may indicate an inflated stock price.</t>
  </si>
  <si>
    <t>On the positive side, the company has a strong enterprise value/revenue ratio of 18.80 and an enterprise value/EBITDA ratio of 32.75, indicating a healthy financial position.</t>
  </si>
  <si>
    <t>Overall, Broadcom Inc. has a strong market position and potential for future growth, but its current valuation may be a cause for caution. Investors should closely monitor the company's financial performance and industry trends before making any investment decisions."</t>
  </si>
  <si>
    <t>BR,75,"Broadridge Financial Solutions is a leading provider of technology-driven solutions for the financial services industry. The company's recent financial data shows a strong market cap of 23.99B and an enterprise value of 27.59B. Its trailing P/E ratio of 35.49 and forward P/E ratio of 23.81 indicate that the stock may be slightly overvalued, but its PEG ratio of 1.90 suggests potential for future growth.</t>
  </si>
  <si>
    <t>Broadridge's price/sales ratio of 3.84 and price/book ratio of 11.60 are higher than the industry average, indicating a premium for the company's strong financial performance. Its enterprise value/revenue ratio of 4.37 and enterprise value/EBITDA ratio of 20.74 also suggest that the stock may be slightly overvalued.</t>
  </si>
  <si>
    <t>Overall, Broadridge Financial Solutions has a strong financial position and potential for future growth. However, its current valuation may be a concern for some investors. It is important to monitor the company's performance and industry trends before making any investment decisions."</t>
  </si>
  <si>
    <t>TRGP,75,"Targa Resources is a leading company in the Oil &amp; Gas Storage &amp; Transportation industry with a recent market cap of 22.17B and an enterprise value of 35.04B. The firm has a trailing P/E ratio of 27.14 and a forward P/E ratio of 19.01, indicating a potential undervaluation in the stock. However, the PEG ratio of 2.64 suggests that the stock may be slightly overvalued based on its expected growth rate.</t>
  </si>
  <si>
    <t>In terms of valuation metrics, Targa Resources has a price/sales ratio of 1.40 and a price/book ratio of 8.09, which are both higher than the industry average. This could indicate that the stock is currently trading at a premium compared to its peers. Additionally, the enterprise value/revenue and enterprise value/EBITDA ratios of 2.18 and 8.85, respectively, suggest that the stock may be overvalued based on its revenue and earnings.</t>
  </si>
  <si>
    <t>Overall, Targa Resources has a strong financial position and is a leader in its industry. However, the current valuation metrics suggest that the stock may be slightly overvalued. Investors should carefully consider their risk tolerance and do further research before making any investment decisions."</t>
  </si>
  <si>
    <t>TER,75,"Teradyne, a leading company in the Semiconductor Materials &amp; Equipment industry, has been performing well in the recent market conditions. With a market cap of 16.21B and an enterprise value of 15.48B, the company has a strong financial standing. Its trailing P/E ratio of 38.80 and forward P/E ratio of 31.65 indicate that the company is currently trading at a premium, but its PEG ratio of 1.34 suggests potential for future growth.</t>
  </si>
  <si>
    <t>Teradyne's price/sales ratio of 6.50 and price/book ratio of 6.42 are higher than the industry average, indicating that the stock may be overvalued. However, its enterprise value/revenue ratio of 5.78 and enterprise value/EBITDA ratio of 24.17 are in line with the industry average, suggesting that the company is efficiently utilizing its resources.</t>
  </si>
  <si>
    <t>Overall, Teradyne's financial data suggests that it is a strong and stable company with potential for future growth. However, investors should carefully consider the current premium valuation of the stock before making any investment decisions."</t>
  </si>
  <si>
    <t>TXN,75,"Texas Instruments (TXN) is a leading semiconductor company with a recent market cap of $155.55B and an enterprise value of $158.20B. The company has a trailing P/E ratio of 24.20 and a forward P/E ratio of 34.13, indicating a potential for future growth. However, its PEG ratio of 3.29 suggests that the stock may be slightly overvalued.</t>
  </si>
  <si>
    <t>In terms of valuation, TXN has a price/sales ratio of 8.94 and a price/book ratio of 9.21, which are both higher than the industry average. This could be a concern for investors, as it may indicate that the stock is overpriced. Additionally, the company's enterprise value/revenue ratio of 9.03 and enterprise value/EBITDA ratio of 17.56 are also higher than the industry average, further supporting the notion that the stock may be overvalued.</t>
  </si>
  <si>
    <t>Despite these concerns, TXN has a strong financial position and a solid track record of profitability. The company has consistently delivered strong earnings and revenue growth, and its recent focus on high-margin products has helped to drive its profitability. Additionally, the company has a strong balance sheet with a low debt-to-equity ratio, providing stability and potential for future investments.</t>
  </si>
  <si>
    <t>Overall, while TXN may be slightly overvalued, its strong financial position and track record of profitability make it a solid investment option in the semiconductor industry. However, investors should closely monitor the stock's valuation and industry trends to make informed decisions."</t>
  </si>
  <si>
    <t>TMO,75,"Thermo Fisher Scientific is a leading company in the Life Sciences Tools &amp; Services industry with a recent market cap of 219.76B and an enterprise value of 246.60B. The company has a strong financial standing with a trailing P/E of 37.30 and a forward P/E of 26.60, indicating potential for future growth. However, the PEG ratio of 2.86 suggests that the stock may be slightly overvalued.</t>
  </si>
  <si>
    <t>Thermo Fisher Scientific's price/sales ratio of 5.22 and price/book ratio of 4.70 are higher than the industry average, indicating a premium for the company's stock. The enterprise value/revenue ratio of 5.75 and enterprise value/EBITDA ratio of 22.26 also suggest that the stock may be overvalued.</t>
  </si>
  <si>
    <t>Despite these high valuations, Thermo Fisher Scientific has a strong financial position and a solid track record of growth. The company's recent acquisition of PPD, a leading contract research organization, further strengthens its position in the life sciences industry.</t>
  </si>
  <si>
    <t>Overall, Thermo Fisher Scientific is a strong company with potential for future growth. However, investors should carefully consider the high valuations before making any investment decisions."</t>
  </si>
  <si>
    <t>LIN,75,"Linde plc is a leading company in the industrial gases industry with a recent market cap of 216.33B and an enterprise value of 231.98B. The company has a trailing P/E ratio of 35.68 and a forward P/E ratio of 28.99, indicating a positive outlook for future earnings. However, the PEG ratio of 2.90 suggests that the stock may be slightly overvalued.</t>
  </si>
  <si>
    <t>In terms of valuation, Linde plc has a price/sales ratio of 6.73 and a price/book ratio of 5.45, which are both higher than the industry average. This could be a cause for concern for investors, as it may indicate an inflated stock price. Additionally, the enterprise value/revenue ratio of 7.06 and the enterprise value/EBITDA ratio of 18.99 are also higher than the industry average, suggesting that the stock may be overvalued.</t>
  </si>
  <si>
    <t>Despite these concerns, Linde plc has a strong market position and a positive outlook for future growth. The company's recent merger with Praxair has expanded its global reach and increased its market share. Additionally, the demand for industrial gases is expected to continue to grow, driven by various industries such as healthcare, electronics, and manufacturing.</t>
  </si>
  <si>
    <t>Overall, while Linde plc may be slightly overvalued, its strong market position and positive growth outlook make it a potential investment opportunity. However, investors should carefully consider the company's valuation metrics and monitor any potential changes in the market."</t>
  </si>
  <si>
    <t>MRO,75,"Marathon Oil is a recent addition to the Oil &amp; Gas Exploration &amp; Production industry, with a market cap of 13.88B and an enterprise value of 19.15B. The company's latest financial data shows a trailing P/E of 9.61 and a forward P/E of 7.29, indicating a relatively low valuation. Additionally, its price/sales ratio of 2.33 and price/book ratio of 1.24 suggest that the stock may be undervalued.</t>
  </si>
  <si>
    <t>However, it is important to note that Marathon Oil's enterprise value/revenue ratio of 2.99 and enterprise value/EBITDA ratio of 4.29 are higher than the industry average, indicating a higher valuation compared to its peers. This could be a potential risk for investors to consider.</t>
  </si>
  <si>
    <t>Overall, Marathon Oil's financial data suggests that the stock may be undervalued, but investors should also be cautious of its higher valuation compared to its peers. It is important to closely monitor the company's performance and industry trends before making any investment decisions."</t>
  </si>
  <si>
    <t>MPC,75,"Marathon Petroleum (MPC) is a leading company in the Oil &amp; Gas Refining &amp; Marketing industry with a recent market cap of $63.74B and an enterprise value of $79.27B. The company has a trailing P/E ratio of 7.33 and a forward P/E ratio of 11.81, indicating a potential undervaluation in the stock. However, the PEG ratio of 15.65 suggests that the stock may be overvalued in the long term.</t>
  </si>
  <si>
    <t>MPC's price/sales ratio of 0.48 and enterprise value/revenue ratio of 0.53 are lower than the industry average, indicating a potential undervaluation in the stock. Additionally, the company's enterprise value/EBITDA ratio of 6.30 is also lower than the industry average, suggesting that the stock may be undervalued based on its earnings.</t>
  </si>
  <si>
    <t>Overall, MPC's financial data suggests that the stock may be undervalued in the short term, but overvalued in the long term. Investors should carefully consider the company's potential for growth and its competitive position in the industry before making any investment decisions."</t>
  </si>
  <si>
    <t>HUBB,75,"Hubbell Incorporated is a leading company in the Industrial Machinery &amp; Supplies &amp; Components industry with a recent market cap of 20.63B and an enterprise value of 22.58B. The company has a trailing P/E ratio of 27.39 and a forward P/E ratio of 23.75, indicating a positive outlook for future earnings. However, the PEG ratio of 2.38 suggests that the stock may be slightly overvalued.</t>
  </si>
  <si>
    <t>In terms of valuation, Hubbell has a price/sales ratio of 3.87 and a price/book ratio of 7.17, which are both higher than the industry average. This could be a concern for investors, as it may indicate that the stock is trading at a premium. Additionally, the enterprise value/revenue ratio of 4.20 and the enterprise value/EBITDA ratio of 19.30 are also higher than the industry average, suggesting that the stock may be overvalued.</t>
  </si>
  <si>
    <t>Overall, Hubbell Incorporated has a strong financial position and positive earnings outlook. However, the stock may be slightly overvalued compared to its industry peers. Investors should carefully consider their risk tolerance and do further research before making any investment decisions."</t>
  </si>
  <si>
    <t>HII,75,"Huntington Ingalls Industries (HII) is a leading company in the Aerospace &amp; Defense industry with a recent market cap of 11.58B and an enterprise value of 13.82B. The company has a trailing P/E ratio of 17.13 and a forward P/E ratio of 17.24, indicating a relatively fair valuation. However, the PEG ratio of 3.98 suggests that the stock may be overvalued compared to its expected growth rate.</t>
  </si>
  <si>
    <t>HII's price/sales ratio of 1.02 and price/book ratio of 2.83 are both below the industry average, indicating that the stock may be undervalued in terms of its sales and book value. The company's enterprise value/revenue ratio of 1.21 and enterprise value/EBITDA ratio of 10.67 are also below the industry average, suggesting that the stock may be undervalued in terms of its revenue and earnings.</t>
  </si>
  <si>
    <t>Overall, HII's financial data suggests that the stock may be undervalued compared to its industry peers. However, investors should also consider the recent geopolitical tensions and potential impacts on the defense industry. It is important to monitor any developments in this area and their potential effects on HII's business."</t>
  </si>
  <si>
    <t>INTC,75,"Intel, a leading semiconductor company, has been facing challenges in the recent years due to increased competition and a decline in PC sales. However, the company has been making efforts to diversify its business and focus on emerging technologies such as artificial intelligence and 5G. The latest financial data shows a market cap of 185.27B and an enterprise value of 209.51B. The trailing P/E ratio of 109.55 and forward P/E ratio of 33.22 indicate that the stock may be overvalued. However, the PEG ratio of 0.54 suggests that the stock may still have potential for growth. The price/sales ratio of 3.40 and price/book ratio of 1.75 are relatively low compared to industry averages, making the stock potentially undervalued. The enterprise value/revenue ratio of 3.86 and enterprise value/EBITDA ratio of 18.64 also indicate that the stock may be undervalued. Overall, Intel's efforts to diversify and its relatively low valuation ratios make it a potential investment opportunity in the semiconductor industry."</t>
  </si>
  <si>
    <t>ICE,75,"Intercontinental Exchange (ICE) is a leading player in the financial exchanges and data industry with a recent market cap of $79.35B and an enterprise value of $101.13B. The company has a strong financial position with a trailing P/E ratio of 33.07 and a forward P/E ratio of 23.92, indicating potential for future growth. However, the PEG ratio of 1.24 suggests that the stock may be slightly overvalued.</t>
  </si>
  <si>
    <t>ICE's price/sales ratio of 7.91 and price/book ratio of 3.09 are in line with industry averages, indicating a fair valuation. The company's enterprise value/revenue ratio of 10.21 and enterprise value/EBITDA ratio of 20.57 also suggest that the stock may be slightly overvalued.</t>
  </si>
  <si>
    <t>Overall, ICE has a strong financial position and is well-positioned in the financial exchanges and data industry. However, the slightly overvalued metrics suggest that investors should approach with caution and consider potential risks before making any investment decisions."</t>
  </si>
  <si>
    <t>IFF,75,"International Flavors &amp; Fragrances (IFF) is a leading company in the specialty chemicals industry with a recent market cap of 19.37B and an enterprise value of 29.47B. The company's latest financial data shows a forward P/E ratio of 20.75 and a PEG ratio of 17.45, indicating a relatively high valuation. However, IFF's price/sales ratio of 1.69 and price/book ratio of 1.33 suggest that the stock may be undervalued compared to its peers in the industry.</t>
  </si>
  <si>
    <t>IFF's enterprise value/revenue ratio of 2.57 is in line with the industry average, while its enterprise value/EBITDA ratio of -29.59 is significantly lower, indicating potential undervaluation. The company's latest financial data also shows a strong balance sheet with a healthy cash flow and manageable debt levels.</t>
  </si>
  <si>
    <t>Overall, IFF's financial data suggests a stable and undervalued company in the specialty chemicals industry. However, investors should consider potential risks, such as the impact of inflation on raw material costs and the company's exposure to geopolitical tensions in the Middle East."</t>
  </si>
  <si>
    <t>ISRG,75,"Intuitive Surgical is a leading company in the Health Care Equipment industry with a recent market cap of 140.20B and an enterprise value of 134.97B. The company has a trailing P/E ratio of 79.11 and a forward P/E ratio of 64.10, indicating a potential for future growth. However, the PEG ratio of 5.84 suggests that the stock may be slightly overvalued.</t>
  </si>
  <si>
    <t>The latest financial data also shows a price/sales ratio of 19.96 and a price/book ratio of 10.54, which are both higher than the industry average. This could be a concern for investors, as it may indicate a potential for a correction in the stock price.</t>
  </si>
  <si>
    <t>On the positive side, Intuitive Surgical has a strong enterprise value/revenue ratio of 18.95 and a solid enterprise value/EBITDA ratio of 61.67, indicating a healthy financial position and potential for future profitability.</t>
  </si>
  <si>
    <t>Overall, Intuitive Surgical is a strong company with a dominant position in the Health Care Equipment industry. However, the high valuation metrics and potential for a correction in the stock price should be considered by investors."</t>
  </si>
  <si>
    <t>INVH,75,"Invitation Homes (INVH) is a leading player in the Single-Family Residential REITs industry with a recent market cap of $21.14B and an enterprise value of $28.98B. The company has a trailing P/E ratio of 40.64 and a forward P/E ratio of 44.84, indicating a relatively high valuation. However, the PEG ratio of 5.96 suggests that the stock may be overvalued compared to its expected earnings growth.</t>
  </si>
  <si>
    <t>INVH has a price/sales ratio of 8.71 and a price/book ratio of 2.08, which are both higher than the industry average. This could be a cause for concern for investors, as it may indicate that the stock is trading at a premium. Additionally, the enterprise value/revenue ratio of 11.92 and the enterprise value/EBITDA ratio of 18.96 are also higher than the industry average, further supporting the notion that the stock may be overvalued.</t>
  </si>
  <si>
    <t>However, INVH has a strong market position and a solid financial track record. The company has consistently delivered strong earnings and revenue growth, and its recent expansion into new markets has the potential to drive further growth. Additionally, the company's focus on technology and innovation has helped it maintain a competitive edge in the industry.</t>
  </si>
  <si>
    <t>Overall, INVH has a strong financial standing and a promising growth outlook. However, the stock's high valuation may be a cause for concern for some investors. Therefore, it is important to carefully consider the risks and potential rewards before making any investment decisions."</t>
  </si>
  <si>
    <t>AVB,75,"AvalonBay Communities is a real estate investment trust (REIT) that specializes in multi-family residential properties. The recent financial data for the company shows a market cap of $25.30B and an enterprise value of $33.04B. The trailing P/E ratio is 27.16, while the forward P/E ratio is 34.97. The PEG ratio, which measures the relationship between the stock's price, earnings, and growth potential, is at 4.70, indicating a slightly overvalued stock. The price/sales ratio is 9.12, and the price/book ratio is 2.15, both of which are below the industry average. The enterprise value/revenue ratio is 11.94, and the enterprise value/EBITDA ratio is 16.84, both of which are also below the industry average.</t>
  </si>
  <si>
    <t>Overall, AvalonBay Communities has a strong financial position, with a solid market cap and enterprise value. However, the PEG ratio suggests that the stock may be slightly overvalued, and the price/sales and price/book ratios are below the industry average, indicating a potential undervaluation. The company's enterprise value/revenue and enterprise value/EBITDA ratios are also below the industry average, which could be seen as a positive sign for investors."</t>
  </si>
  <si>
    <t>AXON,75,"Axon Enterprise is a leading company in the Aerospace &amp; Defense industry with a recent market cap of 23.67B and an enterprise value of 23.06B. The firm has a trailing P/E ratio of 136.07 and a forward P/E ratio of 75.76, indicating a high valuation. Its price/sales ratio of 15.17 and price/book ratio of 14.68 also suggest that the stock may be overvalued.</t>
  </si>
  <si>
    <t>However, Axon Enterprise has a strong enterprise value/revenue ratio of 14.75 and a relatively high enterprise value/EBITDA ratio of 118.48, indicating a solid financial position. The company has a strong presence in the Aerospace &amp; Defense industry and has been consistently growing its revenue and earnings.</t>
  </si>
  <si>
    <t>Overall, Axon Enterprise has a strong financial position and a leading position in its industry. However, its high valuation may be a cause for concern. Investors should carefully consider their risk tolerance and do further research before making any investment decisions."</t>
  </si>
  <si>
    <t>BKR,75,"Baker Hughes is a leading company in the Oil &amp; Gas Equipment &amp; Services industry with a recent market cap of $29.99B and an enterprise value of $33.36B. The company has a trailing P/E ratio of 15.69 and a forward P/E ratio of 14.90, indicating a relatively low valuation compared to its peers. The PEG ratio of 0.87 suggests that the stock may be undervalued, considering its expected growth rate. Additionally, the price/sales and price/book ratios of 1.19 and 1.95, respectively, are also lower than the industry average, making the stock potentially attractive for value investors.</t>
  </si>
  <si>
    <t>However, it is important to note that the company's enterprise value/revenue and enterprise value/EBITDA ratios of 1.31 and 8.43, respectively, are slightly higher than the industry average. This could indicate that the stock may be slightly overvalued based on its revenue and earnings. Furthermore, the recent volatility in oil prices and the ongoing geopolitical tensions in the Middle East may pose risks for the company's performance in the short term.</t>
  </si>
  <si>
    <t>Overall, Baker Hughes appears to be a solid company with a strong market position and attractive valuation metrics. However, investors should carefully consider the potential risks and monitor the company's performance in the coming months."</t>
  </si>
  <si>
    <t>BRK.B,75,"Berkshire Hathaway, a multinational conglomerate holding company, has been performing well in the recent market conditions. The company's latest financial data shows a strong balance sheet with a healthy cash position and a diverse portfolio of investments. Additionally, Berkshire Hathaway's leadership under Warren Buffett has a proven track record of successful long-term investments.</t>
  </si>
  <si>
    <t>The company's exposure to various sectors, including insurance, energy, and consumer goods, provides stability and potential for growth. Furthermore, Berkshire Hathaway's recent acquisition of Precision Castparts Corp, a leading manufacturer in the aerospace industry, shows the company's strategic approach to expanding its portfolio.</t>
  </si>
  <si>
    <t>However, it is important to note that the company's stock price has been relatively flat in the past month, potentially indicating a lack of short-term growth opportunities. Additionally, the company's size and diversification may limit its potential for significant short-term gains."</t>
  </si>
  <si>
    <t>BIO,75,"Bio-Rad is a leading company in the Life Sciences Tools &amp; Services industry with a recent market cap of 9.48B and an enterprise value of 9.27B. The company's forward P/E ratio of 29.85 and PEG ratio of 1.07 suggest that the stock may be slightly overvalued. However, its price/sales ratio of 3.63 and price/book ratio of 1.08 indicate that the stock may still have room for growth.</t>
  </si>
  <si>
    <t>Bio-Rad's latest financial data also shows a strong enterprise value/revenue ratio of 3.47, indicating that the company is generating significant revenue. However, its enterprise value/EBITDA ratio of -14.16 suggests that the company may have a high level of debt.</t>
  </si>
  <si>
    <t>Overall, Bio-Rad's financial data suggests that the company is performing well in the Life Sciences Tools &amp; Services industry, but investors should be cautious of its high debt levels. It is important to monitor the company's future financial reports to assess its ability to manage its debt and continue its growth."</t>
  </si>
  <si>
    <t>JBHT,75,"J.B. Hunt (JBHT) is a leading company in the Cargo Ground Transportation industry with a recent market cap of 21.01B and an enterprise value of 22.53B. The company has a trailing P/E ratio of 29.18 and a forward P/E ratio of 25.91, indicating a relatively high valuation. However, the PEG ratio of 2.24 suggests that the stock may still have room for growth.</t>
  </si>
  <si>
    <t>In terms of valuation multiples, JBHT has a price/sales ratio of 1.66 and a price/book ratio of 5.12, both of which are higher than the industry average. This could be a reflection of the company's strong financial performance and market position. Additionally, the enterprise value/revenue ratio of 1.76 and the enterprise value/EBITDA ratio of 12.96 indicate that the company may be slightly overvalued compared to its peers.</t>
  </si>
  <si>
    <t>Overall, JBHT has a strong financial standing and a leading position in the industry. However, its high valuation multiples may suggest limited potential for short-term growth. Investors should carefully consider their investment goals and risk tolerance before making any decisions."</t>
  </si>
  <si>
    <t>NWSA,75,"News Corp (Class A) is a global media and publishing company with a market cap of 15.18B and an enterprise value of 17.70B. The company's recent financial data shows a trailing P/E ratio of 65.80 and a forward P/E ratio of 25.91, indicating a potential for future earnings growth. The PEG ratio of 1.13 suggests that the stock may be undervalued compared to its expected earnings growth.</t>
  </si>
  <si>
    <t>In terms of valuation, News Corp has a price/sales ratio of 1.52 and a price/book ratio of 1.83, which are both below the industry average. This could indicate that the stock is currently undervalued. However, the enterprise value/revenue ratio of 1.78 and the enterprise value/EBITDA ratio of 14.14 are slightly higher than the industry average, suggesting that the stock may be slightly overvalued.</t>
  </si>
  <si>
    <t>Overall, News Corp's latest financial data shows potential for future growth and a relatively attractive valuation compared to its industry peers. However, investors should also consider the potential risks and uncertainties in the media and publishing industry, such as changing consumer preferences and increasing competition."</t>
  </si>
  <si>
    <t>NKE,75,"Nike, Inc. is a leading company in the Apparel, Accessories &amp; Luxury Goods industry with a recent market cap of $154.36B and an enterprise value of $156.61B. The company has a strong financial standing with a trailing P/E ratio of 29.70 and a forward P/E ratio of 24.94, indicating potential for future growth. However, the PEG ratio of 1.66 suggests that the stock may be slightly overvalued.</t>
  </si>
  <si>
    <t>Nike's price/sales ratio of 3.06 and price/book ratio of 10.91 are in line with industry averages, indicating that the stock is not significantly undervalued or overvalued. The company's enterprise value/revenue ratio of 3.04 and enterprise value/EBITDA ratio of 22.99 also suggest that the stock is trading at a fair value.</t>
  </si>
  <si>
    <t>Overall, Nike, Inc. has a strong financial position and potential for future growth, but the stock may be slightly overvalued. Investors should consider the company's strong brand and market position, as well as potential risks such as competition and economic conditions, before making any investment decisions."</t>
  </si>
  <si>
    <t>NI,75,"NiSource, a multi-utility company with a recent market cap of 11.69B and an enterprise value of 24.06B, has shown steady financial performance in the past year. With a trailing P/E of 17.66 and a forward P/E of 15.20, the company's valuation appears to be in line with industry standards. However, its PEG ratio of 3.23 suggests that the stock may be slightly overvalued compared to its expected growth rate.</t>
  </si>
  <si>
    <t>NiSource's price/sales ratio of 2.13 and price/book ratio of 1.50 indicate that the stock is trading at a reasonable price compared to its revenue and book value. Its enterprise value/revenue ratio of 4.37 and enterprise value/EBITDA ratio of 10.82 also suggest that the company's valuation is in line with its financial performance.</t>
  </si>
  <si>
    <t>Overall, NiSource appears to be a stable and well-performing company in the multi-utilities industry. Its financial data indicates that the stock may be slightly overvalued, but its steady performance and reasonable valuation make it a potential investment opportunity."</t>
  </si>
  <si>
    <t>NVDA,75,"Nvidia, a leading semiconductor company, has been making headlines with its meteoric rise in the stock market. Its recent surge has helped push the overall market to record highs, but it has also sparked discussions about a potential bubble in the market. Despite this, Nvidia's financial data remains strong, with a market cap of 2.06T and a forward P/E ratio of 34.25. However, its high price-to-sales and price-to-book ratios may be cause for concern."</t>
  </si>
  <si>
    <t>NXPI,75,"NXP Semiconductors is a leading company in the semiconductor industry with a recent market cap of 66.04B and an enterprise value of 73.16B. The company has a trailing P/E ratio of 24.07 and a forward P/E ratio of 18.76, indicating a positive outlook for future earnings. However, the PEG ratio of 2.33 suggests that the stock may be slightly overvalued.</t>
  </si>
  <si>
    <t>In terms of valuation, NXP Semiconductors has a price/sales ratio of 5.07 and a price/book ratio of 7.64, which are both higher than the industry average. This could be a cause for concern for investors, as it may indicate an inflated stock price. Additionally, the enterprise value/revenue ratio of 5.51 and the enterprise value/EBITDA ratio of 14.94 are also higher than the industry average, suggesting that the stock may be overvalued.</t>
  </si>
  <si>
    <t>Overall, NXP Semiconductors has a strong market position and positive earnings outlook, but its valuation metrics may be a cause for concern. It is important for investors to carefully consider the risks and potential rewards before making any investment decisions."</t>
  </si>
  <si>
    <t>ODFL,75,"Old Dominion is a leading company in the Cargo Ground Transportation industry with a recent market cap of 48.35B and an enterprise value of 47.99B. The company has a trailing P/E ratio of 39.45 and a forward P/E ratio of 33.78, indicating a potential for future growth. However, the PEG ratio of 4.10 suggests that the stock may be overvalued compared to its expected earnings growth.</t>
  </si>
  <si>
    <t>Old Dominion's price/sales ratio of 8.34 and price/book ratio of 11.35 are higher than the industry average, indicating a premium valuation. The company's enterprise value/revenue ratio of 8.18 and enterprise value/EBITDA ratio of 24.33 also suggest a relatively high valuation.</t>
  </si>
  <si>
    <t>Overall, Old Dominion's financial data suggests a strong position in the market, but with a potential for overvaluation. Investors should carefully consider the company's growth potential and valuation before making any investment decisions."</t>
  </si>
  <si>
    <t>PARA,75,"Paramount Global is a leading company in the Movies &amp; Entertainment industry with a recent market cap of 7.54B and an enterprise value of 20.94B. The company's financial data shows a promising outlook, with a low forward P/E ratio of 9.82 and a PEG ratio of 0.24, indicating potential undervaluation. Additionally, the price/sales and price/book ratios are also relatively low at 0.24 and 0.32 respectively, suggesting a potential opportunity for investors.</t>
  </si>
  <si>
    <t>However, it is important to note that the company's enterprise value/revenue and enterprise value/EBITDA ratios are not as favorable, at 0.69 and -173.08 respectively. This could be a cause for concern and should be monitored closely.</t>
  </si>
  <si>
    <t>Overall, Paramount Global's financial data presents a mixed picture, with some positive indicators and some potential red flags. It is important for investors to conduct further research and analysis before making any investment decisions."</t>
  </si>
  <si>
    <t>PH,75,"Parker Hannifin is a leading company in the Industrial Machinery &amp; Supplies &amp; Components industry with a recent market cap of 69.06B and an enterprise value of 80.46B. The company has a trailing P/E ratio of 26.57 and a forward P/E ratio of 20.37, indicating a positive outlook for future earnings. However, the PEG ratio of 2.20 suggests that the stock may be slightly overvalued.</t>
  </si>
  <si>
    <t>In terms of valuation, Parker Hannifin has a price/sales ratio of 3.53 and a price/book ratio of 6.11, which are both higher than the industry average. This could be a concern for investors, as it may indicate that the stock is trading at a premium. Additionally, the enterprise value/revenue ratio of 4.06 and the enterprise value/EBITDA ratio of 16.68 are also higher than the industry average, suggesting that the stock may be overvalued.</t>
  </si>
  <si>
    <t>Overall, Parker Hannifin has a strong financial position and a positive outlook for future earnings. However, the stock may be slightly overvalued compared to its industry peers. It is important for investors to carefully consider the company's valuation before making any investment decisions."</t>
  </si>
  <si>
    <t>GRMN,75,"Garmin, a leading company in the consumer electronics industry, has shown strong financial performance in recent years. With a market cap of 26.36B and an enterprise value of 24.50B, the company has a solid financial foundation. Its trailing P/E ratio of 20.48 and forward P/E ratio of 26.45 indicate that the company is currently trading at a reasonable valuation.</t>
  </si>
  <si>
    <t>However, the PEG ratio of 5.39 suggests that the stock may be slightly overvalued, considering its expected growth rate. Additionally, the price/sales ratio of 5.05 and price/book ratio of 3.76 may also indicate a higher valuation compared to its industry peers.</t>
  </si>
  <si>
    <t>On the positive side, Garmin has a strong enterprise value/revenue ratio of 4.69 and enterprise value/EBITDA ratio of 19.30, indicating efficient use of its assets and potential for future growth.</t>
  </si>
  <si>
    <t>Overall, Garmin's financial data suggests a stable and well-performing company in the consumer electronics industry. However, investors should carefully consider the company's valuation and potential risks before making any investment decisions."</t>
  </si>
  <si>
    <t>GEN,75,"Gen Digital, a company in the Systems Software industry, has a recent market cap of 13.90B and an enterprise value of 22.71B. Its trailing P/E ratio is 9.88 and its forward P/E ratio is 9.53, indicating a relatively low valuation compared to its peers. However, its PEG ratio of 5.30 suggests that its growth potential may be overvalued.</t>
  </si>
  <si>
    <t>In terms of its financial health, Gen Digital has a price/sales ratio of 3.71 and a price/book ratio of 5.75, both of which are higher than the industry average. Its enterprise value/revenue ratio of 5.99 and enterprise value/EBITDA ratio of 14.34 also indicate a higher valuation compared to its peers.</t>
  </si>
  <si>
    <t>Overall, Gen Digital's financial data suggests that it may be slightly overvalued in the market. However, its low P/E ratios and strong market position in the Systems Software industry may make it an attractive investment opportunity for the long term."</t>
  </si>
  <si>
    <t>DOC,75,"Healthpeak is a real estate investment trust (REIT) focused on the healthcare industry. The recent financial data for the company shows a market cap of 2.68B and an enterprise value of 4.63B. The trailing P/E ratio is 66.06 and the forward P/E ratio is 48.78, indicating a relatively high valuation. The price/sales ratio is 5.15 and the price/book ratio is 0.97, which are both below the industry average. However, the enterprise value/revenue ratio is 8.51 and the enterprise value/EBITDA ratio is 14.39, which are both above the industry average.</t>
  </si>
  <si>
    <t>Healthpeak's focus on the healthcare industry is a potential advantage, as the demand for healthcare services is expected to continue to grow. Additionally, the company's strong financial position with a low debt-to-equity ratio of 0.97 and a healthy dividend yield of 4.5% make it an attractive investment option.</t>
  </si>
  <si>
    <t>However, there are some potential risks to consider. The company's high P/E ratios may indicate an overvalued stock, and any changes in healthcare policies or regulations could impact the company's performance. Furthermore, the ongoing COVID-19 pandemic may also have an impact on the healthcare industry and, in turn, Healthpeak's operations.</t>
  </si>
  <si>
    <t>Overall, Healthpeak's strong financial position and focus on a growing industry make it a potential investment opportunity. However, investors should carefully consider the potential risks before making any investment decisions."</t>
  </si>
  <si>
    <t>HRL,75,"Hormel Foods is a leading company in the Packaged Foods &amp; Meats industry with a recent market cap of 18.25B and an enterprise value of 20.58B. The company has a trailing P/E ratio of 23.01 and a forward P/E ratio of 21.55, indicating a relatively high valuation. The PEG ratio of 4.90 suggests that the stock may be overvalued compared to its expected growth rate. However, Hormel Foods has a strong price-to-sales ratio of 1.51 and a price-to-book ratio of 2.33, indicating that the stock may still have room for growth.</t>
  </si>
  <si>
    <t>In terms of financial performance, Hormel Foods has a solid enterprise value/revenue ratio of 1.70 and an enterprise value/EBITDA ratio of 15.38. This suggests that the company is generating strong revenue and earnings, making it an attractive investment option.</t>
  </si>
  <si>
    <t>Overall, Hormel Foods has a strong position in the Packaged Foods &amp; Meats industry and has shown consistent growth in recent years. However, investors should carefully consider the company's valuation before making any investment decisions."</t>
  </si>
  <si>
    <t>HST,75,"Host Hotels &amp; Resorts is a leading company in the Hotel &amp; Resort REITs industry with a recent market cap of 14.75B and an enterprise value of 18.38B. The firm has a trailing P/E ratio of 20.15 and a forward P/E ratio of 19.68, indicating a relatively fair valuation. The PEG ratio of 1.22 suggests that the stock may be slightly overvalued, but not significantly. The price/sales and price/book ratios of 2.81 and 2.22, respectively, are also in line with industry averages.</t>
  </si>
  <si>
    <t>However, the enterprise value/revenue and enterprise value/EBITDA ratios of 3.46 and 10.99, respectively, are slightly higher than the industry average. This may indicate that the stock is trading at a premium compared to its peers. Additionally, the recent news of the COVID-19 pandemic and its impact on the hospitality industry may have a negative effect on the company's financials in the short term.</t>
  </si>
  <si>
    <t>Overall, Host Hotels &amp; Resorts appears to be a stable and well-established company in the Hotel &amp; Resort REITs industry. However, investors should closely monitor the impact of the pandemic on the company's financials and the broader hospitality industry."</t>
  </si>
  <si>
    <t>HWM,75,"Howmet Aerospace (NYSE: HWM) is a leading aerospace and defense company with a recent market cap of $27.49B and an enterprise value of $30.77B. The company has a trailing P/E ratio of 36.61 and a forward P/E ratio of 30.03, indicating a relatively high valuation. However, its PEG ratio of 0.80 suggests that the stock may be undervalued compared to its expected earnings growth.</t>
  </si>
  <si>
    <t>In terms of valuation multiples, Howmet Aerospace has a price/sales ratio of 4.20 and a price/book ratio of 6.90, both of which are higher than the industry average. Its enterprise value/revenue ratio of 4.63 and enterprise value/EBITDA ratio of 21.00 also indicate a relatively high valuation.</t>
  </si>
  <si>
    <t>Overall, Howmet Aerospace has a strong financial position and is well-positioned in the aerospace and defense industry. However, its high valuation multiples may be a cause for concern for some investors. It is important to closely monitor the company's performance and industry trends before making any investment decisions."</t>
  </si>
  <si>
    <t>HPQ,75,"HP Inc. is a leading company in the Technology Hardware, Storage &amp; Peripherals industry with a recent market cap of 28.78B and an enterprise value of 37.45B. The firm has a trailing P/E ratio of 8.62 and a forward P/E ratio of 8.45, indicating a relatively low valuation compared to its peers. However, the PEG ratio of 8.51 suggests that the stock may be overvalued based on its expected growth rate.</t>
  </si>
  <si>
    <t>The recent price/sales ratio of 0.55 and enterprise value/revenue ratio of 0.71 also indicate that the stock may be undervalued. However, the enterprise value/EBITDA ratio of 8.26 is slightly higher than the industry average, suggesting that the company may be less efficient in generating earnings compared to its competitors.</t>
  </si>
  <si>
    <t>Overall, HP Inc. appears to be a financially stable company with a strong market position. However, investors should consider the potential risks and uncertainties in the technology industry, such as changing consumer preferences and increasing competition."</t>
  </si>
  <si>
    <t>EQIX,75,"Equinix is a leading player in the Data Center REITs industry, with a recent market cap of 85.21B and an enterprise value of 100.57B. The company has a trailing P/E ratio of 87.34 and a forward P/E ratio of 74.63, indicating a potential for future growth. However, its PEG ratio of 5.96 suggests that the stock may be slightly overvalued.</t>
  </si>
  <si>
    <t>In terms of valuation, Equinix has a price/sales ratio of 10.34 and a price/book ratio of 6.82, which are both higher than the industry average. This could be a cause for concern for some investors, as it may indicate an inflated stock price. Additionally, the company's enterprise value/revenue ratio of 12.28 and enterprise value/EBITDA ratio of 29.83 are also higher than the industry average, suggesting that the stock may be overvalued.</t>
  </si>
  <si>
    <t>Overall, Equinix has a strong market position and potential for future growth, but its current valuation may be a cause for caution. It is important for investors to carefully consider the company's financial data and industry trends before making any investment decisions."</t>
  </si>
  <si>
    <t>EL,75,"The Estée Lauder Companies (EL) is a leading player in the Personal Care Products industry with a recent market cap of $53.35B and an enterprise value of $59.61B. The company has a trailing P/E ratio of 115.37 and a forward P/E ratio of 35.34, indicating a high valuation. However, its PEG ratio of 2.28 suggests that the stock may be undervalued compared to its expected earnings growth.</t>
  </si>
  <si>
    <t>EL's latest price/sales ratio of 3.54 and price/book ratio of 9.34 are higher than the industry average, indicating a premium valuation. However, its enterprise value/revenue ratio of 3.93 and enterprise value/EBITDA ratio of 30.73 are in line with the industry average, suggesting that the company is not overvalued based on its revenue and earnings.</t>
  </si>
  <si>
    <t>Overall, EL's financial data suggests that the company may be slightly overvalued, but its expected earnings growth and strong position in the Personal Care Products industry make it a potential investment opportunity."</t>
  </si>
  <si>
    <t>KMX,75,"CarMax is a leading automotive retail company with a recent market cap of 12.52B and an enterprise value of 31.41B. The company has a trailing P/E ratio of 25.34 and a forward P/E ratio of 22.03, indicating a positive outlook for future earnings. The PEG ratio of 0.98 suggests that the stock is currently undervalued compared to its expected growth rate. Additionally, the price/sales ratio of 0.47 and price/book ratio of 2.07 are both below the industry average, making the stock potentially attractive to value investors.</t>
  </si>
  <si>
    <t>However, the enterprise value/revenue ratio of 1.18 and enterprise value/EBITDA ratio of 19.48 are slightly higher than the industry average, indicating that the stock may be slightly overvalued. This could be a concern for investors, especially in the current market conditions where valuations are being closely scrutinized.</t>
  </si>
  <si>
    <t>Overall, CarMax has a strong financial position and is well-positioned in the automotive retail industry. The company's focus on digital sales and expanding its online presence has helped it navigate the challenges posed by the pandemic. However, investors should carefully consider the current valuation of the stock before making any investment decisions."</t>
  </si>
  <si>
    <t>CAT,75,"Caterpillar Inc. is a leading company in the Construction Machinery &amp; Heavy Transportation Equipment industry with a recent market cap of 168.14B and an enterprise value of 199.04B. The company has a trailing P/E ratio of 16.73 and a forward P/E ratio of 15.85, indicating a relatively low valuation compared to its peers in the industry. However, the PEG ratio of 1.93 suggests that the stock may be slightly overvalued based on its expected growth rate.</t>
  </si>
  <si>
    <t>In terms of financial health, Caterpillar Inc. has a price/sales ratio of 2.58 and a price/book ratio of 8.63, which are both higher than the industry average. This could indicate that the stock is currently trading at a premium. Additionally, the enterprise value/revenue ratio of 2.97 and the enterprise value/EBITDA ratio of 12.67 suggest that the company may be slightly overvalued compared to its revenue and earnings.</t>
  </si>
  <si>
    <t>Overall, Caterpillar Inc. has a strong market position and a solid financial standing. However, the current valuation may be a cause for concern for potential investors. It is important to closely monitor the company's performance and future growth prospects before making any investment decisions."</t>
  </si>
  <si>
    <t>CHD,75,"Church &amp; Dwight is a leading company in the household products industry with a recent market cap of 24.45B and an enterprise value of 26.51B. The company has a trailing P/E ratio of 32.88 and a forward P/E ratio of 29.24, indicating a relatively high valuation. However, the PEG ratio of 3.76 suggests that the stock may be slightly overvalued compared to its expected earnings growth.</t>
  </si>
  <si>
    <t>In terms of valuation multiples, Church &amp; Dwight has a price/sales ratio of 4.23 and a price/book ratio of 6.34, both of which are higher than the industry average. The enterprise value/revenue ratio of 4.52 and the enterprise value/EBITDA ratio of 20.34 also indicate a relatively high valuation for the company.</t>
  </si>
  <si>
    <t>Despite the high valuation, Church &amp; Dwight has a strong financial position with a solid balance sheet and consistent earnings growth. The company has a diverse portfolio of well-known brands and a strong presence in the household products market. Additionally, the recent trend towards increased focus on health and hygiene may provide opportunities for growth for the company.</t>
  </si>
  <si>
    <t>Overall, Church &amp; Dwight is a strong company with a solid financial position and potential for growth. However, the high valuation may be a concern for some investors. It is important to carefully consider the company's financial data and market trends before making any investment decisions."</t>
  </si>
  <si>
    <t>ATO,75,"Atmos Energy is a gas utility company with a recent market cap of $17 billion and an enterprise value of $24.27 billion. The company has a trailing P/E ratio of 18.01 and a forward P/E ratio of 17.09, indicating a relatively fair valuation. However, its PEG ratio of 2.71 suggests that the stock may be slightly overvalued compared to its expected earnings growth.</t>
  </si>
  <si>
    <t>In terms of its financials, Atmos Energy has a price/sales ratio of 4.20 and a price/book ratio of 1.51, both of which are below the industry average. This could indicate that the stock is undervalued compared to its peers. However, its enterprise value/revenue ratio of 6.14 and enterprise value/EBITDA ratio of 13.23 are slightly higher than the industry average, suggesting that the stock may be slightly overvalued based on these metrics.</t>
  </si>
  <si>
    <t>Overall, Atmos Energy appears to be a stable and well-performing company in the gas utilities industry. Its financials suggest a fair valuation, with some metrics indicating potential undervaluation and others indicating slight overvaluation. Investors should continue to monitor the company's performance and industry trends before making any investment decisions."</t>
  </si>
  <si>
    <t>ADP,75,"Automated Data Processing (ADP) is a leading company in the Human Resource &amp; Employment Services industry with a recent market cap of $102.57B and an enterprise value of $104.25B. The company has a trailing P/E ratio of 29.07 and a forward P/E ratio of 24.88, indicating a positive outlook for future earnings. However, the PEG ratio of 2.76 suggests that the stock may be slightly overvalued.</t>
  </si>
  <si>
    <t>ADP's price/sales ratio of 5.85 and price/book ratio of 23.75 are higher than the industry average, indicating a premium valuation. The company's enterprise value/revenue ratio of 5.90 and enterprise value/EBITDA ratio of 18.93 also suggest a relatively high valuation.</t>
  </si>
  <si>
    <t>Overall, ADP's financial data suggests a strong and stable company with a positive outlook for future earnings. However, the stock may be slightly overvalued compared to its industry peers. Investors should carefully consider their investment goals and risk tolerance before making any decisions."</t>
  </si>
  <si>
    <t>EXPE,75,"Expedia Group is a leading player in the Hotels, Resorts &amp; Cruise Lines industry with a recent market cap of 18.65B and an enterprise value of 20.96B. The company has a trailing P/E ratio of 25.77 and a forward P/E ratio of 11.56, indicating a potential undervaluation in the stock. The PEG ratio of 0.43 also suggests that the stock may be trading at a discount compared to its expected earnings growth.</t>
  </si>
  <si>
    <t>Expedia Group's price/sales ratio of 1.60 and price/book ratio of 12.16 are in line with industry averages, indicating a fair valuation. However, the company's enterprise value/revenue ratio of 1.63 and enterprise value/EBITDA ratio of 10.13 are slightly higher than industry averages, suggesting that the stock may be slightly overvalued.</t>
  </si>
  <si>
    <t>Overall, Expedia Group's financial data suggests that the stock may be undervalued and presents a potential investment opportunity. However, investors should also consider the recent news and developments in the travel industry, such as the ongoing COVID-19 pandemic and its impact on travel demand, before making any investment decisions."</t>
  </si>
  <si>
    <t>FICO,75,"Fair Isaac (FICO) is a leading company in the application software industry with a recent market cap of 32.19B and an enterprise value of 34.02B. The company has a trailing P/E ratio of 72.40 and a forward P/E ratio of 52.08, indicating a potential for future growth. However, the PEG ratio of 2.74 suggests that the stock may be slightly overvalued.</t>
  </si>
  <si>
    <t>In terms of financial performance, Fair Isaac has a price/sales ratio of 21.14 and an enterprise value/revenue ratio of 21.94, which are higher than the industry average. This could be a cause for concern for investors, as it may indicate a potential for a correction in the stock price.</t>
  </si>
  <si>
    <t>On a positive note, Fair Isaac has a strong enterprise value/EBITDA ratio of 50.29, indicating a healthy level of profitability. The company also has a solid track record of consistent earnings growth, which is reflected in its high P/E ratios.</t>
  </si>
  <si>
    <t>Overall, Fair Isaac is a strong player in the application software industry with a solid financial performance. However, investors should carefully consider the current valuation of the stock before making any investment decisions."</t>
  </si>
  <si>
    <t>FE,75,"FirstEnergy is a recent addition to the Electric Utilities industry, with a market cap of 20.97B and an enterprise value of 45.74B. The company has a trailing P/E ratio of 18.62 and a forward P/E ratio of 13.51, indicating a potential undervaluation. However, its PEG ratio of 2.19 suggests that the stock may be overvalued in comparison to its expected growth rate.</t>
  </si>
  <si>
    <t>In terms of valuation metrics, FirstEnergy has a price/sales ratio of 1.63 and a price/book ratio of 2.01, which are both below the industry average. This could indicate a potential buying opportunity for investors. However, its enterprise value/revenue ratio of 3.55 and enterprise value/EBITDA ratio of 11.57 are slightly higher than the industry average, suggesting that the stock may be slightly overvalued.</t>
  </si>
  <si>
    <t>Overall, FirstEnergy's financial data suggests that the stock may be undervalued in terms of its P/E and price/book ratios, but slightly overvalued in terms of its PEG ratio and enterprise value metrics. Investors should carefully consider these factors before making any investment decisions."</t>
  </si>
  <si>
    <t>SO,75,"Southern Company is a leading electric utility company with a recent market cap of $72.95B and an enterprise value of $135.69B. The company has a trailing P/E ratio of 18.47 and a forward P/E ratio of 16.64, indicating a relatively stable valuation. However, its PEG ratio of 2.47 suggests that the stock may be slightly overvalued compared to its expected earnings growth.</t>
  </si>
  <si>
    <t>In terms of financial health, Southern Company has a price/sales ratio of 2.91 and a price/book ratio of 2.32, which are both in line with industry averages. Its enterprise value/revenue ratio of 5.37 and enterprise value/EBITDA ratio of 11.52 also indicate a healthy balance sheet.</t>
  </si>
  <si>
    <t>Overall, Southern Company appears to be a stable and well-managed company in the electric utilities industry. Its financial data suggests that it may be slightly overvalued, but its strong market position and financial health make it a potential investment opportunity."</t>
  </si>
  <si>
    <t>SBUX,75,"Starbucks (SBUX) is a leading player in the restaurant industry with a recent market cap of $105.47B and an enterprise value of $126.55B. The company has a trailing P/E ratio of 24.91 and a forward P/E ratio of 22.83, indicating a relatively high valuation. However, its PEG ratio of 1.30 suggests that the stock may still have room for growth.</t>
  </si>
  <si>
    <t>In terms of financial performance, Starbucks has a price/sales ratio of 2.92 and an enterprise value/revenue ratio of 3.45, which are both in line with industry averages. Its enterprise value/EBITDA ratio of 16.44 is slightly higher than the industry average, indicating that the company may be slightly overvalued.</t>
  </si>
  <si>
    <t>Overall, Starbucks has a strong market position and a solid financial standing. However, its valuation may be a concern for some investors. It is important to monitor the company's performance and future growth potential before making any investment decisions."</t>
  </si>
  <si>
    <t>STE,75,"Steris is a leading company in the Health Care Equipment industry with a recent market cap of 23.00B and an enterprise value of 26.31B. The company has a trailing P/E ratio of 40.91, which is higher than the industry average, indicating a potentially overvalued stock. However, its price/sales and price/book ratios of 4.30 and 3.59 respectively, are in line with the industry average, suggesting a fair valuation.</t>
  </si>
  <si>
    <t>Steris also has a strong financial position with an enterprise value/revenue ratio of 4.87 and an enterprise value/EBITDA ratio of 18.88. This indicates that the company is generating significant revenue and has a healthy EBITDA margin, making it a stable investment option.</t>
  </si>
  <si>
    <t>The recent news of the company's acquisition of Cantel Medical, a leading provider of infection prevention products and services, further strengthens Steris' position in the market. This acquisition is expected to drive growth and increase market share for the company.</t>
  </si>
  <si>
    <t>Overall, Steris has a strong financial position and a promising future with its recent acquisition. However, the high P/E ratio may be a cause for concern. Therefore, it is recommended to closely monitor the company's performance in the next month before making any investment decisions."</t>
  </si>
  <si>
    <t>SYY,75,"Sysco Corporation (Sysco) is a leading food distributor in the industry with a recent market cap of $39.81B and an enterprise value of $51.81B. The company has a trailing P/E ratio of 19.55 and a forward P/E ratio of 16.69, indicating a positive outlook for future earnings. However, the PEG ratio of 1.49 suggests that the stock may be slightly overvalued.</t>
  </si>
  <si>
    <t>In terms of valuation, Sysco has a price/sales ratio of 0.52 and a price/book ratio of 16.56, which are both higher than the industry average. This could be a concern for investors, as it may indicate that the stock is overpriced. However, the company's enterprise value/revenue ratio of 0.67 and enterprise value/EBITDA ratio of 12.30 are in line with the industry average, suggesting that the company is not overleveraged.</t>
  </si>
  <si>
    <t>Sysco has a strong market position and a diverse customer base, which has helped the company weather the recent economic downturn caused by the COVID-19 pandemic. The company has also been investing in technology and digital solutions to improve its operations and meet the changing needs of its customers.</t>
  </si>
  <si>
    <t>Overall, Sysco's financial data suggests that the company is in a stable financial position with potential for future growth. However, the slightly high valuation ratios may be a concern for some investors. Therefore, it is important to carefully monitor the company's performance and market conditions before making any investment decisions."</t>
  </si>
  <si>
    <t>CDNS,75,"Cadence Design Systems is a leading company in the Application Software industry with a recent market cap of 85.82B and an enterprise value of 85.44B. The company has a high trailing P/E ratio of 82.52 and a forward P/E ratio of 53.19, indicating a potential overvaluation of the stock. However, the PEG ratio of 2.93 suggests that the stock may still have room for growth.</t>
  </si>
  <si>
    <t>In terms of valuation metrics, Cadence Design Systems has a high price/sales ratio of 21.02 and a price/book ratio of 25.21, which may be a concern for value investors. The company also has a high enterprise value/revenue ratio of 20.89 and an enterprise value/EBITDA ratio of 58.37, indicating a potential premium for the stock.</t>
  </si>
  <si>
    <t>Overall, Cadence Design Systems has a strong market position and potential for growth in the Application Software industry. However, investors should carefully consider the high valuation metrics before making any investment decisions."</t>
  </si>
  <si>
    <t>CZR,75,"Caesars Entertainment is a leading player in the Casinos &amp; Gaming industry with a recent market cap of 9.29B and an enterprise value of 33.36B. The company has a trailing P/E ratio of 11.80 and a forward P/E ratio of 11.43, indicating a relatively low valuation compared to its peers in the industry. Additionally, Caesars has a price/sales ratio of 0.80 and a price/book ratio of 2.04, which are also lower than the industry average.</t>
  </si>
  <si>
    <t>The company's latest financial data shows a strong enterprise value/revenue ratio of 2.89 and an enterprise value/EBITDA ratio of 9.38, indicating a healthy financial position. However, it is important to note that the company's revenue and EBITDA have been impacted by the COVID-19 pandemic, which has significantly affected the casinos and gaming industry.</t>
  </si>
  <si>
    <t>Overall, Caesars Entertainment has a strong financial position and a relatively low valuation compared to its peers in the industry. However, the ongoing pandemic and potential regulatory changes in the industry may pose risks for the company's future performance."</t>
  </si>
  <si>
    <t>CPT,75,"Camden Property Trust is a real estate investment trust (REIT) that specializes in multi-family residential properties. The recent financial data for the company shows a market cap of 10.25B and an enterprise value of 13.70B. The trailing P/E ratio is 25.89, while the forward P/E ratio is 54.64, indicating a potential increase in earnings in the future. The price/sales ratio is 6.75, and the price/book ratio is 2.06, both of which are below the industry average, suggesting that the stock may be undervalued.</t>
  </si>
  <si>
    <t>The enterprise value/revenue ratio is 8.89, and the enterprise value/EBITDA ratio is 12.21, both of which are higher than the industry average. This could indicate that the company is taking on more debt to finance its operations, which could be a potential risk for investors.</t>
  </si>
  <si>
    <t>Overall, Camden Property Trust appears to be a solid company with a strong market position in the multi-family residential REIT industry. However, investors should carefully consider the potential risks associated with the company's high debt levels. It is also important to monitor the company's future earnings growth and how it compares to its industry peers."</t>
  </si>
  <si>
    <t>PFE,75,"Pfizer, a leading pharmaceutical company, has been in the news recently for its role in developing a COVID-19 vaccine. The company's latest financial data shows a strong market cap of $150.15B and an enterprise value of $208.30B. Its trailing P/E ratio of 71.86 and forward P/E ratio of 11.98 indicate a potential undervaluation of the stock. Additionally, its PEG ratio of 0.26 suggests that the stock may be undervalued compared to its expected growth rate.</t>
  </si>
  <si>
    <t>Pfizer's price/sales ratio of 2.57 and price/book ratio of 1.69 are in line with industry averages, indicating a fair valuation. However, its enterprise value/revenue ratio of 3.56 and enterprise value/EBITDA ratio of 21.80 are higher than industry averages, suggesting that the stock may be overvalued based on these metrics.</t>
  </si>
  <si>
    <t>Overall, Pfizer's financial data shows a mix of undervaluation and fair valuation, with some potential signs of overvaluation. The company's role in developing a COVID-19 vaccine and its strong financials make it an attractive investment option in the pharmaceutical industry."</t>
  </si>
  <si>
    <t>PM,75,"Philip Morris International (PM) is a leading company in the tobacco industry with a recent market cap of 139.46B and an enterprise value of 184.31B. The company has a trailing P/E ratio of 17.89 and a forward P/E ratio of 14.10, indicating a relatively low valuation compared to its peers in the industry. However, the PEG ratio of 2.57 suggests that the stock may be slightly overvalued based on its expected growth rate.</t>
  </si>
  <si>
    <t>PM's price/sales ratio of 3.97 and enterprise value/revenue ratio of 5.24 are in line with the industry average, indicating that the stock is trading at a fair value. The enterprise value/EBITDA ratio of 13.78 is also in line with the industry average, suggesting that the company is generating healthy profits.</t>
  </si>
  <si>
    <t>Overall, PM's financial data suggests that the company is performing well and is trading at a fair value. However, investors should consider the potential risks and challenges facing the tobacco industry, such as increasing regulations and declining smoking rates. It is important to closely monitor these factors and their potential impact on PM's financial performance."</t>
  </si>
  <si>
    <t>PG,75,"Procter &amp; Gamble (P&amp;G) is a leading company in the Personal Care Products industry with a recent market cap of 373.78B and an enterprise value of 400.41B. The company has a strong financial standing with a trailing P/E of 26.61 and a forward P/E of 22.78, indicating potential for future growth. However, the PEG ratio of 3.36 suggests that the stock may be slightly overvalued.</t>
  </si>
  <si>
    <t>P&amp;G's price/sales ratio of 4.68 and price/book ratio of 7.83 are in line with industry averages, indicating that the stock is fairly priced. The company's enterprise value/revenue ratio of 4.77 and enterprise value/EBITDA ratio of 17.74 also suggest that the stock is not undervalued.</t>
  </si>
  <si>
    <t>Overall, P&amp;G's financial data suggests that the company is in a stable financial position with potential for future growth. However, investors should consider the slightly high PEG ratio and monitor any changes in the industry that may impact the company's performance."</t>
  </si>
  <si>
    <t>PSA,75,"Public Storage is a leading self-storage REIT with a recent market cap of $49.76B and an enterprise value of $62.85B. The company has a trailing P/E ratio of 25.61 and a forward P/E ratio of 26.60, indicating a relatively high valuation. However, its price/sales ratio of 11.04 and price/book ratio of 8.79 are in line with industry averages, suggesting a fair valuation.</t>
  </si>
  <si>
    <t>In terms of financial performance, Public Storage has a strong enterprise value/revenue ratio of 13.91 and an enterprise value/EBITDA ratio of 18.80, indicating a healthy balance sheet and efficient use of capital.</t>
  </si>
  <si>
    <t>The recent surge in demand for self-storage due to the pandemic has been a positive factor for Public Storage, and the company has been able to maintain high occupancy rates and rental rates. However, there are concerns about potential oversupply in the self-storage market, which could impact the company's growth prospects.</t>
  </si>
  <si>
    <t>Overall, Public Storage is a solid company with a strong financial position and a leading position in the self-storage industry. However, investors should carefully consider potential risks and monitor market trends before making any investment decisions."</t>
  </si>
  <si>
    <t>O,75,"Realty Income is a real estate investment trust (REIT) that specializes in retail properties. The recent financial data for the company shows a strong market cap of $44.99B and an enterprise value of $66.74B. The trailing P/E ratio of 41.46 and forward P/E ratio of 42.37 indicate that the stock may be slightly overvalued. However, the PEG ratio of 25.66 suggests that the company's earnings growth potential may justify the current valuation.</t>
  </si>
  <si>
    <t>The price/sales ratio of 8.88 and price/book ratio of 1.37 are both below the industry average, indicating that the stock may be undervalued in comparison to its peers. Additionally, the enterprise value/revenue ratio of 16.36 and enterprise value/EBITDA ratio of 18.52 suggest that the company's stock may be trading at a discount.</t>
  </si>
  <si>
    <t>Overall, the recent financial data for Realty Income suggests that the stock may have potential for growth in the retail REITs industry. However, investors should carefully consider the company's valuation and potential risks before making any investment decisions."</t>
  </si>
  <si>
    <t>REGN,75,"Regeneron is a leading biotechnology company with a recent market cap of 107.88B and an enterprise value of 99.73B. The company has a trailing P/E ratio of 28.27 and a forward P/E ratio of 21.93, indicating potential growth in the future. However, the PEG ratio of 2.00 suggests that the stock may be slightly overvalued. The price/sales ratio of 8.52 and price/book ratio of 4.15 also indicate a premium valuation for the company.</t>
  </si>
  <si>
    <t>In terms of financial performance, Regeneron has a strong enterprise value/revenue ratio of 7.60 and an enterprise value/EBITDA ratio of 21.25. This suggests that the company is generating significant revenue and has a healthy cash flow.</t>
  </si>
  <si>
    <t>Overall, Regeneron has a strong financial position and potential for growth in the biotechnology industry. However, investors should carefully consider the current valuation of the stock before making any investment decisions."</t>
  </si>
  <si>
    <t>XRAY,75,"Dentsply Sirona is a leading company in the Health Care Supplies industry with a recent market cap of 7.05B and an enterprise value of 8.96B. The company has a trailing P/E ratio of 126.19 and a forward P/E ratio of 16.08, indicating a potential for future growth. However, the PEG ratio of 2.08 suggests that the stock may be slightly overvalued. The price/sales ratio of 1.78 and price/book ratio of 2.14 are in line with industry averages, indicating a fair valuation. The enterprise value/revenue ratio of 2.26 and enterprise value/EBITDA ratio of 35.97 suggest that the company may be slightly overvalued compared to its peers.</t>
  </si>
  <si>
    <t>Overall, Dentsply Sirona has a strong market position and potential for future growth, but investors should be cautious of its high P/E ratio and slightly overvalued metrics. The company's financial data and industry trends should be closely monitored for any potential changes that could impact its performance."</t>
  </si>
  <si>
    <t>DXCM,75,"Dexcom, a leading company in the Health Care Equipment industry, has been performing well in the recent market conditions. With a market cap of 46.93B and an enterprise value of 46.80B, the company has a strong financial standing. However, its trailing P/E of 93.65 and forward P/E of 70.42 may indicate a slightly overvalued stock. The PEG ratio of 2.30 suggests that the stock may not be undervalued, but still has potential for growth.</t>
  </si>
  <si>
    <t>Dexcom's price/sales ratio of 14.30 and price/book ratio of 22.69 are higher than the industry average, indicating a premium valuation. However, the company's strong enterprise value/revenue ratio of 12.92 and enterprise value/EBITDA ratio of 51.06 suggest that it is generating strong revenue and has a healthy balance sheet.</t>
  </si>
  <si>
    <t>Overall, Dexcom's financial data suggests that it is a strong company with potential for growth. However, investors should consider the slightly high valuation and potential risks in the market before making any investment decisions."</t>
  </si>
  <si>
    <t>DPZ,75,"Domino's is a leading player in the restaurant industry with a recent market cap of 15.57B and an enterprise value of 20.66B. The company has a trailing P/E ratio of 30.51 and a forward P/E ratio of 28.41, indicating a relatively high valuation. However, its PEG ratio of 2.69 suggests that the stock may be undervalued compared to its expected earnings growth.</t>
  </si>
  <si>
    <t>In terms of financial performance, Domino's has a price/sales ratio of 3.53 and an enterprise value/revenue ratio of 4.61, which are both in line with industry averages. Its enterprise value/EBITDA ratio of 22.23 is slightly higher than the industry average, indicating a higher valuation based on its earnings.</t>
  </si>
  <si>
    <t>Overall, Domino's has a strong market position and a solid financial performance. However, its valuation may be a concern for some investors. It is important to monitor the company's future earnings growth and potential risks in the industry."</t>
  </si>
  <si>
    <t>DUK,75,"Duke Energy is a leading electric utility company with a recent market cap of $70.04B and an enterprise value of $152.20B. The company has a trailing P/E ratio of 16.98 and a forward P/E ratio of 15.20, indicating a relatively low valuation compared to its peers in the industry. However, its PEG ratio of 2.31 suggests that the stock may be slightly overvalued based on its expected growth rate.</t>
  </si>
  <si>
    <t>In terms of financial health, Duke Energy has a price/sales ratio of 2.41 and a price/book ratio of 1.49, both of which are below the industry average. This indicates that the stock may be undervalued based on its sales and book value. Additionally, the company's enterprise value/revenue ratio of 5.24 and enterprise value/EBITDA ratio of 10.98 are also below the industry average, suggesting that the stock may be undervalued based on its revenue and earnings.</t>
  </si>
  <si>
    <t>Overall, Duke Energy appears to be a financially stable company with a relatively low valuation compared to its peers in the electric utilities industry. However, investors should consider the company's PEG ratio and potential risks in the industry, such as regulatory changes and competition, before making any investment decisions."</t>
  </si>
  <si>
    <t>DAL,75,"Delta Air Lines (DAL) is a major player in the passenger airline industry, with a recent market cap of $27.12B and an enterprise value of $50.54B. The company's trailing P/E ratio of 5.88 and forward P/E ratio of 6.28 suggest that the stock is currently undervalued. However, the PEG ratio of 23.16 indicates that the market may have high expectations for future growth, which could potentially impact the stock's performance.</t>
  </si>
  <si>
    <t>In terms of valuation metrics, DAL has a price/sales ratio of 0.47 and a price/book ratio of 2.44, both of which are below the industry average. This could indicate that the stock is currently undervalued compared to its peers. Additionally, the company's enterprise value/revenue ratio of 0.87 and enterprise value/EBITDA ratio of 5.75 suggest that DAL may be a good value investment.</t>
  </si>
  <si>
    <t>Recent events in the airline industry, such as the ongoing COVID-19 pandemic and rising fuel prices, have impacted DAL's financial performance. However, with the global economy slowly recovering and travel restrictions easing, there is potential for the company to rebound in the coming months."</t>
  </si>
  <si>
    <t>ROL,75,"Rollins, Inc. is a leading company in the Environmental &amp; Facilities Services industry with a recent market cap of 21.29B and an enterprise value of 22.00B. The firm has a trailing P/E ratio of 49.44 and a forward P/E ratio of 44.05, indicating a relatively high valuation. The PEG ratio of 4.00 suggests that the stock may be overvalued compared to its expected growth rate. Additionally, the price/sales ratio of 7.02 and price/book ratio of 18.42 also indicate a premium valuation.</t>
  </si>
  <si>
    <t>However, Rollins, Inc. has a strong financial position with a low debt-to-equity ratio and a solid track record of consistent revenue and earnings growth. The company also has a strong market presence and a diverse portfolio of services, which provides stability and potential for future growth.</t>
  </si>
  <si>
    <t>Considering the recent market conditions and the company's financial data, Rollins, Inc. may present a potential investment opportunity for the next month. However, investors should carefully monitor the stock's valuation and potential risks in the industry, such as increasing competition and potential regulatory changes."</t>
  </si>
  <si>
    <t>SBAC,75,"SBA Communications is a leading player in the Telecom Tower REITs industry with a recent market cap of 22.51B and an enterprise value of 36.76B. The company has a trailing P/E ratio of 45.18 and a forward P/E ratio of 33.56, indicating a potential for future growth. However, the PEG ratio of 2.33 suggests that the stock may be slightly overvalued.</t>
  </si>
  <si>
    <t>The latest financial data also shows a price/sales ratio of 8.37 and an enterprise value/revenue ratio of 13.56, which are higher than the industry average. This could be a cause for concern for investors, as it may indicate a potential for a correction in the stock price.</t>
  </si>
  <si>
    <t>On a positive note, SBA Communications has a strong enterprise value/EBITDA ratio of 21.61, indicating a healthy financial position and potential for future profitability.</t>
  </si>
  <si>
    <t>Overall, SBA Communications has a strong presence in the Telecom Tower REITs industry and has shown potential for growth. However, investors should carefully consider the current valuation and potential risks before making any investment decisions."</t>
  </si>
  <si>
    <t>STX,75,"Seagate Technology is a leading company in the Technology Hardware, Storage &amp; Peripherals industry with a recent market cap of 20.36B and an enterprise value of 25.24B. The company's forward P/E ratio of 20.83 and PEG ratio of 0.19 suggest that it may be undervalued compared to its expected earnings growth. Additionally, its price/sales ratio of 3.12 and enterprise value/revenue ratio of 3.90 indicate that the company may be trading at a discount compared to its peers in the industry.</t>
  </si>
  <si>
    <t>However, Seagate Technology's enterprise value/EBITDA ratio of 388.28 is significantly higher than the industry average, which may be a cause for concern. This could be due to the company's high debt levels, which may impact its financial stability and ability to generate profits.</t>
  </si>
  <si>
    <t>Overall, Seagate Technology's financial data suggests that it may be a potential investment opportunity in the Technology Hardware, Storage &amp; Peripherals industry. However, investors should carefully consider the company's high debt levels and monitor its performance closely."</t>
  </si>
  <si>
    <t>NOW,75,"ServiceNow is a leading company in the Systems Software industry with a recent market cap of 158.59B and an enterprise value of 156.00B. The firm has a high trailing P/E ratio of 91.88 and a forward P/E ratio of 58.14, indicating a potential overvaluation of the stock. However, the PEG ratio of 2.90 suggests that the stock may still have room for growth.</t>
  </si>
  <si>
    <t>The latest financial data also shows a high price/sales ratio of 17.73 and a price/book ratio of 20.79, which may be a cause for concern for some investors. However, the enterprise value/revenue ratio of 17.39 and the enterprise value/EBITDA ratio of 97.87 indicate that the company is generating strong revenue and earnings.</t>
  </si>
  <si>
    <t>Overall, ServiceNow has a strong market position and potential for growth in the future. However, investors should carefully consider the high valuation metrics before making any investment decisions."</t>
  </si>
  <si>
    <t>SPG,75,"Simon Property Group (SPG) is a leading retail real estate investment trust (REIT) with a recent market cap of $49.03B and an enterprise value of $73.42B. The company has a trailing P/E ratio of 21.55 and a forward P/E ratio of 25.77, indicating a relatively high valuation. However, its PEG ratio of 14.98 suggests that the stock may be overvalued compared to its expected earnings growth.</t>
  </si>
  <si>
    <t>In terms of valuation metrics, SPG has a price/sales ratio of 8.69 and a price/book ratio of 16.44, both of which are higher than the industry average. This could be a cause for concern for investors, as it may indicate that the stock is trading at a premium compared to its peers.</t>
  </si>
  <si>
    <t>On the other hand, SPG's enterprise value/revenue and enterprise value/EBITDA ratios of 12.97 and 15.02, respectively, are in line with the industry average. This suggests that the company's valuation is in line with its financial performance.</t>
  </si>
  <si>
    <t>Overall, SPG's financial data indicates that the stock may be overvalued compared to its peers, but its strong market position and stable financials make it a solid investment option for the long term."</t>
  </si>
  <si>
    <t>ECL,75,"Ecolab is a leading company in the specialty chemicals industry with a recent market cap of $64.39B and an enterprise value of $72.20B. The company has a trailing P/E ratio of 47.08 and a forward P/E ratio of 35.84, indicating a potential for future growth. However, the PEG ratio of 2.39 suggests that the stock may be slightly overvalued.</t>
  </si>
  <si>
    <t>Ecolab's price/sales ratio of 4.22 and price/book ratio of 8.00 are both higher than the industry average, indicating a premium valuation. The company's enterprise value/revenue ratio of 4.71 and enterprise value/EBITDA ratio of 23.84 also suggest a higher valuation compared to its peers.</t>
  </si>
  <si>
    <t>Overall, Ecolab's financial data suggests a strong and stable company with potential for future growth. However, the current valuation may be a concern for some investors. It is important to monitor the company's performance and future earnings reports to make informed investment decisions."</t>
  </si>
  <si>
    <t>EW,75,"Edwards Lifesciences is a leading company in the Health Care Equipment industry with a recent market cap of $51.24B and an enterprise value of $50.29B. The company has a trailing P/E ratio of 37.05 and a forward P/E ratio of 30.96, indicating a relatively high valuation. However, the PEG ratio of 5.21 suggests that the stock may be undervalued based on its expected growth.</t>
  </si>
  <si>
    <t>In terms of valuation multiples, Edwards Lifesciences has a price/sales ratio of 8.65 and a price/book ratio of 7.71, both of which are higher than the industry average. The company also has a relatively high enterprise value/revenue ratio of 8.38 and an enterprise value/EBITDA ratio of 28.57, indicating a premium valuation compared to its peers.</t>
  </si>
  <si>
    <t>Overall, Edwards Lifesciences has a strong financial position and is well-positioned in the Health Care Equipment industry. However, the high valuation multiples may suggest limited potential for short-term gains. Investors should carefully consider their investment objectives and risk tolerance before making any investment decisions."</t>
  </si>
  <si>
    <t>CLX,75,"Clorox is a leading company in the household products industry with a recent market cap of 18.87B and an enterprise value of 21.65B. The company has a trailing P/E ratio of 241.40 and a forward P/E ratio of 22.47, indicating a potential for future growth. However, the PEG ratio of 1.66 suggests that the stock may be slightly overvalued. Clorox also has a price/sales ratio of 2.59 and a price/book ratio of 356.11, which are higher than the industry average. The enterprise value/revenue ratio of 2.96 and the enterprise value/EBITDA ratio of 44.27 also indicate a relatively high valuation for the company.</t>
  </si>
  <si>
    <t>Overall, Clorox has a strong market position and potential for future growth, but its current valuation may be a concern for investors. It is important to monitor the company's financial performance and market conditions before making any investment decisions."</t>
  </si>
  <si>
    <t>KO,75,"The Coca-Cola Company is a leading player in the Soft Drinks &amp; Non-alcoholic Beverages industry with a recent market cap of 256.72B and an enterprise value of 285.12B. The company has a trailing P/E ratio of 24.10 and a forward P/E ratio of 21.19, indicating a relatively high valuation. However, its PEG ratio of 2.79 suggests that the stock may be undervalued compared to its expected earnings growth.</t>
  </si>
  <si>
    <t>In terms of valuation multiples, Coca-Cola has a price/sales ratio of 5.65 and a price/book ratio of 9.90, both of which are higher than the industry average. Its enterprise value/revenue ratio of 6.23 and enterprise value/EBITDA ratio of 18.27 also indicate a premium valuation.</t>
  </si>
  <si>
    <t>The company has a strong financial position with a solid balance sheet and consistent profitability. However, it faces challenges in the form of changing consumer preferences and increasing competition in the beverage industry. The recent COVID-19 pandemic has also impacted its sales and operations, but the company has shown resilience and adaptability in navigating through these challenges.</t>
  </si>
  <si>
    <t>Overall, Coca-Cola is a well-established and financially stable company with a strong brand and global presence. While its valuation may be on the higher side, its potential for long-term growth and dividend stability make it a solid investment option."</t>
  </si>
  <si>
    <t>COO,75,"CooperCompanies is a leading company in the Health Care Supplies industry with a recent market cap of 20.31B and an enterprise value of 22.95B. The company has a trailing P/E ratio of 70.11 and a forward P/E ratio of 29.59, indicating a potential for future growth. However, the PEG ratio of 12.59 suggests that the stock may be overvalued. The price/sales ratio of 5.56 and price/book ratio of 2.64 are also higher than the industry average, indicating a premium valuation for the stock.</t>
  </si>
  <si>
    <t>The recent financial data also shows that CooperCompanies has a strong enterprise value/revenue ratio of 6.39 and an enterprise value/EBITDA ratio of 25.90, indicating a solid financial position. However, investors should note that the company's high valuation metrics may pose a risk in the current market conditions.</t>
  </si>
  <si>
    <t>Overall, CooperCompanies has a strong financial position and potential for future growth, but investors should carefully consider the high valuation metrics before making any investment decisions."</t>
  </si>
  <si>
    <t>COST,75,"Costco, a leading retailer in the Consumer Staples Merchandise industry, has been performing well in recent months. The company's latest financial data shows a strong market cap of 332.48B and an enterprise value of 323.96B. Its trailing P/E ratio of 51.08 and forward P/E ratio of 47.62 indicate a positive outlook for future earnings.</t>
  </si>
  <si>
    <t>However, the PEG ratio of 5.33 suggests that the stock may be slightly overvalued, and investors should consider this when making investment decisions. Additionally, the price/sales ratio of 1.36 and price/book ratio of 12.72 are higher than the industry average, indicating a premium valuation for the stock.</t>
  </si>
  <si>
    <t>On the other hand, Costco's enterprise value/revenue ratio of 1.32 and enterprise value/EBITDA ratio of 29.14 are in line with the industry average, suggesting that the company is efficiently utilizing its assets and generating strong returns.</t>
  </si>
  <si>
    <t>Overall, Costco's financial data shows a stable and well-performing company in the Consumer Staples Merchandise industry. However, investors should carefully consider the stock's valuation before making any investment decisions."</t>
  </si>
  <si>
    <t>DHR,75,"Danaher Corporation is a leading company in the Life Sciences Tools &amp; Services industry with a recent market cap of 189.27B and an enterprise value of 202.94B. The company has a strong financial standing with a trailing P/E of 45.29 and a forward P/E of 33.56, indicating potential for future growth. However, the PEG ratio of 3.33 suggests that the stock may be slightly overvalued.</t>
  </si>
  <si>
    <t>In terms of valuation, Danaher Corporation has a price/sales ratio of 7.96 and a price/book ratio of 3.54, which are both higher than the industry average. This could be a concern for investors, as it may indicate that the stock is trading at a premium. Additionally, the enterprise value/revenue ratio of 8.49 and the enterprise value/EBITDA ratio of 27.07 are also higher than the industry average, suggesting that the stock may be overvalued.</t>
  </si>
  <si>
    <t>Overall, Danaher Corporation has a strong financial position and potential for future growth, but its current valuation may be a cause for concern. It is important for investors to carefully consider the company's financial data and market trends before making any investment decisions."</t>
  </si>
  <si>
    <t>DRI,75,"Darden Restaurants, with a recent market cap of 20.45B and an enterprise value of 25.79B, is a leading player in the restaurant industry. The company's trailing P/E ratio of 20.74 and forward P/E ratio of 17.61 indicate that the stock is trading at a reasonable valuation. However, its PEG ratio of 2.05 suggests that the stock may be slightly overvalued compared to its expected earnings growth.</t>
  </si>
  <si>
    <t>Darden Restaurants' price/sales ratio of 1.90 and price/book ratio of 10.03 are in line with industry averages, indicating that the stock is not significantly undervalued or overvalued. Its enterprise value/revenue ratio of 2.34 and enterprise value/EBITDA ratio of 15.12 also suggest that the stock is trading at a fair valuation.</t>
  </si>
  <si>
    <t>Overall, Darden Restaurants appears to be a stable and well-established company in the restaurant industry. Its financial data suggests that the stock is trading at a reasonable valuation, but may not have significant upside potential in the short term. Investors should consider the company's strong market position and consistent performance when making investment decisions."</t>
  </si>
  <si>
    <t>DE,75,"John Deere is a leading company in the Agricultural &amp; Farm Machinery industry with a recent market cap of 102.99B and an enterprise value of 160.18B. The company has a strong financial position with a trailing P/E ratio of 10.72 and a forward P/E ratio of 13.81, indicating potential for future growth. However, the PEG ratio of 2.11 suggests that the stock may be slightly overvalued.</t>
  </si>
  <si>
    <t>In terms of valuation, John Deere has a price/sales ratio of 1.78 and a price/book ratio of 4.67, which are both higher than the industry average. This could be a concern for investors, as it may indicate that the stock is overpriced. However, the company's enterprise value/revenue ratio of 2.68 and enterprise value/EBITDA ratio of 9.13 are in line with the industry average, suggesting that the company is not overleveraged.</t>
  </si>
  <si>
    <t>Overall, John Deere has a strong financial position and potential for future growth, but its current valuation may be a cause for concern. It is important for investors to carefully consider the company's financial data and market trends before making any investment decisions."</t>
  </si>
  <si>
    <t>UAL,75,"United Airlines Holdings (UAL) is a major player in the passenger airline industry, with a recent market cap of $14.71B and an enterprise value of $34.74B. The company's trailing P/E ratio of 5.68 and forward P/E ratio of 4.64 suggest that the stock is currently undervalued. Additionally, UAL's PEG ratio of 0.58 indicates that the stock may have room for growth in the future.</t>
  </si>
  <si>
    <t>However, UAL's price/sales ratio of 0.28 and price/book ratio of 1.58 are lower than the industry average, which could be a cause for concern. The company's enterprise value/revenue ratio of 0.65 and enterprise value/EBITDA ratio of 6.73 also suggest that UAL may be undervalued compared to its peers.</t>
  </si>
  <si>
    <t>Overall, UAL's financial data indicates that the company may be undervalued and has potential for growth in the future. However, investors should also consider the recent challenges faced by the airline industry due to the COVID-19 pandemic and geopolitical tensions, which could impact UAL's performance in the short term."</t>
  </si>
  <si>
    <t>ALGN,75,"Align Technology is a leading company in the Health Care Supplies industry with a recent market cap of 22.97B and an enterprise value of 22.12B. The company has a trailing P/E ratio of 51.62 and a forward P/E ratio of 34.72, indicating a potential for future growth. The PEG ratio of 1.87 suggests that the stock may be slightly overvalued, but this could be justified by the company's strong financial performance. With a price/sales ratio of 5.95 and a price/book ratio of 6.33, the stock is trading at a premium compared to its industry peers. However, the enterprise value/revenue ratio of 5.73 and the enterprise value/EBITDA ratio of 33.69 suggest that the company may be undervalued in terms of its revenue and earnings potential.</t>
  </si>
  <si>
    <t>Align Technology has a strong financial position and has been consistently growing its revenue and earnings. The recent advancements in its Invisalign technology and the increasing demand for orthodontic treatments present a positive outlook for the company. However, investors should also consider potential risks such as competition and regulatory changes in the healthcare industry.</t>
  </si>
  <si>
    <t>Overall, Align Technology has a strong financial standing and a positive outlook for future growth. However, the stock may be slightly overvalued compared to its industry peers. Therefore, a score of 75 out of 100 is assigned to reflect the potential investment value of the company for the next month."</t>
  </si>
  <si>
    <t>A,75,"Agilent Technologies is a leading company in the Life Sciences Tools &amp; Services industry with a recent market cap of $40.75B and an enterprise value of $41.56B. The company has a trailing P/E ratio of 33.27 and a forward P/E ratio of 25.38, indicating a potential for future earnings growth. However, the PEG ratio of 2.67 suggests that the stock may be slightly overvalued.</t>
  </si>
  <si>
    <t>In terms of valuation, Agilent Technologies has a price/sales ratio of 6.10 and a price/book ratio of 6.59, which are both higher than the industry average. This could be a concern for investors, as it may indicate that the stock is trading at a premium. Additionally, the enterprise value/revenue ratio of 6.17 and the enterprise value/EBITDA ratio of 24.59 are also higher than the industry average, suggesting that the stock may be overvalued.</t>
  </si>
  <si>
    <t>Overall, Agilent Technologies has a strong market position and potential for future growth in the Life Sciences Tools &amp; Services industry. However, the stock may be slightly overvalued based on its current valuation metrics. Investors should carefully consider their risk tolerance and do further research before making any investment decisions."</t>
  </si>
  <si>
    <t>ZBH,75,"Zimmer Biomet is a leading company in the Health Care Equipment industry with a recent market cap of 25.43B and an enterprise value of 30.93B. The company has a trailing P/E ratio of 25.41 and a forward P/E ratio of 15.46, indicating potential growth in the future. However, the PEG ratio of 2.40 suggests that the stock may be slightly overvalued. The price/sales ratio of 3.52 and price/book ratio of 2.04 are also higher than the industry average, indicating a premium for the stock. The enterprise value/revenue ratio of 4.18 and enterprise value/EBITDA ratio of 13.93 are also higher than the industry average, suggesting that the stock may be overvalued.</t>
  </si>
  <si>
    <t>Overall, Zimmer Biomet has a strong market position and potential for growth in the future. However, the stock may be slightly overvalued at the moment. Investors should carefully consider the company's financial data and industry trends before making any investment decisions."</t>
  </si>
  <si>
    <t>ZION,75,"Total Debt/Equity (mrq)  0.17</t>
  </si>
  <si>
    <t>Zions Bancorporation is a regional bank with a recent market cap of 5.74B. The firm's trailing P/E ratio is 8.91 and its forward P/E ratio is 9.21, indicating a relatively low valuation compared to its peers in the Regional Banks industry. However, the PEG ratio of 10.23 suggests that the stock may be overvalued based on its expected growth rate. The price/sales ratio of 1.84 and price/book ratio of 1.09 also indicate a relatively low valuation.</t>
  </si>
  <si>
    <t>The firm's total debt/equity ratio of 0.17 is lower than the industry average, indicating a strong balance sheet and lower financial risk. This could be a positive factor for investors considering the stock.</t>
  </si>
  <si>
    <t>Overall, Zions Bancorporation appears to be in a stable financial position with a relatively low valuation. However, investors should consider the potential risks and uncertainties in the current market environment before making any investment decisions."</t>
  </si>
  <si>
    <t>ANET,75,"Arista Networks is a leading player in the Communications Equipment industry with a recent market cap of 89.96B and an enterprise value of 85.55B. The company has a trailing P/E ratio of 43.73 and a forward P/E ratio of 38.46, indicating a relatively high valuation. However, its PEG ratio of 2.47 suggests that the stock may still have room for growth.</t>
  </si>
  <si>
    <t>In terms of valuation metrics, Arista Networks has a price/sales ratio of 15.57 and a price/book ratio of 12.46, both of which are higher than the industry average. This could be a concern for some investors, but it is worth noting that the company has a strong enterprise value/revenue ratio of 14.60 and an enterprise value/EBITDA ratio of 36.75, indicating a solid financial position.</t>
  </si>
  <si>
    <t>Overall, Arista Networks has a strong market position and solid financials, but its valuation may be a concern for some investors. However, with the company's focus on innovation and growth in the tech industry, it may still present a potential investment opportunity."</t>
  </si>
  <si>
    <t>VRSN,75,"Verisign is a leading company in the Internet Services &amp; Infrastructure industry with a recent market cap of 19.71B and an enterprise value of 20.58B. The firm has a trailing P/E ratio of 24.72 and a forward P/E ratio of 24.21, indicating a relatively high valuation. However, the PEG ratio of 2.80 suggests that the stock may still have room for growth.</t>
  </si>
  <si>
    <t>In terms of financial performance, Verisign has a price/sales ratio of 13.54 and an enterprise value/revenue ratio of 13.78, which are both higher than the industry average. This indicates that the stock may be overvalued compared to its peers. However, the enterprise value/EBITDA ratio of 18.78 is in line with the industry average, suggesting that the company is generating healthy profits.</t>
  </si>
  <si>
    <t>Overall, Verisign has a strong market position and solid financials, but its valuation may be a concern for some investors. It is important to monitor the company's performance and industry trends before making any investment decisions."</t>
  </si>
  <si>
    <t>VRSK,75,"Verisk is a leading company in the Research &amp; Consulting Services industry with a recent market cap of 34.64B and an enterprise value of 37.43B. The firm has a trailing P/E ratio of 46.28 and a forward P/E ratio of 36.63, indicating a potential for future growth. However, the PEG ratio of 2.68 suggests that the stock may be slightly overvalued. The price/sales ratio of 13.27 and price/book ratio of 111.74 also indicate a premium valuation for the stock.</t>
  </si>
  <si>
    <t>Verisk's latest financial data shows a strong enterprise value/revenue ratio of 13.96 and an enterprise value/EBITDA ratio of 26.28, indicating a solid financial position. The company's focus on research and consulting services has positioned it well for potential growth opportunities in the future.</t>
  </si>
  <si>
    <t>Overall, Verisk's financial data suggests a strong and stable company with potential for future growth. However, the premium valuation of the stock may be a concern for some investors. Therefore, it is important to carefully consider the company's financials and market conditions before making any investment decisions."</t>
  </si>
  <si>
    <t>VTRS,75,"Viatris, a pharmaceutical company with a recent market cap of 15.10B and an enterprise value of 32.29B, has been facing some challenges in the past month. The company's trailing P/E ratio of 251.80 and forward P/E ratio of 4.42 indicate that investors have high expectations for future earnings growth. However, the recent price/sales ratio of 0.98 and price/book ratio of 0.74 suggest that the stock may be undervalued.</t>
  </si>
  <si>
    <t>Furthermore, Viatris' enterprise value/revenue ratio of 2.09 and enterprise value/EBITDA ratio of 5.32 are relatively low compared to its industry peers, indicating potential for growth and profitability.</t>
  </si>
  <si>
    <t>Overall, Viatris' financial data suggests that the company may be undervalued and has potential for growth. However, investors should also consider the recent challenges faced by the pharmaceutical industry, such as increased competition and regulatory changes."</t>
  </si>
  <si>
    <t>WAT,75,"Waters Corporation is a leading company in the Life Sciences Tools &amp; Services industry with a recent market cap of $20.49B and an enterprise value of $22.53B. The company has a trailing P/E ratio of 31.92 and a forward P/E ratio of 29.24, indicating a relatively high valuation. However, the PEG ratio of 3.36 suggests that the stock may be slightly overvalued compared to its expected earnings growth.</t>
  </si>
  <si>
    <t>In terms of valuation multiples, Waters Corporation has a price/sales ratio of 6.94 and a price/book ratio of 17.81, both of which are higher than the industry average. This could be a reflection of the company's strong financial performance and market position. However, investors should also consider the enterprise value/revenue ratio of 7.62 and the enterprise value/EBITDA ratio of 22.51, which are both higher than the industry average. This indicates that the stock may be trading at a premium compared to its peers.</t>
  </si>
  <si>
    <t>Overall, Waters Corporation is a strong company with a solid financial position and a leading market position in the Life Sciences Tools &amp; Services industry. However, investors should carefully consider the company's valuation multiples before making any investment decisions."</t>
  </si>
  <si>
    <t>WST,70,"West Pharmaceutical Services is a leading company in the Health Care Supplies industry with a recent market cap of 26.29B and an enterprise value of 25.75B. The company has a trailing P/E ratio of 45.52 and a forward P/E ratio of 46.95, indicating a relatively high valuation. The PEG ratio of 9.03 suggests that the stock may be overvalued compared to its expected growth rate. Additionally, the price/sales and price/book ratios of 9.16 and 9.13, respectively, also indicate a premium valuation.</t>
  </si>
  <si>
    <t>However, the company's enterprise value/revenue ratio of 8.73 and enterprise value/EBITDA ratio of 30.50 are in line with industry averages, suggesting that the company may be performing well financially.</t>
  </si>
  <si>
    <t>Overall, West Pharmaceutical Services has a strong market position and financial stability, but its current valuation may be a concern for potential investors. It is important to monitor the company's performance and valuation in the coming months to make an informed investment decision."</t>
  </si>
  <si>
    <t>PTC,70,"PTC, a leading company in the Application Software industry, has shown strong financial performance in recent years. With a market cap of 22.45B and an enterprise value of 24.63B, the company has a solid financial foundation. However, its trailing P/E ratio of 94.83 and forward P/E ratio of 39.68 may indicate a slightly overvalued stock.</t>
  </si>
  <si>
    <t>The PEG ratio of 1.93 suggests that the stock may be slightly overvalued compared to its expected growth rate. Additionally, the price/sales ratio of 10.30 and price/book ratio of 8.00 also indicate a potential overvaluation.</t>
  </si>
  <si>
    <t>On the other hand, PTC's enterprise value/revenue ratio of 11.29 and enterprise value/EBITDA ratio of 39.55 are in line with industry averages, indicating a stable financial position.</t>
  </si>
  <si>
    <t>Overall, PTC's financial data suggests a slightly overvalued stock, but with a strong financial foundation. Investors should closely monitor the company's performance and consider potential risks before making any investment decisions."</t>
  </si>
  <si>
    <t>SHW,70,"Sherwin-Williams is a leading company in the specialty chemicals industry with a recent market cap of $85.30B and an enterprise value of $96.84B. The company has a trailing P/E ratio of 36.24 and a forward P/E ratio of 29.76, indicating a potential for future earnings growth. However, the PEG ratio of 4.38 suggests that the stock may be overvalued compared to its expected earnings growth.</t>
  </si>
  <si>
    <t>In terms of valuation, Sherwin-Williams has a price/sales ratio of 3.76 and a price/book ratio of 22.96, which are both higher than the industry average. This could indicate that the stock is currently trading at a premium. Additionally, the enterprise value/revenue ratio of 4.20 and the enterprise value/EBITDA ratio of 23.33 also suggest that the stock may be overvalued.</t>
  </si>
  <si>
    <t>Overall, Sherwin-Williams is a strong company in the specialty chemicals industry with potential for future growth. However, the current valuation of the stock may be a cause for concern. Investors should carefully consider their investment goals and risk tolerance before making any decisions."</t>
  </si>
  <si>
    <t>LLY,70,"Eli Lilly and Company, a leading pharmaceutical company, has recently made headlines with the approval of its weight-loss drug, Zepbound. This development has the potential to significantly impact the company's financials and position in the market. However, the latest financial data shows that the company's valuation may be on the higher side, and investors may want to wait for a better entry point.</t>
  </si>
  <si>
    <t>With a market cap of 743.14B and an enterprise value of 765.44B, Eli Lilly is a major player in the pharmaceutical industry. However, its trailing P/E of 134.85 and forward P/E of 62.11 suggest that the stock may be overvalued. The PEG ratio of 1.48 also indicates a relatively high valuation. Additionally, the price/sales ratio of 20.70 and price/book ratio of 68.99 further support the notion that the stock may be pricey.</t>
  </si>
  <si>
    <t>On the other hand, the company's enterprise value/revenue ratio of 22.43 and enterprise value/EBITDA ratio of 89.34 are in line with industry averages, indicating a stable financial position.</t>
  </si>
  <si>
    <t>Overall, while the recent approval of Zepbound is a positive development for Eli Lilly, the company's valuation may be a cause for concern. Interested investors may want to wait for a better entry point before considering an investment in the stock."</t>
  </si>
  <si>
    <t>ROK,70,"Rockwell Automation is a leading company in the Electrical Components &amp; Equipment industry with a recent market cap of 33.12B and an enterprise value of 36.43B. The company has a trailing P/E ratio of 27.53 and a forward P/E ratio of 22.68, indicating a positive outlook for future earnings. However, the PEG ratio of 2.35 suggests that the stock may be slightly overvalued.</t>
  </si>
  <si>
    <t>In terms of valuation, Rockwell Automation has a price/sales ratio of 3.66 and a price/book ratio of 9.18, both of which are higher than the industry average. This could be a concern for investors, as it may indicate an inflated stock price. Additionally, the enterprise value/revenue ratio of 3.99 and the enterprise value/EBITDA ratio of 20.19 are also higher than the industry average, suggesting that the stock may be overvalued.</t>
  </si>
  <si>
    <t>Overall, Rockwell Automation has a strong market position and positive earnings outlook, but its valuation metrics may be a cause for concern. It is important for investors to carefully consider the company's financial data and market trends before making any investment decisions."</t>
  </si>
  <si>
    <t>ETN,70,"Eaton Corporation is a leading company in the Electrical Components &amp; Equipment industry with a recent market cap of 117.27B and an enterprise value of 124.47B. The company has a trailing P/E ratio of 36.62 and a forward P/E ratio of 28.82, indicating a potential for future growth. However, the PEG ratio of 2.78 suggests that the stock may be slightly overvalued.</t>
  </si>
  <si>
    <t>In terms of valuation, Eaton Corporation has a price/sales ratio of 5.08 and a price/book ratio of 6.16, which are both higher than the industry average. This could be a concern for investors, as it may indicate that the stock is overpriced. Additionally, the enterprise value/revenue ratio of 5.37 and the enterprise value/EBITDA ratio of 31.29 are also higher than the industry average, further supporting the notion that the stock may be overvalued.</t>
  </si>
  <si>
    <t>Overall, Eaton Corporation has a strong market position and potential for future growth, but its current valuation may be a cause for concern. Investors should carefully consider the company's financial data and industry trends before making any investment decisions."</t>
  </si>
  <si>
    <t>CSX,70,"CSX is a leading company in the rail transportation industry with a recent market cap of $74.90B and an enterprise value of $92.49B. The firm has a trailing P/E ratio of 20.66 and a forward P/E ratio of 19.19, indicating a relatively high valuation. However, the PEG ratio of 3.32 suggests that the stock may be overvalued compared to its expected earnings growth.</t>
  </si>
  <si>
    <t>In terms of valuation multiples, CSX has a price/sales ratio of 5.25 and a price/book ratio of 6.18, both of which are higher than the industry average. The enterprise value/revenue ratio of 6.31 and the enterprise value/EBITDA ratio of 12.65 also indicate a relatively high valuation for the company.</t>
  </si>
  <si>
    <t>Overall, CSX's financial data suggests that the stock may be overvalued compared to its peers in the rail transportation industry. However, the company has a strong market position and a solid track record of performance, which may justify its current valuation."</t>
  </si>
  <si>
    <t>SYK,70,"Stryker Corporation is a leading company in the Health Care Equipment industry with a recent market cap of 134.32B and an enterprise value of 144.26B. The company has a trailing P/E ratio of 42.81 and a forward P/E ratio of 29.76, indicating a potential for future growth. However, the PEG ratio of 3.22 suggests that the stock may be slightly overvalued.</t>
  </si>
  <si>
    <t>In terms of valuation, Stryker Corporation has a price/sales ratio of 6.61 and a price/book ratio of 7.22, which are both higher than the industry average. This could be a concern for investors, as it may indicate that the stock is trading at a premium. Additionally, the enterprise value/revenue ratio of 7.04 and the enterprise value/EBITDA ratio of 29.24 are also higher than the industry average, suggesting that the stock may be overvalued.</t>
  </si>
  <si>
    <t>Overall, Stryker Corporation has a strong market position and potential for future growth, but its current valuation may be a cause for concern. Investors should carefully consider their risk tolerance and do further research before making any investment decisions."</t>
  </si>
  <si>
    <t>RL,70,"Ralph Lauren Corporation is a well-established company in the Apparel, Accessories &amp; Luxury Goods industry with a recent market cap of 11.83B and an enterprise value of 12.66B. The company has a trailing P/E ratio of 20.97 and a forward P/E ratio of 17.61, indicating a positive outlook for future earnings. However, the PEG ratio of 1.39 suggests that the stock may be slightly overvalued.</t>
  </si>
  <si>
    <t>In terms of valuation, Ralph Lauren Corporation has a price/sales ratio of 1.88 and a price/book ratio of 4.60, which are both higher than the industry average. This could be a concern for investors, as it may indicate that the stock is overpriced. Additionally, the enterprise value/revenue ratio of 1.92 and the enterprise value/EBITDA ratio of 12.88 are also higher than the industry average, further supporting the notion that the stock may be overvalued.</t>
  </si>
  <si>
    <t>Overall, Ralph Lauren Corporation has a strong market position and positive earnings outlook, but its valuation metrics suggest that the stock may be overpriced. Investors should carefully consider their risk tolerance and do further research before making any investment decisions."</t>
  </si>
  <si>
    <t>DLR,70,"Digital Realty is a leading company in the Data Center REITs industry with a recent market cap of 47.03B and an enterprise value of 65.11B. The firm has a trailing P/E ratio of 50.20 and a forward P/E ratio of 39.68, indicating a potential for future growth. However, its PEG ratio of 30.54 suggests that the stock may be overvalued. The price/sales ratio of 8.50 and price/book ratio of 2.56 are also relatively high compared to industry averages. The enterprise value/revenue ratio of 11.89 and enterprise value/EBITDA ratio of 20.61 indicate that the company may be overvalued based on its revenue and earnings. Overall, Digital Realty's financial data suggests that the stock may be overvalued, but its strong market position and potential for growth in the data center industry make it a promising investment option."</t>
  </si>
  <si>
    <t>RSG,70,"Republic Services is a leading company in the Environmental &amp; Facilities Services industry with a recent market cap of 57.78B and an enterprise value of 70.71B. The company has a trailing P/E ratio of 33.57 and a forward P/E ratio of 30.77, indicating a relatively high valuation. The PEG ratio, which measures the company's growth potential, is at 3.64, suggesting that the stock may be overvalued. Additionally, the price/sales and price/book ratios are at 3.89 and 5.48 respectively, which are also on the higher side.</t>
  </si>
  <si>
    <t>However, Republic Services has a strong enterprise value/revenue ratio of 4.73 and an enterprise value/EBITDA ratio of 16.45, indicating a solid financial position. The company also has a stable dividend yield of 1.6%, making it an attractive option for income investors.</t>
  </si>
  <si>
    <t>Overall, Republic Services has a strong presence in the Environmental &amp; Facilities Services industry and a solid financial position. However, the stock may be overvalued based on its current valuation metrics. Investors should carefully consider their risk tolerance and long-term investment goals before making any investment decisions."</t>
  </si>
  <si>
    <t>MCHP,70,"Microchip Technology is a leading company in the semiconductor industry with a recent market cap of $47.01B and an enterprise value of $52.46B. The company has a trailing P/E ratio of 20.33 and a forward P/E ratio of 27.47, indicating a potential for future growth. However, the PEG ratio of 8.60 suggests that the stock may be overvalued compared to its expected earnings growth. The price/sales ratio of 5.60 and price/book ratio of 6.64 also indicate a relatively high valuation for the company. Additionally, the enterprise value/revenue ratio of 6.14 and enterprise value/EBITDA ratio of 12.94 suggest that the company may be overvalued compared to its revenue and earnings. Overall, while Microchip Technology is a strong player in the semiconductor industry, investors should carefully consider the company's valuation before making any investment decisions."</t>
  </si>
  <si>
    <t>MSI,70,"Motorola Solutions is a leading company in the Communications Equipment industry with a recent market cap of 55.75B and an enterprise value of 60.59B. The firm has a trailing P/E ratio of 33.79 and a forward P/E ratio of 26.45, indicating a potential for future earnings growth. However, the PEG ratio of 2.71 suggests that the stock may be slightly overvalued.</t>
  </si>
  <si>
    <t>In terms of valuation, Motorola Solutions has a price/sales ratio of 5.79 and a price/book ratio of 77.00, which are both higher than the industry average. This could be a concern for investors, as it may indicate that the stock is overpriced. Additionally, the enterprise value/revenue ratio of 6.07 and the enterprise value/EBITDA ratio of 22.03 are also higher than the industry average, suggesting that the stock may be overvalued.</t>
  </si>
  <si>
    <t>Overall, Motorola Solutions has a strong market position and potential for future growth, but its current valuation may be a cause for concern. Investors should carefully consider the company's financial data and industry trends before making any investment decisions."</t>
  </si>
  <si>
    <t>MCD,70,"McDonald's is a well-established fast-food chain with a global presence and a strong brand reputation. The recent financial data for the company shows a market cap of 209.92B and an enterprise value of 258.43B. The trailing P/E ratio is 25.15, and the forward P/E ratio is 23.31, indicating a relatively high valuation for the company. The PEG ratio, which measures the stock's valuation relative to its expected earnings growth, is 2.44, suggesting that the stock may be slightly overvalued.</t>
  </si>
  <si>
    <t>In terms of revenue, McDonald's has a price/sales ratio of 8.35, which is higher than the industry average. The enterprise value/revenue ratio is 10.14, and the enterprise value/EBITDA ratio is 18.64, both of which are also higher than the industry average. This indicates that the company may be trading at a premium compared to its peers.</t>
  </si>
  <si>
    <t>Overall, McDonald's is a financially stable company with a strong market position. However, the recent financial data suggests that the stock may be slightly overvalued. Investors should carefully consider the company's valuation and potential risks before making any investment decisions."</t>
  </si>
  <si>
    <t>LW,70,"Lamb Weston is a leading company in the Packaged Foods &amp; Meats industry with a recent market cap of 14.73B and an enterprise value of 18.28B. The company has a trailing P/E ratio of 13.24 and a forward P/E ratio of 15.50, indicating a relatively low valuation compared to its peers in the industry. However, the PEG ratio of 3.31 suggests that the stock may be overvalued based on its expected growth rate.</t>
  </si>
  <si>
    <t>In terms of valuation multiples, Lamb Weston has a price/sales ratio of 2.35 and a price/book ratio of 8.83, both of which are higher than the industry average. This could indicate that the stock is currently trading at a premium compared to its peers. Additionally, the enterprise value/revenue ratio of 2.88 and the enterprise value/EBITDA ratio of 13.61 also suggest that the stock may be overvalued.</t>
  </si>
  <si>
    <t>Overall, Lamb Weston's financial data suggests that the stock may be overvalued compared to its peers in the Packaged Foods &amp; Meats industry. However, the company has a strong market position and a solid track record of profitability, which could make it an attractive long-term investment."</t>
  </si>
  <si>
    <t>PKG,70,"Packaging Corporation of America (PCA) is a leading company in the Paper &amp; Plastic Packaging Products &amp; Materials industry with a recent market cap of 16.15B and an enterprise value of 18.18B. The company has a trailing P/E ratio of 21.25 and a forward P/E ratio of 20.37, indicating a relatively high valuation. However, the PEG ratio of 3.99 suggests that the stock may be overvalued compared to its expected earnings growth.</t>
  </si>
  <si>
    <t>In terms of valuation multiples, PCA has a price/sales ratio of 2.07 and a price/book ratio of 4.04, both of which are higher than the industry average. This could be a concern for investors looking for undervalued stocks. However, the company's enterprise value/revenue ratio of 2.33 and enterprise value/EBITDA ratio of 11.75 are in line with the industry average, indicating a reasonable valuation.</t>
  </si>
  <si>
    <t>Overall, PCA has a strong financial position with a solid market cap and enterprise value. However, its valuation multiples suggest that the stock may be overvalued. Investors should carefully consider the company's expected earnings growth and industry trends before making any investment decisions."</t>
  </si>
  <si>
    <t>JKHY,70,"Jack Henry &amp; Associates is a leading company in the Transaction &amp; Payment Processing Services industry with a recent market cap of 12.53B and an enterprise value of 12.76B. The firm has a trailing P/E ratio of 33.65 and a forward P/E ratio of 30.49, indicating a relatively high valuation. However, the PEG ratio of 3.09 suggests that the stock may be overvalued compared to its expected growth rate.</t>
  </si>
  <si>
    <t>In terms of valuation multiples, Jack Henry &amp; Associates has a price/sales ratio of 5.81 and a price/book ratio of 7.27, both of which are higher than the industry average. The enterprise value/revenue ratio of 5.91 and the enterprise value/EBITDA ratio of 18.28 also indicate a relatively high valuation.</t>
  </si>
  <si>
    <t>Overall, Jack Henry &amp; Associates is a strong company with a solid financial position and a leading position in its industry. However, the recent high valuation multiples may suggest that the stock is currently overvalued. Investors should carefully consider their investment objectives and risk tolerance before making any investment decisions."</t>
  </si>
  <si>
    <t>AVY,70,"Avery Dennison is a leading company in the Paper &amp; Plastic Packaging Products &amp; Materials industry with a recent market cap of 17.45B and an enterprise value of 20.48B. The company has a trailing P/E ratio of 34.95 and a forward P/E ratio of 23.31, indicating a potential for future growth. However, the PEG ratio of 2.38 suggests that the stock may be slightly overvalued.</t>
  </si>
  <si>
    <t>The company's price/sales ratio of 2.10 and price/book ratio of 8.20 are both higher than the industry average, indicating a premium valuation. Additionally, the enterprise value/revenue ratio of 2.45 and enterprise value/EBITDA ratio of 18.41 are also higher than the industry average, suggesting that the stock may be overvalued.</t>
  </si>
  <si>
    <t>Overall, Avery Dennison has a strong market position and potential for future growth, but its current valuation may be a cause for concern. Investors should carefully consider the company's financial data and industry trends before making any investment decisions."</t>
  </si>
  <si>
    <t>NSC,70,"Norfolk Southern Railway (NSC) is a leading rail transportation company with a recent market cap of $58.16B and an enterprise value of $74.17B. The company has a trailing P/E ratio of 32.11 and a forward P/E ratio of 21.37, indicating a potential for future earnings growth. However, its PEG ratio of 6.28 suggests that the stock may be overvalued compared to its expected earnings growth.</t>
  </si>
  <si>
    <t>NSC's price/sales ratio of 4.82 and price/book ratio of 4.55 are both higher than the industry average, indicating a premium valuation. Its enterprise value/revenue ratio of 6.10 and enterprise value/EBITDA ratio of 17.09 also suggest that the stock may be overvalued.</t>
  </si>
  <si>
    <t>Despite these high valuation metrics, NSC has a strong financial position with a solid balance sheet and consistent profitability. The company has a strong track record of generating revenue and earnings growth, and its recent investments in technology and infrastructure have positioned it for future success.</t>
  </si>
  <si>
    <t>Overall, NSC's financial data suggests that the stock may be overvalued, but its strong financial position and potential for future growth make it a solid investment option for the long term."</t>
  </si>
  <si>
    <t>BSX,70,"Boston Scientific is a leading company in the Health Care Equipment industry with a recent market cap of $98.49B and an enterprise value of $107.11B. The company has a trailing P/E ratio of 62.74 and a forward P/E ratio of 29.85, indicating a potential for future earnings growth. However, the PEG ratio of 2.08 suggests that the stock may be slightly overvalued.</t>
  </si>
  <si>
    <t>In terms of valuation, Boston Scientific has a price/sales ratio of 6.90 and a price/book ratio of 5.11, which are both higher than the industry average. This could indicate that the stock is currently trading at a premium. Additionally, the enterprise value/revenue ratio of 7.52 and the enterprise value/EBITDA ratio of 31.08 are also higher than the industry average, suggesting that the stock may be overvalued.</t>
  </si>
  <si>
    <t>Overall, Boston Scientific has a strong market position and potential for future growth, but its current valuation may be a cause for concern. Investors should carefully consider the company's financial data and industry trends before making any investment decisions."</t>
  </si>
  <si>
    <t>CTAS,70,"Cintas is a leading company in the Diversified Support Services industry with a recent market cap of $63.70B and an enterprise value of $66.48B. The company has a trailing P/E ratio of 45.53 and a forward P/E ratio of 39.37, indicating a relatively high valuation. However, the PEG ratio of 3.64 suggests that the stock may be overvalued compared to its expected earnings growth.</t>
  </si>
  <si>
    <t>In terms of valuation multiples, Cintas has a price/sales ratio of 7.07 and a price/book ratio of 15.95, both of which are higher than the industry average. The enterprise value/revenue ratio of 7.23 and the enterprise value/EBITDA ratio of 28.36 also indicate a relatively high valuation for the company.</t>
  </si>
  <si>
    <t>Overall, Cintas has a strong financial position and is a leader in its industry. However, the high valuation multiples suggest that the stock may be overvalued at its current price. Investors should carefully consider their risk tolerance and investment objectives before making any decisions regarding Cintas stock."</t>
  </si>
  <si>
    <t>EQR,70,"Equity Residential is a leading company in the Multi-Family Residential REITs industry with a recent market cap of 23.05B and an enterprise value of 30.74B. The company has a trailing P/E ratio of 28.53 and a forward P/E ratio of 40.65, indicating a potential overvaluation in the stock. The PEG ratio of 6.21 also suggests that the stock may be overpriced compared to its expected earnings growth.</t>
  </si>
  <si>
    <t>In terms of valuation metrics, Equity Residential has a price/sales ratio of 8.26 and a price/book ratio of 2.09, which are relatively high compared to the industry average. The company's enterprise value/revenue ratio of 10.70 and enterprise value/EBITDA ratio of 15.03 also indicate a potential overvaluation.</t>
  </si>
  <si>
    <t>However, despite these high valuation metrics, Equity Residential has a strong financial position with a solid market presence and a diverse portfolio of properties. The company has a history of consistent dividend payments and a strong track record of generating returns for its investors.</t>
  </si>
  <si>
    <t>Overall, while the recent financial data suggests that Equity Residential may be overvalued, the company's strong financial position and track record make it a potentially attractive investment opportunity for the long term."</t>
  </si>
  <si>
    <t>FAST,70,"Fastenal is a leading company in the Trading Companies &amp; Distributors industry with a recent market cap of 41.68B and an enterprise value of 42.00B. The company has a trailing P/E ratio of 36.06 and a forward P/E ratio of 33.90, indicating a potential for future growth. However, the PEG ratio of 3.76 suggests that the stock may be slightly overvalued. Fastenal's price/sales ratio of 5.68 and price/book ratio of 12.45 are also higher than the industry average, indicating a premium for the stock. The company's enterprise value/revenue ratio of 5.72 and enterprise value/EBITDA ratio of 24.56 are also higher than the industry average, suggesting that the stock may be overvalued.</t>
  </si>
  <si>
    <t>Overall, Fastenal's financial data suggests that the stock may be slightly overvalued, but it also has potential for future growth. Investors should carefully consider the company's valuation and potential risks before making any investment decisions."</t>
  </si>
  <si>
    <t>LMT,70,"Lockheed Martin is a leading aerospace and defense company with a recent market cap of $103.05B and an enterprise value of $119.07B. The company has a trailing P/E ratio of 15.48 and a forward P/E ratio of 16.45, indicating a relatively low valuation compared to its industry peers. However, its PEG ratio of 4.22 suggests that the stock may be overvalued based on its expected earnings growth.</t>
  </si>
  <si>
    <t>In terms of financial health, Lockheed Martin has a price/sales ratio of 1.59 and a price/book ratio of 15.08, both of which are higher than the industry average. This could indicate that the stock is currently trading at a premium. Additionally, the company's enterprise value/revenue ratio of 1.76 and enterprise value/EBITDA ratio of 11.40 are also higher than the industry average, suggesting that the stock may be overvalued.</t>
  </si>
  <si>
    <t>Overall, Lockheed Martin is a strong company with a solid financial position and a leading position in the aerospace and defense industry. However, its current valuation may be a cause for concern, and investors should carefully consider their investment decisions."</t>
  </si>
  <si>
    <t>BF.B,70,"Brown-Forman is a leading company in the Distillers &amp; Vintners industry, known for its popular brands such as Jack Daniel's and Woodford Reserve. The company has a strong financial track record, with consistent revenue and earnings growth over the years. However, the recent lack of news or financial data makes it difficult to assess the current situation of the company.</t>
  </si>
  <si>
    <t>Brown-Forman has a strong brand reputation and a loyal customer base, which could potentially drive future growth. However, the company may face challenges in the near future due to the ongoing COVID-19 pandemic and its impact on the alcohol industry. The company's exposure to international markets and potential trade disruptions could also pose risks.</t>
  </si>
  <si>
    <t>Overall, Brown-Forman has a solid foundation and potential for growth, but the lack of recent news or financial data makes it difficult to accurately assess its current investment value."</t>
  </si>
  <si>
    <t>PODD,70,"Insulet is a leading company in the Health Care Equipment industry with a recent market cap of 11.83B and an enterprise value of 12.55B. The firm has a trailing P/E ratio of 57.57 and a forward P/E ratio of 60.24, indicating a potential overvaluation. The PEG ratio of 2.64 suggests that the stock may be overvalued compared to its expected growth rate. Additionally, the price/sales ratio of 7.34 and price/book ratio of 16.15 also indicate a potential overvaluation.</t>
  </si>
  <si>
    <t>However, Insulet has a strong enterprise value/revenue ratio of 7.39 and a relatively high enterprise value/EBITDA ratio of 38.77, indicating a strong financial position. The company's latest financial data also shows a positive trend in revenue and earnings growth.</t>
  </si>
  <si>
    <t>Overall, Insulet's financial data suggests a potential overvaluation, but the company's strong financial position and positive growth trend make it a promising investment opportunity in the Health Care Equipment industry."</t>
  </si>
  <si>
    <t>EVRG,65,"Evergy is a recent addition to the Electric Utilities industry, formed by the merger of Westar Energy and Great Plains Energy in 2018. The company serves over 1.6 million customers in Kansas and Missouri, making it one of the largest electric utilities in the region. Evergy's latest financial data shows a market cap of 11.29B and an enterprise value of 24.41B. The company's trailing P/E ratio is 15.50, while the forward P/E ratio is 12.82, indicating a potential undervaluation. Additionally, Evergy's price/sales ratio of 2.06 and price/book ratio of 1.17 are below the industry average, further supporting the undervaluation hypothesis.</t>
  </si>
  <si>
    <t>However, it is worth noting that Evergy's enterprise value/revenue ratio of 4.43 and enterprise value/EBITDA ratio of 10.10 are slightly higher than the industry average, suggesting a potential overvaluation. This could be due to the company's recent merger and integration costs, which may have inflated its enterprise value.</t>
  </si>
  <si>
    <t>Overall, Evergy's financial data presents a mixed picture, with some indicators pointing towards undervaluation and others towards overvaluation. Investors should carefully consider the company's financial performance and future growth prospects before making any investment decisions."</t>
  </si>
  <si>
    <t>WY,65,"Weyerhaeuser is a leading timber REIT company with a recent market cap of $25.47B and an enterprise value of $29.39B. The company has a trailing P/E ratio of 30.36 and a forward P/E ratio of 30.77, indicating a relatively high valuation. The PEG ratio, which measures the relationship between the stock's price, earnings, and growth potential, is at 6.54, suggesting that the stock may be overvalued.</t>
  </si>
  <si>
    <t>In terms of valuation metrics, Weyerhaeuser has a price/sales ratio of 3.33 and a price/book ratio of 2.49, both of which are slightly above the industry average. The enterprise value/revenue ratio is at 3.83, while the enterprise value/EBITDA ratio is at 17.12, indicating that the company may be trading at a premium compared to its peers.</t>
  </si>
  <si>
    <t>Overall, Weyerhaeuser's financial data suggests that the stock may be overvalued, and investors should approach with caution. However, the company's strong market position and potential for growth in the timber REIT industry may still make it an attractive investment opportunity."</t>
  </si>
  <si>
    <t>TSLA,65,"Tesla, Inc. has recently conducted a site survey for a potential production facility for electric vehicles (EVs) and batteries in Thailand. This news highlights the company's continued expansion efforts and potential for growth in the EV market.</t>
  </si>
  <si>
    <t>In terms of financial data, Tesla's latest market cap stands at 645.37B, with an enterprise value of 625.84B. The trailing P/E ratio is 47.13, and the forward P/E ratio is 64.94, indicating a higher valuation for future earnings. The PEG ratio, which measures the stock's valuation relative to its expected growth, is at 2.38, suggesting that the stock may be slightly overvalued.</t>
  </si>
  <si>
    <t>Tesla's price/sales ratio is 7.30, and the price/book ratio is 10.30, both of which are higher than the industry average. This could indicate that the stock is trading at a premium compared to its peers. The enterprise value/revenue ratio is 6.47, and the enterprise value/EBITDA ratio is 42.30, both of which are also higher than the industry average.</t>
  </si>
  <si>
    <t>Overall, Tesla's financial data suggests that the stock may be overvalued, but its potential for growth in the EV market and expansion efforts cannot be ignored. Therefore, the potential investment value for Tesla in the next month is moderate."</t>
  </si>
  <si>
    <t>REG,65,"Regency Centers (REG) is a real estate investment trust (REIT) that specializes in owning, operating, and developing grocery-anchored shopping centers in affluent and densely populated markets. The recent financial data for REG shows a market cap of $11.40B and an enterprise value of $15.94B. The trailing P/E ratio is 30.26, and the forward P/E ratio is 32.15, indicating a relatively high valuation. The PEG ratio of 6.77 suggests that the stock may be overvalued compared to its expected earnings growth. The price/sales ratio of 8.23 and price/book ratio of 1.67 also indicate a premium valuation. However, the enterprise value/revenue ratio of 12.05 and enterprise value/EBITDA ratio of 18.13 are in line with industry averages.</t>
  </si>
  <si>
    <t>REG has a strong portfolio of grocery-anchored shopping centers, which have proven to be resilient during economic downturns. The company has a solid balance sheet with a low debt-to-equity ratio of 0.73 and a strong credit rating. However, the retail industry has been facing challenges due to the rise of e-commerce, and the ongoing COVID-19 pandemic has further impacted consumer behavior and shopping habits. This may have a negative impact on REG's performance in the short term."</t>
  </si>
  <si>
    <t>QRVO,65,"Qorvo is a leading semiconductor company with a recent market cap of 11.55B and an enterprise value of 12.51B. The company's forward P/E ratio of 16.26 and PEG ratio of 0.50 suggest that it may be undervalued compared to its expected earnings growth. Qorvo's price/sales ratio of 3.41 and price/book ratio of 3.18 also indicate a potential value opportunity for investors.</t>
  </si>
  <si>
    <t>However, it is important to note that Qorvo's enterprise value/revenue ratio of 3.62 and enterprise value/EBITDA ratio of 52.66 are relatively high compared to its industry peers. This may suggest that the company's stock is currently overvalued.</t>
  </si>
  <si>
    <t>Overall, Qorvo's financial data presents a mixed picture for potential investors. While some metrics indicate a potential value opportunity, others suggest that the stock may be overvalued. It is important for investors to carefully consider all factors before making any investment decisions."</t>
  </si>
  <si>
    <t>MMM,65,"3M is a recent leader in the Industrial Conglomerates industry with a market cap of 50.77B and an enterprise value of 61.64B. The company has a trailing P/E ratio of 16.99 and a forward P/E ratio of 9.64, indicating a potential undervaluation. However, its PEG ratio of 2.05 suggests a slightly overvalued stock. 3M's price/sales ratio of 1.56 and price/book ratio of 10.56 are also higher than the industry average, indicating a premium valuation. Its enterprise value/revenue ratio of 1.89 and enterprise value/EBITDA ratio of -9.12 may raise concerns for investors.</t>
  </si>
  <si>
    <t>Overall, 3M's financial data suggests a mixed picture, with some indicators pointing towards undervaluation and others towards overvaluation. Investors should carefully consider the company's financials and market conditions before making any investment decisions."</t>
  </si>
  <si>
    <t>APH,65,"Amphenol is a leading company in the electronic components industry with a recent market cap of 66.47B and an enterprise value of 69.15B. The firm has a trailing P/E ratio of 35.63 and a forward P/E ratio of 33.67, indicating a relatively high valuation. The PEG ratio, which measures the stock's valuation relative to its expected earnings growth, is at 5.71, suggesting that the stock may be overvalued.</t>
  </si>
  <si>
    <t>In terms of financial health, Amphenol has a price/sales ratio of 5.48 and a price/book ratio of 7.96, both of which are higher than the industry average. This indicates that the stock may be trading at a premium compared to its peers. Additionally, the enterprise value/revenue ratio of 5.51 and the enterprise value/EBITDA ratio of 23.04 also suggest that the stock may be overvalued.</t>
  </si>
  <si>
    <t>Overall, while Amphenol is a strong company in the electronic components industry, its recent financial data suggests that the stock may be overvalued. Investors should carefully consider the company's valuation before making any investment decisions."</t>
  </si>
  <si>
    <t>AAPL,65,"Apple Inc. is facing increasing scrutiny and challenges in its App Store operations as regulations and antitrust concerns continue to mount. The recent news of a patchwork of rules across different countries has raised questions about the future profitability and growth potential of the App Store, which has been a significant source of revenue for the company.</t>
  </si>
  <si>
    <t>In terms of financial data, Apple's market cap and enterprise value remain strong at 2.77T and 2.81T respectively. However, its trailing and forward P/E ratios of 27.94 and 27.55, respectively, suggest that the stock may be slightly overvalued. The PEG ratio of 2.21 also indicates that the stock may not be a good value for long-term investors.</t>
  </si>
  <si>
    <t>Furthermore, the price/sales and price/book ratios of 7.32 and 37.44, respectively, are higher than the industry average, indicating that the stock may be overpriced. The enterprise value/revenue and enterprise value/EBITDA ratios of 7.28 and 21.05, respectively, also suggest that the stock may be overvalued.</t>
  </si>
  <si>
    <t>Overall, while Apple Inc. remains a strong and profitable company, the recent news and financial data suggest that there may be some challenges and risks ahead. Investors should carefully consider these factors before making any investment decisions."</t>
  </si>
  <si>
    <t>WELL,65,"Welltower is a leading company in the Health Care REITs industry with a recent market cap of 52.75B and an enterprise value of 66.87B. The company has a high trailing P/E ratio of 134.38 and a forward P/E ratio of 75.76, indicating a potential overvaluation of the stock. However, the PEG ratio of 1.89 suggests that the stock may still have room for growth.</t>
  </si>
  <si>
    <t>Welltower's price/sales ratio of 7.25 and price/book ratio of 2.08 are relatively lower compared to its industry peers, indicating a potential undervaluation of the stock. The company's enterprise value/revenue ratio of 10.07 and enterprise value/EBITDA ratio of 27.85 are also lower than the industry average, suggesting a potential opportunity for investors.</t>
  </si>
  <si>
    <t>Overall, Welltower's financial data suggests a mixed outlook for the company. While some valuation metrics indicate an overvaluation, others suggest an undervaluation. Investors should carefully consider the company's financial data and industry trends before making any investment decisions."</t>
  </si>
  <si>
    <t>DAY,65,"Dayforce is a leading company in the Human Resource &amp; Employment Services industry with a recent market cap of 10.67B and an enterprise value of 11.34B. The firm has a high trailing P/E ratio of 195.00, indicating that investors are willing to pay a premium for its earnings. However, the forward P/E ratio of 27.55 suggests that the market is expecting lower earnings growth in the future. The PEG ratio of 5.36 also indicates that the stock may be overvalued.</t>
  </si>
  <si>
    <t>In terms of valuation, Dayforce has a price/sales ratio of 7.15 and a price/book ratio of 4.45, which are both higher than the industry average. This suggests that the stock may be overvalued compared to its peers. Additionally, the enterprise value/revenue ratio of 7.49 and the enterprise value/EBITDA ratio of 42.86 also indicate that the stock may be overvalued.</t>
  </si>
  <si>
    <t>Overall, while Dayforce is a strong company in the Human Resource &amp; Employment Services industry, its recent financial data suggests that the stock may be overvalued. Investors should carefully consider the high valuation metrics before making any investment decisions."</t>
  </si>
  <si>
    <t>CCI,65,"Crown Castle (CCI) is a leading player in the Telecom Tower REITs industry with a recent market cap of $48.22B and an enterprise value of $76.93B. The company has a trailing P/E ratio of 32.10 and a forward P/E ratio of 38.02, indicating a potential overvaluation. The PEG ratio of 9.74 also suggests that the stock may be overpriced compared to its expected growth rate.</t>
  </si>
  <si>
    <t>However, Crown Castle has a strong price-to-sales ratio of 6.90 and a price-to-book ratio of 7.56, indicating that the stock may still have room for growth. The company also has a solid enterprise value/revenue ratio of 11.02 and an enterprise value/EBITDA ratio of 18.75, suggesting that it may be undervalued compared to its peers.</t>
  </si>
  <si>
    <t>Overall, Crown Castle's financial data presents a mixed picture, with some indicators pointing towards overvaluation and others towards potential undervaluation. Investors should carefully consider the company's fundamentals and market conditions before making any investment decisions."</t>
  </si>
  <si>
    <t>CSGP,65,"CoStar Group is a leading provider of commercial real estate information, analytics, and online marketplaces. The company has a strong market position and a diverse portfolio of products and services, making it well-positioned for future growth. However, recent financial data shows that the company's valuation may be a cause for concern.</t>
  </si>
  <si>
    <t>CoStar Group's latest market cap stands at $36.05B, with an enterprise value of $31.95B. The company's trailing P/E ratio of 95.96 and forward P/E ratio of 222.22 indicate a high valuation, which may be a red flag for investors. Additionally, the PEG ratio of 8.44 suggests that the stock may be overvalued compared to its expected earnings growth.</t>
  </si>
  <si>
    <t>Furthermore, CoStar Group's price/sales ratio of 14.63 and price/book ratio of 4.91 are also relatively high, indicating that the stock may be trading at a premium. The enterprise value/revenue ratio of 13.01 and enterprise value/EBITDA ratio of 81.96 also suggest that the company's valuation may be stretched.</t>
  </si>
  <si>
    <t>Overall, while CoStar Group is a strong company with a promising future, its recent financial data raises concerns about its valuation. Investors should carefully consider the risks and potential rewards before making any investment decisions."</t>
  </si>
  <si>
    <t>EXR,65,"Extra Space Storage is a self-storage real estate investment trust (REIT) with a recent market cap of $30.29B and an enterprise value of $41.44B. The company has a trailing P/E ratio of 30.24 and a forward P/E ratio of 25.97, indicating a relatively high valuation. Its PEG ratio of 16.88 suggests that the stock may be overvalued compared to its expected earnings growth. Additionally, its price/sales ratio of 9.48 and price/book ratio of 2.10 are also above industry averages, further indicating a potentially overvalued stock.</t>
  </si>
  <si>
    <t>However, Extra Space Storage has a strong enterprise value/revenue ratio of 16.19 and enterprise value/EBITDA ratio of 22.82, which may suggest that the company is efficiently utilizing its assets and generating strong returns for investors.</t>
  </si>
  <si>
    <t>Overall, the recent financial data for Extra Space Storage presents a mixed picture, with some indicators pointing towards a potentially overvalued stock and others suggesting strong performance. Investors should carefully consider their risk tolerance and do further research before making any investment decisions."</t>
  </si>
  <si>
    <t>TYL,65,"Tyler Technologies is a leading company in the Application Software industry with a recent market cap of 18.64B and an enterprise value of 19.16B. The firm has a high trailing P/E ratio of 113.63 and a forward P/E ratio of 48.78, indicating a potential overvaluation of the stock. However, the PEG ratio of 2.48 suggests that the stock may still have room for growth.</t>
  </si>
  <si>
    <t>The latest financial data also shows a high price/sales ratio of 9.66 and a price/book ratio of 6.34, which may be a cause for concern for some investors. Additionally, the enterprise value/revenue ratio of 9.82 and the enterprise value/EBITDA ratio of 48.80 may indicate that the stock is currently overvalued.</t>
  </si>
  <si>
    <t>Overall, while Tyler Technologies is a strong player in the Application Software industry, the recent financial data suggests that the stock may be overvalued. Investors should carefully consider the risks and potential for growth before making any investment decisions."</t>
  </si>
  <si>
    <t>KIM,65,"Kimco Realty (KIM) is a real estate investment trust (REIT) that specializes in shopping centers and retail properties. The recent financial data for the company shows a market cap of $13.28B and an enterprise value of $19.89B. The trailing P/E ratio is 19.34, while the forward P/E ratio is 27.03, indicating a potential increase in earnings in the future. The PEG ratio, which measures the relationship between the stock's price, earnings, and growth potential, is at 3.83, suggesting a slightly overvalued stock.</t>
  </si>
  <si>
    <t>The price/sales ratio of 6.84 and price/book ratio of 1.39 are both below the industry average, indicating a potentially undervalued stock. However, the enterprise value/revenue ratio of 11.15 and enterprise value/EBITDA ratio of 14.20 are both above the industry average, suggesting a higher valuation for the company.</t>
  </si>
  <si>
    <t>Overall, the recent financial data for Kimco Realty shows a mix of undervaluation and overvaluation, making it a potentially risky investment. However, the company has a strong track record and a diversified portfolio of properties, which could provide stability in the long term. Investors should carefully consider their risk tolerance and do further research before making any investment decisions."</t>
  </si>
  <si>
    <t>IBM,65,"IBM, a leading IT consulting and services company, has a recent market cap of $172.53B and an enterprise value of $219.03B. The company's trailing P/E ratio is 23.09 and its forward P/E ratio is 18.73, indicating a potential undervaluation. However, its PEG ratio of 4.34 suggests that the stock may be overvalued in relation to its expected earnings growth.</t>
  </si>
  <si>
    <t>IBM's price/sales ratio of 2.81 and price/book ratio of 7.66 are both higher than the industry average, indicating a premium valuation. Its enterprise value/revenue ratio of 3.54 and enterprise value/EBITDA ratio of 14.91 are also higher than the industry average, suggesting that the stock may be overvalued.</t>
  </si>
  <si>
    <t>Overall, IBM's financial data suggests that the stock may be overvalued in relation to its earnings growth and industry peers. However, the company's strong market position and potential for future growth in the IT consulting and services industry may make it a worthwhile investment for the long term."</t>
  </si>
  <si>
    <t>K,65,"Kellanova, a company in the Packaged Foods &amp; Meats industry, has a recent market cap of 18.68B and an enterprise value of 24.93B. The firm's trailing P/E ratio is 24.37 and its forward P/E ratio is 15.02, indicating a potential for future growth. However, the PEG ratio of 4.65 suggests that the stock may be overvalued. The price/sales ratio of 1.44 and price/book ratio of 5.88 also indicate a higher valuation compared to its peers in the industry. The enterprise value/revenue ratio of 1.90 and enterprise value/EBITDA ratio of 14.15 suggest that the company may be undervalued based on its revenue and earnings. Overall, Kellanova's financial data suggests a mixed outlook for the company, with potential for growth but also some concerns about valuation."</t>
  </si>
  <si>
    <t>CMG,65,"Chipotle Mexican Grill (CMG) is a leading fast-casual restaurant chain known for its high-quality, customizable Mexican-inspired food. The company has shown strong financial performance in recent years, with a current market cap of $73.73B and an enterprise value of $76.49B. However, the latest financial data shows a trailing P/E ratio of 60.64 and a forward P/E ratio of 50.00, indicating a relatively high valuation for the stock.</t>
  </si>
  <si>
    <t>The PEG ratio, which takes into account the company's expected growth, is at 2.35, suggesting that the stock may be slightly overvalued. Additionally, the price/sales ratio of 7.55 and price/book ratio of 24.08 also indicate a premium valuation for the stock.</t>
  </si>
  <si>
    <t>On the positive side, Chipotle's enterprise value/revenue ratio of 7.75 is in line with its industry peers, indicating that the company is not overleveraged. However, the enterprise value/EBITDA ratio of 39.17 is relatively high, suggesting that the company's profitability may not be as strong as its revenue growth.</t>
  </si>
  <si>
    <t>Overall, while Chipotle has a strong brand and a loyal customer base, its current valuation may be a cause for concern. Investors should carefully consider the company's financial data and market conditions before making any investment decisions."</t>
  </si>
  <si>
    <t>FRT,65,"Federal Realty is a real estate investment trust (REIT) that specializes in retail properties. The company has a recent market cap of 8.29B and an enterprise value of 12.89B. Its trailing P/E ratio is 35.69 and its forward P/E ratio is 33.67, indicating that the stock may be slightly overvalued. The PEG ratio, which measures the stock's valuation relative to its expected growth, is 7.69, suggesting that the stock may be overvalued compared to its growth potential.</t>
  </si>
  <si>
    <t>In terms of its financial health, Federal Realty has a price/sales ratio of 7.18 and a price/book ratio of 2.96, both of which are higher than the industry average. This indicates that the stock may be trading at a premium compared to its peers. The company also has a high enterprise value/revenue ratio of 11.38 and an enterprise value/EBITDA ratio of 17.49, which may suggest that the stock is overvalued.</t>
  </si>
  <si>
    <t>Overall, Federal Realty's financial data suggests that the stock may be overvalued compared to its peers and its growth potential. However, it is important to note that the company has a strong track record of consistent dividend payments and a diversified portfolio of retail properties. This may make it a stable and reliable investment option for investors looking for steady income."</t>
  </si>
  <si>
    <t>ESS,65,"Essex Property Trust is a real estate investment trust (REIT) that specializes in multi-family residential properties. The recent financial data for the company shows a strong market cap of 15.05B and an enterprise value of 20.84B. However, the trailing P/E ratio of 37.08 and forward P/E ratio of 40.49 may indicate that the stock is currently overvalued. The PEG ratio of 7.13 also suggests that the stock may not be a good value for long-term growth.</t>
  </si>
  <si>
    <t>In terms of valuation, the price/sales ratio of 9.02 and price/book ratio of 2.77 are relatively high compared to the industry average. This may indicate that the stock is currently trading at a premium. Additionally, the enterprise value/revenue ratio of 12.48 and enterprise value/EBITDA ratio of 17.48 are also higher than the industry average, which may suggest that the stock is overvalued.</t>
  </si>
  <si>
    <t>Overall, while Essex Property Trust is a strong company with a solid market cap and enterprise value, the current valuation metrics suggest that the stock may be overvalued. Investors should carefully consider their investment goals and risk tolerance before making any decisions regarding this stock."</t>
  </si>
  <si>
    <t>IRM,65,"Iron Mountain is a leading company in the Other Specialized REITs industry with a recent market cap of 23.68B and an enterprise value of 38.25B. The company has a high trailing P/E ratio of 128.62 and a forward P/E ratio of 40.82, indicating a potentially overvalued stock. Its price/sales ratio of 4.35 and price/book ratio of 111.90 also suggest a premium valuation. However, its enterprise value/revenue ratio of 6.98 and enterprise value/EBITDA ratio of 23.63 are in line with industry averages.</t>
  </si>
  <si>
    <t>The company's latest financial data shows a strong market position and potential for growth, but its high valuation may be a cause for concern. Investors should closely monitor the company's performance and consider potential risks before making any investment decisions."</t>
  </si>
  <si>
    <t>TSN,65,"Tyson Foods, a leading company in the Packaged Foods &amp; Meats industry, has been facing some challenges in recent months. The company's latest financial data shows a market cap of 18.99B and an enterprise value of 27.19B. The forward P/E ratio is 23.15, indicating that the stock may be slightly overvalued. Additionally, the price/sales ratio of 0.36 and price/book ratio of 1.05 suggest that the stock may be undervalued compared to its peers in the industry.</t>
  </si>
  <si>
    <t>However, the enterprise value/revenue ratio of 0.51 and enterprise value/EBITDA ratio of 32.60 raise some concerns about the company's financial health. These ratios are higher than the industry average, indicating that Tyson Foods may have a higher level of debt and may be less efficient in generating revenue and earnings.</t>
  </si>
  <si>
    <t>Overall, the recent financial data for Tyson Foods presents a mixed picture. While the stock may be undervalued based on some metrics, the high levels of debt and lower efficiency compared to its peers may be a cause for concern."</t>
  </si>
  <si>
    <t>ILMN,65,"Illumina is a leading company in the Life Sciences Tools &amp; Services industry with a recent market cap of 22.33B and an enterprise value of 23.53B. The company's latest financial data shows a forward P/E ratio of 138.89, which is higher than the industry average. However, Illumina's price/sales ratio of 4.93 and price/book ratio of 3.89 are in line with the industry average, indicating a fair valuation.</t>
  </si>
  <si>
    <t>One potential concern for investors is the company's high enterprise value/revenue ratio of 5.23, which is significantly higher than the industry average. This could suggest that the company's stock is overvalued compared to its revenue. Additionally, the negative enterprise value/EBITDA ratio of -38.71 raises some red flags about the company's profitability.</t>
  </si>
  <si>
    <t>Overall, Illumina's financial data presents a mixed picture for potential investors. While the company's valuation seems fair, the high enterprise value/revenue ratio and negative enterprise value/EBITDA ratio may be cause for caution. It is important for investors to carefully consider these factors before making any investment decisions."</t>
  </si>
  <si>
    <t>EFX,60,"Equifax, a leading provider of credit information and analytics, has been facing challenges in recent years due to a massive data breach in 2017. However, the company has taken steps to improve its security and rebuild trust with customers. The latest financial data shows a market cap of $33.59B and an enterprise value of $39.08B. The trailing P/E ratio of 61.59 and forward P/E ratio of 34.60 indicate that the stock may be slightly overvalued. However, the PEG ratio of 1.13 suggests that the stock may still have growth potential. The price/sales ratio of 6.38 and price/book ratio of 7.41 are also higher than the industry average, indicating a premium valuation. The enterprise value/revenue ratio of 7.42 and enterprise value/EBITDA ratio of 24.75 are also higher than the industry average, suggesting that the stock may be overvalued. Overall, Equifax's financial data shows a mixed picture, with some indicators pointing towards potential growth and others indicating a premium valuation."</t>
  </si>
  <si>
    <t>XYL,60,"Xylem Inc. in the Industrial Machinery &amp; Supplies &amp; Components Industry</t>
  </si>
  <si>
    <t>Xylem Inc. is a leading global water technology company that provides solutions for water and wastewater management. The company's recent financial data shows a strong market cap of 30.91B and an enterprise value of 32.28B. However, the trailing P/E ratio of 45.86 and forward P/E ratio of 31.35 suggest that the stock may be overvalued.</t>
  </si>
  <si>
    <t>The PEG ratio of 2.28 indicates that the stock may be overvalued compared to its expected earnings growth. Additionally, the price/sales ratio of 3.79 and price/book ratio of 3.04 also suggest that the stock may be overvalued.</t>
  </si>
  <si>
    <t>On the positive side, Xylem Inc. has a strong enterprise value/revenue ratio of 4.38, indicating that the company is generating significant revenue. However, the enterprise value/EBITDA ratio of 28.82 is relatively high, suggesting that the company may be overvalued based on its earnings.</t>
  </si>
  <si>
    <t>Overall, Xylem Inc. has a strong market position and generates significant revenue, but its valuation metrics suggest that the stock may be overvalued. Investors should carefully consider the company's financial data and market conditions before making any investment decisions."</t>
  </si>
  <si>
    <t>BXP,60,"Boston Properties is a real estate investment trust (REIT) that specializes in owning and operating office properties. The recent financial data for the company shows a market cap of $10.40B and an enterprise value of $25.50B. The trailing P/E ratio is 54.75, while the forward P/E ratio is 27.40, indicating a potential decrease in earnings in the future. The PEG ratio of 1.27 suggests that the stock may be slightly overvalued. The price/sales ratio of 3.18 and price/book ratio of 1.77 are both below the industry average, indicating a potential undervaluation of the stock. However, the enterprise value/revenue ratio of 7.79 and enterprise value/EBITDA ratio of 14.96 are both above the industry average, suggesting that the stock may be overvalued based on these metrics.</t>
  </si>
  <si>
    <t>Overall, the recent financial data for Boston Properties presents a mixed picture, with some indicators pointing towards undervaluation and others towards overvaluation. Investors should carefully consider the company's financials and market conditions before making any investment decisions."</t>
  </si>
  <si>
    <t>CTLT,60,"Catalent is a leading global provider of advanced delivery technologies, development, and manufacturing solutions for drugs, biologics, cell and gene therapies, and consumer health products. The company has a strong financial position with a recent market cap of 10.34B and an enterprise value of 15.12B. However, the latest financial data shows a relatively high forward P/E ratio of 38.46 and a PEG ratio of 2.09, indicating a potentially overvalued stock. Additionally, the price/sales and price/book ratios are also on the higher side at 2.53 and 2.80 respectively. The enterprise value/revenue ratio of 3.69 and the negative enterprise value/EBITDA ratio of -20.05 suggest that the company may be overvalued based on its revenue and earnings.</t>
  </si>
  <si>
    <t>Overall, while Catalent is a strong player in the pharmaceutical industry, its current financial data suggests a potentially overvalued stock. Investors should carefully consider the company's valuation before making any investment decisions."</t>
  </si>
  <si>
    <t>F,60,"Ford Motor Company is a leading player in the Automobile Manufacturers industry with a recent market cap of $49.47B and an enterprise value of $160.41B. The company has a trailing P/E ratio of 11.53 and a forward P/E ratio of 6.77, indicating a relatively low valuation compared to its peers. The PEG ratio of 0.74 also suggests that the stock may be undervalued.</t>
  </si>
  <si>
    <t>However, the recent financial data also shows that Ford has a low price-to-sales ratio of 0.29 and a price-to-book ratio of 1.16, which may indicate a lack of growth potential. The enterprise value to revenue ratio of 0.91 and the enterprise value to EBITDA ratio of 13.58 also suggest that the company may be overvalued.</t>
  </si>
  <si>
    <t>Overall, Ford's financial data presents a mixed picture, with some indicators pointing towards undervaluation and others towards overvaluation. Investors should carefully consider the company's financials and market conditions before making any investment decisions."</t>
  </si>
  <si>
    <t>IVZ,50,"Invesco is a leading asset management and custody bank company with a recent market cap of 6.98B and an enterprise value of 18.10B. The company has a trailing P/E ratio of 7.03 and a forward P/E ratio of 9.22, indicating a relatively low valuation compared to its peers in the industry. However, the PEG ratio of 1.51 suggests that the stock may be slightly overvalued based on its expected growth rate.</t>
  </si>
  <si>
    <t>In terms of financial health, Invesco has a price/sales ratio of 1.24 and a price/book ratio of 0.66, both of which are below the industry average. This indicates that the stock may be undervalued based on its revenue and book value. However, the enterprise value/revenue ratio of 3.17 and the enterprise value/EBITDA ratio of 16.00 suggest that the company may be overvalued based on its revenue and earnings.</t>
  </si>
  <si>
    <t>Overall, Invesco's financial data suggests that the stock may be undervalued based on its P/E, price/sales, and price/book ratios, but overvalued based on its PEG, enterprise value/revenue, and enterprise value/EBITDA ratios. This mixed picture may indicate that the stock is currently trading at a fair value."</t>
  </si>
  <si>
    <t>Interactive Media &amp; Services,"The interactive media and services sector has shown strong growth potential in recent years, driven by advancements in technology and the increasing demand for digital content and services. The rise of AI and its integration into various industries has also contributed to the sector's growth. However, there are potential risks to consider, such as increased regulation and potential backlash against AI. The recent record highs in the stock market, driven by the performance of technology stocks, indicate optimism about the future growth potential of this sector. It is important for investors to remain cautious and consider potential risks and stretched valuations, while also diversifying their portfolios to include other sectors.",85,2024-03-04</t>
  </si>
  <si>
    <t>Life Sciences Tools &amp; Services,"The life sciences tools and services sector has shown strong potential for growth in recent years, driven by advancements in technology and increasing demand for healthcare services. The COVID-19 pandemic has also highlighted the importance of this sector, leading to increased investments and funding for research and development. The rise of AI and other technological advancements in this sector have also opened up new opportunities for growth and innovation. However, investors should remain cautious and consider potential risks, such as regulatory changes and competition, when making investment decisions in this sector.",85,2024-03-04</t>
  </si>
  <si>
    <t>Biotechnology,"The biotechnology sector has been experiencing significant growth and potential in recent years, driven by advancements in technology and increasing demand for healthcare solutions. The COVID-19 pandemic has also highlighted the importance of biotechnology in developing treatments and vaccines, further boosting investor interest in the sector. However, there are potential risks to consider, such as regulatory challenges and competition, which could impact the sector's growth in the future.",85,2024-03-04</t>
  </si>
  <si>
    <t>Health Care Equipment &amp; Supplies,"The health care equipment and supplies sector has been performing well in recent years, driven by the increasing demand for medical devices and equipment due to the aging population and advancements in technology. The COVID-19 pandemic has also highlighted the importance of this sector, leading to increased investments and government funding. However, there are potential risks to consider, such as supply chain disruptions and potential regulatory changes. Overall, the outlook for this sector remains positive, with potential for growth and innovation.",85,2024-03-04</t>
  </si>
  <si>
    <t>Diversified Telecommunication Services,"The recent news and economic data suggest a positive outlook for the Diversified Telecommunication Services sector. With the ongoing advancements in technology and the increasing demand for telecommunication services, this sector is expected to continue its growth trajectory. The rise of 5G technology and the increasing adoption of internet-connected devices are also expected to drive the demand for telecommunication services, providing opportunities for companies in this sector to expand their offerings and increase their market share. Additionally, the sector's stability and essential nature make it a favorable option for investors looking for long-term investments.",85,2024-03-04</t>
  </si>
  <si>
    <t>Communications Equipment,"The communications equipment sector has shown strong potential for growth in recent years, driven by advancements in technology and the increasing demand for connectivity. The rise of 5G technology and the Internet of Things (IoT) has created opportunities for companies in this sector to innovate and expand their offerings. Additionally, the ongoing global shift towards remote work and virtual communication has further boosted the demand for communications equipment. However, investors should also consider potential risks such as supply chain disruptions and increased competition in this rapidly evolving industry.",85,2024-03-04</t>
  </si>
  <si>
    <t>Software,"The software sector continues to show strong growth potential, driven by advancements in AI and the increasing reliance on technology in various industries. The recent record highs in the stock market, led by technology stocks, reflect the market's enthusiasm for the sector. However, there are potential risks to consider, such as stretched valuations and the need for diversification in portfolios. It is important for investors to monitor inflation and the Federal Reserve's actions, as they can impact the sector's performance.",85,2024-03-04</t>
  </si>
  <si>
    <t>Health Care REITs,"The health care REIT sector has been performing well in recent years, with a steady increase in demand for healthcare facilities and services. The aging population and advancements in medical technology have contributed to the sector's growth, making it a promising investment opportunity. However, the ongoing COVID-19 pandemic has also highlighted the importance of having strong healthcare infrastructure, which could lead to increased government spending and further boost the sector's growth.",85,2024-03-04</t>
  </si>
  <si>
    <t>Household Durables,"The recent economic outlook for the household durables sector is positive, with strong consumer spending and a healthy labor market. The rise in home ownership and renovations, along with the increasing demand for smart home technology, are driving growth in this sector. However, rising inflation and potential supply chain disruptions may pose challenges for companies in this sector.",80,2024-03-04</t>
  </si>
  <si>
    <t>Automobile Components,"The latest news and economic data suggest a positive outlook for the automobile components sector. The European Parliament's approval of a ban on petrol and diesel vehicles in the European Union from 2035 reflects a global shift towards electric vehicles, which could present growth opportunities for companies in this sector. Additionally, the recent record highs in the stock market, driven by the performance of technology stocks, indicate the market's enthusiasm for AI and its potential impact on the automotive industry. However, investors should also consider potential risks, such as inflation and stretched valuations, and diversify their portfolios to mitigate these factors.",80,2024-03-04</t>
  </si>
  <si>
    <t>Financial Services,"The financial services sector has been impacted by various factors, including the recent job reports, Federal Reserve actions, and inflation trends. The February job report showed strong job creation and wage growth, indicating a healthy labor market and potential for corporate earnings growth. However, the Federal Reserve's approach to inflation and interest rates will be important to monitor. Additionally, the recent record highs in the stock market, driven by the performance of technology stocks, may present opportunities for growth in the financial services sector.",80,2024-03-04</t>
  </si>
  <si>
    <t>Health Care Technology,"The health care technology sector has been performing well in recent years, driven by advancements in AI and the increasing demand for digital health solutions. The COVID-19 pandemic has also highlighted the importance of technology in the health care industry, leading to increased investments and growth opportunities. However, there are potential risks to consider, such as increased regulation and potential market saturation. It is important for investors to carefully evaluate the potential risks and opportunities in this sector before making investment decisions.",80,2024-03-04</t>
  </si>
  <si>
    <t>Electronic Equipment, Instruments &amp; Components,"The electronic equipment, instruments, and components sector has shown strong performance in recent years, driven by advancements in technology and the increasing demand for electronic devices. The rise of AI and the development of new technologies have also contributed to the growth of this sector. However, there are potential risks to consider, such as inflation and stretched valuations, which could impact the sector's performance. It is important for investors to remain cautious and diversify their portfolios to mitigate these risks.",80,2024-03-04</t>
  </si>
  <si>
    <t>Semiconductors &amp; Semiconductor Equipment,"The semiconductor industry has been a top performer in recent years, driven by the increasing demand for technology and the rise of artificial intelligence. However, there are some concerns about potential risks and stretched valuations in the sector. The recent record highs in the stock market, driven by the performance of technology stocks, indicate optimism about future growth potential. However, it is important for investors to remain cautious and consider potential risks and stretched valuations. Diversification and a balanced approach to investing are key to navigating the current market conditions.",80,2024-03-04</t>
  </si>
  <si>
    <t>Pharmaceuticals,"The pharmaceutical sector has been facing challenges in recent years, including patent expirations and increased competition from generic drugs. However, the sector has shown resilience and potential for growth, driven by advancements in technology and increasing demand for healthcare products. The COVID-19 pandemic has also highlighted the importance of the pharmaceutical industry, leading to increased investments in research and development. With the global population aging and the rise of chronic diseases, the pharmaceutical sector is expected to continue its growth trajectory.",80,2024-03-04</t>
  </si>
  <si>
    <t>Technology Hardware, Storage &amp; Peripherals,"The technology hardware, storage, and peripherals sector has been performing well in recent years, driven by the rise of artificial intelligence and advancements in technology. The recent record highs in the stock market, led by companies like Nvidia, reflect the market's enthusiasm for AI and its potential impact on various industries. However, there are potential risks to consider, such as stretched valuations and the need for diversification in portfolios. It is important for investors to remain cautious and consider a balanced approach to investing in this sector.",80,2024-03-04</t>
  </si>
  <si>
    <t>Textiles, Apparel &amp; Luxury Goods,"The recent economic outlook for the Textiles, Apparel &amp; Luxury Goods sector is positive. With the global economy recovering from the COVID-19 pandemic and the availability of vaccines, consumer spending is expected to increase, leading to potential growth opportunities for this sector. Additionally, the rise of e-commerce and the increasing demand for sustainable and ethically-made products are also factors that could drive growth in this sector. However, investors should also consider potential supply chain disruptions and rising raw material costs as potential risks for this sector.",80,2024-03-04</t>
  </si>
  <si>
    <t>Specialized REITs,"The recent news and economic data suggest a positive outlook for the specialized REITs sector. With the economy recovering from the COVID-19 pandemic and the availability of vaccines, the demand for specialized real estate is expected to increase. Additionally, the European Parliament's approval of a ban on petrol and diesel vehicles by 2035 may lead to a shift towards electric vehicles, creating opportunities for specialized REITs focused on charging stations and other related infrastructure. However, investors should remain cautious of potential geopolitical tensions and their impact on the sector, as well as the potential for increased regulation in the tech sector, which could affect the demand for specialized real estate.",80,2024-03-04</t>
  </si>
  <si>
    <t>Hotels, Restaurants &amp; Leisure,"The recent news and economic data suggest a positive outlook for the Hotels, Restaurants &amp; Leisure sector. With the removal of COVID-19 restrictions and the availability of vaccines, the sector is expected to see a rebound in consumer spending and travel. Additionally, the rise of AI and technological advancements in the industry may lead to increased efficiency and profitability for businesses. However, geopolitical tensions and potential disruptions to global trade and energy supplies should be monitored closely.",80,2024-03-04</t>
  </si>
  <si>
    <t>Distributors,"The latest economic data and news suggest a positive outlook for the distributors sector. With the removal of COVID-19 restrictions and the availability of vaccines, the economy is expected to continue its recovery, leading to increased consumer spending and potential growth for distributors. Additionally, the recent agreement on the High Seas Treaty and the ban on petrol and diesel vehicles in the European Union may also present opportunities for distributors in the transportation and energy sectors. However, investors should remain vigilant of potential geopolitical tensions and inflation trends that could impact the sector.",80,2024-03-04</t>
  </si>
  <si>
    <t>Diversified Consumer Services,"The recent economic outlook for the Diversified Consumer Services sector is positive, with the potential for growth and opportunities for investors. The sector has shown resilience in the face of global challenges, such as the COVID-19 pandemic and geopolitical tensions. The rise of AI and technological advancements have also presented new possibilities for the sector, with companies like Amazon and Netflix leading the way. However, it is important for investors to remain cautious and consider potential risks, such as inflation and stretched valuations, while diversifying their portfolios to take advantage of opportunities in other sectors.",80,2024-03-04</t>
  </si>
  <si>
    <t>Beverages,"The recent economic outlook for the beverages sector is positive, with the industry expected to see steady growth in the coming years. The rise in consumer demand for healthier and more sustainable options has led to an increase in sales for companies in this sector. Additionally, the implementation of new technologies and innovations in production processes has improved efficiency and reduced costs for beverage companies. However, potential challenges such as supply chain disruptions and rising commodity prices may impact the sector's profitability.",80,2024-03-04</t>
  </si>
  <si>
    <t>Professional Services,"The professional services sector has shown resilience in the face of economic challenges, with companies adapting to remote work and digital solutions. The recent rise in demand for consulting, accounting, and legal services has contributed to the sector's growth. However, the ongoing labor shortage and potential for increased regulation may pose challenges for the sector in the future. Overall, the outlook for the professional services sector remains positive, with potential for continued growth and innovation.",80,2024-03-04</t>
  </si>
  <si>
    <t>Building Products,"The building products sector has been performing well in recent years, driven by a strong housing market and increased demand for home renovations. However, there are some potential risks to consider, such as rising inflation and supply chain disruptions. The recent increase in interest rates may also impact the sector, as it could make borrowing more expensive for homebuyers and builders. Overall, the outlook for the building products sector remains positive, but investors should monitor economic indicators and potential risks closely.",80,2024-03-04</t>
  </si>
  <si>
    <t>Metals &amp; Mining,"The recent economic outlook for the metals and mining sector is positive, with a potential for growth in the coming months. The rise in demand for metals, particularly in the technology and renewable energy industries, is expected to drive the sector's performance. Additionally, the global push towards sustainability and green initiatives may also benefit the sector, as companies look for more environmentally friendly ways to extract and process metals. However, geopolitical tensions and potential supply chain disruptions may pose risks for the sector, and investors should monitor these factors closely.",80,2024-03-04</t>
  </si>
  <si>
    <t>Industrial REITs,"The industrial REIT sector has been performing well in recent years, driven by the growth of e-commerce and the increasing demand for warehouse and distribution centers. The COVID-19 pandemic has also accelerated this trend, as more consumers turn to online shopping. However, there are potential risks to consider, such as rising interest rates and potential oversupply in certain markets. The ongoing geopolitical tensions and potential disruptions to global trade could also impact the sector's performance. Overall, the industrial REIT sector has potential for growth, but investors should carefully consider the risks and diversify their portfolios.",80,2024-03-04</t>
  </si>
  <si>
    <t>Mortgage Real Estate Investment Trusts (REITs),"The recent economic outlook for Mortgage Real Estate Investment Trusts (REITs) is positive. With the Federal Reserve's interest rate hike and the potential for rising inflation, REITs may see an increase in demand as investors look for stable and higher-yielding investments. Additionally, the ongoing recovery in the housing market and low mortgage rates could also benefit REITs, as they invest in mortgage-backed securities. However, it is important to monitor potential risks, such as rising interest rates and potential changes in government policies, that could impact the sector's performance.",80,2024-03-04</t>
  </si>
  <si>
    <t>Diversified REITs,"The recent economic outlook for the Diversified REITs sector is positive. With the Federal Reserve's interest rate hike and the strong job report, there is potential for increased consumer spending and corporate earnings growth. Additionally, the sector may benefit from the current trend of investors diversifying their portfolios and looking beyond the tech sector for opportunities. However, it is important to monitor inflation and potential risks in the market.",80,2024-03-04</t>
  </si>
  <si>
    <t>,"Based on the recent economic data and news, the outlook for the sector is positive. The job reports and Federal Reserve actions indicate a healthy labor market and potential for corporate earnings growth. The performance of technology stocks and the market's enthusiasm for AI also suggest opportunities for growth. However, it is important for investors to remain cautious and consider potential risks and stretched valuations. Diversification and a balanced approach to investing are key to navigating the current market conditions.",80,2024-03-04</t>
  </si>
  <si>
    <t>Banks,"The recent economic outlook for the banking sector is positive, with the Federal Reserve raising interest rates and a strong job report indicating a healthy labor market. However, there are potential risks to consider, such as inflation and stretched valuations. It is important for investors to diversify their portfolios and consider opportunities in other sectors as well.",80,2024-03-04</t>
  </si>
  <si>
    <t>IT Services,"The IT services sector has been performing well in recent years, driven by the increasing demand for technology and the rise of AI. The recent record highs in the stock market, led by the performance of technology stocks, indicate the market's enthusiasm for this sector. However, there are potential risks to consider, such as stretched valuations and the need for diversification. It is important for investors to carefully assess the current economic outlook and market conditions before making any investment decisions in this sector.",80,2024-03-04</t>
  </si>
  <si>
    <t>Capital Markets,"The recent news and economic data suggest a positive outlook for the capital markets sector. The removal of COVID-19 restrictions and the availability of vaccines have led to a more stable global economy. However, geopolitical tensions in Europe and the Middle East, as well as potential regulatory changes in the tech sector, should be monitored closely. Overall, the sector shows potential for growth, but investors should remain cautious and diversify their portfolios.",80,2024-03-04</t>
  </si>
  <si>
    <t>Media,"The media sector has been facing challenges in recent years due to the rise of streaming services and changing consumer preferences. However, with the ongoing advancements in technology and the increasing demand for digital content, there are opportunities for growth in this sector. The recent news about the rise of AI models and their impact on various industries, including media, highlights the potential for innovation and growth in this sector. Additionally, the increasing focus on sustainability and environmental initiatives, as seen with the UN member states agreeing on a High Seas Treaty, may also present opportunities for media companies to showcase their efforts and attract socially conscious consumers.",75,2024-03-04</t>
  </si>
  <si>
    <t>Multi-Utilities,"The multi-utilities sector has been facing some challenges in recent years, including geopolitical tensions and environmental concerns. However, with the global economy recovering from the COVID-19 pandemic and the rise of renewable energy sources, there are opportunities for growth in this sector. The recent news of the European Parliament's approval of a ban on petrol and diesel vehicles in the European Union from 2035 could also drive demand for clean energy and utilities. Additionally, the UN member states' agreement on a legal framework for the High Seas Treaty could lead to increased investment in sustainable energy solutions. Overall, the multi-utilities sector has potential for growth and investors should consider diversifying their portfolios to include companies in this sector.",75,2024-03-04</t>
  </si>
  <si>
    <t>Energy Equipment &amp; Services,"The energy equipment and services sector has faced some challenges in recent years, including the COVID-19 pandemic and geopolitical tensions in the Middle East. However, with the global economy recovering and the demand for energy increasing, this sector has the potential for growth. The recent advancements in technology, such as AI, have also reshaped the industry and offer opportunities for investors. However, it is important to remain vigilant of potential disruptions and environmental concerns, as seen with the recent train derailment in Ohio.",75,2024-03-04</t>
  </si>
  <si>
    <t>Water Utilities,"The water utilities sector has been relatively stable in recent years, with steady demand for water services and consistent revenue streams. However, the ongoing global focus on sustainability and environmental concerns may present opportunities for growth in this sector. The recent UN agreement on the High Seas Treaty, aiming to protect 30% of the world's oceans by 2030, highlights the increasing importance of sustainable water management. Additionally, the potential for increased regulation in the sector may also impact the profitability of water utility companies.",75,2024-03-04</t>
  </si>
  <si>
    <t>Entertainment,"The entertainment sector has been significantly impacted by the COVID-19 pandemic, with many live events and productions being canceled or postponed. However, with the widespread availability of vaccines and the lifting of restrictions, the sector is expected to see a rebound in 2024. The rise of streaming services and the increasing demand for at-home entertainment options have also contributed to the sector's growth. However, there are still potential risks, such as the ongoing geopolitical tensions and potential disruptions to global supply chains, that investors should monitor.",75,2024-03-04</t>
  </si>
  <si>
    <t>Ground Transportation,"The ground transportation sector has faced challenges in recent years due to the COVID-19 pandemic and geopolitical tensions. However, with the global economy recovering and the easing of COVID-19 restrictions, the sector is expected to see growth opportunities. The recent advancements in technology, such as the rise of electric vehicles, also present potential for the sector. However, investors should remain cautious of potential disruptions, such as environmental disasters or geopolitical conflicts, that could impact the sector's performance.",75,2024-03-04</t>
  </si>
  <si>
    <t>Transportation Infrastructure,"The transportation infrastructure sector has been facing challenges due to the ongoing COVID-19 pandemic and geopolitical tensions. However, recent developments such as the European Parliament's approval of a ban on petrol and diesel vehicles and the UN member states' agreement on a High Seas Treaty indicate a shift towards sustainable transportation and potential growth opportunities in this sector. Additionally, the recent train derailment and hazardous materials release in Ohio highlights the need for improved safety measures and potential investments in this area.",75,2024-03-04</t>
  </si>
  <si>
    <t>Leisure Products,"The leisure products sector has been impacted by the ongoing COVID-19 pandemic, with restrictions on travel and gatherings affecting the demand for leisure products. However, with the removal of most COVID-19 restrictions and the availability of vaccines, the sector is expected to see a rebound in demand. Additionally, the rise of generative AI models and technological advancements in the sector offer potential growth opportunities. However, investors should also consider potential risks such as inflation and stretched valuations in the market.",75,2024-03-04</t>
  </si>
  <si>
    <t>Electrical Equipment,"The electrical equipment sector has been performing well in recent years, driven by advancements in technology and the increasing demand for energy-efficient products. However, the ongoing geopolitical tensions and potential disruptions to global trade and energy supplies could impact the sector's growth. Additionally, the rise of AI and potential for increased regulation in the tech sector may also have implications for companies in this sector. It is important for investors to carefully consider these factors and diversify their portfolios to mitigate potential risks.",75,2024-03-04</t>
  </si>
  <si>
    <t>Trading Companies &amp; Distributors,"The trading companies and distributors sector has been impacted by various factors, including the ongoing COVID-19 pandemic, geopolitical tensions, and technological advancements. While the removal of COVID-19 restrictions and the availability of vaccines have improved the overall economic outlook, geopolitical tensions and potential disruptions to trade and energy supplies remain a concern. Additionally, the rise of AI and potential for increased regulation in the tech sector may present both risks and opportunities for investors. It is important for investors to remain cautious and consider diversifying their portfolios to mitigate potential risks.",75,2024-03-04</t>
  </si>
  <si>
    <t>Commercial Services &amp; Supplies,"The commercial services and supplies sector has shown resilience in the face of recent economic challenges, with companies adapting to the changing landscape and finding new opportunities for growth. The rise of AI and technological advancements have also presented potential for innovation and efficiency in this sector. However, geopolitical tensions and potential disruptions to global trade could impact the sector's performance. It is important for investors to carefully consider the risks and opportunities within this sector before making investment decisions.",75,2024-03-04</t>
  </si>
  <si>
    <t>Air Freight &amp; Logistics,"The air freight and logistics sector has been facing challenges due to the ongoing COVID-19 pandemic and geopolitical tensions. However, with the removal of COVID-19 restrictions and the availability of vaccines, the sector is expected to see a rebound in demand. The recent increase in global trade and the rise of e-commerce have also contributed to the growth of this sector. However, investors should remain vigilant of potential disruptions to trade and supply chains due to geopolitical tensions and environmental disasters.",75,2024-03-04</t>
  </si>
  <si>
    <t>Passenger Airlines,"The passenger airline sector has faced significant challenges in the past year due to the COVID-19 pandemic. However, with the recent removal of COVID-19 restrictions and the availability of vaccines, the sector is expected to see a rebound in demand for air travel. Additionally, the European Parliament's approval of a ban on petrol and diesel vehicles by 2035 may also drive the demand for air travel as a more environmentally friendly mode of transportation. However, geopolitical tensions and potential disruptions to global trade and energy supplies should be monitored closely by investors in this sector.",75,2024-03-04</t>
  </si>
  <si>
    <t>Health Care Providers &amp; Services,"The health care providers and services sector has been significantly impacted by the ongoing COVID-19 pandemic. With the removal of most COVID-19 restrictions and the availability of vaccines, the sector is expected to see a rebound in demand for services. However, geopolitical tensions and potential disruptions to global trade and supply chains may pose risks for this sector. Additionally, the rise of AI and technological advancements in the industry may offer opportunities for growth, but increased regulation could also be a factor to consider. Overall, the sector has potential for growth, but investors should remain vigilant and consider diversification in their portfolios.",75,2024-03-04</t>
  </si>
  <si>
    <t>Wireless Telecommunication Services,"The wireless telecommunication services sector has been facing challenges due to the ongoing COVID-19 pandemic and geopolitical tensions. However, with the removal of COVID-19 restrictions and the availability of vaccines, the sector is expected to see a rebound in demand. The recent advancements in technology, particularly in the field of AI, have also presented opportunities for growth in this sector. However, investors should remain cautious and monitor potential disruptions in trade and global market sentiment due to ongoing geopolitical tensions.",75,2024-03-04</t>
  </si>
  <si>
    <t>Personal Care Products,"The personal care products sector has been performing well in recent years, with a steady increase in demand for personal care and hygiene products. The COVID-19 pandemic has also contributed to the growth of this sector, as consumers prioritize health and cleanliness. However, rising inflation and supply chain disruptions may pose challenges for companies in this sector. Additionally, the increasing trend towards sustainable and natural products may impact the profitability of traditional personal care companies.",75,2024-03-04</t>
  </si>
  <si>
    <t>Household Products,"The household products sector has been performing well in recent years, with companies like Procter &amp; Gamble and Colgate-Palmolive reporting strong earnings and growth. However, the sector may face challenges in the future due to rising inflation and potential supply chain disruptions. The recent increase in food inflation could also impact consumer spending on household products, leading to lower profit margins for companies in this sector. It is important for investors to closely monitor these factors and consider diversifying their portfolios to mitigate potential risks.",75,2024-03-04</t>
  </si>
  <si>
    <t>Insurance,"The insurance sector has been facing challenges due to the ongoing COVID-19 pandemic and its impact on the global economy. However, with the removal of COVID-19 restrictions and the availability of vaccines, the sector is expected to see a rebound in the coming months. Additionally, the recent rise in inflation and interest rates may also benefit the insurance industry, as it can lead to higher premiums and investment returns. However, geopolitical tensions and potential disruptions to trade and energy supplies should be monitored closely, as they can have an impact on the sector's performance.",75,2024-03-04</t>
  </si>
  <si>
    <t>Consumer Finance,"The consumer finance sector has been facing challenges due to the ongoing COVID-19 pandemic and its impact on consumer spending. However, with the recent removal of COVID-19 restrictions and the availability of vaccines, the sector is expected to see a rebound in consumer spending. Additionally, the rise of AI and technological advancements in the sector may present opportunities for growth. However, investors should remain cautious and consider potential risks, such as inflation and stretched valuations, when making investment decisions in this sector.",75,2024-03-04</t>
  </si>
  <si>
    <t>Residential REITs,"The residential REIT sector has been performing well in recent years, with the demand for rental properties increasing due to the rising cost of homeownership. The sector has also benefited from low interest rates, making it an attractive investment option for investors seeking stable returns. However, there are potential risks to consider, such as the potential for rising interest rates and a slowdown in the housing market. Additionally, the ongoing COVID-19 pandemic may have a long-term impact on the rental market, as remote work and changing housing preferences may affect demand for rental properties.",75,2024-03-04</t>
  </si>
  <si>
    <t>Hotel &amp; Resort REITs,"The hotel and resort REIT sector has faced significant challenges in the past year due to the COVID-19 pandemic. However, with the recent removal of COVID-19 restrictions and the availability of vaccines, the sector is expected to see a rebound in demand. Additionally, the rise of domestic travel and the potential for international travel to resume in the near future bodes well for the sector. However, investors should remain cautious as the ongoing geopolitical tensions and potential for inflation could impact the sector's performance.",75,2024-03-04</t>
  </si>
  <si>
    <t>Retail REITs,"The retail REIT sector has been facing challenges due to the ongoing COVID-19 pandemic and the shift towards e-commerce. However, with the removal of COVID-19 restrictions and the availability of vaccines, the sector is expected to see a rebound in the coming months. The recent job reports and Federal Reserve actions indicate a positive outlook for the economy, which could lead to increased consumer spending and potential growth for retail REITs. Additionally, the sector may also benefit from the rise of AI and technological advancements, as retailers incorporate these tools to improve their operations and customer experience.",75,2024-03-04</t>
  </si>
  <si>
    <t>Aerospace &amp; Defense,"The aerospace and defense sector has been impacted by various events in recent years, including geopolitical tensions, technological advancements, and environmental initiatives. The ongoing Russian invasion of Ukraine and the suspension of the New START treaty by Russia have added to global security concerns, potentially affecting the defense industry. However, the rise of AI and its potential applications in the sector offer opportunities for growth. Additionally, the recent agreement on the High Seas Treaty may have implications for companies involved in marine resources and sustainability. Overall, the sector's performance will continue to be influenced by global events and advancements in technology.",75,2024-03-04</t>
  </si>
  <si>
    <t>Paper &amp; Forest Products,"The paper and forest products sector has been facing challenges due to the ongoing COVID-19 pandemic and geopolitical tensions in Europe and the Middle East. However, recent technological advancements and the rise of AI models have presented opportunities for growth in this sector. The European Parliament's decision to ban petrol and diesel vehicles by 2035 may also have a positive impact on the demand for sustainable paper and packaging products. Additionally, the UN's High Seas Treaty may lead to increased focus on sustainable forestry practices, which could benefit companies in this sector.",70,2024-03-04</t>
  </si>
  <si>
    <t>Food Products,"The food products sector has been facing challenges due to rising inflation, particularly in food prices. This could potentially impact consumer spending and profitability for retailers. However, the recent job report and Federal Reserve actions suggest a healthy labor market and potential for corporate earnings growth, which could positively impact the sector. Additionally, the increasing focus on sustainability and environmental initiatives, such as the High Seas Treaty, may present opportunities for growth in this sector.",70,2024-03-04</t>
  </si>
  <si>
    <t>Specialty Retail,"The specialty retail sector has been facing challenges due to the ongoing COVID-19 pandemic and geopolitical tensions in Europe and the Middle East. However, with the removal of COVID-19 restrictions and the availability of vaccines, the sector may see a rebound in consumer spending. The recent interest rate hikes by the European Central Bank and Bank of England may also have a positive impact on the sector, as it could lead to increased consumer confidence and spending. However, investors should remain vigilant of potential disruptions to trade and supply chains due to ongoing geopolitical tensions.",70,2024-03-04</t>
  </si>
  <si>
    <t>Construction &amp; Engineering,"The construction and engineering sector has been facing challenges due to the ongoing COVID-19 pandemic and geopolitical tensions in Europe and the Middle East. However, with the removal of COVID-19 restrictions and the availability of vaccines, the sector is expected to see a rebound in demand for construction projects. The recent agreement on the Northern Ireland Protocol between the UK and EU may also provide some stability for businesses operating in this sector. However, investors should remain cautious and monitor potential disruptions to global trade and supply chains due to ongoing geopolitical tensions.",70,2024-03-04</t>
  </si>
  <si>
    <t>Electric Utilities,"The electric utilities sector has been facing challenges due to the ongoing geopolitical tensions and environmental initiatives. The recent agreement on the High Seas Treaty and the European Parliament's decision to ban petrol and diesel vehicles in the EU may have implications for the sector. However, the sector may also benefit from the rise of electric vehicles and the increasing demand for sustainable energy sources. Investors should closely monitor the sector's performance and consider diversifying their portfolios to mitigate potential risks.",70,2024-03-04</t>
  </si>
  <si>
    <t>Independent Power and Renewable Electricity Producers,"The independent power and renewable electricity producers sector has been facing challenges due to the ongoing geopolitical tensions and conflicts in the Middle East and Europe. The recent events, such as the Russian invasion of Ukraine and the conflict between Israel and Hamas, have the potential to disrupt energy supplies and impact the sector's performance. Additionally, the rise of generative AI models and potential for increased regulation in the tech sector may also have implications for renewable energy companies. However, the sector's long-term outlook remains positive, with the global shift towards renewable energy and the increasing demand for sustainable solutions.",70,2024-03-04</t>
  </si>
  <si>
    <t>Industrial Conglomerates,"The industrial conglomerates sector has been facing challenges due to the ongoing geopolitical tensions in Europe and the Middle East, as well as the recent environmental disaster in Ohio. However, the rise of generative AI models and the increasing focus on sustainability and renewable energy present potential opportunities for growth in this sector. It is important for investors to carefully consider the potential risks and opportunities in this sector before making any investment decisions.",70,2024-03-04</t>
  </si>
  <si>
    <t>Real Estate Management &amp; Development,"The real estate management and development sector has been facing challenges due to the ongoing COVID-19 pandemic and geopolitical tensions in Europe and the Middle East. However, with the removal of COVID-19 restrictions and the availability of vaccines, the sector may see a rebound in demand for commercial and residential properties. The recent interest rate hikes by the European Central Bank and Bank of England may also have a positive impact on the sector, as it could lead to increased investment in real estate. However, investors should remain cautious and monitor potential disruptions to trade and global market sentiment due to ongoing geopolitical risks.",70,2024-03-04</t>
  </si>
  <si>
    <t>Automobiles,"The automobile sector has been facing challenges due to the ongoing global chip shortage, which has led to production delays and increased costs for manufacturers. However, the recent news of the European Parliament's approval of a ban on the sale of new petrol and diesel vehicles in the European Union from 2035 could present opportunities for growth in the electric vehicle market. This decision reflects a global shift towards sustainable transportation and could potentially benefit companies that are investing in electric vehicle technology.",70,2024-03-04</t>
  </si>
  <si>
    <t>Containers &amp; Packaging,"The containers and packaging sector has been facing challenges due to rising inflation and supply chain disruptions. The recent surge in food inflation has impacted consumer spending and profit margins for retailers, which could have a ripple effect on the demand for packaging materials. Additionally, the ongoing geopolitical tensions and environmental initiatives may also have implications for this sector. However, the rise of e-commerce and the increasing demand for sustainable packaging solutions present opportunities for growth in this sector.",65,2024-03-04</t>
  </si>
  <si>
    <t>Chemicals,"The recent news and economic data suggest a mixed outlook for the chemicals sector. On one hand, the ongoing geopolitical tensions and environmental disasters may have a negative impact on the transportation and chemical industries. On the other hand, the global shift towards sustainability and the UN's High Seas Treaty may present opportunities for companies focused on sustainable practices. Additionally, the rise of AI and technological advancements may also have a positive impact on the sector, as companies look for ways to improve efficiency and reduce environmental impact.",65,2024-03-04</t>
  </si>
  <si>
    <t>Construction Materials,"The construction materials sector has been facing challenges due to rising inflation and supply chain disruptions. The recent surge in commodity prices, including lumber and steel, has led to increased costs for construction companies. Additionally, the ongoing labor shortage in the industry has also impacted production and delivery timelines. However, with the global economy recovering and increased government spending on infrastructure projects, there is potential for growth in this sector. Companies that can manage their costs and navigate supply chain challenges may present investment opportunities.",65,2024-03-04</t>
  </si>
  <si>
    <t>Tobacco,"The tobacco sector has faced challenges in recent years due to increasing regulations and declining smoking rates. However, the sector has shown resilience and adaptability, with companies diversifying into alternative products such as e-cigarettes and investing in research and development. The recent news of the European Parliament approving a ban on petrol and diesel vehicles in the EU from 2035 may also have implications for the tobacco sector, as it could lead to a decrease in demand for traditional cigarettes. Additionally, the ongoing geopolitical tensions and potential for increased regulation in the tech sector may also impact the tobacco industry, as many companies have invested in technology for product development and marketing.",65,2024-03-04</t>
  </si>
  <si>
    <t>Marine Transportation,"The marine transportation sector has been impacted by various events in recent years, including the global pandemic, geopolitical tensions, and environmental initiatives. The ongoing COVID-19 pandemic has significantly affected the sector, with disruptions to global trade and supply chains. Geopolitical tensions, such as the ongoing Russian invasion of Ukraine, have also added to uncertainties in the sector. Additionally, the push towards sustainability and environmental protection, as seen with the UN member states' agreement on the High Seas Treaty, may have implications for the marine transportation industry. However, with the global economy recovering and trade picking up, there may be opportunities for growth in this sector.",65,2024-03-04</t>
  </si>
  <si>
    <t>Machinery,"The machinery sector has been facing challenges due to the ongoing geopolitical tensions and global economic uncertainties. The recent events, such as the European Parliament's ban on petrol and diesel vehicles and the suspension of Russia's participation in the New START treaty, may have implications for the sector's performance. Additionally, the rise of AI and technological advancements may also impact the demand for traditional machinery. However, with the global economy showing signs of recovery and the potential for increased infrastructure spending, the sector may see growth opportunities in the future.",65,2024-03-04</t>
  </si>
  <si>
    <t>Broadline Retail,"The latest news and economic data suggest a mixed outlook for the broadline retail sector. On one hand, the February job report showed strong job creation and wage growth, indicating a healthy labor market and potential for increased consumer spending. However, rising food inflation and potential risks in the equity market should be considered by investors. It is important to diversify and carefully assess potential risks before making investment decisions in this sector.",65,2024-03-04</t>
  </si>
  <si>
    <t>Gas Utilities,"The gas utilities sector has been facing challenges due to the ongoing geopolitical tensions in Europe and the Middle East, as well as the recent environmental disaster in Ohio. These events have the potential to disrupt the transportation and chemical industries, which could impact the sector's performance. However, the recent agreement between the UK and EU surrounding modifications to the Northern Ireland Protocol may provide some stability for businesses operating in this sector. Additionally, the global shift towards electric vehicles and the UN's High Seas Treaty may present opportunities for companies in the gas utilities sector to adapt and innovate.",65,2024-03-04</t>
  </si>
  <si>
    <t>Consumer Staples Distribution &amp; Retail,"The consumer staples distribution and retail sector has been facing challenges due to rising inflation and supply chain disruptions. The recent job report showed a decline in retail jobs, indicating potential struggles for the sector. However, the Federal Reserve's approach to inflation and potential interest rate hikes could impact consumer spending and the profitability of retailers. It is important for investors to closely monitor these factors and consider diversifying their portfolios to mitigate potential risks.",60,2024-03-04</t>
  </si>
  <si>
    <t>Office REITs,"The economic outlook for the office REIT sector is mixed. On one hand, the recent rise in remote work and the shift towards hybrid work models may lead to a decrease in demand for office space. This could potentially impact the profitability of office REITs. On the other hand, the gradual return to in-person work and the potential for increased business activity may lead to a rebound in demand for office space. Additionally, the Federal Reserve's interest rate outlook and inflation trends may also have an impact on the sector's performance.",60,2024-03-04</t>
  </si>
  <si>
    <t>Oil, Gas &amp; Consumable Fuels,"The oil, gas, and consumable fuels sector has been facing a challenging economic outlook due to various factors such as geopolitical tensions, environmental concerns, and the rise of renewable energy sources. The recent events, including the European Parliament's approval of a ban on petrol and diesel vehicles and the UN member states' agreement on a High Seas Treaty, highlight the increasing focus on sustainability and the potential impact on the sector. Additionally, the ongoing conflict in the Middle East and the devaluation of the Lebanese pound may have implications for global oil prices and the transportation and chemical sectors. However, with the global economy recovering from the COVID-19 pandemic and the demand for energy expected to increase, there may still be opportunities for growth in this sector.",60,2024-03-04</t>
  </si>
  <si>
    <t>EMR,90,"Emerson Electric, a leading company in the Electrical Components &amp; Equipment industry, has been making headlines with its recent financial data and news. With a market cap of $53.71B and an enterprise value of $54.22B, the company has a strong financial standing. Its trailing P/E ratio of 25.26 and forward P/E ratio of 17.79 indicate that the company is currently undervalued, making it an attractive investment opportunity.</t>
  </si>
  <si>
    <t>Emerson Electric's price/sales ratio of 3.58 and price/book ratio of 2.60 are also lower than the industry average, further supporting its undervalued status. Additionally, its enterprise value/revenue ratio of 3.58 and enterprise value/EBITDA ratio of 13.43 are also lower than the industry average, indicating that the company is financially efficient.</t>
  </si>
  <si>
    <t>Furthermore, Emerson Electric's focus on industrial automation positions it well for the future. With the increasing demand for automation in various industries, the company is well-positioned to capitalize on this trend and continue its growth trajectory.</t>
  </si>
  <si>
    <t>Based on the recent financial data and news, Emerson Electric appears to be a strong investment opportunity in the Electrical Components &amp; Equipment industry. Its undervalued status, strong financial standing, and focus on industrial automation make it a buy for investors looking for long-term growth potential."</t>
  </si>
  <si>
    <t>PGR,90,"Enterprise Value/EBITDA    10.86</t>
  </si>
  <si>
    <t>Progressive Corporation, a leading property and casualty insurance company, has shown strong financial performance in recent months. With a market cap of 105.76B and an enterprise value of 113.02B, the company has a solid financial foundation. Its trailing P/E ratio of 27.46 and forward P/E ratio of 22.57 indicate that the company is currently undervalued, making it an attractive investment opportunity.</t>
  </si>
  <si>
    <t>Furthermore, Progressive Corporation has a low PEG ratio of 0.29, indicating that its stock price is not overvalued in relation to its expected earnings growth. This is a positive sign for investors, as it suggests that the company has room for future growth.</t>
  </si>
  <si>
    <t>In terms of valuation, the company's price/sales ratio of 1.71 and price/book ratio of 5.22 are both below the industry average, indicating that the stock is currently undervalued. Additionally, its enterprise value/revenue ratio of 1.82 and enterprise value/EBITDA ratio of 10.86 are also below the industry average, further supporting the undervaluation of the stock.</t>
  </si>
  <si>
    <t>Overall, Progressive Corporation has strong financials and is currently undervalued, making it a potentially lucrative investment opportunity in the property and casualty insurance industry. However, as with any investment, it is important for investors to conduct their own research and carefully consider their risk tolerance before making any investment decisions."</t>
  </si>
  <si>
    <t>PHM,90,"PulteGroup, a leading homebuilding company, has shown strong financial performance in recent months. With a market cap of 22.85B and an enterprise value of 23.40B, the company has a solid financial foundation. Its trailing P/E ratio of 8.66 and forward P/E ratio of 8.84 indicate that the stock is undervalued, making it an attractive investment opportunity.</t>
  </si>
  <si>
    <t>Furthermore, PulteGroup's PEG ratio of 0.29 suggests that the stock is currently undervalued compared to its expected growth rate. This is further supported by its low price/sales ratio of 1.39 and price/book ratio of 2.28, indicating that the stock is trading at a discount.</t>
  </si>
  <si>
    <t>In terms of its financial health, PulteGroup has a strong balance sheet with a low debt-to-equity ratio of 0.36. Its enterprise value/revenue ratio of 1.37 and enterprise value/EBITDA ratio of 6.25 also suggest that the company is generating strong revenue and earnings.</t>
  </si>
  <si>
    <t>Overall, PulteGroup's recent financial data and performance indicate a strong and undervalued stock in the homebuilding industry. With a solid financial foundation and potential for growth, the company presents a promising investment opportunity."</t>
  </si>
  <si>
    <t>NEM,90,"Newmont, a leading gold mining company, has shown strong financial performance in recent months. With a market cap of $39.66B and an enterprise value of $42.53B, the company has a solid financial foundation. Its trailing P/E ratio of 44.33 and forward P/E ratio of 11.85 indicate that the company is currently undervalued, making it an attractive investment opportunity.</t>
  </si>
  <si>
    <t>Furthermore, Newmont's PEG ratio of 0.79 suggests that the stock is undervalued relative to its expected growth, making it a potentially profitable investment. The company's price/sales ratio of 2.48 and price/book ratio of 2.08 also indicate that the stock is currently trading at a discount.</t>
  </si>
  <si>
    <t>In terms of profitability, Newmont has an enterprise value/revenue ratio of 3.85 and an enterprise value/EBITDA ratio of 22.37, both of which are lower than the industry average. This suggests that the company is generating strong revenue and earnings, making it a financially stable and attractive investment option.</t>
  </si>
  <si>
    <t>Overall, Newmont's recent financial data and performance indicate that it is a strong and undervalued company in the gold industry. With a solid financial foundation and potential for growth, it is a promising investment opportunity for the next month."</t>
  </si>
  <si>
    <t>CMI,90,"Cummins, a leading company in the Construction Machinery &amp; Heavy Transportation Equipment industry, has shown strong financial performance in recent months. With a market cap of 34.68B and an enterprise value of 39.81B, the company has a solid financial foundation. Its trailing P/E ratio of 12.46 and forward P/E ratio of 12.67 indicate that the stock is currently undervalued, making it an attractive investment opportunity.</t>
  </si>
  <si>
    <t>Furthermore, Cummins has a low PEG ratio of 1.85, which suggests that the stock is undervalued relative to its expected earnings growth. This is a positive sign for investors, as it indicates potential for future growth.</t>
  </si>
  <si>
    <t>In terms of valuation, Cummins has a price/sales ratio of 1.05 and a price/book ratio of 3.25, both of which are below the industry average. This further supports the undervaluation of the stock and makes it an attractive investment option.</t>
  </si>
  <si>
    <t>Moreover, the company's enterprise value/revenue ratio of 1.20 and enterprise value/EBITDA ratio of 7.96 are also below the industry average, indicating that the stock is currently trading at a discount.</t>
  </si>
  <si>
    <t>Overall, Cummins has strong financials and is currently undervalued, making it a favorable investment option in the Construction Machinery &amp; Heavy Transportation Equipment industry."</t>
  </si>
  <si>
    <t>PH,90,"Parker Hannifin, a leading company in the Industrial Machinery &amp; Supplies &amp; Components industry, has shown strong financial performance in recent months. With a market cap of 65.57B and an enterprise value of 76.96B, the company has a solid financial foundation. Its trailing P/E ratio of 25.22 and forward P/E ratio of 21.83 indicate that the company is currently undervalued, making it an attractive investment opportunity.</t>
  </si>
  <si>
    <t>Furthermore, Parker Hannifin's PEG ratio of 2.34 suggests that the company has a strong potential for future growth. Its price/sales ratio of 3.35 and price/book ratio of 5.80 also indicate that the company's stock is currently undervalued. Additionally, its enterprise value/revenue ratio of 3.88 and enterprise value/EBITDA ratio of 15.96 are both below the industry average, further highlighting the company's strong financial position.</t>
  </si>
  <si>
    <t>Overall, Parker Hannifin's recent financial data and performance suggest that it is a strong investment opportunity in the Industrial Machinery &amp; Supplies &amp; Components industry. Its solid financial foundation, undervalued stock, and potential for future growth make it a favorable option for investors."</t>
  </si>
  <si>
    <t>BEN,90,"Franklin Templeton is a leading global asset management firm with a strong track record of delivering value to its clients. The recent financial data for the firm shows a market cap of $14.17B and an enterprise value of $22.04B. The trailing P/E ratio of 14.16 and forward P/E ratio of 11.06 indicate that the stock is currently undervalued, making it an attractive investment opportunity.</t>
  </si>
  <si>
    <t>The price/sales ratio of 1.68 and price/book ratio of 1.18 suggest that the stock is trading at a reasonable price compared to its peers in the Asset Management &amp; Custody Banks industry. Additionally, the enterprise value/revenue ratio of 2.80 and enterprise value/EBITDA ratio of 10.61 indicate that the company is generating strong revenue and earnings, making it a financially stable and profitable investment.</t>
  </si>
  <si>
    <t>Furthermore, Franklin Templeton has a diversified portfolio and a global presence, which helps mitigate risks and provides opportunities for growth. The company has a strong reputation and a loyal client base, which further adds to its investment value.</t>
  </si>
  <si>
    <t>Based on the recent financial data and the overall positive outlook for the company, it is expected that Franklin Templeton will continue to perform well in the coming months. Therefore, the potential investment value for the company in the Asset Management &amp; Custody Banks industry for the next month is high."</t>
  </si>
  <si>
    <t>CB,90,"Enterprise Value/EBITDA    9.86</t>
  </si>
  <si>
    <t>Chubb Limited, a leading property and casualty insurance company, has shown strong financial performance in recent months. With a market cap of 100.65B and an enterprise value of 116.58B, the company has a solid financial foundation. Its trailing P/E ratio of 11.32 and forward P/E ratio of 11.67 indicate that the stock is currently undervalued, making it an attractive investment opportunity.</t>
  </si>
  <si>
    <t>Furthermore, Chubb Limited has a low PEG ratio of 0.73, suggesting that the stock is undervalued relative to its expected earnings growth. This is a positive sign for investors, as it indicates potential for future growth.</t>
  </si>
  <si>
    <t>In terms of valuation, Chubb Limited has a price/sales ratio of 2.06 and a price/book ratio of 1.69, both of which are below the industry average. This further supports the argument that the stock is currently undervalued.</t>
  </si>
  <si>
    <t>Moreover, the company's enterprise value/revenue ratio of 2.35 and enterprise value/EBITDA ratio of 9.86 are also below the industry average, indicating that the stock is attractively priced.</t>
  </si>
  <si>
    <t>Overall, Chubb Limited appears to be a strong investment opportunity in the property and casualty insurance industry. Its solid financial performance, low valuation ratios, and potential for future growth make it a favorable choice for investors."</t>
  </si>
  <si>
    <t>SO,90,"Southern Company, a leading electric utility company, has shown strong financial performance in recent months. With a market cap of $74.87B and an enterprise value of $135.50B, the company has a solid financial foundation. Its trailing P/E ratio of 25.05 and forward P/E ratio of 17.12 indicate that the company is currently undervalued, making it an attractive investment opportunity.</t>
  </si>
  <si>
    <t>Furthermore, Southern Company's PEG ratio of 2.65 suggests that the stock is trading at a discount compared to its expected growth rate. This, combined with its low price-to-sales ratio of 2.87 and price-to-book ratio of 2.39, further supports the notion that the stock is undervalued.</t>
  </si>
  <si>
    <t>In terms of its financial health, Southern Company has a strong enterprise value/revenue ratio of 5.16 and an enterprise value/EBITDA ratio of 13.08. This indicates that the company is generating healthy revenue and has a strong ability to generate earnings.</t>
  </si>
  <si>
    <t>Overall, Southern Company's recent financial data and performance suggest that it is a strong investment opportunity in the electric utilities industry. Its undervalued stock and strong financial health make it a favorable option for investors."</t>
  </si>
  <si>
    <t>COR,90,"Cencora, a leading company in the Health Care Distributors industry, has shown strong financial performance in recent months. With a market cap of 46.88B and an enterprise value of 48.78B, the company has a solid financial foundation. Its trailing P/E ratio of 25.60 and forward P/E ratio of 17.95 indicate that the company is currently undervalued, making it an attractive investment opportunity.</t>
  </si>
  <si>
    <t>Furthermore, Cencora's PEG ratio of 2.68 suggests that the company has a strong potential for future growth. Its low price/sales ratio of 0.18 and price/book ratio of 51.42 also indicate that the stock is currently undervalued. Additionally, the company's enterprise value/revenue ratio of 0.18 and enterprise value/EBITDA ratio of 13.16 further support its strong financial position.</t>
  </si>
  <si>
    <t>Overall, Cencora's recent financial data and performance suggest that it is a strong investment opportunity in the Health Care Distributors industry. Its solid financial foundation, potential for future growth, and undervalued stock make it a favorable option for investors."</t>
  </si>
  <si>
    <t>WRB,90,"Berkley is a leading company in the Property &amp; Casualty Insurance industry with a recent market cap of 20.75B and an enterprise value of 21.95B. The firm has a trailing P/E ratio of 16.01 and a forward P/E ratio of 13.95, indicating that the stock is currently undervalued. The PEG ratio of 2.45 suggests that the stock has a potential for growth in the next five years. Additionally, the price/sales ratio of 1.82 and price/book ratio of 2.78 are both below the industry average, making the stock attractive for investors.</t>
  </si>
  <si>
    <t>Furthermore, the recent financial data shows that the company has a strong balance sheet, with a low debt-to-equity ratio and a healthy cash flow. This indicates that the company is well-positioned to weather any potential economic challenges.</t>
  </si>
  <si>
    <t>In terms of market performance, the stock has been steadily increasing in value over the past year, with a 52-week high of $85.50 and a 52-week low of $62.00. This stability and growth potential make Berkley a favorable investment option in the Property &amp; Casualty Insurance industry.</t>
  </si>
  <si>
    <t>Based on the latest financial data and market performance, the potential investment value of Berkley in the next month is high. The company's strong financials, undervalued stock, and stable market performance make it a promising investment opportunity."</t>
  </si>
  <si>
    <t>FI,90,"Fiserv, a leading company in the Transaction &amp; Payment Processing Services industry, has shown strong financial performance in recent months. With a market cap of $86.97B and an enterprise value of $109.67B, the company has a solid financial foundation. Its trailing P/E ratio of 30.38 and forward P/E ratio of 16.92 indicate that the company is currently undervalued, making it an attractive investment opportunity.</t>
  </si>
  <si>
    <t>Furthermore, Fiserv's PEG ratio of 0.90 suggests that the company is undervalued relative to its expected growth rate. This, combined with its price/sales ratio of 4.81 and price/book ratio of 2.94, further supports the notion that Fiserv is currently undervalued in the market.</t>
  </si>
  <si>
    <t>In terms of its financial health, Fiserv has a strong enterprise value/revenue ratio of 5.83 and an enterprise value/EBITDA ratio of 14.05. This indicates that the company is generating strong revenue and has a healthy level of debt.</t>
  </si>
  <si>
    <t>Overall, Fiserv's recent financial data and market performance suggest that it is a strong investment opportunity in the Transaction &amp; Payment Processing Services industry. Its undervalued stock and strong financial health make it a promising option for investors."</t>
  </si>
  <si>
    <t>JPM,90,"Enterprise Value  1.85T</t>
  </si>
  <si>
    <t>JPMorgan Chase, one of the largest and most well-established banks in the world, has been performing strongly in the recent financial landscape. With a market cap of 502.65B and a trailing P/E ratio of 10.77, the company's financials reflect its stability and resilience in the face of economic challenges.</t>
  </si>
  <si>
    <t>Furthermore, JPMorgan Chase's forward P/E ratio of 10.82 and PEG ratio of 3.01 indicate that the company is expected to continue its growth trajectory in the coming years. Its price/sales ratio of 3.25 and price/book ratio of 1.67 also suggest that the company's stock is currently undervalued, making it an attractive investment opportunity.</t>
  </si>
  <si>
    <t>Moreover, JPMorgan Chase's enterprise value of 1.85T reflects its strong financial position and ability to weather potential market volatility. The company's diversified business model, with a focus on both consumer and investment banking, provides stability and potential for growth in various economic conditions.</t>
  </si>
  <si>
    <t>Overall, JPMorgan Chase's recent financial data and performance indicate a strong and stable company with potential for growth. Therefore, it is a favorable investment opportunity for investors looking for a reliable and well-established company in the diversified banks industry."</t>
  </si>
  <si>
    <t>GD,90,"General Dynamics (GD) is a leading aerospace and defense company with a strong presence in the market. The recent financial data for the company shows a market cap of $72.39B and an enterprise value of $79.74B. The trailing P/E ratio is 22.07, while the forward P/E ratio is 18.32, indicating a positive outlook for the company's future earnings. The PEG ratio of 1.62 suggests that the stock is currently undervalued, making it an attractive investment opportunity.</t>
  </si>
  <si>
    <t>Furthermore, the price/sales ratio of 1.73 and price/book ratio of 3.40 are both below the industry average, indicating that the stock is currently trading at a discount. The enterprise value/revenue ratio of 1.89 and enterprise value/EBITDA ratio of 15.61 also suggest that the stock is undervalued compared to its peers.</t>
  </si>
  <si>
    <t>General Dynamics has a strong financial position, with a healthy balance sheet and a steady stream of government contracts. The company's diverse portfolio, including its aerospace, marine, and information technology divisions, provides stability and resilience in the face of market fluctuations.</t>
  </si>
  <si>
    <t>Overall, the recent financial data and market trends suggest that General Dynamics is a strong investment opportunity in the aerospace and defense industry. The company's solid financials, undervalued stock, and diverse portfolio make it a favorable choice for investors."</t>
  </si>
  <si>
    <t>MPC,85,"Marathon Petroleum (MPC) is a leading company in the Oil &amp; Gas Refining &amp; Marketing industry with a recent market cap of $61.21B and an enterprise value of $76.74B. The company has a trailing P/E ratio of 7.04 and a forward P/E ratio of 11.34, indicating that the stock is currently undervalued. However, the PEG ratio of 15.65 suggests that the stock may be overvalued in the long term.</t>
  </si>
  <si>
    <t>MPC's latest financial data shows a price/sales ratio of 0.46 and an enterprise value/revenue ratio of 0.52, both of which are below the industry average. This indicates that the stock may be undervalued compared to its peers. Additionally, the enterprise value/EBITDA ratio of 6.10 is also lower than the industry average, suggesting that the company is generating strong earnings.</t>
  </si>
  <si>
    <t>The recent geopolitical tensions in the Middle East and the potential impact on global oil prices could have an effect on MPC's stock performance. However, the company's strong financials and low valuation make it an attractive investment opportunity."</t>
  </si>
  <si>
    <t>MKTX,85,"MarketAxess is a leading financial technology company that operates an electronic trading platform for fixed-income securities. The company has shown strong financial performance in recent years, with a market cap of $8.52B and an enterprise value of $8.15B. Its trailing P/E ratio of 32.81 and forward P/E ratio of 29.24 indicate that the stock is trading at a premium, but this is not uncommon for a company in the financial exchanges and data industry.</t>
  </si>
  <si>
    <t>One potential concern for investors is the PEG ratio of 3.01, which suggests that the stock may be overvalued compared to its expected earnings growth. However, this could also be attributed to the company's strong financial performance and potential for future growth.</t>
  </si>
  <si>
    <t>MarketAxess has a price/sales ratio of 11.25 and a price/book ratio of 6.59, both of which are higher than the industry average. This could be a reflection of the company's strong market position and potential for future growth.</t>
  </si>
  <si>
    <t>The company's enterprise value/revenue ratio of 10.82 and enterprise value/EBITDA ratio of 20.10 are also higher than the industry average, indicating that the stock may be trading at a premium. However, this could also be a reflection of the company's strong financial performance and potential for future growth.</t>
  </si>
  <si>
    <t>Overall, MarketAxess appears to be a strong and stable company with a solid financial position. While its valuation may be on the higher side, this could be justified by its strong market position and potential for future growth. Therefore, it may be a good investment opportunity for investors looking for exposure to the financial exchanges and data industry."</t>
  </si>
  <si>
    <t>LH,85,"LabCorp, a leading provider of healthcare services, has shown strong financial performance in recent months. With a market cap of $18.81B and an enterprise value of $24.41B, the company has a solid financial foundation. Its trailing P/E ratio of 22.82 and forward P/E ratio of 15.34 indicate that the company is currently undervalued, making it an attractive investment opportunity.</t>
  </si>
  <si>
    <t>Furthermore, LabCorp's PEG ratio of 3.12 suggests that the company has strong growth potential in the next five years. Its price/sales ratio of 1.30 and price/book ratio of 2.39 also indicate that the company's stock is currently undervalued.</t>
  </si>
  <si>
    <t>In terms of its financial health, LabCorp has a strong enterprise value/revenue ratio of 1.62 and an enterprise value/EBITDA ratio of 12.65. This indicates that the company is generating strong revenue and has a healthy level of debt.</t>
  </si>
  <si>
    <t>Overall, LabCorp's recent financial data and performance suggest that it is a strong investment opportunity in the healthcare services industry. Its undervalued stock and strong financial health make it a favorable option for investors."</t>
  </si>
  <si>
    <t>LHX,85,"L3Harris, a leading company in the Aerospace &amp; Defense industry, has shown strong financial performance in recent months. With a market cap of 39.23B and an enterprise value of 51.80B, the company has a solid financial foundation. Its trailing P/E ratio of 32.14 and forward P/E ratio of 16.37 indicate that the company is currently undervalued, making it an attractive investment opportunity.</t>
  </si>
  <si>
    <t>Furthermore, L3Harris has a PEG ratio of 3.57, which suggests that the stock is currently trading at a discount compared to its expected growth rate. This makes it a potentially lucrative investment for investors looking for long-term growth.</t>
  </si>
  <si>
    <t>In terms of valuation, L3Harris has a price/sales ratio of 2.03 and a price/book ratio of 2.08, both of which are below the industry average. This indicates that the stock is currently undervalued and presents a good buying opportunity for investors.</t>
  </si>
  <si>
    <t>Moreover, L3Harris has a strong balance sheet, with an enterprise value/revenue ratio of 2.67 and an enterprise value/EBITDA ratio of 17.68. These ratios suggest that the company is generating strong revenue and has a healthy level of debt.</t>
  </si>
  <si>
    <t>Overall, L3Harris appears to be a solid investment opportunity in the Aerospace &amp; Defense industry. Its strong financial performance, undervalued stock, and solid balance sheet make it a promising choice for investors. However, it is important to note that the stock market is subject to volatility and investors should always conduct their own research and consult with a financial advisor before making any investment decisions."</t>
  </si>
  <si>
    <t>KR,85,"Kroger, one of the largest food retail companies in the United States, has been performing well in the recent months. The company's latest financial data shows a market cap of $33.19B and an enterprise value of $50.11B. Its trailing P/E ratio of 17.95 and forward P/E ratio of 10.73 indicate that the company's stock is currently undervalued. Additionally, the PEG ratio of 1.75 suggests that the stock has potential for growth in the next five years.</t>
  </si>
  <si>
    <t>Kroger's price/sales ratio of 0.23 and price/book ratio of 2.96 are both below the industry average, indicating that the stock is currently trading at a discount. Furthermore, the company's enterprise value/revenue ratio of 0.34 and enterprise value/EBITDA ratio of 7.48 are also lower than the industry average, suggesting that the stock is undervalued compared to its peers.</t>
  </si>
  <si>
    <t>Overall, Kroger's financial data paints a positive picture for the company's future performance. With a strong market position and potential for growth, Kroger is a promising investment opportunity in the food retail industry."</t>
  </si>
  <si>
    <t>KLAC,85,"KLA Corporation, a leading company in the Semiconductor Materials &amp; Equipment industry, has shown strong financial performance in recent months. With a market cap of 81.72B and an enterprise value of 84.47B, the company has a solid financial foundation. Its trailing P/E ratio of 30.60 and forward P/E ratio of 25.71 indicate that the company is currently undervalued, making it an attractive investment opportunity.</t>
  </si>
  <si>
    <t>Furthermore, KLA Corporation's PEG ratio of 2.62 suggests that the company has a strong potential for future growth. Its price/sales ratio of 8.59 and price/book ratio of 26.85 also indicate that the company is currently undervalued compared to its peers in the industry.</t>
  </si>
  <si>
    <t>In terms of profitability, KLA Corporation has an enterprise value/revenue ratio of 8.73 and an enterprise value/EBITDA ratio of 22.07, both of which are lower than the industry average. This suggests that the company is efficiently managing its operations and generating strong returns for its investors.</t>
  </si>
  <si>
    <t>Overall, KLA Corporation's recent financial data and performance indicate a strong and stable company with potential for future growth. However, as with any investment, it is important for investors to conduct their own research and carefully consider all factors before making any investment decisions."</t>
  </si>
  <si>
    <t>KMI,85,"Kinder Morgan, a leading company in the Oil &amp; Gas Storage &amp; Transportation industry, has shown strong financial performance in recent months. With a market cap of $37.70B and an enterprise value of $68.62B, the company has a solid financial foundation. Its trailing P/E ratio of 15.56 and forward P/E ratio of 12.63 indicate that the company's stock is reasonably priced, making it an attractive investment opportunity.</t>
  </si>
  <si>
    <t>Furthermore, Kinder Morgan's PEG ratio of 1.60 suggests that the stock is undervalued, as it is trading at a lower price compared to its expected earnings growth. This makes it a potentially lucrative investment for investors looking for long-term growth.</t>
  </si>
  <si>
    <t>In terms of valuation, the company's price/sales ratio of 2.39 and price/book ratio of 1.25 are in line with industry averages, indicating that the stock is fairly valued. Additionally, its enterprise value/revenue ratio of 4.32 and enterprise value/EBITDA ratio of 10.58 suggest that the company is generating strong revenue and earnings, making it a financially stable and attractive investment option.</t>
  </si>
  <si>
    <t>Overall, Kinder Morgan's recent financial data and performance indicate a strong and stable company with potential for growth. However, it is important for investors to closely monitor any potential changes in the oil and gas industry and the global economy, as these factors could impact the company's stock performance."</t>
  </si>
  <si>
    <t>L,85,"Enterprise Value/EBITDA    8.86</t>
  </si>
  <si>
    <t>Loews Corporation is a multi-line insurance company with a recent market cap of $16.31B and an enterprise value of $24.73B. The company has a trailing P/E ratio of 11.12, which is lower than the industry average, indicating that the stock may be undervalued. Additionally, Loews has a price/sales ratio of 1.11 and a price/book ratio of 1.13, both of which are below the industry average, further supporting the potential undervaluation of the stock.</t>
  </si>
  <si>
    <t>Furthermore, Loews has a strong financial position, with an enterprise value/revenue ratio of 1.62 and an enterprise value/EBITDA ratio of 8.86. These ratios suggest that the company is generating strong revenue and earnings, making it a potentially attractive investment opportunity.</t>
  </si>
  <si>
    <t>In terms of recent news, Loews announced a quarterly dividend of $0.0625 per share, which represents a 14% increase from the previous quarter. This dividend increase reflects the company's confidence in its financial performance and its commitment to returning value to shareholders.</t>
  </si>
  <si>
    <t>Overall, Loews Corporation appears to be in a strong financial position and has the potential for growth in the multi-line insurance industry. However, as with any investment, there are risks to consider, such as potential changes in the regulatory landscape and market volatility. It is important for investors to conduct their own research and consult with a financial advisor before making any investment decisions."</t>
  </si>
  <si>
    <t>LMT,85,"Lockheed Martin, a leading U.S. weapons maker, has recently signed agreements with Saudi Arabian companies to manufacture parts for its Terminal High Altitude Area Defense (THAAD) system. This move is expected to strengthen the company's presence in the Middle East and potentially increase its revenue in the future.</t>
  </si>
  <si>
    <t>In terms of financial data, Lockheed Martin has a strong market cap of $102.93B and an enterprise value of $118.95B. Its trailing P/E ratio of 15.46 and forward P/E ratio of 16.42 indicate that the company's stock is currently trading at a reasonable valuation. However, its PEG ratio of 4.21 suggests that the stock may be slightly overvalued compared to its expected earnings growth.</t>
  </si>
  <si>
    <t>Lockheed Martin's price/sales ratio of 1.58 and price/book ratio of 15.06 are also in line with industry averages, indicating that the stock is not significantly undervalued or overvalued. Its enterprise value/revenue ratio of 1.76 and enterprise value/EBITDA ratio of 11.39 suggest that the company is generating strong revenue and earnings, making it a financially stable investment option.</t>
  </si>
  <si>
    <t>Overall, with its recent agreements in Saudi Arabia and strong financial data, Lockheed Martin appears to be a solid investment option in the Aerospace &amp; Defense industry. However, investors should continue to monitor any potential risks or changes in the industry."</t>
  </si>
  <si>
    <t>LKQ,85,"LKQ Corporation, a leading distributor of aftermarket automotive parts and services, has shown strong financial performance in recent months. The company's market cap stands at 12.66B, with an enterprise value of 17.95B. Its trailing P/E ratio of 13.25 and forward P/E ratio of 11.32 indicate that the stock is currently undervalued, making it an attractive investment opportunity.</t>
  </si>
  <si>
    <t>Furthermore, LKQ Corporation's PEG ratio of 8.33 suggests that the stock has strong growth potential in the next five years. Its price/sales ratio of 0.95 and price/book ratio of 2.12 also indicate that the stock is trading at a discount compared to its industry peers.</t>
  </si>
  <si>
    <t>In terms of financial health, LKQ Corporation has a strong balance sheet with a low debt-to-equity ratio of 0.44. Its enterprise value/revenue ratio of 1.34 and enterprise value/EBITDA ratio of 10.27 are also favorable compared to the industry average.</t>
  </si>
  <si>
    <t>Overall, LKQ Corporation's recent financial data and performance indicate a strong and stable company with potential for growth. However, investors should closely monitor any potential risks, such as changes in consumer behavior or supply chain disruptions, that could impact the company's operations."</t>
  </si>
  <si>
    <t>MAR,85,"Marriott International, a leading company in the Hotels, Resorts &amp; Cruise Lines industry, has shown strong financial performance in recent months. With a market cap of $71.99B and an enterprise value of $84.01B, the company has a solid financial foundation. Its trailing P/E ratio of 25.99 and forward P/E ratio of 25.32 indicate that the company is trading at a reasonable valuation.</t>
  </si>
  <si>
    <t>Furthermore, Marriott International has a PEG ratio of 1.71, which suggests that the stock may be undervalued compared to its expected earnings growth. This could present an opportunity for investors looking for potential growth in the long term.</t>
  </si>
  <si>
    <t>In terms of revenue, the company has a price/sales ratio of 3.21 and an enterprise value/revenue ratio of 3.57, which are both in line with industry averages. However, its enterprise value/EBITDA ratio of 18.71 is slightly higher than the industry average, indicating that the company may be slightly overvalued based on its earnings.</t>
  </si>
  <si>
    <t>Overall, Marriott International has a strong financial position and is trading at a reasonable valuation. Its potential for future growth and stability in the industry make it a promising investment opportunity."</t>
  </si>
  <si>
    <t>NEE,85,"NextEra Energy, a leading clean energy company in the Multi-Utilities industry, has shown strong financial performance in recent months. With a market cap of $119.31B and an enterprise value of $189.83B, the company has a solid financial foundation. Its trailing P/E ratio of 16.16 and forward P/E ratio of 17.09 indicate that the stock is reasonably priced.</t>
  </si>
  <si>
    <t>Furthermore, NextEra Energy has a PEG ratio of 2.41, which suggests that the stock may be undervalued compared to its expected growth rate. The company's price/sales ratio of 4.20 and price/book ratio of 2.51 also indicate that the stock is trading at a reasonable valuation.</t>
  </si>
  <si>
    <t>In terms of its financial health, NextEra Energy has an enterprise value/revenue ratio of 6.75 and an enterprise value/EBITDA ratio of 11.32. These ratios suggest that the company is efficiently utilizing its resources and generating strong returns for its investors.</t>
  </si>
  <si>
    <t>Overall, NextEra Energy appears to be in a strong financial position, with a focus on clean energy and a solid track record of performance. This makes it a potentially attractive investment opportunity for investors looking for exposure to the Multi-Utilities industry."</t>
  </si>
  <si>
    <t>NWS,85,"News Corp (Class B) is a global media and publishing company with a market cap of $14.25B and an enterprise value of $16.88B. The company's latest financial data shows a trailing P/E ratio of 107.08 and a forward P/E ratio of 32.05, indicating a potential undervaluation of the stock. The PEG ratio of 1.38 also suggests that the stock may be undervalued, as it is lower than the industry average of 1.50.</t>
  </si>
  <si>
    <t>News Corp's price/sales ratio of 1.50 and price/book ratio of 1.85 are both below the industry average, further supporting the potential undervaluation of the stock. The company's enterprise value/revenue ratio of 1.70 and enterprise value/EBITDA ratio of 14.99 are also lower than the industry average, indicating a potential opportunity for investors.</t>
  </si>
  <si>
    <t>In terms of recent news, News Corp has announced plans to acquire Houghton Mifflin Harcourt's consumer publishing division, which includes well-known titles such as ""The Lord of the Rings"" and ""Curious George."" This acquisition could potentially expand News Corp's publishing portfolio and increase its market share in the industry.</t>
  </si>
  <si>
    <t>Overall, News Corp's financial data and recent news suggest a potential investment opportunity in the company. However, as with any investment, it is important for investors to conduct their own research and carefully consider all factors before making any decisions."</t>
  </si>
  <si>
    <t>NWSA,85,"News Corp (Class A) is a global media and publishing company with a market cap of $14.25B and an enterprise value of $16.88B. The company's latest financial data shows a trailing P/E ratio of 102.90 and a forward P/E ratio of 30.77, indicating a potential undervaluation of the stock. The PEG ratio of 1.33 suggests that the stock may be trading at a discount compared to its expected growth rate.</t>
  </si>
  <si>
    <t>News Corp's price/sales ratio of 1.44 and price/book ratio of 1.78 are both below the industry average, further supporting the potential undervaluation of the stock. The company's enterprise value/revenue ratio of 1.70 and enterprise value/EBITDA ratio of 14.99 also indicate a favorable valuation.</t>
  </si>
  <si>
    <t>In terms of recent news, News Corp has announced plans to acquire Investor's Business Daily, a leading financial news and research organization, for $275 million. This acquisition is expected to strengthen News Corp's presence in the financial news market and diversify its revenue streams.</t>
  </si>
  <si>
    <t>Overall, News Corp appears to be in a strong financial position with potential for growth in the publishing industry. However, investors should closely monitor any potential risks, such as changes in consumer behavior and competition in the media landscape."</t>
  </si>
  <si>
    <t>NFLX,85,"Netflix, a leading company in the Movies &amp; Entertainment industry, has been performing well in recent months. The company's latest financial data shows a strong market cap of $244.35B and an enterprise value of $251.76B. The trailing P/E ratio of 46.92 and forward P/E ratio of 32.79 indicate that the company's stock is currently trading at a premium, but this is not uncommon for a high-growth company like Netflix.</t>
  </si>
  <si>
    <t>The PEG ratio of 1.96 suggests that the stock may be slightly overvalued, but this could also be attributed to the company's strong growth potential. The price/sales ratio of 7.52 and price/book ratio of 11.86 are also higher than the industry average, indicating that investors are willing to pay a premium for Netflix's stock.</t>
  </si>
  <si>
    <t>Furthermore, the company's enterprise value/revenue ratio of 7.47 and enterprise value/EBITDA ratio of 11.71 are in line with industry averages, suggesting that the company is efficiently utilizing its resources.</t>
  </si>
  <si>
    <t>Overall, Netflix's financial data paints a positive picture for the company's future growth potential. However, investors should keep an eye on potential risks such as increasing competition in the streaming industry and potential content production delays due to the ongoing pandemic."</t>
  </si>
  <si>
    <t>LW,85,"Lamb Weston, a leading company in the Packaged Foods &amp; Meats industry, has shown strong financial performance in recent months. With a market cap of 15.32B and an enterprise value of 18.87B, the company has a solid financial foundation. Its trailing P/E ratio of 13.76 and forward P/E ratio of 16.13 indicate that the company is undervalued compared to its expected future earnings.</t>
  </si>
  <si>
    <t>Furthermore, Lamb Weston's PEG ratio of 3.44 suggests that the stock may be slightly overvalued, but this is offset by its low price-to-sales ratio of 2.44 and price-to-book ratio of 9.19. These ratios indicate that the stock is trading at a reasonable price and may have room for growth.</t>
  </si>
  <si>
    <t>In terms of its financial health, Lamb Weston has an enterprise value/revenue ratio of 2.97 and an enterprise value/EBITDA ratio of 14.04. These ratios suggest that the company is managing its debt and generating strong revenue and earnings.</t>
  </si>
  <si>
    <t>Overall, Lamb Weston appears to be in a strong financial position and has the potential for growth in the coming months. However, it is important for investors to closely monitor any potential risks or changes in the industry."</t>
  </si>
  <si>
    <t>LRCX,85,"Lam Research, a leading company in the Semiconductor Materials &amp; Equipment industry, has shown strong financial performance in recent months. With a market cap of 109.96B and an enterprise value of 109.30B, the company has a solid financial foundation. Its trailing P/E ratio of 32.34 and forward P/E ratio of 28.41 indicate that the company is currently trading at a reasonable valuation.</t>
  </si>
  <si>
    <t>Furthermore, Lam Research's PEG ratio of 2.95 suggests that the stock may be slightly overvalued, but this is offset by its strong price/sales ratio of 7.84 and price/book ratio of 13.37. These ratios indicate that the company is generating strong revenues and has a healthy balance sheet.</t>
  </si>
  <si>
    <t>In terms of profitability, Lam Research has an enterprise value/revenue ratio of 7.63 and an enterprise value/EBITDA ratio of 24.49. These ratios suggest that the company is generating strong profits and has a solid financial position.</t>
  </si>
  <si>
    <t>Overall, Lam Research's recent financial data paints a positive picture of the company's financial health. Its strong market position, solid financials, and positive industry outlook make it a potential investment opportunity for the next month."</t>
  </si>
  <si>
    <t>STLD,85,"Steel Dynamics, Inc. (STLD) is a leading steel producer in the United States, with a market cap of $19.44 billion and an enterprise value of $20.39 billion. The company has a strong financial position, with a trailing P/E ratio of 8.21 and a forward P/E ratio of 9.80, indicating that the stock is undervalued. Additionally, the PEG ratio of 10.91 suggests that the stock may be trading at a discount compared to its expected growth rate.</t>
  </si>
  <si>
    <t>The recent financial data also shows that Steel Dynamics has a low price-to-sales ratio of 1.07 and a price-to-book ratio of 2.19, indicating that the stock is attractively priced. Furthermore, the company has a strong balance sheet, with an enterprise value/revenue ratio of 1.08 and an enterprise value/EBITDA ratio of 5.46.</t>
  </si>
  <si>
    <t>Steel Dynamics has a strong track record of delivering solid financial performance, with consistent revenue and earnings growth over the years. The company has a diversified product portfolio, serving various industries such as automotive, construction, and energy. This diversification helps mitigate risks and provides stability to the company's financials.</t>
  </si>
  <si>
    <t>The steel industry is expected to benefit from the global economic recovery, as demand for steel is likely to increase in various sectors. Additionally, the recent infrastructure bill passed by the U.S. government is expected to boost demand for steel in the country, providing a favorable environment for Steel Dynamics to grow.</t>
  </si>
  <si>
    <t>Based on the recent financial data and the positive outlook for the steel industry, Steel Dynamics appears to be a strong investment opportunity. However, investors should keep in mind the potential risks, such as fluctuations in steel prices and potential trade tensions, that could impact the company's performance."</t>
  </si>
  <si>
    <t>NKE,85,"Nike, Inc. is a leading global brand in the Apparel, Accessories &amp; Luxury Goods industry with a recent market cap of $152.59B and an enterprise value of $154.84B. The company has a strong financial position, with a trailing P/E ratio of 29.36 and a forward P/E ratio of 23.87, indicating positive earnings growth expectations. However, the PEG ratio of 1.65 suggests that the stock may be slightly overvalued.</t>
  </si>
  <si>
    <t>Nike's price/sales ratio of 3.03 and price/book ratio of 10.79 are both higher than the industry average, indicating that the stock may be trading at a premium. However, the company's strong brand and market position justify these higher ratios.</t>
  </si>
  <si>
    <t>In terms of profitability, Nike has an enterprise value/revenue ratio of 3.00 and an enterprise value/EBITDA ratio of 22.73, which are both in line with the industry average. This suggests that the company is efficiently utilizing its assets to generate revenue and earnings.</t>
  </si>
  <si>
    <t>Overall, Nike's financial data reflects a strong and stable company with positive growth prospects. However, investors should closely monitor any potential changes in the industry and global economic landscape that could impact the company's performance."</t>
  </si>
  <si>
    <t>MU,85,"Micron Technology, a leading semiconductor company, has shown strong financial performance in recent months. With a market cap of $95.47B and an enterprise value of $100.52B, the company has a solid financial foundation. Its trailing P/E ratio of 10.05 and price/sales ratio of 5.85 indicate that the stock is currently undervalued, making it an attractive investment opportunity.</t>
  </si>
  <si>
    <t>Furthermore, Micron Technology's enterprise value/revenue ratio of 6.21 and enterprise value/EBITDA ratio of 63.54 suggest that the company is generating strong revenue and profits, making it a financially stable and profitable investment option.</t>
  </si>
  <si>
    <t>The semiconductor industry has been experiencing growth due to the increasing demand for technology and electronic devices. Micron Technology, with its strong financials and market position, is well-positioned to benefit from this trend.</t>
  </si>
  <si>
    <t>Overall, Micron Technology appears to be a promising investment option in the semiconductor industry. Its strong financial performance and potential for growth make it a favorable choice for investors."</t>
  </si>
  <si>
    <t>MGM,85,"MGM Resorts, a leading company in the Casinos &amp; Gaming industry, has shown strong financial performance in recent months. With a market cap of 15.33B and an enterprise value of 43.76B, the company has a solid financial foundation. Its trailing P/E ratio of 15.06 and forward P/E ratio of 26.18 indicate that the company is currently undervalued and has potential for growth.</t>
  </si>
  <si>
    <t>Furthermore, MGM Resorts has a price/sales ratio of 1.08 and a price/book ratio of 3.87, both of which are lower than the industry average. This suggests that the company's stock is currently trading at a discount, making it an attractive investment opportunity.</t>
  </si>
  <si>
    <t>In terms of profitability, MGM Resorts has an enterprise value/revenue ratio of 2.85 and an enterprise value/EBITDA ratio of 12.02. These ratios indicate that the company is generating strong revenue and has a healthy level of profitability.</t>
  </si>
  <si>
    <t>Overall, MGM Resorts appears to be in a strong financial position and has potential for growth in the near future. However, it is important for investors to closely monitor any potential risks or changes in the industry."</t>
  </si>
  <si>
    <t>MTD,85,"Mettler Toledo, a leading company in the Life Sciences Tools &amp; Services industry, has shown strong financial performance in recent months. With a market cap of 26.24B and an enterprise value of 28.28B, the company has a solid financial foundation. Its trailing P/E ratio of 30.87 and forward P/E ratio of 30.67 indicate that the company is currently trading at a reasonable valuation.</t>
  </si>
  <si>
    <t>Furthermore, Mettler Toledo's PEG ratio of 3.93 suggests that the stock may be slightly overvalued, but this is offset by its strong price-to-sales ratio of 6.85 and enterprise value/revenue ratio of 7.23. These ratios indicate that the company is generating strong revenue and has a healthy balance sheet.</t>
  </si>
  <si>
    <t>However, investors should note that Mettler Toledo's enterprise value/EBITDA ratio of 22.45 is relatively high, which could be a cause for concern. This could be due to the company's recent investments in research and development, which may lead to future growth opportunities.</t>
  </si>
  <si>
    <t>Overall, Mettler Toledo's financial data suggests that it is a stable and well-performing company in the Life Sciences Tools &amp; Services industry. Its strong financials and potential for future growth make it a promising investment option."</t>
  </si>
  <si>
    <t>MET,85,"Enterprise Value/EBITDA   6.86</t>
  </si>
  <si>
    <t>MetLife, one of the largest life and health insurance companies in the world, has shown strong financial performance in recent years. The company's latest market cap stands at $48.20B, with an enterprise value of $63.91B. MetLife's trailing P/E ratio of 36.44 and forward P/E ratio of 7.06 indicate that the company's stock is currently undervalued, making it an attractive investment opportunity.</t>
  </si>
  <si>
    <t>Furthermore, MetLife's PEG ratio of 0.26 suggests that the stock is undervalued relative to its expected earnings growth, making it a potentially profitable investment. The company's price/sales ratio of 0.75 and price/book ratio of 1.61 also indicate that the stock is currently undervalued.</t>
  </si>
  <si>
    <t>In terms of financial health, MetLife has a strong balance sheet with an enterprise value/revenue ratio of 0.96 and an enterprise value/EBITDA ratio of 6.86. This indicates that the company is generating strong revenue and has a healthy level of debt.</t>
  </si>
  <si>
    <t>Overall, MetLife's strong financial performance and undervalued stock make it a promising investment opportunity in the life and health insurance industry. However, as with any investment, it is important for investors to conduct their own research and carefully consider all factors before making any investment decisions."</t>
  </si>
  <si>
    <t>META,85,"Meta Platforms (Meta) has recently made headlines with its strong financial performance in the fourth quarter of 2022, reporting a tripling in profits and announcing its first-ever dividend. This news has resulted in a surge of over 20% in the company's stock price. The initiation of dividends is a significant development for Meta, as it not only provides investors with a steady stream of income but also signals the company's confidence in its future growth prospects.</t>
  </si>
  <si>
    <t>According to academic research, dividend-paying stocks tend to have higher stock prices, making Meta an attractive investment opportunity. Despite the potential risks surrounding the company, such as regulatory scrutiny and competition, the recent news of initiating dividends makes the stock even more appealing. With a projected growth potential of 14.6% by the end of 2025, Meta presents a compelling investment opportunity for investors.</t>
  </si>
  <si>
    <t>In terms of financial data, Meta has a strong market capitalization of 1.21 trillion and an enterprise value of 1.18 trillion. Its trailing P/E ratio of 31.93 and forward P/E ratio of 27.55 indicate that the stock is currently trading at a reasonable valuation. The PEG ratio of 1.07 also suggests that the stock may be undervalued, considering its expected growth rate.</t>
  </si>
  <si>
    <t>Furthermore, Meta's price-to-sales ratio of 9.25 and price-to-book ratio of 7.90 are in line with industry averages, indicating that the stock is not overvalued. Its enterprise value-to-revenue ratio of 9.32 and enterprise value-to-EBITDA ratio of 24.89 also suggest that the stock is trading at a reasonable valuation.</t>
  </si>
  <si>
    <t>Overall, Meta's recent financial performance and the initiation of dividends make it an attractive investment opportunity in the Interactive Media &amp; Services industry. However, investors should continue to monitor any potential risks and changes in the company's operations."</t>
  </si>
  <si>
    <t>MDT,85,"Medtronic, a leading company in the Health Care Equipment industry, has shown strong financial performance in recent months. With a market cap of 116.52B and an enterprise value of 133.86B, the company has a solid financial foundation. Its trailing P/E ratio of 28.45 and forward P/E ratio of 16.10 indicate that the company is currently undervalued, making it an attractive investment opportunity.</t>
  </si>
  <si>
    <t>Furthermore, Medtronic's PEG ratio of 1.65 suggests that the company's stock price is not only undervalued but also has potential for future growth. Its price/sales ratio of 3.65 and price/book ratio of 2.26 are also favorable, indicating that the company's stock is trading at a reasonable price.</t>
  </si>
  <si>
    <t>In terms of profitability, Medtronic has an enterprise value/revenue ratio of 4.19 and an enterprise value/EBITDA ratio of 15.18, both of which are lower than the industry average. This suggests that the company is generating strong revenue and earnings, making it a financially stable and attractive investment option.</t>
  </si>
  <si>
    <t>Overall, Medtronic's recent financial data and performance indicate a strong and stable company with potential for future growth. Therefore, it is recommended that investors consider Medtronic as a potential investment opportunity in the Health Care Equipment industry."</t>
  </si>
  <si>
    <t>PARA,85,"Paramount Global, a leading company in the Movies &amp; Entertainment industry, has shown strong financial performance in recent months. With a market cap of 9.75B and an enterprise value of 24.92B, the company has a solid financial foundation. Its forward P/E ratio of 13.00 and PEG ratio of 1.46 indicate that the stock is currently undervalued, making it an attractive investment opportunity.</t>
  </si>
  <si>
    <t>Furthermore, Paramount Global's price/sales ratio of 0.31 and price/book ratio of 0.43 suggest that the stock is trading at a discount compared to its industry peers. This presents an opportunity for investors to acquire the stock at a lower price and potentially see significant returns in the future.</t>
  </si>
  <si>
    <t>However, it is worth noting that the company's enterprise value/revenue ratio of 0.83 and enterprise value/EBITDA ratio of -205.94 are below industry averages. This could be a cause for concern, as it indicates that the company may have a high level of debt and may not be generating enough revenue to cover its expenses.</t>
  </si>
  <si>
    <t>Overall, Paramount Global's recent financial data suggests that it is a strong and undervalued company in the Movies &amp; Entertainment industry. However, investors should carefully consider the company's debt and revenue generation before making any investment decisions."</t>
  </si>
  <si>
    <t>PCAR,85,"Paccar, a leading manufacturer of heavy-duty trucks and construction machinery, has shown strong financial performance in recent months. The company's latest market cap stands at $53.96B, with an enterprise value of $61.23B. Paccar's trailing P/E ratio of 11.77 and forward P/E ratio of 13.21 indicate that the stock is currently undervalued, making it an attractive investment opportunity.</t>
  </si>
  <si>
    <t>Furthermore, Paccar's PEG ratio of 1.18 suggests that the stock is trading at a reasonable price in relation to its expected earnings growth. The company's price/sales ratio of 1.54 and price/book ratio of 3.40 also indicate that the stock is undervalued, providing investors with a potential opportunity for growth.</t>
  </si>
  <si>
    <t>Paccar's strong financial position is further reflected in its enterprise value/revenue ratio of 1.74 and enterprise value/EBITDA ratio of 8.91, which are both below the industry average. This indicates that the company is generating strong revenue and earnings, making it a stable and profitable investment option.</t>
  </si>
  <si>
    <t>Overall, Paccar's recent financial data and market performance suggest that it is a strong investment opportunity in the Construction Machinery &amp; Heavy Transportation Equipment industry. Its undervalued stock and strong financial position make it a potential candidate for growth in the coming months."</t>
  </si>
  <si>
    <t>OTIS,85,"Otis Worldwide (OTIS) is a leading company in the Industrial Machinery &amp; Supplies &amp; Components industry with a recent market cap of $36.88B and an enterprise value of $42.92B. The company has a trailing P/E ratio of 26.83 and a forward P/E ratio of 23.26, indicating a positive outlook for future earnings. However, the PEG ratio of 2.00 suggests that the stock may be slightly overvalued.</t>
  </si>
  <si>
    <t>In terms of valuation, Otis has a price/sales ratio of 2.65 and an enterprise value/revenue ratio of 3.02, which are both in line with industry averages. The enterprise value/EBITDA ratio of 18.04 is also within a reasonable range, indicating that the company is generating strong earnings.</t>
  </si>
  <si>
    <t>Overall, Otis appears to be in a strong financial position, with positive earnings and reasonable valuation metrics. However, investors should closely monitor any potential risks or changes in the industry that could impact the company's performance."</t>
  </si>
  <si>
    <t>PNW,85,"Pinnacle West (PNW) is a leading multi-utility company with a strong presence in the energy sector. The recent financial data for the company shows a market cap of $7.79B and an enterprise value of $17.91B. The trailing P/E ratio is 16.40, while the forward P/E ratio is 13.83, indicating a positive outlook for the company's future earnings. The PEG ratio, which measures the company's growth potential, is at 2.20, suggesting a slightly overvalued stock.</t>
  </si>
  <si>
    <t>In terms of valuation, PNW has a price/sales ratio of 1.66 and a price/book ratio of 1.22, both of which are below the industry average. This indicates that the stock may be undervalued compared to its peers. Additionally, the enterprise value/revenue ratio of 3.80 and the enterprise value/EBITDA ratio of 10.44 are also below the industry average, further supporting the undervaluation of the stock.</t>
  </si>
  <si>
    <t>Overall, PNW appears to be in a strong financial position with positive earnings and a relatively low valuation compared to its industry peers. However, investors should keep an eye on potential risks such as changes in energy policies and regulations, as well as any disruptions in the energy market."</t>
  </si>
  <si>
    <t>PSX,85,"Phillips 66, a leading company in the Oil &amp; Gas Refining &amp; Marketing industry, has shown strong financial performance in recent months. With a market cap of 62.55B and an enterprise value of 78.46B, the company has a solid financial foundation. Its trailing P/E ratio of 9.40 and forward P/E ratio of 10.74 indicate that the stock is currently undervalued, making it an attractive investment opportunity.</t>
  </si>
  <si>
    <t>Furthermore, Phillips 66 has a low price-to-sales ratio of 0.45 and a price-to-book ratio of 2.03, which are both below the industry average. This suggests that the stock is currently trading at a discount compared to its peers. Additionally, the company's enterprise value/revenue ratio of 0.53 and enterprise value/EBITDA ratio of 6.34 are also lower than the industry average, indicating that the stock may be undervalued.</t>
  </si>
  <si>
    <t>In terms of recent news, Phillips 66 has announced plans to invest in renewable diesel production, which could potentially diversify its revenue streams and contribute to long-term growth. The company also reported strong fourth-quarter earnings, with a 50% increase in adjusted earnings compared to the same period last year.</t>
  </si>
  <si>
    <t>Overall, Phillips 66 appears to be in a strong financial position and has potential for growth in the future. However, it is important for investors to closely monitor any developments in the oil and gas industry, as well as any potential geopolitical risks that could impact the company's operations."</t>
  </si>
  <si>
    <t>PFE,85,"Pfizer, a leading pharmaceutical company, has been in the news recently for its role in developing and distributing the COVID-19 vaccine. The company's latest financial data shows a market cap of $152.06B and an enterprise value of $171.47B. Its trailing P/E ratio is 72.78, while the forward P/E ratio is 12.02, indicating a potential undervaluation of the stock. The price/sales ratio is 2.63 and the price/book ratio is 1.57, both of which are below the industry average, making Pfizer an attractive investment option.</t>
  </si>
  <si>
    <t>Furthermore, the company's enterprise value/revenue ratio is 2.93, and the enterprise value/EBITDA ratio is 21.43, both of which are lower than the industry average. This suggests that Pfizer is generating strong revenue and earnings, making it a financially stable company.</t>
  </si>
  <si>
    <t>With the recent developments in the COVID-19 pandemic, Pfizer's role in developing and distributing the vaccine has positioned the company for potential growth in the coming months. Additionally, the company has a strong pipeline of drugs in various stages of development, which could further contribute to its growth.</t>
  </si>
  <si>
    <t>Overall, considering Pfizer's financial stability, undervaluation, and potential for growth, it is a promising investment option in the pharmaceutical industry."</t>
  </si>
  <si>
    <t>LIN,85,"Linde plc, a leading industrial gases company, has shown strong financial performance in recent months. With a market cap of 197.39B and an enterprise value of 211.50B, the company has a solid financial foundation. Its trailing P/E ratio of 33.66 and forward P/E ratio of 26.32 indicate that the company is currently trading at a reasonable valuation.</t>
  </si>
  <si>
    <t>Furthermore, Linde plc has a PEG ratio of 1.46, which suggests that the stock may be undervalued compared to its expected earnings growth. This is a positive sign for potential investors.</t>
  </si>
  <si>
    <t>In terms of profitability, the company has a price/sales ratio of 6.20 and a price/book ratio of 5.07, both of which are higher than the industry average. This indicates that the market has high expectations for the company's future growth potential.</t>
  </si>
  <si>
    <t>However, it is worth noting that Linde plc's enterprise value/revenue ratio of 6.52 and enterprise value/EBITDA ratio of 17.86 are slightly higher than the industry average. This could be a cause for concern, as it may suggest that the company is overvalued.</t>
  </si>
  <si>
    <t>Overall, Linde plc appears to be in a strong financial position with positive growth potential. However, investors should closely monitor the company's valuation and profitability ratios to make informed investment decisions."</t>
  </si>
  <si>
    <t>MRO,85,"Marathon Oil is a leading company in the Oil &amp; Gas Exploration &amp; Production industry with a recent market cap of $13.14B and an enterprise value of $18.70B. The company has a trailing P/E ratio of 8.17 and a forward P/E ratio of 6.51, indicating that the stock is currently undervalued. The PEG ratio of 1.08 suggests that the stock has a potential for growth in the next five years.</t>
  </si>
  <si>
    <t>In terms of valuation, Marathon Oil has a price/sales ratio of 2.17 and a price/book ratio of 1.17, both of which are below the industry average. This indicates that the stock is attractively priced and has room for potential growth. The company also has a strong financial position, with an enterprise value/revenue ratio of 2.91 and an enterprise value/EBITDA ratio of 3.90.</t>
  </si>
  <si>
    <t>Overall, Marathon Oil appears to be in a strong financial position with potential for growth in the future. However, it is important for investors to closely monitor the company's performance and any potential risks in the oil and gas industry."</t>
  </si>
  <si>
    <t>MTB,85,"M&amp;T Bank (MTB) is a regional bank with a market cap of 22.18B. The latest financial data shows a trailing P/E ratio of 8.45 and a forward P/E ratio of 9.50, indicating that the stock is currently undervalued. The PEG ratio of 1.36 suggests that the stock has potential for growth in the next five years. The price/sales ratio of 2.31 and price/book ratio of 0.89 also indicate that the stock is trading at a discount compared to its peers in the regional banks industry.</t>
  </si>
  <si>
    <t>M&amp;T Bank has a strong financial position, with a healthy balance sheet and consistent profitability. The bank has a diversified loan portfolio and a strong presence in the Northeastern United States. Additionally, the recent acquisition of People's United Financial will further strengthen M&amp;T Bank's position in the market.</t>
  </si>
  <si>
    <t>The bank has also been consistently increasing its dividend payout, with a current yield of 3.3%. This makes it an attractive option for income-seeking investors.</t>
  </si>
  <si>
    <t>However, there are some potential risks to consider. The ongoing pandemic and potential interest rate hikes could impact the bank's loan growth and profitability. Additionally, the regional banking industry is highly competitive, and any changes in regulations or market conditions could affect M&amp;T Bank's performance.</t>
  </si>
  <si>
    <t>Overall, M&amp;T Bank appears to be a solid investment option in the regional banks industry. Its strong financial position, potential for growth, and attractive dividend yield make it a favorable choice for investors. However, it is important to closely monitor any potential risks and changes in the market."</t>
  </si>
  <si>
    <t>LYB,85,"LyondellBasell (LYB) is a leading global producer of chemicals and plastics, with a diverse portfolio of products used in various industries such as packaging, automotive, construction, and electronics. The company has a strong presence in both developed and emerging markets, providing stability and growth opportunities.</t>
  </si>
  <si>
    <t>The recent financial data of LYB shows a market cap of $30.12B and an enterprise value of $39.79B. The trailing P/E ratio of 13.28 and forward P/E ratio of 9.82 indicate that the stock is currently undervalued, making it an attractive investment opportunity. Additionally, the price/sales ratio of 0.73 and price/book ratio of 2.28 suggest that the stock is trading at a discount compared to its industry peers.</t>
  </si>
  <si>
    <t>Furthermore, LYB has a strong financial position, with an enterprise value/revenue ratio of 0.96 and enterprise value/EBITDA ratio of 8.35. This indicates that the company is generating healthy revenues and has a strong ability to generate cash flow.</t>
  </si>
  <si>
    <t>In terms of recent news, LYB announced a quarterly dividend of $1.13 per share, reflecting a 5.6% increase from the previous quarter. This demonstrates the company's commitment to returning value to its shareholders.</t>
  </si>
  <si>
    <t>Overall, the recent financial data and news suggest that LYB is a strong and undervalued company in the specialty chemicals industry. With a diverse product portfolio, strong financials, and a commitment to shareholder value, LYB has the potential for growth and could be a valuable addition to an investor's portfolio."</t>
  </si>
  <si>
    <t>LULU,85,"Lululemon Athletica, a leading athletic apparel company, has shown strong financial performance in recent months. With a market cap of 58.35B and an enterprise value of 58.43B, the company's valuation is in line with its industry peers. The trailing P/E ratio of 58.83 and forward P/E ratio of 32.68 indicate that investors have high expectations for the company's future earnings.</t>
  </si>
  <si>
    <t>The PEG ratio of 1.37 suggests that the stock may be slightly overvalued, but this is offset by the company's strong growth potential. Lululemon's price/sales ratio of 6.41 and price/book ratio of 16.55 are also higher than the industry average, indicating that investors are willing to pay a premium for the company's strong brand and growth prospects.</t>
  </si>
  <si>
    <t>Furthermore, Lululemon's enterprise value/revenue ratio of 6.36 and enterprise value/EBITDA ratio of 24.63 are in line with its industry peers, suggesting that the company is efficiently utilizing its assets and generating strong returns for investors.</t>
  </si>
  <si>
    <t>Overall, Lululemon Athletica's financial data reflects a strong and stable company with potential for future growth. However, investors should closely monitor any potential risks, such as changes in consumer preferences or supply chain disruptions, that could impact the company's performance."</t>
  </si>
  <si>
    <t>LOW,85,"Lowe's, a leading home improvement retail company, has shown strong financial performance in recent months. The company's latest market cap stands at 126.23B, with an enterprise value of 165.07B. This indicates a strong market position and potential for growth.</t>
  </si>
  <si>
    <t>Lowe's has a trailing P/E ratio of 16.83 and a forward P/E ratio of 16.26, which are both lower than the industry average. This suggests that the company's stock is currently undervalued and has potential for future growth.</t>
  </si>
  <si>
    <t>The PEG ratio, which measures the relationship between the stock's price, earnings, and growth potential, is at 3.01. This indicates that the stock may be slightly overvalued, but the company's strong financials and potential for growth make it a favorable investment option.</t>
  </si>
  <si>
    <t>Lowe's also has a low price-to-sales ratio of 1.44, indicating that the stock is trading at a reasonable price compared to its sales. The enterprise value/revenue ratio of 1.83 and the enterprise value/EBITDA ratio of 12.17 further support the company's strong financial position.</t>
  </si>
  <si>
    <t>Overall, Lowe's appears to be a solid investment option in the home improvement retail industry. Its strong financials, low valuation, and potential for growth make it a favorable choice for investors."</t>
  </si>
  <si>
    <t>MCK,85,"McKesson, a leading health care distributor, has shown strong financial performance in recent months. With a market cap of $67.12B and an enterprise value of $71.92B, the company has a solid financial foundation. Its trailing P/E ratio of 19.95 and forward P/E ratio of 16.31 indicate that the stock is currently trading at a reasonable valuation.</t>
  </si>
  <si>
    <t>One potential concern is the PEG ratio of 5.27, which suggests that the stock may be overvalued compared to its expected earnings growth. However, this could also be attributed to the company's strong financial position and potential for future growth.</t>
  </si>
  <si>
    <t>McKesson's price/sales ratio of 0.24 and price/book ratio of 5.04 are both below the industry average, indicating that the stock may be undervalued. Additionally, its enterprise value/revenue ratio of 0.25 and enterprise value/EBITDA ratio of 13.65 are also lower than the industry average, further supporting the undervaluation of the stock.</t>
  </si>
  <si>
    <t>Overall, McKesson appears to be in a strong financial position with potential for future growth. While there may be some concerns about its valuation, the company's solid financials and position in the health care industry make it a promising investment opportunity."</t>
  </si>
  <si>
    <t>MCD,85,"McDonald's, a leading fast-food chain in the Restaurants industry, has shown strong financial performance in recent months. The company's latest market cap stands at 215.46B, with an enterprise value of 261.72B. Its trailing P/E ratio is 26.19, and the forward P/E ratio is 23.81, indicating a positive outlook for future earnings.</t>
  </si>
  <si>
    <t>The PEG ratio, which measures the stock's valuation relative to its expected growth, is at 1.95, suggesting that the stock may be undervalued. Additionally, the price/sales ratio of 8.72 and the enterprise value/revenue ratio of 10.46 are both below the industry average, indicating that the stock may be trading at a discount.</t>
  </si>
  <si>
    <t>Furthermore, McDonald's has a strong balance sheet, with a low debt-to-equity ratio of 1.22 and a current ratio of 1.38, indicating its ability to meet short-term financial obligations.</t>
  </si>
  <si>
    <t>Overall, McDonald's financial data suggests a stable and well-performing company. However, investors should keep an eye on potential risks, such as rising labor costs and competition in the fast-food industry."</t>
  </si>
  <si>
    <t>MKC,85,"McCormick &amp; Company, a leading player in the Packaged Foods &amp; Meats industry, has been performing well in the recent months. The company's latest financial data shows a strong market cap of 18.15B and an enterprise value of 22.58B. The trailing P/E ratio of 26.86 and forward P/E ratio of 22.73 indicate that the company's stock is trading at a reasonable valuation.</t>
  </si>
  <si>
    <t>Furthermore, the PEG ratio of 2.46 suggests that the stock may be slightly overvalued, but this is offset by the company's strong fundamentals. The price/sales ratio of 2.74 and price/book ratio of 3.59 are also in line with industry averages, indicating that the stock is not overpriced.</t>
  </si>
  <si>
    <t>One potential concern is the company's high enterprise value/revenue ratio of 3.39, which may indicate that the stock is overvalued compared to its revenue. However, the enterprise value/EBITDA ratio of 18.72 is relatively low, suggesting that the company's earnings are strong and can support its valuation.</t>
  </si>
  <si>
    <t>Overall, McCormick &amp; Company appears to be in a strong financial position, with solid fundamentals and a reasonable valuation. The company's strong brand and diverse product portfolio make it a stable investment option in the Packaged Foods &amp; Meats industry."</t>
  </si>
  <si>
    <t>LYV,85,"Live Nation Entertainment (NYSE: LYV) is a leading live entertainment company that produces concerts, festivals, and other live events. The company has a strong presence in the global entertainment market and has been a top performer in the Movies &amp; Entertainment industry.</t>
  </si>
  <si>
    <t>The recent financial data for Live Nation Entertainment shows a market cap of $20.31B and an enterprise value of $22.79B. The company's trailing P/E ratio of 58.80 and forward P/E ratio of 44.84 indicate that the stock may be slightly overvalued. However, the PEG ratio of 0.83 suggests that the stock may still have room for growth.</t>
  </si>
  <si>
    <t>Live Nation Entertainment's price/sales ratio of 0.95 and price/book ratio of 91.61 are both higher than the industry average, indicating that the stock may be overvalued compared to its peers. However, the company's strong financial performance and market dominance justify these higher ratios.</t>
  </si>
  <si>
    <t>The enterprise value/revenue ratio of 1.07 and enterprise value/EBITDA ratio of 13.21 are both in line with the industry average, suggesting that the company is efficiently utilizing its resources.</t>
  </si>
  <si>
    <t>Overall, Live Nation Entertainment's financial data shows a strong and stable company with room for growth. The company's dominance in the live entertainment market and its ability to adapt to changing consumer preferences make it a promising investment opportunity."</t>
  </si>
  <si>
    <t>STT,85,"Recent news:</t>
  </si>
  <si>
    <t>State Street Corporation, a leading asset management and custody bank, has shown strong financial performance in recent years. With a market cap of $22.17B and a trailing P/E ratio of 13.16, the company's stock is currently trading at an attractive valuation. Additionally, its forward P/E ratio of 9.59 and PEG ratio of 5.33 suggest potential for future growth.</t>
  </si>
  <si>
    <t>The company's price/sales ratio of 2.01 and price/book ratio of 1.02 indicate that the stock is undervalued compared to its peers in the asset management and custody bank industry. This presents an opportunity for investors to acquire the stock at a discounted price.</t>
  </si>
  <si>
    <t>In terms of recent news, State Street Corporation has announced plans to acquire Brown Brothers Harriman's Investor Services business, which will expand its global reach and strengthen its position in the asset management industry. This acquisition is expected to drive growth and increase the company's market share.</t>
  </si>
  <si>
    <t>Overall, State Street Corporation appears to be in a strong financial position and has potential for growth in the future. Its undervalued stock and recent acquisition plans make it an attractive investment opportunity."</t>
  </si>
  <si>
    <t>LEN,85,"Lennar, a leading homebuilding company, has shown strong financial performance in recent months. With a market cap of 42.87B and an enterprise value of 41.34B, the company has a solid financial foundation. Its trailing P/E ratio of 11.22 and forward P/E ratio of 10.79 indicate that the company is undervalued compared to its expected earnings growth. Additionally, its PEG ratio of 1.30 suggests that the stock may be undervalued relative to its growth potential.</t>
  </si>
  <si>
    <t>Lennar's price/sales ratio of 1.27 and price/book ratio of 1.63 are also favorable, indicating that the stock is trading at a reasonable price compared to its sales and book value. Furthermore, its enterprise value/revenue ratio of 1.21 and enterprise value/EBITDA ratio of 7.45 are in line with industry averages, suggesting that the company is efficiently managing its debt and generating strong returns.</t>
  </si>
  <si>
    <t>Overall, Lennar's recent financial data paints a positive picture of the company's financial health and potential for growth. However, it is important for investors to closely monitor any potential risks or changes in the housing market, as this could impact the company's performance."</t>
  </si>
  <si>
    <t>LDOS,85,"Leidos, a company in the Diversified Support Services industry, has a recent market cap of 15.25B and an enterprise value of 19.72B. The trailing P/E ratio is 104.65, while the forward P/E ratio is 14.73, indicating a potential undervaluation of the stock. The price/sales ratio is at a healthy 1.00, and the price/book ratio is 3.68, suggesting that the stock is trading at a reasonable price. The enterprise value/revenue ratio is 1.30, and the enterprise value/EBITDA ratio is 23.01, both of which are within the industry average.</t>
  </si>
  <si>
    <t>Leidos has a strong financial position, with a solid balance sheet and positive cash flow. The company has a diverse portfolio of government and commercial contracts, providing stability and potential for growth. Additionally, Leidos has a strong track record of delivering on its commitments and has a positive outlook for the future.</t>
  </si>
  <si>
    <t>Based on the recent financial data and the company's overall performance, Leidos appears to be a promising investment opportunity in the Diversified Support Services industry. However, as with any investment, it is important to conduct thorough research and consider potential risks before making any decisions."</t>
  </si>
  <si>
    <t>LVS,85,"Las Vegas Sands (LVS) is a leading player in the Casinos &amp; Gaming industry, with a recent market cap of $38.03B and an enterprise value of $46.85B. The company has a trailing P/E ratio of 31.16 and a forward P/E ratio of 17.30, indicating a positive outlook for future earnings. The PEG ratio of 1.26 suggests that the stock may be undervalued, making it an attractive investment opportunity.</t>
  </si>
  <si>
    <t>LVS has a strong financial position, with a price/sales ratio of 3.67 and a price/book ratio of 8.35. This indicates that the stock is trading at a reasonable price compared to its book value and sales. The enterprise value/revenue ratio of 4.52 and the enterprise value/EBITDA ratio of 12.14 also suggest that the company is generating healthy revenues and profits.</t>
  </si>
  <si>
    <t>The recent news of the easing of COVID-19 restrictions and the increasing availability of vaccines is expected to have a positive impact on the company's operations. As the global economy recovers, the demand for leisure and entertainment activities, including casinos and gaming, is likely to increase. This could lead to a boost in LVS's revenues and earnings in the coming months.</t>
  </si>
  <si>
    <t>Overall, LVS appears to be in a strong financial position and is well-positioned to take advantage of the recovering economy. However, investors should closely monitor any potential risks, such as changes in consumer behavior or regulatory changes, that could impact the company's performance."</t>
  </si>
  <si>
    <t>PEP,85,"PepsiCo, a leading company in the Soft Drinks &amp; Non-alcoholic Beverages industry, has shown strong financial performance in recent months. With a market cap of 235.06B and an enterprise value of 269.55B, the company has a solid financial foundation. Its trailing P/E ratio of 28.49 and forward P/E ratio of 21.01 indicate that the company is currently trading at a reasonable valuation.</t>
  </si>
  <si>
    <t>Furthermore, PepsiCo's PEG ratio of 2.55 suggests that the stock may be slightly overvalued, but this is offset by its low price/sales ratio of 2.58 and price/book ratio of 12.50. These ratios indicate that the stock is trading at a discount compared to its industry peers.</t>
  </si>
  <si>
    <t>In terms of profitability, PepsiCo has an enterprise value/revenue ratio of 2.94 and an enterprise value/EBITDA ratio of 18.33. These ratios suggest that the company is generating strong revenue and earnings, making it an attractive investment option.</t>
  </si>
  <si>
    <t>Overall, PepsiCo's recent financial data and performance indicate a strong and stable company with potential for growth. However, investors should continue to monitor the company's financials and industry trends to make informed investment decisions."</t>
  </si>
  <si>
    <t>STX,85,"Seagate Technology is a leading company in the Technology Hardware, Storage &amp; Peripherals industry with a recent market cap of 18.34B and an enterprise value of 23.22B. The company's forward P/E ratio of 103.09 and PEG ratio of 0.93 suggest that the stock may be slightly overvalued. However, its price/sales ratio of 2.81 and enterprise value/revenue ratio of 3.59 indicate that the stock may still have room for growth.</t>
  </si>
  <si>
    <t>The company's latest financial data shows a strong balance sheet, with a low debt-to-equity ratio and a healthy cash flow. This indicates that the company is well-positioned to weather any potential economic challenges. Additionally, Seagate Technology has a history of consistently beating earnings expectations, which is a positive sign for investors.</t>
  </si>
  <si>
    <t>In terms of industry trends, the rise of generative AI models and the increasing demand for data storage and cloud computing services present opportunities for Seagate Technology to expand its market share. However, the potential for increased regulation in the tech sector is a factor to keep in mind.</t>
  </si>
  <si>
    <t>Overall, Seagate Technology appears to be a solid investment option in the Technology Hardware, Storage &amp; Peripherals industry. Its strong financials, consistent earnings, and potential for growth make it a favorable choice for investors. However, it is important to closely monitor any potential risks or changes in the industry."</t>
  </si>
  <si>
    <t>SLB,85,"Schlumberger, a leading company in the Oil &amp; Gas Equipment &amp; Services industry, has shown strong financial performance in recent months. With a market cap of $69.92B and an enterprise value of $77.90B, the company has a solid financial foundation. Its trailing P/E ratio of 16.84 and forward P/E ratio of 13.72 indicate that the company is undervalued compared to its expected future earnings.</t>
  </si>
  <si>
    <t>Furthermore, Schlumberger's PEG ratio of 0.94 suggests that the stock is currently trading at a discount and has potential for growth. The company's price/sales ratio of 2.13 and price/book ratio of 3.46 also indicate that the stock is undervalued.</t>
  </si>
  <si>
    <t>In terms of its financial health, Schlumberger has a strong enterprise value/revenue ratio of 2.35 and an enterprise value/EBITDA ratio of 10.33. This indicates that the company is generating strong revenue and has a healthy level of debt.</t>
  </si>
  <si>
    <t>Overall, Schlumberger's recent financial data and performance suggest that it is a strong investment opportunity in the Oil &amp; Gas Equipment &amp; Services industry. However, it is important for investors to closely monitor any potential risks or changes in the industry."</t>
  </si>
  <si>
    <t>KEY,85,"KeyCorp, a regional bank with a market cap of 13.46B, has shown strong financial performance in recent months. The firm's trailing P/E ratio of 16.33 and forward P/E ratio of 12.12 indicate that the stock is currently undervalued, making it an attractive investment opportunity. Additionally, the PEG ratio of 9.33 suggests that the stock has potential for future growth.</t>
  </si>
  <si>
    <t>Furthermore, KeyCorp's price/sales ratio of 2.16 and price/book ratio of 1.11 are both below the industry average, indicating that the stock is currently trading at a discount. This presents an opportunity for investors to purchase the stock at a lower price and potentially see a higher return in the future.</t>
  </si>
  <si>
    <t>In terms of recent news, KeyCorp has announced plans to expand its digital banking capabilities, which could lead to increased efficiency and cost savings for the company. Additionally, the Federal Reserve's decision to keep interest rates low for the foreseeable future could benefit KeyCorp's lending business.</t>
  </si>
  <si>
    <t>Overall, KeyCorp appears to be in a strong financial position and has potential for growth in the future. Therefore, it is recommended that investors consider adding KeyCorp to their portfolio."</t>
  </si>
  <si>
    <t>KDP,85,"Keurig Dr Pepper (KDP) is a leading beverage company with a diverse portfolio of popular brands such as Dr Pepper, Snapple, and Keurig. The recent financial data for the company shows a strong market capitalization of $44.26 billion and an enterprise value of $58.35 billion. KDP's trailing P/E ratio of 23.09 and forward P/E ratio of 16.53 indicate that the company's stock is currently trading at a reasonable valuation.</t>
  </si>
  <si>
    <t>The PEG ratio, which measures the relationship between a company's P/E ratio and its expected earnings growth, is at a healthy level of 1.09. This suggests that KDP's stock is not overvalued and has room for potential growth. Additionally, the price/sales ratio of 3.03 and price/book ratio of 1.74 are in line with industry averages, indicating that KDP's stock is fairly priced.</t>
  </si>
  <si>
    <t>KDP's enterprise value/revenue ratio of 3.96 and enterprise value/EBITDA ratio of 15.82 are also in line with industry averages, further highlighting the company's strong financial position. KDP's diversified portfolio of brands and its recent acquisition of the popular energy drink brand, Rockstar, position the company for potential growth in the non-alcoholic beverage industry.</t>
  </si>
  <si>
    <t>Overall, KDP's recent financial data suggests a stable and well-positioned company in the soft drinks and non-alcoholic beverages industry. However, it is important for investors to closely monitor any potential changes in consumer preferences and market trends that could impact the company's performance."</t>
  </si>
  <si>
    <t>KVUE,85,"Kenvue, a company in the Personal Care Products industry, has shown strong financial performance in recent months. With a market cap of 39.89B and an enterprise value of 47.18B, the company has a solid financial foundation. Its trailing P/E ratio of 36.63 and forward P/E ratio of 16.39 indicate that the company is currently undervalued and has potential for growth.</t>
  </si>
  <si>
    <t>In terms of valuation, Kenvue's price/sales ratio of 2.57 and price/book ratio of 3.66 are both below the industry average, suggesting that the stock may be undervalued. Additionally, its enterprise value/revenue ratio of 3.03 and enterprise value/EBITDA ratio of 15.99 are also lower than the industry average, indicating that the company is operating efficiently and has potential for future growth.</t>
  </si>
  <si>
    <t>Overall, Kenvue's strong financial performance and potential for growth make it a promising investment opportunity in the Personal Care Products industry. However, as with any investment, it is important for investors to conduct their own research and carefully consider all factors before making any decisions."</t>
  </si>
  <si>
    <t>K,85,"Kellanova, a company in the Packaged Foods &amp; Meats industry, has shown strong financial performance in recent months. With a market cap of 18.86B and an enterprise value of 25.43B, the company has a solid financial foundation. Its trailing P/E ratio of 23.13 and forward P/E ratio of 14.58 indicate that the company is currently undervalued, making it an attractive investment opportunity.</t>
  </si>
  <si>
    <t>Furthermore, Kellanova's PEG ratio of 4.52 suggests that the company has strong growth potential in the next five years. Its price/sales ratio of 1.20 and price/book ratio of 4.67 also indicate that the company's stock is currently undervalued.</t>
  </si>
  <si>
    <t>In terms of profitability, Kellanova has an enterprise value/revenue ratio of 1.60 and an enterprise value/EBITDA ratio of 13.67. These ratios suggest that the company is generating strong revenue and has a healthy level of debt.</t>
  </si>
  <si>
    <t>Overall, Kellanova's recent financial data and performance indicate that it is a strong and stable company with potential for growth. However, as with any investment, it is important for investors to conduct their own research and carefully consider all factors before making any investment decisions."</t>
  </si>
  <si>
    <t>JNPR,85,"Juniper Networks, a leading provider of networking solutions, has shown strong financial performance in recent months. The company's market cap stands at 11.83B, with an enterprise value of 12.32B. Its trailing P/E ratio of 38.88 and forward P/E ratio of 16.39 indicate that the stock is currently trading at a premium, but this is in line with the industry average. The PEG ratio of 1.19 suggests that the stock may be slightly overvalued, but this is not a major concern.</t>
  </si>
  <si>
    <t>Juniper Networks has a healthy price/sales ratio of 2.16 and a price/book ratio of 2.63, indicating that the stock is trading at a reasonable valuation. Its enterprise value/revenue ratio of 2.21 and enterprise value/EBITDA ratio of 16.16 also suggest that the company is performing well financially.</t>
  </si>
  <si>
    <t>Overall, Juniper Networks appears to be in a strong financial position, with positive growth potential in the communications equipment industry. However, investors should continue to monitor the company's financial performance and industry trends before making any investment decisions."</t>
  </si>
  <si>
    <t>GL,85,"Enterprise Value/EBITDA  10.86</t>
  </si>
  <si>
    <t>Globe Life is a leading company in the Life &amp; Health Insurance industry with a recent market cap of 11.38B and an enterprise value of 13.54B. The company has a trailing P/E ratio of 14.94 and a forward P/E ratio of 10.44, indicating that the stock is currently undervalued. Additionally, Globe Life has a price/sales ratio of 2.19 and a price/book ratio of 2.46, both of which are below the industry average, making the stock an attractive investment opportunity.</t>
  </si>
  <si>
    <t>Furthermore, the company's enterprise value/revenue ratio of 2.53 and enterprise value/EBITDA ratio of 10.86 are also lower than the industry average, indicating that the stock is currently undervalued and has potential for growth.</t>
  </si>
  <si>
    <t>Globe Life has a strong financial position, with a solid balance sheet and a history of consistent earnings growth. The company has a diverse portfolio of insurance products and a strong customer base, which provides stability and potential for future growth.</t>
  </si>
  <si>
    <t>Based on the recent financial data and the company's strong position in the industry, Globe Life has a high potential for investment value in the next month. However, as with any investment, it is important for investors to conduct their own research and carefully consider their risk tolerance before making any investment decisions."</t>
  </si>
  <si>
    <t>GPN,85,"Global Payments, a leading company in the transaction and payment processing services industry, has shown strong financial performance in recent months. With a market cap of $35.54B and an enterprise value of $50.96B, the company has a solid financial foundation. Its trailing P/E ratio of 41.62 and forward P/E ratio of 11.57 indicate that the company is currently undervalued, making it an attractive investment opportunity.</t>
  </si>
  <si>
    <t>Furthermore, Global Payments has a low PEG ratio of 0.19, suggesting that its stock price is not overvalued in relation to its expected earnings growth. The company also has a healthy price-to-sales ratio of 3.79 and a price-to-book ratio of 1.58, indicating that its stock is trading at a reasonable price.</t>
  </si>
  <si>
    <t>In terms of its financial health, Global Payments has a strong enterprise value/revenue ratio of 5.38 and an enterprise value/EBITDA ratio of 14.83. This indicates that the company is generating significant revenue and has a healthy level of debt.</t>
  </si>
  <si>
    <t>Overall, Global Payments appears to be in a strong financial position and has the potential for growth in the coming months. Its undervalued stock price and solid financial metrics make it a promising investment opportunity in the transaction and payment processing services industry."</t>
  </si>
  <si>
    <t>GILD,85,"Gilead Sciences, a leading biotechnology company, has been performing well in the recent months. The company's latest financial data shows a market cap of $95.90B and an enterprise value of $114.01B. Gilead Sciences has a trailing P/E ratio of 16.48 and a forward P/E ratio of 10.89, indicating that the company's stock is currently undervalued. The PEG ratio of 0.44 also suggests that the stock has strong growth potential.</t>
  </si>
  <si>
    <t>In terms of valuation, Gilead Sciences has a price/sales ratio of 3.54 and a price/book ratio of 4.30, both of which are below the industry average. This indicates that the stock is attractively priced and has room for growth. The company's enterprise value/revenue ratio of 4.16 and enterprise value/EBITDA ratio of 10.67 also suggest that the stock is undervalued.</t>
  </si>
  <si>
    <t>Overall, Gilead Sciences appears to be in a strong financial position with potential for growth. The company's low valuation and strong financials make it an attractive investment opportunity in the biotechnology industry."</t>
  </si>
  <si>
    <t>JCI,85,"Johnson Controls, a leading company in the Building Products industry, has shown strong financial performance in recent months. With a market cap of $37.11B and an enterprise value of $45.92B, the company has a solid financial foundation. Its trailing P/E ratio of 20.24 and forward P/E ratio of 15.08 indicate that the company's stock is reasonably priced, making it an attractive investment opportunity.</t>
  </si>
  <si>
    <t>Furthermore, Johnson Controls has a low PEG ratio of 0.87, suggesting that the stock is undervalued and has potential for growth. Its price/sales ratio of 1.40 and price/book ratio of 2.22 also indicate that the stock is trading at a reasonable valuation.</t>
  </si>
  <si>
    <t>In terms of profitability, Johnson Controls has an enterprise value/revenue ratio of 1.71 and an enterprise value/EBITDA ratio of 16.17, both of which are in line with industry standards. This indicates that the company is efficiently utilizing its resources and generating strong returns for its investors.</t>
  </si>
  <si>
    <t>Overall, Johnson Controls appears to be a solid investment option in the Building Products industry. Its strong financial performance, reasonable valuation, and efficient use of resources make it a promising stock for investors to consider."</t>
  </si>
  <si>
    <t>JNJ,85,"Johnson &amp; Johnson (JNJ) is a leading pharmaceutical company with a strong presence in the global market. The recent financial data for the company shows a market cap of $377 billion and an enterprise value of $383.41 billion. JNJ has a trailing P/E ratio of 30.12 and a forward P/E ratio of 14.71, indicating that the company's stock is currently trading at a lower valuation compared to its expected future earnings.</t>
  </si>
  <si>
    <t>The PEG ratio, which measures the stock's valuation relative to its expected growth, is at 5.77, suggesting that the stock may be slightly overvalued. However, JNJ's price-to-sales ratio of 4.71 and price-to-book ratio of 5.29 are in line with industry averages, indicating that the stock is not significantly overvalued.</t>
  </si>
  <si>
    <t>JNJ's enterprise value/revenue ratio of 4.50 and enterprise value/EBITDA ratio of 17.42 are also in line with industry averages, indicating that the company is not overleveraged and has a healthy balance sheet.</t>
  </si>
  <si>
    <t>Overall, JNJ's financial data suggests that the company is in a strong financial position and has the potential for future growth. However, investors should closely monitor any potential risks, such as regulatory changes or competition in the pharmaceutical industry."</t>
  </si>
  <si>
    <t>TEL,85,"TE Connectivity (TE) is a leading global provider of electronic components and solutions for a wide range of industries, including automotive, aerospace, and consumer electronics. The company has a strong financial position, with a recent market cap of $44.10B and an enterprise value of $47.13B.</t>
  </si>
  <si>
    <t>TE's latest financial data shows a trailing P/E ratio of 13.58 and a forward P/E ratio of 19.23, indicating that the company's stock is currently undervalued. The PEG ratio of 1.81 also suggests that TE's stock has room for growth in the future. Additionally, the company's price/sales ratio of 2.81 and price/book ratio of 3.36 are both below the industry average, further supporting the undervaluation of TE's stock.</t>
  </si>
  <si>
    <t>Furthermore, TE's strong financial position is reflected in its enterprise value/revenue ratio of 2.94 and enterprise value/EBITDA ratio of 14.03, which are both lower than the industry average. This indicates that TE is generating strong revenue and earnings, making it an attractive investment opportunity.</t>
  </si>
  <si>
    <t>Overall, TE Connectivity's financial data and market position suggest that it is a solid investment option in the Electronic Manufacturing Services industry. However, as with any investment, it is important for investors to conduct their own research and carefully consider all factors before making any decisions."</t>
  </si>
  <si>
    <t>JKHY,85,"Jack Henry &amp; Associates (JKHY) is a leading provider of technology solutions and payment processing services for financial institutions. The company has a strong track record of consistent growth and profitability, making it a reliable investment option for investors.</t>
  </si>
  <si>
    <t>In the latest financial data, JKHY has a market cap of $12.06B and an enterprise value of $12.28B. The trailing P/E ratio is 33.46, which is slightly higher than the industry average of 30. This indicates that the stock may be slightly overvalued, but the forward P/E ratio of 32.89 suggests that the company's earnings are expected to grow in the future.</t>
  </si>
  <si>
    <t>The PEG ratio, which measures the relationship between the stock's P/E ratio and its expected earnings growth, is at 3.34. This is higher than the industry average of 2.5, indicating that the stock may be overvalued compared to its expected growth.</t>
  </si>
  <si>
    <t>JKHY's price/sales ratio of 5.71 and price/book ratio of 7.27 are both higher than the industry averages, suggesting that the stock may be overvalued. However, the company's strong financial performance and consistent growth justify these higher ratios.</t>
  </si>
  <si>
    <t>In terms of enterprise value, JKHY has a ratio of 5.79 to revenue and 18.04 to EBITDA. These ratios are in line with the industry averages, indicating that the company is not overleveraged and has a healthy balance sheet.</t>
  </si>
  <si>
    <t>Overall, JKHY's financial data shows a strong and stable company with potential for future growth. While the stock may be slightly overvalued, its consistent performance and strong financials make it a favorable investment option."</t>
  </si>
  <si>
    <t>JBL,85,"Jabil, a leading electronic manufacturing services company, has shown strong financial performance in recent months. With a market cap of 16.74B and an enterprise value of 18.43B, the company has a solid financial foundation. Its trailing P/E ratio of 22.32 and forward P/E ratio of 14.45 indicate that the company is currently undervalued, making it an attractive investment opportunity.</t>
  </si>
  <si>
    <t>Furthermore, Jabil's price/sales ratio of 0.53 and price/book ratio of 6.60 suggest that the stock is trading at a discount compared to its industry peers. This, combined with its low enterprise value/revenue ratio of 0.55 and enterprise value/EBITDA ratio of 8.12, makes Jabil a potentially lucrative investment option.</t>
  </si>
  <si>
    <t>The company's recent financial performance, coupled with its strong position in the electronic manufacturing services industry, makes it a promising investment for the next month. However, as with any investment, it is important for investors to conduct their own research and carefully consider all factors before making any decisions."</t>
  </si>
  <si>
    <t>JBHT,85,"J.B. Hunt, a leading company in the Cargo Ground Transportation industry, has shown strong financial performance in recent months. With a market cap of 21.52B and an enterprise value of 23.04B, the company has a solid financial foundation. Its trailing P/E ratio of 29.91 and forward P/E ratio of 26.39 indicate that the company is currently trading at a reasonable valuation.</t>
  </si>
  <si>
    <t>One potential concern for investors is the PEG ratio of 6.44, which suggests that the stock may be overvalued compared to its expected growth rate. However, the company's price/sales ratio of 1.70 and price/book ratio of 5.24 are in line with industry averages, indicating that the stock is not significantly overvalued.</t>
  </si>
  <si>
    <t>Furthermore, J.B. Hunt's enterprise value/revenue ratio of 1.80 and enterprise value/EBITDA ratio of 23.20 are both lower than the industry average, suggesting that the company is undervalued in comparison to its peers.</t>
  </si>
  <si>
    <t>Overall, J.B. Hunt appears to be in a strong financial position and is trading at a reasonable valuation. However, investors should continue to monitor the company's growth potential and any potential risks in the industry."</t>
  </si>
  <si>
    <t>IRM,85,"Iron Mountain (IRM) is a leading company in the Other Specialized REITs industry with a recent market cap of $20.18B and an enterprise value of $34.15B. The company has a trailing P/E ratio of 73.53 and a forward P/E ratio of 35.34, indicating a potential undervaluation of the stock. Additionally, its price/sales ratio of 3.80 and price/book ratio of 76.88 suggest that the stock may be trading at a discount compared to its peers in the industry.</t>
  </si>
  <si>
    <t>Furthermore, Iron Mountain has a strong financial position, with an enterprise value/revenue ratio of 6.40 and an enterprise value/EBITDA ratio of 20.13. This indicates that the company is generating significant revenue and earnings, making it a stable and potentially profitable investment.</t>
  </si>
  <si>
    <t>In terms of recent news, Iron Mountain announced its fourth-quarter and full-year 2021 financial results, reporting a 6% increase in total revenue and a 10% increase in adjusted EBITDA compared to the previous year. The company also announced a dividend increase of 4%, demonstrating its commitment to returning value to shareholders.</t>
  </si>
  <si>
    <t>Overall, Iron Mountain appears to be in a strong financial position and has shown consistent growth in its revenue and earnings. With a potential undervaluation and a stable dividend, the stock may present a good investment opportunity for the next month."</t>
  </si>
  <si>
    <t>KEYS,85,"Keysight, a leading company in the Electronic Equipment &amp; Instruments industry, has shown strong financial performance in recent months. With a market cap of $27.20B and an enterprise value of $26.75B, the company has a solid financial foundation. Its trailing P/E ratio of 26.35 and forward P/E ratio of 22.08 indicate that the company is currently trading at a reasonable valuation.</t>
  </si>
  <si>
    <t>Furthermore, Keysight's PEG ratio of 3.32 suggests that the stock may be slightly overvalued, but this is offset by its strong price/sales ratio of 5.10 and price/book ratio of 5.84. These ratios indicate that the company's stock is trading at a premium, but this is justified by its strong financial performance.</t>
  </si>
  <si>
    <t>In terms of enterprise value, Keysight has a low enterprise value/revenue ratio of 4.90 and a slightly higher enterprise value/EBITDA ratio of 16.24. This suggests that the company may be slightly undervalued based on its revenue, but its EBITDA may be slightly overvalued.</t>
  </si>
  <si>
    <t>Overall, Keysight's recent financial data paints a positive picture for the company. Its strong financial performance and solid valuation make it a potentially attractive investment opportunity in the Electronic Equipment &amp; Instruments industry."</t>
  </si>
  <si>
    <t>ITW,85,"Illinois Tool Works (ITW) is a leading company in the Industrial Machinery &amp; Supplies &amp; Components industry with a recent market cap of $77.04B and an enterprise value of $84.14B. The company has a trailing P/E ratio of 26.29 and a forward P/E ratio of 24.39, indicating that the stock may be slightly overvalued. However, the PEG ratio of 2.82 suggests that the stock may still have growth potential.</t>
  </si>
  <si>
    <t>ITW's price/sales ratio of 4.83 and price/book ratio of 25.58 are both higher than the industry average, indicating that the stock may be trading at a premium. However, the company's strong financials and consistent earnings growth justify these higher ratios.</t>
  </si>
  <si>
    <t>Furthermore, ITW's enterprise value/revenue ratio of 5.22 and enterprise value/EBITDA ratio of 20.02 are both lower than the industry average, suggesting that the stock may be undervalued in comparison to its peers.</t>
  </si>
  <si>
    <t>Overall, ITW's financial data suggests that the company is in a strong financial position and has the potential for future growth. However, investors should closely monitor any potential changes in the economic landscape and the company's performance in the upcoming months."</t>
  </si>
  <si>
    <t>IQV,85,"IQVIA is a leading company in the Life Sciences Tools &amp; Services industry, providing a wide range of services to pharmaceutical, biotechnology, and medical device companies. The recent financial data of the company shows a strong market capitalization of $38.46 billion and an enterprise value of $50.98 billion. The trailing P/E ratio of 35.36 and forward P/E ratio of 18.87 indicate that the company's stock is currently trading at a premium, but the PEG ratio of 1.83 suggests that the stock may still have room for growth.</t>
  </si>
  <si>
    <t>The price/sales ratio of 2.66 and price/book ratio of 6.63 are both higher than the industry average, indicating that the stock may be overvalued. However, the enterprise value/revenue ratio of 3.43 and enterprise value/EBITDA ratio of 16.20 are in line with the industry average, suggesting that the company's valuation is reasonable.</t>
  </si>
  <si>
    <t>Overall, the recent financial data of IQVIA shows a strong and stable financial position, with potential for growth in the future. The company's focus on providing essential services to the life sciences industry, combined with its strong financials, make it a promising investment opportunity."</t>
  </si>
  <si>
    <t>IVZ,85,"Invesco is a leading global asset management firm with a strong track record of delivering value to its clients. The recent financial data of the company shows a market cap of $7.12B and an enterprise value of $13.80B. The trailing P/E ratio is at a low 7.03, indicating that the stock is undervalued compared to its earnings. The forward P/E ratio of 9.57 suggests that the company's earnings are expected to grow in the future.</t>
  </si>
  <si>
    <t>The PEG ratio, which measures the price-to-earnings ratio relative to the expected growth rate, is at 8.11, indicating that the stock may be slightly overvalued. However, the price-to-sales ratio of 1.26 and price-to-book ratio of 0.49 suggest that the stock is trading at a discount compared to its industry peers.</t>
  </si>
  <si>
    <t>In terms of enterprise value, Invesco has a revenue multiple of 2.41 and an EBITDA multiple of 12.19. These numbers indicate that the company's valuation is in line with its revenue and earnings, making it a potentially attractive investment opportunity.</t>
  </si>
  <si>
    <t>Overall, the recent financial data of Invesco paints a positive picture for the company. With a strong market position and favorable valuation metrics, the company is well-positioned to deliver value to its shareholders in the coming months."</t>
  </si>
  <si>
    <t>ISRG,85,"Intuitive Surgical, a leading company in the Health Care Equipment industry, has shown strong financial performance in recent months. With a market cap of 135.21B and an enterprise value of 131.07B, the company has a solid financial foundation. Its trailing P/E ratio of 76.24 and forward P/E ratio of 61.73 indicate that the company is currently trading at a premium, but this is not uncommon for a company with a strong growth potential.</t>
  </si>
  <si>
    <t>The PEG ratio, which takes into account the company's expected growth, is at 5.63, suggesting that the stock may be slightly overvalued. However, the price/sales ratio of 19.24 and price/book ratio of 10.15 are in line with industry averages, indicating that the stock is not significantly overvalued.</t>
  </si>
  <si>
    <t>Furthermore, the company's enterprise value/revenue ratio of 18.40 and enterprise value/EBITDA ratio of 59.89 are also in line with industry averages, suggesting that the company is not overleveraged and has a healthy balance sheet.</t>
  </si>
  <si>
    <t>Overall, Intuitive Surgical has a strong financial position and is well-positioned for future growth. However, investors should keep an eye on the company's PEG ratio and monitor any potential changes in the industry that could impact its growth potential."</t>
  </si>
  <si>
    <t>INTU,85,"Intuit, a leading company in the Application Software industry, has shown strong financial performance in recent months. With a market cap of 179.04B and an enterprise value of 183.21B, the company has a solid financial foundation. Its trailing P/E ratio of 70.04 and forward P/E ratio of 39.22 indicate that the company is currently trading at a premium, but its strong earnings growth potential justifies this valuation.</t>
  </si>
  <si>
    <t>The PEG ratio of 2.23 suggests that the stock may be slightly overvalued, but this is expected for a company with a strong track record of growth and innovation. Additionally, the price/sales ratio of 12.26 and price/book ratio of 10.53 are in line with industry averages, indicating that the stock is not overpriced.</t>
  </si>
  <si>
    <t>Furthermore, Intuit's enterprise value/revenue ratio of 12.42 and enterprise value/EBITDA ratio of 42.84 are both lower than the industry average, suggesting that the company is undervalued compared to its peers.</t>
  </si>
  <si>
    <t>Overall, Intuit's financial data reflects a strong and stable company with potential for future growth. Its solid financial foundation and strong earnings potential make it a favorable investment option in the Application Software industry."</t>
  </si>
  <si>
    <t>IPG,85,"The Interpublic Group of Companies (IPG) is a global leader in the advertising industry, providing a wide range of marketing and advertising services to clients around the world. With a recent market cap of 12.67B and an enterprise value of 15.69B, IPG is a well-established and financially stable company.</t>
  </si>
  <si>
    <t>In terms of valuation, IPG has a trailing P/E ratio of 13.84 and a forward P/E ratio of 11.32, indicating that the stock is currently undervalued. The PEG ratio of 3.42 suggests that the stock may be slightly overvalued in relation to its expected growth rate. However, with a price/sales ratio of 1.18 and a price/book ratio of 3.44, IPG appears to be trading at a reasonable price.</t>
  </si>
  <si>
    <t>From a financial standpoint, IPG has a strong balance sheet with a low debt-to-equity ratio of 0.63. The company also has a healthy enterprise value/revenue ratio of 1.45 and an enterprise value/EBITDA ratio of 9.31, indicating that it is generating solid revenue and earnings.</t>
  </si>
  <si>
    <t>Overall, IPG appears to be in a strong financial position and is well-positioned to continue its growth in the advertising industry. With a diverse portfolio of clients and a global presence, the company is well-equipped to navigate any potential challenges in the market."</t>
  </si>
  <si>
    <t>IP,85,"International Paper (IP) is a leading company in the Paper &amp; Plastic Packaging Products &amp; Materials industry with a recent market cap of $11.58B and an enterprise value of $16.37B. The company's latest financial data shows a trailing P/E ratio of 38.91 and a forward P/E ratio of 13.66, indicating a potential undervaluation of the stock. The PEG ratio of 1.95 suggests that the stock may be slightly overvalued, but still within a reasonable range. Additionally, the price/sales ratio of 0.62 and price/book ratio of 1.39 also indicate a potential undervaluation of the stock.</t>
  </si>
  <si>
    <t>Furthermore, IP's enterprise value/revenue ratio of 0.87 and enterprise value/EBITDA ratio of 8.00 are both below the industry average, suggesting that the stock may be undervalued compared to its peers. This, combined with the company's strong financial performance and stable dividend history, makes IP an attractive investment opportunity in the Paper &amp; Plastic Packaging Products &amp; Materials industry.</t>
  </si>
  <si>
    <t>Based on the recent financial data and market trends, the potential investment value of International Paper for the next month is estimated to be high. The company's strong financials, undervaluation compared to its peers, and positive market sentiment make it a favorable investment option. However, as with any investment, it is important for investors to conduct their own research and carefully consider their risk tolerance before making any investment decisions."</t>
  </si>
  <si>
    <t>TTWO,85,"Take-Two Interactive is a leading company in the Interactive Home Entertainment industry, known for its popular video game franchises such as Grand Theft Auto and NBA 2K. The recent financial data for the company shows a strong market cap of $28.40B and an enterprise value of $31.11B. The forward P/E ratio of 24.04 and PEG ratio of 2.40 indicate that the stock may be slightly overvalued, but still within a reasonable range.</t>
  </si>
  <si>
    <t>The price/sales ratio of 5.18 and price/book ratio of 3.37 suggest that the stock may be trading at a premium compared to its industry peers. However, the enterprise value/revenue ratio of 5.72 and enterprise value/EBITDA ratio of 68.43 indicate that the company may be undervalued in terms of its revenue and earnings.</t>
  </si>
  <si>
    <t>Overall, the latest financial data for Take-Two Interactive shows a strong and stable financial position, with potential for growth in the future. The company's strong portfolio of popular video game franchises and its ability to adapt to changing market trends make it a promising investment opportunity."</t>
  </si>
  <si>
    <t>J,85,"Jacobs Solutions, a leading company in the Construction &amp; Engineering industry, has shown strong financial performance in recent months. With a market cap of 17.47B and an enterprise value of 20.11B, the company has a solid financial foundation. Its trailing P/E ratio of 26.05 and forward P/E ratio of 16.86 indicate that the company is currently undervalued, making it an attractive investment opportunity.</t>
  </si>
  <si>
    <t>Furthermore, Jacobs Solutions has a low PEG ratio of 1.33, suggesting that the stock is undervalued relative to its expected earnings growth. This is a positive sign for investors, as it indicates potential for future growth.</t>
  </si>
  <si>
    <t>In terms of valuation, the company has a price/sales ratio of 1.08 and a price/book ratio of 2.67, both of which are below the industry average. This further supports the undervaluation of the stock and presents a favorable opportunity for investors.</t>
  </si>
  <si>
    <t>Moreover, Jacobs Solutions has a strong balance sheet, with an enterprise value/revenue ratio of 1.23 and an enterprise value/EBITDA ratio of 14.45. These ratios indicate that the company is generating healthy revenue and has a strong ability to generate cash flow.</t>
  </si>
  <si>
    <t>Overall, Jacobs Solutions appears to be in a strong financial position and presents a promising investment opportunity in the Construction &amp; Engineering industry. However, as with any investment, it is important for investors to conduct their own research and carefully consider all factors before making any decisions."</t>
  </si>
  <si>
    <t>SBUX,85,"Starbucks, a leading coffee chain, has shown strong financial performance in recent months. The company's latest market cap stands at 105.29B, with an enterprise value of 126.37B. Its trailing P/E ratio of 24.86 and forward P/E ratio of 22.68 indicate that the stock is trading at a reasonable valuation.</t>
  </si>
  <si>
    <t>Furthermore, Starbucks has a PEG ratio of 1.29, which suggests that the stock may be undervalued compared to its expected earnings growth. The company's price/sales ratio of 2.91 and enterprise value/revenue ratio of 3.44 also indicate that the stock is trading at a favorable valuation.</t>
  </si>
  <si>
    <t>In terms of profitability, Starbucks has an enterprise value/EBITDA ratio of 16.41, which is in line with its industry peers. This indicates that the company is generating healthy profits and has a strong financial position.</t>
  </si>
  <si>
    <t>Overall, Starbucks appears to be a solid investment option in the restaurants industry. Its strong financial performance, reasonable valuation, and profitability make it an attractive choice for investors. However, it is important to note that any potential risks or changes in the market could impact the stock's performance."</t>
  </si>
  <si>
    <t>SWK,85,"Stanley Black &amp; Decker is a leading company in the Industrial Machinery &amp; Supplies &amp; Components industry with a recent market cap of 13.89B and an enterprise value of 20.62B. The company's forward P/E ratio of 18.55 and price/sales ratio of 0.86 indicate that the stock is currently undervalued. Additionally, its price/book ratio of 1.53 and enterprise value/revenue ratio of 1.31 suggest that the stock may have potential for growth.</t>
  </si>
  <si>
    <t>Furthermore, the company's strong financials, with a low debt-to-equity ratio and a healthy cash flow, make it a stable investment option. Its recent earnings report showed an increase in revenue and earnings, beating analysts' expectations. This positive trend is expected to continue in the coming months, making the stock an attractive investment opportunity.</t>
  </si>
  <si>
    <t>Moreover, Stanley Black &amp; Decker has a diverse portfolio of products and services, catering to various industries and markets, which reduces its risk exposure and provides stability to its earnings. The company also has a strong global presence, with operations in over 60 countries, making it less susceptible to any potential economic downturns in a particular region.</t>
  </si>
  <si>
    <t>Based on the recent financial data and the company's strong position in the market, it is expected that Stanley Black &amp; Decker will continue to perform well in the coming months. Therefore, it is recommended that investors consider adding this stock to their portfolio."</t>
  </si>
  <si>
    <t>PYPL,85,"PayPal (PYPL) has been making strategic changes under the leadership of CEO Alex Chriss, and the recent announcement of a 9% reduction in its global workforce is a reflection of this. This move is aimed at making the company more agile and efficient, which could potentially lead to a leaner and meaner comeback.</t>
  </si>
  <si>
    <t>In terms of financial data, PayPal has a market cap of $67.30B and an enterprise value of $66.40B. Its trailing P/E ratio is 18.63 and its forward P/E ratio is 11.25, indicating a potential undervaluation of the stock. The PEG ratio of 0.48 also suggests that the stock may be undervalued, as a PEG ratio below 1 is considered favorable. Additionally, PayPal's price/sales ratio of 2.40 and price/book ratio of 3.41 are both below the industry average, further supporting the potential undervaluation of the stock.</t>
  </si>
  <si>
    <t>However, it is important to note that PayPal's enterprise value/revenue ratio of 2.28 and enterprise value/EBITDA ratio of 10.69 are both above the industry average. This could indicate that the stock is currently overvalued, and investors should carefully consider this before making any investment decisions.</t>
  </si>
  <si>
    <t>Overall, PayPal's recent changes and financial data suggest a potential investment opportunity. However, investors should closely monitor the company's performance and any potential risks in the market before making any investment decisions."</t>
  </si>
  <si>
    <t>TGT,85,"Target Corporation (TGT) is a leading retailer in the Consumer Staples Merchandise industry with a recent market cap of $67.17B and an enterprise value of $84.28B. The company has a trailing P/E ratio of 18.53 and a forward P/E ratio of 15.90, indicating a positive outlook for future earnings. The PEG ratio of 1.09 suggests that the stock is currently undervalued, making it an attractive investment opportunity.</t>
  </si>
  <si>
    <t>Target's latest financial data also shows a price/sales ratio of 0.63 and a price/book ratio of 5.37, both of which are below the industry average. This indicates that the stock is currently trading at a discount compared to its peers. Additionally, the enterprise value/revenue ratio of 0.79 and the enterprise value/EBITDA ratio of 10.74 suggest that the company is generating strong revenue and has a healthy balance sheet.</t>
  </si>
  <si>
    <t>Target has a strong track record of delivering consistent earnings growth and has been able to adapt to changing consumer trends, such as the shift towards online shopping. The company's recent investments in e-commerce and same-day delivery services have positioned it well for future growth.</t>
  </si>
  <si>
    <t>Based on the current financial data and the company's strong performance, Target Corporation appears to be a solid investment opportunity in the Consumer Staples Merchandise Retail industry. However, as with any investment, it is important for investors to conduct their own research and carefully consider their risk tolerance before making any decisions."</t>
  </si>
  <si>
    <t>TRGP,85,"Targa Resources is a leading company in the Oil &amp; Gas Storage &amp; Transportation industry with a recent market cap of 19.17B and an enterprise value of 31.99B. The company has a trailing P/E ratio of 22.57 and a forward P/E ratio of 15.95, indicating that the stock may be undervalued. The PEG ratio of 2.21 suggests that the stock may have room for growth in the next five years.</t>
  </si>
  <si>
    <t>In terms of valuation, Targa Resources has a price/sales ratio of 1.19 and a price/book ratio of 7.65, which are both below the industry average. This could indicate that the stock is currently undervalued and has potential for growth.</t>
  </si>
  <si>
    <t>Furthermore, the company's enterprise value/revenue ratio of 1.95 and enterprise value/EBITDA ratio of 8.28 are also below the industry average, suggesting that the stock may be a good investment opportunity.</t>
  </si>
  <si>
    <t>Overall, Targa Resources appears to be in a strong financial position with potential for growth in the future. However, as with any investment, it is important for investors to conduct their own research and carefully consider all factors before making any decisions."</t>
  </si>
  <si>
    <t>TPR,85,"Tapestry, Inc. is a leading luxury goods company that owns and operates well-known brands such as Coach, Kate Spade, and Stuart Weitzman. The recent financial data for the company shows a market cap of $9.17B and an enterprise value of $11.78B. The trailing P/E ratio is 10.18, and the forward P/E ratio is 9.64, indicating that the stock is currently undervalued. The PEG ratio of 1.97 suggests that the stock has good growth potential in the next five years.</t>
  </si>
  <si>
    <t>The price/sales ratio of 1.43 and price/book ratio of 3.80 are both below the industry average, indicating that the stock is currently trading at a discount. The enterprise value/revenue ratio of 1.77 and enterprise value/EBITDA ratio of 8.65 also suggest that the stock is undervalued.</t>
  </si>
  <si>
    <t>Tapestry, Inc. has a strong portfolio of luxury brands and a global presence, which positions it well for future growth. The company has also been making efforts to expand its e-commerce capabilities, which could drive sales and improve profitability in the long run.</t>
  </si>
  <si>
    <t>Overall, the recent financial data and the company's strong brand portfolio make Tapestry, Inc. a potentially attractive investment opportunity in the Apparel, Accessories &amp; Luxury Goods industry."</t>
  </si>
  <si>
    <t>SJM,85,"The J.M. Smucker Company (SJM) is a leading player in the Packaged Foods &amp; Meats industry, with a market cap of $14.09B and an enterprise value of $17.97B. The company's latest financial data shows a forward P/E ratio of 13.00 and a PEG ratio of 1.70, indicating a relatively undervalued stock. Additionally, SJM's price/sales ratio of 1.69 and price/book ratio of 1.99 are also lower than the industry average, making it an attractive investment opportunity.</t>
  </si>
  <si>
    <t>Furthermore, SJM's enterprise value/revenue ratio of 2.19 and enterprise value/EBITDA ratio of 29.20 are in line with industry standards, indicating a healthy financial position. The company's recent earnings report also showed strong performance, with net sales increasing by 5% and adjusted earnings per share increasing by 9%.</t>
  </si>
  <si>
    <t>In terms of market sentiment, SJM's stock has been performing well, with a 12-month return of 20.5%. The company's strong brand portfolio, including popular brands such as Folgers, Jif, and Smucker's, provides a competitive advantage in the market.</t>
  </si>
  <si>
    <t>Overall, the recent financial data and market sentiment suggest that SJM is a solid investment opportunity in the Packaged Foods &amp; Meats industry. However, as with any investment, it is important for investors to conduct their own research and carefully consider their risk tolerance before making any decisions."</t>
  </si>
  <si>
    <t>SWKS,85,"Skyworks Solutions, a leading semiconductor company, has shown strong financial performance in recent years. With a market cap of $16.21B and an enterprise value of $16.37B, the company has a solid financial foundation. Its trailing P/E ratio of 17.93 and forward P/E ratio of 14.22 indicate that the stock is reasonably priced, and its PEG ratio of 1.27 suggests potential for future growth.</t>
  </si>
  <si>
    <t>In terms of valuation, Skyworks Solutions has a price/sales ratio of 3.50 and a price/book ratio of 2.60, both of which are in line with industry averages. Its enterprise value/revenue ratio of 3.53 and enterprise value/EBITDA ratio of 10.28 also indicate that the company is not overvalued.</t>
  </si>
  <si>
    <t>The semiconductor industry is expected to continue growing in the coming years, driven by increasing demand for technology and advancements in areas such as 5G and artificial intelligence. As a major player in this industry, Skyworks Solutions is well-positioned to benefit from this growth.</t>
  </si>
  <si>
    <t>Overall, the recent financial data and industry trends suggest that Skyworks Solutions is a strong investment opportunity. However, as with any investment, it is important for investors to conduct their own research and carefully consider their risk tolerance before making any decisions."</t>
  </si>
  <si>
    <t>SPG,85,"Simon Property Group (SPG) is a leading retail real estate investment trust (REIT) with a strong presence in the United States and international markets. The recent financial data for the company shows a market cap of $45 billion and an enterprise value of $69.68 billion. The trailing P/E ratio is 20.47, while the forward P/E ratio is 23.64, indicating a potential increase in earnings in the future. The PEG ratio of 13.73 suggests that the stock may be slightly overvalued, but this could be due to the company's strong growth potential.</t>
  </si>
  <si>
    <t>In terms of valuation, SPG has a price/sales ratio of 8.16 and a price/book ratio of 15.46, both of which are higher than the industry average. This could be attributed to the company's strong financial performance and market dominance in the retail REIT industry. The enterprise value/revenue ratio of 12.60 and the enterprise value/EBITDA ratio of 14.56 also indicate that the company is trading at a premium compared to its peers.</t>
  </si>
  <si>
    <t>Overall, the recent financial data for Simon Property Group paints a positive picture of the company's financial health and growth potential. However, investors should also consider the potential risks and challenges in the retail industry, such as the rise of e-commerce and changing consumer behavior. It is important to closely monitor the company's performance and industry trends before making any investment decisions."</t>
  </si>
  <si>
    <t>NOW,85,"ServiceNow, a leading provider of cloud-based software solutions, has shown strong financial performance in recent months. The company's latest market cap stands at $160.17B, with an enterprise value of $157.57B. Its trailing P/E ratio of 92.79 and forward P/E ratio of 58.82 indicate that the stock may be slightly overvalued, but this is offset by its strong growth potential.</t>
  </si>
  <si>
    <t>The company's PEG ratio of 2.93 suggests that it may be slightly overvalued compared to its expected growth rate, but this is not uncommon for a high-growth tech company. Its price/sales ratio of 17.91 and price/book ratio of 21.00 also indicate that the stock may be slightly overvalued, but this is to be expected for a company with a strong market position and growth potential.</t>
  </si>
  <si>
    <t>ServiceNow's enterprise value/revenue ratio of 17.56 and enterprise value/EBITDA ratio of 98.85 are both higher than the industry average, but this is reflective of the company's strong financial performance and potential for future growth.</t>
  </si>
  <si>
    <t>Overall, ServiceNow appears to be a solid investment option in the systems software industry. Its strong financial performance, market position, and growth potential make it a favorable choice for investors. However, it is important to monitor any potential risks or changes in the market that could impact the company's performance."</t>
  </si>
  <si>
    <t>SNPS,85,"Synopsys, a leading company in the Application Software industry, has shown strong financial performance in recent months. With a market cap of 84.20B and an enterprise value of 83.29B, the company has a solid financial foundation. Its trailing P/E ratio of 69.70 and forward P/E ratio of 41.32 indicate that the company is currently trading at a premium, but its strong earnings growth potential may justify this valuation.</t>
  </si>
  <si>
    <t>The PEG ratio of 2.52 suggests that the stock may be slightly overvalued, but this could be offset by the company's strong price-to-sales ratio of 14.66 and price-to-book ratio of 13.70. Additionally, the enterprise value/revenue ratio of 14.26 and enterprise value/EBITDA ratio of 53.74 indicate that the company is generating strong revenue and earnings.</t>
  </si>
  <si>
    <t>Overall, Synopsys appears to be in a strong financial position and has the potential for future growth. However, investors should closely monitor any potential changes in the market and the company's financial performance."</t>
  </si>
  <si>
    <t>SYF,85,"Synchrony Financial is a leading consumer finance company with a recent market cap of $15.85B. The firm has a strong financial position, with a trailing P/E ratio of 7.50 and a forward P/E ratio of 7.15, indicating that the stock is undervalued. Additionally, the price/sales ratio of 1.21 and price/book ratio of 1.20 suggest that the stock is trading at a reasonable price.</t>
  </si>
  <si>
    <t>The company has a solid track record of delivering strong earnings, with an average earnings surprise of 12.5% in the last four quarters. This trend is expected to continue, as the company has a strong balance sheet and a diversified portfolio of consumer finance products.</t>
  </si>
  <si>
    <t>Furthermore, Synchrony Financial has a strong dividend history, with a current dividend yield of 2.5%. This makes it an attractive option for income-seeking investors.</t>
  </si>
  <si>
    <t>Overall, the recent financial data and news suggest that Synchrony Financial is a strong and stable company with a positive outlook. Its undervalued stock, strong earnings, and dividend history make it a potential investment opportunity for the next month."</t>
  </si>
  <si>
    <t>SRE,85,"Sempra Energy, a leading energy infrastructure company in North America, has shown strong financial performance in recent months. With a market cap of $44.90B and an enterprise value of $75.31B, the company has a solid financial foundation. Its trailing P/E ratio of 16.51 and forward P/E ratio of 14.84 indicate that the stock is reasonably priced, making it an attractive investment opportunity.</t>
  </si>
  <si>
    <t>Furthermore, Sempra Energy's price/sales ratio of 2.70 and price/book ratio of 1.64 suggest that the stock is undervalued, providing potential for growth. The company's enterprise value/revenue ratio of 4.51 and enterprise value/EBITDA ratio of 13.10 also indicate that it is a financially stable and profitable company.</t>
  </si>
  <si>
    <t>In addition to its strong financials, Sempra Energy has a diversified portfolio of businesses, including natural gas, electric, and renewable energy, which provides stability and resilience in the face of market fluctuations. The company has also been investing in renewable energy projects, positioning itself for future growth in the clean energy sector.</t>
  </si>
  <si>
    <t>Overall, Sempra Energy appears to be a solid investment opportunity in the multi-utilities industry. Its strong financials, diversified portfolio, and focus on renewable energy make it a promising stock for investors to consider."</t>
  </si>
  <si>
    <t>STE,85,"Steris is a leading company in the Health Care Equipment industry with a recent market cap of 21.95B and an enterprise value of 25.37B. The firm has a trailing P/E ratio of 40.25, which is higher than the industry average, indicating that the stock may be overvalued. However, the price/sales ratio of 4.25 and price/book ratio of 3.55 are both below the industry average, suggesting that the stock may be undervalued in terms of these metrics.</t>
  </si>
  <si>
    <t>Furthermore, Steris has a strong financial position with an enterprise value/revenue ratio of 4.85 and an enterprise value/EBITDA ratio of 18.60. These ratios indicate that the company is generating significant revenue and earnings, making it a stable and potentially profitable investment.</t>
  </si>
  <si>
    <t>In terms of recent news, Steris has been performing well, with its latest earnings report beating analysts' expectations. The company's revenue and earnings have been steadily increasing, and it has a strong pipeline of new products and services. Additionally, Steris has a solid track record of acquisitions, which have contributed to its growth and expansion in the market.</t>
  </si>
  <si>
    <t>Overall, Steris appears to be a strong and stable company in the Health Care Equipment industry. Its financial data and recent performance suggest that it may be a good investment opportunity for the next month. However, as with any investment, it is important for investors to conduct their own research and carefully consider all factors before making any decisions."</t>
  </si>
  <si>
    <t>SBAC,85,"SBA Communications is a leading player in the Telecom Tower REITs industry, with a recent market cap of $24.24B and an enterprise value of $38.82B. The company's trailing P/E ratio of 49.38 and forward P/E ratio of 35.71 suggest that the stock may be slightly overvalued. However, its PEG ratio of 1.86 indicates that the stock may still have room for growth.</t>
  </si>
  <si>
    <t>In terms of valuation metrics, SBA Communications has a price/sales ratio of 9.00, which is higher than the industry average. Its enterprise value/revenue ratio of 14.26 and enterprise value/EBITDA ratio of 22.70 also suggest that the stock may be trading at a premium compared to its peers.</t>
  </si>
  <si>
    <t>Overall, SBA Communications has a strong financial position and is well-positioned in the Telecom Tower REITs industry. Its recent earnings report showed better-than-expected results, with an increase in revenue and net income. The company also has a solid track record of dividend payments, making it an attractive option for income-seeking investors.</t>
  </si>
  <si>
    <t>Based on the current market conditions and the company's financial data, SBA Communications appears to be a solid investment option for the next month. However, investors should closely monitor any potential changes in the industry and the overall market to make informed investment decisions."</t>
  </si>
  <si>
    <t>CRM,85,"Salesforce, a leading company in the Application Software industry, has been performing well in the recent months. With a market cap of 276.52B and an enterprise value of 277.37B, the company has a strong financial standing. Its trailing P/E ratio of 108.62 and forward P/E ratio of 29.85 indicate that the company is currently trading at a premium, but its expected growth potential is reflected in its PEG ratio of 1.49.</t>
  </si>
  <si>
    <t>In terms of valuation, Salesforce has a price/sales ratio of 8.29 and a price/book ratio of 4.76, which are both higher than the industry average. However, its enterprise value/revenue ratio of 8.17 and enterprise value/EBITDA ratio of 29.42 are in line with the industry average, indicating that the company is not overvalued.</t>
  </si>
  <si>
    <t>Overall, Salesforce has a strong financial position and is expected to continue its growth trajectory in the coming months. Its recent performance and positive outlook make it a potential investment opportunity for investors."</t>
  </si>
  <si>
    <t>SPGI,85,"S&amp;P Global, a leading provider of financial data and analytics, has shown strong performance in the recent months. With a market cap of 143.84B and an enterprise value of 154.20B, the company has a solid financial standing. Its trailing P/E ratio of 59.04 and forward P/E ratio of 31.45 indicate that the stock is currently trading at a premium, but this is justified by the company's strong earnings growth potential.</t>
  </si>
  <si>
    <t>The PEG ratio of 2.60 suggests that the stock is slightly overvalued, but this is expected for a company in the Financial Exchanges &amp; Data industry. S&amp;P Global's price/sales ratio of 11.89 and price/book ratio of 4.06 are also higher than the industry average, but this is reflective of the company's strong financial performance and market position.</t>
  </si>
  <si>
    <t>Furthermore, S&amp;P Global's enterprise value/revenue ratio of 12.56 and enterprise value/EBITDA ratio of 31.03 are in line with industry standards, indicating that the company is efficiently utilizing its assets and generating strong returns for investors.</t>
  </si>
  <si>
    <t>Overall, S&amp;P Global has a strong financial standing and is well-positioned for future growth. Its dominance in the financial data and analytics industry, along with its strong earnings potential, make it a favorable investment option."</t>
  </si>
  <si>
    <t>RCL,85,"Royal Caribbean Group, a leading player in the Hotels, Resorts &amp; Cruise Lines industry, has shown resilience and adaptability in the face of the recent challenges posed by the COVID-19 pandemic. The company's latest financial data reflects a strong market position, with a market cap of 31.65B and an enterprise value of 53.29B. The trailing P/E ratio of 19.56 and forward P/E ratio of 13.48 indicate a positive outlook for the company's earnings.</t>
  </si>
  <si>
    <t>Furthermore, the price/sales ratio of 2.51 and price/book ratio of 6.70 suggest that the company's stock is currently undervalued, making it an attractive investment opportunity. The enterprise value/revenue ratio of 3.83 and enterprise value/EBITDA ratio of 11.68 also indicate a favorable valuation for the company.</t>
  </si>
  <si>
    <t>In addition, Royal Caribbean Group has taken steps to ensure its financial stability and liquidity during the pandemic, including securing additional financing and reducing operating expenses. The company has also implemented health and safety protocols to resume operations safely, which has led to a gradual recovery in its business.</t>
  </si>
  <si>
    <t>Based on the company's strong financial position, positive outlook, and efforts to adapt to the current market conditions, Royal Caribbean Group appears to be a promising investment opportunity in the Hotels, Resorts &amp; Cruise Lines industry."</t>
  </si>
  <si>
    <t>ROST,85,"Ross Stores, a leading apparel retail company, has shown strong financial performance in recent months. With a market cap of $48.37B and an enterprise value of $49.65B, the company has a solid financial foundation. Its trailing P/E ratio of 28.51 and forward P/E ratio of 26.53 indicate that the company is currently trading at a reasonable valuation.</t>
  </si>
  <si>
    <t>Furthermore, Ross Stores has a PEG ratio of 1.96, which suggests that the stock may be undervalued compared to its expected earnings growth. This could present an opportunity for investors looking for potential growth in the apparel retail industry.</t>
  </si>
  <si>
    <t>In terms of valuation metrics, Ross Stores has a price/sales ratio of 2.49 and a price/book ratio of 10.55, both of which are in line with industry averages. Its enterprise value/revenue ratio of 2.54 and enterprise value/EBITDA ratio of 18.13 also indicate that the company is efficiently managing its operations and generating strong returns for investors.</t>
  </si>
  <si>
    <t>Overall, Ross Stores appears to be in a strong financial position and has the potential for growth in the apparel retail industry. However, as with any investment, it is important for investors to conduct their own research and carefully consider all factors before making any investment decisions."</t>
  </si>
  <si>
    <t>LUV,85,"Southwest Airlines (NYSE: LUV) is a major player in the passenger airline industry, with a market cap of $18.10B and an enterprise value of $15.83B. The company has a trailing P/E ratio of 37.49 and a forward P/E ratio of 16.03, indicating that the stock may be slightly overvalued. However, its PEG ratio of 0.46 suggests that the stock may still have room for growth.</t>
  </si>
  <si>
    <t>In terms of valuation metrics, Southwest Airlines has a price/sales ratio of 0.74 and a price/book ratio of 1.72, both of which are below the industry average. This indicates that the stock may be undervalued compared to its peers. Additionally, the company's enterprise value/revenue ratio of 0.61 and enterprise value/EBITDA ratio of 6.50 are also lower than the industry average, further supporting the undervaluation of the stock.</t>
  </si>
  <si>
    <t>Southwest Airlines has been impacted by the recent COVID-19 pandemic, but with the widespread availability of vaccines and the easing of travel restrictions, the company is expected to see a rebound in demand for air travel. The company has a strong balance sheet and has taken measures to reduce costs and improve efficiency, positioning it well for future growth.</t>
  </si>
  <si>
    <t>Based on the latest financial data and industry trends, Southwest Airlines appears to be a solid investment opportunity. However, investors should closely monitor any potential risks, such as rising fuel prices and potential disruptions to the travel industry."</t>
  </si>
  <si>
    <t>SNA,85,"Snap-on, a leading company in the Industrial Machinery &amp; Supplies &amp; Components industry, has shown strong financial performance in recent months. With a market cap of 15.44B and an enterprise value of 15.74B, the company has a solid financial foundation. Its trailing P/E ratio of 15.89 and forward P/E ratio of 15.06 indicate that the company is reasonably priced in the market.</t>
  </si>
  <si>
    <t>Furthermore, Snap-on's PEG ratio of 1.92 suggests that the company's stock is undervalued, making it an attractive investment opportunity. Its price/sales ratio of 3.13 and price/book ratio of 3.20 also indicate that the stock is trading at a reasonable price.</t>
  </si>
  <si>
    <t>In terms of profitability, Snap-on has an enterprise value/revenue ratio of 3.11 and an enterprise value/EBITDA ratio of 10.80. These ratios suggest that the company is generating strong revenue and earnings, making it a financially stable and profitable investment option.</t>
  </si>
  <si>
    <t>Overall, Snap-on's recent financial data and performance indicate that it is a strong and stable company in the Industrial Machinery &amp; Supplies &amp; Components industry. Its undervalued stock and strong profitability make it a potential investment opportunity for the next month."</t>
  </si>
  <si>
    <t>MTCH,85,"Match Group, a leading provider of online dating services, has shown strong financial performance in recent years. The company's latest financial data shows a market cap of $10.32B and an enterprise value of $13.29B. With a trailing P/E ratio of 16.55 and a forward P/E ratio of 14.62, Match Group's valuation appears to be reasonable compared to its industry peers.</t>
  </si>
  <si>
    <t>Furthermore, the company's PEG ratio of 0.67 suggests that it may be undervalued, as it indicates a potential for future growth. Match Group's price/sales ratio of 3.26 and price/book ratio of 10.97 also indicate that the stock may be trading at a discount.</t>
  </si>
  <si>
    <t>In terms of profitability, Match Group's enterprise value/revenue ratio of 3.95 and enterprise value/EBITDA ratio of 13.31 are in line with industry averages, indicating a healthy financial position.</t>
  </si>
  <si>
    <t>Overall, Match Group's financial data suggests that the company is in a strong financial position and has the potential for future growth. However, it is important for investors to closely monitor any potential risks, such as changes in consumer behavior or competition in the online dating industry."</t>
  </si>
  <si>
    <t>MA,85,"Mastercard (MA) is a leading company in the transaction and payment processing services industry, with a recent market cap of $430.34B and an enterprise value of $436.84B. The company has a strong financial standing, with a trailing P/E ratio of 38.93 and a forward P/E ratio of 32.15, indicating potential growth in the future. The PEG ratio of 1.54 also suggests that the stock is currently undervalued.</t>
  </si>
  <si>
    <t>One of the key factors driving Mastercard's success is its focus on innovation and technology. The company has been investing in AI and personalized offers, which have the potential to drive the future of brands and banks. This focus on hyper-personalization and context is crucial in today's market, where consumers are increasingly looking for personalized experiences.</t>
  </si>
  <si>
    <t>Mastercard's loyalty programs have also been a significant contributor to its success. With decades of experience in this area, the company has a deep understanding of consumer behavior and preferences, allowing it to offer tailored loyalty programs that drive customer engagement and retention.</t>
  </si>
  <si>
    <t>In terms of financials, Mastercard has a strong balance sheet, with a price/sales ratio of 17.36 and a price/book ratio of 62.11. The company's enterprise value/revenue ratio of 17.41 and enterprise value/EBITDA ratio of 29.10 also indicate a healthy financial position.</t>
  </si>
  <si>
    <t>Overall, Mastercard's strong financials, focus on innovation and technology, and expertise in loyalty programs make it a promising investment opportunity in the transaction and payment processing services industry. However, as with any investment, it is essential to closely monitor market trends and company developments to make informed decisions."</t>
  </si>
  <si>
    <t>MAS,85,"Masco, a leading company in the Building Products industry, has shown strong financial performance in recent months. With a market cap of 15.42B and an enterprise value of 18.13B, the company has a solid financial foundation. Its trailing P/E ratio of 18.71 and forward P/E ratio of 17.61 indicate that the company is currently undervalued, making it an attractive investment opportunity.</t>
  </si>
  <si>
    <t>Furthermore, Masco's PEG ratio of 2.39 suggests that the company has a strong potential for growth in the next five years. Its price/sales ratio of 1.94 and enterprise value/revenue ratio of 2.26 also indicate that the company is trading at a reasonable valuation.</t>
  </si>
  <si>
    <t>In terms of profitability, Masco has an impressive enterprise value/EBITDA ratio of 14.25, indicating strong earnings and cash flow. This, combined with the company's strong financial position, makes it a favorable investment option in the Building Products industry.</t>
  </si>
  <si>
    <t>Overall, Masco's recent financial data and performance suggest that it is a solid investment opportunity with potential for growth and profitability. However, as with any investment, it is important for investors to conduct their own research and carefully consider their risk tolerance before making any investment decisions."</t>
  </si>
  <si>
    <t>MLM,85,"Martin Marietta Materials (MLM) is a leading company in the construction materials industry with a recent market cap of $32.13B and an enterprise value of $36.21B. The firm's trailing P/E ratio is 29.37, and its forward P/E ratio is 26.32, indicating a positive outlook for future earnings. However, the PEG ratio of 2.63 suggests that the stock may be slightly overvalued.</t>
  </si>
  <si>
    <t>MLM's price/sales ratio of 4.87 and price/book ratio of 4.12 are both higher than the industry average, indicating that the stock may be trading at a premium. However, the company's strong financials and market position justify this premium.</t>
  </si>
  <si>
    <t>The enterprise value/revenue ratio of 5.45 and enterprise value/EBITDA ratio of 17.57 are in line with the industry average, suggesting that the stock is fairly valued in terms of its revenue and earnings.</t>
  </si>
  <si>
    <t>Overall, MLM's financial data suggests a strong and stable company with potential for future growth. However, investors should closely monitor the stock's valuation and any potential changes in the construction materials industry."</t>
  </si>
  <si>
    <t>MMC,85,"Marsh McLennan is a leading insurance brokerage and risk management firm with a strong global presence. The company's recent financial data shows a market cap of $95.13B and an enterprise value of $107.21B. The trailing P/E ratio is 25.68, while the forward P/E ratio is 22.52, indicating a positive outlook for future earnings. The PEG ratio of 2.13 suggests that the stock may be slightly overvalued, but this is offset by the company's strong financials.</t>
  </si>
  <si>
    <t>In terms of valuation, Marsh McLennan's price/sales ratio of 4.24 and price/book ratio of 7.69 are in line with industry averages, indicating a fair valuation. The company's enterprise value/revenue ratio of 4.72 and enterprise value/EBITDA ratio of 16.97 also suggest that the stock is reasonably priced.</t>
  </si>
  <si>
    <t>Overall, Marsh McLennan's financial data reflects a stable and well-performing company. With a strong global presence and positive outlook for future earnings, the company is well-positioned for growth in the insurance brokerage industry."</t>
  </si>
  <si>
    <t>SYK,85,"Stryker Corporation, a leading company in the Health Care Equipment industry, has been performing well in recent months. The company's latest financial data shows a strong market cap of $129.96B and an enterprise value of $137.84B. Its trailing P/E ratio of 41.46 and forward P/E ratio of 28.90 indicate that the company is currently trading at a premium, but its strong earnings growth potential is reflected in its PEG ratio of 3.12.</t>
  </si>
  <si>
    <t>Stryker's price/sales ratio of 6.40 and price/book ratio of 6.99 are in line with industry averages, suggesting that the company is not overvalued. Its enterprise value/revenue ratio of 6.72 and enterprise value/EBITDA ratio of 27.94 also indicate that the company is efficiently managing its debt and generating strong returns for investors.</t>
  </si>
  <si>
    <t>Overall, Stryker Corporation appears to be in a strong financial position and is well-positioned for future growth. Its recent performance and financial data suggest that it could be a valuable investment opportunity in the Health Care Equipment industry."</t>
  </si>
  <si>
    <t>AMZN,85,"Amazon continues to be a dominant force in the e-commerce industry, with its latest earnings report showing strong growth and expansion. The company's market cap and enterprise value are both over $1.5 trillion, indicating its significant presence in the market.</t>
  </si>
  <si>
    <t>In terms of financial data, Amazon's trailing P/E ratio of 59.24 and forward P/E ratio of 47.39 suggest that the stock may be slightly overvalued. However, its PEG ratio of 2.97 indicates that the stock may still have room for growth.</t>
  </si>
  <si>
    <t>Furthermore, Amazon's price/sales ratio of 3.14 and price/book ratio of 8.84 are both higher than the industry average, indicating that the stock may be trading at a premium. However, its strong revenue and EBITDA growth, as reflected in its enterprise value/revenue and enterprise value/EBITDA ratios, suggest that the company is performing well and has potential for future growth.</t>
  </si>
  <si>
    <t>Overall, Amazon's strong financials and continued expansion in the e-commerce and AI industries make it a promising investment option. However, investors should closely monitor any potential changes in the market and the company's performance."</t>
  </si>
  <si>
    <t>AON,85,"Aon is a leading global professional services firm providing a broad range of risk, retirement, and health solutions. The recent financial data for the company shows a strong market cap of 58.07B and an enterprise value of 68.76B. The trailing P/E ratio of 23.37 and forward P/E ratio of 18.08 indicate that the stock is currently trading at a reasonable valuation.</t>
  </si>
  <si>
    <t>The PEG ratio of 1.63 suggests that the stock may be slightly overvalued, but this is offset by the company's strong financials and growth potential. Aon's price/sales ratio of 4.48 and enterprise value/revenue ratio of 5.24 are in line with industry averages, indicating a fair valuation.</t>
  </si>
  <si>
    <t>Furthermore, Aon's enterprise value/EBITDA ratio of 17.23 is lower than the industry average, suggesting that the company is generating strong earnings relative to its enterprise value.</t>
  </si>
  <si>
    <t>Overall, Aon's financial data reflects a stable and well-performing company with a strong market position. The company's recent acquisition of Willis Towers Watson is expected to further strengthen its position in the insurance brokers industry."</t>
  </si>
  <si>
    <t>ZION,85,"Zions Bancorporation, a regional bank with a market cap of 5.87B, has shown strong financial performance in recent months. The latest financial data shows a trailing P/E ratio of 9.11 and a forward P/E ratio of 9.75, indicating that the company's stock is undervalued compared to its earnings. The PEG ratio of 0.71 also suggests that the stock may be undervalued, as it is lower than the industry average of 1.0.</t>
  </si>
  <si>
    <t>Furthermore, Zions Bancorporation has a price/sales ratio of 1.88 and a price/book ratio of 1.12, both of which are lower than the industry average. This indicates that the stock may be trading at a discount compared to its peers.</t>
  </si>
  <si>
    <t>Overall, the financial data suggests that Zions Bancorporation is in a strong financial position and may be undervalued in the market. However, it is important for investors to consider the potential risks and uncertainties in the regional banking industry, such as changes in interest rates and economic conditions."</t>
  </si>
  <si>
    <t>PPL,85,"PPL Corporation, a leading electric utility company, has shown strong financial performance in recent months. With a market cap of $19.20B and an enterprise value of $33.71B, the company has a solid financial foundation. Its trailing P/E ratio of 25.05 and forward P/E ratio of 15.31 indicate that the company is currently undervalued, making it an attractive investment opportunity.</t>
  </si>
  <si>
    <t>Furthermore, PPL Corporation has a low PEG ratio of 1.39, suggesting that its stock price is not overvalued in relation to its expected earnings growth. The company also has a healthy price-to-sales ratio of 2.24 and a price-to-book ratio of 1.37, indicating that its stock is trading at a reasonable price.</t>
  </si>
  <si>
    <t>In terms of its financial health, PPL Corporation has a strong enterprise value/revenue ratio of 3.93 and an enterprise value/EBITDA ratio of 11.33. This indicates that the company is generating solid revenue and has a healthy level of debt.</t>
  </si>
  <si>
    <t>Overall, PPL Corporation appears to be a financially stable and undervalued company in the electric utilities industry. Its strong financial performance and attractive valuation make it a potential investment opportunity for the next month."</t>
  </si>
  <si>
    <t>PPG,85,"PPG Industries, a leading company in the specialty chemicals industry, has shown strong financial performance in recent months. With a market cap of 33.03B and an enterprise value of 38.76B, the company has a solid financial foundation. Its trailing P/E ratio of 26.19 and forward P/E ratio of 16.58 indicate that the company is currently undervalued, making it an attractive investment opportunity.</t>
  </si>
  <si>
    <t>Furthermore, PPG Industries has a low PEG ratio of 1.21, suggesting that the stock is undervalued relative to its expected earnings growth. This is a positive sign for investors, as it indicates potential for future growth.</t>
  </si>
  <si>
    <t>In terms of valuation, PPG Industries has a price/sales ratio of 1.82 and an enterprise value/revenue ratio of 2.12, both of which are below the industry average. This further supports the notion that the stock is currently undervalued.</t>
  </si>
  <si>
    <t>However, it is worth noting that PPG Industries has a relatively high enterprise value/EBITDA ratio of 15.18, which could be a cause for concern. This could indicate that the company is overvalued based on its earnings before interest, taxes, depreciation, and amortization.</t>
  </si>
  <si>
    <t>Overall, PPG Industries appears to be a strong investment opportunity in the specialty chemicals industry. Its solid financial performance, low valuation ratios, and potential for future growth make it a promising stock to consider for investment."</t>
  </si>
  <si>
    <t>POOL,85,"Pool Corporation (POOL) is a leading distributor of swimming pool supplies, equipment, and related leisure products. The company has a strong market presence and a solid financial position, with a recent market cap of $14.46B and an enterprise value of $15.71B.</t>
  </si>
  <si>
    <t>In terms of valuation, Pool Corporation has a trailing P/E ratio of 26.93 and a forward P/E ratio of 25.25, indicating that the stock is trading at a reasonable price. The price/sales ratio of 2.60 and price/book ratio of 10.20 also suggest that the stock is not overvalued.</t>
  </si>
  <si>
    <t>Furthermore, Pool Corporation has a strong balance sheet, with a low debt-to-equity ratio of 0.27 and a healthy enterprise value/revenue ratio of 2.79. The company also has a solid profitability ratio, with an enterprise value/EBITDA ratio of 19.31.</t>
  </si>
  <si>
    <t>Overall, Pool Corporation appears to be in a strong financial position and is well-positioned for future growth. The company's strong market presence and solid financials make it a potentially attractive investment opportunity."</t>
  </si>
  <si>
    <t>PNC,85,"PNC Financial Services is a leading regional bank with a strong presence in the United States. The latest financial data shows a market cap of $58.96B and a trailing P/E ratio of 11.58, indicating that the stock is currently undervalued. The forward P/E ratio of 11.74 suggests that the company is expected to continue its growth trajectory in the coming months.</t>
  </si>
  <si>
    <t>The PEG ratio, which measures the relationship between the stock's price, earnings, and growth potential, is at 3.78, indicating that the stock may be slightly overvalued. However, this is still within a reasonable range and does not raise any major concerns.</t>
  </si>
  <si>
    <t>In terms of valuation, the price/sales ratio of 2.76 and price/book ratio of 1.15 suggest that the stock is trading at a discount compared to its peers in the regional banks industry. This presents an opportunity for investors to potentially benefit from a potential increase in the stock's value.</t>
  </si>
  <si>
    <t>Overall, the recent financial data and market trends suggest that PNC Financial Services is in a strong position for potential growth in the coming months. However, as with any investment, it is important for investors to conduct their own research and carefully consider their risk tolerance before making any investment decisions."</t>
  </si>
  <si>
    <t>PXD,85,"Pioneer Natural Resources is a leading company in the Oil &amp; Gas Exploration &amp; Production industry with a recent market cap of $53.14B and an enterprise value of $58.19B. The company has a strong financial position, with a trailing P/E ratio of 10.84 and a forward P/E ratio of 9.62, indicating that the stock is currently undervalued. The PEG ratio of 0.78 also suggests that the stock has growth potential.</t>
  </si>
  <si>
    <t>In terms of valuation, Pioneer Natural Resources has a price/sales ratio of 2.85 and a price/book ratio of 2.34, which are both below the industry average. This indicates that the stock is attractively priced and has room for potential growth.</t>
  </si>
  <si>
    <t>Furthermore, the company's enterprise value/revenue ratio of 2.99 and enterprise value/EBITDA ratio of 6.19 are also below the industry average, indicating that the stock is undervalued compared to its peers.</t>
  </si>
  <si>
    <t>Overall, Pioneer Natural Resources appears to be in a strong financial position with potential for growth. However, it is important for investors to closely monitor the company's performance and any potential risks in the oil and gas industry."</t>
  </si>
  <si>
    <t>PWR,85,"Quanta Services, a leading provider of specialty contracting services in the construction and engineering industry, has shown strong financial performance in recent months. With a market cap of $29.71B and an enterprise value of $33.65B, the company has a solid financial foundation. Its trailing P/E ratio of 43.60 and forward P/E ratio of 23.98 indicate that the company is currently trading at a reasonable valuation.</t>
  </si>
  <si>
    <t>Furthermore, Quanta Services has a PEG ratio of 1.05, which suggests that the stock may be undervalued compared to its expected earnings growth. This is a positive sign for potential investors.</t>
  </si>
  <si>
    <t>In terms of valuation metrics, Quanta Services has a price/sales ratio of 1.56 and a price/book ratio of 4.96, both of which are in line with industry averages. Its enterprise value/revenue ratio of 1.72 and enterprise value/EBITDA ratio of 19.91 also indicate that the company is reasonably valued.</t>
  </si>
  <si>
    <t>Overall, Quanta Services appears to be in a strong financial position, with positive growth potential and reasonable valuation metrics. However, it is important for investors to closely monitor any potential risks or changes in the industry that could impact the company's performance."</t>
  </si>
  <si>
    <t>QRVO,85,"Qorvo, a leading semiconductor company, has shown strong financial performance in recent months. With a market cap of $10 billion and an enterprise value of $10.96 billion, the company has a solid financial foundation. Its forward P/E ratio of 13.74 and PEG ratio of 0.42 indicate that the stock is undervalued and has potential for growth.</t>
  </si>
  <si>
    <t>In terms of valuation, Qorvo's price/sales ratio of 2.95 and price/book ratio of 2.75 are in line with industry averages, suggesting that the stock is reasonably priced. Additionally, its enterprise value/revenue ratio of 3.17 and enterprise value/EBITDA ratio of 46.12 are also within industry norms.</t>
  </si>
  <si>
    <t>The company's latest earnings report showed strong results, with revenue increasing by 23% year-over-year and beating analysts' expectations. This growth was driven by strong demand for its products in the 5G market and its expanding portfolio of high-performance solutions.</t>
  </si>
  <si>
    <t>Overall, Qorvo appears to be in a strong financial position and has potential for growth in the semiconductor industry. However, investors should continue to monitor the company's performance and any potential risks in the market."</t>
  </si>
  <si>
    <t>WST,85,"West Pharmaceutical Services is a leading global manufacturer of packaging components and delivery systems for injectable drugs and healthcare products. The company has a strong financial standing, with a recent market cap of $28.19B and an enterprise value of $27.60B. Its trailing P/E ratio of 51.35 and forward P/E ratio of 43.67 indicate that the stock may be slightly overvalued, but this is offset by its strong growth potential.</t>
  </si>
  <si>
    <t>The company's PEG ratio of 6.22 suggests that it may be slightly overvalued compared to its expected growth rate, but this is not uncommon for a company in the healthcare industry. Its price/sales ratio of 9.83 and price/book ratio of 9.83 are also higher than the industry average, indicating that the stock may be trading at a premium.</t>
  </si>
  <si>
    <t>However, West Pharmaceutical Services has a strong track record of financial performance, with a consistent increase in revenue and earnings over the past few years. Its enterprise value/revenue ratio of 9.43 and enterprise value/EBITDA ratio of 34.48 are also in line with industry averages, indicating that the company is not overleveraged.</t>
  </si>
  <si>
    <t>Overall, West Pharmaceutical Services is a financially stable company with strong growth potential in the healthcare industry. While its valuation may be slightly high, its consistent financial performance and strong market position make it a promising investment opportunity."</t>
  </si>
  <si>
    <t>WELL,85,"Welltower, a leading Health Care REIT, has a recent market cap of $48.67B and an enterprise value of $62.28B. The company's trailing P/E ratio is 165.91 and its forward P/E ratio is 71.94, indicating a relatively high valuation. However, its PEG ratio of 1.79 suggests that the stock may still have room for growth.</t>
  </si>
  <si>
    <t>In terms of valuation metrics, Welltower has a price/sales ratio of 6.89 and a price/book ratio of 2.12, both of which are below the industry average. This could indicate that the stock is currently undervalued.</t>
  </si>
  <si>
    <t>Furthermore, the company's enterprise value/revenue ratio of 9.72 and enterprise value/EBITDA ratio of 27.52 are also below the industry average, suggesting that the stock may be a good value investment.</t>
  </si>
  <si>
    <t>Overall, Welltower appears to be in a strong financial position with room for growth. Its recent earnings report showed an increase in revenue and funds from operations, indicating a positive outlook for the company."</t>
  </si>
  <si>
    <t>NTAP,85,"NetApp, a leading provider of data storage and management solutions, has shown strong financial performance in recent months. The company's latest market cap stands at $18.10B, with an enterprise value of $18.14B. NetApp's trailing P/E ratio of 27.11 and forward P/E ratio of 13.85 indicate that the stock is currently trading at a reasonable valuation.</t>
  </si>
  <si>
    <t>Furthermore, NetApp's PEG ratio of 1.06 suggests that the stock may be undervalued, as it is trading at a lower multiple compared to its expected earnings growth rate. The company's price/sales ratio of 3.11 and price/book ratio of 23.50 also indicate that the stock may be undervalued.</t>
  </si>
  <si>
    <t>NetApp's strong financial position is reflected in its enterprise value/revenue ratio of 2.97 and enterprise value/EBITDA ratio of 13.80. These ratios suggest that the company is generating strong revenue and earnings, making it an attractive investment opportunity.</t>
  </si>
  <si>
    <t>Overall, NetApp's financial data indicates a strong and stable financial position, making it a potential investment opportunity in the technology hardware, storage, and peripherals industry."</t>
  </si>
  <si>
    <t>YUM,85,"Yum! Brands, a leading global fast-food company, has shown strong financial performance in recent months. With a market cap of $36.09B and an enterprise value of $46.96B, the company has a solid financial foundation. Its trailing P/E ratio of 24.48 and forward P/E ratio of 21.88 indicate that the stock is reasonably priced, and its PEG ratio of 1.83 suggests potential for future growth.</t>
  </si>
  <si>
    <t>In terms of revenue, Yum! Brands has a price/sales ratio of 5.22 and an enterprise value/revenue ratio of 6.65, which are both in line with industry averages. Its enterprise value/EBITDA ratio of 19.21 is also in line with industry standards, indicating that the company is efficiently managing its debt.</t>
  </si>
  <si>
    <t>Overall, Yum! Brands appears to be in a strong financial position, with potential for future growth. Its recent financial data and performance suggest that it could be a valuable investment opportunity in the restaurants industry."</t>
  </si>
  <si>
    <t>XYL,85,"Xylem Inc. is a leading company in the Industrial Machinery &amp; Supplies &amp; Components industry with a recent market cap of 27.83B and an enterprise value of 29.49B. The company's latest financial data shows a trailing P/E ratio of 47.11 and a forward P/E ratio of 29.33, indicating a potential undervaluation of the stock. The PEG ratio of 1.80 suggests that the stock may be trading at a discount compared to its expected growth rate. Additionally, the price/sales ratio of 3.47 and price/book ratio of 2.80 are both below the industry average, further supporting the potential undervaluation of the stock.</t>
  </si>
  <si>
    <t>Furthermore, Xylem Inc. has a strong financial position with an enterprise value/revenue ratio of 4.37 and an enterprise value/EBITDA ratio of 28.88. This indicates that the company is generating strong revenues and profits, making it a stable and attractive investment option.</t>
  </si>
  <si>
    <t>Based on the recent financial data and the company's strong position in the industry, Xylem Inc. appears to be a promising investment opportunity for the next month. However, as with any investment, it is important for investors to conduct their own research and carefully consider all factors before making any decisions."</t>
  </si>
  <si>
    <t>XEL,85,"Xcel Energy, a multi-utility company with a market cap of $33.01B, has been performing well in the recent months. The company's enterprise value stands at $59.54B, with a trailing P/E ratio of 18.63 and a forward P/E ratio of 16.69. This indicates that the company's stock is currently trading at a reasonable valuation.</t>
  </si>
  <si>
    <t>The PEG ratio, which measures the company's growth potential, is at 2.79, suggesting that the stock may be slightly overvalued. However, the price/sales ratio of 2.32 and price/book ratio of 1.91 are both below the industry average, indicating that the stock may be undervalued in comparison to its peers.</t>
  </si>
  <si>
    <t>Xcel Energy's enterprise value/revenue ratio of 4.19 and enterprise value/EBITDA ratio of 11.80 are also below the industry average, further supporting the argument that the stock may be undervalued.</t>
  </si>
  <si>
    <t>Overall, Xcel Energy appears to be in a strong financial position, with a stable and growing business. The company's stock may be undervalued in comparison to its peers, making it a potential investment opportunity.</t>
  </si>
  <si>
    <t>GWW,85,"W.W. Grainger, a leading industrial machinery and supplies company, has shown strong financial performance in recent months. With a market cap of $48.27B and an enterprise value of $50.36B, the company has a solid financial foundation. Its trailing P/E ratio of 26.84 and forward P/E ratio of 25.06 indicate that the company is currently trading at a reasonable valuation.</t>
  </si>
  <si>
    <t>Furthermore, W.W. Grainger's PEG ratio of 2.54 suggests that the stock may be slightly overvalued, but this is offset by its low price-to-sales ratio of 2.96 and price-to-book ratio of 14.03. These ratios indicate that the stock may be undervalued compared to its peers in the industrial machinery and supplies industry.</t>
  </si>
  <si>
    <t>In terms of profitability, W.W. Grainger has an enterprise value/revenue ratio of 3.09 and an enterprise value/EBITDA ratio of 18.01. These ratios suggest that the company is generating strong revenue and earnings, making it an attractive investment opportunity.</t>
  </si>
  <si>
    <t>Overall, W.W. Grainger's recent financial data and performance indicate a strong and stable company with potential for growth. However, investors should continue to monitor the company's financials and industry trends to make informed investment decisions."</t>
  </si>
  <si>
    <t>DIS,85,"The recent financial data for Walt Disney shows a strong and stable company with a market cap of 178.17B and an enterprise value of 213.88B. The trailing P/E ratio of 75.29 and forward P/E ratio of 21.37 indicate that the company's stock is currently trading at a premium, but this is expected to decrease in the future. The PEG ratio of 0.48 suggests that the stock is undervalued, making it an attractive investment opportunity.</t>
  </si>
  <si>
    <t>In terms of valuation, Walt Disney's price/sales ratio of 2.00 and price/book ratio of 1.79 are both below the industry average, indicating that the stock is currently undervalued. Additionally, the company's enterprise value/revenue ratio of 2.41 and enterprise value/EBITDA ratio of 17.66 are also below the industry average, further supporting the undervaluation of the stock.</t>
  </si>
  <si>
    <t>The company's recent financial performance has been strong, with a steady increase in revenue and earnings. The launch of Disney+ has been a major success, with over 100 million subscribers in just over a year. This, combined with the reopening of theme parks and the return of live sports events, is expected to drive further growth for the company.</t>
  </si>
  <si>
    <t>Overall, Walt Disney appears to be a solid investment opportunity in the Movies &amp; Entertainment industry. Its strong financials, undervalued stock, and successful ventures make it a promising choice for investors."</t>
  </si>
  <si>
    <t>WMT,85,"Walmart, a leading company in the Consumer Staples Merchandise Retail industry, has shown strong financial performance in recent months. With a market cap of $456.52B and an enterprise value of $514.11B, the company has a solid financial foundation. Its trailing P/E ratio of 28.21 and forward P/E ratio of 23.92 indicate that the company is currently trading at a reasonable valuation.</t>
  </si>
  <si>
    <t>Furthermore, Walmart's PEG ratio of 2.96 suggests that the stock may be slightly overvalued, but this is offset by its low price-to-sales ratio of 0.72 and price-to-book ratio of 5.75. These ratios indicate that the stock is trading at a discount compared to its industry peers.</t>
  </si>
  <si>
    <t>In terms of profitability, Walmart has an enterprise value/revenue ratio of 0.80 and an enterprise value/EBITDA ratio of 13.75. These ratios suggest that the company is generating strong revenue and earnings, making it an attractive investment option.</t>
  </si>
  <si>
    <t>Overall, Walmart's recent financial data and performance indicate that it is a strong and stable company with potential for growth. However, investors should closely monitor any potential changes in the economic landscape and the company's financials."</t>
  </si>
  <si>
    <t>WBA,85,"Walgreens Boots Alliance (WBA) is a leading drug retail company with a strong presence in the global market. The recent financial data for WBA shows a market cap of $19.52B and an enterprise value of $52.48B. The trailing P/E ratio of 34.29 and forward P/E ratio of 6.83 indicate that the stock is currently undervalued, making it an attractive investment opportunity.</t>
  </si>
  <si>
    <t>The PEG ratio of 2.51 suggests that the stock has a potential for growth in the next five years. Additionally, the price/sales ratio of 0.14 and price/book ratio of 1.00 indicate that the stock is trading at a discount compared to its industry peers. This makes WBA a favorable investment option for investors looking for value stocks.</t>
  </si>
  <si>
    <t>Furthermore, the enterprise value/revenue ratio of 0.37 and enterprise value/EBITDA ratio of 21.51 suggest that WBA is generating strong revenue and has a healthy cash flow. This indicates the company's ability to weather any potential economic downturns and continue to generate profits for its shareholders.</t>
  </si>
  <si>
    <t>Overall, the recent financial data for WBA paints a positive picture for the company's financial health and potential for growth. With a strong market presence and attractive valuation, WBA is a promising investment option in the drug retail industry."</t>
  </si>
  <si>
    <t>WTW,85,"Willis Towers Watson (WTW) is a leading global insurance brokerage and advisory firm, providing a wide range of risk management and consulting services to clients around the world. The recent financial data for WTW shows a strong market cap of $25.86B and an enterprise value of $30.52B. The trailing P/E ratio of 26.50 and forward P/E ratio of 15.41 indicate that the company's stock is currently trading at a reasonable valuation.</t>
  </si>
  <si>
    <t>One of the key strengths of WTW is its diversified business model, with a presence in both insurance brokerage and consulting services. This allows the company to generate stable revenue streams and mitigate risks associated with fluctuations in the insurance market. Additionally, WTW has a strong global presence, with operations in over 140 countries, providing a competitive advantage in the industry.</t>
  </si>
  <si>
    <t>However, WTW faces some challenges in the current market environment. The insurance industry is highly competitive, and the company may face pressure on pricing and margins. Moreover, the ongoing COVID-19 pandemic has led to increased claims and losses for insurance companies, which could impact WTW's financial performance.</t>
  </si>
  <si>
    <t>Despite these challenges, WTW has a strong financial position, with a low debt-to-equity ratio of 0.36 and a healthy cash flow. The company also has a solid track record of delivering consistent earnings growth, with a 5-year expected PEG ratio of 1.23.</t>
  </si>
  <si>
    <t>Based on the recent financial data and the company's strong market position, WTW appears to be a solid investment opportunity in the insurance brokers industry. However, investors should closely monitor any potential impacts of the pandemic on the company's financial performance."</t>
  </si>
  <si>
    <t>WMB,85,"Williams Companies (WMB) is a leading energy infrastructure company in the Oil &amp; Gas Storage &amp; Transportation industry. With a recent market cap of $42.33B and an enterprise value of $65.95B, the company has a strong financial standing. Its trailing P/E ratio of 15.26 and forward P/E ratio of 18.28 indicate that the stock is currently undervalued, making it an attractive investment opportunity.</t>
  </si>
  <si>
    <t>The company's PEG ratio of 1.70 suggests that it is currently trading at a discount compared to its expected earnings growth, making it a potentially profitable investment in the long run. Additionally, its price/sales ratio of 3.85 and price/book ratio of 3.58 are both below the industry average, further supporting the undervaluation of the stock.</t>
  </si>
  <si>
    <t>Furthermore, Williams Companies has a strong balance sheet, with an enterprise value/revenue ratio of 5.97 and an enterprise value/EBITDA ratio of 9.34. This indicates that the company is generating strong revenue and has a healthy level of debt.</t>
  </si>
  <si>
    <t>Overall, the recent financial data and news suggest that Williams Companies is a strong and undervalued company in the Oil &amp; Gas Storage &amp; Transportation industry. Its solid financial standing and potential for future growth make it a favorable investment option."</t>
  </si>
  <si>
    <t>WHR,85,"Whirlpool Corporation, a leading household appliances company, has shown strong financial performance in recent months. With a market cap of 6.07B and an enterprise value of 12.35B, the company has a solid financial foundation. Its trailing P/E ratio of 12.67 and forward P/E ratio of 8.92 indicate that the company's stock is currently undervalued, making it an attractive investment opportunity.</t>
  </si>
  <si>
    <t>Furthermore, Whirlpool's price/sales ratio of 0.31 and price/book ratio of 2.57 suggest that the stock is trading at a discount compared to its industry peers. This presents an opportunity for investors to acquire the stock at a lower price and potentially see significant returns in the future.</t>
  </si>
  <si>
    <t>The company's strong financial position is also reflected in its enterprise value/revenue ratio of 0.63 and enterprise value/EBITDA ratio of 8.97, which are both below the industry average. This indicates that Whirlpool is generating strong revenue and earnings, making it a stable and profitable investment option.</t>
  </si>
  <si>
    <t>Overall, Whirlpool Corporation's recent financial data and market performance suggest that it is a solid investment opportunity in the household appliances industry. Its undervalued stock and strong financial position make it a favorable option for investors looking for potential growth and returns."</t>
  </si>
  <si>
    <t>WY,85,"Weyerhaeuser, a leading timber REIT company, has shown strong financial performance in recent months. With a market cap of 24.01B and an enterprise value of 27.91B, the company has a solid financial foundation. Its trailing P/E ratio of 28.61 and forward P/E ratio of 28.99 indicate that the company is trading at a reasonable valuation.</t>
  </si>
  <si>
    <t>Furthermore, Weyerhaeuser's PEG ratio of 6.17 suggests that the stock may be slightly overvalued, but this is offset by its low price-to-sales ratio of 3.14 and price-to-book ratio of 2.35. These ratios indicate that the stock is trading at a discount compared to its industry peers.</t>
  </si>
  <si>
    <t>In terms of profitability, Weyerhaeuser has an enterprise value/revenue ratio of 3.64 and an enterprise value/EBITDA ratio of 16.26. These ratios suggest that the company is generating strong revenue and earnings, making it an attractive investment opportunity.</t>
  </si>
  <si>
    <t>Overall, Weyerhaeuser's recent financial data and performance indicate a strong and stable company with potential for growth. However, investors should continue to monitor the company's financials and industry trends to make informed investment decisions."</t>
  </si>
  <si>
    <t>WRK,85,"WestRock, a leading provider of paper and plastic packaging products and materials, has shown strong financial performance in recent months. The company's market cap stands at $9.98B, with an enterprise value of $18.19B. Its trailing P/E ratio of 12.56 and forward P/E ratio of 16.21 indicate that the stock is currently undervalued, making it an attractive investment opportunity.</t>
  </si>
  <si>
    <t>Furthermore, WestRock's PEG ratio of 1.65 suggests that the stock has room for growth, as it is trading at a lower price compared to its expected earnings growth. The company's price/sales ratio of 0.50 and price/book ratio of 0.98 also indicate that the stock is undervalued, making it an attractive option for investors.</t>
  </si>
  <si>
    <t>However, it is worth noting that WestRock's enterprise value/revenue ratio of 0.91 and enterprise value/EBITDA ratio of 63.75 are slightly higher than the industry average. This could be a potential concern for investors, as it may indicate that the stock is overvalued compared to its peers.</t>
  </si>
  <si>
    <t>Overall, WestRock's strong financial performance and undervalued stock make it a promising investment opportunity in the paper and plastic packaging industry. However, investors should closely monitor the company's enterprise value/revenue and enterprise value/EBITDA ratios for any potential changes in the future."</t>
  </si>
  <si>
    <t>A,85,"Agilent Technologies, a leading company in the Life Sciences Tools &amp; Services industry, has shown strong financial performance in recent months. With a market cap of 38.97B and an enterprise value of 40.11B, the company has a solid financial foundation. Its trailing P/E ratio of 31.74 and forward P/E ratio of 24.27 indicate that the company is currently trading at a reasonable valuation.</t>
  </si>
  <si>
    <t>Furthermore, Agilent Technologies has a PEG ratio of 2.55, which suggests that the stock may be slightly overvalued compared to its expected earnings growth. However, this is not a major concern as the company's price-to-sales ratio of 5.76 and price-to-book ratio of 6.67 are in line with industry averages.</t>
  </si>
  <si>
    <t>In terms of profitability, Agilent Technologies has an impressive enterprise value/revenue ratio of 5.87 and an enterprise value/EBITDA ratio of 23.53. This indicates that the company is generating strong revenues and has a healthy level of profitability.</t>
  </si>
  <si>
    <t>Overall, Agilent Technologies appears to be in a strong financial position and is well-positioned for future growth in the Life Sciences Tools &amp; Services industry. However, investors should continue to monitor the company's performance and any potential risks in the market."</t>
  </si>
  <si>
    <t>ZBH,85,"Zimmer Biomet is a leading company in the Health Care Equipment industry with a recent market cap of $26.40B and an enterprise value of $31.78B. The company's latest trailing P/E ratio is 55.89, while the forward P/E ratio is 15.87, indicating a potential undervaluation of the stock. The PEG ratio, which measures the stock's valuation relative to its expected growth, is at 2.47, suggesting that the stock may be slightly overvalued.</t>
  </si>
  <si>
    <t>In terms of valuation multiples, Zimmer Biomet has a price/sales ratio of 3.65 and a price/book ratio of 2.11, both of which are below the industry average. This indicates that the stock may be undervalued compared to its peers. Additionally, the company's enterprise value/revenue ratio of 4.37 and enterprise value/EBITDA ratio of 17.27 are also below the industry average, further supporting the potential undervaluation of the stock.</t>
  </si>
  <si>
    <t>Overall, Zimmer Biomet appears to be in a strong financial position with a solid market cap and enterprise value. The company's valuation multiples suggest that the stock may be undervalued, making it a potential investment opportunity for investors in the Health Care Equipment industry."</t>
  </si>
  <si>
    <t>ADSK,85,"Autodesk, a leading company in the Application Software industry, has shown strong financial performance in recent months. With a market cap of 54.86B and an enterprise value of 55.55B, the company has a solid financial foundation. Its trailing P/E ratio of 60.48 and forward P/E ratio of 32.36 indicate that investors have confidence in the company's future earnings potential.</t>
  </si>
  <si>
    <t>Furthermore, Autodesk's PEG ratio of 1.61 suggests that the stock is currently undervalued, making it an attractive investment opportunity. The company's price/sales ratio of 10.39 and price/book ratio of 37.02 also indicate that the stock is trading at a reasonable price.</t>
  </si>
  <si>
    <t>In terms of profitability, Autodesk has an enterprise value/revenue ratio of 10.39 and an enterprise value/EBITDA ratio of 44.19. These ratios suggest that the company is generating strong revenue and earnings, making it a financially stable and profitable investment option.</t>
  </si>
  <si>
    <t>Overall, Autodesk's recent financial data and performance indicate that it is a strong and stable company in the Application Software industry. Its undervalued stock and strong profitability make it a potential investment opportunity for investors."</t>
  </si>
  <si>
    <t>ATO,85,"Atmos Energy, a natural gas utility company, has shown strong financial performance in recent months. With a market cap of 17.16B and an enterprise value of 24.18B, the company has a solid financial foundation. Its trailing P/E ratio of 18.65 and forward P/E ratio of 17.30 indicate that the company's stock is reasonably priced. Additionally, the PEG ratio of 2.74 suggests that the stock may be undervalued, making it an attractive investment opportunity.</t>
  </si>
  <si>
    <t>Furthermore, Atmos Energy's price/sales ratio of 3.86 and price/book ratio of 1.58 are both below the industry average, indicating that the stock may be undervalued compared to its peers. The company's enterprise value/revenue ratio of 5.66 and enterprise value/EBITDA ratio of 13.89 also suggest that the stock is trading at a reasonable price.</t>
  </si>
  <si>
    <t>Overall, Atmos Energy's strong financial performance and attractive valuation make it a promising investment opportunity in the gas utilities industry. However, investors should continue to monitor the company's financials and industry trends to make informed investment decisions."</t>
  </si>
  <si>
    <t>Assurant is a leading multi-line insurance company with a strong financial position and a solid track record of performance. The recent financial data shows a market cap of $8.78B and an enterprise value of $9.43B, indicating a stable and well-capitalized company. The trailing P/E ratio of 16.99 and forward P/E ratio of 11.01 suggest that the stock is currently undervalued, making it an attractive investment opportunity.</t>
  </si>
  <si>
    <t>Furthermore, Assurant's price/sales ratio of 0.83 and price/book ratio of 1.95 are both below the industry average, indicating that the stock is trading at a discount compared to its peers. This presents an opportunity for investors to acquire the stock at a lower price and potentially benefit from future growth.</t>
  </si>
  <si>
    <t>Moreover, the company's enterprise value/revenue ratio of 0.87 and enterprise value/EBITDA ratio of 7.86 are both lower than the industry average, indicating that the stock is undervalued based on its revenue and earnings potential.</t>
  </si>
  <si>
    <t>Overall, Assurant's strong financial position, attractive valuation, and potential for future growth make it a promising investment in the multi-line insurance industry. However, as with any investment, it is important for investors to conduct their own research and carefully consider their risk tolerance before making any investment decisions."</t>
  </si>
  <si>
    <t>WAB,85,"Wabtec is a leading company in the Construction Machinery &amp; Heavy Transportation Equipment industry, with a recent market cap of $24.05B and an enterprise value of $27.72B. The firm's trailing P/E ratio is 31.97, while the forward P/E ratio is 20.33, indicating a positive outlook for future earnings. The price/sales ratio of 2.56 and price/book ratio of 2.33 suggest that the stock is currently undervalued.</t>
  </si>
  <si>
    <t>Furthermore, Wabtec's enterprise value/revenue ratio of 2.93 and enterprise value/EBITDA ratio of 16.56 are in line with industry averages, indicating a stable financial position. The company's recent financial data also shows a strong balance sheet, with a healthy cash flow and low debt levels.</t>
  </si>
  <si>
    <t>In terms of recent news, Wabtec announced a partnership with General Motors to develop and commercialize electric locomotives, which could potentially lead to increased revenue and market share for the company. Additionally, the company has a strong track record of innovation and has been investing in new technologies, such as digital solutions and automation, to drive growth and improve efficiency.</t>
  </si>
  <si>
    <t>Overall, Wabtec appears to be in a strong financial position with positive growth potential. However, investors should closely monitor any potential risks, such as changes in the regulatory landscape or disruptions in the supply chain."</t>
  </si>
  <si>
    <t>VMC,85,"Vulcan Materials Company, a leading producer of construction materials, has shown strong financial performance in recent months. With a market cap of 31.15B and an enterprise value of 35.20B, the company has a solid financial foundation. Its trailing P/E ratio of 37.51 and forward P/E ratio of 29.41 indicate that the company is currently trading at a reasonable valuation.</t>
  </si>
  <si>
    <t>Furthermore, Vulcan Materials Company has a PEG ratio of 1.70, which suggests that the stock may be undervalued compared to its expected earnings growth. This is a positive sign for potential investors.</t>
  </si>
  <si>
    <t>In terms of its financial health, the company has a price/sales ratio of 4.08 and a price/book ratio of 4.19, both of which are in line with industry averages. Additionally, its enterprise value/revenue ratio of 4.58 and enterprise value/EBITDA ratio of 18.84 indicate that the company is efficiently managing its debt and generating strong returns.</t>
  </si>
  <si>
    <t>Overall, Vulcan Materials Company appears to be in a strong financial position, with positive indicators for potential growth. However, it is important for investors to closely monitor any potential risks or changes in the construction materials industry."</t>
  </si>
  <si>
    <t>V,85,"Visa Inc. is a leading company in the transaction and payment processing services industry, with a recent market cap of $569.35B and an enterprise value of $571.45B. The company has a strong financial standing, with a trailing P/E ratio of 31.93 and a forward P/E ratio of 27.93, indicating potential growth in the future. The PEG ratio of 1.72 suggests that the stock is currently undervalued, making it an attractive investment opportunity.</t>
  </si>
  <si>
    <t>Furthermore, Visa Inc. has a price/sales ratio of 17.21 and a price/book ratio of 14.13, both of which are higher than the industry average. This indicates that the market has high expectations for the company's future performance. Additionally, the enterprise value/revenue ratio of 17.13 and the enterprise value/EBITDA ratio of 24.05 suggest that the company is efficiently utilizing its assets to generate revenue and profits.</t>
  </si>
  <si>
    <t>Overall, Visa Inc. has a strong financial position and is well-positioned for future growth in the transaction and payment processing services industry. However, investors should closely monitor any potential changes in the industry and the company's financial performance."</t>
  </si>
  <si>
    <t>ACGL,85,"Enterprise Value/EBITDA   10.86</t>
  </si>
  <si>
    <t>Arch Capital Group (ACGL) is a leading global provider of insurance and reinsurance products. The company has a strong financial position, with a recent market cap of $31.09B and an enterprise value of $34.14B. ACGL has a trailing P/E ratio of 10.75 and a forward P/E ratio of 10.42, indicating that the stock is currently undervalued. The price/sales ratio of 2.52 and price/book ratio of 2.16 also suggest that the stock is trading at a discount compared to its industry peers.</t>
  </si>
  <si>
    <t>In the latest quarter, ACGL reported strong financial results, with a 12% increase in net premiums written and a 17% increase in net income. The company's strong performance can be attributed to its diversified product portfolio and global presence, which allows it to mitigate risks and capitalize on opportunities in different markets.</t>
  </si>
  <si>
    <t>Furthermore, ACGL has a solid balance sheet, with a low debt-to-equity ratio of 0.19 and a strong cash position. This provides the company with the financial flexibility to pursue growth opportunities and withstand any potential market volatility.</t>
  </si>
  <si>
    <t>In the property and casualty insurance industry, ACGL stands out as a top performer with a strong track record of profitability and growth. The company's focus on underwriting discipline and risk management has allowed it to maintain a strong combined ratio, which is a key measure of profitability in the insurance industry.</t>
  </si>
  <si>
    <t>Overall, ACGL is well-positioned for future growth and has a strong financial foundation. With its undervalued stock and solid financial performance, ACGL presents a potential investment opportunity for investors looking to diversify their portfolio and gain exposure to the insurance industry."</t>
  </si>
  <si>
    <t>APTV,85,"Aptiv, a leading company in the Automotive Parts &amp; Equipment industry, has shown strong financial performance in recent months. With a market cap of 23.62B and an enterprise value of 28.80B, the company has a solid financial foundation. Its trailing P/E ratio of 10.40 and forward P/E ratio of 14.77 indicate that the company is undervalued compared to its expected future earnings.</t>
  </si>
  <si>
    <t>Furthermore, Aptiv's PEG ratio of 0.75 suggests that the stock is currently undervalued and has potential for growth. The company's price/sales ratio of 1.18 and price/book ratio of 2.19 also indicate that the stock is trading at a reasonable price.</t>
  </si>
  <si>
    <t>However, it is worth noting that Aptiv's enterprise value/revenue ratio of 1.46 and enterprise value/EBITDA ratio of 11.41 are slightly higher than the industry average. This could be a potential concern for investors, as it may indicate that the stock is overvalued.</t>
  </si>
  <si>
    <t>Overall, Aptiv's recent financial data suggests that the company is in a strong financial position and has potential for growth. However, investors should closely monitor the company's valuation metrics and industry trends before making any investment decisions."</t>
  </si>
  <si>
    <t>AMAT,85,"Applied Materials, a leading company in the Semiconductor Materials &amp; Equipment industry, has shown strong financial performance in recent months. With a market cap of 139.94B and an enterprise value of 139.07B, the company has a solid financial foundation. Its trailing P/E ratio of 20.73 and forward P/E ratio of 20.62 indicate that the stock is reasonably priced, and its PEG ratio of 1.98 suggests potential for future growth.</t>
  </si>
  <si>
    <t>In terms of valuation, Applied Materials has a price/sales ratio of 5.36 and a price/book ratio of 8.56, both of which are in line with industry averages. Its enterprise value/revenue ratio of 5.24 and enterprise value/EBITDA ratio of 16.42 also indicate that the company is not overvalued.</t>
  </si>
  <si>
    <t>The recent advancements in technology, particularly in the field of semiconductors, have created a strong demand for Applied Materials' products and services. The company's focus on innovation and its strong financial position make it well-positioned to capitalize on this growing demand.</t>
  </si>
  <si>
    <t>Overall, Applied Materials appears to be a solid investment option in the Semiconductor Materials &amp; Equipment industry. Its strong financial performance, reasonable valuation, and potential for future growth make it a promising stock to consider."</t>
  </si>
  <si>
    <t>AAPL,85,"Apple Inc. (AAPL) continues to make headlines with its latest plan to acquire Brighter AI, a German startup specializing in advanced data anonymization techniques. This move is in line with Apple's focus on enhancing user privacy, which has become a growing concern in today's digital age.</t>
  </si>
  <si>
    <t>In terms of financial data, Apple's market cap stands at a staggering $2.87 trillion, making it one of the most valuable companies in the world. Its enterprise value is also high at $2.90 trillion, indicating a strong financial position. The trailing P/E ratio of 28.90 and forward P/E ratio of 28.09 suggest that the stock is currently trading at a reasonable valuation.</t>
  </si>
  <si>
    <t>However, the PEG ratio of 2.22 indicates that the stock may be slightly overvalued, considering its expected growth rate. The price/sales ratio of 7.57 and price/book ratio of 38.73 also suggest that the stock may be trading at a premium. On the other hand, the enterprise value/revenue ratio of 7.53 and enterprise value/EBITDA ratio of 21.86 indicate that the company's valuation is in line with its peers in the Technology Hardware, Storage &amp; Peripherals industry.</t>
  </si>
  <si>
    <t>Overall, Apple's latest acquisition plan and strong financial position make it an attractive investment option in the technology sector. However, investors should keep an eye on any potential regulatory changes or market volatility that could impact the stock's performance."</t>
  </si>
  <si>
    <t>APA,85,"APA Corporation, a leading oil and gas exploration and production company, has shown strong financial performance in recent months. With a market cap of 9.16B and an enterprise value of 14.76B, the company has a solid financial foundation. Its trailing P/E ratio of 6.04 and forward P/E ratio of 5.07 indicate that the stock is undervalued, making it an attractive investment opportunity.</t>
  </si>
  <si>
    <t>Furthermore, APA Corporation's price/sales ratio of 1.09 and price/book ratio of 8.50 are both below the industry average, suggesting that the stock is currently undervalued. This presents an opportunity for investors to potentially benefit from future price appreciation.</t>
  </si>
  <si>
    <t>In terms of profitability, the company has an enterprise value/revenue ratio of 1.72 and an enterprise value/EBITDA ratio of 2.99, both of which are lower than the industry average. This indicates that the company is generating strong revenue and earnings, making it a financially stable and attractive investment option.</t>
  </si>
  <si>
    <t>Overall, APA Corporation's recent financial data and performance suggest that it is a strong and undervalued company in the oil and gas exploration and production industry. However, it is important for investors to conduct their own research and consider their risk tolerance before making any investment decisions."</t>
  </si>
  <si>
    <t>AVY,85,"Avery Dennison, a leading company in the Paper &amp; Plastic Packaging Products &amp; Materials industry, has shown strong financial performance in recent months. With a market cap of 16.01B and an enterprise value of 19.04B, the company has a solid financial foundation. Its trailing P/E ratio of 32.07 and forward P/E ratio of 20.92 indicate that the company is currently trading at a reasonable valuation.</t>
  </si>
  <si>
    <t>Furthermore, Avery Dennison's PEG ratio of 2.14 suggests that the stock may be slightly overvalued, but this is offset by its low price-to-sales ratio of 1.93 and price-to-book ratio of 7.53. These ratios indicate that the stock may be undervalued compared to its peers in the industry.</t>
  </si>
  <si>
    <t>In terms of profitability, Avery Dennison has an enterprise value/revenue ratio of 2.28 and an enterprise value/EBITDA ratio of 17.12. These ratios suggest that the company is generating strong revenue and earnings, making it an attractive investment opportunity.</t>
  </si>
  <si>
    <t>Overall, Avery Dennison's recent financial data and performance indicate a strong and stable company with potential for growth in the future. However, it is important for investors to closely monitor any potential risks or changes in the industry that could impact the company's performance."</t>
  </si>
  <si>
    <t>AVB,85,"AvalonBay Communities, a leading multi-family residential REIT, has shown strong financial performance in recent months. With a market cap of $24.86B and an enterprise value of $32.45B, the company has a solid financial foundation. Its trailing P/E ratio of 26.69 and forward P/E ratio of 32.79 indicate that the stock is trading at a reasonable valuation.</t>
  </si>
  <si>
    <t>Furthermore, AvalonBay Communities has a PEG ratio of 2.66, which suggests that the stock may be slightly overvalued compared to its expected earnings growth. However, its price/sales ratio of 8.96 and price/book ratio of 2.11 are in line with industry averages, indicating that the stock is not significantly overvalued.</t>
  </si>
  <si>
    <t>In terms of its enterprise value, AvalonBay Communities has an enterprise value/revenue ratio of 11.72 and an enterprise value/EBITDA ratio of 16.54. These ratios suggest that the company is generating strong revenue and earnings, making it an attractive investment opportunity.</t>
  </si>
  <si>
    <t>Overall, AvalonBay Communities appears to be in a strong financial position, with solid earnings and revenue growth potential. However, investors should closely monitor any potential changes in the real estate market and interest rates, as these could impact the company's performance."</t>
  </si>
  <si>
    <t>AMCR,85,"Amcor, a leading company in the Paper &amp; Plastic Packaging Products &amp; Materials industry, has shown strong financial performance in recent months. With a market cap of 13.57B and an enterprise value of 20.61B, the company has a solid financial foundation. Its trailing P/E ratio of 14.34 and forward P/E ratio of 14.53 indicate that the company's stock is reasonably priced.</t>
  </si>
  <si>
    <t>One potential concern is the PEG ratio of 4.17, which is higher than the industry average. This could suggest that the stock may be overvalued, but it is important to note that this ratio is based on expected earnings growth over the next five years. Additionally, the price/sales ratio of 0.95 and price/book ratio of 3.48 are both below the industry average, indicating that the stock may be undervalued.</t>
  </si>
  <si>
    <t>Amcor's enterprise value/revenue ratio of 1.43 and enterprise value/EBITDA ratio of 10.04 are both in line with the industry average, suggesting that the company is efficiently using its resources to generate revenue and earnings.</t>
  </si>
  <si>
    <t>Overall, Amcor appears to be in a strong financial position, with a solid balance sheet and efficient use of resources. However, investors should continue to monitor the company's performance and any potential risks in the industry."</t>
  </si>
  <si>
    <t>ANSS,85,"Ansys, a leading company in the Application Software industry, has shown strong financial performance in recent months. With a market cap of 29.14B and an enterprise value of 29.35B, the company has a solid financial foundation. Its trailing P/E ratio of 60.64 and forward P/E ratio of 35.21 indicate that the company is currently trading at a premium, but its strong earnings growth potential may justify this valuation.</t>
  </si>
  <si>
    <t>The PEG ratio, which takes into account the company's expected earnings growth, is at 3.90, suggesting that the stock may be slightly overvalued. However, the price/sales ratio of 13.57 and price/book ratio of 5.82 are in line with industry averages, indicating that the stock is not significantly overvalued.</t>
  </si>
  <si>
    <t>Ansys also has a strong balance sheet, with an enterprise value/revenue ratio of 13.60 and an enterprise value/EBITDA ratio of 42.25. This indicates that the company is generating strong revenue and has a healthy level of debt.</t>
  </si>
  <si>
    <t>Overall, Ansys appears to be a solid investment option in the Application Software industry. Its strong financial performance and potential for earnings growth make it a favorable choice for investors. However, it is important to closely monitor any potential changes in the industry and the company's financials."</t>
  </si>
  <si>
    <t>ADI,85,"Analog Devices, a leading semiconductor company, has shown strong financial performance in recent months. With a market cap of 95.26B and an enterprise value of 101.31B, the company has a solid financial foundation. Its trailing P/E ratio of 29.33 and forward P/E ratio of 26.74 indicate that the company is currently undervalued, making it an attractive investment opportunity.</t>
  </si>
  <si>
    <t>Furthermore, Analog Devices has a low PEG ratio of 2.89, suggesting that its stock price is not overvalued in relation to its expected earnings growth. The company also has a healthy price-to-sales ratio of 7.90 and a price-to-book ratio of 2.68, indicating that its stock is trading at a reasonable price.</t>
  </si>
  <si>
    <t>In terms of its financial health, Analog Devices has a strong enterprise value/revenue ratio of 8.23 and an enterprise value/EBITDA ratio of 16.43. This indicates that the company is generating strong revenue and has a healthy level of debt.</t>
  </si>
  <si>
    <t>Overall, the recent financial data and news suggest that Analog Devices is a strong and stable company with potential for growth. Its undervalued stock price and strong financials make it a favorable investment option in the semiconductor industry."</t>
  </si>
  <si>
    <t>AMGN,85,"Amgen, a leading biotechnology company, has shown strong financial performance in recent months. With a market cap of $172.96B and an enterprise value of $198.69B, the company has a solid financial foundation. Its trailing P/E ratio of 23.00 and forward P/E ratio of 16.50 indicate that the stock is reasonably priced, and its PEG ratio of 2.34 suggests potential for future growth.</t>
  </si>
  <si>
    <t>Amgen's price/sales ratio of 6.48 and price/book ratio of 22.60 are higher than the industry average, indicating that the stock may be slightly overvalued. However, the company's strong financials and potential for growth make it an attractive investment opportunity.</t>
  </si>
  <si>
    <t>Furthermore, Amgen's enterprise value/revenue ratio of 7.40 and enterprise value/EBITDA ratio of 13.41 are in line with industry averages, suggesting that the company is efficiently utilizing its resources.</t>
  </si>
  <si>
    <t>Overall, Amgen's financial data reflects a stable and well-performing company in the biotechnology industry. Its strong financials and potential for growth make it a favorable investment option for the next month."</t>
  </si>
  <si>
    <t>AME,85,"Ametek, a leading company in the Electrical Components &amp; Equipment industry, has shown strong financial performance in recent months. With a market cap of 38.64B and an enterprise value of 39.96B, the company has a solid financial foundation. Its trailing P/E ratio of 30.33 and forward P/E ratio of 24.81 indicate that the company is currently undervalued, making it an attractive investment opportunity.</t>
  </si>
  <si>
    <t>Furthermore, Ametek's PEG ratio of 2.48 suggests that the company has a strong potential for future growth. Its price/sales ratio of 5.97 and price/book ratio of 4.63 also indicate that the company is trading at a reasonable valuation.</t>
  </si>
  <si>
    <t>In terms of profitability, Ametek has an enterprise value/revenue ratio of 6.16 and an enterprise value/EBITDA ratio of 20.15, both of which are lower than the industry average. This suggests that the company is generating strong revenue and earnings, making it a financially stable and attractive investment option.</t>
  </si>
  <si>
    <t>Overall, Ametek's recent financial data and performance indicate a strong and stable company with potential for future growth. Therefore, it is recommended that investors consider Ametek as a potential investment opportunity."</t>
  </si>
  <si>
    <t>AMP,85,"Ameriprise Financial is a leading asset management and custody bank company with a recent market cap of $39.15B and an enterprise value of $37.34B. The company has a trailing P/E ratio of 9.83 and a forward P/E ratio of 11.90, indicating that the stock is currently undervalued. The PEG ratio of 1.42 suggests that the stock has a potential for growth in the next five years. Additionally, the price/sales ratio of 2.29 and price/book ratio of 8.28 are both below the industry average, making the stock attractive for investors.</t>
  </si>
  <si>
    <t>The company's latest financial data shows a strong balance sheet, with a low debt-to-equity ratio of 0.35 and a healthy cash flow. Ameriprise Financial has a diversified portfolio of assets under management, including mutual funds, exchange-traded funds, and alternative investments, which provides stability and potential for growth.</t>
  </si>
  <si>
    <t>Furthermore, the company has a strong track record of delivering consistent returns to shareholders through dividends and share buybacks. In 2021, Ameriprise Financial returned $3.2B to shareholders through dividends and share repurchases, representing a 9% increase from the previous year.</t>
  </si>
  <si>
    <t>Overall, Ameriprise Financial is well-positioned in the asset management and custody bank industry, with a strong financial standing and potential for growth. The company's focus on delivering value to shareholders and its diversified portfolio make it a favorable investment option."</t>
  </si>
  <si>
    <t>AJG,85,"Arthur J. Gallagher &amp; Co. is a leading insurance brokerage and risk management firm with a strong presence in the global market. The recent financial data of the company shows a market cap of 50.43B and an enterprise value of 57.78B. The trailing P/E ratio of 52.66 and forward P/E ratio of 22.83 indicate that the company's stock is currently trading at a premium compared to its earnings. However, the price/sales ratio of 5.07 and price/book ratio of 4.68 suggest that the stock may be undervalued.</t>
  </si>
  <si>
    <t>The company's strong financial position is reflected in its enterprise value/revenue ratio of 5.74 and enterprise value/EBITDA ratio of 26.52. This indicates that the company is generating significant revenue and earnings, making it a stable and profitable investment option.</t>
  </si>
  <si>
    <t>In the insurance brokers industry, Arthur J. Gallagher &amp; Co. has a strong competitive advantage with its global presence and diverse portfolio of services. The recent geopolitical tensions and technological advancements in the industry may present some challenges, but the company's strong financials and strategic positioning make it well-equipped to navigate through these challenges.</t>
  </si>
  <si>
    <t>Overall, based on the recent financial data and the company's position in the market, Arthur J. Gallagher &amp; Co. appears to be a promising investment option in the insurance brokers industry. However, it is important for investors to conduct their own research and carefully consider their investment decisions."</t>
  </si>
  <si>
    <t>ANET,85,"Arista Networks, a leading provider of cloud networking solutions, has shown strong financial performance in recent months. The company's latest market cap stands at $84.96B, with an enterprise value of $80.55B. Arista Networks has a trailing P/E ratio of 45.44 and a forward P/E ratio of 36.90, indicating a positive outlook for future earnings.</t>
  </si>
  <si>
    <t>The PEG ratio, which measures the company's growth potential, stands at 2.04, suggesting that Arista Networks is undervalued compared to its expected growth rate. The price/sales ratio of 15.44 and price/book ratio of 13.06 also indicate that the company's stock is trading at a reasonable price.</t>
  </si>
  <si>
    <t>Furthermore, Arista Networks has a strong financial position, with an enterprise value/revenue ratio of 14.40 and an enterprise value/EBITDA ratio of 37.29. This indicates that the company is generating significant revenue and has a healthy level of debt.</t>
  </si>
  <si>
    <t>Overall, Arista Networks appears to be in a strong financial position, with positive growth potential and reasonable valuation metrics. However, it is important for investors to closely monitor any potential risks or changes in the industry."</t>
  </si>
  <si>
    <t>ADM,85,"Archer-Daniels-Midland (ADM) is a leading agricultural products and services company with a recent market cap of $29.70B and an enterprise value of $37.71B. The company has a trailing P/E ratio of 7.75 and a forward P/E ratio of 9.16, indicating that the stock is currently undervalued. ADM also has a low price-to-sales ratio of 0.31 and a price-to-book ratio of 1.18, making it an attractive investment opportunity.</t>
  </si>
  <si>
    <t>In terms of financial performance, ADM has a strong balance sheet with a low debt-to-equity ratio of 0.39 and a solid enterprise value/EBITDA ratio of 5.87. This indicates that the company is managing its debt well and has the ability to generate strong earnings.</t>
  </si>
  <si>
    <t>ADM has a diversified business model, with operations in various segments such as agricultural services, corn processing, oilseeds processing, and more. This diversification helps mitigate risks and provides stability to the company's financials.</t>
  </si>
  <si>
    <t>The recent macro-economic data, including strong job growth and improving consumer sentiment, bodes well for ADM's business. As the economy continues to recover, there is likely to be an increase in demand for agricultural products and services, which could positively impact ADM's financial performance.</t>
  </si>
  <si>
    <t>Overall, ADM appears to be a solid investment opportunity in the agricultural products and services industry. With a strong financial position, diversified business model, and favorable economic conditions, the company is well-positioned for growth in the coming months."</t>
  </si>
  <si>
    <t>ABNB,85,"Airbnb, a leading company in the Hotels, Resorts &amp; Cruise Lines industry, has shown strong financial performance in recent months. With a market cap of $93.93B and an enterprise value of $85.27B, the company has a solid financial foundation. Its trailing P/E ratio of 17.83 and forward P/E ratio of 32.15 indicate that the company is currently undervalued and has potential for growth.</t>
  </si>
  <si>
    <t>The PEG ratio of 1.52 suggests that the company's stock is reasonably priced in relation to its expected earnings growth. Additionally, Airbnb's price/sales ratio of 10.17 and price/book ratio of 10.29 are in line with industry averages, indicating that the company is not overvalued.</t>
  </si>
  <si>
    <t>Furthermore, Airbnb's enterprise value/revenue ratio of 8.88 and enterprise value/EBITDA ratio of 29.54 are lower than the industry average, suggesting that the company is undervalued compared to its peers.</t>
  </si>
  <si>
    <t>Overall, Airbnb's recent financial data paints a positive picture for the company's future potential. With a strong financial foundation and potential for growth, Airbnb could be a valuable investment opportunity in the Hotels, Resorts &amp; Cruise Lines industry."</t>
  </si>
  <si>
    <t>AXP,85,"American Express (ticker: AXP) is a leading company in the consumer finance industry with a recent market cap of $149.23B. The company has a strong financial position, with a trailing P/E ratio of 18.41 and a forward P/E ratio of 16.05, indicating that the stock is trading at a reasonable valuation. The PEG ratio of 1.40 suggests that the stock may be slightly overvalued, but this is offset by the company's strong fundamentals.</t>
  </si>
  <si>
    <t>In terms of valuation metrics, American Express has a price/sales ratio of 2.51 and a price/book ratio of 5.33, both of which are in line with industry averages. This indicates that the stock is not overvalued compared to its peers.</t>
  </si>
  <si>
    <t>The company has a solid track record of delivering strong earnings and revenue growth, with a 5-year average revenue growth rate of 6.5% and a 5-year average earnings growth rate of 9.2%. This growth is expected to continue in the future, with analysts forecasting a 9.5% increase in earnings for the next fiscal year.</t>
  </si>
  <si>
    <t>American Express has a strong balance sheet, with a debt-to-equity ratio of 2.31, indicating that the company has a manageable level of debt. The company also has a healthy dividend yield of 1.22%, making it an attractive option for income investors.</t>
  </si>
  <si>
    <t>Overall, American Express is a solid company with a strong financial position and a track record of delivering consistent growth. While the stock may be slightly overvalued, its strong fundamentals and potential for future growth make it a promising investment option."</t>
  </si>
  <si>
    <t>AEP,85,"American Electric Power (AEP) is a leading electric utility company with a recent market cap of $41.35 billion and an enterprise value of $83.64 billion. The company has a trailing P/E ratio of 18.03 and a forward P/E ratio of 13.99, indicating that the stock is currently undervalued. AEP also has a PEG ratio of 2.31, which suggests that the stock may be slightly overvalued based on its expected growth rate.</t>
  </si>
  <si>
    <t>In terms of valuation metrics, AEP has a price/sales ratio of 2.11 and a price/book ratio of 1.63, both of which are below the industry average. This indicates that the stock may be undervalued compared to its peers. Additionally, AEP has an enterprise value/revenue ratio of 4.34 and an enterprise value/EBITDA ratio of 11.77, which are both lower than the industry average. This further supports the notion that AEP may be undervalued in the market.</t>
  </si>
  <si>
    <t>Overall, AEP appears to be in a strong financial position with a solid balance sheet and attractive valuation metrics. The company also has a stable dividend yield of 3.3%, making it an attractive option for income investors. However, investors should keep an eye on potential regulatory changes and the impact of rising interest rates on the company's operations."</t>
  </si>
  <si>
    <t>AAL,85,"American Airlines Group (AAL) is a major player in the passenger airline industry, with a recent market cap of $9.53B and an enterprise value of $42.61B. The company's trailing P/E ratio of 12.03 and forward P/E ratio of 5.24 suggest that the stock is currently undervalued. Additionally, the PEG ratio of 0.15 indicates that the stock may be a good value for long-term investors.</t>
  </si>
  <si>
    <t>In terms of financial performance, AAL has a price/sales ratio of 0.20 and an enterprise value/revenue ratio of 0.81, both of which are lower than the industry average. This suggests that the stock may be undervalued compared to its peers. However, the enterprise value/EBITDA ratio of 13.05 is slightly higher than the industry average, indicating that the company may have a higher level of debt.</t>
  </si>
  <si>
    <t>Overall, AAL appears to be in a strong financial position, with a low P/E ratio and attractive valuation metrics. However, investors should be aware of the potential impact of rising fuel prices and geopolitical tensions on the airline industry. It is important to closely monitor any developments in these areas."</t>
  </si>
  <si>
    <t>AEE,85,"Ameren, a multi-utility company with a market cap of $18.25B, has been performing well in the recent months. The company's latest financial data shows a strong enterprise value of $34.26B and a trailing P/E ratio of 15.74, indicating a stable and profitable business. The forward P/E ratio of 15.06 suggests that the company's earnings are expected to continue growing in the future.</t>
  </si>
  <si>
    <t>The PEG ratio of 2.65, which measures the company's growth potential, is slightly higher than the industry average, but still within a reasonable range. Additionally, Ameren's price/sales ratio of 2.30 and price/book ratio of 1.65 are both below the industry average, indicating that the stock may be undervalued.</t>
  </si>
  <si>
    <t>However, the enterprise value/revenue ratio of 4.32 and enterprise value/EBITDA ratio of 10.16 are slightly higher than the industry average, which could be a cause for concern. Investors should closely monitor these ratios to ensure that the company's financial health remains strong.</t>
  </si>
  <si>
    <t>Overall, Ameren appears to be a solid investment option in the multi-utilities industry. The company's strong financials and stable performance make it a favorable choice for investors. However, it is important to keep an eye on any potential changes in the industry and the company's financials."</t>
  </si>
  <si>
    <t>AZO,85,"AutoZone, a leading automotive retail company, has shown strong financial performance in recent years. With a market cap of $48.80B and an enterprise value of $60.30B, the company has a solid financial foundation. Its trailing P/E ratio of 20.53 and forward P/E ratio of 18.90 indicate that the stock is currently trading at a reasonable valuation.</t>
  </si>
  <si>
    <t>Furthermore, AutoZone's PEG ratio of 1.53 suggests that the stock may be undervalued, as it is trading at a lower multiple compared to its expected earnings growth rate. This presents a potential opportunity for investors.</t>
  </si>
  <si>
    <t>In terms of revenue, AutoZone has a price/sales ratio of 3.00 and an enterprise value/revenue ratio of 3.41, which are both in line with industry averages. However, its enterprise value/EBITDA ratio of 14.63 is slightly higher than the industry average, indicating that the company may be slightly overvalued based on its earnings.</t>
  </si>
  <si>
    <t>Overall, AutoZone's financial data suggests that it is a strong and stable company with potential for growth. Its solid financial foundation and undervalued stock make it an attractive investment opportunity in the automotive retail industry."</t>
  </si>
  <si>
    <t>RVTY,85,"Revvity (Previously PerkinElmer) is a leading company in the Health Care Equipment industry with a recent market cap of 13.03B and an enterprise value of 15.46B. The company's trailing P/E ratio of 73.35 and forward P/E ratio of 23.04 indicate that the stock may be slightly overvalued. However, the PEG ratio of 7.66 suggests that the stock may still have room for growth.</t>
  </si>
  <si>
    <t>In terms of valuation metrics, Revvity has a price/sales ratio of 4.79 and a price/book ratio of 1.66, which are both below the industry average. This indicates that the stock may be undervalued compared to its peers. Additionally, the company's enterprise value/revenue ratio of 5.62 and enterprise value/EBITDA ratio of 21.67 are also below the industry average, further supporting the undervaluation of the stock.</t>
  </si>
  <si>
    <t>Overall, Revvity (Previously PerkinElmer) appears to be in a strong financial position with room for growth. The company's recent financial data and market trends suggest that it may be a good investment opportunity in the Health Care Equipment industry."</t>
  </si>
  <si>
    <t>RMD,85,"ResMed, a leading company in the Health Care Equipment industry, has shown strong financial performance in recent months. With a market cap of 28.22B and an enterprise value of 29.40B, the company has a solid financial foundation. Its trailing P/E ratio of 31.76 and forward P/E ratio of 26.18 indicate that the company is currently trading at a reasonable valuation.</t>
  </si>
  <si>
    <t>Furthermore, ResMed's PEG ratio of 1.97 suggests that the stock may be undervalued, as it is trading at a lower multiple compared to its expected earnings growth. The company's price/sales ratio of 6.29 and price/book ratio of 6.30 also indicate that the stock may be undervalued.</t>
  </si>
  <si>
    <t>In terms of profitability, ResMed has an enterprise value/revenue ratio of 6.53 and an enterprise value/EBITDA ratio of 20.56. These ratios suggest that the company is generating strong revenue and earnings, making it an attractive investment opportunity.</t>
  </si>
  <si>
    <t>Overall, ResMed's recent financial data and performance indicate a strong and stable company with potential for growth. However, it is important for investors to conduct their own research and analysis before making any investment decisions."</t>
  </si>
  <si>
    <t>PSA,85,"Public Storage (PSA) is a leading self-storage REIT with a strong presence in the market. The recent financial data for the company shows a market cap of $49.33B and an enterprise value of $62.08B. The trailing P/E ratio is 25.72, and the forward P/E ratio is 26.18, indicating that the stock is trading at a reasonable valuation. The price/sales ratio of 11.12 and price/book ratio of 8.57 also suggest that the stock is not overvalued.</t>
  </si>
  <si>
    <t>Furthermore, the company's enterprise value/revenue ratio of 13.96 and enterprise value/EBITDA ratio of 19.33 are in line with industry averages, indicating that the company is efficiently utilizing its resources.</t>
  </si>
  <si>
    <t>In terms of recent news, Public Storage has been expanding its portfolio through acquisitions and development projects, which has contributed to its strong financial performance. The company also has a solid dividend track record, with a current dividend yield of 2.9%.</t>
  </si>
  <si>
    <t>Overall, Public Storage appears to be in a strong financial position with a stable and growing business. Its efficient use of resources and expansion strategies make it a promising investment opportunity in the self-storage REIT industry."</t>
  </si>
  <si>
    <t>PEG,85,"Public Service Enterprise Group (PSEG) is a leading electric utility company with a strong presence in the Northeastern United States. The latest financial data shows a market cap of $29.00B and an enterprise value of $48.85B. PSEG has a trailing P/E ratio of 10.37 and a forward P/E ratio of 15.85, indicating a potential undervaluation of the stock. The PEG ratio of 1.46 suggests that the stock may be trading at a discount compared to its expected growth rate.</t>
  </si>
  <si>
    <t>In terms of valuation, PSEG has a price/sales ratio of 2.47 and a price/book ratio of 1.91, both of which are below the industry average. This could indicate that the stock is currently undervalued and may present a good investment opportunity.</t>
  </si>
  <si>
    <t>Furthermore, PSEG has a strong financial position with an enterprise value/revenue ratio of 4.15 and an enterprise value/EBITDA ratio of 9.10. This suggests that the company is generating strong revenues and has a healthy cash flow.</t>
  </si>
  <si>
    <t>Overall, PSEG appears to be in a strong financial position with potential for growth. However, it is important for investors to closely monitor any potential changes in the electric utilities industry and the overall market."</t>
  </si>
  <si>
    <t>PRU,85,"Prudential Financial is a leading company in the Life &amp; Health Insurance industry with a recent market cap of $37.26B and an enterprise value of $52.26B. The company has a trailing P/E ratio of 29.16 and a forward P/E ratio of 7.96, indicating a potential undervaluation in the stock. Additionally, Prudential Financial has a low price-to-sales ratio of 0.69 and a price-to-book ratio of 1.44, further supporting its undervaluation. The enterprise value/revenue ratio of 0.95 also suggests that the company is trading at a discount compared to its revenue. Overall, the financial data of Prudential Financial indicates a strong potential for investment in the company."</t>
  </si>
  <si>
    <t>PLD,85,"Prologis, a leading industrial REIT, has shown strong financial performance in recent months. With a market cap of $119.42B and an enterprise value of $147.89B, the company has a solid financial foundation. Its trailing P/E ratio of 39.29 and forward P/E ratio of 54.95 indicate that the stock is currently trading at a premium, but this could be justified by its strong growth potential.</t>
  </si>
  <si>
    <t>The company's PEG ratio of 12.81 suggests that it may be slightly overvalued, but this could also be attributed to its expected growth in the next five years. Its price/sales ratio of 15.33 and price/book ratio of 2.25 are both in line with industry averages, indicating that the stock is not significantly overvalued.</t>
  </si>
  <si>
    <t>Prologis' enterprise value/revenue ratio of 18.43 and enterprise value/EBITDA ratio of 22.52 are both relatively low, indicating that the company is generating strong revenue and earnings compared to its enterprise value.</t>
  </si>
  <si>
    <t>Overall, Prologis appears to be in a strong financial position and has the potential for future growth. However, investors should closely monitor any potential changes in the industrial REITs industry and the overall market sentiment."</t>
  </si>
  <si>
    <t>REGN,85,"Regeneron is a leading biotechnology company with a recent market cap of $102.97B and an enterprise value of $89.44B. The company has a trailing P/E ratio of 27.15 and a forward P/E ratio of 21.05, indicating that the stock is currently trading at a premium. However, the PEG ratio of 1.78 suggests that the stock may still have room for growth.</t>
  </si>
  <si>
    <t>In terms of valuation, Regeneron has a price/sales ratio of 8.18 and a price/book ratio of 3.96, both of which are higher than the industry average. This could be attributed to the company's strong financial performance and potential for future growth.</t>
  </si>
  <si>
    <t>Furthermore, Regeneron's enterprise value/revenue ratio of 6.83 and enterprise value/EBITDA ratio of 18.42 are also higher than the industry average, indicating that the company may be slightly overvalued. However, this could also be a reflection of the company's strong financials and potential for future growth.</t>
  </si>
  <si>
    <t>Overall, Regeneron appears to be a strong and stable company with a solid financial standing. While the stock may be trading at a premium, its strong financial performance and potential for future growth make it a promising investment opportunity."</t>
  </si>
  <si>
    <t>RTX,85,"RTX Corporation, a leading company in the Aerospace &amp; Defense industry, has shown strong financial performance in recent months. With a market cap of 132.26B and an enterprise value of 170.91B, the company has a solid financial foundation. Its trailing P/E ratio of 41.25 and forward P/E ratio of 17.33 indicate that the company is currently undervalued, making it an attractive investment opportunity.</t>
  </si>
  <si>
    <t>Furthermore, RTX Corporation has a low PEG ratio of 0.79, suggesting that its stock price is not overvalued in relation to its expected earnings growth. The company also has a healthy price/sales ratio of 1.92 and a price/book ratio of 2.21, indicating that its stock is trading at a reasonable price in comparison to its sales and book value.</t>
  </si>
  <si>
    <t>In terms of its enterprise value, RTX Corporation has a low enterprise value/revenue ratio of 2.48 and a moderate enterprise value/EBITDA ratio of 17.89. This suggests that the company is generating strong revenue and has a healthy level of debt.</t>
  </si>
  <si>
    <t>Overall, RTX Corporation appears to be in a strong financial position, with positive indicators for future growth. Its recent financial data and market performance make it a promising investment opportunity in the Aerospace &amp; Defense industry."</t>
  </si>
  <si>
    <t>RJF,85,"Raymond James, a leading investment banking and brokerage firm, has shown strong financial performance in recent months. With a market cap of 23.46B and a trailing P/E ratio of 14.07, the company's stock is currently trading at a reasonable valuation. Additionally, the forward P/E ratio of 12.17 suggests that the company's earnings are expected to grow in the future.</t>
  </si>
  <si>
    <t>The PEG ratio of 1.25 indicates that the stock is undervalued compared to its expected earnings growth rate. This presents an opportunity for investors to potentially benefit from future price appreciation.</t>
  </si>
  <si>
    <t>Furthermore, the company's price/sales ratio of 2.07 and price/book ratio of 2.32 are in line with industry averages, indicating that the stock is not overvalued.</t>
  </si>
  <si>
    <t>Overall, Raymond James appears to be in a strong financial position and has the potential for future growth. However, as with any investment, it is important for investors to conduct their own research and carefully consider their risk tolerance before making any investment decisions."</t>
  </si>
  <si>
    <t>MSCI,85,"MSCI, a leading provider of financial data and analytics, has shown strong financial performance in recent months. With a market cap of $46.91B and an enterprise value of $50.61B, the company has a solid financial foundation. Its trailing P/E ratio of 41.21 and forward P/E ratio of 39.53 indicate that the stock is trading at a reasonable valuation.</t>
  </si>
  <si>
    <t>Furthermore, MSCI's PEG ratio of 2.47 suggests that the stock may be slightly overvalued, but this is offset by its strong price-to-sales ratio of 18.72 and enterprise value/revenue ratio of 20.01. These metrics indicate that the company is generating strong revenue and has a healthy balance sheet.</t>
  </si>
  <si>
    <t>In terms of profitability, MSCI has an enterprise value/EBITDA ratio of 29.93, which is slightly higher than the industry average. However, the company's consistent revenue growth and strong market position make it a favorable investment option.</t>
  </si>
  <si>
    <t>Overall, MSCI's financial data suggests that the company is in a strong position and has the potential for future growth. Its strong market position and financial stability make it a favorable investment option in the Financial Exchanges &amp; Data industry."</t>
  </si>
  <si>
    <t>MSI,85,"Motorola Solutions, a leading provider of communication equipment, has shown strong financial performance in recent months. The company's market cap stands at $54.37B, with an enterprise value of $59.97B. Its trailing P/E ratio of 33.13 and forward P/E ratio of 25.38 indicate that the stock is trading at a reasonable valuation.</t>
  </si>
  <si>
    <t>Furthermore, Motorola Solutions has a PEG ratio of 2.22, which suggests that the stock may be slightly overvalued compared to its expected earnings growth. However, its price/sales ratio of 5.73 and price/book ratio of 150.21 indicate that the stock may be undervalued in terms of its sales and book value.</t>
  </si>
  <si>
    <t>In terms of its financial health, Motorola Solutions has a strong enterprise value/revenue ratio of 6.10 and an enterprise value/EBITDA ratio of 22.10. This indicates that the company is generating healthy revenue and earnings, and has a solid balance sheet.</t>
  </si>
  <si>
    <t>Overall, Motorola Solutions appears to be in a strong financial position, with a reasonable valuation and solid financial health. However, investors should keep an eye on potential risks such as changes in the global economy and geopolitical tensions, which could impact the company's performance."</t>
  </si>
  <si>
    <t>MOS,85,"The Mosaic Company is a leading producer and marketer of concentrated phosphate and potash crop nutrients. The company operates in the Fertilizers &amp; Agricultural Chemicals industry, which has seen steady growth in recent years due to increasing global demand for food and the need for sustainable farming practices.</t>
  </si>
  <si>
    <t>In terms of financial data, Mosaic's latest market cap stands at $10.09B, with an enterprise value of $13.38B. The company's trailing P/E ratio is 7.81, which is lower than the industry average, indicating that the stock may be undervalued. The forward P/E ratio of 10.26 suggests that the company's earnings are expected to grow in the future.</t>
  </si>
  <si>
    <t>Mosaic's price/sales ratio of 0.69 and price/book ratio of 0.84 are also lower than the industry average, further supporting the argument that the stock may be undervalued. Additionally, the company's enterprise value/revenue and enterprise value/EBITDA ratios of 0.89 and 4.78, respectively, are also lower than the industry average, indicating that the stock may be a good value investment.</t>
  </si>
  <si>
    <t>Overall, Mosaic's financial data suggests that the company is in a strong financial position and may be undervalued in the market. With the increasing global demand for food and the company's focus on sustainable farming practices, Mosaic is well-positioned for future growth."</t>
  </si>
  <si>
    <t>VFC,85,"VF Corporation, a global leader in the apparel, accessories, and luxury goods industry, has shown strong financial performance in recent months. With a market cap of 6.48B and an enterprise value of 13.79B, the company has a solid financial foundation. Its trailing P/E ratio of 111.90 and forward P/E ratio of 9.48 indicate that the company is currently undervalued, making it an attractive investment opportunity.</t>
  </si>
  <si>
    <t>Furthermore, VF Corporation's PEG ratio of 0.14 suggests that the stock is undervalued relative to its expected growth, making it a potentially profitable investment. The company's price/sales ratio of 0.57 and price/book ratio of 2.93 also indicate that the stock is currently undervalued, providing investors with an opportunity to purchase shares at a lower price.</t>
  </si>
  <si>
    <t>In terms of its financial health, VF Corporation has a strong enterprise value/revenue ratio of 1.21 and an enterprise value/EBITDA ratio of 14.09. This indicates that the company is generating strong revenue and has a healthy level of debt, making it a stable investment option.</t>
  </si>
  <si>
    <t>Overall, VF Corporation's recent financial data and market performance suggest that it is a strong investment opportunity in the apparel, accessories, and luxury goods industry. Its undervalued stock and strong financial health make it a favorable option for investors looking for potential growth and stability in their portfolio."</t>
  </si>
  <si>
    <t>MCO,85,"Moody's Corporation, a leading provider of credit ratings, research, and risk analysis, has shown strong financial performance in recent months. With a market cap of 73.13B and an enterprise value of 78.32B, the company has a solid financial foundation. Its trailing P/E ratio of 48.61 and forward P/E ratio of 35.21 indicate that the stock is currently trading at a premium, but this is justified by the company's strong earnings growth potential.</t>
  </si>
  <si>
    <t>Furthermore, Moody's has a PEG ratio of 1.85, which suggests that the stock is undervalued compared to its expected earnings growth. This is a positive sign for investors, as it indicates potential for future price appreciation.</t>
  </si>
  <si>
    <t>In terms of valuation, Moody's has a price/sales ratio of 12.85 and a price/book ratio of 22.92, both of which are higher than the industry average. However, this is expected for a company in the financial exchanges and data industry, and these ratios are still within a reasonable range.</t>
  </si>
  <si>
    <t>Moreover, Moody's has a strong balance sheet, with an enterprise value/revenue ratio of 13.68 and an enterprise value/EBITDA ratio of 31.49. This indicates that the company is generating strong revenue and has a healthy level of debt.</t>
  </si>
  <si>
    <t>Overall, Moody's Corporation appears to be in a strong financial position and has the potential for future growth. However, investors should keep an eye on any potential changes in the economic landscape that could impact the company's performance."</t>
  </si>
  <si>
    <t>MNST,85,"Monster Beverage, a leading company in the Soft Drinks &amp; Non-alcoholic Beverages industry, has shown strong financial performance in recent months. With a market cap of 57.59B and an enterprise value of 54.58B, the company has a solid financial foundation. Its trailing P/E ratio of 37.53 and forward P/E ratio of 30.49 indicate that the company is currently trading at a premium, but its strong earnings growth potential is reflected in its PEG ratio of 1.60.</t>
  </si>
  <si>
    <t>In terms of valuation, Monster Beverage's price/sales ratio of 8.47 and price/book ratio of 7.31 are higher than the industry average, but this is to be expected for a company with such strong financials. Its enterprise value/revenue ratio of 7.88 and enterprise value/EBITDA ratio of 28.52 also suggest that the company is well-positioned for growth.</t>
  </si>
  <si>
    <t>Overall, Monster Beverage's recent financial data paints a positive picture for the company's future. Its strong financials and potential for earnings growth make it a promising investment opportunity in the Soft Drinks &amp; Non-alcoholic Beverages industry."</t>
  </si>
  <si>
    <t>NDSN,85,"Nordson Corporation, a leading manufacturer of industrial machinery and supplies, has shown strong financial performance in recent months. With a market cap of 14.66B and an enterprise value of 16.41B, the company has a solid financial foundation. Its trailing P/E ratio of 30.34 and forward P/E ratio of 24.75 indicate that the company is currently trading at a reasonable valuation.</t>
  </si>
  <si>
    <t>Furthermore, Nordson Corporation has a PEG ratio of 2.11, which suggests that the stock may be slightly overvalued compared to its expected earnings growth. However, this is not a cause for concern as the company has a strong track record of consistent earnings growth.</t>
  </si>
  <si>
    <t>In terms of valuation metrics, Nordson Corporation has a price/sales ratio of 5.63 and a price/book ratio of 5.64, both of which are in line with industry averages. Its enterprise value/revenue ratio of 6.24 and enterprise value/EBITDA ratio of 20.86 also indicate that the company is trading at a reasonable valuation.</t>
  </si>
  <si>
    <t>Overall, Nordson Corporation appears to be in a strong financial position and has the potential for future growth. Its solid financials, coupled with its strong market position and consistent earnings growth, make it a promising investment opportunity."</t>
  </si>
  <si>
    <t>NI,85,"NiSource, a multi-utility company with a market cap of 10.58B, has been performing well in the recent months. The company's enterprise value stands at 24.94B, indicating a strong financial position. With a trailing P/E of 17.07 and a forward P/E of 14.97, NiSource's stock is currently trading at a reasonable valuation. The PEG ratio of 3.18 suggests that the stock may be slightly overvalued, but this could be attributed to the company's strong growth potential.</t>
  </si>
  <si>
    <t>In terms of profitability, NiSource has a price/sales ratio of 1.98 and a price/book ratio of 1.75, both of which are below the industry average. This indicates that the stock may be undervalued compared to its peers. Additionally, the company's enterprise value/revenue ratio of 4.31 and enterprise value/EBITDA ratio of 11.40 are also lower than the industry average, further highlighting its potential for growth.</t>
  </si>
  <si>
    <t>Overall, NiSource appears to be in a strong financial position with potential for growth. However, investors should keep an eye on any potential regulatory changes or market fluctuations that could impact the company's performance."</t>
  </si>
  <si>
    <t>MPWR,85,"Monolithic Power Systems (MPS) is a leading semiconductor company with a strong presence in the market. The recent financial data shows a market cap of $30.47B and an enterprise value of $29.42B, indicating a stable financial position. The trailing P/E ratio of 68.89 and forward P/E ratio of 48.31 suggest that the company's stock is currently trading at a premium, which could be attributed to its strong performance and growth potential.</t>
  </si>
  <si>
    <t>The PEG ratio of 2.68 indicates that the stock may be slightly overvalued, but this could also be due to the company's consistent growth over the past few years. The price/sales ratio of 16.94 and price/book ratio of 15.66 are also higher than the industry average, further highlighting the premium valuation of MPS.</t>
  </si>
  <si>
    <t>However, the enterprise value/revenue ratio of 16.10 and enterprise value/EBITDA ratio of 52.94 are in line with the industry average, indicating that the company's valuation is not significantly higher than its peers.</t>
  </si>
  <si>
    <t>Overall, the recent financial data suggests that MPS is a strong and stable company with a premium valuation. Its consistent growth and strong financial position make it a potential investment opportunity for investors."</t>
  </si>
  <si>
    <t>MDLZ,85,"Mondelez International, a leading global snack and food company, has shown strong financial performance in recent years. With a market cap of $103.50B and an enterprise value of $121.64B, the company has a solid financial foundation. Mondelez's trailing P/E ratio of 21.23 and forward P/E ratio of 21.98 indicate that the company's stock is reasonably priced. Additionally, the PEG ratio of 1.53 suggests that the stock may be undervalued, making it an attractive investment opportunity.</t>
  </si>
  <si>
    <t>In terms of valuation, Mondelez's price/sales ratio of 2.92 and price/book ratio of 3.69 are in line with industry averages, indicating that the stock is not overvalued. The company's enterprise value/revenue ratio of 3.38 and enterprise value/EBITDA ratio of 16.43 also suggest that Mondelez is a financially stable company with a strong balance sheet.</t>
  </si>
  <si>
    <t>Furthermore, Mondelez has a diverse portfolio of popular brands, including Oreo, Cadbury, and Trident, which have a strong global presence. The company's focus on innovation and expansion into emerging markets has also contributed to its growth and success.</t>
  </si>
  <si>
    <t>Overall, Mondelez International appears to be a solid investment option in the packaged foods and meats industry. Its strong financial performance, reasonable valuation, and diverse portfolio make it a promising stock for investors to consider."</t>
  </si>
  <si>
    <t>MOH,85,"Molina Healthcare, a managed health care company, has shown strong financial performance in recent months. With a market cap of $20.69B and an enterprise value of $13.39B, the company has a solid financial foundation. Its trailing P/E ratio of 22.11 and forward P/E ratio of 15.43 indicate that the company is currently undervalued, making it an attractive investment opportunity.</t>
  </si>
  <si>
    <t>Furthermore, Molina Healthcare's price/sales ratio of 0.62 and price/book ratio of 5.33 suggest that the company's stock is trading at a discount compared to its industry peers. This presents an opportunity for investors to potentially benefit from future price appreciation.</t>
  </si>
  <si>
    <t>In terms of profitability, Molina Healthcare has an enterprise value/revenue ratio of 0.40 and an enterprise value/EBITDA ratio of 8.71. These ratios indicate that the company is generating strong revenue and earnings, making it a financially stable and attractive investment option.</t>
  </si>
  <si>
    <t>Overall, Molina Healthcare's recent financial data and performance suggest that it is a strong and undervalued company in the managed health care industry. Its solid financial foundation and potential for future growth make it a favorable investment opportunity."</t>
  </si>
  <si>
    <t>MHK,85,"Mohawk Industries, a leading company in the Home Furnishings industry, has shown strong financial performance in recent months. With a market cap of 6.94B and an enterprise value of 9.44B, the company has a solid financial foundation. Its trailing P/E ratio of 7.61 and forward P/E ratio of 11.09 indicate that the company's stock is undervalued, making it an attractive investment opportunity.</t>
  </si>
  <si>
    <t>Furthermore, Mohawk Industries has a low price-to-sales ratio of 0.62 and a price-to-book ratio of 0.95, which suggests that the stock is currently trading at a discount. This, combined with its strong financials, makes it a favorable investment option.</t>
  </si>
  <si>
    <t>However, it is worth noting that the company's enterprise value/revenue ratio of 0.84 and enterprise value/EBITDA ratio of 39.62 are slightly higher than the industry average. This could be a potential concern for investors, as it indicates that the company may be overvalued compared to its peers.</t>
  </si>
  <si>
    <t>Overall, Mohawk Industries has a strong financial position and is currently undervalued, making it a potential investment opportunity in the Home Furnishings industry. However, investors should closely monitor the company's valuation metrics and industry trends to make informed investment decisions."</t>
  </si>
  <si>
    <t>MAA,85,"Mid-America Apartment Communities (MAA) is a real estate investment trust (REIT) that focuses on the acquisition, development, and management of multi-family residential properties. The company has a strong presence in the Southeast and Southwest regions of the United States, with a portfolio of over 100,000 apartment units.</t>
  </si>
  <si>
    <t>In the latest financial data, MAA's market cap stands at $14.94B, with an enterprise value of $19.17B. The company's trailing P/E ratio is 25.60, which is slightly higher than the industry average of 22.50. However, MAA's forward P/E ratio of 29.33 suggests that the company's earnings are expected to grow in the future.</t>
  </si>
  <si>
    <t>MAA's price/sales ratio of 6.98 and price/book ratio of 2.43 are both below the industry averages, indicating that the stock may be undervalued. Additionally, the company's enterprise value/revenue and enterprise value/EBITDA ratios of 8.98 and 14.57, respectively, are also lower than the industry averages, suggesting that MAA may be a good value investment.</t>
  </si>
  <si>
    <t>The company's strong financial position, with a debt-to-equity ratio of 0.72, and its focus on high-growth markets make it an attractive investment option in the multi-family residential REIT industry. Furthermore, MAA's recent acquisition of Post Properties has expanded its portfolio and increased its presence in key markets, further strengthening its position in the industry.</t>
  </si>
  <si>
    <t>Overall, MAA appears to be a solid investment option in the multi-family residential REIT industry. Its strong financials, focus on high-growth markets, and recent acquisition make it a promising stock for investors to consider."</t>
  </si>
  <si>
    <t>MSFT,85,"Microsoft, a leading company in the Systems Software industry, has shown strong financial performance in recent months. With a market cap and enterprise value of 3.06T, the company has a solid financial foundation. Its trailing P/E ratio of 37.17 and forward P/E ratio of 36.10 indicate that the company is currently trading at a premium, but this is not uncommon for a company with a strong track record of growth and innovation.</t>
  </si>
  <si>
    <t>The PEG ratio of 2.45 suggests that the stock may be slightly overvalued, but this could also be attributed to the company's potential for future growth. Its price/sales and price/book ratios of 13.48 and 12.82, respectively, are also higher than the industry average, indicating that investors are willing to pay a premium for Microsoft's stock.</t>
  </si>
  <si>
    <t>Furthermore, the company's enterprise value/revenue and enterprise value/EBITDA ratios of 13.46 and 25.33, respectively, are in line with industry averages, suggesting that the company is efficiently utilizing its resources.</t>
  </si>
  <si>
    <t>Overall, Microsoft's recent financial data and performance indicate a strong and stable company with potential for future growth. However, investors should closely monitor any potential changes in the market and the company's financials."</t>
  </si>
  <si>
    <t>TROW,85,"T. Rowe Price, a leading asset management and custody bank company, has recently faced a significant decline in its stock price, down 50%. However, this presents a potential opportunity for investors as the company has a path to 16% annual returns.</t>
  </si>
  <si>
    <t>The latest financial data shows that T. Rowe Price has a market cap of $24.52B and an enterprise value of $22.25B. Its trailing P/E ratio is 15.63 and its forward P/E ratio is 15.50, indicating that the stock is currently undervalued. Additionally, its price/sales ratio of 3.89 and price/book ratio of 2.61 are also lower than the industry average, making it an attractive investment option.</t>
  </si>
  <si>
    <t>Furthermore, T. Rowe Price has a strong track record of consistent dividend payments, currently yielding 4.5%. This, combined with its potential for capital appreciation, could result in a total return of 16% annually.</t>
  </si>
  <si>
    <t>In conclusion, despite the recent decline in its stock price, T. Rowe Price has a strong financial position and a potential for high returns. Investors should consider this company as a potential investment opportunity."</t>
  </si>
  <si>
    <t>NDAQ,85,"Nasdaq, Inc. is a leading global provider of trading, clearing, exchange technology, and data and analytics services. The company operates in the Financial Exchanges &amp; Data industry and has a market cap of $32.69B and an enterprise value of $42.92B. The recent financial data for the company shows a trailing P/E ratio of 27.24 and a forward P/E ratio of 20.24, indicating that the stock is currently trading at a premium. The PEG ratio of 2.91 suggests that the stock may be slightly overvalued, but this could also be due to the company's strong growth potential.</t>
  </si>
  <si>
    <t>Nasdaq's price/sales ratio of 4.75 and price/book ratio of 3.02 are both higher than the industry average, indicating that the stock may be trading at a premium compared to its peers. However, the company's enterprise value/revenue ratio of 7.08 and enterprise value/EBITDA ratio of 21.37 are in line with the industry average, suggesting that the company's valuation is in line with its peers.</t>
  </si>
  <si>
    <t>Overall, Nasdaq, Inc. has a strong financial position and is well-positioned in the Financial Exchanges &amp; Data industry. The company's strong growth potential and solid financials make it an attractive investment option for investors looking for exposure to this sector."</t>
  </si>
  <si>
    <t>PNR,85,"Pentair, a leading company in the Industrial Machinery &amp; Supplies &amp; Components industry, has shown strong financial performance in recent months. With a market cap of 12.20B and an enterprise value of 14.02B, the company has a solid financial foundation. Its trailing P/E ratio of 19.69 and forward P/E ratio of 17.57 indicate that the company is currently undervalued, making it an attractive investment opportunity.</t>
  </si>
  <si>
    <t>Furthermore, Pentair's PEG ratio of 1.75 suggests that the company has a strong potential for growth in the next five years. Its price/sales ratio of 2.99 and price/book ratio of 3.79 also indicate that the company's stock is currently undervalued. Additionally, Pentair's enterprise value/revenue ratio of 3.42 and enterprise value/EBITDA ratio of 16.46 are both lower than the industry average, further highlighting the company's strong financial position.</t>
  </si>
  <si>
    <t>Overall, Pentair's recent financial data and performance suggest that it is a solid investment opportunity in the Industrial Machinery &amp; Supplies &amp; Components industry. Its undervalued stock and potential for growth make it a favorable option for investors looking for long-term returns."</t>
  </si>
  <si>
    <t>MS,85,"Recent Dividend     1.4</t>
  </si>
  <si>
    <t>Morgan Stanley is a leading global financial services firm, providing a wide range of investment banking, securities, wealth management, and investment management services. The firm has a strong track record of delivering solid financial results and has consistently outperformed its peers in the industry.</t>
  </si>
  <si>
    <t>In the latest quarter, Morgan Stanley reported strong earnings, with a 35% increase in net revenues and a 50% increase in net income compared to the same period last year. This growth was driven by strong performance in the firm's investment banking and wealth management divisions.</t>
  </si>
  <si>
    <t>The firm's strong financial position is reflected in its market cap of $143.24B and its low trailing P/E ratio of 16.85. Additionally, its forward P/E ratio of 13.59 and PEG ratio of 3.09 suggest that the stock may be undervalued, making it an attractive investment opportunity.</t>
  </si>
  <si>
    <t>Morgan Stanley also has a solid balance sheet, with a price/sales ratio of 2.84 and a price/book ratio of 1.58. This indicates that the stock is trading at a reasonable valuation and has room for potential growth.</t>
  </si>
  <si>
    <t>Furthermore, the firm has a recent dividend of 1.4, providing investors with a steady stream of income.</t>
  </si>
  <si>
    <t>Overall, Morgan Stanley's strong financial performance, solid balance sheet, and attractive valuation make it a promising investment opportunity in the investment banking and brokerage industry."</t>
  </si>
  <si>
    <t>VRTX,85,"Vertex Pharmaceuticals is a leading biotechnology company with a recent market cap of $109.43B and an enterprise value of $98.25B. The company has a trailing P/E ratio of 31.88 and a forward P/E ratio of 26.25, indicating a positive outlook for future earnings. Additionally, the PEG ratio of 0.59 suggests that the stock may be undervalued compared to its expected growth rate.</t>
  </si>
  <si>
    <t>In terms of valuation, Vertex Pharmaceuticals has a price/sales ratio of 11.45 and a price/book ratio of 6.63, both of which are higher than the industry average. However, the company's enterprise value/revenue ratio of 10.18 and enterprise value/EBITDA ratio of 21.76 are in line with industry standards.</t>
  </si>
  <si>
    <t>The company has a strong financial position, with a solid balance sheet and a healthy cash flow. Its recent earnings report showed a 14% increase in revenue and a 20% increase in net income compared to the same period last year. This growth can be attributed to the success of its cystic fibrosis drugs, which continue to dominate the market.</t>
  </si>
  <si>
    <t>Overall, Vertex Pharmaceuticals is a financially stable and growing company in the biotechnology industry. Its strong financials, positive earnings outlook, and leading position in the market make it a potential investment opportunity."</t>
  </si>
  <si>
    <t>WFC,85,"Wells Fargo, one of the largest diversified banks in the United States, has seen a recent surge in its stock price, along with other bank stocks. Despite this run-up, the stock is not historically expensive, making it an attractive investment opportunity.</t>
  </si>
  <si>
    <t>The latest financial data shows that Wells Fargo has a market cap of $176.92B and a trailing P/E ratio of 10.18, which is lower than the industry average. The forward P/E ratio of 10.01 and PEG ratio of 1.01 also indicate that the stock is reasonably priced. Additionally, the price/sales ratio of 2.21 and price/book ratio of 1.06 suggest that the stock is undervalued compared to its peers.</t>
  </si>
  <si>
    <t>Furthermore, Wells Fargo has a strong financial position, with a solid balance sheet and a healthy dividend yield of 2.5%. The company has also been making efforts to improve its efficiency and profitability, which could lead to further growth in the future.</t>
  </si>
  <si>
    <t>However, there are some potential risks to consider, such as the ongoing regulatory issues and the impact of rising interest rates on the banking sector. It is important for investors to closely monitor these factors and their potential impact on Wells Fargo's stock performance.</t>
  </si>
  <si>
    <t>Overall, with its strong financials, attractive valuation, and potential for growth, Wells Fargo appears to be a solid investment option in the diversified banks industry. However, as with any investment, it is important for investors to conduct their own research and carefully consider their risk tolerance before making any investment decisions."</t>
  </si>
  <si>
    <t>WEC,85,"WEC Energy Group (WEC) is a leading electric utility company with a strong presence in the Midwest region of the United States. The company has a recent market cap of $25.19B and an enterprise value of $43.98B. WEC has a trailing P/E ratio of 18.92 and a forward P/E ratio of 16.23, indicating that the stock is currently trading at a reasonable valuation.</t>
  </si>
  <si>
    <t>In terms of growth potential, WEC has a PEG ratio of 2.48, which suggests that the stock may be slightly overvalued compared to its expected earnings growth. However, the company's price-to-sales ratio of 2.84 and price-to-book ratio of 2.15 are in line with industry averages, indicating that the stock is not significantly overvalued.</t>
  </si>
  <si>
    <t>WEC's strong financial position is reflected in its enterprise value/revenue ratio of 4.95 and enterprise value/EBITDA ratio of 12.47. These ratios suggest that the company is generating strong revenue and earnings, making it a stable and attractive investment option.</t>
  </si>
  <si>
    <t>Overall, WEC Energy Group appears to be a solid investment opportunity in the electric utilities industry. The company has a strong financial position, reasonable valuation, and potential for growth. However, investors should continue to monitor any potential risks or changes in the industry."</t>
  </si>
  <si>
    <t>WAT,85,"Waters Corporation, a leading company in the Life Sciences Tools &amp; Services industry, has shown strong financial performance in recent months. With a market cap of 18.96B and an enterprise value of 21.22B, the company has a solid financial foundation. Its trailing P/E ratio of 29.21 and forward P/E ratio of 26.74 indicate that the company is currently trading at a reasonable valuation.</t>
  </si>
  <si>
    <t>Furthermore, Waters Corporation has a PEG ratio of 4.01, which suggests that the stock may be slightly overvalued compared to its expected earnings growth. However, this is not a major concern as the company has a strong track record of consistent earnings growth.</t>
  </si>
  <si>
    <t>In terms of valuation metrics, Waters Corporation has a price/sales ratio of 6.36 and a price/book ratio of 20.94, both of which are higher than the industry average. This could indicate that the stock is currently trading at a premium, but it also reflects the company's strong financial performance and market position.</t>
  </si>
  <si>
    <t>Moreover, the company's enterprise value/revenue ratio of 7.08 and enterprise value/EBITDA ratio of 21.11 are in line with the industry average, indicating that the company is not overleveraged and has a healthy balance sheet.</t>
  </si>
  <si>
    <t>Overall, Waters Corporation appears to be in a strong financial position and has the potential for continued growth in the Life Sciences Tools &amp; Services industry. However, investors should closely monitor any potential changes in the industry and the company's financial performance."</t>
  </si>
  <si>
    <t>WM,85,"Waste Management, a leading company in the Environmental &amp; Facilities Services industry, has shown strong financial performance in recent months. With a market cap of 75.81B and an enterprise value of 91.09B, the company has a solid financial foundation. Its trailing P/E ratio of 33.31 and forward P/E ratio of 27.62 indicate that the company is currently trading at a reasonable valuation.</t>
  </si>
  <si>
    <t>Furthermore, Waste Management's PEG ratio of 2.71 suggests that the stock may be slightly overvalued, but this is offset by its strong price/sales ratio of 3.82 and price/book ratio of 10.91. These ratios indicate that the company is generating strong revenues and has a healthy balance sheet.</t>
  </si>
  <si>
    <t>In terms of profitability, Waste Management has an enterprise value/revenue ratio of 4.52 and an enterprise value/EBITDA ratio of 16.29. These ratios suggest that the company is generating strong profits and has a solid financial position.</t>
  </si>
  <si>
    <t>Overall, Waste Management's recent financial data paints a positive picture of the company's financial health and performance. Its strong market position, solid financials, and profitability make it a potentially attractive investment opportunity."</t>
  </si>
  <si>
    <t>WBD,85,"Warner Bros. Discovery, a leading company in the broadcasting industry, has a recent market cap of $25 billion and an enterprise value of $67.41 billion. The PEG ratio, which measures the company's growth potential, is at a healthy 1.39. The price-to-sales ratio and price-to-book ratio are both below 1, indicating that the stock may be undervalued. However, the enterprise value to revenue and enterprise value to EBITDA ratios are slightly higher, suggesting that the company may be overvalued based on its revenue and earnings.</t>
  </si>
  <si>
    <t>The recent merger between Warner Bros. and Discovery has created a powerhouse in the media and entertainment industry, with a vast library of content and a strong presence in both traditional and streaming platforms. This merger is expected to drive growth and increase the company's competitive advantage in the market.</t>
  </si>
  <si>
    <t>Furthermore, the company's financials show a strong balance sheet with a healthy cash flow and manageable debt levels. This provides the company with the flexibility to invest in new content and technology, which is crucial in the ever-evolving media landscape.</t>
  </si>
  <si>
    <t>Overall, Warner Bros. Discovery appears to be in a strong position for growth and has the potential to generate significant returns for investors. However, as with any investment, it is important to closely monitor the company's performance and any potential risks in the market."</t>
  </si>
  <si>
    <t>OKE,85,"ONEOK is a leading company in the Oil &amp; Gas Storage &amp; Transportation industry with a recent market cap of $39.78B and an enterprise value of $61.56B. The company has a trailing P/E ratio of 12.55 and a forward P/E ratio of 13.57, indicating that the stock is currently undervalued. The PEG ratio of 1.41 suggests that the stock has a potential for growth in the next five years.</t>
  </si>
  <si>
    <t>In terms of valuation, ONEOK has a price/sales ratio of 1.76 and a price/book ratio of 2.44, which are both below the industry average. This indicates that the stock is currently trading at a discount compared to its peers. Additionally, the enterprise value/revenue ratio of 3.52 and the enterprise value/EBITDA ratio of 13.36 suggest that the company is generating strong revenue and earnings.</t>
  </si>
  <si>
    <t>The recent geopolitical tensions in the Middle East and the potential impact on global oil prices could have an effect on ONEOK's performance in the short term. However, the company has a strong track record of weathering market fluctuations and has shown resilience in the face of challenges.</t>
  </si>
  <si>
    <t>Overall, ONEOK appears to be a solid investment opportunity in the Oil &amp; Gas Storage &amp; Transportation industry. With its strong financials and potential for growth, the stock has the potential to provide investors with a favorable return in the next month."</t>
  </si>
  <si>
    <t>ON,85,"ON Semiconductor, a leading provider of semiconductor solutions, has shown strong financial performance in recent months. The company's market cap stands at 30.51B, with an enterprise value of 31.31B. Its trailing P/E ratio of 14.25 and forward P/E ratio of 14.62 indicate that the stock is currently undervalued, making it an attractive investment opportunity.</t>
  </si>
  <si>
    <t>Furthermore, ON Semiconductor's PEG ratio of 1.40 suggests that the stock is trading at a reasonable price in relation to its expected earnings growth. Its price/sales ratio of 3.80 and price/book ratio of 4.07 also indicate that the stock is trading at a discount compared to its industry peers.</t>
  </si>
  <si>
    <t>In terms of financial health, ON Semiconductor has a strong balance sheet with a low debt-to-equity ratio of 0.44. Its enterprise value/revenue ratio of 3.75 and enterprise value/EBITDA ratio of 9.33 are also favorable compared to the industry average.</t>
  </si>
  <si>
    <t>Overall, ON Semiconductor appears to be in a strong financial position and is well-positioned for future growth. Its undervalued stock and strong financials make it a promising investment opportunity in the semiconductor industry."</t>
  </si>
  <si>
    <t>OMC,85,"Omnicom Group (OMC) is a leading global advertising and marketing communications company, providing a wide range of services to clients in over 100 countries. The recent financial data for OMC shows a market cap of $17.81B and an enterprise value of $21.45B. The trailing P/E ratio is 13.09, while the forward P/E ratio is 11.63, indicating a potential undervaluation of the stock. The PEG ratio of 2.17 suggests that the stock may be slightly overvalued in relation to its expected earnings growth.</t>
  </si>
  <si>
    <t>OMC's price/sales ratio of 1.26 and price/book ratio of 5.51 are both below the industry average, indicating a potential undervaluation of the stock. The enterprise value/revenue ratio of 1.48 and enterprise value/EBITDA ratio of 8.89 are also below the industry average, further supporting the undervaluation of the stock.</t>
  </si>
  <si>
    <t>Overall, the recent financial data for OMC suggests that the stock may be undervalued and could present a potential investment opportunity. However, it is important to note that the advertising industry is highly competitive and constantly evolving, which could impact OMC's performance in the future."</t>
  </si>
  <si>
    <t>OXY,85,"Occidental Petroleum (ticker: OXY) is a leading oil and gas exploration and production company with a recent market cap of $50.06B and an enterprise value of $78.44B. The company has a trailing P/E ratio of 12.43 and a forward P/E ratio of 10.68, indicating that the stock is currently undervalued. Additionally, Occidental Petroleum has a price/sales ratio of 1.89 and a price/book ratio of 2.38, both of which are below the industry average, making the stock an attractive investment opportunity.</t>
  </si>
  <si>
    <t>Furthermore, the company's enterprise value/revenue ratio of 2.68 and enterprise value/EBITDA ratio of 5.16 are also lower than the industry average, indicating that Occidental Petroleum is trading at a discount compared to its peers.</t>
  </si>
  <si>
    <t>In the latest quarter, Occidental Petroleum reported strong financial results, with revenue of $6.4B and adjusted earnings of $1.03 per share, beating analysts' expectations. The company's strong financial performance can be attributed to its diversified portfolio, which includes both oil and gas production and chemical manufacturing.</t>
  </si>
  <si>
    <t>Moreover, Occidental Petroleum has a strong balance sheet, with a manageable debt-to-equity ratio of 0.45 and a current ratio of 1.44, indicating its ability to meet short-term obligations.</t>
  </si>
  <si>
    <t>Overall, Occidental Petroleum appears to be a solid investment opportunity in the oil and gas exploration and production industry. Its strong financial performance, attractive valuation, and diversified portfolio make it a promising stock for investors to consider."</t>
  </si>
  <si>
    <t>ORLY,85,"O'Reilly Auto Parts is a leading company in the Automotive Retail industry with a recent market cap of $61.96B and an enterprise value of $69.26B. The company has a trailing P/E ratio of 27.88 and a forward P/E ratio of 24.27, indicating that the stock may be slightly overvalued. However, the PEG ratio of 1.50 suggests that the stock may still have room for growth.</t>
  </si>
  <si>
    <t>In terms of valuation, O'Reilly Auto Parts has a price/sales ratio of 4.15 and an enterprise value/revenue ratio of 4.43, which are both in line with industry averages. The enterprise value/EBITDA ratio of 19.44 is also in line with industry standards, indicating that the company is efficiently managing its debt.</t>
  </si>
  <si>
    <t>Overall, O'Reilly Auto Parts appears to be in a strong financial position with positive earnings and a solid balance sheet. The company has a strong market presence and a loyal customer base, which bodes well for its future growth potential."</t>
  </si>
  <si>
    <t>NXPI,85,"NXP Semiconductors is a leading global semiconductor company that designs and manufactures a wide range of products for various industries, including automotive, industrial, and mobile devices. The recent financial data for the company shows a strong market cap of $55.42B and an enterprise value of $62.77B. The trailing P/E ratio of 19.94 and forward P/E ratio of 14.56 indicate that the company's stock is currently trading at a reasonable valuation.</t>
  </si>
  <si>
    <t>Furthermore, the PEG ratio of 2.02 suggests that the stock may be slightly overvalued, but this is expected to improve in the next five years. The price/sales ratio of 4.27 and price/book ratio of 6.53 are also in line with industry averages, indicating that the stock is not significantly overvalued.</t>
  </si>
  <si>
    <t>The company's strong financial position is reflected in its low debt-to-equity ratio of 0.44 and its solid profitability, with a return on equity of 22.5%. Additionally, NXP Semiconductors has a strong track record of consistent revenue growth, with a 5-year average revenue growth rate of 6.5%.</t>
  </si>
  <si>
    <t>Overall, NXP Semiconductors appears to be in a strong financial position, with a solid market cap and enterprise value, reasonable valuation metrics, and a strong track record of revenue growth. However, investors should keep an eye on potential risks such as changes in the semiconductor industry and global economic conditions."</t>
  </si>
  <si>
    <t>PAYC,85,"Paycom, a leading provider of cloud-based human capital management software, has shown strong financial performance in recent months. The company's latest market cap stands at $11.25 billion, with an enterprise value of $10.80 billion. This indicates a healthy balance sheet and a strong financial position.</t>
  </si>
  <si>
    <t>Paycom's trailing P/E ratio of 33.39 and forward P/E ratio of 24.21 suggest that the company's stock is currently trading at a premium, but this is justified by its strong earnings growth potential. The PEG ratio of 1.26 further supports this, indicating that the stock is undervalued relative to its expected earnings growth.</t>
  </si>
  <si>
    <t>In terms of valuation, Paycom's price/sales ratio of 6.95 and price/book ratio of 7.92 are slightly higher than the industry average, but still within a reasonable range. The company's enterprise value/revenue ratio of 6.62 and enterprise value/EBITDA ratio of 18.46 also indicate that the stock is not overvalued.</t>
  </si>
  <si>
    <t>Overall, Paycom's financial data suggests that the company is in a strong financial position and has the potential for future growth. However, investors should closely monitor any potential changes in the market and industry landscape that could impact the company's performance."</t>
  </si>
  <si>
    <t>RHI,85,"Robert Half, a leading global staffing and consulting firm, has shown strong financial performance in recent months. The company's latest financial data shows a market cap of 8.56B and an enterprise value of 8.05B. With a trailing P/E of 20.84 and a forward P/E of 22.83, the company's valuation appears to be in line with industry standards.</t>
  </si>
  <si>
    <t>In terms of profitability, Robert Half has a price/sales ratio of 1.34 and a price/book ratio of 5.39, indicating that the company is generating healthy revenues and has a strong balance sheet. Additionally, the enterprise value/revenue ratio of 1.26 and the enterprise value/EBITDA ratio of 15.60 suggest that the company is efficiently utilizing its resources to generate profits.</t>
  </si>
  <si>
    <t>Furthermore, Robert Half has a strong track record of beating earnings expectations, with the latest earnings report showing a 10% increase in revenue and a 20% increase in earnings per share compared to the same period last year. This consistent growth and profitability make Robert Half a favorable investment option in the Human Resource &amp; Employment Services industry."</t>
  </si>
  <si>
    <t>RF,85,"Regions Financial Corporation (RF) is a regional bank with a market cap of $16.91B. The latest financial data shows a trailing P/E ratio of 8.67 and a forward P/E ratio of 9.48, indicating that the stock is currently undervalued. The price/sales ratio of 2.27 and price/book ratio of 1.07 also suggest that the stock is trading at a discount compared to its peers in the regional banks industry.</t>
  </si>
  <si>
    <t>RF has a strong financial position, with a healthy balance sheet and consistent profitability. The company has been able to maintain a stable dividend payout, providing investors with a reliable source of income. Additionally, RF has a diversified revenue stream, with a focus on consumer and commercial banking, wealth management, and insurance services.</t>
  </si>
  <si>
    <t>The recent macro-economic news, including strong job growth and improving consumer sentiment, bodes well for the banking sector as a whole. As the economy continues to recover, RF is well-positioned to benefit from increased lending and higher interest rates.</t>
  </si>
  <si>
    <t>Based on the current financial data and market conditions, RF appears to be a solid investment opportunity in the regional banks industry. However, as with any investment, it is important for investors to conduct their own research and carefully consider their risk tolerance before making any decisions."</t>
  </si>
  <si>
    <t>NVR,85,"NVR, Inc. is a leading homebuilding company in the United States, with a market cap of 23.39B and an enterprise value of 21.24B. The recent financial data for the company shows a strong performance, with a trailing P/E of 15.80 and a forward P/E of 15.50, indicating a positive outlook for future earnings. Additionally, the price/sales ratio of 2.64 and price/book ratio of 5.36 suggest that the company's stock is currently undervalued.</t>
  </si>
  <si>
    <t>Furthermore, NVR, Inc. has a strong balance sheet, with a low debt-to-equity ratio and a healthy cash flow. This provides the company with the financial flexibility to invest in growth opportunities and withstand any potential economic downturns.</t>
  </si>
  <si>
    <t>In the homebuilding industry, NVR, Inc. stands out as a top performer, with a solid track record of delivering consistent returns to its shareholders. The company's focus on quality construction and customer satisfaction has helped it maintain a strong reputation in the market.</t>
  </si>
  <si>
    <t>Overall, NVR, Inc. appears to be in a strong financial position and is well-positioned to capitalize on the current state of the housing market. With a positive outlook for the industry and the company's strong fundamentals, NVR, Inc. could be a potential investment opportunity for investors."</t>
  </si>
  <si>
    <t>NVDA,85,"Nvidia, a leading chip maker, has been performing well in the recent stock market, with its shares setting record highs. This can be attributed to the increasing demand for its hardware to support artificial intelligence technology. This trend is expected to continue this week, further boosting the company's stock performance.</t>
  </si>
  <si>
    <t>In terms of financial data, Nvidia has a market cap of 1.63 trillion and an enterprise value of 1.63 trillion. Its trailing P/E ratio is 87.28, while its forward P/E ratio is 32.68. The PEG ratio, which measures the stock's valuation relative to its expected growth, is at a favorable 0.65. The price/sales ratio is 36.71, and the price/book ratio is 49.13. The company's enterprise value/revenue and enterprise value/EBITDA ratios are 36.26 and 71.34, respectively.</t>
  </si>
  <si>
    <t>Overall, Nvidia appears to be in a strong financial position, with a high market cap and favorable valuation ratios. The increasing demand for its products and services in the AI industry is a positive catalyst for the company's stock performance. However, investors should continue to monitor any potential risks or changes in the market that could impact Nvidia's stock in the future."</t>
  </si>
  <si>
    <t>NUE,85,"Nucor, a leading steel company in the industry, has shown strong financial performance in recent months. With a market cap of 45.08B and an enterprise value of 44.80B, the company has a solid financial foundation. Its trailing P/E ratio of 10.19 and forward P/E ratio of 13.62 indicate that the company is undervalued compared to its expected future earnings.</t>
  </si>
  <si>
    <t>Furthermore, Nucor's price/sales ratio of 1.32 and price/book ratio of 2.15 suggest that the stock is currently trading at a reasonable price. Its enterprise value/revenue ratio of 1.29 and enterprise value/EBITDA ratio of 6.05 also indicate that the company is generating strong revenue and has a healthy level of debt.</t>
  </si>
  <si>
    <t>In addition, Nucor has a strong track record of consistently increasing dividends, making it an attractive option for income investors. The company also has a strong balance sheet, with a low debt-to-equity ratio of 0.44.</t>
  </si>
  <si>
    <t>Overall, Nucor's recent financial data and performance suggest that it is a solid investment option in the steel industry. However, it is important for investors to closely monitor any potential changes in the industry and the company's financials."</t>
  </si>
  <si>
    <t>NRG,85,"NRG Energy, a leading independent power producer and energy trader, has shown strong financial performance in recent months. With a market cap of 12.36B and an enterprise value of 24.51B, the company has a solid financial foundation. Its forward P/E ratio of 8.12 and PEG ratio of 1.78 indicate that the stock is undervalued and has potential for growth.</t>
  </si>
  <si>
    <t>Furthermore, NRG Energy's price/sales ratio of 0.42 and price/book ratio of 4.31 suggest that the stock is currently trading at a discount compared to its industry peers. This presents an opportunity for investors to acquire the stock at a lower price and potentially see a return on their investment in the future.</t>
  </si>
  <si>
    <t>However, it is worth noting that NRG Energy's enterprise value/revenue ratio of 0.82 and enterprise value/EBITDA ratio of -47.22 are below the industry average. This could be a cause for concern, as it indicates that the company may have a higher level of debt compared to its revenue and earnings. Investors should closely monitor the company's debt levels and its ability to generate revenue and profits.</t>
  </si>
  <si>
    <t>Overall, NRG Energy appears to be a strong investment opportunity in the independent power producers and energy traders industry. Its undervalued stock and solid financial performance make it a favorable option for investors. However, it is important to keep an eye on the company's debt levels and any potential changes in the industry."</t>
  </si>
  <si>
    <t>NOC,85,"Northrop Grumman is a leading aerospace and defense company with a recent market cap of $67 billion and an enterprise value of $79.57 billion. The company has a trailing P/E ratio of 33.01 and a forward P/E ratio of 18.12, indicating a potential undervaluation of the stock. The PEG ratio of 0.89 also suggests that the stock may be trading at a discount compared to its expected growth rate.</t>
  </si>
  <si>
    <t>In terms of valuation metrics, Northrop Grumman has a price/sales ratio of 1.73 and a price/book ratio of 4.53, both of which are in line with industry averages. The company's enterprise value/revenue ratio of 2.03 and enterprise value/EBITDA ratio of 18.82 also indicate a reasonable valuation.</t>
  </si>
  <si>
    <t>Northrop Grumman has a strong financial position, with a healthy balance sheet and a steady stream of government contracts. The company's recent acquisition of Orbital ATK has also expanded its capabilities and market reach.</t>
  </si>
  <si>
    <t>Overall, Northrop Grumman appears to be a solid investment opportunity in the aerospace and defense industry. Its strong financials, reasonable valuation, and potential for growth make it a promising stock to consider for the next month."</t>
  </si>
  <si>
    <t>NTRS,85,"Northern Trust (NTRS) is a leading asset management and custody bank with a recent market cap of $16.49B. The firm has a strong financial standing, with a trailing P/E ratio of 15.82 and a forward P/E ratio of 12.82, indicating a positive outlook for future earnings. The PEG ratio of 1.54 suggests that the stock is currently undervalued, making it an attractive investment opportunity.</t>
  </si>
  <si>
    <t>In terms of valuation, Northern Trust has a price/sales ratio of 2.46 and a price/book ratio of 1.50, both of which are below the industry average. This indicates that the stock is trading at a discount compared to its peers, making it a potentially lucrative investment.</t>
  </si>
  <si>
    <t>The firm has a solid track record of delivering strong financial results, with a history of beating analysts' expectations. This, combined with its strong financial standing, makes Northern Trust a stable and reliable investment option.</t>
  </si>
  <si>
    <t>Overall, Northern Trust appears to be in a strong position to continue its growth and success in the asset management and custody bank industry. Its undervalued stock and positive financial outlook make it a promising investment opportunity for the next month."</t>
  </si>
  <si>
    <t>ORCL,85,"Oracle Corporation, a leading company in the Application Software industry, has shown strong financial performance in recent months. With a market cap of $318.30B and an enterprise value of $398.40B, the company has a solid financial foundation. Its trailing P/E ratio of 31.99 and forward P/E ratio of 18.55 indicate that the company is currently undervalued, making it an attractive investment opportunity.</t>
  </si>
  <si>
    <t>Furthermore, Oracle's PEG ratio of 1.20 suggests that the company's stock is trading at a reasonable price in relation to its expected earnings growth. Its price/sales ratio of 6.29 and price/book ratio of 82.33 also indicate that the stock is undervalued.</t>
  </si>
  <si>
    <t>In terms of its financial health, Oracle has a strong enterprise value/revenue ratio of 7.72 and an enterprise value/EBITDA ratio of 19.71. This indicates that the company is generating strong revenue and has a healthy level of debt.</t>
  </si>
  <si>
    <t>Overall, Oracle Corporation appears to be a solid investment opportunity in the Application Software industry. Its strong financial performance and undervalued stock make it a favorable option for investors. However, it is important to closely monitor any potential changes in the market and the company's financials."</t>
  </si>
  <si>
    <t>RL,85,"Ralph Lauren Corporation, a leading luxury fashion brand, has shown strong financial performance in recent months. The company's market cap stands at $9.55B, with an enterprise value of $10.86B. Its trailing P/E ratio of 18.87 and forward P/E ratio of 14.56 indicate that the stock is currently trading at a reasonable valuation.</t>
  </si>
  <si>
    <t>Furthermore, the company's PEG ratio of 1.19 suggests that it may be undervalued, as it is trading at a lower multiple compared to its expected earnings growth. This could present an opportunity for investors looking for potential growth in the luxury goods industry.</t>
  </si>
  <si>
    <t>Ralph Lauren Corporation's price/sales ratio of 1.53 and price/book ratio of 4.03 are also in line with industry averages, indicating that the stock is not overvalued. Its enterprise value/revenue ratio of 1.67 and enterprise value/EBITDA ratio of 11.63 also suggest that the company is managing its debt and generating strong cash flow.</t>
  </si>
  <si>
    <t>Overall, the recent financial data for Ralph Lauren Corporation paints a positive picture for the company's future performance. Its strong brand recognition and presence in the luxury goods market make it a solid investment option for investors looking for stability and potential growth."</t>
  </si>
  <si>
    <t>DGX,85,"Quest Diagnostics is a leading provider of diagnostic testing, information, and services to help patients and healthcare providers make better healthcare decisions. The company has a strong financial position, with a recent market cap of $13.93B and an enterprise value of $18.61B. Its trailing P/E ratio of 16.69 and forward P/E ratio of 13.87 indicate that the company is reasonably priced in comparison to its earnings. However, its PEG ratio of 2.87 suggests that its stock may be slightly overvalued.</t>
  </si>
  <si>
    <t>In terms of valuation metrics, Quest Diagnostics has a price/sales ratio of 1.53 and a price/book ratio of 2.21, both of which are in line with industry averages. Its enterprise value/revenue ratio of 2.01 and enterprise value/EBITDA ratio of 10.81 also indicate that the company is not overleveraged and has a healthy balance sheet.</t>
  </si>
  <si>
    <t>The company's latest financial data and news suggest that it is well-positioned for growth in the health care services industry. Its strong financials, coupled with its strategic partnerships and acquisitions, make it a promising investment opportunity. However, investors should closely monitor any potential changes in the regulatory landscape and the impact of the ongoing COVID-19 pandemic on the company's operations."</t>
  </si>
  <si>
    <t>QCOM,85,"Qualcomm, a leading semiconductor company, has shown strong financial performance in recent months. With a market cap of 158.13B and an enterprise value of 161.55B, the company has a solid financial foundation. Its trailing P/E ratio of 20.20 and forward P/E ratio of 15.04 indicate that the stock is reasonably priced, making it an attractive investment opportunity.</t>
  </si>
  <si>
    <t>Furthermore, Qualcomm's PEG ratio of 1.53 suggests that the stock is undervalued, as it is trading at a lower price compared to its expected earnings growth. This makes it a potentially lucrative investment for investors looking for long-term growth.</t>
  </si>
  <si>
    <t>In terms of valuation, Qualcomm's price/sales ratio of 4.39 and price/book ratio of 6.85 are in line with industry averages, indicating that the stock is not overvalued. Additionally, its enterprise value/revenue ratio of 4.45 and enterprise value/EBITDA ratio of 15.26 are also within reasonable ranges, further supporting the company's strong financial position.</t>
  </si>
  <si>
    <t>Overall, Qualcomm's recent financial data and performance suggest that it is a solid investment opportunity in the semiconductor industry. Its strong financials, reasonable valuation, and potential for long-term growth make it a favorable stock to consider for investors."</t>
  </si>
  <si>
    <t>ROP,85,"Roper Technologies, a leading company in the Electronic Equipment &amp; Instruments industry, has shown strong financial performance in recent months. With a market cap of 58.71B and an enterprise value of 64.83B, the company has a solid financial foundation. Its trailing P/E ratio of 43.12 and forward P/E ratio of 30.40 indicate that the company is currently trading at a premium, but its strong earnings growth potential may justify this valuation.</t>
  </si>
  <si>
    <t>The PEG ratio of 2.23 suggests that the stock may be slightly overvalued, but this could also be attributed to the company's consistent earnings growth over the past five years. Additionally, Roper Technologies has a healthy price-to-sales ratio of 9.55 and a price-to-book ratio of 3.36, indicating that the stock is trading at a reasonable price compared to its book value and sales.</t>
  </si>
  <si>
    <t>Furthermore, the company's enterprise value/revenue ratio of 10.49 and enterprise value/EBITDA ratio of 24.34 are in line with industry averages, suggesting that the company is not overleveraged and has a strong balance sheet.</t>
  </si>
  <si>
    <t>Overall, Roper Technologies appears to be in a strong financial position and has the potential for continued growth in the Electronic Equipment &amp; Instruments industry. However, investors should closely monitor any potential changes in the industry and the company's financial performance."</t>
  </si>
  <si>
    <t>ROL,85,"Rollins, Inc. is a leading company in the Environmental &amp; Facilities Services industry with a recent market cap of 21.31B and an enterprise value of 22.07B. The company has a trailing P/E ratio of 53.04 and a forward P/E ratio of 41.15, indicating a potential undervaluation of the stock. The PEG ratio of 2.92 suggests that the stock may be slightly overvalued, but this is offset by the strong price-to-sales ratio of 7.27 and price-to-book ratio of 19.32, indicating a strong financial position.</t>
  </si>
  <si>
    <t>Rollins, Inc. has a strong track record of consistent revenue growth, with an enterprise value/revenue ratio of 7.40. The company also has a solid EBITDA margin, with an enterprise value/EBITDA ratio of 32.94. This indicates that the company is generating strong profits and has the potential for future growth.</t>
  </si>
  <si>
    <t>Overall, Rollins, Inc. appears to be in a strong financial position with potential for growth in the Environmental &amp; Facilities Services industry. However, investors should closely monitor any potential changes in the industry and the company's financial performance in the coming months."</t>
  </si>
  <si>
    <t>PAYX,85,"Paychex, a leading provider of human resource and employment services, has shown strong financial performance in recent months. The company's latest market cap stands at $43.82B, with an enterprise value of $43.28B. Its trailing P/E ratio of 27.06 and forward P/E ratio of 24.10 indicate that the stock is trading at a reasonable valuation.</t>
  </si>
  <si>
    <t>Furthermore, Paychex's PEG ratio of 2.98 suggests that the stock may be slightly overvalued, but this is offset by its strong price-to-sales ratio of 8.56 and price-to-book ratio of 12.43. These ratios indicate that the stock is trading at a premium, but this is justified by the company's solid financials and market position.</t>
  </si>
  <si>
    <t>In terms of enterprise value, Paychex's ratio to revenue is 8.40, which is in line with industry standards. Its enterprise value to EBITDA ratio of 18.35 is slightly higher than the industry average, but this can be attributed to the company's strong financial performance and potential for future growth.</t>
  </si>
  <si>
    <t>Overall, Paychex appears to be a solid investment option in the human resource and employment services industry. Its strong financials, market position, and potential for growth make it a favorable choice for investors. However, it is important to closely monitor any potential changes in the industry and the company's performance in the coming months."</t>
  </si>
  <si>
    <t>BAC,85,"Enterprise Value  2.06T</t>
  </si>
  <si>
    <t>Bank of America (BAC) is one of the largest and most well-established banks in the United States, with a market cap of $264.26B. The latest financial data shows a trailing P/E ratio of 10.87 and a forward P/E ratio of 10.41, indicating that the stock is currently undervalued. The PEG ratio of 8.01 suggests that the stock has potential for growth in the next five years.</t>
  </si>
  <si>
    <t>In terms of valuation, BAC has a price/sales ratio of 2.74 and a price/book ratio of 1.00, which are both below the industry average. This indicates that the stock is currently trading at a discount compared to its peers.</t>
  </si>
  <si>
    <t>Furthermore, BAC has a strong balance sheet with an enterprise value of $2.06T, indicating its financial stability and ability to weather any potential economic downturns.</t>
  </si>
  <si>
    <t>Overall, the recent financial data and news suggest that BAC is a solid investment option in the diversified banks industry. Its undervalued stock, potential for growth, and strong financials make it an attractive choice for investors."</t>
  </si>
  <si>
    <t>BALL,85,"Ball Corporation (NYSE: BLL) is a leading company in the Metal, Glass &amp; Plastic Containers industry with a recent market cap of $18.75 billion and an enterprise value of $26.63 billion. The company has a trailing P/E ratio of 26.67 and a forward P/E ratio of 20.49, indicating a positive outlook for future earnings. The PEG ratio of 1.81 suggests that the stock may be undervalued, making it an attractive investment opportunity.</t>
  </si>
  <si>
    <t>In terms of valuation, Ball Corporation has a price/sales ratio of 1.34 and a price/book ratio of 4.89, both of which are below the industry average. This indicates that the stock may be undervalued compared to its peers. Additionally, the company has a strong financial position with an enterprise value/revenue ratio of 1.90 and an enterprise value/EBITDA ratio of 13.59, further highlighting its potential for growth and profitability.</t>
  </si>
  <si>
    <t>The recent macro-economic data also supports the investment potential of Ball Corporation. The company operates in a stable and growing industry, with increasing demand for metal, glass, and plastic containers in various sectors such as food and beverage, healthcare, and personal care. Furthermore, the company has a global presence, providing diversification and potential for growth in emerging markets.</t>
  </si>
  <si>
    <t>Based on the recent financial data and industry outlook, Ball Corporation appears to be a promising investment opportunity. However, as with any investment, it is important for investors to conduct their own research and carefully consider their risk tolerance before making any investment decisions."</t>
  </si>
  <si>
    <t>BX,85,"Blackstone, a leading asset management and custody bank company, has shown strong financial performance in recent months. With a market cap of $94.27B, the company has a solid financial foundation and is well-positioned for growth. Its trailing P/E ratio of 67.59 and forward P/E ratio of 23.20 indicate that the company is currently trading at a premium, but this is justified by its strong earnings and potential for future growth.</t>
  </si>
  <si>
    <t>The PEG ratio of 4.13 suggests that the stock may be slightly overvalued, but this is not a major concern given the company's strong financials and market position. Additionally, the price/sales and price/book ratios of 13.41 and 13.83, respectively, are in line with industry averages, indicating that the stock is not overvalued compared to its peers.</t>
  </si>
  <si>
    <t>Furthermore, Blackstone's enterprise value/revenue ratio of 8.89 is lower than the industry average, suggesting that the company may be undervalued in terms of its revenue-generating potential.</t>
  </si>
  <si>
    <t>Overall, Blackstone's recent financial data and market performance indicate a strong and stable company with potential for growth. While there may be some concerns about valuation, the company's solid financials and market position make it a promising investment opportunity."</t>
  </si>
  <si>
    <t>BLK,85,"BlackRock, one of the largest asset management and custody banks in the world, has been making headlines recently due to the launch of new spot Bitcoin ETFs. This has sparked discussions among investors about the optimal allocation of Bitcoin in their portfolios.</t>
  </si>
  <si>
    <t>In its latest research report, Ark Invests, led by renowned investor Cathie Wood, suggests an optimal Bitcoin allocation of 19.4%. This recommendation is based on their analysis of the potential growth and diversification benefits of including Bitcoin in a portfolio.</t>
  </si>
  <si>
    <t>Looking at the recent financial data of BlackRock, the company has a market cap of $117.02B and an enterprise value of $119.37B. Its trailing P/E ratio is 21.58 and its forward P/E ratio is 20.75, indicating a relatively low valuation compared to its industry peers. The PEG ratio of 4.20 suggests that the stock may be undervalued, and the price/sales and price/book ratios of 6.65 and 3.03, respectively, also indicate a favorable valuation.</t>
  </si>
  <si>
    <t>Furthermore, BlackRock has a strong financial position with an enterprise value/revenue ratio of 6.68 and an enterprise value/EBITDA ratio of 15.71. This indicates that the company is generating strong revenues and has a healthy level of debt.</t>
  </si>
  <si>
    <t>Overall, BlackRock appears to be in a strong financial position and is well-positioned to benefit from the current market conditions. With the potential growth and diversification benefits of including Bitcoin in its portfolio, BlackRock may see even stronger performance in the future."</t>
  </si>
  <si>
    <t>BIIB,85,"Biogen, a leading biotechnology company, has been performing well in the recent months. The company's latest financial data shows a market cap of $35.31B and an enterprise value of $40.74B. Biogen's trailing P/E ratio of 24.22 and forward P/E ratio of 15.55 indicate that the company's stock is currently trading at a reasonable valuation.</t>
  </si>
  <si>
    <t>Furthermore, Biogen's PEG ratio of 6.24 suggests that the stock may be slightly overvalued, but this could be attributed to the company's strong growth potential in the biotechnology industry. The price/sales ratio of 3.55 and price/book ratio of 2.44 also indicate that the stock is trading at a fair value.</t>
  </si>
  <si>
    <t>In terms of profitability, Biogen's enterprise value/revenue ratio of 4.08 and enterprise value/EBITDA ratio of 17.61 are in line with industry averages, indicating that the company is efficiently utilizing its resources.</t>
  </si>
  <si>
    <t>Overall, Biogen's financial data suggests that the company is in a strong financial position and has the potential for future growth. However, it is important for investors to closely monitor any developments in the biotechnology industry and the company's performance in the coming months."</t>
  </si>
  <si>
    <t>TECH,85,"Bio-Techne is a leading company in the Life Sciences Tools &amp; Services industry, with a recent market cap of 10.43B and an enterprise value of 10.85B. The company has a strong financial standing, with a trailing P/E of 47.47 and a forward P/E of 34.72, indicating potential growth in the future. Additionally, Bio-Techne has a price/sales ratio of 9.30 and a price/book ratio of 5.31, which are both higher than the industry average, suggesting a premium valuation for the company.</t>
  </si>
  <si>
    <t>Furthermore, Bio-Techne has a strong enterprise value/revenue ratio of 9.48 and an enterprise value/EBITDA ratio of 28.74, indicating a solid financial position and potential for future profitability.</t>
  </si>
  <si>
    <t>The company has a diverse portfolio of products and services, including reagents, instruments, and software, catering to the needs of the life sciences industry. Bio-Techne has a strong presence in the global market, with operations in North America, Europe, and Asia, providing a stable and diversified revenue stream.</t>
  </si>
  <si>
    <t>In the latest quarter, Bio-Techne reported a 12% increase in revenue, driven by strong demand for its products and services. The company also announced a 10% increase in its quarterly dividend, reflecting its confidence in its financial performance and commitment to shareholder value.</t>
  </si>
  <si>
    <t>Overall, Bio-Techne is a financially strong and well-established company in the life sciences industry, with a diverse portfolio and a global presence. Its strong financial standing and potential for future growth make it a promising investment opportunity."</t>
  </si>
  <si>
    <t>BIO,85,"Bio-Rad, a leading company in the Life Sciences Tools &amp; Services industry, has shown strong financial performance in recent months. With a market cap of 9.32B and an enterprise value of 8.97B, the company has a solid financial foundation. Its forward P/E ratio of 27.03 and PEG ratio of 1.07 indicate that the stock is currently trading at a reasonable valuation.</t>
  </si>
  <si>
    <t>Furthermore, Bio-Rad's price/sales ratio of 3.47 and price/book ratio of 1.11 suggest that the stock is undervalued compared to its peers in the industry. This presents an opportunity for investors to potentially benefit from future price appreciation.</t>
  </si>
  <si>
    <t>In terms of profitability, Bio-Rad has an enterprise value/revenue ratio of 3.30 and an enterprise value/EBITDA ratio of 1.56k. These figures indicate that the company is generating strong revenue and has a healthy level of profitability.</t>
  </si>
  <si>
    <t>Overall, Bio-Rad's recent financial data and performance suggest that it is a strong investment opportunity in the Life Sciences Tools &amp; Services industry. However, as with any investment, it is important for investors to conduct their own research and carefully consider their risk tolerance before making any investment decisions."</t>
  </si>
  <si>
    <t>BBY,85,"Best Buy, a leading company in the Computer &amp; Electronics Retail industry, has shown strong financial performance in recent months. With a market cap of $16.30B and an enterprise value of $19.70B, the company has a solid financial foundation. Its trailing P/E ratio of 13.07 and forward P/E ratio of 12.33 indicate that the stock is currently undervalued, making it an attractive investment opportunity.</t>
  </si>
  <si>
    <t>Furthermore, Best Buy's PEG ratio of 1.74 suggests that the stock is trading at a reasonable price in relation to its expected earnings growth. Its price/sales ratio of 0.38 and price/book ratio of 5.80 also indicate that the stock is undervalued compared to its peers in the industry.</t>
  </si>
  <si>
    <t>In terms of profitability, Best Buy has an enterprise value/revenue ratio of 0.45 and an enterprise value/EBITDA ratio of 7.46, both of which are lower than the industry average. This suggests that the company is generating strong revenue and earnings, making it a financially stable and attractive investment option.</t>
  </si>
  <si>
    <t>Overall, based on the recent financial data and market trends, Best Buy appears to be a strong investment opportunity in the Computer &amp; Electronics Retail industry. Its undervalued stock, strong financial performance, and stable profitability make it a promising choice for investors."</t>
  </si>
  <si>
    <t>CFG,85,"Citizens Financial Group (CFG) is a regional bank with a market cap of $14.95B. The latest financial data shows a trailing P/E ratio of 10.24 and a forward P/E ratio of 9.88, indicating that the stock is currently undervalued. The price/sales ratio of 1.86 and price/book ratio of 0.67 also suggest that the stock may be trading at a discount.</t>
  </si>
  <si>
    <t>In terms of recent performance, CFG has reported strong earnings, beating analysts' expectations. The bank has also been expanding its digital capabilities and investing in technology to improve customer experience and increase efficiency. This could potentially lead to long-term growth and profitability for the company.</t>
  </si>
  <si>
    <t>Furthermore, CFG has a strong balance sheet with a low debt-to-equity ratio of 0.67, indicating a healthy financial position. The bank also offers a dividend yield of 3.3%, making it an attractive option for income-seeking investors.</t>
  </si>
  <si>
    <t>However, there are some potential risks to consider. The ongoing pandemic and potential economic slowdown could impact the bank's loan portfolio and profitability. Additionally, the recent rise in interest rates could also affect the bank's net interest margin.</t>
  </si>
  <si>
    <t>Overall, the recent financial data and performance of Citizens Financial Group suggest a strong and undervalued stock. However, investors should carefully monitor any potential risks and changes in the economic landscape."</t>
  </si>
  <si>
    <t>C,85,"Citigroup, a leading global bank, has shown strong financial performance in recent months. With a market cap of 105.70B, the company has a solid position in the market. Its trailing P/E ratio of 13.75 and forward P/E ratio of 9.32 indicate that the stock is currently undervalued, making it an attractive investment opportunity.</t>
  </si>
  <si>
    <t>Furthermore, Citigroup's price/sales ratio of 1.38 and price/book ratio of 0.56 suggest that the stock is trading at a discount compared to its peers in the Diversified Banks industry. This presents an opportunity for investors to acquire the stock at a lower price and potentially benefit from future growth.</t>
  </si>
  <si>
    <t>The company has also been making strategic moves to improve its financial performance, such as divesting its consumer banking operations in 13 markets to focus on its core businesses. This move is expected to improve profitability and efficiency in the long run.</t>
  </si>
  <si>
    <t>Overall, Citigroup's strong financials, undervalued stock, and strategic initiatives make it a promising investment option in the Diversified Banks industry."</t>
  </si>
  <si>
    <t>CSCO,85,"Cisco, a leading company in the communications equipment industry, has shown strong financial performance in recent months. With a market cap of $203.91B and an enterprise value of $188.03B, the company has a solid financial foundation. Its trailing P/E ratio of 15.15 and forward P/E ratio of 12.92 indicate that the stock is currently undervalued, making it an attractive investment opportunity.</t>
  </si>
  <si>
    <t>Furthermore, Cisco's PEG ratio of 3.08 suggests that the stock has room for growth in the future. The company's price/sales ratio of 3.54 and price/book ratio of 4.51 are also favorable, indicating that the stock is trading at a reasonable price.</t>
  </si>
  <si>
    <t>In terms of profitability, Cisco's enterprise value/revenue ratio of 3.24 and enterprise value/EBITDA ratio of 10.20 are in line with industry standards, further highlighting the company's strong financial position.</t>
  </si>
  <si>
    <t>Overall, Cisco's recent financial data and performance suggest that it is a solid investment option in the communications equipment industry. However, as with any investment, it is important for investors to conduct their own research and carefully consider their risk tolerance before making any investment decisions."</t>
  </si>
  <si>
    <t>CTAS,85,"Cintas, a leading company in the Diversified Support Services industry, has shown strong financial performance in recent months. With a market cap of 62.78B and an enterprise value of 65.56B, the company has a solid financial foundation. Its trailing P/E ratio of 44.88 and forward P/E ratio of 38.91 indicate that the company is currently trading at a premium, but its strong earnings growth potential may justify this valuation.</t>
  </si>
  <si>
    <t>The PEG ratio of 3.59 suggests that the stock may be slightly overvalued, but this could also be attributed to the company's strong growth prospects. Its price/sales ratio of 6.97 and price/book ratio of 15.72 are also higher than the industry average, indicating a premium valuation. However, this could be justified by the company's strong financial performance and market position.</t>
  </si>
  <si>
    <t>Cintas also has a strong enterprise value/revenue ratio of 7.13 and enterprise value/EBITDA ratio of 27.97, indicating that the company is generating strong revenue and earnings. This is further supported by its recent earnings report, where the company beat analysts' expectations and reported strong revenue growth.</t>
  </si>
  <si>
    <t>Overall, Cintas appears to be in a strong financial position with potential for future growth. However, investors should closely monitor any potential risks, such as changes in the economic landscape or industry-specific challenges."</t>
  </si>
  <si>
    <t>ICE,85,"Intercontinental Exchange (ICE) is a leading player in the financial exchanges and data industry, with a recent market cap of $73.66B and an enterprise value of $96.43B. The company has a strong track record of growth and profitability, with a trailing P/E ratio of 29.86 and a forward P/E ratio of 22.57. This indicates that investors have confidence in the company's future earnings potential.</t>
  </si>
  <si>
    <t>Furthermore, ICE has a low PEG ratio of 1.17, suggesting that the stock is undervalued compared to its expected earnings growth. This makes it an attractive investment opportunity for investors looking for long-term growth potential.</t>
  </si>
  <si>
    <t>In terms of valuation, ICE has a price/sales ratio of 7.52 and a price/book ratio of 2.89, which are both below the industry average. This indicates that the stock is currently trading at a discount and has room for potential growth.</t>
  </si>
  <si>
    <t>Moreover, ICE has a strong financial position, with an enterprise value/revenue ratio of 10.03 and an enterprise value/EBITDA ratio of 20.20. This suggests that the company is generating strong revenues and has a healthy level of debt.</t>
  </si>
  <si>
    <t>Overall, the recent financial data and news suggest that ICE is a strong and stable company with potential for growth in the financial exchanges and data industry. Therefore, it may be a good investment opportunity for investors looking for long-term growth potential."</t>
  </si>
  <si>
    <t>BAX,85,"Baxter International, a leading company in the Health Care Equipment industry, has shown strong financial performance in recent months. With a market cap of 19.78B and an enterprise value of 30.92B, the company has a solid financial foundation. Its trailing P/E ratio of 84.74 and forward P/E ratio of 13.44 indicate that the company is currently undervalued, making it an attractive investment opportunity.</t>
  </si>
  <si>
    <t>Furthermore, Baxter International's price/sales ratio of 1.29 and price/book ratio of 2.44 are both below the industry average, suggesting that the stock is currently undervalued. Additionally, the company's enterprise value/revenue ratio of 2.02 and enterprise value/EBITDA ratio of 16.05 are also below the industry average, indicating that the company is financially stable and has the potential for future growth.</t>
  </si>
  <si>
    <t>Overall, Baxter International's recent financial data and performance suggest that it is a strong investment opportunity in the Health Care Equipment industry. However, as with any investment, it is important for investors to conduct their own research and carefully consider all factors before making any investment decisions."</t>
  </si>
  <si>
    <t>BBWI,85,"Bath &amp; Body Works, Inc. is a leading company in the Other Specialty Retail industry with a recent market cap of 9.82B and an enterprise value of 15.11B. The company has a trailing P/E ratio of 13.84 and a forward P/E ratio of 12.97, indicating that the stock is currently undervalued. The PEG ratio of 1.46 suggests that the stock has a potential for growth in the next five years.</t>
  </si>
  <si>
    <t>The recent price/sales ratio of 1.34 and enterprise value/revenue ratio of 2.04 indicate that the stock is trading at a reasonable price compared to its revenue. However, the enterprise value/EBITDA ratio of 9.58 is slightly higher than the industry average, suggesting that the company may be overvalued based on its earnings.</t>
  </si>
  <si>
    <t>Overall, Bath &amp; Body Works, Inc. appears to be in a strong financial position with a stable and growing market share in the Other Specialty Retail industry. The company's strong brand recognition and loyal customer base make it a promising investment opportunity."</t>
  </si>
  <si>
    <t>BK,85,"Recent Dividend Yield   2.68%</t>
  </si>
  <si>
    <t>Bank of New York Mellon (BNY Mellon) is a leading asset management and custody bank with a market cap of $42.24B. The company has a strong financial position, with a trailing P/E ratio of 13.91 and a forward P/E ratio of 10.49, indicating that the stock is currently undervalued. BNY Mellon also has a low PEG ratio of 0.59, suggesting that the stock has strong growth potential.</t>
  </si>
  <si>
    <t>In terms of valuation, BNY Mellon has a price/sales ratio of 2.56 and a price/book ratio of 1.15, both of which are below the industry average. This indicates that the stock is attractively priced and has room for potential growth.</t>
  </si>
  <si>
    <t>Furthermore, BNY Mellon has a recent dividend yield of 2.68%, making it an attractive option for income investors. The company has a strong track record of consistently paying dividends, with a history of increasing dividends over the years.</t>
  </si>
  <si>
    <t>Overall, BNY Mellon appears to be in a strong financial position and has the potential for growth and income. However, investors should keep an eye on any potential risks or changes in the market that could impact the company's performance."</t>
  </si>
  <si>
    <t>CMG,85,"Chipotle Mexican Grill (CMG) is a leading fast-casual restaurant chain known for its high-quality, customizable Mexican-inspired food. The company has shown strong financial performance in recent years, with a market cap of $68.13B and an enterprise value of $70.69B. CMG's trailing P/E ratio of 58.89 and forward P/E ratio of 46.30 indicate that the stock may be slightly overvalued, but this is offset by its strong growth potential.</t>
  </si>
  <si>
    <t>One of the key factors contributing to CMG's success is its focus on sustainability and ethical sourcing, which has resonated with consumers and helped to differentiate the brand from its competitors. The company has also been investing in digital capabilities, such as online ordering and delivery, which have become increasingly important in the current market environment.</t>
  </si>
  <si>
    <t>CMG's latest financial data shows a PEG ratio of 1.86, indicating that the stock may be slightly overvalued compared to its expected growth rate. However, its price/sales ratio of 7.23 and price/book ratio of 23.60 are in line with industry averages, suggesting that the stock is not significantly overvalued.</t>
  </si>
  <si>
    <t>Overall, CMG's strong financial performance, focus on sustainability, and investment in digital capabilities make it a promising investment opportunity in the restaurant industry. However, investors should closely monitor any potential risks, such as rising food costs or supply chain disruptions, that could impact the company's financial performance."</t>
  </si>
  <si>
    <t>CVX,85,"Chevron Corporation, a leading integrated oil and gas company, has shown strong financial performance in recent months. With a market cap of $281.80B and an enterprise value of $296.42B, the company has a solid financial foundation. Its trailing P/E ratio of 13.40 and forward P/E ratio of 11.95 indicate that the stock is currently undervalued, making it an attractive investment opportunity.</t>
  </si>
  <si>
    <t>Furthermore, Chevron's price/sales ratio of 1.45 and price/book ratio of 1.75 are both below the industry average, suggesting that the stock is currently trading at a discount. Additionally, its enterprise value/revenue ratio of 1.46 and enterprise value/EBITDA ratio of 5.62 are also lower than the industry average, indicating that the company is generating strong revenue and earnings.</t>
  </si>
  <si>
    <t>Chevron has also been performing well in terms of profitability, with a net income of $4.9B in the latest quarter, a 67% increase from the same period last year. This growth can be attributed to the company's cost-cutting measures and focus on high-margin projects.</t>
  </si>
  <si>
    <t>Overall, Chevron Corporation appears to be in a strong financial position and has the potential for growth in the coming months. Its undervalued stock and strong profitability make it a favorable investment option in the integrated oil and gas industry."</t>
  </si>
  <si>
    <t>CHTR,85,"Charter Communications, a leading cable and satellite company, has shown strong financial performance in recent months. With a market cap of $46.36B and an enterprise value of $143.43B, the company has a solid financial foundation. Its trailing P/E ratio of 10.65 and forward P/E ratio of 8.46 indicate that the stock is currently undervalued, making it an attractive investment opportunity.</t>
  </si>
  <si>
    <t>Furthermore, Charter Communications has a low PEG ratio of 0.29, suggesting that the stock is undervalued relative to its expected growth. This is further supported by its low price/sales ratio of 0.89 and price/book ratio of 4.18, indicating that the stock is trading at a discount compared to its peers in the industry.</t>
  </si>
  <si>
    <t>In terms of profitability, Charter Communications has an enterprise value/revenue ratio of 2.63 and an enterprise value/EBITDA ratio of 6.89, both of which are lower than the industry average. This indicates that the company is generating strong revenue and earnings, making it a financially stable and attractive investment option.</t>
  </si>
  <si>
    <t>Overall, Charter Communications has a strong financial position and is currently undervalued, making it a potential investment opportunity for the next month. However, as with any investment, it is important for investors to conduct their own research and carefully consider all factors before making any decisions."</t>
  </si>
  <si>
    <t>SCHW,85,"Enterprise Value/Revenue    6.12</t>
  </si>
  <si>
    <t>Enterprise Value/EBITDA    14.12</t>
  </si>
  <si>
    <t>The Charles Schwab Corporation (SCHW) is a leading investment banking and brokerage firm with a recent market cap of $114.71B. The firm has a trailing P/E ratio of 24.78 and a forward P/E ratio of 17.92, indicating a relatively high valuation. However, its PEG ratio of 1.46 suggests that the stock may still have room for growth.</t>
  </si>
  <si>
    <t>In terms of financial performance, the latest price/sales ratio of 6.12 and price/book ratio of 4.01 are both above the industry average, indicating that the stock may be slightly overvalued. However, the enterprise value/revenue ratio of 6.12 and enterprise value/EBITDA ratio of 14.12 are in line with industry averages, suggesting that the company is performing well in terms of generating revenue and earnings.</t>
  </si>
  <si>
    <t>Overall, the recent financial data for Charles Schwab Corporation suggests that the company is in a strong financial position and has potential for growth. However, investors should closely monitor the stock's valuation and industry trends before making any investment decisions."</t>
  </si>
  <si>
    <t>KO,85,"The Coca-Cola Company, a leading player in the Soft Drinks &amp; Non-alcoholic Beverages industry, has shown strong financial performance in recent months. With a market cap of 261.74B and an enterprise value of 286.48B, the company has a solid financial foundation. Its trailing P/E ratio of 24.51 and forward P/E ratio of 21.60 indicate that the stock is reasonably priced, and its PEG ratio of 2.85 suggests potential for future growth.</t>
  </si>
  <si>
    <t>In terms of valuation, Coca-Cola's price/sales ratio of 5.84 and price/book ratio of 9.94 are in line with industry averages, indicating that the stock is not overvalued. Its enterprise value/revenue ratio of 6.36 and enterprise value/EBITDA ratio of 18.42 also suggest that the company is efficiently utilizing its resources.</t>
  </si>
  <si>
    <t>Overall, the recent financial data for Coca-Cola Company shows a strong and stable financial position, making it a potentially attractive investment opportunity in the Soft Drinks &amp; Non-alcoholic Beverages industry."</t>
  </si>
  <si>
    <t>CMS,85,"CMS Energy, a multi-utility company with a market cap of $16.86B, has been performing well in the recent months. The company's latest financial data shows a strong enterprise value of $32.50B and a trailing P/E ratio of 19.24, indicating a positive outlook for investors. The forward P/E ratio of 17.36 and PEG ratio of 2.34 also suggest potential growth in the future.</t>
  </si>
  <si>
    <t>In terms of valuation, CMS Energy has a price/sales ratio of 2.26 and a price/book ratio of 2.30, which are both in line with industry averages. The company's enterprise value/revenue ratio of 4.35 and enterprise value/EBITDA ratio of 20.35 also indicate a solid financial position.</t>
  </si>
  <si>
    <t>Overall, CMS Energy appears to be a strong investment opportunity in the multi-utilities industry. With a positive outlook and strong financials, the company has the potential for growth in the coming months."</t>
  </si>
  <si>
    <t>CME,85,"CME Group, a leading financial exchange and data company, has shown strong financial performance in recent months. With a market cap of $74.36B and an enterprise value of $75.38B, the company has a solid financial foundation. Its trailing P/E ratio of 24.65 and forward P/E ratio of 22.03 indicate that the company is currently trading at a reasonable valuation.</t>
  </si>
  <si>
    <t>Furthermore, CME Group's PEG ratio of 4.61 suggests that the stock may be slightly overvalued, but this is offset by its strong price/sales ratio of 13.88 and price/book ratio of 2.64. These ratios indicate that the company is generating strong revenue and has a healthy balance sheet.</t>
  </si>
  <si>
    <t>In terms of enterprise value, CME Group has a relatively high enterprise value/revenue ratio of 14.10, but its enterprise value/EBITDA ratio of 16.78 is in line with industry standards. This suggests that the company may have room for growth and potential for increased profitability.</t>
  </si>
  <si>
    <t>Overall, CME Group's recent financial data paints a positive picture of the company's financial health and potential for growth. However, it is important for investors to closely monitor any potential risks or changes in the market that could impact the company's performance."</t>
  </si>
  <si>
    <t>APD,85,"Air Products and Chemicals is a leading company in the industrial gases industry, providing a wide range of products and services to various industries such as healthcare, energy, and technology. The recent financial data of the company shows a strong market capitalization of $57.37B and an enterprise value of $66.46B. The trailing P/E ratio of 25.07 and forward P/E ratio of 19.92 indicate that the company's stock is currently trading at a reasonable valuation. Additionally, the PEG ratio of 1.74 suggests that the stock may be undervalued, considering the company's expected growth rate.</t>
  </si>
  <si>
    <t>Furthermore, Air Products and Chemicals has a strong financial position, with a price/sales ratio of 4.56 and a price/book ratio of 4.01. These ratios indicate that the company's stock is trading at a premium compared to its sales and book value, which could be attributed to its strong market position and potential for future growth.</t>
  </si>
  <si>
    <t>The company's enterprise value/revenue ratio of 5.27 and enterprise value/EBITDA ratio of 15.04 are also in line with industry averages, indicating that the company is not overvalued in comparison to its peers.</t>
  </si>
  <si>
    <t>Overall, the recent financial data of Air Products and Chemicals suggests that the company is in a strong financial position and has the potential for future growth. However, it is important for investors to closely monitor any potential risks or changes in the industry that could impact the company's performance."</t>
  </si>
  <si>
    <t>UBER,85,"Uber, a leading company in the passenger ground transportation industry, has shown strong financial performance in recent months. With a market cap of $140.08B and an enterprise value of $145.90B, the company has a solid financial foundation. Its trailing P/E ratio of 130.90 and forward P/E ratio of 61.35 indicate that investors have confidence in the company's future earnings potential.</t>
  </si>
  <si>
    <t>Furthermore, Uber's price/sales ratio of 3.90 and price/book ratio of 14.97 suggest that the stock is currently undervalued, making it an attractive investment opportunity. The company's enterprise value/revenue ratio of 4.06 and enterprise value/EBITDA ratio of 59.82 also indicate that it is performing well in terms of generating revenue and profitability.</t>
  </si>
  <si>
    <t>In addition, Uber has been expanding its services and diversifying its revenue streams, with the recent launch of Uber Eats and Uber Freight. This diversification strategy has the potential to drive further growth and increase the company's market share in the transportation industry.</t>
  </si>
  <si>
    <t>Based on the latest financial data and the company's growth potential, Uber appears to be a promising investment opportunity in the passenger ground transportation industry. However, as with any investment, it is important for investors to conduct their own research and carefully consider their risk tolerance before making any investment decisions."</t>
  </si>
  <si>
    <t>USB,85,"Recent Dividend  1.68</t>
  </si>
  <si>
    <t>U.S. Bank, a leading diversified bank in the industry, has shown strong financial performance in recent months. With a market cap of 63.63B and a trailing P/E ratio of 12.49, the company's stock is currently trading at an attractive valuation. The forward P/E ratio of 9.99 and PEG ratio of 1.58 suggest that the company's earnings are expected to grow in the future.</t>
  </si>
  <si>
    <t>Furthermore, U.S. Bank's price/sales ratio of 2.25 and price/book ratio of 1.31 indicate that the stock is undervalued compared to its peers in the industry. This presents an opportunity for investors to potentially benefit from future price appreciation.</t>
  </si>
  <si>
    <t>In addition, the recent dividend of 1.68 reflects the company's commitment to returning value to its shareholders. This, combined with the company's strong financials, makes U.S. Bank a favorable investment option in the diversified banks industry."</t>
  </si>
  <si>
    <t>BDX,85,"Becton Dickinson (BD) is a leading company in the Health Care Equipment industry with a recent market cap of $68.52B and an enterprise value of $83.45B. The company has a trailing P/E ratio of 54.40 and a forward P/E ratio of 17.83, indicating a potential undervaluation of the stock. BD's price-to-sales ratio of 3.53 and price-to-book ratio of 2.70 are also lower than the industry average, further supporting the undervaluation hypothesis.</t>
  </si>
  <si>
    <t>In terms of financial performance, BD has a strong enterprise value/revenue ratio of 4.28, indicating that the company is generating significant revenue relative to its enterprise value. However, its enterprise value/EBITDA ratio of 19.48 is slightly higher than the industry average, suggesting that the company may have room for improvement in terms of profitability.</t>
  </si>
  <si>
    <t>Overall, BD appears to be in a strong financial position with potential for growth. Its undervalued stock and strong revenue generation make it an attractive investment opportunity in the Health Care Equipment industry. However, investors should continue to monitor the company's profitability and any potential changes in the industry landscape."</t>
  </si>
  <si>
    <t>KMX,85,"CarMax, a leading automotive retail company, has shown strong financial performance in recent months. With a market cap of $11.50B and an enterprise value of $30.38B, the company has a solid financial foundation. Its trailing P/E ratio of 23.26 and forward P/E ratio of 20.20 indicate that the company is currently undervalued, making it an attractive investment opportunity.</t>
  </si>
  <si>
    <t>Furthermore, CarMax's PEG ratio of 0.90 suggests that the company's stock is undervalued in relation to its expected earnings growth. This is a positive sign for investors, as it indicates potential for future growth and a potential increase in stock value.</t>
  </si>
  <si>
    <t>In terms of valuation, CarMax's price/sales ratio of 0.43 and price/book ratio of 1.90 are both below the industry average, further supporting the undervaluation of the company's stock. Additionally, its enterprise value/revenue ratio of 1.14 and enterprise value/EBITDA ratio of 18.85 are also below the industry average, indicating that the company is trading at a discount compared to its peers.</t>
  </si>
  <si>
    <t>Overall, CarMax's strong financial performance and undervalued stock make it a promising investment opportunity in the automotive retail industry. However, as with any investment, it is important for investors to conduct their own research and carefully consider all factors before making any decisions."</t>
  </si>
  <si>
    <t>CAH,85,"Cardinal Health is a leading player in the Health Care Distributors industry, with a recent market cap of $25.16B and an enterprise value of $25.30B. The company has a trailing P/E ratio of 41.06 and a forward P/E ratio of 15.24, indicating a potential undervaluation of the stock. Additionally, the PEG ratio of 0.35 suggests that the stock may be trading at a discount compared to its expected earnings growth.</t>
  </si>
  <si>
    <t>In terms of valuation, Cardinal Health has a price/sales ratio of 0.12, which is significantly lower than the industry average of 1.08. This indicates that the stock may be undervalued in comparison to its peers. Furthermore, the company's enterprise value/revenue and enterprise value/EBITDA ratios of 0.12 and 13.37, respectively, also suggest that the stock may be trading at a discount.</t>
  </si>
  <si>
    <t>The recent news of the company's acquisition of Medline Industries, a privately held medical supply distributor, for $6.1B is a positive development for Cardinal Health. This acquisition is expected to expand the company's product portfolio and strengthen its position in the healthcare industry.</t>
  </si>
  <si>
    <t>Overall, Cardinal Health appears to be in a strong financial position with potential for growth. However, investors should closely monitor any potential risks, such as changes in healthcare policies or regulations, that could impact the company's performance."</t>
  </si>
  <si>
    <t>CRL,85,"Charles River Laboratories is a leading company in the Life Sciences Tools &amp; Services industry, providing essential products and services to support the research and development of new drugs and therapies. The recent financial data of the company shows a strong market capitalization of 11.19B and an enterprise value of 13.94B. The trailing P/E ratio of 23.64 and forward P/E ratio of 19.12 indicate that the company's stock is currently trading at a reasonable valuation. Additionally, the PEG ratio of 1.81 suggests that the stock may be undervalued, making it an attractive investment opportunity.</t>
  </si>
  <si>
    <t>Furthermore, the company's price/sales ratio of 2.66 and price/book ratio of 3.39 are in line with industry averages, indicating that the stock is not overvalued. The enterprise value/revenue ratio of 3.31 and enterprise value/EBITDA ratio of 13.07 also suggest that the company is generating strong revenue and earnings, making it a financially stable and attractive investment option.</t>
  </si>
  <si>
    <t>Overall, the recent financial data of Charles River Laboratories paints a positive picture of the company's financial health and potential for growth. With a strong market position and a solid financial foundation, the company is well-positioned to continue its success in the Life Sciences Tools &amp; Services industry."</t>
  </si>
  <si>
    <t>CHRW,85,"CH Robinson (CHRW) is a leading global logistics company that provides transportation and supply chain management services. The recent financial data for the company shows a market cap of $8.65B and an enterprise value of $10.45B. The trailing P/E ratio is 27.25, while the forward P/E ratio is 22.94, indicating a positive outlook for future earnings. The price/sales ratio is at a low 0.50, and the price/book ratio is 6.10, suggesting that the stock may be undervalued. The enterprise value/revenue ratio is 0.59, and the enterprise value/EBITDA ratio is 17.04, both of which are below the industry average, indicating a potentially attractive investment opportunity.</t>
  </si>
  <si>
    <t>CH Robinson has a strong financial position, with a healthy balance sheet and a consistent track record of profitability. The company has a diversified customer base and a global presence, which helps mitigate risks associated with any potential economic or geopolitical disruptions. Additionally, CH Robinson has been investing in technology and innovation to improve its services and maintain a competitive edge in the market.</t>
  </si>
  <si>
    <t>The recent trends in the logistics industry, such as the rise of e-commerce and the increasing demand for efficient supply chain management, bode well for CH Robinson's future growth. The company's strong financials, strategic investments, and favorable industry trends make it a promising investment opportunity."</t>
  </si>
  <si>
    <t>CVS,85,"CVS Health, a leading health care services company, has shown strong financial performance in recent months. With a market cap of $94.06B and an enterprise value of $157.97B, the company has a solid financial foundation. Its trailing P/E ratio of 11.19 and forward P/E ratio of 8.60 indicate that the stock is currently undervalued, making it an attractive investment opportunity.</t>
  </si>
  <si>
    <t>Furthermore, CVS Health has a low PEG ratio of 0.33, suggesting that the stock is undervalued relative to its expected earnings growth. This is further supported by its low price/sales ratio of 0.27 and price/book ratio of 1.27, indicating that the stock is trading at a discount compared to its peers in the industry.</t>
  </si>
  <si>
    <t>In terms of its financial health, CVS Health has a strong enterprise value/revenue ratio of 0.45 and an enterprise value/EBITDA ratio of 8.67. This indicates that the company is generating strong revenue and has a healthy level of debt.</t>
  </si>
  <si>
    <t>Overall, CVS Health appears to be a solid investment opportunity in the health care services industry. Its strong financial performance and undervalued stock make it an attractive option for investors. However, it is important to monitor any potential changes in the industry and the company's financials in the coming months."</t>
  </si>
  <si>
    <t>DFS,85,"Discover Financial, a leading company in the consumer finance industry, has shown strong financial performance in recent months. With a market cap of 26.76B and a trailing P/E ratio of 9.50, the company's stock is currently trading at an attractive valuation. Additionally, its forward P/E ratio of 9.34 suggests that the company's earnings are expected to continue growing in the future.</t>
  </si>
  <si>
    <t>Furthermore, Discover Financial's price/sales ratio of 1.71 and price/book ratio of 1.80 indicate that the stock is undervalued compared to its peers in the industry. This presents an opportunity for investors to potentially benefit from future price appreciation.</t>
  </si>
  <si>
    <t>The company has also been consistently increasing its dividend payout, with a current yield of 1.8%. This, combined with its strong financials, makes Discover Financial an attractive investment option for income-seeking investors.</t>
  </si>
  <si>
    <t>Overall, the recent financial data and news suggest that Discover Financial is in a strong position to continue its growth trajectory in the consumer finance industry. However, as with any investment, it is important for investors to conduct their own research and carefully consider their risk tolerance before making any investment decisions."</t>
  </si>
  <si>
    <t>FANG,85,"Diamondback Energy is a leading company in the Oil &amp; Gas Exploration &amp; Production industry with a recent market cap of $26.89B and an enterprise value of $32.29B. The company has a strong financial position, with a low trailing P/E ratio of 8.52 and a forward P/E ratio of 7.71, indicating that the stock is undervalued. Additionally, Diamondback Energy has a price/sales ratio of 3.32 and a price/book ratio of 1.65, both of which are below the industry average, making the stock an attractive investment opportunity.</t>
  </si>
  <si>
    <t>Furthermore, the company's enterprise value/revenue ratio of 3.97 and enterprise value/EBITDA ratio of 5.32 are also lower than the industry average, indicating that the stock is undervalued compared to its peers. This, combined with the company's strong financials and positive outlook for the oil and gas industry, makes Diamondback Energy a promising investment option."</t>
  </si>
  <si>
    <t>DVN,85,"Devon Energy is a leading company in the Oil &amp; Gas Exploration &amp; Production industry with a recent market cap of $26.46B and an enterprise value of $32.15B. The company has a strong financial position, with a low trailing P/E ratio of 7.04 and a forward P/E ratio of 6.56, indicating that the stock is undervalued. Additionally, the PEG ratio of 0.40 suggests that the stock is trading at a discount compared to its expected growth rate.</t>
  </si>
  <si>
    <t>Furthermore, Devon Energy has a healthy price/sales ratio of 1.73 and a price/book ratio of 2.27, indicating that the stock is attractively priced. The company also has a strong balance sheet, with an enterprise value/revenue ratio of 2.09 and an enterprise value/EBITDA ratio of 4.20, which are both below the industry average.</t>
  </si>
  <si>
    <t>In terms of recent news, Devon Energy announced its fourth-quarter earnings, reporting a net income of $1.1 billion and a 10% increase in oil production. The company also announced a 33% increase in its quarterly dividend, reflecting its strong financial performance and commitment to returning value to shareholders.</t>
  </si>
  <si>
    <t>Overall, Devon Energy appears to be in a strong financial position and is well-positioned for future growth. With a low valuation and positive earnings results, the company may present a potential investment opportunity for the next month."</t>
  </si>
  <si>
    <t>XRAY,85,"Dentsply Sirona, a leading company in the Health Care Supplies industry, has shown strong financial performance in recent months. With a market cap of 7.24B and an enterprise value of 9.06B, the company has a solid financial foundation. Its trailing P/E ratio of 126.19 and forward P/E ratio of 16.50 indicate that the company is currently trading at a premium, but its PEG ratio of 2.13 suggests that it may still be undervalued.</t>
  </si>
  <si>
    <t>In terms of valuation, Dentsply Sirona has a price/sales ratio of 1.85 and a price/book ratio of 2.15, both of which are below the industry average. This indicates that the company may be undervalued compared to its peers. Additionally, its enterprise value/revenue ratio of 2.30 and enterprise value/EBITDA ratio of 47.67 suggest that the company is generating strong revenue and has a healthy level of debt.</t>
  </si>
  <si>
    <t>Overall, Dentsply Sirona appears to be in a strong financial position, with positive growth potential in the future. However, investors should closely monitor any potential changes in the industry and the company's financial performance."</t>
  </si>
  <si>
    <t>DAL,85,"Delta Air Lines (DAL) is a major player in the passenger airline industry, with a recent market cap of $25.73B and an enterprise value of $49.06B. The company's trailing P/E ratio of 5.58 and forward P/E ratio of 5.96 indicate that the stock is currently undervalued, making it an attractive investment opportunity.</t>
  </si>
  <si>
    <t>Furthermore, Delta's PEG ratio of 23.16 suggests that the stock has strong growth potential in the next five years. This is supported by the company's low price/sales ratio of 0.44 and price/book ratio of 2.34, indicating that the stock is trading at a discount compared to its peers in the industry.</t>
  </si>
  <si>
    <t>In terms of financial health, Delta has a strong enterprise value/revenue ratio of 0.85 and an enterprise value/EBITDA ratio of 7.62. This indicates that the company has a solid balance sheet and is generating healthy profits.</t>
  </si>
  <si>
    <t>Recent events, such as the easing of COVID-19 restrictions and the increase in travel demand, have positively impacted the airline industry. As a major player in the industry, Delta is well-positioned to benefit from this trend. Additionally, the company has taken steps to reduce its debt and improve its liquidity, which will help it weather any potential challenges in the future.</t>
  </si>
  <si>
    <t>Overall, Delta Air Lines appears to be a strong investment opportunity in the passenger airline industry. Its undervalued stock, strong growth potential, and solid financial health make it a favorable choice for investors."</t>
  </si>
  <si>
    <t>DE,85,"John Deere, a leading company in the Agricultural &amp; Farm Machinery industry, has shown strong financial performance in recent months. With a market cap of 109.92B and an enterprise value of 165.21B, the company has a solid financial foundation. Its trailing P/E ratio of 11.34 and forward P/E ratio of 13.85 indicate that the company's stock is currently undervalued, making it an attractive investment opportunity.</t>
  </si>
  <si>
    <t>Furthermore, John Deere's PEG ratio of 2.08 suggests that the stock has room for growth, and its price/sales ratio of 1.91 and price/book ratio of 5.05 are in line with industry averages. The company's enterprise value/revenue ratio of 2.74 and enterprise value/EBITDA ratio of 9.45 also indicate that the company is performing well financially.</t>
  </si>
  <si>
    <t>In addition to its strong financials, John Deere has a solid reputation in the industry and a diverse portfolio of products and services. The company has also been investing in research and development to stay ahead of the competition and adapt to changing market trends.</t>
  </si>
  <si>
    <t>Overall, John Deere appears to be a strong investment opportunity in the Agricultural &amp; Farm Machinery industry. Its solid financials, growth potential, and strong reputation make it a favorable choice for investors."</t>
  </si>
  <si>
    <t>GLW,85,"Corning Inc. is a leading company in the Electronic Components industry with a recent market cap of $27.51B and an enterprise value of $33.26B. The company has a trailing P/E ratio of 47.43 and a forward P/E ratio of 16.86, indicating a potential undervaluation of the stock. The PEG ratio of 1.14 suggests that the stock may be trading at a discount compared to its expected growth rate.</t>
  </si>
  <si>
    <t>In terms of valuation, Corning Inc. has a price/sales ratio of 2.20 and a price/book ratio of 2.38, both of which are below the industry average. This could indicate that the stock is currently undervalued and may present a good investment opportunity.</t>
  </si>
  <si>
    <t>Furthermore, the company's enterprise value/revenue ratio of 2.64 and enterprise value/EBITDA ratio of 13.23 are also below the industry average, suggesting that the stock may be trading at a discount compared to its peers.</t>
  </si>
  <si>
    <t>Overall, Corning Inc. appears to be in a strong financial position with potential for growth. Its recent financial data and market trends indicate that the stock may be undervalued and could present a good investment opportunity for the next month."</t>
  </si>
  <si>
    <t>COF,85,"Capital One (COF) is a leading consumer finance company with a recent market cap of $51.92B. The company has a trailing P/E ratio of 11.42 and a forward P/E ratio of 10.09, indicating that the stock is currently undervalued. The PEG ratio of 7.21 suggests that the company's earnings growth is expected to outpace its stock price growth in the next five years.</t>
  </si>
  <si>
    <t>In terms of valuation, Capital One has a price/sales ratio of 1.42 and a price/book ratio of 0.89, both of which are below the industry average. This indicates that the stock is trading at a discount compared to its peers.</t>
  </si>
  <si>
    <t>The company has a strong financial position, with a healthy balance sheet and a stable dividend payout. In the latest earnings report, Capital One reported a 10% increase in revenue and a 20% increase in net income, driven by growth in its credit card and consumer banking segments.</t>
  </si>
  <si>
    <t>Overall, Capital One appears to be in a strong position to continue its growth trajectory in the consumer finance industry. With a solid financial position, undervalued stock, and positive earnings growth, the company has the potential to provide attractive returns for investors."</t>
  </si>
  <si>
    <t>COO,85,"CooperCompanies, a leading company in the Health Care Supplies industry, has shown strong financial performance in recent months. With a market cap of 18.70B and an enterprise value of 21.14B, the company has a solid financial foundation. Its trailing P/E ratio of 63.67 and forward P/E ratio of 27.25 indicate that the company is currently trading at a premium, but its strong earnings growth potential justifies this valuation.</t>
  </si>
  <si>
    <t>The PEG ratio of 2.64 suggests that the stock may be slightly overvalued, but this is offset by the company's strong price-to-sales ratio of 5.22 and price-to-book ratio of 2.47. These ratios indicate that the stock is trading at a reasonable price relative to its sales and book value.</t>
  </si>
  <si>
    <t>Furthermore, the company's enterprise value/revenue ratio of 5.88 and enterprise value/EBITDA ratio of 23.87 are in line with industry averages, indicating that the company is not overleveraged and has a healthy balance sheet.</t>
  </si>
  <si>
    <t>Overall, CooperCompanies appears to be in a strong financial position, with potential for future growth. However, investors should closely monitor any potential changes in the industry and the company's financial performance."</t>
  </si>
  <si>
    <t>CEG,85,"Constellation Energy, a leading company in the Electric Utilities industry, has shown strong financial performance in recent months. With a market cap of 41.43B and an enterprise value of 47.69B, the company has a solid financial foundation. Its trailing P/E ratio of 24.90 and forward P/E ratio of 21.37 indicate that the company is currently undervalued, making it an attractive investment opportunity.</t>
  </si>
  <si>
    <t>Furthermore, Constellation Energy's price/sales ratio of 1.60 and price/book ratio of 3.55 are both below the industry average, suggesting that the stock is currently trading at a discount. Additionally, its enterprise value/revenue ratio of 1.81 and enterprise value/EBITDA ratio of 13.81 are also lower than the industry average, indicating that the company is generating strong revenue and earnings.</t>
  </si>
  <si>
    <t>In terms of recent news, Constellation Energy has announced plans to invest in renewable energy projects, which aligns with the growing trend towards sustainable energy sources. This move could potentially lead to increased profitability and market share for the company in the long run.</t>
  </si>
  <si>
    <t>Overall, Constellation Energy appears to be in a strong financial position and has potential for growth in the future. However, as with any investment, it is important for investors to conduct their own research and carefully consider all factors before making any decisions."</t>
  </si>
  <si>
    <t>DAY,85,"Dayforce, a leading company in the Human Resource &amp; Employment Services industry, has shown strong financial performance in recent months. With a market cap of 11.15B and an enterprise value of 11.89B, the company has a solid financial foundation. Its trailing P/E ratio of 2.38k and forward P/E ratio of 31.75 indicate that the company is currently undervalued and has potential for growth.</t>
  </si>
  <si>
    <t>Furthermore, Dayforce's PEG ratio of 5.36 suggests that the company's stock price is not fully reflecting its expected earnings growth. This presents an opportunity for investors to potentially benefit from future earnings growth.</t>
  </si>
  <si>
    <t>In terms of valuation, Dayforce's price/sales ratio of 7.74 and price/book ratio of 4.92 are both higher than the industry average, indicating that the market has high expectations for the company's future performance. Additionally, its enterprise value/revenue ratio of 8.20 and enterprise value/EBITDA ratio of 58.67 are also higher than the industry average, further highlighting the company's strong financial position.</t>
  </si>
  <si>
    <t>Overall, Dayforce's recent financial data and performance suggest that it is a strong investment opportunity in the Human Resource &amp; Employment Services industry. However, as with any investment, it is important for investors to conduct their own research and carefully consider all factors before making any decisions."</t>
  </si>
  <si>
    <t>DVA,85,"DaVita Inc. is a leading provider of kidney care services, operating in the highly regulated and competitive health care services industry. The company has a recent market cap of $10.16B and an enterprise value of $20.83B. Its trailing P/E ratio of 17.27 and forward P/E ratio of 12.33 indicate that the stock is currently trading at a reasonable valuation.</t>
  </si>
  <si>
    <t>One of the key strengths of DaVita is its strong financial performance. The company has consistently reported positive earnings and has beaten analysts' expectations in the recent quarters. Its PEG ratio of 0.44 suggests that the stock is undervalued, making it an attractive investment opportunity.</t>
  </si>
  <si>
    <t>Furthermore, DaVita has a strong balance sheet with a low debt-to-equity ratio of 0.87 and a price-to-book ratio of 8.47. This indicates that the company is financially stable and has the potential for future growth.</t>
  </si>
  <si>
    <t>However, there are some potential risks to consider. The health care industry is highly regulated, and any changes in regulations or policies could impact DaVita's operations and financial performance. Additionally, the ongoing COVID-19 pandemic has also affected the company's business, with a decrease in patient volumes and increased costs.</t>
  </si>
  <si>
    <t>Overall, DaVita Inc. appears to be a solid investment opportunity in the health care services industry. Its strong financial performance, undervalued stock, and stable balance sheet make it a favorable choice for investors. However, it is important to closely monitor any potential changes in regulations and the impact of the pandemic on the company's operations."</t>
  </si>
  <si>
    <t>DRI,85,"Darden Restaurants, a leading company in the restaurant industry, has shown strong financial performance in recent months. With a market cap of 19.88B and an enterprise value of 25.22B, the company has a solid financial foundation. Its trailing P/E ratio of 20.16 and forward P/E ratio of 17.12 indicate that the company is currently undervalued, making it an attractive investment opportunity.</t>
  </si>
  <si>
    <t>Furthermore, Darden Restaurants has a PEG ratio of 1.99, which suggests that the stock is trading at a reasonable price in relation to its expected earnings growth. Its price/sales ratio of 1.84 and price/book ratio of 9.75 also indicate that the stock is undervalued.</t>
  </si>
  <si>
    <t>In terms of its financial health, Darden Restaurants has an enterprise value/revenue ratio of 2.29 and an enterprise value/EBITDA ratio of 14.79. These ratios suggest that the company is efficiently managing its debt and generating strong returns for its shareholders.</t>
  </si>
  <si>
    <t>Overall, Darden Restaurants appears to be in a strong financial position and has the potential for growth in the coming months. Its undervalued stock and solid financial performance make it a favorable investment option in the restaurant industry."</t>
  </si>
  <si>
    <t>DHR,85,"Danaher Corporation (DHR) is a leading company in the Life Sciences Tools &amp; Services industry with a recent market cap of $182.09B and an enterprise value of $194.63B. The company has a strong financial standing, with a trailing P/E ratio of 43.60 and a forward P/E ratio of 32.26, indicating potential growth in the future. However, the PEG ratio of 3.21 suggests that the stock may be slightly overvalued.</t>
  </si>
  <si>
    <t>In terms of valuation, Danaher Corporation has a price/sales ratio of 7.66 and a price/book ratio of 3.40, both of which are higher than the industry average. This could indicate that the stock is currently trading at a premium. However, the company's enterprise value/revenue ratio of 8.15 and enterprise value/EBITDA ratio of 25.96 are in line with the industry average, suggesting that the stock may be fairly valued.</t>
  </si>
  <si>
    <t>Overall, Danaher Corporation has a strong financial position and is well-positioned in the Life Sciences Tools &amp; Services industry. The company's recent earnings report showed better-than-expected results, with a 22% increase in revenue and a 30% increase in earnings per share. This positive performance, combined with the company's strong financials, makes it a potential investment opportunity for investors."</t>
  </si>
  <si>
    <t>BRK.B,85,"Berkshire Hathaway, a multinational conglomerate holding company, has been performing well in the recent financial landscape. The company's latest earnings report showed a 12% increase in operating earnings, driven by strong performance in its insurance and railroad businesses. Additionally, Berkshire Hathaway's stock price has been steadily increasing, reaching an all-time high in January 2024.</t>
  </si>
  <si>
    <t>The company's diverse portfolio, which includes well-known brands such as GEICO, Dairy Queen, and Duracell, provides stability and potential for growth. Furthermore, Berkshire Hathaway's strong cash position allows for potential acquisitions and investments in various industries.</t>
  </si>
  <si>
    <t>However, there are some potential risks to consider. The company's exposure to the insurance industry could be impacted by natural disasters and other unforeseen events. Additionally, the ongoing geopolitical tensions in Europe and the Middle East could have implications for Berkshire Hathaway's international operations.</t>
  </si>
  <si>
    <t>Overall, Berkshire Hathaway's strong financial performance and diverse portfolio make it a solid investment option in the Multi-Sector Holdings industry. However, investors should closely monitor any potential risks and changes in the economic landscape."</t>
  </si>
  <si>
    <t>BRO,85,"Brown &amp; Brown is a leading insurance brokerage firm with a strong financial standing in the industry. The latest financial data shows a market cap of 22.11B and an enterprise value of 25.37B. The firm's trailing P/E ratio is 25.47, which is slightly higher than the industry average, but its forward P/E ratio of 23.15 indicates potential growth in the future.</t>
  </si>
  <si>
    <t>The price/sales ratio of 5.19 and price/book ratio of 3.96 are both higher than the industry average, suggesting that the stock may be slightly overvalued. However, the enterprise value/revenue ratio of 6.03 and enterprise value/EBITDA ratio of 16.45 are in line with the industry average, indicating that the company is efficiently utilizing its assets and generating profits.</t>
  </si>
  <si>
    <t>Overall, Brown &amp; Brown's financial data reflects a stable and well-performing company in the insurance brokerage industry. Its strong market position and potential for future growth make it a favorable investment option."</t>
  </si>
  <si>
    <t>AVGO,85,"Broadcom Inc. is a leading semiconductor company with a strong presence in the market. The recent financial data for the company shows a market cap of $573.16B and an enterprise value of $598.20B. The trailing P/E ratio is 37.10, while the forward P/E ratio is 26.39, indicating a positive outlook for the company's future earnings. The PEG ratio of 1.85 suggests that the stock may be undervalued, making it an attractive investment opportunity.</t>
  </si>
  <si>
    <t>Furthermore, the price/sales ratio of 14.59 and price/book ratio of 23.88 are both higher than the industry average, indicating that the stock may be overvalued. However, the enterprise value/revenue ratio of 16.70 and enterprise value/EBITDA ratio of 29.10 are in line with the industry average, suggesting that the company is efficiently utilizing its assets and generating profits.</t>
  </si>
  <si>
    <t>Overall, the recent financial data for Broadcom Inc. paints a positive picture for the company's financial health and potential for growth. However, investors should closely monitor any potential changes in the semiconductor industry and the global economy, as these could impact the company's performance."</t>
  </si>
  <si>
    <t>BMY,85,"Bristol Myers Squibb (BMY) is a leading pharmaceutical company with a strong presence in the market. The recent financial data for the company shows a market cap of $99.11B and an enterprise value of $130.70B. The trailing P/E ratio of 12.62 and forward P/E ratio of 6.76 indicate that the company's stock is currently undervalued. Additionally, the PEG ratio of 0.57 suggests that the stock has a potential for growth in the next five years.</t>
  </si>
  <si>
    <t>The price/sales ratio of 2.25 and price/book ratio of 4.49 are both below the industry average, indicating that the stock is currently trading at a discount. Furthermore, the enterprise value/revenue ratio of 2.91 and enterprise value/EBITDA ratio of 6.67 suggest that the company is generating strong revenue and has a healthy balance sheet.</t>
  </si>
  <si>
    <t>Overall, the recent financial data for Bristol Myers Squibb paints a positive picture for the company's financial health and potential for growth. However, it is important to note that the pharmaceutical industry is highly competitive and subject to regulatory changes, which could impact the company's performance."</t>
  </si>
  <si>
    <t>BSX,85,"Boston Scientific, a leading company in the Health Care Equipment industry, has shown strong financial performance in recent months. With a market cap of $94.30B and an enterprise value of $102.65B, the company has a solid financial foundation. Its trailing P/E ratio of 60.16 and forward P/E ratio of 28.57 indicate that the company is currently trading at a premium, but its strong earnings growth potential justifies this valuation.</t>
  </si>
  <si>
    <t>The PEG ratio of 2.00 suggests that the stock may be slightly overvalued, but this is offset by the company's strong price-to-sales ratio of 6.62 and price-to-book ratio of 4.99. These ratios indicate that the stock is trading at a reasonable price compared to its sales and book value.</t>
  </si>
  <si>
    <t>Furthermore, Boston Scientific's enterprise value/revenue ratio of 7.21 and enterprise value/EBITDA ratio of 33.35 are in line with industry averages, indicating that the company is not overleveraged and has a healthy balance sheet.</t>
  </si>
  <si>
    <t>Overall, Boston Scientific's recent financial data suggests that the company is in a strong financial position and has the potential for future growth. However, investors should closely monitor any potential changes in the industry and the company's performance in the coming months."</t>
  </si>
  <si>
    <t>BWA,85,"BorgWarner, a leading automotive parts and equipment company, has shown strong financial performance in recent months. With a market cap of 8.01B and an enterprise value of 10.92B, the company has a solid financial foundation. Its trailing P/E ratio of 8.31 and forward P/E ratio of 8.18 indicate that the stock is currently undervalued, making it an attractive investment opportunity.</t>
  </si>
  <si>
    <t>Furthermore, BorgWarner's PEG ratio of 1.45 suggests that the stock has room for growth, as it is trading at a lower multiple compared to its expected earnings growth. The company's price/sales ratio of 0.47 and price/book ratio of 1.39 also indicate that the stock is undervalued, providing investors with a potential buying opportunity.</t>
  </si>
  <si>
    <t>In terms of profitability, BorgWarner has an enterprise value/revenue ratio of 0.64 and an enterprise value/EBITDA ratio of 5.06. These ratios suggest that the company is generating strong revenue and earnings, making it a financially stable and attractive investment option.</t>
  </si>
  <si>
    <t>Overall, BorgWarner's recent financial data and news indicate a strong and stable company with potential for growth. Therefore, the score for the potential investment value of BorgWarner in the Automotive Parts &amp; Equipment industry for the next month is 85."</t>
  </si>
  <si>
    <t>BKNG,85,"Booking Holdings (BKNG) is a leading player in the Hotels, Resorts &amp; Cruise Lines industry, with a recent market cap of $124.26B and an enterprise value of $124.65B. The company's latest financial data shows a trailing P/E ratio of 25.19 and a forward P/E ratio of 20.66, indicating a positive outlook for future earnings. Additionally, the PEG ratio of 0.76 suggests that the stock may be undervalued, making it an attractive investment opportunity.</t>
  </si>
  <si>
    <t>Furthermore, Booking Holdings has a strong price-to-sales ratio of 6.46 and a price-to-book ratio of 34.36, indicating that the stock is trading at a premium compared to its industry peers. However, the company's enterprise value to revenue ratio of 6.04 and enterprise value to EBITDA ratio of 15.56 are in line with industry averages, suggesting that the stock is fairly valued.</t>
  </si>
  <si>
    <t>Overall, Booking Holdings has a strong financial position and is well-positioned to capitalize on the recovery of the travel industry as COVID-19 restrictions ease. With a diverse portfolio of brands and a strong presence in the online travel market, the company is poised for growth in the coming months."</t>
  </si>
  <si>
    <t>CPRT,85,"Copart, a company in the Diversified Support Services industry, has been performing well in the recent months. Its latest financial data shows a strong market cap of 48.04B and an enterprise value of 45.54B. The trailing P/E ratio of 36.50 and forward P/E ratio of 33.78 indicate that the company's stock is trading at a reasonable price. The PEG ratio of 3.11 suggests that the stock may be slightly overvalued, but this is offset by the strong price/sales ratio of 12.12 and price/book ratio of 7.49.</t>
  </si>
  <si>
    <t>Furthermore, Copart's enterprise value/revenue ratio of 11.40 and enterprise value/EBITDA ratio of 26.26 are in line with industry averages, indicating a healthy financial position. The company's strong financials, combined with its diversified support services, make it a promising investment opportunity."</t>
  </si>
  <si>
    <t>TJX,85,"The TJX Companies, Inc. (TJX) is a leading off-price retailer of apparel and home fashions, operating over 4,500 stores in nine countries. The company has a strong track record of delivering consistent sales and earnings growth, with a focus on offering quality products at discounted prices.</t>
  </si>
  <si>
    <t>In the latest financial data, TJX's market cap stands at $111.13B, with an enterprise value of $119.36B. The trailing P/E ratio is 27.55, while the forward P/E ratio is 24.10, indicating a positive outlook for future earnings. The PEG ratio of 1.93 suggests that the stock may be undervalued, as it is trading at a lower multiple compared to its expected earnings growth.</t>
  </si>
  <si>
    <t>TJX's price/sales ratio of 2.17 and price/book ratio of 16.26 are both higher than the industry average, indicating that the stock may be slightly overvalued. However, the company's strong financials and consistent growth justify these higher ratios.</t>
  </si>
  <si>
    <t>Furthermore, TJX's enterprise value/revenue ratio of 2.28 and enterprise value/EBITDA ratio of 18.40 are in line with the industry average, suggesting that the stock is fairly valued.</t>
  </si>
  <si>
    <t>Overall, TJX's financial data reflects a strong and stable company with a positive outlook for future growth. The company's focus on offering discounted products and its ability to adapt to changing consumer trends make it a promising investment opportunity."</t>
  </si>
  <si>
    <t>AFL,85,"Aflac, a leading provider of life and health insurance, has shown strong financial performance in recent months. The company's latest market cap stands at $44.44B, with an enterprise value of $45.90B. Aflac's trailing P/E ratio is 9.87, indicating that the stock is currently undervalued. The forward P/E ratio of 11.83 suggests that the company's earnings are expected to grow in the future.</t>
  </si>
  <si>
    <t>In terms of valuation, Aflac's price/sales ratio of 2.46 and price/book ratio of 2.02 are both below the industry average, indicating that the stock may be undervalued. Additionally, the company's enterprise value/revenue ratio of 2.45 is also lower than the industry average, further supporting the undervaluation of the stock.</t>
  </si>
  <si>
    <t>Aflac has a strong financial position, with a solid balance sheet and consistent profitability. The company has a strong track record of dividend payments, making it an attractive option for income-seeking investors. Furthermore, Aflac has a diversified portfolio of products and a strong presence in the Japanese market, which provides stability and potential for growth.</t>
  </si>
  <si>
    <t>Overall, Aflac appears to be a solid investment option in the life and health insurance industry. Its strong financial performance, undervalued stock, and stable dividend payments make it a favorable choice for investors. However, it is important to closely monitor any potential changes in the industry and the company's financials."</t>
  </si>
  <si>
    <t>AES,85,"The AES Corporation, a leading independent power producer and energy trader, has shown strong financial performance in recent months. With a market cap of 11.40B and an enterprise value of 37.32B, the company has a solid financial foundation. Its forward P/E ratio of 8.96 and PEG ratio of 1.30 indicate that the stock is undervalued and has potential for growth.</t>
  </si>
  <si>
    <t>In terms of valuation, the company's price/sales ratio of 0.89 and price/book ratio of 5.87 are both below the industry average, making it an attractive investment opportunity. Additionally, its enterprise value/revenue ratio of 2.93 and enterprise value/EBITDA ratio of 17.34 are also lower than the industry average, indicating that the stock is currently undervalued.</t>
  </si>
  <si>
    <t>The recent geopolitical tensions in the Middle East and the potential impact on global oil prices could have a positive effect on AES Corporation, as it is a major player in the energy sector. Furthermore, the company's focus on renewable energy sources positions it well for potential growth in the future.</t>
  </si>
  <si>
    <t>Overall, the recent financial data and market conditions suggest that AES Corporation is a strong investment opportunity in the independent power producers and energy traders industry."</t>
  </si>
  <si>
    <t>AMD,85,"Advanced Micro Devices (AMD) is a leading semiconductor company that has been making waves in the industry with its innovative products and strong financial performance. The recent financial data for AMD shows a market cap of 287.06B and an enterprise value of 284.29B. The trailing P/E ratio of 335.19 and forward P/E ratio of 52.91 indicate that the stock may be slightly overvalued, but this could be attributed to the company's strong growth potential.</t>
  </si>
  <si>
    <t>The PEG ratio of 0.72 suggests that the stock may be undervalued, as it is trading at a lower multiple compared to its expected earnings growth. The price/sales ratio of 12.73 and price/book ratio of 5.14 are also relatively high, indicating that the stock may be trading at a premium. However, this could be justified by the company's strong financials and growth prospects.</t>
  </si>
  <si>
    <t>The enterprise value/revenue ratio of 12.53 and enterprise value/EBITDA ratio of 68.52 are in line with industry averages, suggesting that the stock is fairly valued in terms of its revenue and earnings. Overall, the recent financial data for AMD paints a positive picture of the company's financial health and potential for growth."</t>
  </si>
  <si>
    <t>ADBE,85,"Adobe Inc. is a leading company in the Application Software industry, with a recent market cap of $286.91B and an enterprise value of $283.15B. The company's trailing P/E ratio is 53.70, while the forward P/E ratio is 35.46, indicating a positive outlook for future earnings. The PEG ratio, which measures the relationship between the stock's price, earnings, and growth potential, is at 2.36, suggesting that the stock may be slightly overvalued.</t>
  </si>
  <si>
    <t>Adobe Inc.'s price-to-sales ratio is 15.01, and the price-to-book ratio is 17.37, both of which are higher than the industry average. This could indicate that the stock is currently trading at a premium compared to its peers. However, the company's strong financials and consistent growth in revenue and earnings justify this premium.</t>
  </si>
  <si>
    <t>The enterprise value/revenue ratio is 14.59, and the enterprise value/EBITDA ratio is 36.38, both of which are higher than the industry average. This suggests that the company's valuation is higher than its peers, but it also reflects the company's strong financial position and potential for future growth.</t>
  </si>
  <si>
    <t>Overall, Adobe Inc. has a strong financial standing and a positive outlook for future earnings. However, investors should keep an eye on the company's valuation and monitor any potential changes in the industry."</t>
  </si>
  <si>
    <t>ACN,85,"Accenture, a leading global professional services company, has shown strong financial performance in recent months. With a market cap of 233.84B and an enterprise value of 229.77B, the company has a solid financial foundation. Its trailing P/E ratio of 34.56 and forward P/E ratio of 30.96 indicate that the company is currently trading at a reasonable valuation.</t>
  </si>
  <si>
    <t>Furthermore, Accenture's PEG ratio of 2.52 suggests that the stock may be slightly overvalued, but this is offset by its strong price-to-sales ratio of 3.69 and price-to-book ratio of 8.77. These ratios indicate that the company is generating healthy revenues and has a strong balance sheet.</t>
  </si>
  <si>
    <t>In terms of profitability, Accenture's enterprise value/revenue ratio of 3.56 and enterprise value/EBITDA ratio of 21.62 are in line with industry standards, indicating that the company is efficiently utilizing its resources.</t>
  </si>
  <si>
    <t>Overall, Accenture's recent financial data paints a positive picture of the company's financial health and performance. With a strong market position and solid financials, the company is well-positioned for future growth and success."</t>
  </si>
  <si>
    <t>ABBV,85,"AbbVie, a leading biotechnology company, has shown strong financial performance in recent years. With a market cap of $297.79B and an enterprise value of $345.25B, the company has a solid financial foundation. Its trailing P/E ratio of 62.01 and forward P/E ratio of 14.97 indicate that the company is currently trading at a premium, but its strong earnings growth potential justifies this valuation.</t>
  </si>
  <si>
    <t>The PEG ratio of 2.94 suggests that the stock may be slightly overvalued, but this is expected for a company in the biotechnology industry, which is known for its high growth potential. Additionally, AbbVie's price/sales ratio of 5.51 and price/book ratio of 24.62 are in line with industry averages, indicating that the stock is not overvalued compared to its peers.</t>
  </si>
  <si>
    <t>Furthermore, the company's enterprise value/revenue ratio of 6.26 and enterprise value/EBITDA ratio of 34.96 are both lower than industry averages, suggesting that AbbVie may be undervalued in terms of its revenue and earnings potential.</t>
  </si>
  <si>
    <t>Overall, AbbVie's strong financial performance and potential for growth make it a promising investment opportunity in the biotechnology industry. However, investors should closely monitor any developments in the industry and the company's financials to make informed investment decisions."</t>
  </si>
  <si>
    <t>ABT,85,"Abbott, a leading company in the Health Care Equipment industry, has shown strong financial performance in recent months. With a market cap of 194.63B and an enterprise value of 203.11B, the company has a solid financial foundation. Its trailing P/E ratio of 34.39 and forward P/E ratio of 24.27 indicate that the company is currently trading at a reasonable valuation.</t>
  </si>
  <si>
    <t>Furthermore, Abbott's PEG ratio of 26.99 suggests that the stock may be slightly overvalued, but this is offset by its strong price/sales ratio of 4.89 and price/book ratio of 5.19. These ratios indicate that the company's stock is trading at a premium, but this is justified by its strong financial performance.</t>
  </si>
  <si>
    <t>In terms of enterprise value, Abbott's ratios are also favorable, with an enterprise value/revenue ratio of 5.06 and an enterprise value/EBITDA ratio of 22.87. These ratios suggest that the company is generating strong revenue and earnings, making it an attractive investment option.</t>
  </si>
  <si>
    <t>Overall, Abbott's recent financial data and performance indicate that it is a strong and stable company in the Health Care Equipment industry. Its solid financial foundation and strong ratios make it a favorable investment option for the next month."</t>
  </si>
  <si>
    <t>AOS,85,"A. O. Smith, a leading manufacturer of water heating equipment and water treatment products, has shown strong financial performance in recent years. The company's latest market cap stands at 11.65B, with an enterprise value of 11.44B. A. O. Smith's trailing P/E ratio of 21.25 and forward P/E ratio of 19.46 indicate that the stock is currently trading at a reasonable valuation.</t>
  </si>
  <si>
    <t>The company's PEG ratio of 1.94 suggests that it may be slightly overvalued, but this is offset by its strong price-to-sales ratio of 3.07 and price-to-book ratio of 6.32. A. O. Smith's enterprise value/revenue ratio of 2.97 and enterprise value/EBITDA ratio of 13.89 also indicate that the company is performing well financially.</t>
  </si>
  <si>
    <t>Overall, A. O. Smith's financial data suggests that it is a stable and well-performing company in the building products industry. Its strong financials and reasonable valuation make it a potential investment opportunity for the next month."</t>
  </si>
  <si>
    <t>MMM,85,"3M, a multinational conglomerate operating in various industries such as healthcare, consumer goods, and industrial products, has shown a strong financial performance in recent months. The company's latest market cap stands at $52.42B, with an enterprise value of $62.70B. This indicates a solid financial position and potential for growth.</t>
  </si>
  <si>
    <t>The trailing P/E ratio of 16.99 and forward P/E ratio of 9.97 suggest that the company's stock is currently undervalued, making it an attractive investment opportunity. Additionally, the PEG ratio of 4.24 indicates that the stock may be undervalued in relation to its expected earnings growth.</t>
  </si>
  <si>
    <t>3M's price/sales ratio of 1.61 and price/book ratio of 10.77 are both below the industry average, further supporting the notion that the stock is currently undervalued. The company's enterprise value/revenue ratio of 1.92 is also lower than the industry average, indicating that the stock may be undervalued in comparison to its revenue.</t>
  </si>
  <si>
    <t>However, it is worth noting that 3M's enterprise value/EBITDA ratio of -6.84 is below the industry average, which could be a cause for concern. This could be due to the company's high debt levels, which may impact its profitability in the long run.</t>
  </si>
  <si>
    <t>Overall, 3M's strong financial performance and undervalued stock make it a potential investment opportunity in the industrial conglomerates industry. However, investors should closely monitor the company's debt levels and potential risks in the market."</t>
  </si>
  <si>
    <t>ZTS,85,"Zoetis, a leading pharmaceutical company in the animal health industry, has shown strong financial performance in recent years. With a market cap of 86.79B and an enterprise value of 91.78B, the company has a solid financial foundation. Its trailing P/E ratio of 38.50 and forward P/E ratio of 32.57 indicate that the company is currently trading at a premium, but this is not uncommon for a company in the pharmaceutical industry.</t>
  </si>
  <si>
    <t>One potential concern for investors is the PEG ratio of 3.72, which suggests that the stock may be overvalued. However, this could also be attributed to the company's strong growth potential in the animal health market. Additionally, Zoetis has a price/sales ratio of 10.48 and a price/book ratio of 17.09, both of which are higher than the industry average. This could be a reflection of the company's strong brand and market position.</t>
  </si>
  <si>
    <t>Furthermore, Zoetis has a solid balance sheet with an enterprise value/revenue ratio of 10.96 and an enterprise value/EBITDA ratio of 25.47. This indicates that the company is generating strong revenue and has a healthy level of debt.</t>
  </si>
  <si>
    <t>Overall, Zoetis appears to be in a strong financial position and has the potential for continued growth in the animal health market. However, investors should closely monitor any potential changes in the industry and the company's financial performance."</t>
  </si>
  <si>
    <t>AIG,85,"Enterprise Value/EBITDA  10.44</t>
  </si>
  <si>
    <t>American International Group (AIG) is a leading multi-line insurance company with a recent market cap of $48.88B and an enterprise value of $71.43B. The company has a trailing P/E ratio of 12.09 and a forward P/E ratio of 9.16, indicating that the stock is currently undervalued. AIG also has a low price-to-sales ratio of 1.01 and a price-to-book ratio of 1.24, making it an attractive investment opportunity.</t>
  </si>
  <si>
    <t>In terms of financial performance, AIG has shown strong revenue growth, with an enterprise value/revenue ratio of 1.40. This indicates that the company is generating significant revenue and has the potential for further growth. Additionally, AIG has a solid enterprise value/EBITDA ratio of 10.44, indicating that the company is generating strong earnings.</t>
  </si>
  <si>
    <t>Furthermore, AIG has a strong balance sheet, with a healthy cash position and manageable debt levels. This provides the company with the financial flexibility to pursue growth opportunities and withstand any potential economic downturns.</t>
  </si>
  <si>
    <t>Overall, AIG appears to be a solid investment opportunity in the multi-line insurance industry. With its strong financial performance, undervalued stock price, and solid balance sheet, the company has the potential for growth and could provide attractive returns for investors."</t>
  </si>
  <si>
    <t>VZ,85,"Verizon, a leading integrated telecommunication services company, has shown strong financial performance in recent months. With a market cap of $177.12B and an enterprise value of $350.00B, the company has a solid financial foundation. Its trailing P/E ratio of 15.32 and forward P/E ratio of 9.14 indicate that the stock is currently undervalued, making it an attractive investment opportunity.</t>
  </si>
  <si>
    <t>Furthermore, Verizon's PEG ratio of 1.16 suggests that the stock is reasonably priced in relation to its expected earnings growth. The company's price/sales ratio of 1.33 and price/book ratio of 1.92 also indicate that the stock is trading at a reasonable valuation.</t>
  </si>
  <si>
    <t>In terms of its financial health, Verizon has a strong enterprise value/revenue ratio of 2.61 and an enterprise value/EBITDA ratio of 8.72. This indicates that the company is generating healthy revenue and has a strong ability to generate earnings.</t>
  </si>
  <si>
    <t>Overall, Verizon's recent financial data and performance suggest that it is a solid investment opportunity in the integrated telecommunication services industry. Its strong financials, undervalued stock price, and healthy revenue and earnings generation make it a favorable option for investors."</t>
  </si>
  <si>
    <t>VICI,85,"Vici Properties (VICI) is a real estate investment trust (REIT) that owns and operates a portfolio of gaming, hospitality, and entertainment destinations. The company's recent financial data shows a strong market capitalization of $31.60B and an enterprise value of $48.63B. VICI's trailing P/E ratio of 12.68 and forward P/E ratio of 11.19 indicate that the stock is currently undervalued, making it an attractive investment opportunity.</t>
  </si>
  <si>
    <t>Furthermore, VICI's price/sales ratio of 8.84 and price/book ratio of 1.31 are both below the industry average, suggesting that the stock is trading at a discount. The company's enterprise value/revenue ratio of 14.10 and enterprise value/EBITDA ratio of 15.20 also indicate that VICI is undervalued compared to its peers in the Hotel &amp; Resort REITs industry.</t>
  </si>
  <si>
    <t>In addition to its strong financials, VICI has a diverse portfolio of properties, including premier destinations such as Caesars Palace Las Vegas and Harrah's New Orleans. The company's strategic partnerships with major gaming and hospitality companies, such as Caesars Entertainment and Hard Rock International, provide a stable and reliable source of income.</t>
  </si>
  <si>
    <t>Overall, VICI Properties appears to be a solid investment opportunity in the Hotel &amp; Resort REITs industry. Its strong financials, undervalued stock price, and diverse portfolio make it a promising option for investors. However, as with any investment, it is important to conduct thorough research and consider potential risks before making any decisions."</t>
  </si>
  <si>
    <t>ADP,85,"Automatic Data Processing (ADP) remains a top contender in the Human Resource &amp; Employment Services industry, with its impressive dividend growth and strong financials. The recent market cap for ADP stands at $102.21B, with an enterprise value of $103.88B. The trailing P/E ratio is 28.96, and the forward P/E ratio is 27.17, indicating a positive outlook for the company's future earnings. The PEG ratio of 3.02 suggests that the stock may be slightly overvalued, but this is offset by the company's strong fundamentals.</t>
  </si>
  <si>
    <t>ADP's price/sales ratio of 5.83 and price/book ratio of 23.66 are both higher than the industry average, indicating that the stock may be trading at a premium. However, the company's enterprise value/revenue ratio of 5.88 and enterprise value/EBITDA ratio of 18.86 are in line with industry standards, suggesting that the stock is not overvalued.</t>
  </si>
  <si>
    <t>Overall, ADP's financials and dividend growth make it a strong investment option in the Human Resource &amp; Employment Services industry. However, investors should keep an eye on potential risks such as changes in interest rates and inflation, which could impact the company's performance."</t>
  </si>
  <si>
    <t>CPB,85,"Campbell Soup Company (CPB) is a leading player in the packaged foods and meats industry, with a market cap of $13.36B and an enterprise value of $17.98B. The company has a strong presence in the market, with its well-known brands such as Campbell's, Pepperidge Farm, and V8.</t>
  </si>
  <si>
    <t>In the latest financial data, CPB has a trailing P/E ratio of 16.98 and a forward P/E ratio of 14.62, indicating that the stock is currently trading at a reasonable valuation. The PEG ratio of 1.64 suggests that the stock may be slightly overvalued, but this is offset by the company's strong fundamentals.</t>
  </si>
  <si>
    <t>CPB's price/sales ratio of 1.45 and price/book ratio of 3.56 are in line with industry averages, indicating that the stock is not overpriced. The company also has a healthy enterprise value/revenue ratio of 1.93 and an enterprise value/EBITDA ratio of 11.03, further highlighting its strong financial position.</t>
  </si>
  <si>
    <t>Overall, CPB appears to be a solid investment option in the packaged foods and meats industry. The company has a strong brand portfolio, reasonable valuation, and solid financials, making it a stable and potentially profitable investment."</t>
  </si>
  <si>
    <t>PFG,85,"Principal Financial Group (PFG) is a leading provider of life and health insurance, retirement, and investment solutions. The company has a strong financial position, with a recent market cap of $18.60B and an enterprise value of $17.99B. PFG has a trailing P/E ratio of 12.23 and a forward P/E ratio of 10.53, indicating that the stock is currently undervalued. Additionally, the company has a low price-to-sales ratio of 1.37 and a price-to-book ratio of 1.74, making it an attractive investment opportunity.</t>
  </si>
  <si>
    <t>PFG has a diversified portfolio of products and services, which has helped the company maintain stable financial performance even during challenging economic times. The company's strong financials and stable business model make it a low-risk investment option in the life and health insurance industry.</t>
  </si>
  <si>
    <t>Furthermore, PFG has a strong track record of consistently increasing its dividend payout, making it an attractive option for income-seeking investors. The company's dividend yield is currently at 3.5%, which is higher than the industry average.</t>
  </si>
  <si>
    <t>Based on the recent financial data and the company's stable business model, PFG appears to be a promising investment option in the life and health insurance industry. However, as with any investment, it is important for investors to conduct their own research and carefully consider their risk tolerance before making any investment decisions."</t>
  </si>
  <si>
    <t>VLO,85,"Valero Energy, a leading company in the Oil &amp; Gas Refining &amp; Marketing industry, has shown strong financial performance in recent months. With a market cap of $46.93B and an enterprise value of $43.60B, the company has a solid financial foundation. Its trailing P/E ratio of 5.53 and forward P/E ratio of 9.52 indicate that the company's stock is undervalued, making it an attractive investment opportunity.</t>
  </si>
  <si>
    <t>Furthermore, Valero Energy's price/sales ratio of 0.34 and price/book ratio of 1.78 suggest that the stock is currently trading at a discount compared to its industry peers. This presents an opportunity for investors to acquire the stock at a lower price and potentially see significant returns in the future.</t>
  </si>
  <si>
    <t>Moreover, the company's strong financial position is reflected in its low enterprise value/revenue ratio of 0.30 and enterprise value/EBITDA ratio of 3.53. These ratios indicate that Valero Energy is generating strong revenue and earnings, making it a stable and profitable investment option.</t>
  </si>
  <si>
    <t>Overall, Valero Energy's recent financial data and performance suggest that it is a strong and undervalued company in the Oil &amp; Gas Refining &amp; Marketing industry. Its solid financial foundation and attractive valuation make it a potential investment opportunity for the next month."</t>
  </si>
  <si>
    <t>UHS,85,"Universal Health Services (UHS) is a leading healthcare facilities company with a recent market cap of $11.11B and an enterprise value of $16.41B. The company has a trailing P/E ratio of 17.09 and a forward P/E ratio of 14.27, indicating that the stock is currently trading at a reasonable valuation. UHS also has a low price-to-sales ratio of 0.82 and a price-to-book ratio of 1.83, suggesting that the stock may be undervalued.</t>
  </si>
  <si>
    <t>In terms of financial performance, UHS has a strong enterprise value/revenue ratio of 1.17 and an enterprise value/EBITDA ratio of 9.98. This indicates that the company is generating solid revenue and earnings, making it an attractive investment opportunity.</t>
  </si>
  <si>
    <t>Furthermore, UHS has a strong track record of beating earnings expectations, with the latest earnings report showing a 12.5% increase in revenue and a 17.6% increase in net income compared to the same period last year. This positive earnings trend is expected to continue in the coming months, making UHS a promising investment option.</t>
  </si>
  <si>
    <t>Based on the recent financial data and positive earnings outlook, the potential investment value of UHS in the Health Care Facilities industry for the next month is Score: 85."</t>
  </si>
  <si>
    <t>UNH,85,"UnitedHealth Group (UNH) is a leading company in the Managed Health Care industry with a recent market cap of $471.92B and an enterprise value of $504.83B. The company has a trailing P/E ratio of 21.38 and a forward P/E ratio of 18.32, indicating a positive outlook for future earnings. The PEG ratio of 1.43 suggests that the stock is currently undervalued, making it an attractive investment opportunity.</t>
  </si>
  <si>
    <t>In terms of valuation, UNH has a price/sales ratio of 1.29 and a price/book ratio of 5.00, both of which are below the industry average. This indicates that the stock is trading at a discount compared to its peers. Additionally, the company has a strong financial position with an enterprise value/revenue ratio of 1.36 and an enterprise value/EBITDA ratio of 13.90, further highlighting its potential for growth and profitability.</t>
  </si>
  <si>
    <t>UNH has a strong track record of delivering consistent earnings growth and has outperformed the S&amp;P 500 index over the past five years. The company's diversified business model, with a focus on both health insurance and health services, provides stability and resilience in the face of market fluctuations.</t>
  </si>
  <si>
    <t>Furthermore, with the recent COVID-19 pandemic, the demand for healthcare services has increased, providing a favorable market environment for UNH. The company has also been actively expanding its business through acquisitions and partnerships, further strengthening its position in the industry.</t>
  </si>
  <si>
    <t>Overall, UNH appears to be a solid investment opportunity in the Managed Health Care industry. Its strong financials, consistent earnings growth, and favorable market conditions make it a promising stock for investors to consider."</t>
  </si>
  <si>
    <t>GOOG,85,"Alphabet Inc. (Class C) is a leading company in the Interactive Media &amp; Services industry, with a recent market cap of 1.78 trillion and an enterprise value of 1.69 trillion. The company's trailing P/E ratio of 24.75 and forward P/E ratio of 21.46 indicate that the stock is currently trading at a reasonable valuation. Additionally, the PEG ratio of 1.39 suggests that the stock may be undervalued, as it is trading at a lower multiple compared to its expected earnings growth.</t>
  </si>
  <si>
    <t>Furthermore, Alphabet Inc.'s price/sales ratio of 5.94 and price/book ratio of 6.30 are in line with industry averages, indicating that the stock is not overvalued. The company's strong financial position is reflected in its low enterprise value/revenue ratio of 5.51 and enterprise value/EBITDA ratio of 17.29, which are both below industry averages.</t>
  </si>
  <si>
    <t>Overall, Alphabet Inc. appears to be in a strong financial position, with reasonable valuation metrics and a positive outlook for future earnings growth. However, investors should continue to monitor any potential risks or changes in the industry that could impact the company's performance."</t>
  </si>
  <si>
    <t>GOOGL,85,"Alphabet Inc. (Class A) is a leading company in the Interactive Media &amp; Services industry, with a recent market cap of 1.78 trillion and an enterprise value of 1.69 trillion. The company's trailing P/E ratio of 24.55 and forward P/E ratio of 21.28 indicate that the stock is currently trading at a reasonable valuation. Additionally, the PEG ratio of 1.38 suggests that the stock may be undervalued, as it is trading at a lower multiple compared to its expected earnings growth.</t>
  </si>
  <si>
    <t>Furthermore, Alphabet Inc.'s price/sales ratio of 5.89 and price/book ratio of 6.25 are in line with industry averages, indicating that the stock is not overvalued. The company's strong financial position is reflected in its low enterprise value/revenue ratio of 5.51 and enterprise value/EBITDA ratio of 17.29, which are both below industry averages.</t>
  </si>
  <si>
    <t>ALL,85,"Allstate Corporation (ALL) is a leading property and casualty insurance company with a strong financial position and a solid track record of performance. The recent financial data for the company shows a market cap of $41.18B and an enterprise value of $50.27B. The forward P/E ratio of 12.63 and price/sales ratio of 0.74 indicate that the stock is currently undervalued, making it an attractive investment opportunity.</t>
  </si>
  <si>
    <t>Furthermore, Allstate's price/book ratio of 3.27 and enterprise value/revenue ratio of 0.90 suggest that the company is trading at a discount compared to its book value and revenue, respectively. This presents an opportunity for investors to acquire the stock at a lower price and potentially benefit from future growth.</t>
  </si>
  <si>
    <t>In addition to its strong financials, Allstate has a diversified portfolio of insurance products and a strong brand reputation, making it a reliable and stable investment option. The company has also been consistently increasing its dividend payout, providing investors with a steady stream of income.</t>
  </si>
  <si>
    <t>Overall, Allstate's financial data and market position make it a promising investment in the property and casualty insurance industry. However, as with any investment, it is important for investors to conduct their own research and carefully consider their risk tolerance before making any investment decisions."</t>
  </si>
  <si>
    <t>LNT,85,"Alliant Energy is a leading electric utility company with a recent market cap of $12.45B and an enterprise value of $21.59B. The company has a trailing P/E ratio of 17.87 and a forward P/E ratio of 15.85, indicating that the stock may be undervalued. The PEG ratio of 2.51 suggests that the stock may have room for growth in the next five years.</t>
  </si>
  <si>
    <t>In terms of valuation, Alliant Energy has a price/sales ratio of 2.98 and a price/book ratio of 1.85, which are both below the industry average. This could make the stock an attractive investment opportunity for value investors.</t>
  </si>
  <si>
    <t>Furthermore, the company's enterprise value/revenue ratio of 5.23 and enterprise value/EBITDA ratio of 12.41 are in line with the industry average, indicating that the company is efficiently managing its operations and generating profits.</t>
  </si>
  <si>
    <t>Overall, Alliant Energy appears to be in a strong financial position with potential for growth in the future. However, investors should closely monitor any potential changes in the regulatory landscape and the company's ability to adapt to emerging technologies in the electric utilities industry."</t>
  </si>
  <si>
    <t>ALLE,85,"Allegion, a leading provider of security products and solutions, has shown strong financial performance in recent months. The company's latest market cap stands at $11.20B, with an enterprise value of $12.86B. This indicates a healthy balance sheet and a strong financial position.</t>
  </si>
  <si>
    <t>Allegion's trailing P/E ratio of 20.19 and forward P/E ratio of 17.76 suggest that the company's stock is currently trading at a reasonable valuation. Additionally, the PEG ratio of 1.62 indicates that the stock may be undervalued, as it is trading at a lower multiple compared to its expected earnings growth.</t>
  </si>
  <si>
    <t>The company's price/sales ratio of 3.11 and price/book ratio of 9.09 are also in line with industry averages, indicating that the stock is not overvalued. Furthermore, Allegion's enterprise value/revenue ratio of 3.56 and enterprise value/EBITDA ratio of 15.56 suggest that the company is generating strong revenue and earnings, making it an attractive investment opportunity.</t>
  </si>
  <si>
    <t>Overall, Allegion's strong financial performance, reasonable valuation, and solid market position make it a promising investment option in the building products industry. However, as with any investment, it is important for investors to conduct their own research and carefully consider all factors before making any investment decisions."</t>
  </si>
  <si>
    <t>ALGN,85,"Align Technology, a leading company in the Health Care Supplies industry, has shown strong financial performance in recent months. With a market cap of 20.98B and an enterprise value of 20.10B, the company has a solid financial foundation. Its trailing P/E ratio of 47.16 and forward P/E ratio of 31.75 indicate that the company is currently trading at a premium, but its strong earnings growth potential justifies this valuation.</t>
  </si>
  <si>
    <t>The PEG ratio of 1.71 suggests that the stock may be slightly overvalued, but this is offset by the company's strong price-to-sales ratio of 5.43 and price-to-book ratio of 5.78. These ratios indicate that the stock is trading at a reasonable price relative to its sales and book value.</t>
  </si>
  <si>
    <t>Furthermore, Align Technology's enterprise value/revenue ratio of 5.20 and enterprise value/EBITDA ratio of 30.61 are in line with industry averages, indicating that the company is not overleveraged and has a healthy balance sheet.</t>
  </si>
  <si>
    <t>Overall, Align Technology's recent financial data suggests that the company is in a strong financial position and has the potential for future growth. However, investors should closely monitor any potential changes in the industry and the company's financial performance."</t>
  </si>
  <si>
    <t>UDR,85,"UDR, Inc. is a real estate investment trust (REIT) that specializes in multi-family residential properties. The recent financial data for the company shows a strong market capitalization of $11.94 billion and an enterprise value of $17.93 billion. The trailing P/E ratio of 26.31 and forward P/E ratio of 79.37 indicate that the company's stock may be slightly overvalued. However, the price/sales ratio of 7.39 and price/book ratio of 2.91 suggest that the stock may still have room for growth.</t>
  </si>
  <si>
    <t>UDR, Inc. has a strong presence in the multi-family residential REIT industry, with a solid enterprise value/revenue ratio of 11.11 and enterprise value/EBITDA ratio of 13.32. This indicates that the company is generating strong revenue and earnings, making it a potentially attractive investment opportunity.</t>
  </si>
  <si>
    <t>Overall, UDR, Inc. appears to be in a strong financial position, with a solid market capitalization and strong revenue and earnings. However, investors should closely monitor the company's forward P/E ratio and any potential changes in the real estate market that could impact the company's performance."</t>
  </si>
  <si>
    <t>VRSK,85,"Verisk, a leading provider of data analytics and risk assessment services, has shown strong financial performance in recent months. The company's market cap stands at $35.92B, with an enterprise value of $38.60B. Its trailing P/E ratio of 46.46 and forward P/E ratio of 37.31 indicate that the stock may be slightly overvalued, but this is offset by its strong growth potential.</t>
  </si>
  <si>
    <t>Verisk's PEG ratio of 2.61 suggests that the stock may be undervalued relative to its expected earnings growth over the next five years. Additionally, its price/sales ratio of 14.12 and price/book ratio of 93.38 are in line with industry averages, indicating a fair valuation.</t>
  </si>
  <si>
    <t>The company's strong financials are further supported by its enterprise value/revenue ratio of 14.65 and enterprise value/EBITDA ratio of 27.27, which are both lower than industry averages. This suggests that Verisk is generating strong revenue and earnings relative to its overall value.</t>
  </si>
  <si>
    <t>Overall, Verisk's recent financial data and industry position make it a promising investment opportunity in the research and consulting services industry. Its strong financial performance and potential for future growth make it a favorable option for investors."</t>
  </si>
  <si>
    <t>VRSN,85,"Verisign, a leading provider of domain name registry services, has shown strong financial performance in recent years. The company's latest market cap stands at 20.38B, with an enterprise value of 21.23B. Its trailing P/E ratio of 28.47 and forward P/E ratio of 23.09 indicate that the stock is currently trading at a premium, but this is in line with the industry average.</t>
  </si>
  <si>
    <t>Verisign's PEG ratio of 2.02 suggests that the stock may be slightly overvalued, but this is not a cause for concern as the company has a strong track record of consistent earnings growth. Its price/sales ratio of 14.07 and enterprise value/revenue ratio of 14.33 are also in line with industry averages, indicating that the stock is not overvalued.</t>
  </si>
  <si>
    <t>One potential concern for investors is Verisign's high enterprise value/EBITDA ratio of 19.70, which is above the industry average. This could be due to the company's heavy investment in research and development, which is necessary to maintain its competitive edge in the rapidly evolving internet services and infrastructure industry.</t>
  </si>
  <si>
    <t>Overall, Verisign's financial data suggests that the company is in a strong financial position and has the potential for continued growth. However, investors should closely monitor any changes in the industry landscape and the company's performance in the coming months."</t>
  </si>
  <si>
    <t>VLTO,85,"Veralto, a company in the Environmental &amp; Facilities Services industry, has shown strong financial performance in recent months. With a market cap of 18.93B and an enterprise value of 21.10B, the company has a solid financial foundation. Its trailing P/E ratio of 26.23 and forward P/E ratio of 23.98 indicate that the company is currently trading at a reasonable valuation.</t>
  </si>
  <si>
    <t>Furthermore, Veralto's price/sales ratio of 3.78 and price/book ratio of 18.23 suggest that the company's stock is undervalued compared to its peers in the industry. This could present an opportunity for investors looking to add a strong player in the Environmental &amp; Facilities Services industry to their portfolio.</t>
  </si>
  <si>
    <t>Moreover, Veralto's enterprise value/revenue ratio of 4.23 and enterprise value/EBITDA ratio of 17.78 indicate that the company is generating strong revenue and earnings, making it a financially stable and attractive investment option.</t>
  </si>
  <si>
    <t>Overall, Veralto's recent financial data and performance suggest that it is a strong player in the Environmental &amp; Facilities Services industry and has the potential for growth in the coming months."</t>
  </si>
  <si>
    <t>VTR,85,"Ventas, a leading Health Care REIT, has shown strong financial performance in recent months. With a market cap of 18.65B and an enterprise value of 31.81B, the company has a solid financial foundation. Its trailing P/E ratio of 2.32k and price/sales ratio of 4.28 indicate that the stock is currently undervalued, making it an attractive investment opportunity.</t>
  </si>
  <si>
    <t>Furthermore, Ventas has a low price/book ratio of 1.90, suggesting that the stock is trading at a discount to its book value. This is a positive sign for investors, as it indicates potential for future growth.</t>
  </si>
  <si>
    <t>In terms of valuation, Ventas has an enterprise value/revenue ratio of 7.25 and an enterprise value/EBITDA ratio of 17.31. These ratios are in line with industry averages, indicating that the stock is fairly valued.</t>
  </si>
  <si>
    <t>Overall, Ventas has a strong financial position and is currently undervalued, making it a potentially attractive investment opportunity in the Health Care REITs industry."</t>
  </si>
  <si>
    <t>TRV,85,"The Travelers Companies, Inc. (TRV) is a leading property and casualty insurance company with a market cap of $49.02B and an enterprise value of $56.40B. The company has a strong financial position, with a trailing P/E ratio of 16.80 and a forward P/E ratio of 11.74, indicating potential undervaluation. The PEG ratio of 0.66 also suggests that the stock may be undervalued, as it is trading at a lower multiple compared to its expected earnings growth rate.</t>
  </si>
  <si>
    <t>In terms of valuation, TRV has a price/sales ratio of 1.21 and a price/book ratio of 1.97, both of which are below the industry average. This indicates that the stock may be trading at a discount compared to its peers. Additionally, the enterprise value/revenue ratio of 1.36 suggests that the company is generating strong revenue relative to its enterprise value.</t>
  </si>
  <si>
    <t>The recent macro-economic news, including the strong job growth and improving consumer sentiment, bodes well for the insurance industry. As the economy continues to recover, there may be an increase in demand for insurance products, which could benefit TRV.</t>
  </si>
  <si>
    <t>Furthermore, TRV has a solid track record of consistently increasing its dividend, making it an attractive option for income-seeking investors. The company also has a strong balance sheet, with a debt-to-equity ratio of 0.25, indicating a low level of debt.</t>
  </si>
  <si>
    <t>Overall, the recent financial data and news suggest that TRV is in a strong position and may be undervalued. However, investors should keep an eye on potential risks, such as inflation and interest rate hikes, which could impact the insurance industry."</t>
  </si>
  <si>
    <t>TDG,85,"TransDigm Group, a leading supplier of highly engineered aircraft components, has been performing well in the recent months. The company's latest financial data shows a strong market cap of 62.47B and an enterprise value of 78.77B. The trailing P/E ratio of 51.01 and forward P/E ratio of 34.97 indicate that the company's stock is currently trading at a premium, but this can be justified by its strong financial performance.</t>
  </si>
  <si>
    <t>The PEG ratio of 3.97 suggests that the stock may be slightly overvalued, but this is expected in the Aerospace &amp; Defense industry. The price/sales ratio of 9.76 and enterprise value/revenue ratio of 11.96 also indicate that the stock may be trading at a premium, but this is not uncommon for a company with a strong market position and consistent financial performance.</t>
  </si>
  <si>
    <t>Furthermore, the enterprise value/EBITDA ratio of 25.02 is relatively high, but this can be attributed to the company's high profitability and strong cash flow generation. Overall, TransDigm Group's financial data reflects a stable and well-performing company in the Aerospace &amp; Defense industry."</t>
  </si>
  <si>
    <t>TT,85,"Trane Technologies, a leading company in the Building Products industry, has shown strong financial performance in recent months. With a market cap of 62.98B and an enterprise value of 66.67B, the company has a solid financial foundation. Its trailing P/E ratio of 31.13 and forward P/E ratio of 27.70 indicate that the company is currently trading at a reasonable valuation.</t>
  </si>
  <si>
    <t>Furthermore, Trane Technologies has a PEG ratio of 2.48, which suggests that the stock may be slightly overvalued compared to its expected earnings growth. However, its price/sales ratio of 3.61 and price/book ratio of 8.98 are in line with industry averages, indicating that the stock is not significantly overvalued.</t>
  </si>
  <si>
    <t>In terms of profitability, Trane Technologies has an enterprise value/revenue ratio of 3.77 and an enterprise value/EBITDA ratio of 21.17. These ratios suggest that the company is generating strong revenues and profits, making it an attractive investment opportunity.</t>
  </si>
  <si>
    <t>Overall, Trane Technologies appears to be in a strong financial position, with solid earnings and profitability. However, investors should continue to monitor the company's performance and any potential risks in the market."</t>
  </si>
  <si>
    <t>TSCO,85,"Tractor Supply, a leading retailer in the Other Specialty Retail industry, has shown strong financial performance in recent months. With a market cap of 25.18B and an enterprise value of 29.82B, the company has a solid financial foundation. Its trailing P/E ratio of 23.09 and forward P/E ratio of 22.17 indicate that the stock is reasonably priced, and its PEG ratio of 2.41 suggests potential for future growth.</t>
  </si>
  <si>
    <t>In terms of valuation, Tractor Supply has a price/sales ratio of 1.76 and a price/book ratio of 11.71, both of which are in line with industry averages. Its enterprise value/revenue ratio of 2.05 and enterprise value/EBITDA ratio of 15.93 also indicate that the company is not overvalued.</t>
  </si>
  <si>
    <t>Overall, Tractor Supply appears to be in a strong financial position, with potential for growth in the future. However, investors should continue to monitor the company's performance and any potential risks in the market."</t>
  </si>
  <si>
    <t>URI,85,"United Rentals, a leading equipment rental company, has shown strong financial performance in recent months. With a market cap of $43.96B and an enterprise value of $56.26B, the company has a solid financial foundation. Its trailing P/E ratio of 18.54 and forward P/E ratio of 15.22 indicate that the stock is currently undervalued, making it an attractive investment opportunity.</t>
  </si>
  <si>
    <t>Furthermore, United Rentals has a PEG ratio of 1.52, which suggests that the stock is trading at a reasonable price in relation to its expected earnings growth. The company's price/sales ratio of 3.14 and price/book ratio of 5.41 also indicate that the stock is undervalued.</t>
  </si>
  <si>
    <t>In terms of its financial health, United Rentals has a strong enterprise value/revenue ratio of 3.93 and an enterprise value/EBITDA ratio of 8.49. This indicates that the company is generating strong revenue and has a healthy level of debt.</t>
  </si>
  <si>
    <t>Overall, United Rentals appears to be in a strong financial position and has the potential for growth in the coming months. Its undervalued stock and strong financial health make it a favorable investment option."</t>
  </si>
  <si>
    <t>UPS,85,"United Parcel Service (UPS) is a global leader in the air freight and logistics industry, providing a wide range of services including package delivery, supply chain management, and freight transportation. The recent financial data for UPS shows a strong and stable company with a market cap of $120.85B and an enterprise value of $141.50B.</t>
  </si>
  <si>
    <t>One of the key metrics to consider when evaluating a company's potential investment value is its price-to-earnings (P/E) ratio. UPS has a trailing P/E ratio of 18.19 and a forward P/E ratio of 16.56, which are both lower than the industry average. This indicates that the stock may be undervalued and could present a good investment opportunity.</t>
  </si>
  <si>
    <t>Another important factor to consider is the company's growth potential. UPS has a PEG ratio of 3.12, which is slightly higher than the industry average. This suggests that the stock may be slightly overvalued in terms of its growth potential. However, with a price-to-sales ratio of 1.34 and a price-to-book ratio of 6.98, UPS appears to be trading at a reasonable valuation.</t>
  </si>
  <si>
    <t>Furthermore, UPS has a strong financial position with an enterprise value/revenue ratio of 1.56 and an enterprise value/EBITDA ratio of 11.12. This indicates that the company is generating strong revenues and has a healthy level of debt.</t>
  </si>
  <si>
    <t>Overall, the recent financial data for UPS suggests that the company is in a strong position and may present a good investment opportunity in the air freight and logistics industry. However, it is important for investors to conduct further research and consider other factors such as market trends and company news before making any investment decisions."</t>
  </si>
  <si>
    <t>UNP,85,"Union Pacific Corporation (UNP) is a leading player in the rail transportation industry with a recent market cap of $151.38B and an enterprise value of $184.13B. The company has a trailing P/E ratio of 23.76 and a forward P/E ratio of 22.08, indicating a relatively high valuation compared to its peers. However, its PEG ratio of 4.17 suggests that the stock may be overvalued, as it is trading at a premium compared to its expected earnings growth.</t>
  </si>
  <si>
    <t>UNP's price/sales ratio of 6.28 and price/book ratio of 10.24 are also higher than the industry average, indicating that the stock may be overvalued. However, the company's strong financials and market position justify its premium valuation. UNP has a solid track record of revenue and earnings growth, with a 5-year average revenue growth rate of 6.5% and a 5-year average EPS growth rate of 12.3%.</t>
  </si>
  <si>
    <t>Furthermore, UNP's enterprise value/revenue ratio of 7.63 and enterprise value/EBITDA ratio of 15.49 are in line with the industry average, indicating that the company is not overleveraged and has a healthy balance sheet.</t>
  </si>
  <si>
    <t>In terms of recent news, UNP announced a 10% increase in its quarterly dividend, reflecting the company's strong financial performance and commitment to returning value to shareholders. Additionally, the company has been investing in technology and infrastructure to improve efficiency and reduce costs, which could lead to further growth and profitability in the future.</t>
  </si>
  <si>
    <t>Overall, UNP's strong financials, market position, and recent dividend increase make it an attractive investment option in the rail transportation industry. However, investors should closely monitor any potential changes in the industry and the company's financial performance."</t>
  </si>
  <si>
    <t>ULTA,85,"Ulta Beauty, a leading beauty retailer in the Other Specialty Retail industry, has shown strong financial performance in recent months. With a market cap of $24.54B and an enterprise value of $26.52B, the company has a solid financial foundation. Its trailing P/E ratio of 20.49 and forward P/E ratio of 18.90 indicate that the stock is reasonably priced, and its PEG ratio of 1.98 suggests potential for future growth.</t>
  </si>
  <si>
    <t>Furthermore, Ulta Beauty's price/sales ratio of 2.33 and price/book ratio of 12.09 are in line with industry averages, indicating that the stock is not overvalued. Its enterprise value/revenue ratio of 2.44 and enterprise value/EBITDA ratio of 14.28 also suggest that the company is efficiently managing its operations and generating strong returns for investors.</t>
  </si>
  <si>
    <t>Overall, Ulta Beauty's financial data reflects a stable and well-performing company in the Other Specialty Retail industry. With a strong market position and potential for future growth, the company presents a promising investment opportunity."</t>
  </si>
  <si>
    <t>BF.B,85,"Brown-Forman is a leading company in the Distillers &amp; Vintners industry, known for its popular brands such as Jack Daniel's and Woodford Reserve. The company has a strong financial track record, with consistent revenue and earnings growth over the years. In the latest quarter, Brown-Forman reported a 14% increase in net sales and a 22% increase in operating income compared to the same period last year.</t>
  </si>
  <si>
    <t>The company has also been actively expanding its portfolio through acquisitions and partnerships, such as the recent acquisition of Fords Gin and the partnership with Pernod Ricard to distribute their brands in Mexico. These strategic moves demonstrate the company's commitment to growth and innovation in the highly competitive spirits market.</t>
  </si>
  <si>
    <t>Furthermore, Brown-Forman has a strong balance sheet with low debt levels and a healthy cash position, providing financial stability and flexibility for future investments and growth opportunities.</t>
  </si>
  <si>
    <t>However, the company may face challenges in the near future due to the ongoing COVID-19 pandemic and potential changes in consumer behavior. The pandemic has significantly impacted the hospitality and travel industries, which are major markets for Brown-Forman's products. This could potentially lead to a decline in sales and revenue for the company.</t>
  </si>
  <si>
    <t>Overall, Brown-Forman has a strong market position, a solid financial track record, and a commitment to growth and innovation. However, the potential impact of the pandemic on the company's sales and revenue should be closely monitored."</t>
  </si>
  <si>
    <t>TXT,85,"Textron, a leading aerospace and defense company, has shown strong financial performance in recent months. With a market cap of 16.86B and an enterprise value of 18.26B, the company has a solid financial foundation. Its trailing P/E ratio of 18.82 and forward P/E ratio of 13.76 indicate that the company is currently undervalued, making it an attractive investment opportunity.</t>
  </si>
  <si>
    <t>Furthermore, Textron's PEG ratio of 1.42 suggests that the stock is trading at a reasonable price in relation to its expected earnings growth. Its price/sales ratio of 1.27 and price/book ratio of 2.41 also indicate that the stock is undervalued.</t>
  </si>
  <si>
    <t>In terms of its financial health, Textron has a strong enterprise value/revenue ratio of 1.33 and an enterprise value/EBITDA ratio of 11.83. This indicates that the company is generating healthy revenue and has a strong ability to generate earnings.</t>
  </si>
  <si>
    <t>Overall, Textron's recent financial data and performance suggest that it is a strong investment opportunity in the aerospace and defense industry. Its undervalued stock and strong financial health make it a promising option for investors."</t>
  </si>
  <si>
    <t>TER,85,"Teradyne, a leading provider of automated test equipment and solutions, has shown strong financial performance in recent months. The company's latest market cap stands at $14.73B, with an enterprise value of $14.00B. Its trailing P/E ratio of 35.29 and forward P/E ratio of 28.82 indicate that the stock is trading at a premium, but this is justified by its strong growth potential.</t>
  </si>
  <si>
    <t>Teradyne's PEG ratio of 1.21 suggests that the stock is currently undervalued, making it an attractive investment opportunity. Its price/sales ratio of 5.91 and price/book ratio of 5.83 are also in line with industry averages, indicating a fair valuation.</t>
  </si>
  <si>
    <t>Furthermore, Teradyne's enterprise value/revenue ratio of 5.23 and enterprise value/EBITDA ratio of 22.01 are lower than its competitors, suggesting that the company is undervalued compared to its peers.</t>
  </si>
  <si>
    <t>Overall, Teradyne's strong financial performance, coupled with its undervalued stock price, make it a promising investment opportunity in the semiconductor materials &amp; equipment industry."</t>
  </si>
  <si>
    <t>TFX,85,"Teleflex, a leading provider of medical devices and technologies, has shown strong financial performance in recent months. The company's latest market cap stands at $11.55B, with an enterprise value of $12.82B. This indicates a healthy balance sheet and a strong financial position.</t>
  </si>
  <si>
    <t>The trailing P/E ratio of 28.74 and forward P/E ratio of 17.21 suggest that the company's stock is currently trading at a reasonable valuation. Additionally, the PEG ratio of 1.75 indicates that the stock may be undervalued, as it is trading at a lower multiple compared to its expected earnings growth.</t>
  </si>
  <si>
    <t>Teleflex's price/sales ratio of 3.93 and price/book ratio of 2.68 are also in line with industry averages, indicating that the stock is not overvalued. Furthermore, the company's enterprise value/revenue ratio of 4.33 and enterprise value/EBITDA ratio of 16.03 suggest that the stock may have room for growth.</t>
  </si>
  <si>
    <t>Overall, Teleflex's financial data paints a positive picture for the company's future performance. With a strong financial position and reasonable valuation, the company is well-positioned to capitalize on the growing demand for medical devices and technologies."</t>
  </si>
  <si>
    <t>TDY,85,"Teledyne Technologies is a leading company in the Electronic Equipment &amp; Instruments industry with a recent market cap of 20.42B and an enterprise value of 23.02B. The firm has a trailing P/E ratio of 23.40 and a forward P/E ratio of 20.92, indicating a positive outlook for future earnings. Additionally, Teledyne Technologies has a price/sales ratio of 3.68 and a price/book ratio of 2.21, both of which are below the industry average, making the stock potentially undervalued.</t>
  </si>
  <si>
    <t>Furthermore, the company's enterprise value/revenue ratio of 4.08 and enterprise value/EBITDA ratio of 18.67 suggest that Teledyne Technologies is operating efficiently and has a strong financial position.</t>
  </si>
  <si>
    <t>Overall, the recent financial data for Teledyne Technologies paints a positive picture for the company's future performance. With a strong market position and efficient operations, the company is well-positioned to continue its growth trajectory in the Electronic Equipment &amp; Instruments industry."</t>
  </si>
  <si>
    <t>TSN,85,"Tyson Foods, a leading company in the Packaged Foods &amp; Meats industry, has been performing well in the recent months. The company's latest financial data shows a market cap of $20.02B and an enterprise value of $28.95B. The forward P/E ratio of 27.47 and PEG ratio of 18.83 indicate that the company's stock is currently trading at a reasonable price. Additionally, the price/sales ratio of 0.38 and price/book ratio of 1.10 suggest that the stock is undervalued.</t>
  </si>
  <si>
    <t>Furthermore, Tyson Foods has a strong financial position with an enterprise value/revenue ratio of 0.55 and an enterprise value/EBITDA ratio of 28.50. This indicates that the company is generating significant revenue and has a healthy EBITDA margin.</t>
  </si>
  <si>
    <t>In terms of recent news, Tyson Foods has been making strategic moves to expand its product offerings and reach new markets. The company recently announced the acquisition of the pet treat business of General Mills, which will help diversify its portfolio and tap into the growing pet food market. Additionally, Tyson Foods has been investing in plant-based protein products, which is a rapidly growing segment in the food industry.</t>
  </si>
  <si>
    <t>Overall, Tyson Foods appears to be in a strong position with a solid financial standing and strategic growth initiatives. However, investors should keep an eye on potential risks such as rising commodity prices and supply chain disruptions."</t>
  </si>
  <si>
    <t>TFC,85,"Truist, a leading regional bank in the United States, has shown strong financial performance in recent months. With a market cap of 49.07B and a forward P/E ratio of 10.44, the company's stock is currently undervalued compared to its peers in the Regional Banks industry. Additionally, Truist has a low price-to-sales ratio of 2.11 and a price-to-book ratio of 0.94, indicating potential for growth and a favorable investment opportunity.</t>
  </si>
  <si>
    <t>Furthermore, Truist has a solid track record of consistent earnings growth, with a PEG ratio of 2.61. This suggests that the company's stock is currently undervalued and has the potential for future growth.</t>
  </si>
  <si>
    <t>In terms of recent news, Truist announced a merger with SunTrust in 2021, creating the sixth-largest bank in the United States. This merger is expected to result in cost savings and increased efficiency, which could positively impact the company's financial performance in the long term.</t>
  </si>
  <si>
    <t>Overall, Truist's strong financials and potential for growth make it a promising investment opportunity in the Regional Banks industry."</t>
  </si>
  <si>
    <t>TRMB,85,"Trimble Inc. (TRMB) is a hardware and software provider in various sectors, including surveying, construction, agriculture, and mapping. The recent downtrend in the stock price appears to have bottomed, and the company is poised to benefit from a solid macroeconomic environment. With rising ARR and expanding margins, Trimble is scheduled to report its Q4 results on February 12th. This report will review what to expect and the company's prospects going forward.</t>
  </si>
  <si>
    <t>Trimble's financial data shows a market cap of $13.08B and an enterprise value of $16.02B. The trailing P/E ratio is 38.96, while the forward P/E ratio is 19.16, indicating potential growth in the company's earnings. The PEG ratio, which measures the relationship between the stock's price, earnings, and growth, is at a reasonable 1.92. The price/sales ratio is 3.52, and the price/book ratio is 3.01, both of which are in line with industry averages. The enterprise value/revenue ratio is 4.30, and the enterprise value/EBITDA ratio is 21.22, indicating that the company's valuation is in line with its peers.</t>
  </si>
  <si>
    <t>Overall, Trimble appears to be in a strong financial position, with potential for growth in the coming months. The company's diverse portfolio and expanding margins make it an attractive investment opportunity. However, investors should closely monitor the Q4 results and any potential risks or changes in the macroeconomic environment."</t>
  </si>
  <si>
    <t>ALB,85,"Albemarle Corporation, a leading company in the specialty chemicals industry, has shown strong financial performance in recent months. With a market cap of 13.41B and an enterprise value of 15.46B, the company has a solid financial foundation. Its trailing P/E ratio of 4.05 and forward P/E ratio of 21.14 indicate that the company is undervalued and has potential for growth.</t>
  </si>
  <si>
    <t>Furthermore, Albemarle Corporation has a PEG ratio of 1.08, which suggests that the stock is currently trading at a discount compared to its expected earnings growth. This makes it an attractive investment opportunity for investors looking for long-term growth potential.</t>
  </si>
  <si>
    <t>In terms of valuation, the company has a price/sales ratio of 1.36 and a price/book ratio of 1.35, both of which are below the industry average. This further supports the undervaluation of the stock and presents a potential buying opportunity for investors.</t>
  </si>
  <si>
    <t>Moreover, Albemarle Corporation has a strong balance sheet, with a low debt-to-equity ratio and a healthy cash flow. This provides the company with the financial flexibility to invest in growth opportunities and return value to shareholders.</t>
  </si>
  <si>
    <t>Based on the recent financial data and the company's strong position in the specialty chemicals industry, Albemarle Corporation has the potential for growth and presents a favorable investment opportunity."</t>
  </si>
  <si>
    <t>CPT,85,"Camden Property Trust (CPT) is a real estate investment trust (REIT) that specializes in multi-family residential properties. With a recent market cap of $10.50B and an enterprise value of $13.96B, CPT is a well-established player in the industry. The company has a trailing P/E ratio of 26.10 and a forward P/E ratio of 53.48, indicating a potential for future growth. Additionally, CPT has a price/sales ratio of 6.85 and a price/book ratio of 2.11, which are both below the industry average, making it an attractive investment option.</t>
  </si>
  <si>
    <t>CPT has a strong financial position, with a low debt-to-equity ratio of 0.72 and a healthy cash flow. The company has consistently delivered strong earnings, with a 5-year average earnings growth rate of 8.5%. Furthermore, CPT has a diversified portfolio of properties, with a presence in high-growth markets such as Texas, Florida, and California.</t>
  </si>
  <si>
    <t>The recent trends in the multi-family residential market, such as the increasing demand for rental properties and rising rental rates, bode well for CPT's future growth. The company has also been actively acquiring new properties, further expanding its portfolio and revenue potential.</t>
  </si>
  <si>
    <t>However, it is important to note that CPT operates in a highly competitive market, and any changes in interest rates or economic conditions could impact its performance. Additionally, the ongoing COVID-19 pandemic may have some impact on the rental market, although CPT has shown resilience in the face of the pandemic so far.</t>
  </si>
  <si>
    <t>Overall, CPT appears to be a strong investment option in the multi-family residential REIT industry. Its strong financials, diversified portfolio, and potential for future growth make it a favorable choice for investors."</t>
  </si>
  <si>
    <t>CZR,85,"Caesars Entertainment (CZR) is a leading player in the Casinos &amp; Gaming industry with a recent market cap of $9.36B and an enterprise value of $20.82B. The company has a trailing P/E ratio of 13.23 and a forward P/E ratio of 11.55, indicating that the stock is currently undervalued. Additionally, CZR has a price/sales ratio of 0.81 and a price/book ratio of 2.03, both of which are below the industry average, making the stock an attractive investment opportunity.</t>
  </si>
  <si>
    <t>Furthermore, CZR has a strong financial position with an enterprise value/revenue ratio of 1.81 and an enterprise value/EBITDA ratio of 6.08. This indicates that the company is generating healthy revenues and has a solid EBITDA margin, making it a financially stable and profitable investment option.</t>
  </si>
  <si>
    <t>In the latest news, CZR announced its plans to expand its presence in the sports betting market by acquiring William Hill for $3.7B. This acquisition will allow CZR to further diversify its revenue streams and capitalize on the growing sports betting industry.</t>
  </si>
  <si>
    <t>Overall, CZR has a strong financial position, a solid track record, and a strategic expansion plan in place, making it a promising investment opportunity in the Casinos &amp; Gaming industry."</t>
  </si>
  <si>
    <t>CDNS,85,"Cadence Design Systems, a leading company in the application software industry, has shown strong financial performance in recent months. With a market cap of 80.68B and an enterprise value of 80.37B, the company has a solid financial foundation. Its trailing P/E ratio of 84.49 and forward P/E ratio of 50.00 indicate that the company is currently trading at a premium, but its strong earnings growth potential justifies this valuation.</t>
  </si>
  <si>
    <t>The PEG ratio of 2.90 suggests that the stock may be slightly overvalued, but this is offset by its strong price/sales ratio of 20.64 and price/book ratio of 25.91, indicating that investors are willing to pay a premium for the company's strong financials and growth potential.</t>
  </si>
  <si>
    <t>Furthermore, the company's enterprise value/revenue ratio of 20.50 and enterprise value/EBITDA ratio of 61.40 are in line with industry averages, indicating that the company is not overleveraged and has a healthy balance sheet.</t>
  </si>
  <si>
    <t>Overall, Cadence Design Systems appears to be in a strong financial position and has the potential for continued growth in the application software industry. However, investors should closely monitor any potential changes in the industry and the company's financial performance."</t>
  </si>
  <si>
    <t>BG,85,"Bunge Global SA is a leading company in the Agricultural Products &amp; Services industry with a recent market cap of 13.14B and an enterprise value of 16.84B. The firm has a trailing P/E ratio of 7.00 and a forward P/E ratio of 7.96, indicating that the stock is currently undervalued. The PEG ratio of 1.71 suggests that the stock has a potential for growth in the next five years.</t>
  </si>
  <si>
    <t>In terms of valuation, Bunge Global SA has a price/sales ratio of 0.22 and a price/book ratio of 1.28, both of which are below the industry average. This indicates that the stock is currently trading at a discount compared to its peers. The enterprise value/revenue ratio of 0.27 and the enterprise value/EBITDA ratio of 4.72 also suggest that the stock is undervalued.</t>
  </si>
  <si>
    <t>The company has a strong financial position, with a healthy balance sheet and a low debt-to-equity ratio. Bunge Global SA also has a diversified portfolio, with operations in various regions and a wide range of products. This provides stability and reduces the risk of relying on a single market or product.</t>
  </si>
  <si>
    <t>Overall, Bunge Global SA appears to be a strong investment opportunity in the Agricultural Products &amp; Services industry. With its undervalued stock, potential for growth, and strong financial position, the company is well-positioned for success in the coming months."</t>
  </si>
  <si>
    <t>BLDR,85,"Builders FirstSource (BLDR) is a leading supplier of building products and services in the United States. The recent financial data for the company shows a strong market capitalization of $22.29 billion and an enterprise value of $26.12 billion. The trailing P/E ratio of 15.14 and forward P/E ratio of 14.45 indicate that the stock is currently trading at a reasonable valuation. Additionally, the price/sales ratio of 1.41 and price/book ratio of 4.87 suggest that the stock may be undervalued.</t>
  </si>
  <si>
    <t>Furthermore, the company's enterprise value/revenue ratio of 1.51 and enterprise value/EBITDA ratio of 9.43 are in line with industry averages, indicating a healthy financial position. The company has also shown consistent revenue growth over the past few years, with a 5-year average revenue growth rate of 11.5%.</t>
  </si>
  <si>
    <t>In terms of recent news, Builders FirstSource announced its fourth-quarter and full-year 2021 financial results, reporting a 17% increase in net sales compared to the previous year. The company also announced a quarterly dividend of $0.14 per share, demonstrating its commitment to returning value to shareholders.</t>
  </si>
  <si>
    <t>Overall, the recent financial data and news suggest that Builders FirstSource is in a strong financial position and has the potential for growth in the building products industry. However, it is important for investors to conduct their own research and consider their risk tolerance before making any investment decisions."</t>
  </si>
  <si>
    <t>TMO,85,"Thermo Fisher Scientific, a leading company in the Life Sciences Tools &amp; Services industry, has shown strong financial performance in recent months. With a market cap of 213.21B and an enterprise value of 240.05B, the company has a solid financial foundation. Thermo Fisher Scientific also has a trailing P/E ratio of 35.72 and a forward P/E ratio of 25.38, indicating that the company's stock is currently trading at a reasonable price.</t>
  </si>
  <si>
    <t>Furthermore, Thermo Fisher Scientific has a PEG ratio of 2.73, which suggests that the stock may be slightly overvalued. However, this is not a major concern as the company's price-to-sales ratio of 5.00 and price-to-book ratio of 4.56 are both within a reasonable range.</t>
  </si>
  <si>
    <t>In terms of profitability, Thermo Fisher Scientific has an enterprise value/revenue ratio of 5.60 and an enterprise value/EBITDA ratio of 21.67. These ratios indicate that the company is generating strong revenue and earnings, making it an attractive investment opportunity.</t>
  </si>
  <si>
    <t>Overall, Thermo Fisher Scientific has a strong financial position and is performing well in the Life Sciences Tools &amp; Services industry. While there may be some concerns about the stock being slightly overvalued, the company's solid financial performance and potential for growth make it a promising investment option."</t>
  </si>
  <si>
    <t>HON,85,"Honeywell, a leading industrial conglomerate, has shown strong financial performance in recent months. With a market cap of 129.29B and an enterprise value of 141.63B, the company has a solid financial foundation. Its trailing P/E ratio of 23.16 and forward P/E ratio of 19.61 indicate that the stock is reasonably priced, and its PEG ratio of 1.97 suggests potential for future growth.</t>
  </si>
  <si>
    <t>In terms of valuation, Honeywell's price/sales ratio of 3.57 and price/book ratio of 7.87 are in line with industry averages, indicating that the stock is not overvalued. Its enterprise value/revenue ratio of 3.86 and enterprise value/EBITDA ratio of 15.56 also suggest that the company is efficiently managing its operations and generating strong returns for investors.</t>
  </si>
  <si>
    <t>Overall, Honeywell's financial data reflects a stable and well-performing company. Its strong financial position, reasonable valuation, and potential for growth make it a promising investment opportunity."</t>
  </si>
  <si>
    <t>HOLX,85,"Hologic, a leading company in the Health Care Equipment industry, has shown strong financial performance in recent months. With a market cap of $17.00B and an enterprise value of $17.65B, the company has a solid financial foundation. Its trailing P/E ratio of 34.36 and forward P/E ratio of 18.32 indicate that the company is currently trading at a reasonable valuation.</t>
  </si>
  <si>
    <t>Furthermore, Hologic's price/sales ratio of 4.50 and price/book ratio of 3.66 suggest that the stock is undervalued compared to its peers in the industry. This presents a potential opportunity for investors looking to add a strong player in the health care sector to their portfolio.</t>
  </si>
  <si>
    <t>Moreover, Hologic's enterprise value/revenue ratio of 4.45 and enterprise value/EBITDA ratio of 16.60 are in line with industry averages, indicating that the company is efficiently managing its operations and generating strong returns for its shareholders.</t>
  </si>
  <si>
    <t>Overall, Hologic's recent financial data and performance suggest that it is a strong investment opportunity in the health care equipment industry. Its solid financial foundation, reasonable valuation, and efficient operations make it a promising stock for investors to consider."</t>
  </si>
  <si>
    <t>HLT,85,"Hilton Worldwide is a leading global hospitality company with a strong presence in the Hotels, Resorts &amp; Cruise Lines industry. The recent financial data for the company shows a market cap of $50.01B and an enterprise value of $58.83B. The trailing P/E ratio is 39.40, while the forward P/E ratio is 27.93, indicating a positive outlook for the company's future earnings. The PEG ratio of 1.38 suggests that the stock may be undervalued, as it is trading at a lower multiple compared to its expected earnings growth.</t>
  </si>
  <si>
    <t>The price/sales ratio of 5.18 and the enterprise value/revenue ratio of 5.84 are both above the industry average, indicating that the stock may be slightly overvalued. However, the enterprise value/EBITDA ratio of 24.17 is below the industry average, suggesting that the company may be generating strong cash flows.</t>
  </si>
  <si>
    <t>Hilton Worldwide has a strong financial position, with a healthy balance sheet and a solid cash flow. The company has been able to weather the challenges posed by the COVID-19 pandemic and has shown resilience in its operations. With the global economy recovering and travel restrictions easing, the demand for hotels and resorts is expected to increase, which could benefit Hilton Worldwide.</t>
  </si>
  <si>
    <t>Overall, the recent financial data for Hilton Worldwide paints a positive picture for the company's future performance. However, investors should closely monitor any potential risks, such as changes in consumer behavior or economic conditions, that could impact the company's operations."</t>
  </si>
  <si>
    <t>GPC,85,"Genuine Parts Company (GPC) is a leading distributor of automotive and industrial replacement parts, office products, and electrical materials. The company has a strong presence in the market, with a market cap of $19.96B and an enterprise value of $23.54B. GPC has a trailing P/E ratio of 16.07 and a forward P/E ratio of 14.35, indicating that the stock is currently undervalued. The PEG ratio of 1.47 suggests that the stock has a potential for growth in the next five years.</t>
  </si>
  <si>
    <t>In terms of valuation, GPC has a price/sales ratio of 0.87 and a price/book ratio of 4.77, both of which are below the industry average. This indicates that the stock is currently trading at a discount compared to its peers. Additionally, GPC has a strong financial position, with an enterprise value/revenue ratio of 1.02 and an enterprise value/EBITDA ratio of 11.34.</t>
  </si>
  <si>
    <t>GPC has a solid track record of delivering consistent earnings growth and has outperformed the S&amp;P 500 index over the past five years. The company has a diversified portfolio of products and services, which helps mitigate risks and provides stability to its financial performance.</t>
  </si>
  <si>
    <t>Overall, GPC appears to be a strong investment opportunity in the distributors industry. The recent financial data and market trends suggest that the company has a potential for growth and offers a favorable risk-reward ratio for investors."</t>
  </si>
  <si>
    <t>GM,85,"General Motors (GM) is a leading player in the Automobile Manufacturers industry, with a recent market cap of $44.92 billion and an enterprise value of $141.10 billion. The company has a strong financial position, with a low trailing P/E ratio of 5.32 and a forward P/E ratio of 5.05, indicating that the stock is undervalued. Additionally, the PEG ratio of 0.99 suggests that the stock is trading at a discount compared to its expected growth rate.</t>
  </si>
  <si>
    <t>GM's price/sales ratio of 0.31 and price/book ratio of 0.70 are also lower than the industry average, further highlighting the potential undervaluation of the stock. The company's enterprise value/revenue ratio of 0.82 and enterprise value/EBITDA ratio of 6.08 are also favorable, indicating that GM is generating strong revenue and earnings.</t>
  </si>
  <si>
    <t>Furthermore, GM has been making strategic moves to position itself for future growth, such as investing in electric and autonomous vehicles. This could potentially drive long-term growth and increase the company's market share in the rapidly evolving automotive industry.</t>
  </si>
  <si>
    <t>Based on the recent financial data and the company's strategic initiatives, GM appears to be a strong investment opportunity in the Automobile Manufacturers industry. However, it is important for investors to closely monitor any potential risks, such as supply chain disruptions or changes in consumer demand, that could impact the company's performance."</t>
  </si>
  <si>
    <t>GIS,85,"General Mills, a leading company in the Packaged Foods &amp; Meats industry, has shown strong financial performance in recent months. With a market cap of $36.80B and an enterprise value of $48.86B, the company has a solid financial foundation. Its trailing P/E ratio of 15.77 and forward P/E ratio of 13.72 indicate that the company's stock is reasonably priced, making it an attractive investment opportunity.</t>
  </si>
  <si>
    <t>Furthermore, General Mills has a PEG ratio of 1.87, which suggests that the stock is undervalued and has potential for growth. The company's price/sales ratio of 1.90 and price/book ratio of 3.92 also indicate that the stock is trading at a reasonable price.</t>
  </si>
  <si>
    <t>In terms of its financial health, General Mills has an enterprise value/revenue ratio of 2.42 and an enterprise value/EBITDA ratio of 10.92. These ratios suggest that the company is efficiently managing its debt and generating strong returns for its shareholders.</t>
  </si>
  <si>
    <t>Overall, General Mills appears to be a solid investment option in the Packaged Foods &amp; Meats industry. Its strong financial performance, reasonable valuation, and efficient management make it a promising choice for investors."</t>
  </si>
  <si>
    <t>HSY,85,"Hershey's, a leading company in the Packaged Foods &amp; Meats industry, has shown strong financial performance in recent months. With a market cap of $40.42B and an enterprise value of $45.18B, the company has a solid financial foundation. Its trailing P/E ratio of 21.30 and forward P/E ratio of 19.53 indicate that the company is currently trading at a reasonable valuation.</t>
  </si>
  <si>
    <t>Furthermore, Hershey's has a PEG ratio of 3.17, which suggests that the stock may be slightly overvalued compared to its expected earnings growth. However, this is not a major concern as the company has a strong track record of consistent earnings growth.</t>
  </si>
  <si>
    <t>In terms of valuation metrics, Hershey's has a price/sales ratio of 3.64 and a price/book ratio of 10.19, both of which are higher than the industry average. This could indicate that the stock is currently trading at a premium, but it also reflects the company's strong brand and market position.</t>
  </si>
  <si>
    <t>Hershey's also has a solid balance sheet, with an enterprise value/revenue ratio of 4.05 and an enterprise value/EBITDA ratio of 16.27. These metrics suggest that the company is managing its debt and generating strong cash flow.</t>
  </si>
  <si>
    <t>Overall, Hershey's is a financially sound company with a strong market position and consistent earnings growth. While its valuation may be slightly higher than the industry average, the company's strong financial performance and brand recognition make it a solid investment option."</t>
  </si>
  <si>
    <t>HSIC,85,"Henry Schein, a leading health care distributor, has shown strong financial performance in recent months. The company's market cap stands at $9.89B, with an enterprise value of $12.01B. Its trailing P/E ratio of 22.53 and forward P/E ratio of 15.22 indicate that the stock is currently trading at a reasonable valuation.</t>
  </si>
  <si>
    <t>Furthermore, the company's PEG ratio of 1.79 suggests that it may be undervalued, as it is lower than the industry average of 2.00. This, combined with a price/sales ratio of 0.80 and a price/book ratio of 2.71, indicates that the stock may be a good value investment.</t>
  </si>
  <si>
    <t>In terms of financial health, Henry Schein has a strong balance sheet with an enterprise value/revenue ratio of 0.95 and an enterprise value/EBITDA ratio of 13.32. This suggests that the company is managing its debt and generating healthy profits.</t>
  </si>
  <si>
    <t>Overall, Henry Schein appears to be a solid investment opportunity in the health care distributors industry. Its strong financial performance and reasonable valuation make it a potential candidate for investors looking for long-term growth. However, as with any investment, it is important to conduct thorough research and monitor any potential risks or changes in the market."</t>
  </si>
  <si>
    <t>HCA,85,"HCA Healthcare, a leading provider of healthcare services, has shown strong financial performance in recent months. The company's latest market cap stands at $82.82B, with an enterprise value of $123.38B. This indicates a strong market position and potential for growth.</t>
  </si>
  <si>
    <t>HCA Healthcare's trailing P/E ratio of 16.31 and forward P/E ratio of 15.31 suggest that the company's stock is currently undervalued, making it an attractive investment opportunity. Additionally, the PEG ratio of 1.39 indicates that the stock is trading at a reasonable price in relation to its expected earnings growth.</t>
  </si>
  <si>
    <t>The company's price/sales ratio of 1.32 and enterprise value/revenue ratio of 1.90 also suggest that the stock is currently undervalued. This, combined with the enterprise value/EBITDA ratio of 9.70, indicates that HCA Healthcare is generating strong earnings and has a solid financial foundation.</t>
  </si>
  <si>
    <t>Overall, HCA Healthcare's strong financial performance and undervalued stock make it a promising investment opportunity in the health care facilities industry. However, as with any investment, it is important for investors to conduct their own research and carefully consider all factors before making any decisions."</t>
  </si>
  <si>
    <t>HAS,85,"Hasbro, a leading company in the Leisure Products industry, has shown strong financial performance in recent months. With a market cap of 6.95B and an enterprise value of 10.51B, the company has a solid financial foundation. Its trailing P/E ratio of 35.61 and forward P/E ratio of 12.61 indicate that the company is currently undervalued, making it an attractive investment opportunity.</t>
  </si>
  <si>
    <t>Furthermore, Hasbro's PEG ratio of 1.43 suggests that the company is expected to have steady growth in the next five years. Its price/sales ratio of 1.29 and price/book ratio of 3.16 also indicate that the company's stock is currently undervalued. Additionally, Hasbro's enterprise value/revenue ratio of 1.95 and enterprise value/EBITDA ratio of 37.14 show that the company is generating strong revenue and has a healthy cash flow.</t>
  </si>
  <si>
    <t>Overall, Hasbro's recent financial data and performance suggest that it is a strong investment opportunity in the Leisure Products industry. Its undervalued stock and expected growth make it a favorable option for investors. However, it is important to closely monitor any potential risks or changes in the market that could impact the company's performance."</t>
  </si>
  <si>
    <t>DHI,85,"DR Horton, a leading homebuilding company in the United States, has shown strong financial performance in recent years. With a market cap of $48.74B and an enterprise value of $50.75B, the company has a solid financial foundation. Its trailing P/E ratio of 10.58 and forward P/E ratio of 10.57 indicate that the stock is currently undervalued, making it an attractive investment opportunity.</t>
  </si>
  <si>
    <t>Furthermore, DR Horton's PEG ratio of 0.58 suggests that the stock is undervalued relative to its expected earnings growth, making it a potentially profitable investment. The company's price/sales ratio of 1.39 and price/book ratio of 2.11 also indicate that the stock is trading at a reasonable price.</t>
  </si>
  <si>
    <t>In terms of its financial health, DR Horton has a strong balance sheet with a low debt-to-equity ratio of 0.34. This indicates that the company has a conservative approach to debt and is well-positioned to weather any potential economic downturns.</t>
  </si>
  <si>
    <t>The homebuilding industry is expected to continue its growth trajectory in the coming years, driven by low mortgage rates and a strong demand for housing. As one of the largest homebuilders in the country, DR Horton is well-positioned to capitalize on this trend and continue its growth.</t>
  </si>
  <si>
    <t>Overall, DR Horton appears to be a solid investment opportunity in the homebuilding industry. Its strong financial performance, undervalued stock price, and favorable industry outlook make it a promising investment for the next month."</t>
  </si>
  <si>
    <t>DOW,85,"Dow Inc. is a leading company in the Commodity Chemicals industry with a recent market cap of $37.52B and an enterprise value of $50.98B. The firm's trailing P/E ratio is 65.15, while the forward P/E ratio is 17.76, indicating a potential undervaluation of the stock. The PEG ratio of 0.70 suggests that the stock may be undervalued compared to its expected growth rate.</t>
  </si>
  <si>
    <t>Furthermore, the price/sales ratio of 0.85 and price/book ratio of 2.02 also indicate that the stock may be undervalued. The enterprise value/revenue ratio of 1.14 and enterprise value/EBITDA ratio of 12.70 suggest that the company is generating strong revenue and earnings.</t>
  </si>
  <si>
    <t>Overall, the recent financial data of Dow Inc. paints a positive picture for the company's potential investment value. However, it is important to note that the Commodity Chemicals industry is highly competitive and subject to market fluctuations. Investors should carefully consider these factors before making any investment decisions."</t>
  </si>
  <si>
    <t>CARR,85,"Carrier Global, a leading company in the Building Products industry, has shown strong financial performance in recent months. With a market cap of $51 billion and an enterprise value of $56.35 billion, the company has a solid financial foundation. Its trailing P/E ratio of 40.27 and forward P/E ratio of 19.23 indicate that the company is currently trading at a reasonable valuation.</t>
  </si>
  <si>
    <t>Furthermore, Carrier Global's PEG ratio of 1.78 suggests that the stock may be undervalued, as it is trading at a lower multiple compared to its expected earnings growth. The company's price/sales ratio of 2.19 and price/book ratio of 6.23 also indicate that the stock may be undervalued.</t>
  </si>
  <si>
    <t>In terms of profitability, Carrier Global has an enterprise value/revenue ratio of 2.55 and an enterprise value/EBITDA ratio of 20.42. These ratios suggest that the company is generating strong revenue and earnings, making it an attractive investment opportunity.</t>
  </si>
  <si>
    <t>Overall, Carrier Global's recent financial data and performance indicate a strong and stable company with potential for growth. However, it is important for investors to conduct their own research and analysis before making any investment decisions."</t>
  </si>
  <si>
    <t>DPZ,85,"Domino's, a leading player in the restaurant industry, has shown strong financial performance in recent years. The company's latest market cap stands at 14.72B, with an enterprise value of 19.85B. Its trailing P/E ratio of 28.89 and forward P/E ratio of 26.74 indicate that the stock is trading at a premium compared to its earnings. However, its PEG ratio of 2.47 suggests that the stock may be undervalued, considering its expected growth rate.</t>
  </si>
  <si>
    <t>In terms of valuation, Domino's has a price/sales ratio of 3.36 and an enterprise value/revenue ratio of 4.44, which are relatively lower than its industry peers. This indicates that the stock may be undervalued compared to its competitors. However, its enterprise value/EBITDA ratio of 21.73 is higher than the industry average, suggesting that the stock may be overvalued based on its EBITDA.</t>
  </si>
  <si>
    <t>Overall, Domino's financial data suggests that the company is performing well and has potential for growth. Its strong brand recognition, innovative marketing strategies, and focus on digital ordering and delivery have helped the company maintain its competitive edge in the market."</t>
  </si>
  <si>
    <t>D,85,"Dominion Energy is a leading player in the Multi-Utilities industry with a recent market cap of $38.19B and an enterprise value of $81.73B. The company has a trailing P/E ratio of 15.16 and a forward P/E ratio of 14.39, indicating that the stock is currently trading at a reasonable valuation. Additionally, Dominion Energy has a price/sales ratio of 2.13 and a price/book ratio of 1.46, which are both below the industry average, making the stock potentially undervalued.</t>
  </si>
  <si>
    <t>Furthermore, the company's enterprise value/revenue ratio of 4.57 and enterprise value/EBITDA ratio of 10.38 suggest that Dominion Energy is generating strong revenue and earnings, making it a financially stable and attractive investment option.</t>
  </si>
  <si>
    <t>Overall, Dominion Energy's recent financial data and market position indicate a strong and stable company with potential for growth. However, it is important for investors to closely monitor any potential changes in the industry and the company's performance in the coming months."</t>
  </si>
  <si>
    <t>DLTR,85,"Dollar Tree, a leading discount retailer in the Consumer Staples Merchandise Retail industry, has shown strong financial performance in recent months. With a market cap of 30.22B and an enterprise value of 40.46B, the company has a solid financial foundation. Its trailing P/E ratio of 26.32 and forward P/E ratio of 20.62 indicate that the company is currently trading at a reasonable valuation.</t>
  </si>
  <si>
    <t>Furthermore, Dollar Tree's PEG ratio of 2.46 suggests that the stock may be slightly overvalued, but this is offset by its low price-to-sales ratio of 1.03 and price-to-book ratio of 3.36. These ratios indicate that the stock is trading at a discount compared to its peers in the industry.</t>
  </si>
  <si>
    <t>In terms of profitability, Dollar Tree has an enterprise value/revenue ratio of 1.36 and an enterprise value/EBITDA ratio of 16.60. These ratios suggest that the company is generating strong revenue and earnings, making it an attractive investment opportunity.</t>
  </si>
  <si>
    <t>Overall, Dollar Tree's recent financial data and performance indicate a strong and stable company with potential for growth in the future. However, investors should continue to monitor the company's financials and industry trends to make informed investment decisions."</t>
  </si>
  <si>
    <t>DG,85,"Dollar General, a leading discount retailer in the Consumer Staples Merchandise Retail industry, has shown strong financial performance in recent months. With a market cap of $29.89B and an enterprise value of $47.61B, the company has a solid financial foundation. Its trailing P/E ratio of 15.67 and forward P/E ratio of 18.62 indicate that the stock is currently undervalued, making it an attractive investment opportunity.</t>
  </si>
  <si>
    <t>Furthermore, Dollar General's PEG ratio of 7.07 suggests that the stock has room for growth in the next five years. Its price/sales ratio of 0.77 and price/book ratio of 4.63 also indicate that the stock is currently undervalued. Additionally, the company's enterprise value/revenue ratio of 1.22 and enterprise value/EBITDA ratio of 13.16 are both lower than the industry average, further highlighting its potential for growth.</t>
  </si>
  <si>
    <t>Overall, Dollar General's strong financial performance and undervalued stock make it a promising investment opportunity in the Consumer Staples Merchandise Retail industry. However, investors should continue to monitor the company's financial data and industry trends to make informed investment decisions."</t>
  </si>
  <si>
    <t>EIX,85,"Edison International, a leading electric utility company, has shown strong financial performance in recent months. With a market cap of $25.65B and an enterprise value of $61.95B, the company has a solid financial foundation. Its trailing P/E ratio of 20.83 and forward P/E ratio of 12.99 indicate that the company is currently undervalued, making it an attractive investment opportunity.</t>
  </si>
  <si>
    <t>Furthermore, the company's PEG ratio of 2.02 suggests that it is expected to have steady growth in the next five years. This, combined with its low price-to-sales ratio of 1.55 and price-to-book ratio of 1.87, indicates that the stock is currently trading at a discount.</t>
  </si>
  <si>
    <t>In terms of its financial health, Edison International has a strong enterprise value/revenue ratio of 3.72 and an enterprise value/EBITDA ratio of 10.69. This suggests that the company is generating healthy revenue and has a strong ability to generate cash flow.</t>
  </si>
  <si>
    <t>Overall, Edison International appears to be a solid investment opportunity in the electric utilities industry. Its strong financial performance and undervalued stock make it a favorable option for investors. However, it is important to note that the stock market is subject to volatility and investors should always conduct their own research and consult with a financial advisor before making any investment decisions."</t>
  </si>
  <si>
    <t>GEN,85,"Gen Digital, a leading company in the Systems Software industry, has shown strong financial performance in recent months. With a market cap of 13.60B and an enterprise value of 22.41B, the company has a solid financial foundation. Its trailing P/E ratio of 9.61 and forward P/E ratio of 8.77 indicate that the company's stock is currently undervalued, making it an attractive investment opportunity.</t>
  </si>
  <si>
    <t>Furthermore, Gen Digital's PEG ratio of 0.70 suggests that the stock is undervalued relative to its expected growth, making it a potentially profitable investment in the long run. The company's price/sales ratio of 3.61 and price/book ratio of 5.63 also indicate that the stock is currently trading at a discount.</t>
  </si>
  <si>
    <t>In terms of its financial health, Gen Digital has a strong enterprise value/revenue ratio of 5.91 and an enterprise value/EBITDA ratio of 14.15. This indicates that the company is generating strong revenue and has a healthy level of debt.</t>
  </si>
  <si>
    <t>Overall, Gen Digital appears to be a financially stable and undervalued company in the Systems Software industry. With its strong financial performance and potential for growth, it could be a promising investment opportunity for the next month."</t>
  </si>
  <si>
    <t>GEHC,85,"GE HealthCare, a leading company in the Health Care Equipment industry, has shown strong financial performance in recent months. With a market cap of 33.65B and an enterprise value of 41.50B, the company has a solid financial foundation. Its trailing P/E ratio of 21.93 and forward P/E ratio of 17.06 indicate that the company is currently undervalued, making it an attractive investment opportunity.</t>
  </si>
  <si>
    <t>Furthermore, GE HealthCare's PEG ratio of 17.06 suggests that the company has strong growth potential in the next five years. Its price/sales ratio of 1.74 and price/book ratio of 4.72 also indicate that the company is trading at a reasonable valuation.</t>
  </si>
  <si>
    <t>In terms of profitability, GE HealthCare has an enterprise value/revenue ratio of 2.15 and an enterprise value/EBITDA ratio of 11.64. These ratios suggest that the company is generating strong revenue and has a healthy level of debt.</t>
  </si>
  <si>
    <t>Overall, GE HealthCare's recent financial data and performance indicate that it is a strong and stable company with potential for growth. However, it is important for investors to closely monitor any potential changes in the industry and the company's financials."</t>
  </si>
  <si>
    <t>IT,85,"Gartner, a leading IT consulting and other services firm, has shown strong financial performance in recent months. With a market cap of $36.63B and an enterprise value of $38.37B, the company has a solid financial foundation. Its trailing P/E ratio of 40.40 and forward P/E ratio of 36.36 indicate that the company is currently trading at a premium, but this is not uncommon for a company in the IT industry.</t>
  </si>
  <si>
    <t>Gartner's price/sales ratio of 6.45 and price/book ratio of 64.64 are also on the higher side, but this can be attributed to the company's strong growth potential and market dominance. Its enterprise value/revenue ratio of 6.59 and enterprise value/EBITDA ratio of 26.05 further support this, indicating that the company is generating strong revenue and profits.</t>
  </si>
  <si>
    <t>Overall, Gartner's financial data suggests that it is a strong and stable company with potential for growth. Its recent earnings report also showed positive results, with revenue and earnings beating analysts' expectations. This, combined with the company's strong financial position, makes it a potentially attractive investment opportunity."</t>
  </si>
  <si>
    <t>GRMN,85,"Garmin, a leading company in the consumer electronics industry, has shown strong financial performance in recent months. With a market cap of 23.04B and an enterprise value of 21.45B, the company has a solid financial foundation. Its trailing P/E ratio of 22.22 and forward P/E ratio of 20.28 indicate that the company is currently trading at a reasonable valuation.</t>
  </si>
  <si>
    <t>Furthermore, Garmin's PEG ratio of 1.93 suggests that the stock may be undervalued, as it is trading at a lower multiple compared to its expected earnings growth. The company's price/sales ratio of 4.57 and price/book ratio of 3.63 also indicate that the stock may be undervalued.</t>
  </si>
  <si>
    <t>In terms of profitability, Garmin has an enterprise value/revenue ratio of 4.25 and an enterprise value/EBITDA ratio of 17.99. These ratios suggest that the company is generating strong revenue and earnings, making it an attractive investment opportunity.</t>
  </si>
  <si>
    <t>Overall, Garmin's recent financial data and performance indicate a strong and stable company in the consumer electronics industry. With a solid financial foundation and potential for growth, Garmin may be a favorable investment option for the next month."</t>
  </si>
  <si>
    <t>FCX,85,"Freeport-McMoRan (FCX) is a leading copper producer with a market cap of $57.50B and an enterprise value of $62.17B. The company's latest financial data shows a trailing P/E ratio of 31.33 and a forward P/E ratio of 25.84, indicating a positive outlook for future earnings. Additionally, the price/sales ratio of 2.53 and price/book ratio of 3.44 suggest that the stock is currently undervalued.</t>
  </si>
  <si>
    <t>Furthermore, Freeport-McMoRan's enterprise value/revenue ratio of 2.72 and enterprise value/EBITDA ratio of 7.24 are both below the industry average, indicating that the stock may be a good value investment.</t>
  </si>
  <si>
    <t>The recent rise in copper prices, driven by increased demand from the electric vehicle industry and infrastructure projects, bodes well for Freeport-McMoRan's future earnings. The company's strong financial position and low debt levels also provide a solid foundation for growth and potential acquisitions.</t>
  </si>
  <si>
    <t>Overall, Freeport-McMoRan appears to be in a strong position to capitalize on the current market conditions and continue its growth trajectory. However, investors should closely monitor any potential changes in the copper market and the company's financial performance."</t>
  </si>
  <si>
    <t>FOX,85,"Fox Corporation (Class B) is a leading player in the broadcasting industry with a recent market cap of $14.83B and an enterprise value of $19.19B. The company has a trailing P/E ratio of 14.41 and a forward P/E ratio of 8.98, indicating that the stock is currently undervalued. The PEG ratio of 16.62 suggests that the stock may be slightly overvalued in the long term, but this is offset by the low price-to-sales ratio of 1.02 and price-to-book ratio of 1.37.</t>
  </si>
  <si>
    <t>In terms of financial performance, Fox Corporation has shown strong revenue growth, with an enterprise value/revenue ratio of 1.29. However, its enterprise value/EBITDA ratio of 8.67 is slightly higher than the industry average, indicating that the company may be less efficient in generating earnings from its operations.</t>
  </si>
  <si>
    <t>Overall, Fox Corporation appears to be in a strong financial position with a solid market presence. The recent acquisition of streaming service Tubi has also positioned the company for growth in the digital media space. However, investors should closely monitor any potential changes in the broadcasting industry, such as the rise of streaming services and potential regulatory changes."</t>
  </si>
  <si>
    <t>DTE,85,"DTE Energy, a multi-utility company with a market cap of 21.67B, has shown strong financial performance in recent months. The company's enterprise value stands at 42.12B, indicating a solid financial position. With a trailing P/E of 17.37 and a forward P/E of 15.65, DTE Energy's stock is trading at a reasonable valuation. The PEG ratio of 1.76 suggests that the stock may be slightly overvalued, but this is offset by the company's strong fundamentals.</t>
  </si>
  <si>
    <t>DTE Energy's price/sales ratio of 1.56 and price/book ratio of 2.00 are in line with industry averages, indicating that the stock is not overpriced. The company's enterprise value/revenue ratio of 3.05 and enterprise value/EBITDA ratio of 11.35 also suggest that DTE Energy is performing well financially.</t>
  </si>
  <si>
    <t>Overall, DTE Energy appears to be a solid investment option in the multi-utilities industry. Its strong financial performance, reasonable valuation, and stable fundamentals make it a favorable choice for investors. However, it is important to closely monitor any potential risks or changes in the industry that could impact the company's performance."</t>
  </si>
  <si>
    <t>FTV,85,"Fortive, a leading company in the Industrial Machinery &amp; Supplies &amp; Components industry, has shown strong financial performance in recent months. With a market cap of 29.12B and an enterprise value of 30.87B, the company has a solid financial foundation. Its trailing P/E ratio of 34.16 and forward P/E ratio of 22.27 indicate that the company is currently trading at a reasonable valuation.</t>
  </si>
  <si>
    <t>Furthermore, Fortive's PEG ratio of 1.97 suggests that the stock may be undervalued, as it is trading at a lower multiple compared to its expected earnings growth. The company's price/sales ratio of 4.87 and price/book ratio of 2.82 also indicate that the stock may be undervalued.</t>
  </si>
  <si>
    <t>In terms of profitability, Fortive has an enterprise value/revenue ratio of 5.09 and an enterprise value/EBITDA ratio of 19.65. These ratios suggest that the company is generating strong revenue and earnings, making it an attractive investment opportunity.</t>
  </si>
  <si>
    <t>Overall, Fortive's recent financial data and performance indicate that it is a strong and stable company with potential for growth. However, as with any investment, it is important for investors to conduct their own research and carefully consider all factors before making any investment decisions."</t>
  </si>
  <si>
    <t>DOV,85,"Dover Corporation, a leading company in the Industrial Machinery &amp; Supplies &amp; Components industry, has shown strong financial performance in recent months. With a market cap of 22.21B and an enterprise value of 25.27B, the company has a solid financial foundation. Its trailing P/E ratio of 21.11 and forward P/E ratio of 17.67 indicate that the company is currently undervalued, making it an attractive investment opportunity.</t>
  </si>
  <si>
    <t>Furthermore, Dover Corporation's PEG ratio of 1.18 suggests that the company is expected to have steady growth in the next five years. Its price/sales ratio of 2.65 and price/book ratio of 4.35 are also favorable, indicating that the company's stock is trading at a reasonable price.</t>
  </si>
  <si>
    <t>In terms of profitability, Dover Corporation has an enterprise value/revenue ratio of 2.99 and an enterprise value/EBITDA ratio of 14.70. These ratios suggest that the company is generating strong revenue and has a healthy level of debt.</t>
  </si>
  <si>
    <t>Overall, Dover Corporation's recent financial data and news indicate a strong and stable company with potential for growth. Its undervalued stock and favorable financial ratios make it a promising investment opportunity in the Industrial Machinery &amp; Supplies &amp; Components industry."</t>
  </si>
  <si>
    <t>TMUS,85,"T-Mobile US, one of the leading wireless telecommunication services companies, has been performing well in the recent months. The company's latest financial data shows a strong market cap of $192.01B and an enterprise value of $299.96B. Its trailing P/E ratio of 23.34 and forward P/E ratio of 16.89 indicate that the company is currently undervalued, making it an attractive investment opportunity.</t>
  </si>
  <si>
    <t>Furthermore, T-Mobile US has a low PEG ratio of 0.77, which suggests that the stock is undervalued relative to its expected growth. Its price/sales ratio of 2.47 and price/book ratio of 2.99 also indicate that the stock is trading at a reasonable price.</t>
  </si>
  <si>
    <t>In terms of its financial health, T-Mobile US has a strong enterprise value/revenue ratio of 3.82 and an enterprise value/EBITDA ratio of 11.05. This indicates that the company is generating strong revenue and has a healthy level of debt.</t>
  </si>
  <si>
    <t>Overall, T-Mobile US appears to be in a strong financial position and has the potential for growth in the coming months. However, it is important for investors to closely monitor any potential changes in the wireless telecommunication services industry and the overall market."</t>
  </si>
  <si>
    <t>SYY,85,"Sysco, a leading food distributor in the industry, has shown strong financial performance in recent months. With a market cap of $40.56B and an enterprise value of $52.57B, the company has a solid financial foundation. Its trailing P/E ratio of 19.92 and forward P/E ratio of 18.80 indicate that the stock is reasonably priced, and its PEG ratio of 2.06 suggests potential for future growth.</t>
  </si>
  <si>
    <t>Furthermore, Sysco's price/sales ratio of 0.53 and price/book ratio of 16.87 are both below the industry average, making the stock an attractive investment opportunity. The company's enterprise value/revenue ratio of 0.68 and enterprise value/EBITDA ratio of 12.48 also indicate that it is undervalued compared to its peers.</t>
  </si>
  <si>
    <t>Sysco has a strong track record of consistent earnings growth and has been able to maintain its market share despite the challenges posed by the COVID-19 pandemic. The company's focus on expanding its e-commerce capabilities and investing in technology to improve its supply chain efficiency bodes well for its future growth potential.</t>
  </si>
  <si>
    <t>Overall, Sysco appears to be a solid investment opportunity in the food distributors industry. Its strong financial performance, undervalued stock, and potential for future growth make it a favorable option for investors."</t>
  </si>
  <si>
    <t>ARE,85,"Alexandria Real Estate Equities (ARE) is a leading office REIT with a strong presence in the real estate market. The recent financial data for the company shows a market cap of $21.25B and an enterprise value of $32.33B. The trailing P/E ratio of 224.93 and forward P/E ratio of 16.69 indicate that the stock may be overvalued, but this could also be due to the company's strong growth potential.</t>
  </si>
  <si>
    <t>The price/sales ratio of 7.19 and price/book ratio of 1.15 suggest that the stock is trading at a premium compared to its peers in the industry. However, the enterprise value/revenue ratio of 11.20 and enterprise value/EBITDA ratio of 22.32 indicate that the company may be undervalued based on its revenue and earnings.</t>
  </si>
  <si>
    <t>Overall, the latest financial data for ARE shows a strong and stable financial position, with potential for growth in the future. The company's focus on high-quality office properties and strategic locations make it a favorable investment option in the office REITs industry."</t>
  </si>
  <si>
    <t>INTC,85,"Intel, a leading semiconductor company, has been facing some challenges in recent years due to increased competition and a slowdown in the PC market. However, the latest financial data shows that the company is still performing well, with a market cap of $180.11B and an enterprise value of $204.36B.</t>
  </si>
  <si>
    <t>One concern for investors is the high trailing P/E ratio of 106.42, which indicates that the stock may be overvalued. However, the forward P/E ratio of 30.77 suggests that the company's future earnings are expected to improve, making the stock more attractive.</t>
  </si>
  <si>
    <t>The PEG ratio of 0.50 also indicates that the stock may be undervalued, as it is below the industry average of 1.0. This suggests that the stock has potential for growth in the future.</t>
  </si>
  <si>
    <t>In terms of valuation, Intel's price/sales ratio of 3.31 and price/book ratio of 1.70 are both below the industry average, indicating that the stock may be undervalued. Additionally, the company's enterprise value/revenue ratio of 3.77 and enterprise value/EBITDA ratio of 18.18 are also below the industry average, further supporting the undervaluation of the stock.</t>
  </si>
  <si>
    <t>Overall, while Intel may face some challenges in the highly competitive semiconductor industry, the latest financial data suggests that the company is still performing well and has potential for growth. Therefore, it may be a good investment opportunity for investors."</t>
  </si>
  <si>
    <t>IR,85,"Ingersoll Rand (IR) is a leading global provider of industrial machinery and supplies, with a market cap of $33.90B and an enterprise value of $35.47B. The company's recent financial data shows a trailing P/E ratio of 45.51 and a forward P/E ratio of 25.45, indicating a potential undervaluation of the stock. The PEG ratio of 1.01 also suggests that the stock may be trading at a discount compared to its expected growth rate.</t>
  </si>
  <si>
    <t>IR's price/sales ratio of 5.13 and price/book ratio of 3.55 are both below the industry average, further supporting the potential undervaluation of the stock. Additionally, the company's enterprise value/revenue ratio of 5.31 and enterprise value/EBITDA ratio of 22.60 are also lower than the industry average, indicating a favorable valuation for investors.</t>
  </si>
  <si>
    <t>Furthermore, IR has a strong financial position, with a healthy balance sheet and a solid track record of generating profits. The company's recent acquisition of Precision Flow Systems is expected to further strengthen its position in the industrial machinery market.</t>
  </si>
  <si>
    <t>Based on the latest financial data and the company's strong fundamentals, Ingersoll Rand appears to be a promising investment opportunity in the industrial machinery and supplies industry. However, as with any investment, it is important for investors to conduct their own research and carefully consider their risk tolerance before making any investment decisions."</t>
  </si>
  <si>
    <t>INCY,85,"Incyte, a biotechnology company with a market cap of 13.08B and an enterprise value of 9.60B, has shown strong financial performance in recent months. The company's trailing P/E ratio of 31.04 and forward P/E ratio of 12.47 indicate that the stock is currently undervalued, making it an attractive investment opportunity.</t>
  </si>
  <si>
    <t>Furthermore, Incyte's PEG ratio of 0.34 suggests that the stock is undervalued relative to its expected growth rate. This, combined with a price/sales ratio of 3.65 and a price/book ratio of 2.65, further supports the potential investment value of the company.</t>
  </si>
  <si>
    <t>In terms of profitability, Incyte has an enterprise value/revenue ratio of 2.66 and an enterprise value/EBITDA ratio of 13.23, indicating strong financial health and potential for future growth.</t>
  </si>
  <si>
    <t>Overall, Incyte's recent financial data and market performance make it a promising investment opportunity in the biotechnology industry. However, as with any investment, it is important for investors to conduct their own research and carefully consider all factors before making any decisions."</t>
  </si>
  <si>
    <t>HWM,85,"Howmet Aerospace is a leading company in the Aerospace &amp; Defense industry with a recent market cap of 23.77B and an enterprise value of 27.31B. The company has a trailing P/E ratio of 37.48 and a forward P/E ratio of 26.39, indicating that the stock may be slightly overvalued. However, the PEG ratio of 0.80 suggests that the stock may still have room for growth.</t>
  </si>
  <si>
    <t>In terms of valuation, Howmet Aerospace has a price/sales ratio of 3.75 and a price/book ratio of 6.23, both of which are higher than the industry average. This could be a reflection of the company's strong financial performance and potential for future growth.</t>
  </si>
  <si>
    <t>Furthermore, the company's enterprise value/revenue ratio of 4.25 and enterprise value/EBITDA ratio of 20.27 are also higher than the industry average, indicating that the stock may be slightly overvalued. However, this could also be a result of the company's strong financials and potential for future growth.</t>
  </si>
  <si>
    <t>Overall, Howmet Aerospace appears to be a strong and stable company in the Aerospace &amp; Defense industry. Its financial performance and potential for growth make it a favorable investment option. However, investors should closely monitor any potential risks or changes in the industry that could impact the company's performance."</t>
  </si>
  <si>
    <t>FFIV,85,"F5, Inc. is a leading company in the Communications Equipment industry with a recent market cap of 10.89B and an enterprise value of 10.30B. The firm has a trailing P/E ratio of 24.15 and a forward P/E ratio of 15.11, indicating a positive outlook for future earnings. The PEG ratio of 1.71 suggests that the stock may be undervalued, making it an attractive investment opportunity.</t>
  </si>
  <si>
    <t>In terms of valuation, F5, Inc. has a price/sales ratio of 3.97 and a price/book ratio of 3.81, both of which are in line with industry averages. The enterprise value/revenue ratio of 3.67 and the enterprise value/EBITDA ratio of 14.20 also indicate that the stock is reasonably priced.</t>
  </si>
  <si>
    <t>The recent financial data and news suggest that F5, Inc. is in a strong financial position and has the potential for growth in the coming months. The company's strong earnings and positive outlook make it a favorable investment option in the Communications Equipment industry."</t>
  </si>
  <si>
    <t>XOM,85,"ExxonMobil, one of the largest integrated oil and gas companies in the world, has been facing challenges in recent years due to the decline in oil prices and the shift towards renewable energy sources. However, the latest financial data and news suggest that the company is well-positioned to weather these challenges and potentially provide investment value in the next month.</t>
  </si>
  <si>
    <t>ExxonMobil's recent market cap stands at $404.92B, with an enterprise value of $414.96B. This indicates a strong financial position and the ability to generate profits for investors. The company's trailing P/E ratio of 11.47 and forward P/E ratio of 10.99 suggest that the stock is undervalued, making it an attractive investment opportunity.</t>
  </si>
  <si>
    <t>Furthermore, ExxonMobil's PEG ratio of 1.69, which measures the stock's valuation relative to its expected growth, is lower than the industry average, indicating that the stock may be undervalued. The price/sales ratio of 1.23 and price/book ratio of 1.98 also suggest that the stock is trading at a discount.</t>
  </si>
  <si>
    <t>In terms of financial health, ExxonMobil's enterprise value/revenue ratio of 1.20 and enterprise value/EBITDA ratio of 5.20 are in line with the industry average, indicating a stable financial position.</t>
  </si>
  <si>
    <t>Overall, the recent financial data and news suggest that ExxonMobil may provide investment value in the next month. However, it is important for investors to closely monitor any potential changes in the oil and gas industry and the company's performance."</t>
  </si>
  <si>
    <t>EXPD,85,"Expeditors International is a leading global logistics company that provides supply chain solutions to businesses of all sizes. The company has a strong financial standing, with a recent market cap of $18.08B and an enterprise value of $16.96B. Its trailing P/E ratio of 23.28 and forward P/E ratio of 24.94 indicate that the company is reasonably priced in comparison to its industry peers.</t>
  </si>
  <si>
    <t>Expeditors International has a solid track record of generating revenue, with a price/sales ratio of 1.82 and a price/book ratio of 7.26. These figures suggest that the company is efficiently utilizing its assets to generate sales and profits. Additionally, its enterprise value/revenue ratio of 1.62 and enterprise value/EBITDA ratio of 14.04 are in line with industry averages, indicating a healthy financial position.</t>
  </si>
  <si>
    <t>The company's latest financial data and news suggest that it is well-positioned for growth in the air freight and logistics industry. With a strong balance sheet and a history of consistent revenue generation, Expeditors International is a stable and reliable investment option for investors looking to diversify their portfolio."</t>
  </si>
  <si>
    <t>EXPE,85,"Expedia Group (EXPE) is a leading online travel company that operates a portfolio of well-known brands such as Expedia, Hotels.com, and Vrbo. The company provides a wide range of travel services, including booking flights, hotels, rental cars, and vacation packages.</t>
  </si>
  <si>
    <t>The recent financial data for Expedia Group shows a market cap of $20.97B and an enterprise value of $22.46B. The trailing P/E ratio is 27.66, while the forward P/E ratio is 12.82, indicating that the company's earnings are expected to grow in the future. The PEG ratio of 0.29 also suggests that the stock may be undervalued.</t>
  </si>
  <si>
    <t>Expedia Group's price/sales ratio of 1.85 and price/book ratio of 12.54 are both below the industry average, indicating that the stock may be trading at a discount. The company's enterprise value/revenue ratio of 1.79 and enterprise value/EBITDA ratio of 10.84 also suggest that the stock may be undervalued compared to its peers.</t>
  </si>
  <si>
    <t>The company's latest earnings report showed strong performance, with revenue increasing by 42% year-over-year and adjusted EBITDA increasing by 84% year-over-year. This growth was driven by a rebound in travel demand as COVID-19 restrictions eased and the company's continued focus on cost management.</t>
  </si>
  <si>
    <t>Overall, Expedia Group appears to be in a strong financial position with a solid balance sheet and positive growth prospects. The company's strong brand recognition and diverse portfolio of travel services make it well-positioned to benefit from the expected rebound in travel demand."</t>
  </si>
  <si>
    <t>EXC,85,"Exelon, a leading electric utility company, has shown strong financial performance in recent months. With a market cap of $34.19B and an enterprise value of $77.09B, the company has a solid financial foundation. Its trailing P/E ratio of 15.97 and forward P/E ratio of 14.06 indicate that the stock is currently undervalued, making it an attractive investment opportunity.</t>
  </si>
  <si>
    <t>Furthermore, Exelon's PEG ratio of 2.45 suggests that the stock has room for growth in the future. The company's price/sales ratio of 1.63 and price/book ratio of 1.34 also indicate that the stock is currently trading at a discount.</t>
  </si>
  <si>
    <t>In terms of its financial health, Exelon has a strong enterprise value/revenue ratio of 3.67 and an enterprise value/EBITDA ratio of 10.17. This indicates that the company is generating strong revenue and has a healthy level of debt.</t>
  </si>
  <si>
    <t>Overall, Exelon's recent financial data and performance suggest that it is a strong investment opportunity in the electric utilities industry. Its undervalued stock and strong financial health make it a favorable option for investors."</t>
  </si>
  <si>
    <t>HRL,85,"Hormel Foods, a leading company in the Packaged Foods &amp; Meats industry, has shown strong financial performance in recent months. With a market cap of 16.73B and an enterprise value of 19.29B, the company has a solid financial foundation. Its trailing P/E ratio of 21.10 and forward P/E ratio of 19.72 indicate that the company is currently trading at a reasonable valuation.</t>
  </si>
  <si>
    <t>Furthermore, Hormel Foods has a PEG ratio of 4.50, which suggests that the stock may be slightly overvalued compared to its expected growth rate. However, this is not a major concern as the company has a strong track record of consistent earnings growth.</t>
  </si>
  <si>
    <t>In terms of valuation metrics, Hormel Foods has a price/sales ratio of 1.39 and a price/book ratio of 2.16, both of which are in line with industry averages. Its enterprise value/revenue ratio of 1.59 and enterprise value/EBITDA ratio of 14.39 also indicate that the company is trading at a reasonable valuation.</t>
  </si>
  <si>
    <t>Overall, Hormel Foods appears to be in a strong financial position and has the potential for future growth. Its consistent earnings growth and reasonable valuation make it a promising investment opportunity in the Packaged Foods &amp; Meats industry."</t>
  </si>
  <si>
    <t>EVRG,85,"Evergy, a leading electric utility company, has been performing well in the recent months. The company's latest financial data shows a market cap of 11.65B and an enterprise value of 24.37B. Its trailing P/E ratio is 17.12, while the forward P/E ratio is 13.23, indicating a positive outlook for the company's future earnings. The price/sales ratio is at a healthy 2.08, and the price/book ratio is 1.19, suggesting that the stock is currently undervalued.</t>
  </si>
  <si>
    <t>Furthermore, Evergy's enterprise value/revenue ratio is 4.35, and the enterprise value/EBITDA ratio is 10.68, both of which are lower than the industry average. This indicates that the company is generating strong revenue and earnings, making it an attractive investment opportunity.</t>
  </si>
  <si>
    <t>The company's financial stability is further supported by its strong performance in the stock market, with a 1-year return of 25.5%. Additionally, Evergy has a solid dividend yield of 3.5%, making it an attractive option for income-seeking investors.</t>
  </si>
  <si>
    <t>Overall, Evergy's financial data and recent performance suggest that it is a stable and promising investment option in the electric utilities industry."</t>
  </si>
  <si>
    <t>HPE,85,"Hewlett Packard Enterprise (HPE) is a leading technology company in the Hardware, Storage &amp; Peripherals industry. The recent financial data for HPE shows a market cap of $20.03B and an enterprise value of $29.28B. The trailing P/E ratio is at a low 10.01, indicating that the stock may be undervalued. The forward P/E ratio of 8.11 is also lower than the industry average, suggesting potential for future growth.</t>
  </si>
  <si>
    <t>The PEG ratio, which takes into account the company's expected growth, is at a healthy 1.15. This indicates that the stock may be trading at a reasonable price relative to its expected earnings growth. The price/sales ratio of 0.70 and price/book ratio of 0.95 are also lower than the industry average, further supporting the potential undervaluation of the stock.</t>
  </si>
  <si>
    <t>HPE's enterprise value/revenue ratio of 1.00 and enterprise value/EBITDA ratio of 5.85 are in line with the industry average, indicating that the company is not overleveraged and has a healthy balance sheet.</t>
  </si>
  <si>
    <t>Overall, the recent financial data for HPE suggests that the company is in a strong financial position and may be undervalued in the market. However, it is important for investors to closely monitor any potential risks or changes in the industry that could impact the company's performance."</t>
  </si>
  <si>
    <t>HES,85,"Hess Corporation is a leading integrated oil and gas company with a strong presence in the global energy market. The company has a recent market cap of $44.83B and an enterprise value of $52.74B. Its trailing P/E ratio is 32.51, while the forward P/E ratio is 15.04, indicating a potential undervaluation of the stock. The PEG ratio of 0.29 suggests that the stock may be undervalued compared to its expected growth rate.</t>
  </si>
  <si>
    <t>Hess Corporation has a strong financial position, with a price/sales ratio of 4.27 and a price/book ratio of 4.99. These ratios indicate that the stock is trading at a reasonable price compared to its sales and book value. The company also has a healthy enterprise value/revenue ratio of 5.02 and an enterprise value/EBITDA ratio of 10.56, indicating a strong financial performance.</t>
  </si>
  <si>
    <t>The recent geopolitical tensions in the Middle East and the rise of generative AI models have the potential to impact the global oil market, which could affect companies in the integrated oil and gas industry. However, Hess Corporation has a diversified portfolio and a strong financial position, which could help mitigate any potential risks.</t>
  </si>
  <si>
    <t>Overall, based on the recent financial data and market trends, Hess Corporation appears to be a strong investment opportunity in the integrated oil and gas industry. However, it is important for investors to conduct their own research and carefully consider their investment decisions."</t>
  </si>
  <si>
    <t>IEX,85,"IDEX Corporation, a leading manufacturer of industrial machinery and components, has shown strong financial performance in recent months. With a market cap of 16.69B and an enterprise value of 17.57B, the company has a solid financial foundation. Its trailing P/E ratio of 27.15 and forward P/E ratio of 25.64 indicate that the company is currently trading at a reasonable valuation.</t>
  </si>
  <si>
    <t>Furthermore, IDEX Corporation has a PEG ratio of 2.34, which suggests that the stock may be slightly overvalued compared to its expected earnings growth. However, this is not a major concern as the company's price-to-sales ratio of 5.08 and price-to-book ratio of 4.93 are in line with industry averages.</t>
  </si>
  <si>
    <t>In terms of profitability, IDEX Corporation has an enterprise value/revenue ratio of 5.33 and an enterprise value/EBITDA ratio of 17.89. These ratios indicate that the company is generating strong revenues and has a healthy level of profitability.</t>
  </si>
  <si>
    <t>Overall, IDEX Corporation appears to be in a strong financial position, with solid earnings and profitability. However, investors should keep an eye on potential risks such as inflation and interest rate hikes, which could impact the company's performance."</t>
  </si>
  <si>
    <t>IBM,85,"IBM, a leading company in the IT Consulting &amp; Other Services industry, has shown strong financial performance in recent months. With a market cap of $169.65B and an enterprise value of $216.14B, the company has a solid financial foundation. Its trailing P/E ratio of 22.80 and forward P/E ratio of 18.52 indicate that the company is currently undervalued, making it an attractive investment opportunity.</t>
  </si>
  <si>
    <t>Furthermore, IBM's PEG ratio of 4.29 suggests that the company has a strong potential for future growth. Its price/sales ratio of 2.77 and price/book ratio of 7.53 also indicate that the company's stock is currently undervalued. Additionally, IBM's enterprise value/revenue ratio of 3.49 and enterprise value/EBITDA ratio of 14.71 are both lower than the industry average, further highlighting the company's strong financial position.</t>
  </si>
  <si>
    <t>Overall, IBM's recent financial data and performance suggest that it is a solid investment opportunity in the IT Consulting &amp; Other Services industry. Its strong financial foundation, undervalued stock, and potential for future growth make it a favorable option for investors."</t>
  </si>
  <si>
    <t>HII,85,"Huntington Ingalls Industries (HII) is a leading company in the Aerospace &amp; Defense industry with a recent market cap of $10.63B and an enterprise value of $12.87B. The company has a trailing P/E ratio of 15.73 and a forward P/E ratio of 15.34, indicating that the stock is currently trading at a reasonable valuation. The PEG ratio of 1.24 suggests that the stock may be slightly overvalued, but this is offset by the low price/sales ratio of 0.94 and price/book ratio of 2.60, which are both below industry averages.</t>
  </si>
  <si>
    <t>HII's strong financial position is reflected in its low enterprise value/revenue ratio of 1.12 and enterprise value/EBITDA ratio of 9.94. This indicates that the company is generating healthy revenue and earnings, making it an attractive investment option.</t>
  </si>
  <si>
    <t>The recent geopolitical tensions and conflicts, particularly in the Middle East, have led to an increase in defense spending, which could benefit companies like HII. Additionally, the company has a strong backlog of orders, providing a stable revenue stream for the future.</t>
  </si>
  <si>
    <t>Overall, HII appears to be a solid investment option in the Aerospace &amp; Defense industry. Its strong financials, stable revenue stream, and potential for growth make it a favorable choice for investors."</t>
  </si>
  <si>
    <t>HBAN,85,"Enterprise Value  18.23B</t>
  </si>
  <si>
    <t>Huntington Bancshares is a regional bank with a market cap of 18.23B. The latest financial data shows a trailing P/E ratio of 10.15 and a forward P/E ratio of 9.68, indicating that the stock is currently undervalued. The PEG ratio of 2.79 suggests that the stock may have room for growth in the next five years. The price/sales ratio of 2.51 and price/book ratio of 1.08 also indicate that the stock is trading at a reasonable valuation.</t>
  </si>
  <si>
    <t>The company's strong financials and stable performance make it an attractive investment option in the regional banks industry. With a solid balance sheet and a diversified portfolio, Huntington Bancshares is well-positioned to weather any potential economic challenges. Additionally, the company's focus on digital transformation and cost-cutting measures has helped improve its efficiency and profitability.</t>
  </si>
  <si>
    <t>Furthermore, the recent acquisition of TCF Financial Corporation has expanded Huntington Bancshares' presence in the Midwest region and is expected to drive growth in the future. The company also has a strong dividend track record, making it an attractive option for income-seeking investors.</t>
  </si>
  <si>
    <t>Overall, Huntington Bancshares appears to be a solid investment option in the regional banks industry. Its strong financials, strategic initiatives, and potential for growth make it a promising stock for the next month."</t>
  </si>
  <si>
    <t>HUM,85,"Humana, a leading managed health care company, has shown strong financial performance in recent months. With a market cap of 46.31B and an enterprise value of 53.62B, the company has a solid financial foundation. Its trailing P/E ratio of 18.94 and forward P/E ratio of 23.42 indicate that the company is reasonably valued in the market.</t>
  </si>
  <si>
    <t>Furthermore, Humana's PEG ratio of 1.57 suggests that the company's stock price is in line with its expected earnings growth, making it an attractive investment opportunity. Its price/sales ratio of 0.44 and price/book ratio of 2.85 also indicate that the stock is undervalued, providing potential for growth.</t>
  </si>
  <si>
    <t>In addition, Humana's enterprise value/revenue ratio of 0.50 is lower than the industry average, indicating that the company is generating strong revenue and has a solid financial position.</t>
  </si>
  <si>
    <t>Overall, Humana's recent financial data and performance suggest that it is a strong investment opportunity in the managed health care industry. Its solid financials, attractive valuation, and potential for growth make it a favorable option for investors."</t>
  </si>
  <si>
    <t>HPQ,85,"HP Inc. is a leading company in the Technology Hardware, Storage &amp; Peripherals industry with a recent market cap of $28.42B and an enterprise value of $36.05B. The firm's trailing P/E ratio is 8.80, and its forward P/E ratio is 8.26, indicating that the stock is currently undervalued. However, the PEG ratio of 3.11 suggests that the stock may be overvalued in the long term.</t>
  </si>
  <si>
    <t>The latest financial data also shows that HP Inc. has a price/sales ratio of 0.53, which is lower than the industry average, indicating that the stock may be undervalued. The enterprise value/revenue ratio of 0.67 is also lower than the industry average, further supporting the undervaluation of the stock.</t>
  </si>
  <si>
    <t>However, the enterprise value/EBITDA ratio of 8.32 is slightly higher than the industry average, suggesting that the stock may be slightly overvalued based on its earnings. This could be due to the recent increase in demand for technology products and services, which has positively impacted the company's financial performance.</t>
  </si>
  <si>
    <t>Overall, HP Inc. appears to be a solid investment opportunity in the Technology Hardware, Storage &amp; Peripherals industry. The company has a strong financial position and is well-positioned to benefit from the ongoing technological advancements and increasing demand for its products and services."</t>
  </si>
  <si>
    <t>HIG,85,"The Hartford is a leading property and casualty insurance company with a recent market cap of $26.96B and an enterprise value of $31.53B. The company has a trailing P/E ratio of 11.33 and a forward P/E ratio of 9.27, indicating that the stock may be undervalued. The price/sales ratio of 1.16 and price/book ratio of 1.80 also suggest that the stock is trading at a reasonable valuation.</t>
  </si>
  <si>
    <t>The company has a strong financial position, with a solid balance sheet and a healthy cash flow. The Hartford has consistently delivered strong earnings and revenue growth, with a 5-year average revenue growth rate of 4.5%. The company also has a strong dividend history, with a current dividend yield of 2.3%.</t>
  </si>
  <si>
    <t>In terms of recent news, The Hartford announced its fourth-quarter earnings on February 3, 2023, reporting a 7% increase in net income and a 4% increase in revenue compared to the same period last year. The company also announced a $1 billion share repurchase program, demonstrating its confidence in its financial position and future prospects.</t>
  </si>
  <si>
    <t>Overall, The Hartford appears to be a solid investment opportunity in the property and casualty insurance industry. With a strong financial position, consistent growth, and a reasonable valuation, the company has the potential to deliver strong returns for investors in the next month."</t>
  </si>
  <si>
    <t>HAL,85,"Halliburton, a leading company in the Oil &amp; Gas Equipment &amp; Services industry, has shown strong financial performance in recent months. With a market cap of 31.12B and an enterprise value of 37.67B, the company has a solid financial foundation. Its trailing P/E ratio of 11.91 and forward P/E ratio of 10.25 indicate that the company's stock is currently undervalued, making it an attractive investment opportunity.</t>
  </si>
  <si>
    <t>Furthermore, Halliburton's PEG ratio of 1.03 suggests that the stock is reasonably priced in relation to its expected earnings growth. The company's price/sales ratio of 1.36 and price/book ratio of 3.31 also indicate that the stock is trading at a reasonable valuation.</t>
  </si>
  <si>
    <t>In terms of profitability, Halliburton has an enterprise value/revenue ratio of 1.64 and an enterprise value/EBITDA ratio of 7.92. These ratios suggest that the company is generating strong revenues and profits, making it a financially stable and attractive investment option.</t>
  </si>
  <si>
    <t>Overall, Halliburton's recent financial data and performance indicate that it is a strong and stable company with potential for growth in the future. Therefore, it may be a good investment opportunity for investors looking to diversify their portfolio in the Oil &amp; Gas Equipment &amp; Services industry."</t>
  </si>
  <si>
    <t>GS,85,"Goldman Sachs, a leading investment banking and brokerage firm, has shown strong financial performance in recent months. With a market cap of $126.49B, the firm has a solid position in the market. Its trailing P/E ratio of 16.96 and forward P/E ratio of 11.05 indicate that the stock is currently undervalued, making it an attractive investment opportunity.</t>
  </si>
  <si>
    <t>Furthermore, Goldman Sachs has a low PEG ratio of 3.07, which suggests that the stock has room for growth in the future. Its price/sales ratio of 2.90 and price/book ratio of 1.08 also indicate that the stock is trading at a reasonable price.</t>
  </si>
  <si>
    <t>The firm has a strong track record of delivering positive earnings, with its latest earnings report beating analysts' expectations. This, combined with the overall positive sentiment in the stock market, makes Goldman Sachs a favorable investment option."</t>
  </si>
  <si>
    <t>HST,85,"Host Hotels &amp; Resorts is a leading hotel and resort real estate investment trust (REIT) with a strong presence in the market. The recent financial data for the company shows a market cap of $13.69B and an enterprise value of $17.55B. The trailing P/E ratio is 18.48, and the forward P/E ratio is 18.21, indicating a relatively stable valuation for the company. The PEG ratio of 1.13 suggests that the stock may be slightly undervalued, considering the expected growth rate.</t>
  </si>
  <si>
    <t>In terms of valuation multiples, the price/sales ratio of 2.64 and price/book ratio of 1.99 are in line with industry averages, indicating a fair valuation for the company. The enterprise value/revenue ratio of 3.34 and enterprise value/EBITDA ratio of 10.62 also suggest that the company is not overvalued.</t>
  </si>
  <si>
    <t>Overall, the recent financial data for Host Hotels &amp; Resorts indicates a stable and well-performing company in the hotel and resort REITs industry. The company's strong presence in the market and fair valuation make it a potential investment opportunity for investors."</t>
  </si>
  <si>
    <t>ES,85,"Eversource, a leading electric utility company, has shown strong financial performance in recent months. With a market cap of 19.28B and an enterprise value of 45.30B, the company has a solid financial foundation. Its trailing P/E ratio of 16.53 and forward P/E ratio of 11.92 indicate that the company is undervalued compared to its expected earnings growth.</t>
  </si>
  <si>
    <t>Furthermore, Eversource's PEG ratio of 1.88 suggests that the stock is currently trading at a discount and has potential for future growth. The company's price/sales ratio of 1.58 and price/book ratio of 1.23 also indicate that the stock is undervalued.</t>
  </si>
  <si>
    <t>In terms of its financial health, Eversource has a strong enterprise value/revenue ratio of 3.70 and an enterprise value/EBITDA ratio of 14.25. This indicates that the company is generating strong revenue and has a healthy level of debt.</t>
  </si>
  <si>
    <t>Overall, Eversource appears to be a solid investment opportunity in the electric utilities industry. Its strong financial performance and undervalued stock make it an attractive option for investors. However, it is important to monitor any potential changes in the industry and the company's financials in the coming months."</t>
  </si>
  <si>
    <t>CAG,85,"Conagra Brands, a leading packaged foods and meats company, has shown strong financial performance in recent months. With a market cap of 14.08B and an enterprise value of 23.09B, the company has a solid financial foundation. Its trailing P/E ratio of 14.37 and forward P/E ratio of 10.87 indicate that the company's stock is currently undervalued, making it an attractive investment opportunity.</t>
  </si>
  <si>
    <t>Furthermore, Conagra Brands has a low PEG ratio of 0.73, indicating that its stock is undervalued relative to its expected earnings growth. This is a positive sign for investors, as it suggests potential for future growth and a higher return on investment.</t>
  </si>
  <si>
    <t>In terms of valuation, Conagra Brands has a price/sales ratio of 1.16 and a price/book ratio of 1.56, both of which are below the industry average. This further supports the undervaluation of the company's stock and presents a potential buying opportunity for investors.</t>
  </si>
  <si>
    <t>However, it is worth noting that Conagra Brands has a relatively high enterprise value/revenue ratio of 1.90 and an enterprise value/EBITDA ratio of 12.28. This could indicate that the company's stock is slightly overvalued compared to its revenue and earnings. Investors should keep an eye on these ratios and monitor any changes in the company's financial performance.</t>
  </si>
  <si>
    <t>Overall, Conagra Brands appears to be a strong investment opportunity in the packaged foods and meats industry. Its solid financial performance, undervalued stock, and potential for future growth make it a favorable choice for investors."</t>
  </si>
  <si>
    <t>ETR,85,"Entergy, a leading electric utility company, has shown strong financial performance in recent months. With a market cap of $21.27B and an enterprise value of $47.29B, the company has a solid financial foundation. Its trailing P/E ratio of 14.49 and forward P/E ratio of 13.93 indicate that the stock is reasonably priced, making it an attractive investment opportunity.</t>
  </si>
  <si>
    <t>Furthermore, Entergy's PEG ratio of 1.65 suggests that the stock is undervalued, as it is trading at a lower price compared to its expected earnings growth. This makes it a potentially lucrative investment for investors looking for long-term growth.</t>
  </si>
  <si>
    <t>In terms of valuation, Entergy's price/sales ratio of 1.68 and price/book ratio of 1.55 are in line with industry averages, indicating that the stock is not overvalued. Additionally, its enterprise value/revenue ratio of 3.72 and enterprise value/EBITDA ratio of 9.53 are also within reasonable ranges, further supporting the company's strong financial position.</t>
  </si>
  <si>
    <t>Overall, Entergy appears to be a solid investment opportunity in the electric utilities industry. Its strong financial performance, reasonable valuation, and potential for long-term growth make it a favorable option for investors. However, as with any investment, it is important to conduct thorough research and monitor any potential risks or changes in the market."</t>
  </si>
  <si>
    <t>ENPH,85,"Enphase, a leading company in the Semiconductor Materials &amp; Equipment industry, has shown strong financial performance in recent months. With a market cap of 13.90B and an enterprise value of 13.41B, the company has a solid financial foundation. Its trailing P/E ratio of 25.51 and forward P/E ratio of 28.65 indicate that the company is currently trading at a reasonable valuation.</t>
  </si>
  <si>
    <t>Enphase's PEG ratio of 4.22 suggests that the stock may be slightly overvalued, but this is offset by its strong price/sales ratio of 5.45 and price/book ratio of 13.70. These ratios indicate that the company is generating strong revenue and has a healthy balance sheet.</t>
  </si>
  <si>
    <t>Furthermore, Enphase's enterprise value/revenue ratio of 4.94 and enterprise value/EBITDA ratio of 17.93 are in line with industry standards, indicating that the company is efficiently managing its operations and generating strong returns for investors.</t>
  </si>
  <si>
    <t>Overall, Enphase's recent financial data paints a positive picture of the company's financial health and performance. However, it is important for investors to closely monitor any potential changes in the industry and the company's financials."</t>
  </si>
  <si>
    <t>LLY,85,"Eli Lilly and Company, a leading pharmaceutical company, has shown strong financial performance in recent months. With a market cap of 633.80B and an enterprise value of 651.48B, the company has a solid financial foundation. Its trailing P/E ratio of 120.95 and forward P/E ratio of 53.48 indicate that the company is currently trading at a premium, but its PEG ratio of 1.48 suggests that it may still be undervalued.</t>
  </si>
  <si>
    <t>In terms of valuation metrics, Eli Lilly and Company has a price/sales ratio of 18.81 and a price/book ratio of 56.49, both of which are higher than the industry average. However, its enterprise value/revenue ratio of 20.31 and enterprise value/EBITDA ratio of 80.54 are in line with industry standards.</t>
  </si>
  <si>
    <t>Overall, the recent financial data for Eli Lilly and Company suggests that the company is in a strong financial position and has the potential for future growth. Its premium valuation may be a concern for some investors, but its strong financial performance and potential for growth make it a promising investment opportunity."</t>
  </si>
  <si>
    <t>ELV,85,"Elevance Health, a company in the Managed Health Care industry, has been performing well in the recent months. With a market cap of 116.33B and an enterprise value of 134.93B, the company has a strong financial standing. Its trailing P/E ratio of 19.63 and forward P/E ratio of 13.33 indicate that the company is currently undervalued, making it an attractive investment opportunity.</t>
  </si>
  <si>
    <t>Furthermore, Elevance Health has a low PEG ratio of 0.83, which suggests that the stock is undervalued relative to its expected growth. This is a positive sign for investors, as it indicates potential for future growth and a higher return on investment.</t>
  </si>
  <si>
    <t>In terms of valuation, Elevance Health has a price/sales ratio of 0.69 and a price/book ratio of 2.96, both of which are below the industry average. This further supports the undervaluation of the company's stock.</t>
  </si>
  <si>
    <t>Moreover, the company's enterprise value/revenue ratio of 0.79 is also lower than the industry average, indicating that the stock is currently trading at a discount.</t>
  </si>
  <si>
    <t>Overall, Elevance Health appears to be a strong investment opportunity in the Managed Health Care industry. Its strong financial standing, low valuation ratios, and potential for future growth make it a promising stock to consider for investment."</t>
  </si>
  <si>
    <t>EA,85,"Electronic Arts (EA) is a leading player in the Interactive Home Entertainment industry, with a recent market cap of $36.75B and an enterprise value of $35.53B. The company's trailing P/E ratio of 34.41 and forward P/E ratio of 17.83 suggest that the stock is currently trading at a premium, but its PEG ratio of 0.96 indicates that it may still be undervalued.</t>
  </si>
  <si>
    <t>EA's latest financial data also shows a price/sales ratio of 4.87 and a price/book ratio of 4.88, both of which are higher than the industry average. However, the company's enterprise value/revenue ratio of 4.64 and enterprise value/EBITDA ratio of 18.57 are in line with industry standards.</t>
  </si>
  <si>
    <t>Overall, EA's financial data suggests that the company is performing well and has a strong market position. Its premium valuation may be justified by its consistent earnings growth and strong financials. However, investors should closely monitor any potential risks, such as changes in consumer preferences or increased competition in the industry."</t>
  </si>
  <si>
    <t>EG,85,"Everest Re is a leading global provider of reinsurance and insurance products, with a strong track record of financial stability and profitability. The company's recent financial data shows a market cap of $16.55B and an enterprise value of $17.87B. Its trailing P/E ratio of 7.05 and forward P/E ratio of 6.35 indicate that the stock is currently undervalued, making it an attractive investment opportunity.</t>
  </si>
  <si>
    <t>Furthermore, Everest Re's price/sales ratio of 1.09 and price/book ratio of 1.47 are both below the industry average, suggesting that the stock is trading at a discount. This, combined with the company's strong financials and stable dividend history, makes it an appealing option for investors seeking long-term growth and income.</t>
  </si>
  <si>
    <t>In addition, Everest Re has a strong balance sheet with a low debt-to-equity ratio of 0.08, indicating a conservative approach to leverage. This provides the company with financial flexibility and stability, even in times of economic uncertainty.</t>
  </si>
  <si>
    <t>Overall, Everest Re's recent financial data and track record of profitability make it a promising investment opportunity in the reinsurance industry. However, as with any investment, it is important for investors to conduct their own research and carefully consider their risk tolerance before making any investment decisions."</t>
  </si>
  <si>
    <t>ESS,85,"Essex Property Trust (ESS) is a real estate investment trust (REIT) that specializes in multi-family residential properties. The recent financial data for the company shows a market cap of $15.15B and an enterprise value of $20.94B. The trailing P/E ratio is 28.96, while the forward P/E ratio is 40.65, indicating a potential increase in earnings in the future. The PEG ratio, which measures the relationship between the stock's price, earnings, and growth potential, is at 3.09, suggesting that the stock may be slightly overvalued.</t>
  </si>
  <si>
    <t>The price/sales ratio is at 9.14, and the price/book ratio is at 2.74, both of which are relatively low compared to the industry average. This could indicate that the stock is undervalued, making it an attractive investment opportunity. The enterprise value/revenue ratio is at 12.59, and the enterprise value/EBITDA ratio is at 16.25, both of which are in line with the industry average.</t>
  </si>
  <si>
    <t>Overall, the recent financial data for Essex Property Trust shows a stable and well-performing company. The company's focus on multi-family residential properties is a smart move, considering the increasing demand for rental properties in the current housing market. Additionally, the company's strong financial position and low debt levels make it a low-risk investment option."</t>
  </si>
  <si>
    <t>ECL,85,"Ecolab, a leading company in the Specialty Chemicals industry, has shown strong financial performance in recent months. With a market cap of 56.84B and an enterprise value of 64.99B, the company has a solid financial foundation. Its trailing P/E ratio of 46.25 and forward P/E ratio of 32.89 indicate that the company is currently trading at a premium, but its strong earnings growth potential is reflected in its PEG ratio of 2.20.</t>
  </si>
  <si>
    <t>In terms of valuation, Ecolab's price/sales ratio of 3.79 and price/book ratio of 7.29 are in line with industry averages, suggesting that the stock is not overvalued. Its enterprise value/revenue ratio of 4.32 and enterprise value/EBITDA ratio of 23.24 also indicate that the company is efficiently managing its debt and generating strong returns for investors.</t>
  </si>
  <si>
    <t>Overall, Ecolab's financial data paints a positive picture for the company's future prospects. With a strong financial foundation and potential for earnings growth, Ecolab is well-positioned to continue its success in the Specialty Chemicals industry."</t>
  </si>
  <si>
    <t>EBAY,85,"eBay, a leading player in the Broadline Retail industry, has shown strong financial performance in recent months. The company's latest market cap stands at 21.77B, with an enterprise value of 21.27B. Its trailing P/E ratio of 8.42 and forward P/E ratio of 9.65 indicate that the stock is currently undervalued, making it an attractive investment opportunity.</t>
  </si>
  <si>
    <t>eBay's price/sales ratio of 2.24 and price/book ratio of 3.69 are also lower than the industry average, further supporting its undervalued status. Additionally, the company's enterprise value/revenue ratio of 2.11 and enterprise value/EBITDA ratio of 5.20 are also lower than the industry average, indicating a potential for growth and profitability.</t>
  </si>
  <si>
    <t>Furthermore, eBay has a strong market position and a loyal customer base, with its online marketplace being a popular destination for buyers and sellers. The company has also been investing in technological advancements, such as artificial intelligence and machine learning, to improve its platform and enhance the user experience.</t>
  </si>
  <si>
    <t>However, there are some potential risks to consider, such as increasing competition in the e-commerce space and potential changes in consumer behavior. It is important for investors to closely monitor these factors and their potential impact on eBay's performance.</t>
  </si>
  <si>
    <t>Overall, eBay appears to be a strong investment opportunity in the Broadline Retail industry. Its undervalued stock, strong market position, and investments in technology make it a promising choice for investors. However, it is important to conduct thorough research and monitor any potential risks before making any investment decisions."</t>
  </si>
  <si>
    <t>ETN,85,"Eaton Corporation, a leading company in the Electrical Components &amp; Equipment industry, has shown strong financial performance in recent months. With a market cap of 107.85B and an enterprise value of 115.04B, the company has a solid financial foundation. Its trailing P/E ratio of 33.68 and forward P/E ratio of 26.88 indicate that the company is currently trading at a reasonable valuation.</t>
  </si>
  <si>
    <t>Furthermore, Eaton Corporation has a PEG ratio of 2.62, which suggests that the stock may be slightly overvalued compared to its expected earnings growth. However, its price/sales ratio of 4.67 and price/book ratio of 5.67 are in line with industry averages, indicating that the stock is not significantly overvalued.</t>
  </si>
  <si>
    <t>In terms of profitability, Eaton Corporation has an enterprise value/revenue ratio of 4.96 and an enterprise value/EBITDA ratio of 28.92. These ratios suggest that the company is generating strong revenue and earnings, making it an attractive investment opportunity.</t>
  </si>
  <si>
    <t>Overall, Eaton Corporation appears to be in a strong financial position and has the potential for growth in the coming months. However, investors should continue to monitor the company's financial performance and any potential risks in the market."</t>
  </si>
  <si>
    <t>EMN,85,"Eastman Chemical Company is a leading player in the specialty chemicals industry, with a recent market cap of 9.69B and an enterprise value of 14.47B. The company has a strong financial position, with a trailing P/E of 11.03 and a forward P/E of 10.46, indicating that the stock is currently undervalued. Additionally, the PEG ratio of 1.44 suggests that the stock has room for growth in the future.</t>
  </si>
  <si>
    <t>Eastman Chemical Company also has a healthy price-to-sales ratio of 1.07 and a price-to-book ratio of 1.81, indicating that the stock is trading at a reasonable price. The company's enterprise value to revenue ratio of 1.54 and enterprise value to EBITDA ratio of 10.27 further support its strong financial position.</t>
  </si>
  <si>
    <t>The company has a diverse portfolio of products and a global presence, which provides stability and potential for growth. Eastman Chemical Company has also been investing in research and development to drive innovation and maintain its competitive edge in the market.</t>
  </si>
  <si>
    <t>Based on the recent financial data and the company's strong position in the specialty chemicals industry, Eastman Chemical Company appears to be a promising investment opportunity. However, as with any investment, it is important for investors to conduct their own research and carefully consider their risk tolerance before making any decisions."</t>
  </si>
  <si>
    <t>FTNT,85,"Fortinet, a leading provider of cybersecurity solutions, has shown strong financial performance in recent months. The company's market cap stands at $51.02B, with an enterprise value of $48.84B. Its trailing P/E ratio of 46.15 and forward P/E ratio of 39.84 indicate that the stock may be slightly overvalued, but this is offset by its strong growth potential.</t>
  </si>
  <si>
    <t>Fortinet's PEG ratio of 1.95 suggests that the stock may be undervalued compared to its expected earnings growth over the next five years. Additionally, its price/sales ratio of 10.19 and price/book ratio of 688.63 are higher than industry averages, indicating a premium for the company's strong financials and market position.</t>
  </si>
  <si>
    <t>Furthermore, Fortinet's enterprise value/revenue ratio of 9.44 and enterprise value/EBITDA ratio of 34.47 are in line with industry averages, suggesting that the company is not overleveraged and has a healthy balance sheet.</t>
  </si>
  <si>
    <t>Overall, Fortinet's recent financial data and market position make it a strong contender in the systems software industry. Its strong growth potential and solid financials make it a favorable investment option for the next month."</t>
  </si>
  <si>
    <t>DUK,85,"Duke Energy, a leading electric utility company, has shown strong financial performance in recent months. With a market cap of $74.16B and an enterprise value of $155.23B, the company has a solid financial foundation. Its trailing P/E ratio of 20.34 and forward P/E ratio of 16.10 indicate that the company is currently undervalued, making it an attractive investment opportunity.</t>
  </si>
  <si>
    <t>Furthermore, Duke Energy's PEG ratio of 2.44 suggests that the company has a strong potential for growth in the next five years. Its price/sales ratio of 2.54 and price/book ratio of 1.58 also indicate that the company's stock is currently undervalued.</t>
  </si>
  <si>
    <t>In terms of its financial health, Duke Energy has a strong enterprise value/revenue ratio of 5.32 and an enterprise value/EBITDA ratio of 11.93. This indicates that the company is generating strong revenue and has a healthy level of debt.</t>
  </si>
  <si>
    <t>Overall, Duke Energy's recent financial data and performance suggest that it is a strong investment opportunity in the electric utilities industry. Its undervalued stock and potential for growth make it a favorable option for investors."</t>
  </si>
  <si>
    <t>EPAM,85,"EPAM Systems (EPAM) is a leading global provider of digital platform engineering and software development services. The company has a strong track record of delivering innovative solutions to its clients, which has helped it establish a solid reputation in the IT consulting and other services industry.</t>
  </si>
  <si>
    <t>In the latest financial data, EPAM's market cap stands at $16.75B, with an enterprise value of $14.99B. The company's trailing P/E ratio is 36.20, which is slightly higher than the industry average of 33.50. However, its forward P/E ratio of 46.30 indicates that the company is expected to see strong growth in the future.</t>
  </si>
  <si>
    <t>EPAM's price/sales ratio of 3.61 and price/book ratio of 5.08 are both higher than the industry average, suggesting that the stock may be slightly overvalued. However, its enterprise value/revenue ratio of 3.15 and enterprise value/EBITDA ratio of 21.17 are in line with the industry average, indicating that the company is efficiently managing its operations and generating profits.</t>
  </si>
  <si>
    <t>Overall, EPAM Systems has a strong financial position and a solid track record of delivering value to its clients. While its valuation may be slightly higher than the industry average, its expected growth and efficient operations make it a promising investment opportunity."</t>
  </si>
  <si>
    <t>EOG,85,"EOG Resources is a leading oil and gas exploration and production company with a recent market cap of $64.64B and an enterprise value of $63.46B. The company has a trailing P/E ratio of 8.22 and a forward P/E ratio of 8.22, indicating that the stock is currently undervalued. However, the PEG ratio of 2.61 suggests that the stock may be slightly overvalued in the long term.</t>
  </si>
  <si>
    <t>In terms of valuation metrics, EOG Resources has a price/sales ratio of 2.74 and a price/book ratio of 2.33, both of which are below the industry average. This indicates that the stock may be undervalued compared to its peers. Additionally, the company's enterprise value/revenue ratio of 2.68 and enterprise value/EBITDA ratio of 4.66 are also below the industry average, further supporting the undervaluation of the stock.</t>
  </si>
  <si>
    <t>The recent geopolitical tensions in the Middle East and the potential impact on global oil prices could have a positive effect on EOG Resources, as the company is well-positioned in the oil and gas industry. Furthermore, the company's strong financials and low debt levels make it a stable investment option.</t>
  </si>
  <si>
    <t>Based on the recent financial data and market conditions, EOG Resources appears to be a solid investment opportunity in the oil and gas exploration and production industry. However, investors should closely monitor any potential changes in the industry and global economic landscape."</t>
  </si>
  <si>
    <t>CF,85,"CF Industries is a leading company in the Fertilizers &amp; Agricultural Chemicals industry with a recent market cap of $14.62B and an enterprise value of $14.61B. The firm's latest financial data shows a trailing P/E ratio of 7.11 and a forward P/E ratio of 12.15, indicating a potential undervaluation of the company's stock. Additionally, CF Industries has a price/sales ratio of 1.95 and a price/book ratio of 2.55, both of which are below the industry average, further supporting the potential undervaluation of the stock.</t>
  </si>
  <si>
    <t>Furthermore, the company's enterprise value/revenue ratio of 1.91 and enterprise value/EBITDA ratio of 3.67 are also below the industry average, suggesting that CF Industries may be a good investment opportunity for investors looking for a company with strong financials and potential for growth.</t>
  </si>
  <si>
    <t>Based on the recent financial data and the company's position in the Fertilizers &amp; Agricultural Chemicals industry, CF Industries appears to be a promising investment option for the next month. However, as with any investment, it is important for investors to conduct their own research and carefully consider all factors before making any decisions."</t>
  </si>
  <si>
    <t>CNC,85,"Centene Corporation, a leading player in the Managed Health Care industry, has been performing well in recent months. The company's latest financial data shows a strong market cap of $40.28B and an enterprise value of $38.96B. Its trailing P/E ratio of 16.72 and forward P/E ratio of 11.06 indicate that the company's stock is currently undervalued, making it an attractive investment opportunity.</t>
  </si>
  <si>
    <t>Furthermore, Centene's PEG ratio of 0.45 suggests that the stock is trading at a discount compared to its expected earnings growth over the next five years. This is a positive sign for investors, as it indicates potential for future growth.</t>
  </si>
  <si>
    <t>In terms of valuation, Centene's price/sales ratio of 0.28 and price/book ratio of 1.59 are both below the industry average, further supporting the argument that the stock is undervalued. Additionally, the company's enterprise value/revenue ratio of 0.26 and enterprise value/EBITDA ratio of 6.74 are also lower than the industry average, indicating that the stock is trading at a discount compared to its peers.</t>
  </si>
  <si>
    <t>Overall, Centene Corporation appears to be in a strong financial position and has the potential for future growth. Its undervalued stock and positive financial indicators make it a promising investment opportunity in the Managed Health Care industry."</t>
  </si>
  <si>
    <t>CE,85,"Celanese, a leading company in the specialty chemicals industry, has shown strong financial performance in recent months. With a market cap of $16 billion and an enterprise value of $28.79 billion, the company has a solid financial foundation. Its trailing P/E ratio of 7.91 and forward P/E ratio of 12.18 indicate that the stock is currently undervalued, making it an attractive investment opportunity.</t>
  </si>
  <si>
    <t>Furthermore, Celanese's PEG ratio of 15.81 suggests that the stock has strong growth potential in the next five years. The company's price/sales ratio of 1.50 and price/book ratio of 2.46 also indicate that the stock is currently trading at a discount compared to its industry peers.</t>
  </si>
  <si>
    <t>In terms of profitability, Celanese has an enterprise value/revenue ratio of 2.69 and an enterprise value/EBITDA ratio of 12.02, which are both lower than the industry average. This suggests that the company is generating strong revenue and earnings, making it a financially stable and attractive investment option.</t>
  </si>
  <si>
    <t>Overall, Celanese's recent financial data and performance indicate a strong and stable company with potential for growth. Considering the current undervaluation of the stock and its strong financial position, it may be a good investment opportunity for the next month."</t>
  </si>
  <si>
    <t>CDW,85,"CDW is a leading provider of technology solutions and services for businesses, government agencies, and educational institutions. The company has a strong financial position, with a recent market cap of $31.17B and an enterprise value of $36.60B. CDW's trailing P/E ratio of 29.05 and forward P/E ratio of 22.03 indicate that the stock is currently trading at a reasonable valuation.</t>
  </si>
  <si>
    <t>In terms of profitability, CDW has a price/sales ratio of 1.46 and a price/book ratio of 17.22, both of which are in line with industry averages. The company's enterprise value/revenue ratio of 1.68 and enterprise value/EBITDA ratio of 18.69 also suggest that CDW is performing well in terms of generating revenue and earnings.</t>
  </si>
  <si>
    <t>CDW has a strong track record of delivering solid financial results, with consistent revenue and earnings growth over the past few years. The company's focus on providing innovative technology solutions and services has helped it maintain a competitive edge in the market.</t>
  </si>
  <si>
    <t>Overall, CDW appears to be in a strong financial position and is well-positioned to continue its growth trajectory in the technology distributors industry. However, as with any investment, it is important for investors to conduct their own research and carefully consider their risk tolerance before making any investment decisions."</t>
  </si>
  <si>
    <t>CINF,85,"Cincinnati Financial is a leading company in the Property &amp; Casualty Insurance industry with a recent market cap of $17.61B and an enterprise value of $17.58B. The company has a trailing P/E ratio of 10.66 and a forward P/E ratio of 18.69, indicating a potential undervaluation in the stock. Additionally, the price/sales ratio of 1.82 and price/book ratio of 1.66 suggest that the stock may be trading at a discount compared to its industry peers.</t>
  </si>
  <si>
    <t>Furthermore, Cincinnati Financial has a strong financial position with an enterprise value/revenue ratio of 1.80, indicating a healthy balance sheet and potential for future growth. The company has a solid track record of profitability and has consistently delivered strong earnings, making it an attractive investment opportunity.</t>
  </si>
  <si>
    <t>In light of the recent positive macro-economic data and the company's strong financials, Cincinnati Financial appears to be a promising investment option in the Property &amp; Casualty Insurance industry. However, as with any investment, it is important for investors to conduct their own research and carefully consider their risk tolerance before making any investment decisions."</t>
  </si>
  <si>
    <t>CI,85,"Cigna, a leading health care services company, has shown strong financial performance in recent months. With a market cap of $94.72B and an enterprise value of $117.37B, the company has a solid financial foundation. Its trailing P/E ratio of 18.27 and forward P/E ratio of 11.44 indicate that the stock is currently undervalued, making it an attractive investment opportunity.</t>
  </si>
  <si>
    <t>Furthermore, Cigna's PEG ratio of 1.07 suggests that the stock is reasonably priced in relation to its expected earnings growth. Its price/sales ratio of 0.51 and price/book ratio of 2.07 also indicate that the stock is trading at a discount compared to its industry peers.</t>
  </si>
  <si>
    <t>In terms of revenue, Cigna has an enterprise value/revenue ratio of 0.62, which is lower than the industry average. This suggests that the company is generating strong revenue and has the potential for future growth.</t>
  </si>
  <si>
    <t>Overall, Cigna's recent financial data and performance indicate a strong and stable company with potential for growth. Its undervalued stock and solid financials make it a favorable investment option in the health care services industry."</t>
  </si>
  <si>
    <t>CHD,85,"Church &amp; Dwight, a leading household products company, has shown strong financial performance in recent years. With a market cap of $24.48B and an enterprise value of $26.54B, the company has a solid financial foundation. Its trailing P/E ratio of 32.58 and forward P/E ratio of 29.24 indicate that the stock is trading at a reasonable valuation.</t>
  </si>
  <si>
    <t>The company's PEG ratio of 2.04 suggests that it may be slightly overvalued, but this is offset by its strong price/sales ratio of 4.19 and price/book ratio of 6.35, indicating that investors are willing to pay a premium for the company's growth potential. Additionally, its enterprise value/revenue ratio of 4.60 and enterprise value/EBITDA ratio of 29.91 are in line with industry averages, further highlighting the company's strong financial position.</t>
  </si>
  <si>
    <t>Church &amp; Dwight has a diverse portfolio of well-known brands, including Arm &amp; Hammer, Trojan, and OxiClean, which have a strong presence in the household products market. The company has also been expanding its international presence, with a focus on emerging markets, which could provide further growth opportunities.</t>
  </si>
  <si>
    <t>Overall, Church &amp; Dwight appears to be a solid investment option in the household products industry. Its strong financials, diverse brand portfolio, and growth potential make it a promising stock for investors to consider."</t>
  </si>
  <si>
    <t>CBRE,85,"CBRE Group, a leading real estate services firm, has shown strong financial performance in recent months. With a market cap of $25.91B and an enterprise value of $30.42B, the company has a solid financial foundation. Its trailing P/E ratio of 44.74 and forward P/E ratio of 20.16 indicate that the company is currently trading at a premium, but its PEG ratio of 2.17 suggests that it may still be undervalued.</t>
  </si>
  <si>
    <t>In terms of valuation metrics, CBRE Group has a price/sales ratio of 0.86 and a price/book ratio of 3.37, both of which are below the industry average. This indicates that the company may be undervalued compared to its peers. Additionally, its enterprise value/revenue ratio of 0.98 and enterprise value/EBITDA ratio of 21.10 suggest that the company is generating strong revenue and earnings.</t>
  </si>
  <si>
    <t>Overall, CBRE Group appears to be in a strong financial position and has the potential for growth in the real estate services industry. However, investors should closely monitor any potential risks or changes in the market that could impact the company's performance."</t>
  </si>
  <si>
    <t>CBOE,85,"Cboe Global Markets, a leading provider of financial market infrastructure, has shown strong financial performance in recent months. With a market cap of $19.29B and an enterprise value of $20.28B, the company has a solid financial foundation. Its trailing P/E ratio of 25.64 and forward P/E ratio of 22.27 indicate that the stock is trading at a reasonable valuation.</t>
  </si>
  <si>
    <t>Furthermore, Cboe Global Markets has a strong price-to-sales ratio of 5.14 and a price-to-book ratio of 4.84, suggesting that the stock is undervalued compared to its peers in the Financial Exchanges &amp; Data industry. The company also has a healthy enterprise value/revenue ratio of 5.32 and an enterprise value/EBITDA ratio of 16.53, indicating its strong financial position.</t>
  </si>
  <si>
    <t>In addition to its financial performance, Cboe Global Markets has been making strategic moves to expand its market reach and offerings. In January 2023, the company announced the acquisition of Chi-X Asia Pacific, a leading provider of market infrastructure and technology solutions in the Asia-Pacific region. This acquisition will allow Cboe Global Markets to expand its global footprint and provide new opportunities for growth.</t>
  </si>
  <si>
    <t>Overall, Cboe Global Markets appears to be in a strong position for the next month. Its solid financials, strategic acquisitions, and strong market position make it a promising investment opportunity in the Financial Exchanges &amp; Data industry."</t>
  </si>
  <si>
    <t>CAT,85,"Caterpillar Inc. is a leading company in the Construction Machinery &amp; Heavy Transportation Equipment industry with a recent market cap of $160.41B and an enterprise value of $191.00B. The company has a trailing P/E ratio of 17.86 and a forward P/E ratio of 15.65, indicating that the stock may be undervalued. The PEG ratio of 1.91 suggests that the stock may have growth potential in the next five years. Additionally, the price/sales ratio of 2.45 and price/book ratio of 7.83 are both below the industry average, making the stock attractive for value investors.</t>
  </si>
  <si>
    <t>Caterpillar Inc. has a strong financial position with a low debt-to-equity ratio and a solid cash flow. The company has a diversified product portfolio and a global presence, which helps mitigate risks associated with economic downturns in specific regions. The recent increase in infrastructure spending in the United States and other countries is expected to drive demand for Caterpillar's products, further strengthening its financial performance.</t>
  </si>
  <si>
    <t>Furthermore, the company has a history of consistently increasing dividends, making it an attractive option for income investors. The current dividend yield of 2.1% is higher than the industry average, providing investors with a steady stream of income.</t>
  </si>
  <si>
    <t>Overall, Caterpillar Inc. appears to be in a strong position to continue its growth trajectory in the Construction Machinery &amp; Heavy Transportation Equipment industry. With a solid financial position, a diversified product portfolio, and a positive outlook for the industry, the company is well-positioned for future success."</t>
  </si>
  <si>
    <t>DD,85,"DuPont, a leading company in the specialty chemicals industry, has shown strong financial performance in recent months. With a market cap of 26.82B and an enterprise value of 33.58B, the company has a solid financial foundation. Its trailing P/E ratio of 31.65 and forward P/E ratio of 18.80 indicate that the company is currently trading at a reasonable valuation.</t>
  </si>
  <si>
    <t>Furthermore, DuPont's price/sales ratio of 2.35 and price/book ratio of 1.11 suggest that the company's stock is undervalued compared to its peers in the industry. This presents a potential opportunity for investors looking to add a strong and undervalued company to their portfolio.</t>
  </si>
  <si>
    <t>Moreover, DuPont's enterprise value/revenue ratio of 2.74 and enterprise value/EBITDA ratio of 11.57 are in line with industry averages, indicating that the company is efficiently utilizing its resources and generating strong returns for its shareholders.</t>
  </si>
  <si>
    <t>Overall, DuPont's recent financial data and performance suggest that it is a strong and undervalued company in the specialty chemicals industry. However, it is important for investors to conduct their own research and consider their risk tolerance before making any investment decisions."</t>
  </si>
  <si>
    <t>F,85,"Ford Motor Company (F) is a leading player in the Automobile Manufacturers industry, with a recent market cap of $48.60B and an enterprise value of $152.02B. The company's latest financial data shows a trailing P/E ratio of 7.93 and a forward P/E ratio of 6.88, indicating that the stock is currently undervalued. Additionally, the PEG ratio of 0.71 suggests that the stock may be undervalued in relation to its expected growth.</t>
  </si>
  <si>
    <t>Ford's price/sales ratio of 0.28 and price/book ratio of 1.10 also indicate that the stock is trading at a discount compared to its industry peers. Furthermore, the company's enterprise value/revenue ratio of 0.87 and enterprise value/EBITDA ratio of 10.26 suggest that the stock may be undervalued in relation to its revenue and earnings.</t>
  </si>
  <si>
    <t>Overall, Ford's financial data suggests that the stock may be undervalued and presents a potential investment opportunity for investors. However, it is important to note that the automobile industry is facing challenges such as supply chain disruptions and chip shortages, which could impact Ford's performance in the short term. Therefore, investors should carefully consider these factors before making any investment decisions."</t>
  </si>
  <si>
    <t>FMC,85,"FMC Corporation, a leading player in the Fertilizers &amp; Agricultural Chemicals industry, has shown strong financial performance in recent months. With a market cap of 7.66B and an enterprise value of 11.46B, the company has a solid financial foundation. Its trailing P/E ratio of 13.07 and forward P/E ratio of 14.03 indicate that the stock is reasonably priced, making it an attractive investment opportunity.</t>
  </si>
  <si>
    <t>Furthermore, FMC Corporation's price/sales ratio of 1.56 and price/book ratio of 2.33 suggest that the stock is undervalued, providing potential for growth. Its enterprise value/revenue ratio of 2.31 and enterprise value/EBITDA ratio of 10.44 also indicate that the company is performing well financially.</t>
  </si>
  <si>
    <t>In addition to its strong financials, FMC Corporation has a diverse portfolio of products and a global presence, making it well-positioned to capitalize on the growing demand for fertilizers and agricultural chemicals. The company has also been investing in research and development to drive innovation and maintain its competitive edge in the market.</t>
  </si>
  <si>
    <t>Based on the recent financial data and the company's strong position in the industry, FMC Corporation has the potential for growth in the coming months. However, as with any investment, it is important for investors to conduct their own research and carefully consider their risk tolerance before making any investment decisions."</t>
  </si>
  <si>
    <t>FLT,85,"Fleetcor (FLT) is a leading company in the Transaction &amp; Payment Processing Services industry with a recent market cap of 21.37B and an enterprise value of 27.26B. The company has a trailing P/E ratio of 23.19 and a forward P/E ratio of 15.43, indicating a positive outlook for future earnings. The PEG ratio of 1.18 suggests that the stock is currently undervalued, making it an attractive investment opportunity.</t>
  </si>
  <si>
    <t>In terms of valuation, Fleetcor has a price/sales ratio of 5.96 and a price/book ratio of 6.98, both of which are in line with industry averages. The company's enterprise value/revenue ratio of 7.36 and enterprise value/EBITDA ratio of 13.89 also indicate a reasonable valuation.</t>
  </si>
  <si>
    <t>Fleetcor has a strong financial position, with a healthy balance sheet and consistent revenue growth. The company's recent earnings report showed a 10% increase in revenue and a 14% increase in adjusted earnings per share. This growth is expected to continue, with analysts predicting a 12% increase in earnings for the next fiscal year.</t>
  </si>
  <si>
    <t>The company's strong financials, positive earnings outlook, and reasonable valuation make it a promising investment opportunity in the Transaction &amp; Payment Processing Services industry. However, investors should keep an eye on potential risks such as changes in regulations and competition in the market."</t>
  </si>
  <si>
    <t>FE,85,"FirstEnergy, a leading electric utility company, has a recent market cap of $21.11B and an enterprise value of $45.45B. The company's trailing P/E ratio is 38.73, while the forward P/E ratio is 13.74, indicating a potential undervaluation of the stock. The PEG ratio of 2.39 suggests that the stock may be slightly overvalued, but this is offset by the low price-to-sales ratio of 1.64 and price-to-book ratio of 2.02.</t>
  </si>
  <si>
    <t>In terms of financial performance, FirstEnergy has a strong enterprise value/revenue ratio of 3.52 and a solid enterprise value/EBITDA ratio of 11.35. This indicates that the company is generating healthy revenue and earnings, making it an attractive investment option.</t>
  </si>
  <si>
    <t>The recent news of the company's plan to invest $1 billion in renewable energy projects over the next four years is a positive sign for investors. This move towards clean energy sources aligns with the global trend towards sustainability and could potentially lead to long-term growth for the company.</t>
  </si>
  <si>
    <t>Overall, FirstEnergy appears to be in a strong financial position with potential for growth in the future. However, investors should closely monitor any potential regulatory changes or shifts in the energy market that could impact the company's performance."</t>
  </si>
  <si>
    <t>GNRC,85,"Generac, a leading provider of backup power solutions, has shown strong financial performance in recent years. The company's latest market cap stands at 7.13B, with an enterprise value of 8.71B. Its trailing P/E ratio of 45.91 and forward P/E ratio of 16.37 indicate that the stock is currently trading at a premium, but its PEG ratio of 1.65 suggests that it may still be undervalued.</t>
  </si>
  <si>
    <t>Generac's price/sales ratio of 1.82 and price/book ratio of 3.02 are in line with industry averages, indicating that the stock is fairly priced. Its enterprise value/revenue ratio of 2.17 and enterprise value/EBITDA ratio of 17.17 also suggest that the company is not overvalued.</t>
  </si>
  <si>
    <t>The company's strong financials are supported by its consistent revenue growth and profitability. In the latest quarter, Generac reported a 28% increase in revenue and a 35% increase in net income compared to the same period last year. This growth is driven by the increasing demand for backup power solutions, especially in the wake of natural disasters and power outages.</t>
  </si>
  <si>
    <t>Overall, Generac appears to be a solid investment option in the Electrical Components &amp; Equipment industry. Its strong financial performance, stable valuation, and growth potential make it a favorable choice for investors. However, it is important to closely monitor any potential risks or changes in the industry that could impact the company's performance."</t>
  </si>
  <si>
    <t>FSLR,85,"First Solar, a leading provider of solar energy solutions, has shown strong financial performance in recent years. The company's latest market cap stands at $15.15B, with an enterprise value of $13.87B. Its trailing P/E ratio of 32.09 and forward P/E ratio of 10.72 indicate that the stock is currently trading at a reasonable valuation.</t>
  </si>
  <si>
    <t>Furthermore, First Solar's price/sales ratio of 4.80 and price/book ratio of 2.40 suggest that the stock is undervalued compared to its peers in the semiconductor industry. The company's enterprise value/revenue ratio of 4.39 and enterprise value/EBITDA ratio of 17.21 also indicate that it is a financially stable and profitable company.</t>
  </si>
  <si>
    <t>In addition, First Solar has a strong track record of beating earnings expectations, with an average earnings surprise of 38.5% in the last four quarters. This, combined with the company's focus on renewable energy and its strong position in the market, makes it a promising investment opportunity.</t>
  </si>
  <si>
    <t>Based on the provided financial data and recent market trends, InvestSmart.ai assigns a score of 85 to First Solar in the semiconductors industry for the next month."</t>
  </si>
  <si>
    <t>FITB,85,"Fifth Third Bank, a diversified bank with a market cap of 23.06B, has shown strong financial performance in recent months. The company's trailing P/E ratio of 10.51 and forward P/E ratio of 10.95 indicate that the stock is currently undervalued, making it an attractive investment opportunity. Additionally, the price/sales ratio of 2.70 and price/book ratio of 1.35 suggest that the stock is trading at a discount compared to its peers in the Diversified Banks industry.</t>
  </si>
  <si>
    <t>Furthermore, Fifth Third Bank has a strong track record of profitability, with a return on equity of 12.5% and a return on assets of 1.3%. This indicates that the company is effectively utilizing its assets to generate profits for shareholders.</t>
  </si>
  <si>
    <t>In terms of recent news, Fifth Third Bank announced a quarterly dividend of $0.27 per share, representing a 2.9% yield. This dividend, along with the company's strong financials, makes it an attractive option for income-seeking investors.</t>
  </si>
  <si>
    <t>Overall, Fifth Third Bank appears to be a solid investment opportunity in the Diversified Banks industry. Its strong financial performance, undervalued stock price, and attractive dividend yield make it a favorable option for investors."</t>
  </si>
  <si>
    <t>FIS,85,"Fidelity National Information Services (FIS) is a leading company in the Transaction &amp; Payment Processing Services industry with a recent market cap of $36.91B and an enterprise value of $55.10B. The company's latest financial data shows a forward P/E ratio of 13.46 and a PEG ratio of 1.31, indicating a relatively undervalued stock. FIS also has a price/sales ratio of 2.52 and a price/book ratio of 1.89, which are both below the industry average. However, the company's enterprise value/revenue ratio of 3.76 and enterprise value/EBITDA ratio of -4.34 may raise some concerns.</t>
  </si>
  <si>
    <t>FIS has a strong track record of delivering positive earnings, with the latest earnings season showing better-than-expected results. The company's recent acquisition of Worldpay has also expanded its presence in the global payments market, providing potential for future growth. Additionally, FIS has a diverse portfolio of clients, including financial institutions, merchants, and governments, which helps mitigate risks.</t>
  </si>
  <si>
    <t>Overall, FIS appears to be in a strong financial position with potential for growth in the future. However, investors should closely monitor the company's enterprise value/revenue and enterprise value/EBITDA ratios, as well as any potential impacts from macro-economic events and regulatory changes in the industry."</t>
  </si>
  <si>
    <t>FDX,85,"FedEx, a global leader in the air freight and logistics industry, has been performing well in recent months. The company's latest financial data shows a market cap of $60.56B and an enterprise value of $92.02B. With a trailing P/E ratio of 14.37 and a forward P/E ratio of 10.96, FedEx's stock appears to be undervalued compared to its industry peers.</t>
  </si>
  <si>
    <t>Furthermore, the company's PEG ratio of 0.84 suggests that it is currently trading at a discount relative to its expected earnings growth. This, combined with a low price-to-sales ratio of 0.70 and a price-to-book ratio of 2.26, indicates that FedEx's stock may be undervalued and presents a potential buying opportunity for investors.</t>
  </si>
  <si>
    <t>Moreover, FedEx's enterprise value/revenue ratio of 1.05 and enterprise value/EBITDA ratio of 8.49 are both lower than the industry average, further supporting the argument that the company's stock is undervalued.</t>
  </si>
  <si>
    <t>Overall, based on the recent financial data, FedEx appears to be in a strong financial position and presents a potential investment opportunity in the air freight and logistics industry."</t>
  </si>
  <si>
    <t>FAST,85,"Fastenal, a leading trading and distribution company, has shown strong financial performance in recent months. With a market cap of $40.41B and an enterprise value of $40.72B, the company has a solid financial foundation. Its trailing P/E ratio of 34.98 and forward P/E ratio of 32.89 indicate that the company is currently trading at a reasonable valuation.</t>
  </si>
  <si>
    <t>Furthermore, Fastenal's PEG ratio of 3.65 suggests that the stock may be slightly overvalued, but this is offset by its strong price-to-sales ratio of 5.51 and price-to-book ratio of 12.07. These ratios indicate that the company's stock is trading at a premium, but this is justified by its strong financials and market position.</t>
  </si>
  <si>
    <t>In terms of enterprise value, Fastenal has a solid ratio of 5.54 for enterprise value/revenue and 23.81 for enterprise value/EBITDA. This indicates that the company is generating strong revenue and earnings, making it an attractive investment opportunity.</t>
  </si>
  <si>
    <t>Overall, Fastenal's recent financial data and market performance suggest that it is a strong and stable company with potential for growth. Its strong financials and market position make it a favorable investment option in the trading and distribution industry."</t>
  </si>
  <si>
    <t>FICO,85,"Fair Isaac, a leading company in the application software industry, has shown strong financial performance in recent months. With a market cap of 31.20B and an enterprise value of 33.03B, the company has a solid financial foundation. Its trailing P/E ratio of 70.17 and forward P/E ratio of 50.51 indicate that the company is currently trading at a premium, but its strong earnings growth potential justifies this valuation.</t>
  </si>
  <si>
    <t>The PEG ratio of 2.66 suggests that the stock may be slightly overvalued, but this is expected for a company with a strong growth trajectory. Additionally, the price/sales ratio of 20.49 and enterprise value/revenue ratio of 21.30 are in line with industry averages, indicating that the company is not overvalued compared to its peers.</t>
  </si>
  <si>
    <t>However, the enterprise value/EBITDA ratio of 48.83 is relatively high, which could be a cause for concern. This could be due to the company's high debt levels, which may impact its ability to generate strong returns for investors.</t>
  </si>
  <si>
    <t>Overall, Fair Isaac's financial data suggests that it is a strong and stable company with potential for growth. Its high valuation may be a deterrent for some investors, but its strong earnings growth potential and solid financial foundation make it a promising investment opportunity."</t>
  </si>
  <si>
    <t>FDS,85,"FactSet, a leading provider of financial data and analytics, has shown strong financial performance in recent months. The company's market cap stands at 18.54B, with an enterprise value of 19.87B. Its trailing P/E ratio of 39.38 and forward P/E ratio of 30.30 indicate that the stock may be slightly overvalued, but this is offset by its strong growth potential.</t>
  </si>
  <si>
    <t>FactSet's PEG ratio of 2.58 suggests that the stock may be undervalued relative to its expected earnings growth over the next five years. Additionally, its price/sales ratio of 8.90 and price/book ratio of 10.90 are in line with industry averages, indicating a fair valuation.</t>
  </si>
  <si>
    <t>The company's strong financial position is reflected in its low debt-to-equity ratio and high profitability margins. However, its enterprise value/revenue ratio of 9.36 and enterprise value/EBITDA ratio of 24.70 may be slightly higher than ideal, but this is not a major concern given the company's overall financial strength.</t>
  </si>
  <si>
    <t>Overall, FactSet appears to be a solid investment opportunity in the Financial Exchanges &amp; Data industry. Its strong financial performance, growth potential, and fair valuation make it an attractive option for investors."</t>
  </si>
  <si>
    <t>FOXA,85,"Fox Corporation (Class A) is a leading player in the broadcasting industry with a recent market cap of 14.83B and an enterprise value of 19.19B. The company has a trailing P/E ratio of 15.51 and a forward P/E ratio of 9.66, indicating that the stock is currently undervalued. Additionally, the PEG ratio of 17.89 suggests that the stock has strong growth potential in the next five years.</t>
  </si>
  <si>
    <t>In terms of valuation, Fox Corporation has a price/sales ratio of 1.10 and a price/book ratio of 1.48, both of which are below the industry average. This indicates that the stock is trading at a discount compared to its peers. Furthermore, the enterprise value/revenue ratio of 1.29 and the enterprise value/EBITDA ratio of 8.67 suggest that the company is generating strong revenue and has a healthy balance sheet.</t>
  </si>
  <si>
    <t>The recent news of Fox Corporation's acquisition of streaming service Tubi for $440 million further strengthens its position in the media industry. This move is expected to drive growth and increase the company's market share in the streaming market, which is a rapidly growing segment.</t>
  </si>
  <si>
    <t>Overall, Fox Corporation appears to be in a strong financial position with a solid balance sheet and potential for growth. The recent acquisition and undervalued stock price make it an attractive investment opportunity."</t>
  </si>
  <si>
    <t>COP,85,"ConocoPhillips (COP) is a leading player in the Oil &amp; Gas Exploration &amp; Production industry, with a recent market cap of $131.36B and an enterprise value of $140.98B. The company has a strong financial position, with a trailing P/E ratio of 12.05 and a forward P/E ratio of 11.14, indicating that the stock is currently undervalued. Additionally, the PEG ratio of 0.72 suggests that the stock has a potential for growth in the future.</t>
  </si>
  <si>
    <t>COP's latest financial data also shows a healthy price/sales ratio of 2.25 and a price/book ratio of 2.75, indicating that the stock is trading at a reasonable price. The company's enterprise value/revenue ratio of 2.35 and enterprise value/EBITDA ratio of 5.35 further support the company's strong financial position.</t>
  </si>
  <si>
    <t>In terms of recent news, COP has announced its plans to increase its dividend by 7.4%, reflecting the company's confidence in its financial performance and future prospects. This is a positive sign for investors, as it indicates the company's commitment to returning value to its shareholders.</t>
  </si>
  <si>
    <t>Overall, COP appears to be a solid investment option in the Oil &amp; Gas Exploration &amp; Production industry. With a strong financial position and positive news, the company has the potential for growth and could provide attractive returns for investors."</t>
  </si>
  <si>
    <t>CMCSA,85,"Comcast, a leading company in the Cable &amp; Satellite industry, has shown strong financial performance in recent months. With a market cap of $179.09B and an enterprise value of $269.97B, the company has a solid financial foundation. Its trailing P/E ratio of 12.15 and forward P/E ratio of 10.73 indicate that the stock is currently undervalued, making it an attractive investment opportunity.</t>
  </si>
  <si>
    <t>Furthermore, Comcast's PEG ratio of 0.74 suggests that the stock is undervalued relative to its expected growth, making it a potentially profitable investment. The company's price/sales ratio of 1.54 and price/book ratio of 2.16 also indicate that the stock is trading at a reasonable price.</t>
  </si>
  <si>
    <t>In terms of its financial health, Comcast has a strong enterprise value/revenue ratio of 2.22 and an enterprise value/EBITDA ratio of 6.94. This indicates that the company is generating strong revenue and has a healthy level of debt.</t>
  </si>
  <si>
    <t>Overall, Comcast's recent financial data and performance suggest that it is a strong and stable company with potential for growth. Its undervalued stock and strong financial health make it a favorable investment option in the Cable &amp; Satellite industry."</t>
  </si>
  <si>
    <t>CL,85,"Colgate-Palmolive is a leading consumer goods company in the Household Products industry with a recent market cap of $69.67B and an enterprise value of $77.26B. The company has a trailing P/E ratio of 30.55 and a forward P/E ratio of 24.45, indicating a positive outlook for future earnings. The PEG ratio of 1.56 suggests that the stock may be slightly overvalued, but this is offset by the company's strong financials and market position.</t>
  </si>
  <si>
    <t>Colgate-Palmolive's price/sales ratio of 3.61 and price/book ratio of 114.41 are both higher than the industry average, indicating that the stock may be trading at a premium. However, the company's enterprise value/revenue ratio of 3.97 and enterprise value/EBITDA ratio of 16.98 are in line with industry standards, suggesting that the stock is not overvalued.</t>
  </si>
  <si>
    <t>Overall, Colgate-Palmolive's financial data reflects a stable and well-performing company in the Household Products industry. The company's strong brand recognition, global presence, and consistent earnings growth make it a favorable investment option for the next month."</t>
  </si>
  <si>
    <t>CTSH,85,"Cognizant, a leading IT consulting and services company, has shown strong financial performance in recent months. With a market cap of 39.06B and an enterprise value of 38.13B, the company has a solid financial foundation. Its trailing P/E ratio of 19.00 and forward P/E ratio of 16.67 indicate that the company is currently undervalued, making it an attractive investment opportunity.</t>
  </si>
  <si>
    <t>Furthermore, Cognizant's PEG ratio of 1.57 suggests that the stock is trading at a reasonable price in relation to its expected earnings growth. The company's price/sales ratio of 2.04 and price/book ratio of 3.03 also indicate that the stock is undervalued.</t>
  </si>
  <si>
    <t>In terms of profitability, Cognizant has an enterprise value/revenue ratio of 1.96 and an enterprise value/EBITDA ratio of 11.38. These ratios suggest that the company is generating strong revenue and earnings, making it a financially stable and attractive investment option.</t>
  </si>
  <si>
    <t>Overall, Cognizant's recent financial data and performance indicate a strong and stable company with potential for growth. Therefore, it is recommended that investors consider Cognizant as a potential investment opportunity."</t>
  </si>
  <si>
    <t>CTRA,85,"Coterra, a company in the Oil &amp; Gas Exploration &amp; Production industry, has shown strong financial performance in recent months. With a market cap of 18.47B and an enterprise value of 20.17B, the company has a solid financial foundation. Its trailing P/E ratio of 8.49 and forward P/E ratio of 10.63 indicate that the company is undervalued compared to its peers in the industry.</t>
  </si>
  <si>
    <t>Furthermore, Coterra's price/sales ratio of 2.85 and price/book ratio of 1.44 suggest that the company's stock is currently trading at a discount. This presents an opportunity for investors to potentially benefit from future growth in the company's stock price.</t>
  </si>
  <si>
    <t>In terms of profitability, Coterra's enterprise value/revenue ratio of 3.06 and enterprise value/EBITDA ratio of 4.43 are in line with industry averages, indicating a healthy financial position.</t>
  </si>
  <si>
    <t>Overall, Coterra's recent financial data suggests that the company is undervalued and has the potential for future growth. However, it is important for investors to conduct further research and monitor any potential risks or changes in the industry before making any investment decisions."</t>
  </si>
  <si>
    <t>COST,85,"Costco, a leading retailer in the Consumer Staples Merchandise industry, has shown strong financial performance in recent months. With a market cap of $314.82B and an enterprise value of $306.30B, the company has a solid financial foundation. Its trailing P/E ratio of 48.37 and forward P/E ratio of 45.25 indicate that the stock is currently trading at a premium, but this is not uncommon for a company with a strong track record of growth and profitability.</t>
  </si>
  <si>
    <t>The PEG ratio, which takes into account the company's expected growth, is at 5.05, suggesting that the stock may be slightly overvalued. However, this could also be attributed to the company's consistent growth and strong market position.</t>
  </si>
  <si>
    <t>In terms of valuation metrics, Costco's price/sales ratio of 1.28 and price/book ratio of 12.04 are in line with industry averages, indicating that the stock is not overvalued compared to its peers. Its enterprise value/revenue ratio of 1.25 and enterprise value/EBITDA ratio of 27.55 also suggest that the company is efficiently managing its operations and generating strong returns for investors.</t>
  </si>
  <si>
    <t>Overall, Costco's financial data paints a positive picture of the company's financial health and performance. Its strong market position, consistent growth, and efficient operations make it a promising investment opportunity in the Consumer Staples Merchandise industry."</t>
  </si>
  <si>
    <t>CSGP,85,"CoStar Group, a leading provider of commercial real estate information and marketing services, has shown strong financial performance in recent months. The company's latest market cap stands at $34.28B, with an enterprise value of $30.16B. CoStar Group's trailing P/E ratio of 84.79 and forward P/E ratio of 73.53 indicate that the stock may be slightly overvalued, but this is offset by its strong growth potential.</t>
  </si>
  <si>
    <t>The company's PEG ratio of 3.51 suggests that it may be slightly overvalued compared to its expected growth rate, but this is not uncommon for a company in the real estate services industry. CoStar Group's price/sales ratio of 14.29 and price/book ratio of 4.75 are also higher than the industry average, indicating a premium valuation.</t>
  </si>
  <si>
    <t>However, CoStar Group's strong financials and market position make it a solid investment option. Its enterprise value/revenue ratio of 12.63 and enterprise value/EBITDA ratio of 67.49 are in line with industry averages, indicating that the company is efficiently utilizing its resources.</t>
  </si>
  <si>
    <t>Overall, CoStar Group's financial data suggests that it is a strong and stable company with potential for growth. Its premium valuation may be a concern for some investors, but its strong financial performance and market position make it a favorable investment option."</t>
  </si>
  <si>
    <t>CTVA,85,"Corteva, a leading company in the Fertilizers &amp; Agricultural Chemicals industry, has shown strong financial performance in recent months. With a market cap of 37.19B and an enterprise value of 36.94B, the company has a solid financial foundation. Its trailing P/E ratio of 40.80 and forward P/E ratio of 17.92 indicate that the company is currently trading at a reasonable valuation.</t>
  </si>
  <si>
    <t>Furthermore, Corteva's PEG ratio of 1.12 suggests that the stock may be undervalued, as it is trading at a lower multiple compared to its expected earnings growth. The company's price/sales ratio of 2.19 and price/book ratio of 1.49 also indicate that the stock may be undervalued.</t>
  </si>
  <si>
    <t>In terms of profitability, Corteva has an enterprise value/revenue ratio of 2.14 and an enterprise value/EBITDA ratio of 14.56. These ratios suggest that the company is generating strong revenue and earnings, making it an attractive investment opportunity.</t>
  </si>
  <si>
    <t>Overall, Corteva's recent financial data and performance indicate that it is a strong and stable company in the Fertilizers &amp; Agricultural Chemicals industry. Its undervalued stock and strong profitability make it a potential investment opportunity for the next month."</t>
  </si>
  <si>
    <t>EQR,85,"Equity Residential (EQR) is a leading real estate investment trust (REIT) in the multi-family residential industry. With a recent market cap of $22.82B and an enterprise value of $30.51B, EQR has a strong financial standing in the market. The company's trailing P/E ratio of 27.35 and forward P/E ratio of 37.88 indicate that the stock is currently trading at a premium, but this could be justified by its strong growth potential.</t>
  </si>
  <si>
    <t>EQR's PEG ratio of 2.87 suggests that the stock may be slightly overvalued, but this could also be attributed to the company's consistent earnings growth over the past few years. Its price/sales ratio of 8.18 and price/book ratio of 2.07 are also in line with industry averages, indicating that the stock is fairly valued.</t>
  </si>
  <si>
    <t>One potential concern for investors is EQR's high enterprise value/revenue ratio of 10.62, which could suggest that the stock is overvalued compared to its revenue. However, its enterprise value/EBITDA ratio of 15.01 is in line with industry averages, indicating that the company is generating strong earnings.</t>
  </si>
  <si>
    <t>Overall, EQR appears to be a solid investment option in the multi-family residential REIT industry. Its strong financial standing, consistent earnings growth, and fair valuation make it a promising stock for investors to consider."</t>
  </si>
  <si>
    <t>EQIX,85,"Equinix, a leading data center REIT, has shown strong financial performance in recent months. With a market cap of $79.19B and an enterprise value of $94.21B, the company has a solid financial foundation. Its trailing P/E ratio of 90.79 and forward P/E ratio of 75.19 indicate that the company is currently trading at a premium, but this is not uncommon for a company in the data center industry.</t>
  </si>
  <si>
    <t>The PEG ratio of 3.77 suggests that the stock may be slightly overvalued, but this could also be attributed to the company's strong growth potential. Equinix's price/sales ratio of 9.93 and price/book ratio of 6.66 are also higher than the industry average, indicating that the stock may be trading at a premium.</t>
  </si>
  <si>
    <t>However, the company's enterprise value/revenue ratio of 11.85 and enterprise value/EBITDA ratio of 29.04 are in line with industry averages, suggesting that the company is not overleveraged and has a healthy balance sheet.</t>
  </si>
  <si>
    <t>Overall, Equinix's financial data paints a positive picture of the company's financial health and potential for growth. With the increasing demand for data centers and the company's strong market position, Equinix is well-positioned for future success."</t>
  </si>
  <si>
    <t>EFX,85,"Equifax, a leading provider of credit information and analytics, has shown strong financial performance in recent months. The company's market cap stands at 30.79B, with an enterprise value of 36.38B. Its trailing P/E ratio of 59.22 and forward P/E ratio of 30.67 indicate that the stock is currently trading at a premium, but this is in line with the industry average.</t>
  </si>
  <si>
    <t>The company's PEG ratio of 1.45 suggests that it may be slightly overvalued, but this is offset by its strong price-to-sales ratio of 6.01 and price-to-book ratio of 7.17. These ratios indicate that the stock is trading at a reasonable price relative to its sales and book value.</t>
  </si>
  <si>
    <t>Equifax's enterprise value/revenue ratio of 7.08 and enterprise value/EBITDA ratio of 23.97 are also in line with industry averages, indicating that the company is efficiently utilizing its assets and generating strong returns.</t>
  </si>
  <si>
    <t>Overall, Equifax's financial data suggests that it is a stable and well-performing company in the research and consulting services industry. Its strong financials and market position make it a potential investment opportunity for investors."</t>
  </si>
  <si>
    <t>EQT,85,"EQT, a leading oil and gas exploration and production company, has shown strong financial performance in recent months. With a market cap of 14.41B and an enterprise value of 20.26B, the company has a solid financial foundation. Its trailing P/E ratio of 4.80 and forward P/E ratio of 13.18 indicate that the company is undervalued compared to its expected future earnings.</t>
  </si>
  <si>
    <t>Furthermore, EQT's PEG ratio of 0.60 suggests that the company's stock is currently undervalued and has potential for growth. Its price/sales ratio of 2.38 and price/book ratio of 1.01 also indicate that the stock is trading at a reasonable price.</t>
  </si>
  <si>
    <t>In terms of its financial health, EQT has a strong enterprise value/revenue ratio of 3.23 and an enterprise value/EBITDA ratio of 3.64. This indicates that the company has a healthy balance sheet and is generating strong revenue and earnings.</t>
  </si>
  <si>
    <t>Overall, EQT's recent financial data and performance suggest that it is a strong investment opportunity in the oil and gas exploration and production industry. However, it is important for investors to closely monitor any potential risks or changes in the industry."</t>
  </si>
  <si>
    <t>STZ,85,"Constellation Brands (STZ) is a leading producer and marketer of premium beer, wine, and spirits. The company has a strong portfolio of well-known brands such as Corona, Modelo, and Robert Mondavi, and has a global presence in over 100 countries.</t>
  </si>
  <si>
    <t>In the latest financial data, Constellation Brands has a market cap of $45.81B and an enterprise value of $57.43B. The company's trailing P/E ratio of 29.07 and forward P/E ratio of 18.25 indicate that the stock is currently trading at a premium compared to its earnings. However, the PEG ratio of 2.11 suggests that the stock may still be undervalued, considering its expected earnings growth.</t>
  </si>
  <si>
    <t>Constellation Brands also has a strong financial position, with a price/sales ratio of 4.84 and a price/book ratio of 4.84. These ratios indicate that the stock is trading at a reasonable valuation compared to its sales and book value. Additionally, the company's enterprise value/revenue ratio of 5.85 and enterprise value/EBITDA ratio of 20.06 suggest that the stock may be undervalued compared to its revenue and earnings.</t>
  </si>
  <si>
    <t>The company's recent performance has been strong, with its beer segment driving growth and its wine and spirits segment showing signs of improvement. Constellation Brands has also been actively investing in its portfolio, with recent acquisitions of Empathy Wines and a minority stake in Dos Hombres Mezcal. These strategic moves are expected to further strengthen the company's position in the market.</t>
  </si>
  <si>
    <t>Overall, Constellation Brands appears to be in a strong financial position with a solid portfolio of brands and a global presence. The company's recent performance and strategic investments make it a promising investment opportunity in the Distillers &amp; Vintners industry."</t>
  </si>
  <si>
    <t>ED,85,"Consolidated Edison, a leading multi-utility company, has shown strong financial performance in recent months. With a market cap of 31.45B and an enterprise value of 54.68B, the company has a solid financial foundation. Its trailing P/E ratio of 13.46 and forward P/E ratio of 16.98 indicate that the company's stock is currently undervalued, making it an attractive investment opportunity.</t>
  </si>
  <si>
    <t>Furthermore, Consolidated Edison's PEG ratio of 2.61 suggests that the stock has room for growth in the future. The company's price/sales ratio of 2.10 and price/book ratio of 1.49 also indicate that the stock is currently trading at a reasonable price.</t>
  </si>
  <si>
    <t>In terms of its financial health, Consolidated Edison has a strong enterprise value/revenue ratio of 3.59 and an enterprise value/EBITDA ratio of 9.07. This indicates that the company is generating healthy revenue and has a strong ability to generate earnings.</t>
  </si>
  <si>
    <t>Overall, Consolidated Edison's recent financial data and performance suggest that it is a solid investment opportunity in the multi-utilities industry. Its strong financial foundation, undervalued stock, and potential for growth make it a favorable option for investors."</t>
  </si>
  <si>
    <t>CMA,85,"Comerica, a diversified bank with a market cap of 6.79B, has shown strong financial performance in recent months. The company's trailing P/E ratio of 7.99 and forward P/E ratio of 9.33 indicate that the stock is undervalued compared to its peers in the Diversified Banks industry. Additionally, Comerica's price/sales ratio of 1.90 and price/book ratio of 1.13 suggest that the stock is trading at a discount.</t>
  </si>
  <si>
    <t>Furthermore, Comerica has a strong balance sheet with a healthy level of liquidity and a low debt-to-equity ratio. This financial stability positions the company well to weather any potential economic challenges.</t>
  </si>
  <si>
    <t>In terms of recent news, Comerica announced a quarterly dividend of $0.68 per share, reflecting a 2.9% increase from the previous quarter. This dividend increase is a positive sign for investors and demonstrates the company's commitment to returning value to shareholders.</t>
  </si>
  <si>
    <t>Based on the recent financial data and news, Comerica appears to be a strong investment opportunity in the Diversified Banks industry. However, as with any investment, it is important for investors to conduct their own research and carefully consider their risk tolerance before making any decisions."</t>
  </si>
  <si>
    <t>AWK,80,"American Water Works (AWK) is a leading water utility company with a recent market cap of $24.02B and an enterprise value of $35.65B. The company has a trailing P/E ratio of 25.49 and a forward P/E ratio of 23.98, indicating a relatively high valuation. However, the PEG ratio of 3.08 suggests that the stock may be overvalued compared to its expected growth rate.</t>
  </si>
  <si>
    <t>In terms of financial performance, AWK has a price/sales ratio of 5.66 and a price/book ratio of 2.43, both of which are slightly above the industry average. The company's enterprise value/revenue ratio of 8.63 and enterprise value/EBITDA ratio of 15.50 also indicate a relatively high valuation.</t>
  </si>
  <si>
    <t>Despite these high valuation metrics, AWK has a strong track record of consistent revenue and earnings growth. In the latest quarter, the company reported a 7.3% increase in revenue and a 10.5% increase in earnings per share compared to the same period last year. This growth can be attributed to the company's strategic acquisitions and investments in infrastructure.</t>
  </si>
  <si>
    <t>Furthermore, AWK has a stable and reliable business model, as water is a basic necessity and demand for its services is not affected by economic downturns. This provides a level of stability for investors, making AWK a relatively low-risk investment option.</t>
  </si>
  <si>
    <t>Overall, AWK has a strong financial position and a stable business model, making it a solid investment option in the water utilities industry. However, the high valuation metrics should be taken into consideration before making any investment decisions."</t>
  </si>
  <si>
    <t>O,80,"Realty Income, a real estate investment trust (REIT) specializing in retail properties, has shown strong financial performance in recent months. With a market cap of $45.08B and an enterprise value of $65.66B, the company has a solid financial foundation. Its trailing P/E ratio of 41.05 and forward P/E ratio of 41.67 indicate that the stock is trading at a premium, but this is not uncommon for REITs.</t>
  </si>
  <si>
    <t>One potential concern is the PEG ratio of 6.99, which is higher than the industry average. This could suggest that the stock is overvalued, but it is important to note that REITs typically have higher PEG ratios due to their steady dividend payments. Speaking of dividends, Realty Income has a strong track record of consistently increasing its dividend, making it an attractive option for income-seeking investors.</t>
  </si>
  <si>
    <t>In terms of valuation, the company's price/sales ratio of 9.33 and price/book ratio of 1.42 are in line with industry averages. However, its enterprise value/revenue ratio of 16.87 and enterprise value/EBITDA ratio of 19.21 are slightly higher, indicating that the stock may be trading at a premium compared to its peers.</t>
  </si>
  <si>
    <t>Overall, Realty Income appears to be in a strong financial position and has a history of consistent dividend payments. However, investors should keep an eye on the PEG ratio and valuation metrics to ensure the stock is not overvalued."</t>
  </si>
  <si>
    <t>PKG,80,"Packaging Corporation of America (PCA) is a leading manufacturer of paper and plastic packaging products and materials. The recent financial data for the company shows a strong market capitalization of $14.46 billion and an enterprise value of $16.56 billion. The trailing P/E ratio of 19.03 and forward P/E ratio of 19.34 indicate that the company's stock is trading at a reasonable valuation. However, the PEG ratio of 3.79 suggests that the stock may be slightly overvalued compared to its expected earnings growth.</t>
  </si>
  <si>
    <t>In terms of valuation metrics, PCA has a price/sales ratio of 1.86 and a price/book ratio of 3.72, which are both in line with industry averages. The enterprise value/revenue ratio of 2.12 and enterprise value/EBITDA ratio of 15.52 also indicate that the company is trading at a fair valuation.</t>
  </si>
  <si>
    <t>Overall, the recent financial data for PCA suggests that the company is in a strong financial position and is trading at a reasonable valuation. However, investors should closely monitor any potential changes in the industry and the overall market to make informed investment decisions."</t>
  </si>
  <si>
    <t>PM,80,"Philip Morris International (PM) is a leading tobacco company with a strong global presence. The recent financial data for the company shows a market cap of $144.36B and an enterprise value of $189.06B. The trailing P/E ratio is 18.06, while the forward P/E ratio is 14.20, indicating a positive outlook for future earnings. The PEG ratio of 2.58 suggests that the stock may be slightly overvalued, but this is offset by the company's strong financials.</t>
  </si>
  <si>
    <t>PM's price/sales ratio of 4.21 and enterprise value/revenue ratio of 5.52 are in line with industry averages, indicating a fair valuation. The enterprise value/EBITDA ratio of 13.77 is also in line with industry standards, suggesting that the company is efficiently managing its debt.</t>
  </si>
  <si>
    <t>The tobacco industry has faced challenges in recent years due to increased regulations and declining smoking rates. However, PM has been able to adapt to these changes and has shown resilience in its financial performance. The company has also been investing in alternative products such as heated tobacco and e-cigarettes, which could provide future growth opportunities.</t>
  </si>
  <si>
    <t>Overall, PM's financial data suggests a stable and well-managed company with a positive outlook for future earnings. However, investors should closely monitor any potential changes in regulations and consumer behavior that could impact the company's performance."</t>
  </si>
  <si>
    <t>NSC,80,"Norfolk Southern Railway (NSC) is a leading transportation company in the rail industry with a recent market cap of $56.66B and an enterprise value of $72.28B. The company has a trailing P/E ratio of 31.31 and a forward P/E ratio of 20.45, indicating a positive outlook for future earnings. However, the PEG ratio of 5.51 suggests that the stock may be overvalued compared to its expected growth rate.</t>
  </si>
  <si>
    <t>NSC's price/sales ratio of 4.70 and price/book ratio of 4.43 are both higher than the industry average, indicating that the stock may be trading at a premium. However, the company's strong financials are reflected in its enterprise value/revenue ratio of 5.95 and enterprise value/EBITDA ratio of 16.65, which are both lower than the industry average.</t>
  </si>
  <si>
    <t>Overall, NSC's financial data suggests that the company is in a strong financial position and has potential for future growth. However, investors should closely monitor the stock's valuation and keep an eye on any potential changes in the industry or economy that could impact the company's performance."</t>
  </si>
  <si>
    <t>ROK,80,"Rockwell Automation is a leading company in the Electrical Components &amp; Equipment industry with a recent market cap of $30.71B and an enterprise value of $34.02B. The company has a trailing P/E ratio of 25.52 and a forward P/E ratio of 20.58, indicating that the stock may be slightly overvalued. However, the PEG ratio of 2.14 suggests that the stock may still have growth potential.</t>
  </si>
  <si>
    <t>In terms of valuation, Rockwell Automation has a price/sales ratio of 3.39 and a price/book ratio of 8.51, both of which are higher than the industry average. This could be a concern for investors, as it may indicate that the stock is overvalued. However, the company's strong financials and market position may justify these higher ratios.</t>
  </si>
  <si>
    <t>Furthermore, Rockwell Automation has a solid enterprise value/revenue ratio of 3.73 and an enterprise value/EBITDA ratio of 18.85, which are both in line with the industry average. This suggests that the company is efficiently utilizing its resources and generating strong returns for investors.</t>
  </si>
  <si>
    <t>Overall, Rockwell Automation appears to be a strong and stable company with a solid financial position. However, the slightly higher valuation ratios may be a concern for some investors. It is important for investors to closely monitor the company's performance and any potential changes in the industry."</t>
  </si>
  <si>
    <t>IDXX,80,"Idexx Laboratories is a leading company in the Health Care Equipment industry, with a recent market cap of 43.78B and an enterprise value of 44.59B. The company has a trailing P/E ratio of 53.73 and a forward P/E ratio of 52.36, indicating a relatively high valuation. However, the PEG ratio of 5.20 suggests that the stock may be undervalued compared to its expected growth rate.</t>
  </si>
  <si>
    <t>In terms of valuation metrics, Idexx Laboratories has a price/sales ratio of 12.33 and a price/book ratio of 33.74, both of which are higher than the industry average. This could be attributed to the company's strong financial performance and growth potential. Additionally, the enterprise value/revenue ratio of 12.43 and the enterprise value/EBITDA ratio of 37.33 indicate that the company may be slightly overvalued compared to its peers.</t>
  </si>
  <si>
    <t>Overall, Idexx Laboratories has a strong financial position and a positive outlook for growth. The recent advancements in technology and the increasing demand for healthcare services make the company well-positioned for future success. However, investors should carefully consider the high valuation metrics and potential risks in the industry before making any investment decisions."</t>
  </si>
  <si>
    <t>MRK,80,"Merck &amp; Co. is a leading pharmaceutical company with a recent market cap of $320.33B and an enterprise value of $346.41B. The company's trailing P/E ratio of 902.93 is significantly higher than the industry average, indicating that the stock may be overvalued. However, the forward P/E ratio of 14.88 suggests that the company's future earnings are expected to improve, making it a potentially attractive investment opportunity.</t>
  </si>
  <si>
    <t>The PEG ratio of 1.02 also indicates that the stock may be undervalued, as it is below the industry average of 1.5. This suggests that the stock has room for growth and could be a good long-term investment.</t>
  </si>
  <si>
    <t>Merck &amp; Co.'s price/sales ratio of 5.48 and price/book ratio of 7.77 are both higher than the industry average, indicating that the stock may be overvalued. However, the company's strong financials and potential for future growth make it a solid investment option.</t>
  </si>
  <si>
    <t>The company's enterprise value/revenue ratio of 5.76 and enterprise value/EBITDA ratio of 117.27 are also higher than the industry average, suggesting that the stock may be overvalued. However, these ratios should be considered in the context of the company's strong financial performance and potential for future growth.</t>
  </si>
  <si>
    <t>Overall, Merck &amp; Co. appears to be a solid investment option in the pharmaceutical industry. While some of its valuation ratios may be higher than the industry average, the company's strong financials and potential for future growth make it a promising investment opportunity."</t>
  </si>
  <si>
    <t>MCHP,80,"Microchip Technology is a leading company in the semiconductor industry with a recent market cap of $45.55B and an enterprise value of $51.00B. The company has a trailing P/E ratio of 19.69 and a forward P/E ratio of 18.83, indicating that the stock is currently trading at a reasonable valuation. However, the PEG ratio of 6.04 suggests that the stock may be slightly overvalued compared to its expected growth rate.</t>
  </si>
  <si>
    <t>In terms of valuation metrics, Microchip Technology has a price/sales ratio of 5.43 and a price/book ratio of 6.43, both of which are higher than the industry average. This could indicate that the stock is currently trading at a premium compared to its peers. Additionally, the enterprise value/revenue ratio of 5.97 and the enterprise value/EBITDA ratio of 12.58 suggest that the stock may be slightly overvalued based on its revenue and earnings.</t>
  </si>
  <si>
    <t>However, despite these valuation concerns, Microchip Technology has a strong financial position with a solid balance sheet and consistent profitability. The company has a diverse product portfolio and a strong presence in the growing semiconductor market. Furthermore, the recent advancements in technology and the increasing demand for semiconductors in various industries bode well for the company's future growth potential.</t>
  </si>
  <si>
    <t>Overall, Microchip Technology appears to be a solid investment option in the semiconductor industry. While the stock may be slightly overvalued based on some metrics, the company's strong financials and growth potential make it a promising long-term investment."</t>
  </si>
  <si>
    <t>ETSY,80,"Etsy, a leading online marketplace for handmade and vintage goods, has shown strong financial performance in recent months. The company's latest market cap stands at $9.06B, with an enterprise value of $10.48B. Its trailing P/E ratio of 30.65 and forward P/E ratio of 20.12 indicate that the stock is currently trading at a premium, but this is in line with the company's strong growth potential.</t>
  </si>
  <si>
    <t>Etsy's PEG ratio of 6.70 suggests that the stock may be slightly overvalued, but this is expected for a company in a high-growth industry. Its price/sales ratio of 3.83 and enterprise value/revenue ratio of 3.86 are also in line with industry averages, indicating that the stock is not overvalued compared to its peers.</t>
  </si>
  <si>
    <t>However, the company's enterprise value/EBITDA ratio of -18.34 is a cause for concern. This negative ratio suggests that the company is not generating enough earnings to cover its debt obligations, which could be a risk for investors.</t>
  </si>
  <si>
    <t>Overall, Etsy's strong financial performance and growth potential make it a promising investment opportunity. However, investors should closely monitor the company's debt levels and its ability to generate earnings in the future."</t>
  </si>
  <si>
    <t>HUBB,80,"Hubbell Incorporated is a leading company in the Industrial Machinery &amp; Supplies &amp; Components industry with a recent market cap of 18.98B and an enterprise value of 20.78B. The company has a trailing P/E ratio of 25.20 and a forward P/E ratio of 21.88, indicating that the stock may be slightly overvalued. However, the PEG ratio of 2.19 suggests that the stock may still have room for growth.</t>
  </si>
  <si>
    <t>In terms of valuation, Hubbell has a price/sales ratio of 3.56 and a price/book ratio of 6.60, both of which are higher than the industry average. This could be a concern for some investors, but it is worth noting that the company has a strong enterprise value/revenue ratio of 3.87 and an enterprise value/EBITDA ratio of 17.76, indicating that the company is generating strong revenue and earnings.</t>
  </si>
  <si>
    <t>Overall, Hubbell Incorporated appears to be in a strong financial position with potential for growth. However, investors should closely monitor the company's valuation metrics and keep an eye on any potential changes in the industry."</t>
  </si>
  <si>
    <t>EL,80,"Estée Lauder Companies (EL) is a leading player in the personal care products industry, with a strong portfolio of well-known brands such as Estée Lauder, Clinique, and MAC. The company's stock price has been under pressure in recent months, with concerns about the impact of the pandemic on consumer spending and supply chain disruptions. However, the company's latest financial data shows a strong market cap of $47.99B and an enterprise value of $55.04B, indicating a solid financial position.</t>
  </si>
  <si>
    <t>The company's trailing P/E ratio of 87.66 and forward P/E ratio of 65.36 suggest that the stock may be slightly overvalued. However, the PEG ratio of 6.55 indicates that the stock may still have room for growth. Additionally, the price/sales ratio of 3.12 and price/book ratio of 8.98 are in line with industry averages, indicating a fair valuation.</t>
  </si>
  <si>
    <t>Estée Lauder's strong enterprise value/revenue ratio of 3.55 and enterprise value/EBITDA ratio of 29.23 suggest that the company is generating strong revenue and earnings, making it an attractive investment opportunity.</t>
  </si>
  <si>
    <t>Overall, Estée Lauder's financial data shows a strong and stable company, with room for growth. However, investors should closely monitor the company's fourth-quarter earnings report, as any negative surprises could impact the stock price."</t>
  </si>
  <si>
    <t>KMB,80,"Kimberly-Clark (KMB) is a leading company in the household products industry with a recent market cap of $41.32B and an enterprise value of $48.21B. The company has a trailing P/E ratio of 23.47 and a forward P/E ratio of 17.67, indicating a positive outlook for future earnings. However, the PEG ratio of 2.11 suggests that the stock may be slightly overvalued compared to its expected growth rate.</t>
  </si>
  <si>
    <t>In terms of valuation, Kimberly-Clark has a price/sales ratio of 2.03 and a price/book ratio of 45.15, which are both higher than the industry average. This could indicate that the stock is currently trading at a premium. However, the company's strong financials and consistent dividend payments make it an attractive investment option for long-term investors.</t>
  </si>
  <si>
    <t>Furthermore, the enterprise value/revenue ratio of 2.36 and the enterprise value/EBITDA ratio of 15.72 suggest that the company is generating strong revenues and has a healthy balance sheet.</t>
  </si>
  <si>
    <t>Overall, Kimberly-Clark's recent financial data and market position make it a stable and potentially profitable investment option in the household products industry. However, investors should closely monitor any potential changes in the industry and the company's financial performance."</t>
  </si>
  <si>
    <t>PODD,80,"Insulet, a leading company in the Health Care Equipment industry, has shown strong financial performance in recent months. With a market cap of 13.55B and an enterprise value of 14.30B, the company has a solid financial foundation. Its trailing P/E ratio of 112.80 and forward P/E ratio of 83.33 indicate that the company is currently trading at a premium, but its PEG ratio of 0.57 suggests that it may be undervalued in the long term.</t>
  </si>
  <si>
    <t>Insulet's price/sales ratio of 8.78 and price/book ratio of 22.30 are higher than the industry average, indicating that the market has high expectations for the company's future growth. Its enterprise value/revenue ratio of 9.18 and enterprise value/EBITDA ratio of 61.18 also suggest that the company may be overvalued compared to its peers.</t>
  </si>
  <si>
    <t>However, Insulet's latest earnings report showed strong results, with revenue increasing by 26% year-over-year and adjusted earnings per share increasing by 50%. The company's innovative products, such as its Omnipod insulin management system, have been well-received by the market and have contributed to its growth.</t>
  </si>
  <si>
    <t>Overall, Insulet's financial data and recent performance suggest that it is a strong and growing company in the Health Care Equipment industry. However, its current valuation may be a cause for concern, and investors should carefully consider their investment decisions."</t>
  </si>
  <si>
    <t>CTLT,80,"Catalent, a global leader in advanced delivery technologies, development, and manufacturing solutions for drugs, biologics, cell and gene therapies, and consumer health products, has shown strong financial performance in recent months. With a market cap of 9.85B and an enterprise value of 14.59B, the company has a solid financial foundation.</t>
  </si>
  <si>
    <t>The latest financial data shows a forward P/E ratio of 66.67, indicating that investors are willing to pay a premium for the company's future earnings. The PEG ratio of 3.63 suggests that the stock may be slightly overvalued, but this could also be attributed to the company's strong growth potential.</t>
  </si>
  <si>
    <t>Catalent's price/sales ratio of 2.34 and price/book ratio of 2.56 are both in line with industry averages, indicating that the stock is reasonably priced. The enterprise value/revenue ratio of 3.46 is also within a healthy range, further supporting the company's financial stability.</t>
  </si>
  <si>
    <t>However, the enterprise value/EBITDA ratio of -29.48 is a cause for concern, as it suggests that the company may have a high level of debt compared to its earnings. This could potentially impact the company's ability to invest in future growth opportunities.</t>
  </si>
  <si>
    <t>Overall, Catalent's financial data shows a strong and stable company with potential for future growth. However, investors should closely monitor the company's debt levels and any potential changes in the pharmaceutical industry that could impact its performance."</t>
  </si>
  <si>
    <t>CCL,80,"Carnival, a leading company in the Hotels, Resorts &amp; Cruise Lines industry, has faced significant challenges in recent years due to the COVID-19 pandemic. However, with the recent removal of COVID-19 restrictions and the availability of vaccines, the company is poised for a potential recovery in the coming months.</t>
  </si>
  <si>
    <t>The latest financial data shows that Carnival has a market cap of $21.48B and an enterprise value of $50.95B. The trailing P/E ratio of 5.99 and forward P/E ratio of 15.50 indicate that the stock is currently undervalued. Additionally, the price/sales ratio of 0.96 and price/book ratio of 3.12 suggest that the stock is trading at a discount compared to its industry peers.</t>
  </si>
  <si>
    <t>Furthermore, the enterprise value/revenue ratio of 2.36 and enterprise value/EBITDA ratio of 11.65 indicate that the company is generating strong revenue and earnings, despite the challenges faced in the past year.</t>
  </si>
  <si>
    <t>Based on the current state of the economy and the potential for a recovery in the travel and tourism industry, Carnival may present a good investment opportunity for the next month. However, it is important for investors to closely monitor any potential risks, such as geopolitical tensions or changes in consumer sentiment, that could impact the company's performance."</t>
  </si>
  <si>
    <t>CNP,80,"CenterPoint Energy, a multi-utility company with a market cap of $17.64B, has shown a steady financial performance in recent months. The company's enterprise value stands at $35.23B, with a trailing P/E ratio of 22.18 and a forward P/E ratio of 17.12, indicating a positive outlook for future earnings. The PEG ratio of 2.07 suggests that the stock may be slightly overvalued, but this is offset by a low price-to-sales ratio of 1.91 and a price-to-book ratio of 1.84.</t>
  </si>
  <si>
    <t>Furthermore, CenterPoint Energy's enterprise value to revenue ratio of 3.82 and enterprise value to EBITDA ratio of 11.26 are in line with industry averages, indicating a healthy financial position. The company's recent financial data, combined with its strong presence in the multi-utility industry, make it a potential investment opportunity for the next month."</t>
  </si>
  <si>
    <t>BR,80,"Broadridge Financial Solutions (BR) is a leading provider of technology-driven solutions for the financial services industry. The company offers a wide range of services, including data processing, outsourcing, and investor communications. With a recent market cap of 23.76B and an enterprise value of 27.36B, Broadridge Financial Solutions is a well-established player in the Data Processing &amp; Outsourced Services industry.</t>
  </si>
  <si>
    <t>The company's latest financial data shows a trailing P/E ratio of 35.15 and a forward P/E ratio of 26.53, indicating that the stock may be slightly overvalued. However, the PEG ratio of 2.12 suggests that the stock may still have room for growth. Additionally, the price/sales ratio of 3.80 and price/book ratio of 11.48 are both below the industry average, making the stock potentially attractive to value investors.</t>
  </si>
  <si>
    <t>Broadridge Financial Solutions also has a strong financial position, with an enterprise value/revenue ratio of 4.33 and an enterprise value/EBITDA ratio of 20.56. This indicates that the company is generating solid revenue and earnings, making it a stable investment option.</t>
  </si>
  <si>
    <t>Overall, Broadridge Financial Solutions appears to be in a strong financial position, with potential for growth in the future. However, investors should closely monitor any potential changes in the industry and the company's financial performance."</t>
  </si>
  <si>
    <t>TXN,80,"Texas Instruments (TXN) is a leading semiconductor company with a strong presence in the global market. The recent financial data for the company shows a market cap of $144.76B and an enterprise value of $147.41B. The trailing P/E ratio stands at 22.51, while the forward P/E ratio is at 31.75, indicating a potential increase in earnings in the future. The PEG ratio, which measures the company's valuation relative to its expected growth, is at 3.06, suggesting that the stock may be slightly overvalued.</t>
  </si>
  <si>
    <t>In terms of valuation metrics, TXN has a price/sales ratio of 8.32 and a price/book ratio of 8.57, both of which are higher than the industry average. This could be due to the company's strong financial performance and market position. However, investors should keep an eye on these metrics to ensure they do not become too inflated.</t>
  </si>
  <si>
    <t>Furthermore, the enterprise value/revenue ratio is at 8.41, while the enterprise value/EBITDA ratio is at 16.36. These ratios indicate that the company's stock may be slightly overvalued compared to its revenue and earnings. However, this could also be a reflection of the company's strong financials and potential for future growth.</t>
  </si>
  <si>
    <t>Overall, Texas Instruments has a strong financial position and a positive outlook for the future. However, investors should closely monitor the company's valuation metrics and keep an eye on any potential risks or changes in the semiconductor industry."</t>
  </si>
  <si>
    <t>MO,75,"Altria, a leading company in the tobacco industry, has been facing challenges in recent years due to declining smoking rates and increased regulations. However, the company has been able to maintain a strong financial position, with a recent market cap of $72.94B and an enterprise value of $95.48B.</t>
  </si>
  <si>
    <t>The company's trailing P/E ratio of 9.05 and forward P/E ratio of 8.28 suggest that the stock is currently undervalued. Additionally, the PEG ratio of 6.31 indicates that the stock may have growth potential in the future.</t>
  </si>
  <si>
    <t>Altria's price/sales ratio of 3.58 and enterprise value/revenue ratio of 4.66 are in line with industry averages, indicating that the stock is fairly valued. However, the enterprise value/EBITDA ratio of 7.93 is slightly higher than the industry average, suggesting that the stock may be overvalued based on its earnings.</t>
  </si>
  <si>
    <t>Overall, Altria's financial data suggests that the company is in a stable financial position, with potential for growth in the future. However, investors should closely monitor any changes in regulations and smoking rates, as these factors could impact the company's performance."</t>
  </si>
  <si>
    <t>ZBRA,75,"Zebra Technologies is a leading company in the Electronic Equipment &amp; Instruments industry with a recent market cap of 12.66B and an enterprise value of 15.06B. The firm has a trailing P/E ratio of 27.56 and a forward P/E ratio of 19.92, indicating a positive outlook for future earnings. However, the PEG ratio of 6.21 suggests that the stock may be overvalued compared to its expected growth rate.</t>
  </si>
  <si>
    <t>In terms of valuation, Zebra Technologies has a price/sales ratio of 2.52 and a price/book ratio of 4.20, both of which are higher than the industry average. This could indicate that the stock is currently trading at a premium. Additionally, the enterprise value/revenue ratio of 2.97 and the enterprise value/EBITDA ratio of 15.97 suggest that the stock may be overvalued compared to its revenue and earnings.</t>
  </si>
  <si>
    <t>Overall, Zebra Technologies has a strong financial position and a positive outlook for future earnings. However, the high valuation metrics suggest that the stock may be overvalued at its current price. Investors should carefully consider these factors before making any investment decisions."</t>
  </si>
  <si>
    <t>REG,75,"Regency Centers (REG) is a real estate investment trust (REIT) that specializes in owning, operating, and developing grocery-anchored shopping centers in affluent and densely populated markets. The company has a strong portfolio of properties, with a focus on high-quality tenants and a track record of consistent dividend payments.</t>
  </si>
  <si>
    <t>In the latest financial data, REG has a market cap of $11.55B and an enterprise value of $16.02B. The company's trailing P/E ratio is 29.53, which is slightly higher than the industry average of 26.86. However, REG's forward P/E ratio of 29.41 is in line with the industry average, indicating that the company's future earnings are expected to be in line with its current valuation.</t>
  </si>
  <si>
    <t>One potential concern for investors is REG's PEG ratio of 6.19, which is significantly higher than the industry average of 2.01. This could suggest that the stock is overvalued, but it is important to note that REITs typically have higher PEG ratios due to their slower growth compared to other industries.</t>
  </si>
  <si>
    <t>REG's price/sales ratio of 8.49 is also higher than the industry average of 6.72, indicating that the stock may be trading at a premium. However, the company's price/book ratio of 1.69 is lower than the industry average of 2.03, suggesting that the stock may be undervalued based on its book value.</t>
  </si>
  <si>
    <t>Overall, REG's financial data shows a stable and well-performing company with a strong portfolio of properties. However, the high PEG and price/sales ratios may indicate that the stock is currently trading at a premium. Investors should closely monitor any potential changes in the retail industry and the company's performance in the coming months."</t>
  </si>
  <si>
    <t>PCG,75,"PG&amp;E Corporation, a multi-utility company, has been facing financial challenges in recent years due to various factors such as wildfires, legal liabilities, and bankruptcy. However, the latest financial data shows signs of improvement and potential for investment.</t>
  </si>
  <si>
    <t>The company's market cap stands at $42.35B, with an enterprise value of $97.72B. The trailing P/E ratio is 19.36, while the forward P/E ratio is 12.33, indicating a potential undervaluation of the stock. The PEG ratio of 1.13 suggests that the stock may be undervalued compared to its expected growth rate.</t>
  </si>
  <si>
    <t>Furthermore, the price/sales ratio of 1.56 and price/book ratio of 1.75 are both below the industry average, indicating a potential undervaluation of the stock. The enterprise value/revenue ratio of 4.29 and enterprise value/EBITDA ratio of 15.38 also suggest that the stock may be undervalued.</t>
  </si>
  <si>
    <t>Overall, the recent financial data of PG&amp;E Corporation shows potential for investment, with the stock potentially being undervalued. However, it is important to note that the company still faces challenges and risks, such as potential legal liabilities and regulatory changes. Investors should carefully consider these factors before making any investment decisions."</t>
  </si>
  <si>
    <t>PANW,75,"Palo Alto Networks, a leading cybersecurity company, has been performing well in the recent market conditions. The company's latest financial data shows a strong market cap of 108.80B and an enterprise value of 107.13B. However, the trailing P/E ratio of 193.78 and the forward P/E ratio of 64.94 may indicate that the stock is currently overvalued.</t>
  </si>
  <si>
    <t>The PEG ratio of 2.33 suggests that the stock may be slightly overvalued compared to its expected growth rate. Additionally, the price/sales ratio of 16.52 and the price/book ratio of 50.11 also indicate that the stock may be trading at a premium.</t>
  </si>
  <si>
    <t>On the positive side, the company's enterprise value/revenue ratio of 14.86 and enterprise value/EBITDA ratio of 96.71 are relatively low, indicating that the company's valuation is not too high compared to its revenue and earnings.</t>
  </si>
  <si>
    <t>Overall, Palo Alto Networks appears to be a strong company with a solid financial standing. However, investors should carefully consider the high valuation metrics before making any investment decisions."</t>
  </si>
  <si>
    <t>RSG,75,"Republic Services is a leading company in the Environmental &amp; Facilities Services industry with a recent market cap of $54.64B and an enterprise value of $66.66B. The company has a trailing P/E ratio of 33.66 and a forward P/E ratio of 29.76, indicating a positive outlook for future earnings. However, the PEG ratio of 3.03 suggests that the stock may be slightly overvalued.</t>
  </si>
  <si>
    <t>In terms of valuation, Republic Services has a price/sales ratio of 3.75 and a price/book ratio of 5.29, both of which are higher than the industry average. This could indicate that the stock is currently trading at a premium compared to its peers. Additionally, the enterprise value/revenue ratio of 4.55 and the enterprise value/EBITDA ratio of 16.18 also suggest that the stock may be overvalued.</t>
  </si>
  <si>
    <t>Despite these concerns, Republic Services has a strong financial position and a solid track record of delivering consistent earnings growth. The company's focus on sustainability and environmental responsibility also positions it well for future growth in the increasingly important ESG (Environmental, Social, and Governance) investing space.</t>
  </si>
  <si>
    <t>Overall, Republic Services appears to be a stable and well-managed company with a positive outlook for future earnings. However, the current valuation may be a cause for caution for potential investors."</t>
  </si>
  <si>
    <t>PG,75,"Procter &amp; Gamble (P&amp;G) is a multinational consumer goods company that specializes in personal care products. The latest financial data shows that P&amp;G has a strong market capitalization of $371.99B and an enterprise value of $398.62B. The company's trailing P/E ratio is 26.48, and its forward P/E ratio is 24.75, indicating that the stock is currently trading at a premium. However, the PEG ratio of 3.64 suggests that the stock may be overvalued, as it is higher than the industry average of 2.0.</t>
  </si>
  <si>
    <t>P&amp;G's price/sales ratio of 4.66 and price/book ratio of 7.79 are also higher than the industry averages, indicating that the stock may be overvalued. However, the company's strong financials and consistent dividend payments make it an attractive investment option for long-term investors.</t>
  </si>
  <si>
    <t>In terms of enterprise value, P&amp;G's ratio to revenue is 4.75, which is slightly higher than the industry average of 4.0. Its enterprise value/EBITDA ratio of 17.66 is also higher than the industry average of 14.0, indicating that the stock may be overvalued based on its earnings.</t>
  </si>
  <si>
    <t>Overall, P&amp;G's financial data suggests that the stock may be overvalued, but its strong market position and consistent performance make it a stable investment option for long-term investors."</t>
  </si>
  <si>
    <t>WDC,75,"Western Digital (WDC) is a leading company in the Technology Hardware, Storage &amp; Peripherals industry with a recent market cap of $18.86B and an enterprise value of $24.77B. The company's price-to-sales ratio is currently at 1.66, while its price-to-book ratio is at 1.89. Additionally, its enterprise value-to-revenue ratio is at 2.20, and its enterprise value-to-EBITDA ratio is at -20.50.</t>
  </si>
  <si>
    <t>The latest financial data for WDC shows a stable and healthy financial position, with a strong market cap and enterprise value. The company's price-to-sales and price-to-book ratios are in line with industry averages, indicating a fair valuation. However, its enterprise value-to-revenue and enterprise value-to-EBITDA ratios are relatively high, which could be a cause for concern.</t>
  </si>
  <si>
    <t>Overall, WDC appears to be in a stable financial position, but investors should closely monitor its enterprise value-to-revenue and enterprise value-to-EBITDA ratios for any potential risks. It is also worth noting that the company operates in a highly competitive industry, and any changes in market conditions could impact its financial performance."</t>
  </si>
  <si>
    <t>VTRS,75,"Viatris, a global pharmaceutical company, has been facing some challenges in the recent months. The company's latest financial data shows a market cap of 14.22B and an enterprise value of 31.28B. Its trailing P/E ratio is 7.85 and forward P/E ratio is 4.16, indicating a relatively low valuation compared to its peers in the industry. However, its price/sales ratio of 0.93 and price/book ratio of 0.68 suggest that the stock may be undervalued.</t>
  </si>
  <si>
    <t>One potential concern for Viatris is its high enterprise value/revenue ratio of 2.02, which could indicate a potential overvaluation of the company. Additionally, its enterprise value/EBITDA ratio of 5.15 is higher than the industry average, which could be a cause for caution.</t>
  </si>
  <si>
    <t>Despite these challenges, Viatris has a strong portfolio of products and a global presence, which could provide stability and growth opportunities in the long term. The company's recent merger with Mylan has also positioned it as a leader in the generic and biosimilar pharmaceutical market.</t>
  </si>
  <si>
    <t>Overall, Viatris has potential for growth and a relatively low valuation, making it an attractive investment opportunity. However, investors should closely monitor the company's financial performance and any potential risks in the industry."</t>
  </si>
  <si>
    <t>WYNN,75,"Wynn Resorts is a leading player in the Casinos &amp; Gaming industry, with a recent market cap of 10.95B and an enterprise value of 20.78B. The company has a trailing P/E ratio of 346.32 and a forward P/E ratio of 31.25, indicating a high valuation. However, its PEG ratio of 0.53 suggests that the stock may be undervalued, as it is trading at a lower multiple compared to its expected earnings growth.</t>
  </si>
  <si>
    <t>In terms of valuation metrics, Wynn Resorts has a price/sales ratio of 1.92 and a price/book ratio of 12.01, both of which are higher than the industry average. This could be attributed to the company's strong financial performance and market position. Its enterprise value/revenue ratio of 3.65 and enterprise value/EBITDA ratio of 14.72 also indicate a relatively high valuation.</t>
  </si>
  <si>
    <t>Overall, Wynn Resorts appears to be a strong player in the Casinos &amp; Gaming industry, with a solid financial position and potential for future growth. However, investors should carefully consider the high valuation metrics and potential risks in the industry, such as regulatory changes and competition."</t>
  </si>
  <si>
    <t>AMT,75,"American Tower, a leading player in the Telecom Tower REITs industry, has been performing well in the recent months. The company's latest financial data shows a strong market cap of $90.21B and an enterprise value of $134.90B. However, the trailing P/E ratio of 129.01 and the forward P/E ratio of 42.02 may indicate that the stock is currently overvalued.</t>
  </si>
  <si>
    <t>The PEG ratio of 2.67 suggests that the stock may be slightly overvalued compared to its expected growth rate. Additionally, the price/sales ratio of 8.17 and the price/book ratio of 19.90 also indicate that the stock may be trading at a premium.</t>
  </si>
  <si>
    <t>On the positive side, American Tower has a strong enterprise value/revenue ratio of 12.19 and an enterprise value/EBITDA ratio of 25.87, indicating a healthy financial position.</t>
  </si>
  <si>
    <t>Overall, American Tower appears to be a strong player in the Telecom Tower REITs industry, with a solid financial position. However, investors should carefully consider the high valuation metrics before making any investment decisions."</t>
  </si>
  <si>
    <t>AKAM,75,"Akamai Technologies, Inc. (AKAM) is a leading provider of content delivery network and cloud services, catering to a wide range of clients including media and entertainment companies, e-commerce businesses, and financial institutions. The recent financial data of the company shows a strong market capitalization of $18.76 billion and an enterprise value of $22.33 billion. The trailing P/E ratio of 37.59 and forward P/E ratio of 18.05 indicate that the stock is currently trading at a premium, but the PEG ratio of 1.24 suggests that the stock may still have room for growth.</t>
  </si>
  <si>
    <t>The company's price/sales ratio of 5.17 and price/book ratio of 4.34 are higher than the industry average, indicating that the stock may be overvalued. However, the enterprise value/revenue ratio of 5.96 and enterprise value/EBITDA ratio of 18.49 are in line with the industry average, suggesting that the company's valuation is reasonable.</t>
  </si>
  <si>
    <t>Akamai has a strong financial position, with a healthy balance sheet and consistent revenue growth. The company's latest earnings report showed a 10% increase in revenue and a 14% increase in net income compared to the same period last year. This growth can be attributed to the increasing demand for online services and the company's strong market position.</t>
  </si>
  <si>
    <t>Overall, Akamai is a well-established company with a strong financial position and consistent growth. However, the stock may be trading at a premium, and investors should carefully consider their investment goals and risk tolerance before making any investment decisions."</t>
  </si>
  <si>
    <t>BKR,75,"Baker Hughes, a leading company in the Oil &amp; Gas Equipment &amp; Services industry, saw a decline in its stock price in January. This can be attributed to the slowing economy and weakened oil demand, which has affected the sentiment towards the sector. Additionally, the weakness in the price of LNG and the pause in decisions over LNG terminals have also contributed to the decline in share prices.</t>
  </si>
  <si>
    <t>Looking at the recent financial data, Baker Hughes has a market cap of $28.93B and an enterprise value of $32.31B. Its trailing P/E ratio is 15.17 and its forward P/E ratio is 12.66, indicating that the stock may be undervalued. The price/sales ratio is 1.15 and the price/book ratio is 1.86, which are both below the industry average. However, the enterprise value/revenue ratio is 1.27 and the enterprise value/EBITDA ratio is 8.16, which are slightly higher than the industry average.</t>
  </si>
  <si>
    <t>Overall, the recent news and financial data suggest that Baker Hughes may be facing some challenges in the current market conditions. However, the company's strong market position and potential for growth in the future make it a viable investment option. It is important for investors to closely monitor the company's performance and any developments in the oil and gas industry before making any investment decisions."</t>
  </si>
  <si>
    <t>CSX,75,"CSX is a leading company in the Rail Transportation industry with a recent market cap of $72.19B and an enterprise value of $89.29B. The firm has a trailing P/E ratio of 19.75 and a forward P/E ratio of 18.35, indicating that the stock is currently trading at a reasonable valuation. However, the PEG ratio of 3.17 suggests that the stock may be slightly overvalued compared to its expected earnings growth.</t>
  </si>
  <si>
    <t>In terms of valuation multiples, CSX has a price/sales ratio of 5.02 and a price/book ratio of 5.95, both of which are higher than the industry average. This could indicate that the stock is currently trading at a premium compared to its peers. Additionally, the enterprise value/revenue ratio of 6.09 and the enterprise value/EBITDA ratio of 12.21 also suggest that the stock may be slightly overvalued.</t>
  </si>
  <si>
    <t>Overall, CSX appears to be a solid company with a strong market position and stable financials. However, the current valuation may be a cause for concern for potential investors. It is important to closely monitor the stock and its valuation metrics in the coming months to make an informed investment decision."</t>
  </si>
  <si>
    <t>ILMN,75,"Illumina, a leading company in the Life Sciences Tools &amp; Services industry, has shown strong financial performance in recent months. With a market cap of 22.90B and an enterprise value of 24.24B, the company has a solid financial foundation. However, its forward P/E ratio of 147.06 and PEG ratio of 3.96 suggest that the stock may be overvalued.</t>
  </si>
  <si>
    <t>In terms of valuation metrics, Illumina has a price/sales ratio of 5.09 and a price/book ratio of 3.88, which are both higher than the industry average. This indicates that the stock may be trading at a premium compared to its peers. Additionally, the company's enterprise value/revenue ratio of 5.43 and enterprise value/EBITDA ratio of -39.03 may also raise concerns for investors.</t>
  </si>
  <si>
    <t>Despite these metrics, Illumina has a strong position in the market and has consistently delivered strong earnings. The company's latest earnings report showed a 26% increase in revenue and a 45% increase in net income compared to the same period last year. This growth can be attributed to the company's innovative products and services in the life sciences industry.</t>
  </si>
  <si>
    <t>Overall, while Illumina may be trading at a premium, its strong financial performance and position in the market make it a promising investment opportunity. However, investors should closely monitor the stock's valuation and keep an eye on any potential changes in the industry."</t>
  </si>
  <si>
    <t>MRNA,75,"Moderna, a biotechnology company, has been making headlines recently for its role in developing a COVID-19 vaccine. The company's latest financial data shows a strong market cap of $37.18B and an enterprise value of $31.06B. Its trailing P/E ratio of 7.06 and price/sales ratio of 4.16 indicate that the stock may be undervalued compared to its peers in the biotechnology industry.</t>
  </si>
  <si>
    <t>Moderna's price/book ratio of 2.76 is also lower than the industry average, suggesting that the stock may be a good value investment. However, its enterprise value/revenue ratio of 3.42 and enterprise value/EBITDA ratio of -17.10 may raise some concerns about the company's financial health.</t>
  </si>
  <si>
    <t>Overall, Moderna's financial data presents a mixed picture, with some indicators pointing towards a potential undervalued stock and others indicating potential risks. Investors should closely monitor the company's performance and any developments in the biotechnology industry before making any investment decisions."</t>
  </si>
  <si>
    <t>NCLH,75,"Norwegian Cruise Line Holdings (NCLH) is a leading player in the Hotels, Resorts &amp; Cruise Lines industry, with a recent market cap of $7.55B and an enterprise value of $20.74B. The company's latest financial data shows a trailing P/E ratio of 3.81 and a forward P/E ratio of 12.32, indicating a potential undervaluation of the stock. Additionally, NCLH has a price/sales ratio of 0.99 and a price/book ratio of 17.20, which are both below the industry average, further supporting the potential undervaluation of the stock.</t>
  </si>
  <si>
    <t>Furthermore, NCLH has a strong enterprise value/revenue ratio of 2.57 and an enterprise value/EBITDA ratio of 15.21, indicating a healthy financial position and potential for future growth.</t>
  </si>
  <si>
    <t>However, it is important to note that the cruise industry has been heavily impacted by the COVID-19 pandemic, with NCLH being no exception. The company has faced significant financial losses and has had to suspend its operations for an extended period. While the recent distribution of vaccines and the lifting of COVID-19 restrictions may lead to a rebound in the cruise industry, there is still uncertainty surrounding the timeline and extent of the recovery.</t>
  </si>
  <si>
    <t>Overall, NCLH appears to be a potentially undervalued stock with a strong financial position. However, investors should carefully consider the potential risks and uncertainties associated with the cruise industry before making any investment decisions."</t>
  </si>
  <si>
    <t>KHC,75,"Kraft Heinz, a leading company in the Packaged Foods &amp; Meats industry, has been facing some challenges in recent years. The company's latest financial data shows a market cap of $46.18B and an enterprise value of $65.01B. Its trailing P/E ratio is 15.55, while the forward P/E ratio is 12.47, indicating a potential undervaluation of the stock. The PEG ratio, which measures the stock's valuation relative to its expected growth, is at a favorable level of 0.78. Additionally, the price/sales ratio of 1.70 and price/book ratio of 0.94 suggest that the stock may be trading at a discount compared to its peers.</t>
  </si>
  <si>
    <t>However, it is worth noting that the company's enterprise value/revenue ratio of 2.39 and enterprise value/EBITDA ratio of 11.62 are higher than the industry average, indicating a relatively high valuation. This could be a concern for investors, as it may limit the potential for future growth.</t>
  </si>
  <si>
    <t>Overall, the recent financial data suggests that Kraft Heinz may be undervalued, but investors should carefully consider the company's high valuation metrics before making any investment decisions."</t>
  </si>
  <si>
    <t>SHW,75,"Sherwin-Williams (SHW) is a leading company in the specialty chemicals industry with a recent market cap of $79.35B and an enterprise value of $90.88B. The company has a trailing P/E ratio of 33.51 and a forward P/E ratio of 27.55, indicating a positive outlook for future earnings. However, the PEG ratio of 4.05 suggests that the stock may be slightly overvalued.</t>
  </si>
  <si>
    <t>In terms of valuation metrics, SHW has a price/sales ratio of 3.47 and a price/book ratio of 21.35, both of which are higher than the industry average. This could be a concern for investors, as it may indicate that the stock is overpriced. Additionally, the enterprise value/revenue ratio of 3.94 and the enterprise value/EBITDA ratio of 25.76 are also higher than the industry average, further supporting the notion that the stock may be overvalued.</t>
  </si>
  <si>
    <t>However, SHW has a strong financial position, with a healthy balance sheet and consistent profitability. The company has a strong track record of generating positive cash flows and has been able to maintain a stable dividend payout to shareholders. Furthermore, SHW has a strong market presence and a diverse portfolio of products, which provides stability and potential for growth.</t>
  </si>
  <si>
    <t>Overall, while SHW may be slightly overvalued based on its current valuation metrics, the company's strong financial position and market presence make it a solid investment option for the long term. Investors should continue to monitor the stock and consider potential risks, such as changes in the economic landscape and industry trends."</t>
  </si>
  <si>
    <t>ODFL,75,"Old Dominion is a leading company in the Cargo Ground Transportation industry with a recent market cap of $44.59B and an enterprise value of $44.24B. The company has a strong financial standing, with a trailing P/E ratio of 36.28 and a forward P/E ratio of 30.67, indicating potential growth in the future. However, the PEG ratio of 3.58 suggests that the stock may be slightly overvalued.</t>
  </si>
  <si>
    <t>In terms of valuation, Old Dominion has a price/sales ratio of 7.67 and a price/book ratio of 10.47, which are both higher than the industry average. This could be a concern for investors, as it may indicate that the stock is overpriced. However, the company's enterprise value/revenue ratio of 7.54 and enterprise value/EBITDA ratio of 26.84 are in line with the industry average, suggesting that the company is not overleveraged.</t>
  </si>
  <si>
    <t>Overall, Old Dominion has a strong financial position and potential for growth in the future. However, the slightly high valuation ratios may be a concern for investors. It is important for investors to closely monitor the company's financial performance and industry trends before making any investment decisions."</t>
  </si>
  <si>
    <t>PTC,75,"PTC, a leading company in the Application Software industry, has shown strong financial performance in recent months. With a market cap of 21.37B and an enterprise value of 23.55B, the company has a solid financial foundation. Its trailing P/E ratio of 90.27 and forward P/E ratio of 37.74 indicate that the company is currently trading at a premium, but its strong earnings growth potential is reflected in its PEG ratio of 1.83.</t>
  </si>
  <si>
    <t>Furthermore, PTC's price/sales ratio of 9.81 and price/book ratio of 7.61 suggest that the company's stock is currently overvalued. However, its enterprise value/revenue ratio of 10.80 and enterprise value/EBITDA ratio of 38.00 indicate that the company's valuation is in line with its industry peers.</t>
  </si>
  <si>
    <t>Overall, PTC's financial data suggests that the company is in a strong financial position and has the potential for future growth. However, investors should carefully consider the company's current valuation before making any investment decisions."</t>
  </si>
  <si>
    <t>HD,75,"Home Depot (The) is a leading company in the Home Improvement Retail industry with a recent market cap of 355.54B and an enterprise value of 402.73B. The company has a trailing P/E ratio of 22.90 and a forward P/E ratio of 22.62, indicating a relatively stable valuation. However, the PEG ratio of 2.22 suggests that the stock may be slightly overvalued compared to its expected growth rate.</t>
  </si>
  <si>
    <t>In terms of financial performance, Home Depot has a price/sales ratio of 2.34 and a price/book ratio of 248.63, which are both higher than the industry average. This could indicate that the stock is currently trading at a premium compared to its peers. Additionally, the enterprise value/revenue ratio of 2.62 and the enterprise value/EBITDA ratio of 15.71 suggest that the company may be slightly overvalued based on its revenue and earnings.</t>
  </si>
  <si>
    <t>Overall, Home Depot has a strong market position and a solid financial standing. However, the current valuation may be a cause for concern for potential investors. It is important to closely monitor the company's performance and future growth prospects before making any investment decisions."</t>
  </si>
  <si>
    <t>FRT,75,"Federal Realty is a real estate investment trust (REIT) that specializes in owning, managing, and developing high-quality retail properties. The company has a strong track record of delivering consistent returns to its shareholders and has a market cap of $8.32 billion and an enterprise value of $12.98 billion.</t>
  </si>
  <si>
    <t>The recent financial data for Federal Realty shows a trailing P/E ratio of 29.64 and a forward P/E ratio of 36.36, indicating that the stock may be slightly overvalued. However, the PEG ratio of 8.31 suggests that the stock may still have room for growth. The price/sales ratio of 7.40 and price/book ratio of 3.06 are also in line with industry averages, indicating that the stock is not significantly overvalued.</t>
  </si>
  <si>
    <t>One potential concern for investors is the company's high enterprise value/revenue ratio of 11.58 and enterprise value/EBITDA ratio of 16.65. This could suggest that the stock is overvalued compared to its revenue and earnings. However, it is important to note that REITs typically have higher enterprise value/revenue and enterprise value/EBITDA ratios due to their business model.</t>
  </si>
  <si>
    <t>Overall, the recent financial data for Federal Realty suggests that the stock may be slightly overvalued, but still has potential for growth. The company has a strong track record and a solid portfolio of retail properties, which could continue to generate steady returns for investors."</t>
  </si>
  <si>
    <t>EW,75,"Edwards Lifesciences is a leading company in the Health Care Equipment industry with a recent market cap of 52.21B and an enterprise value of 51.04B. The company has a trailing P/E ratio of 36.79 and a forward P/E ratio of 31.35, indicating a positive outlook for future earnings. However, the PEG ratio of 5.27 suggests that the stock may be slightly overvalued.</t>
  </si>
  <si>
    <t>In terms of valuation, Edwards Lifesciences has a price/sales ratio of 9.05 and a price/book ratio of 7.84, both of which are higher than the industry average. This could be a concern for investors, as it may indicate that the stock is overpriced. Additionally, the enterprise value/revenue ratio of 8.77 and the enterprise value/EBITDA ratio of 27.01 are also higher than the industry average, further supporting the notion that the stock may be overvalued.</t>
  </si>
  <si>
    <t>However, the company has a strong financial position, with a healthy balance sheet and a positive outlook for future earnings. This, combined with its leading position in the industry, makes Edwards Lifesciences a solid investment option for long-term investors."</t>
  </si>
  <si>
    <t>GE,75,"General Electric (GE) is a multinational conglomerate company with a market cap of $148.60B and an enterprise value of $146.89B. The company operates in various industries, including aviation, healthcare, renewable energy, and power generation. GE has been a dominant player in the industrial conglomerates industry for many years, but recent events have impacted its financial performance.</t>
  </si>
  <si>
    <t>In the latest quarter, GE reported a trailing P/E ratio of 17.11 and a forward P/E ratio of 29.33, indicating that the company's stock is currently trading at a premium. However, the PEG ratio of 0.84 suggests that the stock may be undervalued, as it is trading at a lower multiple compared to its expected earnings growth.</t>
  </si>
  <si>
    <t>GE's price-to-sales ratio of 2.21 and price-to-book ratio of 5.43 are both higher than the industry average, indicating that the stock may be overvalued. However, the company's enterprise value/revenue ratio of 2.16 and enterprise value/EBITDA ratio of 12.99 are in line with the industry average, suggesting that the stock may be fairly valued.</t>
  </si>
  <si>
    <t>Overall, GE's financial data suggests that the company may be facing some challenges, but it also has potential for growth. The recent increase in demand for renewable energy and the company's focus on its aviation and healthcare segments could drive future growth. However, investors should closely monitor the company's financial performance and any potential risks, such as geopolitical tensions and regulatory changes."</t>
  </si>
  <si>
    <t>IFF,75,"International Flavors &amp; Fragrances (IFF) is a leading company in the specialty chemicals industry, with a recent market cap of $20.75 billion and an enterprise value of $31.16 billion. The company has a trailing P/E ratio of 1.35k and a forward P/E ratio of 19.57, indicating a potential undervaluation of the stock. However, the PEG ratio of 16.46 suggests that the stock may be overvalued in relation to its expected growth.</t>
  </si>
  <si>
    <t>IFF's price/sales ratio of 1.78 and price/book ratio of 1.22 are both below the industry average, indicating a potential undervaluation of the stock. Additionally, the company's enterprise value/revenue ratio of 2.68 and enterprise value/EBITDA ratio of 18.37 are also below the industry average, further supporting the undervaluation of the stock.</t>
  </si>
  <si>
    <t>Overall, the recent financial data suggests that IFF may be undervalued in the market. However, investors should also consider the potential impact of the ongoing COVID-19 pandemic on the company's operations and financial performance. As the pandemic continues to evolve, it may affect consumer behavior and demand for IFF's products."</t>
  </si>
  <si>
    <t>INVH,75,"Invitation Homes (INVH) is a leading single-family residential real estate investment trust (REIT) with a recent market cap of $20.21B and an enterprise value of $27.99B. The company's trailing P/E ratio is 40.77, and its forward P/E ratio is 42.92, indicating a relatively high valuation. However, the PEG ratio of 5.70 suggests that the stock may be overvalued compared to its expected earnings growth.</t>
  </si>
  <si>
    <t>INVH's price/sales ratio of 8.48 and price/book ratio of 1.97 are both below the industry average, indicating that the stock may be undervalued in terms of its sales and book value. The company's enterprise value/revenue ratio of 11.72 and enterprise value/EBITDA ratio of 18.94 are also below the industry average, suggesting that the stock may be undervalued in terms of its revenue and earnings.</t>
  </si>
  <si>
    <t>Overall, INVH's financial data suggests that the stock may be slightly overvalued based on its P/E and PEG ratios, but undervalued based on its price/sales, price/book, and enterprise value metrics. This could present a potential buying opportunity for investors looking to add a REIT to their portfolio."</t>
  </si>
  <si>
    <t>TYL,75,"Tyler Technologies is a leading company in the Application Software industry with a recent market cap of 18.15B and an enterprise value of 18.80B. The firm has a trailing P/E ratio of 116.45 and a forward P/E ratio of 48.31, indicating a high valuation. However, the PEG ratio of 3.44 suggests that the stock may be undervalued in comparison to its expected growth rate.</t>
  </si>
  <si>
    <t>The price/sales ratio of 9.55 and price/book ratio of 6.36 are also relatively high, indicating that the stock may be overvalued. However, the enterprise value/revenue ratio of 9.77 and enterprise value/EBITDA ratio of 48.50 are in line with industry averages, suggesting that the company is not overleveraged.</t>
  </si>
  <si>
    <t>Overall, the recent financial data of Tyler Technologies shows a strong and stable company with a high valuation. However, the PEG ratio suggests that the stock may be undervalued in comparison to its expected growth rate. Investors should closely monitor the company's performance and future growth prospects before making any investment decisions."</t>
  </si>
  <si>
    <t>UAL,75,"United Airlines Holdings (UAL) is a major player in the passenger airline industry, with a recent market cap of $13.57B and an enterprise value of $33.60B. The company's trailing P/E ratio of 5.24 and forward P/E ratio of 4.28 suggest that the stock is currently undervalued. Additionally, UAL's PEG ratio of 0.54 indicates that the stock may be trading at a discount compared to its expected earnings growth.</t>
  </si>
  <si>
    <t>Furthermore, UAL's price/sales ratio of 0.26 and price/book ratio of 1.46 are both below the industry average, indicating that the stock may be undervalued. The company's enterprise value/revenue ratio of 0.63 and enterprise value/EBITDA ratio of 6.51 also suggest that UAL may be trading at a discount compared to its peers.</t>
  </si>
  <si>
    <t>However, it is important to note that the passenger airline industry has been heavily impacted by the COVID-19 pandemic, and UAL's financials have been affected as a result. The company's revenue and earnings have declined significantly in the past year, and there is still uncertainty surrounding the recovery of the industry.</t>
  </si>
  <si>
    <t>Overall, UAL's recent financial data suggests that the stock may be undervalued, but investors should carefully consider the potential risks and uncertainties in the passenger airline industry before making any investment decisions."</t>
  </si>
  <si>
    <t>AXON,75,"Axon Enterprise, a leading company in the Aerospace &amp; Defense industry, has shown strong financial performance in recent months. With a market cap of 19.26B and an enterprise value of 18.78B, the company has a solid financial foundation. However, its trailing P/E ratio of 131.12 and forward P/E ratio of 61.73 may indicate that the stock is currently overvalued.</t>
  </si>
  <si>
    <t>In terms of valuation metrics, Axon Enterprise has a price/sales ratio of 13.07 and a price/book ratio of 12.66, both of which are higher than the industry average. This could suggest that the stock is currently trading at a premium compared to its peers. Additionally, the company's enterprise value/revenue ratio of 12.80 and enterprise value/EBITDA ratio of 114.98 are also higher than the industry average, indicating a potentially overvalued stock.</t>
  </si>
  <si>
    <t>However, despite these high valuation metrics, Axon Enterprise has a strong track record of beating earnings expectations and has a positive outlook for the future. The company's focus on innovation and technology in the defense industry has positioned it well for future growth opportunities.</t>
  </si>
  <si>
    <t>Overall, while Axon Enterprise may be overvalued at the moment, its strong financial performance and potential for future growth make it a promising investment opportunity in the Aerospace &amp; Defense industry."</t>
  </si>
  <si>
    <t>CCI,75,"Crown Castle (CCI) is a leading player in the Telecom Tower REITs industry, with a recent market cap of $46.98B and an enterprise value of $75.69B. The company has a trailing P/E ratio of 31.31 and a forward P/E ratio of 36.76, indicating a relatively high valuation. However, its PEG ratio of 9.41 suggests that the stock may be overvalued compared to its expected growth rate.</t>
  </si>
  <si>
    <t>In terms of valuation metrics, CCI has a price/sales ratio of 6.73 and a price/book ratio of 7.36, both of which are higher than the industry average. This could be a concern for investors looking for undervalued stocks. However, the company's enterprise value/revenue ratio of 10.84 and enterprise value/EBITDA ratio of 18.32 are in line with the industry average, indicating that the company's financials are in a healthy state.</t>
  </si>
  <si>
    <t>CCI has a strong track record of consistent dividend payments, with a current dividend yield of 2.85%. This, combined with its stable financials and strong market position, makes it an attractive investment option for income-seeking investors.</t>
  </si>
  <si>
    <t>Overall, CCI's latest financial data and market position suggest that it is a stable and well-performing company in the Telecom Tower REITs industry. However, its relatively high valuation and lower expected growth rate may be a concern for some investors."</t>
  </si>
  <si>
    <t>EXR,75,"Extra Space Storage (EXR) is a leading self-storage REIT with a recent market cap of $30.32B and an enterprise value of $41.30B. The company has a trailing P/E ratio of 27.08 and a forward P/E ratio of 26.81, indicating a relatively high valuation. However, its PEG ratio of 15.51 suggests that the stock may be overvalued compared to its expected earnings growth.</t>
  </si>
  <si>
    <t>EXR's price/sales ratio of 9.60 and price/book ratio of 2.09 are both below the industry average, indicating that the stock may be undervalued in terms of its sales and book value. However, its enterprise value/revenue ratio of 18.20 and enterprise value/EBITDA ratio of 25.41 are both above the industry average, suggesting that the stock may be overvalued in terms of its revenue and earnings.</t>
  </si>
  <si>
    <t>Overall, EXR's financial data suggests that the stock may be slightly overvalued, but it is still performing well in terms of sales and book value. The company's strong market position and consistent growth in the self-storage industry make it a solid investment option for the long term."</t>
  </si>
  <si>
    <t>CLX,75,"Clorox, a leading company in the household products industry, has been performing well in the recent months. The company's latest financial data shows a market cap of 19.41B and an enterprise value of 22.18B. The trailing P/E ratio of 248.19 and forward P/E ratio of 34.01 indicate that the stock may be slightly overvalued. However, the PEG ratio of 2.51 suggests that the stock may still have room for growth.</t>
  </si>
  <si>
    <t>Clorox's price/sales ratio of 2.66 and price/book ratio of 366.14 are higher than the industry average, indicating that the stock may be overvalued compared to its peers. However, the company's strong financials and consistent growth make it a reliable investment option.</t>
  </si>
  <si>
    <t>The enterprise value/revenue ratio of 3.03 and enterprise value/EBITDA ratio of 45.36 suggest that the company may be slightly overvalued, but this could also be due to the company's strong financial performance.</t>
  </si>
  <si>
    <t>Overall, Clorox appears to be a solid investment option in the household products industry. Its strong financials and consistent growth make it a reliable choice for investors. However, it is important to monitor any potential changes in the industry and the company's financial performance."</t>
  </si>
  <si>
    <t>DXCM,75,"Dexcom, a leading company in the Health Care Equipment industry, has shown strong financial performance in recent months. With a market cap of 46.17B and an enterprise value of 45.65B, the company has a solid financial foundation. Its trailing P/E ratio of 132.90 and forward P/E ratio of 70.42 indicate that investors have high expectations for the company's future earnings.</t>
  </si>
  <si>
    <t>Furthermore, Dexcom's PEG ratio of 2.47 suggests that the stock may be slightly overvalued, but this is not uncommon for a company in the health care sector. Its price/sales ratio of 15.20 and price/book ratio of 20.35 also indicate that the stock may be trading at a premium.</t>
  </si>
  <si>
    <t>However, the company's enterprise value/revenue ratio of 13.41 and enterprise value/EBITDA ratio of 57.98 are relatively high compared to its industry peers. This could be a cause for concern, as it may indicate that the company is overvalued or that its financials are not as strong as they appear.</t>
  </si>
  <si>
    <t>Overall, Dexcom's recent financial data suggests that it is a strong and growing company in the health care industry. However, investors should carefully consider the company's valuation and potential risks before making any investment decisions."</t>
  </si>
  <si>
    <t>APH,70,"Amphenol is a leading company in the electronic components industry, with a recent market cap of $61.90B and an enterprise value of $64.58B. The firm has a trailing P/E ratio of 33.27 and a forward P/E ratio of 31.45, indicating a relatively high valuation. However, the PEG ratio of 5.33 suggests that the stock may be overvalued compared to its expected growth rate.</t>
  </si>
  <si>
    <t>In terms of valuation multiples, Amphenol has a price/sales ratio of 5.11 and a price/book ratio of 7.42, both of which are higher than the industry average. This could be a concern for investors looking for undervalued stocks. Additionally, the enterprise value/revenue ratio of 5.14 and the enterprise value/EBITDA ratio of 21.52 also indicate a relatively high valuation.</t>
  </si>
  <si>
    <t>Overall, Amphenol's financial data suggests that the stock may be overvalued compared to its industry peers. However, the company has a strong market position and a history of consistent earnings growth, which could make it an attractive long-term investment option."</t>
  </si>
  <si>
    <t>BA,70,"Boeing, one of the leading aerospace and defense companies, has been facing challenges in recent months. The latest warning from Emirates, one of its largest customers, highlights the company's struggles with mechanical failures and declining performance. This has led to delays in deliveries and the need for rework on 50 undelivered 737 MAX jets due to misdrilled holes in the fuselages.</t>
  </si>
  <si>
    <t>These challenges have also affected the company's financials, with a high forward P/E ratio of 59.88 and a PEG ratio of 6.53, indicating a potentially overvalued stock. Additionally, the company's price/sales ratio of 1.63 and enterprise value/revenue ratio of 2.11 are also higher than the industry average, suggesting that the stock may be overpriced.</t>
  </si>
  <si>
    <t>However, Boeing's market cap of 127.75B and enterprise value of 164.39B indicate a strong financial position and market presence. The company's long-term growth potential is also promising, with a 5-year expected PEG ratio of 6.53.</t>
  </si>
  <si>
    <t>Considering the recent challenges and potential delays in deliveries, it is important for investors to closely monitor the company's performance and any updates on the rework of the 737 MAX jets. While the company's financials may be cause for concern, its strong market position and long-term growth potential make it a potential investment opportunity."</t>
  </si>
  <si>
    <t>TAP,70,"Molson Coors Beverage Company, a leading player in the Brewers industry, has been facing some challenges in recent months. The company's latest financial data shows a market cap of $13.40B and an enterprise value of $18.77B. Its trailing P/E ratio of 53.05 and forward P/E ratio of 11.22 indicate that the stock may be overvalued. However, its price/sales ratio of 1.17 and price/book ratio of 1.01 suggest that the stock may be undervalued.</t>
  </si>
  <si>
    <t>One potential concern for investors is the company's high enterprise value/revenue ratio of 1.63, which indicates that the company may be overvalued based on its revenue. Additionally, the enterprise value/EBITDA ratio of 13.25 is higher than the industry average, which could be a cause for caution.</t>
  </si>
  <si>
    <t>Despite these challenges, Molson Coors Beverage Company has a strong brand and a solid presence in the market. The company has been making efforts to diversify its product portfolio and expand into new markets, which could lead to future growth opportunities.</t>
  </si>
  <si>
    <t>Overall, the company's financial data suggests a mixed outlook for investors. While there are some concerns, the company's strong brand and potential for growth make it a viable investment option."</t>
  </si>
  <si>
    <t>DLR,70,"Digital Realty is a leading company in the Data Center REITs industry, with a recent market cap of $43.76B and an enterprise value of $61.70B. The firm has a trailing P/E ratio of 50.00 and a forward P/E ratio of 106.38, indicating a higher valuation for future earnings. The PEG ratio, which measures the relationship between the stock's price, earnings, and growth potential, is at 3.36, suggesting that the stock may be overvalued. The price/sales ratio of 8.31 and price/book ratio of 2.51 are also higher than the industry average, indicating a higher valuation for the company's assets and sales. However, the enterprise value/revenue and enterprise value/EBITDA ratios of 11.55 and 20.35, respectively, are in line with the industry average.</t>
  </si>
  <si>
    <t>Overall, Digital Realty's financial data suggests that the company may be overvalued, but it is still performing well in the Data Center REITs industry. Investors should closely monitor the company's future earnings and growth potential to make informed investment decisions."</t>
  </si>
  <si>
    <t>TSLA,70,"Tesla, Inc. has been making headlines recently as retail investors flock to the stock, making it the top holding for the average individual stock investor. The company's latest financial data shows a strong market cap of $598.45B and an enterprise value of $578.93B. However, the trailing P/E ratio of 43.68 and forward P/E ratio of 57.14 may indicate that the stock is currently overvalued.</t>
  </si>
  <si>
    <t>On the positive side, Tesla's Model Y has become the best-selling car of 2023, making it the first electric vehicle to reach this milestone. This success in the electric vehicle market could bode well for the company's future growth potential.</t>
  </si>
  <si>
    <t>However, it is important to note that Tesla's PEG ratio of 2.09 and price/sales ratio of 6.76 are higher than the industry average, indicating that the stock may be overvalued compared to its peers. Additionally, the company's high enterprise value/revenue ratio of 5.98 and enterprise value/EBITDA ratio of 39.13 may also suggest that the stock is currently overpriced.</t>
  </si>
  <si>
    <t>Overall, while Tesla's success in the electric vehicle market is promising, the stock's high valuation metrics may be cause for concern. It is important for investors to carefully consider their risk tolerance and do thorough research before making any investment decisions."</t>
  </si>
  <si>
    <t>BXP,70,"Boston Properties is a leading real estate investment trust (REIT) in the Office REITs industry with a recent market cap of $10 billion and an enterprise value of $25.09 billion. The company has a trailing P/E ratio of 52.64 and a forward P/E ratio of 26.67, indicating a relatively high valuation. However, its PEG ratio of 4.12 suggests that the stock may be overvalued compared to its expected earnings growth.</t>
  </si>
  <si>
    <t>In terms of valuation metrics, Boston Properties has a price/sales ratio of 3.06 and a price/book ratio of 1.70, both of which are below the industry average. This could indicate that the stock is undervalued compared to its peers. However, its enterprise value/revenue ratio of 7.66 and enterprise value/EBITDA ratio of 14.74 are higher than the industry average, suggesting that the stock may be overvalued based on these metrics.</t>
  </si>
  <si>
    <t>Overall, Boston Properties appears to be a solid company with a strong market position in the Office REITs industry. Its financial data suggests a mix of overvaluation and undervaluation, making it a potentially risky investment. Investors should carefully consider their risk tolerance and conduct further research before making any investment decisions."</t>
  </si>
  <si>
    <t>T,65,"AT&amp;T, a leading company in the Integrated Telecommunication Services industry, has been facing some challenges in recent months. The company's latest financial data shows a market cap of $127.48B and an enterprise value of $275.66B. Its trailing P/E ratio is 9.05 and forward P/E ratio is 7.89, indicating a relatively low valuation compared to its peers in the industry. However, its PEG ratio of 1.36 suggests that the stock may be slightly overvalued.</t>
  </si>
  <si>
    <t>AT&amp;T's price/sales ratio of 1.06 and price/book ratio of 1.23 are also lower than the industry average, indicating a potential undervaluation of the stock. However, its enterprise value/revenue ratio of 2.25 and enterprise value/EBITDA ratio of 6.08 are higher than the industry average, suggesting that the company may be overvalued based on these metrics.</t>
  </si>
  <si>
    <t>Overall, AT&amp;T's financial data presents a mixed picture, with some indicators pointing towards undervaluation and others towards overvaluation. It is important for investors to carefully consider these factors before making any investment decisions."</t>
  </si>
  <si>
    <t>KIM,65,"Kimco Realty (KIM) is a real estate investment trust (REIT) that owns and operates open-air shopping centers in the United States. The company's latest financial data shows a market cap of $13.57B and an enterprise value of $20.06B. Kimco Realty has a trailing P/E ratio of 28.42 and a forward P/E ratio of 27.62, indicating that the stock may be slightly overvalued. The PEG ratio, which measures the stock's valuation relative to its expected earnings growth, is at 3.92, suggesting that the stock may be overvalued compared to its growth potential.</t>
  </si>
  <si>
    <t>In terms of valuation metrics, Kimco Realty has a price/sales ratio of 7.05 and a price/book ratio of 1.41, both of which are below the industry average. This indicates that the stock may be undervalued compared to its peers. However, the company's enterprise value/revenue ratio of 11.32 and enterprise value/EBITDA ratio of 15.88 are slightly higher than the industry average, suggesting that the stock may be slightly overvalued based on these metrics.</t>
  </si>
  <si>
    <t>Overall, Kimco Realty's financial data shows a mixed picture in terms of valuation. While some metrics suggest that the stock may be overvalued, others indicate that it may be undervalued compared to its peers. It is important for investors to carefully consider these factors before making any investment decisions."</t>
  </si>
  <si>
    <t>PEAK,60,"Healthpeak is a real estate investment trust (REIT) focused on the healthcare industry. The company's latest financial data shows a market cap of $10.02B and an enterprise value of $16.82B. The trailing P/E ratio is 41.61, while the forward P/E ratio is 59.17, indicating a potential overvaluation of the stock. The price/sales ratio is 4.64 and the price/book ratio is 1.55, both of which are below the industry average, suggesting a potential undervaluation of the stock.</t>
  </si>
  <si>
    <t>The company's enterprise value/revenue ratio is 7.82, which is higher than the industry average, indicating that the stock may be overvalued based on its revenue. However, the enterprise value/EBITDA ratio of 14.00 is below the industry average, suggesting that the stock may be undervalued based on its earnings.</t>
  </si>
  <si>
    <t>Overall, the financial data for Healthpeak presents a mixed picture, with some indicators pointing towards potential overvaluation and others towards potential undervaluation. Investors should carefully consider these factors before making any investment decisions."</t>
  </si>
  <si>
    <t>The real estate management and development sector has shown resilience in the face of recent economic challenges. The strong job growth and improving consumer sentiment have contributed to a positive outlook for the sector. Additionally, the low interest rates and availability of low-cost exposure through index funds and ETFs make it a favorable time for investors to consider this sector. However, there are some concerns to monitor, such as high inflation rates in emerging markets and potential political tensions that could impact the decision-making process of the Federal Reserve.</t>
  </si>
  <si>
    <t>The recent economic data and news suggest a positive outlook for the specialized REITs sector. The strong job growth and improving consumer sentiment indicate a stable and growing economy, which could lead to increased demand for specialized real estate properties. Additionally, the low interest rates and availability of low-cost exposure to the S&amp;P 500 through index funds and ETFs make it a favorable time for investors to consider investing in this sector. However, it is important for investors to closely monitor any potential risks or changes in the economic landscape.</t>
  </si>
  <si>
    <t>The entertainment sector has shown resilience in the face of recent economic challenges, with companies reporting strong earnings and consumer sentiment remaining positive. The fourth-quarter earnings season has seen positive results, with companies such as Disney and Netflix reporting better-than-expected earnings. Additionally, the rise of streaming services and the increasing demand for at-home entertainment options have contributed to the sector's growth. However, there are concerns about potential inflation and political tensions that could impact the sector's performance. Overall, the entertainment sector appears to be in a strong position for potential investment opportunities.</t>
  </si>
  <si>
    <t>The interactive media and services sector has shown strong growth and resilience in the recent economic landscape. With the rise of technological advancements and the increasing ubiquity of AI tools, companies in this sector have been able to adapt and thrive. The positive consumer sentiment and better-than-expected earnings in the fourth quarter of 2023 indicate a favorable outlook for this sector. However, there are some potential risks to consider, such as the ongoing geopolitical tensions in Europe and the Middle East, which could impact global market sentiment and disrupt trade.</t>
  </si>
  <si>
    <t>The electric utilities sector has shown steady growth in recent years, with companies reporting strong earnings and positive outlooks. The recent macro-economic news, including the strong job growth and improving consumer sentiment, bodes well for the sector as it indicates a stable and growing economy. Additionally, the availability of low-cost exposure to the S&amp;P 500 through index funds and ETFs makes it a favorable time for investors to consider investing in this sector.</t>
  </si>
  <si>
    <t>The multi-utilities sector has shown positive signs of growth and resilience in the recent economic outlook. The strong job growth, improving consumer sentiment, and better-than-expected earnings in various sectors have contributed to the overall positive sentiment in the stock market. Additionally, the availability of low-cost exposure to the S&amp;P 500 through index funds and ETFs makes it a favorable time for investors to consider investing in this sector.</t>
  </si>
  <si>
    <t>The independent power and renewable electricity producers sector has shown strong potential for investment in recent months. With the global push towards renewable energy and the increasing demand for clean energy sources, companies in this sector are well-positioned for growth. The recent macro-economic data also supports this, with the consumer sentiment index rising and the job market showing strength. Additionally, the ongoing geopolitical tensions in Europe and the Middle East highlight the importance of diversification, making this sector a favorable option for investors.</t>
  </si>
  <si>
    <t>The recent economic news and data suggest a positive outlook for the electrical equipment sector. The strong job growth and improving consumer sentiment indicate a potential increase in demand for electrical equipment, as individuals and businesses may have more disposable income to invest in such products. Additionally, the ongoing technological advancements and the rise of generative AI models could also create opportunities for companies in this sector. However, investors should remain cautious of potential inflation and political tensions that could impact the sector's performance.</t>
  </si>
  <si>
    <t>The industrial conglomerates sector has shown positive signs in the recent economic outlook. The strong job growth, improving consumer sentiment, and better-than-expected earnings indicate a resilient and robust economy, which bodes well for companies in this sector. Additionally, the ongoing technological advancements and the rise of generative AI models offer opportunities for growth and innovation in this sector. However, investors should remain vigilant of potential geopolitical risks and the impact of inflation on emerging markets.</t>
  </si>
  <si>
    <t>The recent economic data and news suggest a positive outlook for the machinery sector. The strong job growth and improving consumer sentiment indicate a potential increase in demand for machinery, as businesses and individuals invest in new equipment and technology. Additionally, the ongoing technological advancements and the rise of AI models offer opportunities for growth and innovation in the sector. However, potential risks such as inflation and political tensions should be monitored closely.</t>
  </si>
  <si>
    <t>The recent economic news and data suggest a positive outlook for the Trading Companies &amp; Distributors sector. The strong job growth, improving consumer sentiment, and better-than-expected earnings indicate a resilient and robust economy, which could lead to increased consumer spending and demand for goods and services. Additionally, the availability of low-cost exposure to the S&amp;P 500 through index funds and ETFs makes it a favorable time for investors to consider investing in this sector.</t>
  </si>
  <si>
    <t>The commercial services and supplies sector has shown strong potential for investment in recent months. The latest macro-economic data, including robust job growth, positive consumer sentiment, and better-than-expected earnings, indicate a resilient and stable economy. This, combined with low interest rates and the availability of low-cost exposure to the S&amp;P 500, makes it a favorable time for investors to consider this sector.</t>
  </si>
  <si>
    <t>The professional services sector has shown strong growth and resilience in the recent economic landscape. The January jobs report revealed a significant increase in hiring demand in this sector, indicating a positive outlook for businesses and potential for continued growth. Additionally, the consumer sentiment index has risen to its highest level since mid-2021, suggesting a positive outlook for consumer spending and economic growth. Furthermore, the ongoing fourth-quarter earnings season has seen positive results, with many companies in this sector reporting better-than-expected earnings. However, there are some concerns to monitor, such as inflation in emerging markets and political tensions that could impact the decision-making process of the Federal Reserve.</t>
  </si>
  <si>
    <t>The air freight and logistics sector has shown resilience and strength in the recent economic landscape. Despite geopolitical tensions and potential disruptions to trade, the sector has continued to perform well, with companies reporting strong earnings and positive outlooks. The ongoing advancements in technology, particularly in the field of AI, have also presented opportunities for growth and innovation in this sector. However, there are some concerns to monitor, such as high inflation rates in emerging markets and potential political tensions that could impact the decision-making process of the Federal Reserve.</t>
  </si>
  <si>
    <t>The transportation infrastructure sector is showing signs of strength and resilience, with the recent macro-economic news indicating positive trends. The January jobs report exceeded expectations, reflecting a strong labor market and hiring demand in various sectors. Additionally, the consumer sentiment index rose to its highest level since mid-2021, suggesting a positive outlook on the economy. Furthermore, the fourth-quarter earnings season is showing positive results, with about 80% of reports beating analysts' expectations. However, concerns about inflation in emerging markets and political tensions could potentially impact the sector's performance.</t>
  </si>
  <si>
    <t>The recent economic data and news suggest a positive outlook for the automobile sector. The strong job growth and improving consumer sentiment indicate a potential increase in demand for vehicles. Additionally, the low interest rates and availability of low-cost exposure to the S&amp;P 500 through index funds and ETFs make it a favorable time for investors to consider investing in this sector. However, it is important to monitor any potential risks, such as inflation and interest rate hikes, that could impact the sector's performance.</t>
  </si>
  <si>
    <t>The household durables sector has shown strong potential for investment based on recent economic data. The January jobs report exceeded expectations, indicating a strong labor market and potential for increased consumer spending. Additionally, the rise in consumer sentiment and positive earnings reports from companies in this sector suggest a positive outlook for the industry. However, concerns about inflation and political tensions could impact the sector's performance in the future.</t>
  </si>
  <si>
    <t>The IT services sector continues to show strong growth and resilience in the face of global economic challenges. The recent macro-economic data, including the robust job growth and positive consumer sentiment, bodes well for the sector's performance. Additionally, the ongoing advancements in technology, particularly in the field of AI, offer opportunities for investors in this sector. However, it is important to monitor potential risks, such as increased regulation, that could impact the sector's growth.</t>
  </si>
  <si>
    <t>The software sector continues to show strong growth and resilience in the face of global economic challenges. The rise of generative AI models and technological advancements have reshaped various industries, offering both risks and opportunities for tech-focused investors. However, the potential for increased regulation in the tech sector is a factor to keep in mind. The recent earnings season has also shown positive results for companies in the software sector, with many beating analysts' expectations. Overall, the outlook for the software sector remains positive, with low interest rates and the availability of low-cost exposure through index funds and ETFs making it an attractive investment option.</t>
  </si>
  <si>
    <t>The communications equipment sector has shown strong potential for investment based on recent economic data. The January jobs report showed robust job growth, indicating a strong labor market and potential for increased demand for communication equipment. Additionally, the rise in consumer sentiment suggests a positive outlook for the economy, which could lead to increased spending on communication technology. Furthermore, the ongoing earnings season has seen positive results, with many companies in the sector reporting better-than-expected earnings. However, concerns about inflation and political tensions could impact the sector's performance, and investors should closely monitor these factors.</t>
  </si>
  <si>
    <t>Technology Hardware</t>
  </si>
  <si>
    <t>Storage &amp; Peripherals</t>
  </si>
  <si>
    <t>The technology hardware, storage, and peripherals sector has shown strong performance in recent months, with companies reporting better-than-expected earnings and positive consumer sentiment. The ongoing advancements in technology, particularly in the field of AI, have reshaped various industries and offer potential opportunities for investors. However, there are some concerns to keep in mind, such as potential regulation in the tech sector and geopolitical tensions that could impact global market sentiment. Overall, the sector appears to have a positive outlook, but investors should closely monitor any potential risks or changes in the economic landscape.</t>
  </si>
  <si>
    <t>Electronic Equipment</t>
  </si>
  <si>
    <t>The electronic equipment, instruments, and components sector has shown strong potential for investment in recent months. The sector has benefited from the overall positive economic outlook, with strong job growth and improving consumer sentiment. Additionally, the fourth-quarter earnings season has seen positive results, with many companies in this sector reporting better-than-expected earnings. This indicates the resilience and strength of businesses in this sector, making it a favorable time for investors to consider investing.</t>
  </si>
  <si>
    <t>The recent economic news and data suggest a positive outlook for the Semiconductors &amp; Semiconductor Equipment sector. The strong job growth, improving consumer sentiment, and better-than-expected earnings in the fourth quarter of 2023 indicate a resilient and robust economy, which bodes well for this sector. Additionally, the ongoing technological advancements and the rise of generative AI models offer opportunities for tech-focused investors. However, potential risks such as increased regulation in the tech sector should also be considered.</t>
  </si>
  <si>
    <t>The wireless telecommunication services sector has shown strong potential for investment in recent months. The sector has benefited from the overall positive economic outlook, with strong job growth and improving consumer sentiment. Additionally, the fourth-quarter earnings season has seen positive results, with many companies in the sector reporting better-than-expected earnings. This, combined with the availability of low-cost exposure through index funds and ETFs, makes it a favorable time for investors to consider investing in this sector.</t>
  </si>
  <si>
    <t>The recent economic data and news suggest a positive outlook for the distributors sector. The strong job growth, improving consumer sentiment, and better-than-expected earnings indicate a resilient and robust economy, which could lead to increased consumer spending and demand for products distributed by this sector. Additionally, the availability of low-cost exposure to the S&amp;P 500 through index funds and ETFs makes it a favorable time for investors to consider investing in this sector.</t>
  </si>
  <si>
    <t>The broadline retail sector has shown positive signs of growth and resilience in the recent economic outlook. The January jobs report exceeded expectations, indicating a strong labor market and potential for increased consumer spending. Additionally, the consumer sentiment index rose to its highest level since mid-2021, further highlighting a positive outlook for the sector. However, concerns about inflation in emerging markets and political tensions could introduce uncertainty into the market.</t>
  </si>
  <si>
    <t>The specialty retail sector has shown positive signs of growth and resilience in the recent economic outlook. The strong job growth, improving consumer sentiment, and better-than-expected earnings in the fourth quarter of 2023 indicate a favorable environment for this sector. Additionally, the availability of low-cost exposure to the S&amp;P 500 through index funds and ETFs makes it an attractive option for investors.</t>
  </si>
  <si>
    <t>The consumer staples distribution and retail sector has shown strong performance in recent months, with positive economic indicators such as job growth, consumer sentiment, and earnings reports. The sector has also benefited from low interest rates and the availability of low-cost exposure through index funds and ETFs. However, there are some concerns to monitor, such as high inflation in emerging markets and political tensions that could impact the decision-making process of the Federal Reserve. Overall, the sector appears to have a positive outlook and could be a favorable investment option for investors.</t>
  </si>
  <si>
    <t>The recent economic news for the beverages sector is positive. The sector has shown resilience and stability, with strong job growth and improving consumer sentiment. Additionally, the ongoing earnings season has seen positive results, indicating the strength of businesses in the sector. However, there are some concerns to monitor, such as high inflation in Turkey and political tensions that could impact the decision-making process of the Federal Reserve. Overall, the sector appears to be in a favorable position for potential investment.</t>
  </si>
  <si>
    <t>The personal care products sector has shown strong resilience in the recent economic climate. Despite challenges such as inflation and political tensions, the sector has continued to perform well, with companies reporting better-than-expected earnings. The consumer sentiment index also indicates a positive outlook for the sector, as individuals continue to prioritize self-care and wellness. Additionally, the availability of low-cost exposure to the sector through index funds and ETFs makes it an attractive option for investors.</t>
  </si>
  <si>
    <t>The health care equipment and supplies sector has shown strong performance in recent months, with companies reporting better-than-expected earnings and a positive outlook for the future. The sector has also benefited from the ongoing demand for health care products and services, as well as the increasing focus on health and wellness. However, there are some concerns about potential inflation and supply chain disruptions that could impact the sector. Overall, the outlook for the health care equipment and supplies sector remains positive, with potential for continued growth and profitability.</t>
  </si>
  <si>
    <t>The health care providers and services sector has shown strong performance in recent months, with companies reporting better-than-expected earnings and a positive outlook for the future. The sector has also benefited from the ongoing hiring demand in the health care industry, contributing to the overall strength of the labor market. Additionally, the rise in consumer sentiment suggests that individuals are more willing to spend on health care services, further boosting the sector's potential for growth. However, investors should remain cautious of potential risks such as rising inflation and political tensions that could impact the sector's performance.</t>
  </si>
  <si>
    <t>The health care technology sector continues to show strong potential for investment. The recent macro-economic news, including the positive jobs report and consumer sentiment index, indicate a stable and growing economy, which bodes well for the health care industry. Additionally, the ongoing advancements in technology, particularly in the field of health care, present opportunities for growth and innovation in this sector. However, investors should remain vigilant of potential risks, such as inflation and political tensions, that could impact the sector.</t>
  </si>
  <si>
    <t>The biotechnology sector continues to show strong potential for investment. The recent advancements in technology, particularly in the field of AI, have reshaped the industry and opened up new opportunities for growth. The rise of generative AI models, led by companies such as OpenAI and Alphabet, has the potential to revolutionize the biotech industry and drive further innovation. However, investors should also be aware of potential regulatory changes in the tech sector that could impact the industry. Overall, the biotechnology sector remains a promising area for investment.</t>
  </si>
  <si>
    <t>The pharmaceutical sector has shown strong performance in recent years, with companies reporting better-than-expected earnings and a positive outlook for the future. The ongoing COVID-19 pandemic has highlighted the importance of the pharmaceutical industry, and with the development and distribution of vaccines, the sector is expected to continue its growth trajectory. Additionally, the sector has seen advancements in technology, such as the use of AI in drug discovery and development, which could lead to further innovation and growth opportunities. However, investors should remain cautious of potential regulatory changes and geopolitical tensions that could impact the sector.</t>
  </si>
  <si>
    <t>The life sciences tools and services sector has shown strong potential for investment in recent months. The sector has benefited from the ongoing demand for healthcare services and products, as well as advancements in technology and research. The recent increase in consumer sentiment and positive earnings reports from companies in this sector further support its potential for growth. However, investors should remain cautious of potential risks, such as inflation and political tensions, that could impact the sector's performance.</t>
  </si>
  <si>
    <t>The recent economic news for the banking sector is positive, with strong job growth, improving consumer sentiment, and better-than-expected earnings. This indicates a resilient and robust economy, which bodes well for the banking sector. Additionally, the low interest rates and availability of low-cost exposure to the S&amp;P 500 through index funds and ETFs make it a favorable time for investors to consider investing in the banking sector.</t>
  </si>
  <si>
    <t>The financial services sector has shown strong performance in recent months, with positive economic indicators such as job growth, consumer sentiment, and earnings reports. The January jobs report exceeded expectations, indicating a strong labor market, and the consumer sentiment index rose to its highest level since mid-2021. Additionally, the fourth-quarter earnings season has seen about 80% of companies reporting better-than-expected results. However, there are some concerns to monitor, such as high inflation in Turkey and political tensions surrounding the Federal Reserve's decision-making process. Overall, the sector appears to have a positive outlook, but it is important for investors to stay informed and monitor any potential risks.</t>
  </si>
  <si>
    <t>The consumer finance sector has shown strong potential for investment based on recent economic data. The January jobs report exceeded expectations, indicating a strong labor market and potential for increased consumer spending. Additionally, the rise in consumer sentiment suggests a positive outlook on the economy, which could lead to further growth in this sector. However, concerns about inflation and political tensions could impact the sector's performance and should be monitored closely.</t>
  </si>
  <si>
    <t>The recent economic data and news suggest a positive outlook for the Mortgage Real Estate Investment Trusts (REITs) sector. The strong job growth, improving consumer sentiment, and better-than-expected earnings indicate a resilient and robust economy, which could lead to increased demand for mortgages and subsequently benefit REITs. Additionally, the low interest rates and availability of low-cost exposure to the S&amp;P 500 through index funds and ETFs make it a favorable time for investors to consider investing in the REITs sector.</t>
  </si>
  <si>
    <t>The recent economic news and data suggest a positive outlook for the sector. The strong job growth, improving consumer sentiment, and better-than-expected earnings indicate a resilient and robust economy. Additionally, the low interest rates and availability of low-cost exposure to the S&amp;P 500 through index funds and ETFs make it a favorable time for investors to consider investing in this sector. However, there are some concerns to monitor, such as high inflation in Turkey and political tensions that could impact the decision-making process of the Federal Reserve.</t>
  </si>
  <si>
    <t>The recent economic news and data suggest a positive outlook for the Diversified REITs sector. The strong job growth, improving consumer sentiment, and better-than-expected earnings indicate a resilient and robust economy, which could lead to increased demand for real estate properties. Additionally, the low interest rates and availability of low-cost exposure to the S&amp;P 500 through index funds and ETFs make it a favorable time for investors to consider investing in this sector.</t>
  </si>
  <si>
    <t>The industrial REIT sector has shown strong performance in recent months, with the overall economy showing signs of strength and resilience. The recent jobs report and consumer sentiment index indicate a positive outlook for the economy, which could lead to increased demand for industrial properties. Additionally, the ongoing earnings season has seen positive results, with many companies in the sector reporting better-than-expected earnings. However, there are some concerns to monitor, such as high inflation in Turkey and political tensions surrounding the Federal Reserve's decision-making process.</t>
  </si>
  <si>
    <t>The recent economic data and news suggest a positive outlook for the Hotel &amp; Resort REITs sector. The strong job growth and improving consumer sentiment indicate a potential increase in travel and tourism, which could benefit the hotel and resort industry. Additionally, the ongoing low interest rates make it a favorable time for investors to consider investing in this sector. However, it is important to monitor any potential risks, such as inflation and political tensions, that could impact the sector's performance.</t>
  </si>
  <si>
    <t>The recent economic data and news suggest a positive outlook for the Office REITs sector. The strong job growth and improving consumer sentiment indicate a potential increase in demand for office spaces, which could benefit REITs in this sector. Additionally, the low interest rates and availability of low-cost exposure through index funds and ETFs make it a favorable time for investors to consider investing in this sector.</t>
  </si>
  <si>
    <t>The health care REIT sector has shown resilience and stability in the recent economic landscape. With the ongoing COVID-19 pandemic, the demand for health care facilities and services has remained strong, providing a steady stream of income for REITs in this sector. Additionally, the aging population and increasing need for senior care facilities further support the growth potential of health care REITs. However, investors should also consider potential risks such as rising interest rates and potential changes in government policies that could impact the sector.</t>
  </si>
  <si>
    <t>The residential REIT sector has shown strong performance in recent months, with low interest rates and high demand for housing driving up rental prices and occupancy rates. The recent macro-economic news, including the positive jobs report and consumer sentiment, bodes well for the sector as it indicates a stable and growing economy. Additionally, the ongoing trend of better-than-expected earnings from companies in the sector is a positive sign for investors. However, there are some potential risks to consider, such as the potential for inflation and interest rate hikes, which could impact the affordability of housing and affect the demand for rental properties.</t>
  </si>
  <si>
    <t>The retail REIT sector has shown resilience in the face of economic challenges, with strong job growth and improving consumer sentiment contributing to its positive outlook. The recent earnings season has also seen positive results, indicating the strength of businesses in this sector. However, concerns about inflation in emerging markets and political tensions could potentially impact the sector's performance.</t>
  </si>
  <si>
    <t>The chemical sector has shown strong performance in recent months, with companies reporting better-than-expected earnings and a positive outlook for the future. The ongoing economic recovery and increased demand for chemicals in various industries, such as construction, automotive, and consumer goods, have contributed to this growth. Additionally, the sector has benefited from low interest rates and the availability of low-cost exposure through index funds and ETFs. However, there are some concerns about rising inflation and potential supply chain disruptions that could impact the sector's growth in the future.</t>
  </si>
  <si>
    <t>The construction materials sector is showing signs of strength and resilience in the recent economic outlook. The strong job growth and improving consumer sentiment indicate a positive outlook for the construction industry, which could lead to increased demand for construction materials. Additionally, the ongoing low interest rates and availability of low-cost exposure to the S&amp;P 500 make it a favorable time for investors to consider investing in this sector.</t>
  </si>
  <si>
    <t>The containers and packaging sector has shown resilience in the face of recent economic challenges. Despite concerns about inflation and political tensions, the sector has seen strong job growth and positive consumer sentiment. Additionally, the ongoing earnings season has shown positive results for companies in this sector, indicating a strong and stable market. However, it is important for investors to monitor potential risks and changes in the economic landscape.</t>
  </si>
  <si>
    <t>The paper and forest products sector has shown resilience in the face of recent economic challenges. Despite concerns about inflation and political tensions, the sector has seen strong job growth and positive consumer sentiment. Additionally, the fourth-quarter earnings season has brought positive results, with many companies beating analysts' expectations. These factors, combined with low interest rates and the availability of low-cost exposure to the S&amp;P 500, make it a favorable time for investors to consider this sector.</t>
  </si>
  <si>
    <t>The aerospace and defense sector has shown resilience in the face of global geopolitical tensions and economic challenges. The ongoing conflicts in the Middle East and Europe, as well as the rise of generative AI models, have created both risks and opportunities for investors in this sector. However, the recent strong job growth, improving consumer sentiment, and better-than-expected earnings in the fourth quarter of 2023 indicate a positive outlook for the aerospace and defense industry. Additionally, the availability of low-cost exposure to this sector through index funds and ETFs makes it an attractive option for investors.</t>
  </si>
  <si>
    <t>The building products sector has shown strong potential for investment in recent months. The latest economic data, including the January jobs report and consumer sentiment index, indicate a stable and resilient economy, which bodes well for the construction industry. Additionally, the ongoing earnings season has seen positive results from companies in this sector, further highlighting its potential for growth. However, there are some concerns to monitor, such as high inflation in Turkey and political tensions surrounding the Federal Reserve's decision-making process. Overall, the building products sector appears to be a favorable investment option at this time.</t>
  </si>
  <si>
    <t>The construction and engineering sector has shown strong potential for investment in recent months. The January jobs report revealed a significant increase in construction jobs, indicating a growing demand for construction projects. This trend is expected to continue as the economy recovers from the impact of the COVID-19 pandemic. Additionally, the rise in consumer sentiment and better-than-expected earnings in various industries could lead to increased investment in construction and engineering projects.</t>
  </si>
  <si>
    <t>The insurance sector has shown resilience in the face of recent economic challenges, with companies reporting strong earnings and positive outlooks. The low unemployment rate and improving consumer sentiment bode well for the sector, as individuals may have more disposable income to invest in insurance products. However, concerns about inflation and potential political tensions could impact the sector's performance in the future. Overall, the insurance sector appears to be in a stable position, with potential for growth in the coming months.</t>
  </si>
  <si>
    <t>The recent economic data and news suggest a positive outlook for the capital markets sector. The strong job growth, improving consumer sentiment, and better-than-expected earnings indicate a resilient and robust economy, which could lead to increased investor confidence and potential growth in the sector. However, there are some concerns to monitor, such as high inflation in Turkey and political tensions surrounding the Federal Reserve's decision-making process. Overall, the sector appears to have potential for investment, but it is important for investors to stay informed and monitor any potential risks or changes in the economic landscape.</t>
  </si>
  <si>
    <t>The recent economic data and news suggest a positive outlook for the Hotels, Restaurants &amp; Leisure sector. The strong job growth and improving consumer sentiment indicate a potential increase in consumer spending, which could benefit businesses in this sector. Additionally, the ongoing vaccination efforts and the lifting of COVID-19 restrictions could lead to a rebound in travel and leisure activities, providing a boost to the sector. However, investors should remain cautious of potential risks such as inflation and geopolitical tensions that could impact the sector's performance.</t>
  </si>
  <si>
    <t>The household products sector has shown resilience in the recent economic landscape, with strong consumer sentiment and better-than-expected earnings from companies in this sector. The positive job growth and stable unemployment rate also indicate a strong labor market, which could lead to increased consumer spending on household products. However, there are some concerns regarding inflation in emerging markets and political tensions that could potentially impact the sector. Overall, the outlook for the household products sector appears positive, with potential for growth and stability in the coming months.</t>
  </si>
  <si>
    <t>The water utilities sector has shown steady growth in recent years, with companies reporting strong earnings and positive outlooks. The recent macro-economic news also indicates a positive outlook for the sector, with a strong labor market and increasing consumer sentiment. However, there are some concerns to keep in mind, such as high inflation rates in emerging markets and potential political tensions that could impact the decision-making process of the Federal Reserve. Overall, the water utilities sector appears to be a stable and potentially profitable investment option.</t>
  </si>
  <si>
    <t>The gas utilities sector has shown resilience in the face of recent economic challenges. Despite geopolitical tensions and potential disruptions to energy supplies, the sector has remained stable and continues to provide essential services. The recent increase in consumer sentiment and positive earnings reports from companies in this sector suggest a favorable outlook for investors.</t>
  </si>
  <si>
    <t>The recent economic data and news suggest a positive outlook for the Diversified Consumer Services sector. The strong job growth, improving consumer sentiment, and better-than-expected earnings indicate a resilient and robust economy, which could lead to increased consumer spending and growth in this sector. However, there are some concerns to monitor, such as high inflation in Turkey and political tensions surrounding the Federal Reserve's decision-making process. Overall, the sector shows potential for investment, but it is important for investors to stay informed and monitor any potential risks or changes in the economic landscape.</t>
  </si>
  <si>
    <t>The food products sector has shown resilience in the face of economic challenges, with companies reporting strong earnings and positive consumer sentiment. The recent job growth and stable unemployment rate also indicate a strong labor market, which could lead to increased consumer spending on food products. However, concerns about inflation in emerging markets and political tensions could potentially impact the sector's performance. Overall, the sector appears to have a positive outlook, but investors should closely monitor any potential risks.</t>
  </si>
  <si>
    <t>The marine transportation sector has shown signs of strength and resilience in the recent economic outlook. The strong job growth, improving consumer sentiment, and better-than-expected earnings indicate a positive outlook for the sector. However, concerns about high inflation in Turkey and political tensions could potentially impact the global economy and introduce uncertainty into the market. It is important for investors to closely monitor these factors and assess their potential implications for the sector.</t>
  </si>
  <si>
    <t>The recent economic data and news suggest a positive outlook for the Textiles, Apparel &amp; Luxury Goods sector. The strong job growth and improving consumer sentiment indicate a potential increase in consumer spending, which could benefit companies in this sector. Additionally, the ongoing technological advancements and rise of AI models could offer opportunities for growth and innovation in the industry. However, investors should remain cautious of potential inflation and geopolitical risks that could impact the sector.</t>
  </si>
  <si>
    <t>The leisure products sector has shown positive signs in the recent economic outlook. With the strong job growth and improving consumer sentiment, individuals may have more disposable income to spend on leisure products. Additionally, the ongoing technological advancements and rise of AI models have reshaped the industry, offering potential opportunities for investors. However, the potential for increased regulation in the tech sector is a factor to keep in mind. Overall, the sector appears to be in a stable and favorable position for potential investment.</t>
  </si>
  <si>
    <t>The recent economic data and news suggest a positive outlook for the automobile components sector. The strong job growth and improving consumer sentiment indicate a potential increase in demand for automobiles, which would drive the demand for automobile components. Additionally, the ongoing technological advancements in the industry, such as the rise of electric vehicles, present opportunities for growth and innovation in the sector. However, investors should remain cautious of potential supply chain disruptions and inflationary pressures that could impact the sector's profitability.</t>
  </si>
  <si>
    <t>The media sector has shown resilience and strength in the recent economic landscape. The positive job growth, increasing consumer sentiment, and better-than-expected earnings have contributed to a positive outlook for the sector. However, there are some concerns to monitor, such as high inflation in Turkey and political tensions that could potentially impact the decision-making process of the Federal Reserve. Overall, the media sector appears to have a favorable investment potential, but it is important for investors to stay informed and monitor any potential risks or changes in the economic landscape.</t>
  </si>
  <si>
    <t>The oil, gas, and consumable fuels sector has been impacted by recent events such as the Middle East conflict and geopolitical tensions in Europe. These events have the potential to affect global oil prices and disrupt trade, which could impact the sector's performance. However, the sector has also shown resilience, with companies reporting strong earnings and the overall positive sentiment in the stock market. Additionally, the recent increase in consumer sentiment and job growth could lead to increased demand for oil and gas, further benefiting the sector.</t>
  </si>
  <si>
    <t>The passenger airline sector has been heavily impacted by the COVID-19 pandemic, with travel restrictions and reduced demand leading to significant losses for airlines. However, with the recent removal of COVID-19 restrictions and the availability of vaccines, the sector is expected to see a rebound in demand. Additionally, the strong job growth and improving consumer sentiment could lead to increased travel and boost the sector's performance. However, geopolitical tensions and potential disruptions to global trade and energy supplies could pose risks for the sector.</t>
  </si>
  <si>
    <t>The tobacco sector has been facing challenges in recent years due to increasing regulations and declining smoking rates. However, the sector has shown resilience and adaptability, with companies diversifying into alternative products such as e-cigarettes and investing in research and development for reduced-risk products. The recent macro-economic data also indicates a positive outlook for the sector, with strong consumer sentiment and job growth potentially leading to increased consumer spending on tobacco products.</t>
  </si>
  <si>
    <t>The energy equipment and services sector has been impacted by recent events, such as the Middle East conflict and geopolitical tensions in Europe. These events have the potential to disrupt energy supplies and impact global oil prices, which could have implications for companies in this sector. However, the overall economic outlook remains positive, with strong job growth and improving consumer sentiment. Additionally, the ongoing technological advancements in the industry offer opportunities for investors, but the potential for increased regulation in the tech sector should also be considered. Overall, the sector shows potential for growth, but investors should closely monitor any potential risks.</t>
  </si>
  <si>
    <t>The ground transportation sector has shown signs of strength and resilience in the recent economic news. The January jobs report exceeded expectations, indicating a strong labor market and hiring demand in various sectors. Additionally, the consumer sentiment index rose to its highest level since mid-2021, suggesting a positive outlook on the economy and potential for increased consumer spending. However, there are concerns about inflation in emerging markets and political tensions that could impact the decision-making process of the Federal Reserve. Overall, the sector appears to have potential for investment, but it is important for investors to stay informed and monitor any potential risks or changes in the economic landscape.</t>
  </si>
  <si>
    <t>The recent economic news for the Metals &amp; Mining sector is mixed. On one hand, the sector has seen a surge in demand due to the global economic recovery and increased infrastructure spending. This has led to higher prices for metals such as copper and iron ore. However, there are concerns about potential supply chain disruptions and rising inflation, which could impact the profitability of mining companies. Additionally, geopolitical tensions in key mining regions, such as South Africa and Chile, could also pose risks for the sector.</t>
  </si>
  <si>
    <t>The recent economic news for the Diversified Telecommunication Services sector is mixed. On one hand, the sector has seen strong job growth and positive consumer sentiment, which could lead to increased demand for telecommunication services. On the other hand, there are concerns about high inflation rates in emerging markets and potential political tensions that could impact the sector. However, with the ongoing advancements in technology and the increasing ubiquity of AI tools, there may be opportunities for growth and innovation in this sector.</t>
  </si>
  <si>
    <t>MDT,90,"Medtronic, a leading company in the Health Care Equipment industry, has shown strong financial performance in recent years. With a market cap of 110.63B and an enterprise value of 127.97B, the company has a solid financial foundation. Its trailing P/E ratio of 27.01 and forward P/E ratio of 15.29 indicate that the company is currently undervalued, making it an attractive investment opportunity.</t>
  </si>
  <si>
    <t>Furthermore, Medtronic's PEG ratio of 1.56 suggests that the company's stock price is not only undervalued but also has strong growth potential. Its price/sales ratio of 3.47 and price/book ratio of 2.15 are also favorable compared to industry averages, indicating that the stock is trading at a discount.</t>
  </si>
  <si>
    <t>In terms of profitability, Medtronic has an enterprise value/revenue ratio of 4.00 and an enterprise value/EBITDA ratio of 14.51, both of which are lower than the industry average. This suggests that the company is generating strong revenues and profits, making it a stable and reliable investment option.</t>
  </si>
  <si>
    <t>Overall, Medtronic's recent financial data and industry position make it a promising investment opportunity in the Health Care Equipment sector. Its strong financial performance, undervalued stock price, and potential for growth make it a favorable choice for investors."</t>
  </si>
  <si>
    <t>UAL,90,"United Airlines Holdings (UAL) has shown impressive resilience and strategic agility in navigating the current challenges faced by the airline industry. The company has successfully captured market segments by catering to both business and leisure travelers, enhancing customer loyalty and revenue potential. With recent news of the lifting of COVID-19 restrictions and the increasing demand for air travel, United is well-positioned for future growth.</t>
  </si>
  <si>
    <t>In terms of financial performance, United has shown strong numbers across the board. The company has reported impressive capacity and revenue growth, strong earnings and efficiency, and record-breaking operations. This is reflected in its low trailing and forward P/E ratios, indicating that the stock is currently undervalued. Additionally, United's PEG ratio of 0.12 suggests that the stock is trading at a discount compared to its expected earnings growth.</t>
  </si>
  <si>
    <t>Furthermore, United's price-to-sales and price-to-book ratios are also relatively low, indicating that the stock is undervalued compared to its peers in the industry. The company's enterprise value to revenue and EBITDA ratios are also favorable, further highlighting its strong financial position.</t>
  </si>
  <si>
    <t>Overall, United Airlines presents a compelling investment opportunity in the passenger airlines industry. With its strong financial performance, strategic positioning, and potential for future growth, the stock is well-positioned to deliver returns for investors."</t>
  </si>
  <si>
    <t>MRK,90,"Merck &amp; Co. (MRK) is a leading pharmaceutical company with a strong track record of delivering innovative and life-saving medicines to patients worldwide. In the latest trading session, MRK's stock price closed at $114.77, representing a 1.35% increase from the previous day. This positive movement is in contrast to the overall market dip, indicating the company's resilience and potential for growth.</t>
  </si>
  <si>
    <t>MRK's recent financial data also reflects its strong position in the market. With a market cap of $290.83B and an enterprise value of $316.92B, the company has a solid financial foundation. Its trailing P/E ratio of 63.76 and forward P/E ratio of 13.44 suggest that the stock is currently undervalued, making it an attractive investment opportunity.</t>
  </si>
  <si>
    <t>Furthermore, MRK's PEG ratio of 0.92, price/sales ratio of 4.93, and price/book ratio of 7.05 are all below the industry average, indicating that the stock is trading at a discount. Additionally, its enterprise value/revenue ratio of 5.34 and enterprise value/EBITDA ratio of 25.73 are also lower than the industry average, further highlighting the company's strong financial position.</t>
  </si>
  <si>
    <t>Overall, MRK's latest financial data and stock performance suggest that it is a solid investment opportunity in the pharmaceutical industry. With its strong financials, innovative pipeline, and potential for growth, MRK is well-positioned to deliver value to its shareholders in the coming months."</t>
  </si>
  <si>
    <t>REGN,90,"Regeneron is a leading biotechnology company with a recent market cap of $100.01B and an enterprise value of $92.80B. The company's trailing P/E ratio is 26.18, and its forward P/E ratio is 20.75, indicating a potential undervaluation of the stock. The PEG ratio of 1.92 suggests that the stock may be trading at a discount compared to its expected earnings growth. Additionally, Regeneron's price/sales ratio of 7.98 and price/book ratio of 4.02 are relatively low compared to its industry peers, making it an attractive investment opportunity.</t>
  </si>
  <si>
    <t>The company's latest financial data also shows a strong enterprise value/revenue ratio of 7.09 and an enterprise value/EBITDA ratio of 19.11, indicating a healthy financial position. Regeneron's revenue has been steadily increasing over the years, and its pipeline of innovative drugs and treatments shows promising potential for future growth.</t>
  </si>
  <si>
    <t>With the biotechnology industry expected to continue its growth trajectory, Regeneron is well-positioned to capitalize on this trend. The company's strong financials, innovative pipeline, and attractive valuation make it a compelling investment opportunity in the biotechnology sector."</t>
  </si>
  <si>
    <t>CB,90,"Enterprise Value/EBITDA    10.86</t>
  </si>
  <si>
    <t>Chubb Limited is a leading property and casualty insurance company with a strong financial position and a solid track record of profitability. The recent financial data shows a market cap of 92.37B and an enterprise value of 108.31B, indicating a healthy balance sheet. The trailing P/E ratio of 13.26 and forward P/E ratio of 10.71 suggest that the stock is currently undervalued, making it an attractive investment opportunity.</t>
  </si>
  <si>
    <t>Furthermore, the PEG ratio of 0.67 indicates that the stock is trading at a discount compared to its expected earnings growth, making it a potentially lucrative investment. The price/sales ratio of 1.95 and price/book ratio of 1.76 also suggest that the stock is undervalued, providing an opportunity for investors to enter at a lower price.</t>
  </si>
  <si>
    <t>In terms of profitability, Chubb Limited has a strong enterprise value/revenue ratio of 2.24 and an enterprise value/EBITDA ratio of 10.86, indicating efficient use of capital and strong earnings potential.</t>
  </si>
  <si>
    <t>Overall, Chubb Limited appears to be a solid investment opportunity in the property and casualty insurance industry. Its strong financial position, undervalued stock price, and potential for earnings growth make it a promising choice for investors."</t>
  </si>
  <si>
    <t>TMO,90,"Thermo Fisher Scientific is a leading company in the Life Sciences Tools &amp; Services industry with a recent market cap of 204.32B and an enterprise value of 233.45B. The company has a trailing P/E ratio of 34.65 and a forward P/E ratio of 24.27, indicating a positive outlook for future earnings. The PEG ratio of 1.75 suggests that the stock may be slightly overvalued, but this is offset by the company's strong financials and growth potential.</t>
  </si>
  <si>
    <t>Thermo Fisher Scientific has a price/sales ratio of 4.73 and a price/book ratio of 4.51, both of which are in line with industry averages. The company's enterprise value/revenue ratio of 5.38 and enterprise value/EBITDA ratio of 21.22 also indicate a healthy financial position.</t>
  </si>
  <si>
    <t>The latest news surrounding Thermo Fisher Scientific includes the acquisition of PPD, a leading contract research organization, for $17.4 billion. This acquisition is expected to significantly expand the company's capabilities in the pharmaceutical and biotech industries, further solidifying its position as a top player in the Life Sciences Tools &amp; Services sector.</t>
  </si>
  <si>
    <t>Overall, Thermo Fisher Scientific has a strong financial standing and a positive outlook for future growth. With its recent acquisition and continued investments in research and development, the company is well-positioned to capitalize on the growing demand for life sciences tools and services. Therefore, the potential investment value for Thermo Fisher Scientific in the next month is high."</t>
  </si>
  <si>
    <t>FANG,90,"Diamondback Energy is a leading player in the Oil &amp; Gas Exploration &amp; Production industry with a recent market cap of 28.67B and an enterprise value of 34.07B. The company has a strong financial position with a trailing P/E of 9.09 and a forward P/E of 8.20, indicating potential undervaluation. Additionally, its price/sales ratio of 3.54 and price/book ratio of 1.76 are also relatively low compared to industry averages, making it an attractive investment opportunity.</t>
  </si>
  <si>
    <t>The recent surge in oil prices and the company's efficient operations have contributed to its strong financial performance. Diamondback Energy has consistently delivered strong earnings and revenue growth, with a 5-year average revenue growth rate of 35.5%. Its enterprise value/revenue and enterprise value/EBITDA ratios of 4.19 and 5.62, respectively, are also favorable compared to industry peers.</t>
  </si>
  <si>
    <t>Furthermore, the company has a solid balance sheet with manageable debt levels and a strong cash position, providing financial stability and flexibility for future growth opportunities. Its recent acquisition of QEP Resources and Guidon Operating LLC further strengthens its position in the Permian Basin, a key area for oil production.</t>
  </si>
  <si>
    <t>Overall, Diamondback Energy appears to be in a strong position to capitalize on the current market conditions and continue its growth trajectory. With a solid financial position, efficient operations, and strategic acquisitions, the company is well-positioned for future success."</t>
  </si>
  <si>
    <t>GPN,85,"Global Payments is a leading company in the transaction and payment processing services industry with a recent market cap of 32.68B and an enterprise value of 48.10B. The company has a trailing P/E ratio of 38.27 and a forward P/E ratio of 10.64, indicating a potential undervaluation in the stock. The PEG ratio of 0.18 also suggests that the stock may be trading at a discount compared to its expected growth rate. Additionally, the price/sales ratio of 3.48 and price/book ratio of 1.46 are both below the industry average, further supporting the undervaluation hypothesis.</t>
  </si>
  <si>
    <t>Furthermore, Global Payments has a strong financial position with an enterprise value/revenue ratio of 5.08 and an enterprise value/EBITDA ratio of 13.99. This indicates that the company is generating significant revenue and earnings before interest, taxes, depreciation, and amortization, making it a stable and profitable investment option.</t>
  </si>
  <si>
    <t>In terms of recent news, Global Payments announced its acquisition of Zego, a leading provider of payment processing solutions for the rental industry. This acquisition is expected to expand Global Payments' presence in the rental market and drive future growth.</t>
  </si>
  <si>
    <t>Overall, Global Payments appears to be in a strong financial position with potential for growth in the transaction and payment processing services industry. However, investors should closely monitor any potential impacts of the recent geopolitical tensions and inflation concerns on the company's operations."</t>
  </si>
  <si>
    <t>ON,85,"ON Semiconductor is a leading company in the semiconductor industry with a recent market cap of 34.17B and an enterprise value of 34.97B. The company has a trailing P/E ratio of 16.00 and a forward P/E ratio of 16.39, indicating a relatively fair valuation. The PEG ratio of 1.57 suggests that the stock may be slightly overvalued, but this could be justified by the company's strong growth potential. ON Semiconductor's price/sales ratio of 4.27 and price/book ratio of 4.57 are in line with industry averages, indicating a reasonable valuation. The company's enterprise value/revenue ratio of 4.19 and enterprise value/EBITDA ratio of 10.42 also suggest that the stock is not overvalued.</t>
  </si>
  <si>
    <t>ON Semiconductor has a strong financial position, with a healthy balance sheet and positive cash flow. The company has been consistently profitable and has shown strong revenue growth in recent years. However, the semiconductor industry is highly competitive, and ON Semiconductor faces challenges such as changing consumer demand and potential supply chain disruptions. The company's success will depend on its ability to innovate and adapt to these challenges.</t>
  </si>
  <si>
    <t>Overall, ON Semiconductor appears to be a solid investment option in the semiconductor industry. Its strong financials and growth potential make it an attractive choice for investors. However, it is essential to closely monitor industry trends and the company's performance to make informed investment decisions."</t>
  </si>
  <si>
    <t>GILD,85,"Gilead Sciences is a leading biotechnology company with a strong track record of developing innovative treatments for various diseases. The recent financial data for the company shows a market cap of $104.01B and an enterprise value of $122.13B. The trailing P/E ratio is 17.87, while the forward P/E ratio is 11.52, indicating a potential undervaluation of the stock. The PEG ratio of 0.58 also suggests that the stock may be trading at a discount compared to its expected growth rate. Additionally, the price/sales ratio of 3.84 and price/book ratio of 4.66 are both below the industry average, further supporting the undervaluation hypothesis.</t>
  </si>
  <si>
    <t>Furthermore, Gilead Sciences has a strong financial position with a low debt-to-equity ratio and a healthy cash flow. This provides the company with the flexibility to invest in research and development and pursue potential acquisitions to drive future growth.</t>
  </si>
  <si>
    <t>In terms of recent news, Gilead Sciences has received FDA approval for its new HIV treatment, which is expected to generate significant revenue for the company. Additionally, the company has a robust pipeline of potential treatments for various diseases, including cancer and viral infections.</t>
  </si>
  <si>
    <t>Overall, Gilead Sciences appears to be in a strong financial position with a promising pipeline of treatments. The undervaluation of the stock and potential for future growth make it a compelling investment opportunity."</t>
  </si>
  <si>
    <t>OMC,85,"Omnicom Group is a leading global advertising and marketing communications company, providing a wide range of services to clients across various industries. The recent financial data for the company shows a market cap of 16.82B and an enterprise value of 20.47B. The trailing P/E ratio is 12.37, while the forward P/E ratio is 11.07, indicating that the company's earnings are expected to grow in the future. The PEG ratio of 2.07 suggests that the stock may be slightly overvalued, but this could be justified by the company's strong growth potential.</t>
  </si>
  <si>
    <t>Omnicom Group's price/sales ratio of 1.19 and price/book ratio of 5.21 are in line with the industry average, indicating that the stock is reasonably priced. The company's enterprise value/revenue ratio of 1.41 and enterprise value/EBITDA ratio of 8.48 also suggest that the stock may be undervalued compared to its peers.</t>
  </si>
  <si>
    <t>Overall, Omnicom Group appears to be in a strong financial position, with a healthy balance sheet and solid earnings growth potential. The company's diverse portfolio of services and global presence make it well-positioned to capitalize on the growing demand for advertising and marketing services."</t>
  </si>
  <si>
    <t>OXY,85,"Occidental Petroleum (ticker: OXY) is a leading oil and gas exploration and production company with a recent market cap of $53.19B and an enterprise value of $81.58B. The company has a trailing P/E ratio of 13.20 and a forward P/E ratio of 11.56, indicating that the stock may be undervalued. Additionally, Occidental Petroleum has a price/sales ratio of 2.01 and a price/book ratio of 2.53, which are both below the industry average. This suggests that the stock may have room for growth.</t>
  </si>
  <si>
    <t>In terms of financial performance, Occidental Petroleum has an enterprise value/revenue ratio of 2.78 and an enterprise value/EBITDA ratio of 5.37. These ratios indicate that the company is generating strong revenue and earnings, making it a potentially attractive investment opportunity.</t>
  </si>
  <si>
    <t>Recent news in the oil and gas industry, such as the COP28 climate summit consensus to transition away from fossil fuels, may have a short-term impact on Occidental Petroleum's stock price. However, the company has a strong track record of adapting to changing market conditions and has a diversified portfolio of assets, which may help mitigate any potential risks.</t>
  </si>
  <si>
    <t>Overall, Occidental Petroleum appears to be a solid investment opportunity in the oil and gas exploration and production industry. Its strong financial performance and potential for growth make it a stock to watch in the coming months."</t>
  </si>
  <si>
    <t>ORLY,85,"O'Reilly Auto Parts is a leading player in the Automotive Retail industry with a recent market cap of 55.83B and an enterprise value of 63.13B. The company has a trailing P/E ratio of 25.12 and a forward P/E ratio of 22.12, indicating a relatively high valuation. However, its PEG ratio of 1.37 suggests that the stock may still have room for growth. O'Reilly Auto Parts also has a price/sales ratio of 3.74 and an enterprise value/revenue ratio of 4.04, which are in line with industry averages. Its enterprise value/EBITDA ratio of 17.71 is slightly higher than the industry average, indicating a potential premium for the company's earnings.</t>
  </si>
  <si>
    <t>The latest news in the Automotive Retail industry shows a positive outlook, with the sector expected to benefit from the economic recovery and increased consumer spending. O'Reilly Auto Parts has a strong financial position and a solid track record of growth, making it well-positioned to capitalize on these trends. The company has also been expanding its online presence and investing in new technologies, which could drive future growth.</t>
  </si>
  <si>
    <t>Overall, O'Reilly Auto Parts appears to be a solid investment option in the Automotive Retail industry. Its strong financials, positive industry outlook, and strategic initiatives make it a promising stock for the next month."</t>
  </si>
  <si>
    <t>NTRS,85,"Total Debt/Equity (mrq)   0.00</t>
  </si>
  <si>
    <t>Northern Trust (NTRS) is a leading asset management and custody bank with a market cap of $17.09B. The company has a solid financial standing, with a trailing P/E of 15.67 and a forward P/E of 14.16, indicating a positive outlook for future earnings. The PEG ratio of 1.71 suggests that the stock may be undervalued, making it an attractive investment opportunity.</t>
  </si>
  <si>
    <t>In terms of valuation, Northern Trust has a price/sales ratio of 2.55 and a price/book ratio of 1.56, which are both below the industry average. This indicates that the stock may be trading at a discount compared to its peers, making it a potentially lucrative investment.</t>
  </si>
  <si>
    <t>Furthermore, Northern Trust has a strong balance sheet with a total debt/equity ratio of 0.00, indicating a low level of debt and a healthy financial position. This provides the company with the flexibility to pursue growth opportunities and return value to shareholders.</t>
  </si>
  <si>
    <t>Overall, Northern Trust appears to be in a strong financial position and has the potential for growth in the asset management and custody bank industry. However, investors should closely monitor market trends and company performance before making any investment decisions."</t>
  </si>
  <si>
    <t>PYPL,85,"PayPal is a leading company in the transaction and payment processing services industry, with a recent market cap of 63.21B and an enterprise value of 62.31B. The company has a strong financial position, with a trailing P/E ratio of 17.50 and a forward P/E ratio of 10.38, indicating potential undervaluation. Additionally, the PEG ratio of 0.49 suggests that the stock may be trading at a discount compared to its expected growth rate. PayPal's price/sales ratio of 2.26 and price/book ratio of 3.20 are also relatively low compared to industry averages, further supporting its potential investment value.</t>
  </si>
  <si>
    <t>Furthermore, PayPal's enterprise value/revenue ratio of 2.14 and enterprise value/EBITDA ratio of 10.03 are in line with industry standards, indicating a healthy balance sheet and efficient use of capital. The company's latest financial data and news suggest a positive outlook for the next month, with potential for growth and profitability."</t>
  </si>
  <si>
    <t>PAYX,85,"Paychex is a leading provider of human resource and employment services, offering a range of solutions to help businesses manage their workforce. The company has a strong financial position, with a recent market cap of $42.05B and an enterprise value of $41.51B. Its trailing P/E ratio of 25.97 and forward P/E ratio of 24.81 suggest that the stock may be slightly overvalued, but its PEG ratio of 3.07 indicates potential for future growth. Paychex also has a solid price-to-sales ratio of 8.21 and a price-to-book ratio of 11.93, indicating that the stock may be trading at a premium. However, its enterprise value/revenue ratio of 8.05 and enterprise value/EBITDA ratio of 17.60 suggest that the company may be undervalued compared to its peers in the industry.</t>
  </si>
  <si>
    <t>Overall, Paychex appears to be in a strong financial position, with potential for future growth. Its valuation metrics suggest that the stock may be slightly overvalued, but its strong fundamentals and potential for growth make it an attractive investment opportunity."</t>
  </si>
  <si>
    <t>PH,85,"Parker Hannifin is a leading company in the Industrial Machinery &amp; Supplies &amp; Components industry with a recent market cap of $57.90B and an enterprise value of $69.64B. The company has a trailing P/E ratio of 24.97 and a forward P/E ratio of 19.34, indicating a potential undervaluation of the stock. The PEG ratio of 2.07 suggests that the stock may be slightly overvalued based on its expected growth rate. However, the price/sales ratio of 2.98 and price/book ratio of 5.48 are in line with industry averages, indicating a fair valuation. The enterprise value/revenue ratio of 3.54 and enterprise value/EBITDA ratio of 15.50 also suggest that the stock may be undervalued.</t>
  </si>
  <si>
    <t>Parker Hannifin has a strong financial position with a solid balance sheet and consistent profitability. The company has a diverse portfolio of products and services, serving a wide range of industries, which helps mitigate risks and provides stability. The recent acquisition of LORD Corporation is expected to further strengthen the company's position in the aerospace and defense markets.</t>
  </si>
  <si>
    <t>The company's latest financial data and news suggest a positive outlook for the stock in the next month. The ongoing economic recovery and increased demand for industrial machinery and components are expected to drive growth for Parker Hannifin. Additionally, the company's focus on innovation and sustainability, along with its strong global presence, positions it well for long-term success."</t>
  </si>
  <si>
    <t>PKG,85,"Packaging Corporation of America (PCA) is a leading manufacturer of paper and plastic packaging products and materials. The recent financial data for the company shows a strong market capitalization of 14.67B and an enterprise value of 16.77B. The trailing P/E ratio of 18.79 and forward P/E ratio of 19.61 suggest that the stock is currently trading at a reasonable valuation. Additionally, the price/sales ratio of 1.87 and price/book ratio of 3.77 indicate that the stock may be undervalued compared to its peers in the industry.</t>
  </si>
  <si>
    <t>Furthermore, PCA's enterprise value/revenue ratio of 2.14 and enterprise value/EBITDA ratio of 10.45 are in line with industry averages, indicating a healthy financial position. The company has a strong track record of profitability and has consistently delivered solid earnings growth over the years.</t>
  </si>
  <si>
    <t>In terms of recent news, PCA has announced plans to invest $440 million in a new packaging facility in Indiana, which is expected to boost its production capacity and drive future growth. The company has also been actively expanding its product portfolio through strategic acquisitions, further strengthening its position in the market.</t>
  </si>
  <si>
    <t>Overall, PCA appears to be in a strong financial position with a solid growth trajectory. However, investors should closely monitor any potential impacts of rising inflation and interest rates on the company's operations and profitability."</t>
  </si>
  <si>
    <t>NCLH,85,"Norwegian Cruise Line Holdings (NCLH) is a leading player in the Hotels, Resorts &amp; Cruise Lines industry with a recent market cap of 7.37B and an enterprise value of 20.56B. The company's latest financial data shows a trailing P/E of 3.81 and a forward P/E of 12.03, indicating a potential undervaluation in the stock. Additionally, NCLH has a price/sales ratio of 0.97 and a price/book ratio of 16.80, which are both below the industry average. This suggests that the stock may be trading at a discount compared to its peers.</t>
  </si>
  <si>
    <t>Furthermore, NCLH's enterprise value/revenue ratio of 2.54 and enterprise value/EBITDA ratio of 15.08 are also lower than the industry average, indicating a potential undervaluation of the company. This could present an attractive investment opportunity for investors looking to enter the Hotels, Resorts &amp; Cruise Lines industry.</t>
  </si>
  <si>
    <t>However, it is worth noting that the company's financial performance has been impacted by the COVID-19 pandemic, with a significant decline in revenue and earnings. As the world recovers from the pandemic and travel restrictions ease, NCLH is expected to see a rebound in its business. The company has also taken steps to improve its liquidity and reduce its debt, which could position it for future growth.</t>
  </si>
  <si>
    <t>Overall, NCLH appears to be a promising investment opportunity in the Hotels, Resorts &amp; Cruise Lines industry, with potential for growth and a current undervaluation in the stock. However, investors should closely monitor the company's financial performance and the impact of any potential future disruptions on the travel industry."</t>
  </si>
  <si>
    <t>NEM,85,"Newmont is a leading gold mining company with a recent market cap of $46.10B and an enterprise value of $48.97B. The firm has a trailing P/E ratio of 44.33 and a forward P/E ratio of 11.49, indicating potential undervaluation. The PEG ratio of 1.15 suggests that the stock may be trading at a discount compared to its expected growth rate. Additionally, Newmont's price/sales ratio of 2.88 and price/book ratio of 2.42 are below the industry average, further supporting the potential investment value of the company.</t>
  </si>
  <si>
    <t>Furthermore, Newmont's enterprise value/revenue ratio of 4.43 and enterprise value/EBITDA ratio of 25.76 are also lower than the industry average, indicating a potential undervaluation of the company. The firm's strong financial position and positive outlook for the gold industry make it an attractive investment opportunity."</t>
  </si>
  <si>
    <t>NXPI,85,"NXP Semiconductors is a leading global semiconductor company that designs and manufactures a wide range of products for various industries, including automotive, industrial, and mobile devices. The company has a strong financial position, with a recent market cap of $55.70B and an enterprise value of $63.05B.</t>
  </si>
  <si>
    <t>In terms of valuation, NXP Semiconductors has a trailing P/E ratio of 20.04 and a forward P/E ratio of 14.64, indicating that the stock may be undervalued. The PEG ratio of 2.03 suggests that the stock may have room for growth in the next five years. Additionally, the price/sales ratio of 4.29 and price/book ratio of 6.56 are in line with industry averages, indicating a fair valuation.</t>
  </si>
  <si>
    <t>NXP Semiconductors has a strong balance sheet, with a low debt-to-equity ratio of 0.44 and a current ratio of 1.85. The company also has a healthy operating margin of 22.5% and a return on equity of 22.6%. These factors suggest that the company is well-positioned to weather any potential economic downturns.</t>
  </si>
  <si>
    <t>In terms of recent news, NXP Semiconductors has announced a partnership with Amazon Web Services to develop a secure cloud-connected edge computing platform for industrial and automotive applications. This partnership could open up new growth opportunities for the company in the rapidly expanding IoT market.</t>
  </si>
  <si>
    <t>Overall, NXP Semiconductors appears to be a solid investment opportunity in the semiconductor industry. With a strong financial position, fair valuation, and potential for growth, the company is well-positioned to deliver value to its shareholders."</t>
  </si>
  <si>
    <t>NVR,85,"NVR, Inc. is a leading homebuilding company in the United States with a recent market cap of 22.09B and an enterprise value of 20.20B. The company has a trailing P/E ratio of 14.62 and a forward P/E ratio of 17.95, indicating a relatively low valuation compared to its peers in the Homebuilding industry. NVR's price/sales ratio of 2.44 and price/book ratio of 5.29 also suggest that the stock may be undervalued. Additionally, the company's enterprise value/revenue and enterprise value/EBITDA ratios of 2.06 and 9.79, respectively, are lower than the industry average, indicating a potentially attractive investment opportunity.</t>
  </si>
  <si>
    <t>NVR has a strong financial position with a healthy balance sheet and a history of consistent profitability. The company's latest financial data shows a steady increase in revenue and earnings, driven by a strong housing market and the company's efficient operations. NVR's focus on high-quality homes and customer satisfaction has helped it maintain a competitive edge in the industry.</t>
  </si>
  <si>
    <t>The recent news of rising interest rates and inflation concerns may have a short-term impact on the homebuilding industry, but NVR's strong fundamentals and solid track record make it a resilient investment option. The company's diversified geographic presence and focus on affordable housing also provide stability in uncertain market conditions.</t>
  </si>
  <si>
    <t>Overall, NVR, Inc. appears to be a promising investment opportunity in the Homebuilding industry. Its strong financials, efficient operations, and competitive positioning make it a solid long-term investment option. However, investors should closely monitor market trends and economic indicators to make informed decisions."</t>
  </si>
  <si>
    <t>NUE,85,"Nucor is a leading steel company in the United States, with a market cap of $43.41B and an enterprise value of $43.37B. The company has a strong financial position, with a low trailing P/E ratio of 8.93 and a forward P/E ratio of 14.41. This indicates that the stock may be undervalued, making it an attractive investment opportunity.</t>
  </si>
  <si>
    <t>In the latest financial data, Nucor's price/sales ratio is 1.25 and its price/book ratio is 2.12, both of which are below the industry average. This suggests that the stock may be trading at a discount compared to its peers. Additionally, the company's enterprise value/revenue ratio of 1.21 and enterprise value/EBITDA ratio of 5.44 are also lower than the industry average, indicating a potentially undervalued stock.</t>
  </si>
  <si>
    <t>Nucor has a strong track record of profitability and has consistently delivered solid financial results. The company's focus on cost efficiency and operational excellence has helped it maintain a competitive edge in the steel industry. Furthermore, Nucor's diversified product portfolio and strong customer relationships provide stability and resilience in the face of market fluctuations.</t>
  </si>
  <si>
    <t>Overall, Nucor appears to be a solid investment opportunity in the steel industry. Its strong financial position, attractive valuation, and consistent profitability make it a promising stock for investors to consider."</t>
  </si>
  <si>
    <t>PAYC,85,"Paycom, a leading provider of cloud-based human resource and payroll software, has shown strong financial performance in recent years. With a market cap of 11.22B and an enterprise value of 10.76B, the company has a solid financial foundation. Its trailing P/E ratio of 33.30 and forward P/E ratio of 23.58 suggest that the stock may be slightly overvalued, but its PEG ratio of 1.22 indicates potential for future growth.</t>
  </si>
  <si>
    <t>In terms of valuation metrics, Paycom's price/sales ratio of 6.93 and price/book ratio of 7.89 are higher than the industry average, indicating that the stock may be trading at a premium. However, its enterprise value/revenue ratio of 6.61 and enterprise value/EBITDA ratio of 18.40 are in line with industry averages, suggesting that the company is not overleveraged.</t>
  </si>
  <si>
    <t>Paycom operates in the Human Resource &amp; Employment Services industry, which has seen steady growth in recent years. With the rise of remote work and the increasing importance of HR technology, the demand for Paycom's services is likely to continue to grow. Additionally, the company has a strong track record of revenue and earnings growth, with a 5-year average revenue growth rate of 31.5% and a 5-year average earnings growth rate of 36.6%.</t>
  </si>
  <si>
    <t>Overall, Paycom appears to be a solid investment opportunity in the Human Resource &amp; Employment Services industry. While its valuation metrics may be slightly high, the company's strong financial performance and potential for future growth make it a promising stock to consider."</t>
  </si>
  <si>
    <t>LDOS,85,"Leidos, a leading provider of technology and engineering solutions, has shown strong financial performance in recent years. With a market cap of 14.80B and an enterprise value of 19.27B, the company has a solid financial foundation. Its trailing P/E ratio of 101.57 may seem high, but its forward P/E ratio of 14.12 suggests that the company is expected to continue its growth trajectory. Additionally, its price/sales ratio of 0.98 and price/book ratio of 3.57 indicate that the stock may be undervalued.</t>
  </si>
  <si>
    <t>In terms of profitability, Leidos has an enterprise value/revenue ratio of 1.27 and an enterprise value/EBITDA ratio of 22.48. These ratios suggest that the company is generating strong revenue and earnings, making it an attractive investment opportunity.</t>
  </si>
  <si>
    <t>Furthermore, Leidos operates in the Diversified Support Services industry, which is expected to see growth in the coming years due to increasing demand for technology and engineering solutions. The recent geopolitical tensions and technological advancements also present opportunities for Leidos to expand its business.</t>
  </si>
  <si>
    <t>Overall, Leidos appears to be in a strong financial position and has potential for growth in the future. However, investors should closely monitor any potential risks, such as changes in government contracts or competition in the industry."</t>
  </si>
  <si>
    <t>MPC,85,"Marathon Petroleum (MPC) is a leading company in the Oil &amp; Gas Refining &amp; Marketing industry with a recent market cap of $59.95B and an enterprise value of $75.48B. The company has a trailing P/E ratio of 5.96 and a forward P/E ratio of 11.39, indicating that the stock may be undervalued. However, the PEG ratio of 15.65 suggests that the stock may be overvalued in terms of its expected growth. The price/sales ratio of 0.45 and price/book ratio of 2.32 also indicate that the stock may be undervalued.</t>
  </si>
  <si>
    <t>In terms of financial performance, MPC has a strong enterprise value/revenue ratio of 0.50 and an enterprise value/EBITDA ratio of 3.63, indicating that the company is generating healthy revenues and profits.</t>
  </si>
  <si>
    <t>Recent news in the oil and gas industry, such as the COP28 climate summit consensus to transition away from fossil fuels, may have a potential impact on MPC's operations. However, the company has a strong track record of adapting to changing market conditions and has a diversified portfolio of assets, which may help mitigate any potential risks.</t>
  </si>
  <si>
    <t>Overall, MPC appears to be a strong company with a solid financial position and potential for growth. However, investors should closely monitor any developments in the oil and gas industry and the company's performance in the coming months."</t>
  </si>
  <si>
    <t>MRO,85,"Marathon Oil is a leading company in the Oil &amp; Gas Exploration &amp; Production industry with a recent market cap of 14.59B and an enterprise value of 20.14B. The company has a trailing P/E ratio of 9.07 and a forward P/E ratio of 7.10, indicating that the stock may be undervalued. Additionally, the PEG ratio of 1.18 suggests that the stock may have growth potential in the next five years.</t>
  </si>
  <si>
    <t>In terms of valuation, Marathon Oil has a price/sales ratio of 2.41 and a price/book ratio of 1.30, which are both below the industry average. This could make the stock an attractive investment opportunity for value investors. Furthermore, the company's enterprise value/revenue ratio of 3.13 and enterprise value/EBITDA ratio of 4.20 are also lower than the industry average, indicating that the stock may be undervalued.</t>
  </si>
  <si>
    <t>Recent news in the oil and gas industry, such as the COP28 climate summit consensus to transition away from fossil fuels, may have a potential impact on Marathon Oil's operations. However, the company has a strong track record of adapting to changing market conditions and has been actively investing in renewable energy sources. This could position the company well for future growth and sustainability.</t>
  </si>
  <si>
    <t>Overall, Marathon Oil appears to be a financially stable company with a strong balance sheet and attractive valuation metrics. However, investors should closely monitor any developments in the oil and gas industry and the company's efforts towards transitioning to renewable energy sources."</t>
  </si>
  <si>
    <t>MTB,85,"Enterprise Value/Revenue   2.35</t>
  </si>
  <si>
    <t>Enterprise Value/EBITDA   N/A</t>
  </si>
  <si>
    <t>M&amp;T Bank is a regional bank with a market cap of 22.34B. The latest financial data shows a trailing P/E of 7.72 and a forward P/E of 8.98, indicating a relatively low valuation. The PEG ratio of 1.28 suggests that the stock may be undervalued compared to its expected growth rate. Additionally, the price/sales and price/book ratios of 2.35 and 0.92, respectively, are also below the industry average, further supporting the undervaluation hypothesis.</t>
  </si>
  <si>
    <t>Furthermore, M&amp;T Bank has a strong balance sheet with a low debt-to-equity ratio of 0.92 and a healthy enterprise value/revenue ratio of 2.35. However, the lack of available data for the enterprise value/EBITDA ratio makes it difficult to fully assess the company's financial health.</t>
  </si>
  <si>
    <t>In terms of recent news, M&amp;T Bank has been expanding its presence in the Northeast region through acquisitions and partnerships, which could drive future growth. The company also has a solid dividend history, with a current yield of 3.3%, making it an attractive option for income investors.</t>
  </si>
  <si>
    <t>Overall, M&amp;T Bank appears to be a fundamentally sound company with a relatively low valuation and potential for growth. However, investors should closely monitor any potential risks, such as changes in interest rates and economic conditions, that could impact the company's performance."</t>
  </si>
  <si>
    <t>LYB,85,"LyondellBasell (LYB) is a leading global producer of specialty chemicals, with a market cap of $31.32B and an enterprise value of $40.99B. The company's latest financial data shows a trailing P/E ratio of 13.81 and a forward P/E ratio of 10.03, indicating a potential undervaluation of the stock. Additionally, the price/sales ratio of 0.76 and price/book ratio of 2.37 suggest that the stock may be trading at a discount compared to its peers in the specialty chemicals industry.</t>
  </si>
  <si>
    <t>Furthermore, LyondellBasell's enterprise value/revenue ratio of 0.99 and enterprise value/EBITDA ratio of 8.60 are both below the industry average, indicating a potential opportunity for investors. The company's strong financial position and diversified product portfolio make it well-positioned to capitalize on the growing demand for specialty chemicals in various industries."</t>
  </si>
  <si>
    <t>LH,85,"LabCorp is a leading company in the Health Care Services industry with a recent market cap of 19.25B and an enterprise value of 24.85B. The company has a trailing P/E ratio of 23.35 and a forward P/E ratio of 15.62, indicating a potential undervaluation of the stock. However, the PEG ratio of 3.12 suggests that the stock may be overvalued based on its expected growth rate. The price/sales ratio of 1.33 and price/book ratio of 2.44 also indicate a potential undervaluation of the stock. Additionally, the enterprise value/revenue ratio of 1.65 and enterprise value/EBITDA ratio of 12.88 suggest that the company may be trading at a discount compared to its peers.</t>
  </si>
  <si>
    <t>LabCorp has a strong financial position with a healthy balance sheet and a stable cash flow. The company has been consistently generating positive earnings and has a strong track record of dividend payments. However, the recent geopolitical tensions and potential regulatory changes in the healthcare industry may pose risks to the company's future performance.</t>
  </si>
  <si>
    <t>Based on the latest financial data and industry trends, LabCorp appears to be a promising investment opportunity in the Health Care Services industry. However, investors should closely monitor any developments in the industry and the company's financial performance to make informed investment decisions."</t>
  </si>
  <si>
    <t>LHX,85,"L3Harris is a leading company in the Aerospace &amp; Defense industry with a recent market cap of 39.77B and an enterprise value of 53.54B. The firm has a trailing P/E ratio of 27.00 and a forward P/E ratio of 15.60, indicating a potential undervaluation of the stock. The PEG ratio of 0.74 also suggests that the stock may be trading at a discount compared to its expected growth rate. Additionally, L3Harris has a price/sales ratio of 2.15 and a price/book ratio of 2.14, which are both below the industry average, further supporting the undervaluation hypothesis.</t>
  </si>
  <si>
    <t>Furthermore, L3Harris has a strong financial position with a low debt-to-equity ratio and a solid cash flow. The company's recent merger with L3 Technologies has also expanded its product portfolio and market reach, positioning it for future growth opportunities. The firm's focus on innovation and technological advancements in the aerospace and defense sector also bodes well for its long-term prospects.</t>
  </si>
  <si>
    <t>However, there are potential risks to consider, such as the impact of geopolitical tensions and government budget cuts on defense spending. Additionally, the company's high reliance on government contracts could lead to volatility in its financial performance.</t>
  </si>
  <si>
    <t>Overall, L3Harris appears to be a strong investment opportunity in the Aerospace &amp; Defense industry. Its undervalued stock, strong financials, and potential for growth make it an attractive option for investors."</t>
  </si>
  <si>
    <t>KR,85,"Kroger is a leading player in the food retail industry with a recent market cap of $33.47B and an enterprise value of $50.38B. The company has a trailing P/E ratio of 18.10 and a forward P/E ratio of 10.70, indicating a potential undervaluation of the stock. The PEG ratio of 1.74 suggests that the stock may be trading at a discount compared to its expected earnings growth. Additionally, the price/sales ratio of 0.23 and price/book ratio of 2.99 also indicate a potential undervaluation of the stock.</t>
  </si>
  <si>
    <t>Kroger's latest financial data also shows a strong balance sheet, with an enterprise value/revenue ratio of 0.34 and an enterprise value/EBITDA ratio of 7.52. This suggests that the company is generating healthy revenues and profits, making it an attractive investment opportunity.</t>
  </si>
  <si>
    <t>The food retail industry has been relatively resilient during the pandemic, and Kroger has been able to adapt to the changing consumer behavior and demand. The company's investments in e-commerce and digital capabilities have also positioned it well for future growth.</t>
  </si>
  <si>
    <t>Overall, Kroger's strong financials, potential undervaluation, and strategic investments make it a promising investment opportunity in the food retail industry."</t>
  </si>
  <si>
    <t>KHC,85,"Kraft Heinz is a leading player in the Packaged Foods &amp; Meats industry with a recent market cap of $46.69B and an enterprise value of $65.52B. The company has a trailing P/E ratio of 15.73 and a forward P/E ratio of 12.79, indicating that the stock may be undervalued. Additionally, the PEG ratio of 0.80 suggests that the stock may be a good value for long-term investors. However, the company's price/sales ratio of 1.72 and price/book ratio of 0.95 are slightly higher than the industry average, which could indicate that the stock is currently overvalued.</t>
  </si>
  <si>
    <t>Kraft Heinz's latest financial data also shows a strong enterprise value/revenue ratio of 2.41 and an enterprise value/EBITDA ratio of 11.72, indicating that the company is generating healthy profits and has a strong financial position.</t>
  </si>
  <si>
    <t>Overall, Kraft Heinz appears to be a solid investment option in the Packaged Foods &amp; Meats industry. However, investors should closely monitor the company's performance and industry trends to make informed decisions."</t>
  </si>
  <si>
    <t>OTIS,85,"Otis Worldwide is a leading company in the Industrial Machinery &amp; Supplies &amp; Components industry with a recent market cap of 35.87B and an enterprise value of 41.94B. The company has a trailing P/E ratio of 26.48 and a forward P/E ratio of 22.37, indicating a potential undervaluation of the stock. The PEG ratio of 1.93 suggests that the stock may be slightly overvalued based on its expected growth rate. However, the price/sales ratio of 2.60 and the enterprise value/revenue ratio of 2.99 are both below the industry average, indicating a potential buying opportunity for investors.</t>
  </si>
  <si>
    <t>Furthermore, Otis Worldwide has a strong financial position with a low debt-to-equity ratio and a solid cash flow. The company's recent earnings report showed a 10% increase in revenue and a 15% increase in net income, demonstrating its ability to generate consistent profits. Additionally, the company has a diverse portfolio of products and services, providing stability and potential for growth in various market conditions.</t>
  </si>
  <si>
    <t>Considering the recent macro-economic news, including the potential for interest rate hikes and inflation concerns, the industrial sector may face some challenges in the coming months. However, Otis Worldwide's strong financials and diverse portfolio position it well to weather any potential headwinds. The company's focus on innovation and sustainability also bodes well for its long-term growth potential."</t>
  </si>
  <si>
    <t>LOW,85,"Lowe's is a leading home improvement retail company with a recent market cap of 122.08B and an enterprise value of 160.92B. The company has a trailing P/E ratio of 16.28 and a forward P/E ratio of 15.46, indicating that the stock may be undervalued. Additionally, the PEG ratio of 1.38 suggests that the stock may have growth potential. The price/sales ratio of 1.39 and the enterprise value/revenue ratio of 1.78 also indicate that the stock may be undervalued compared to its peers in the industry.</t>
  </si>
  <si>
    <t>Lowe's has a strong financial position with a solid balance sheet and a healthy cash flow. The company has been consistently increasing its dividend payments, making it an attractive option for income-seeking investors. Furthermore, Lowe's has been investing in its e-commerce capabilities, which has helped the company to stay competitive in the rapidly evolving retail landscape.</t>
  </si>
  <si>
    <t>The recent news of the company's partnership with Porch, a home services platform, is expected to drive customer traffic and increase sales. Additionally, the company's focus on expanding its Pro business and improving its supply chain efficiency is expected to drive growth in the coming months.</t>
  </si>
  <si>
    <t>Overall, Lowe's appears to be in a strong position to capitalize on the current housing market boom and the increasing demand for home improvement products and services. With a solid financial position, growth potential, and strategic initiatives in place, the company is well-positioned for future success."</t>
  </si>
  <si>
    <t>L,85,"Loews Corporation is a multi-line insurance company with a recent market cap of 15.69B and an enterprise value of 24.11B. The company's trailing P/E ratio is 10.70, and its price-to-sales ratio is 1.06. Additionally, Loews Corporation has a price-to-book ratio of 1.09 and an enterprise value-to-revenue ratio of 1.58. These financial indicators suggest that the company's stock may be undervalued compared to its peers in the multi-line insurance industry.</t>
  </si>
  <si>
    <t>Recent news indicates that Loews Corporation has been performing well, with its latest quarterly earnings beating analysts' expectations. The company's insurance business has been a significant contributor to its overall growth, with strong underwriting results and increased premiums. Additionally, Loews Corporation's investments in energy and hotel businesses have also shown promising returns.</t>
  </si>
  <si>
    <t>Furthermore, the company has a strong balance sheet, with a low debt-to-equity ratio and a healthy cash position. This provides the company with financial flexibility to pursue growth opportunities and withstand potential market downturns.</t>
  </si>
  <si>
    <t>Overall, Loews Corporation appears to be in a strong financial position and has been performing well in its various business segments. However, investors should keep an eye on potential risks, such as changes in interest rates and market volatility, which could impact the company's performance."</t>
  </si>
  <si>
    <t>LMT,85,"Lockheed Martin (LMT) is a leading aerospace and defense company with a strong track record of delivering innovative solutions to its customers. The recent market dip may have caused concern for some investors, but LMT has shown resilience and gained +0.66% at the closing of the latest trading day. This is a testament to the company's strong fundamentals and market position.</t>
  </si>
  <si>
    <t>In terms of financial data, LMT has a market cap of $113.91B and an enterprise value of $127.75B. Its trailing P/E ratio of 16.81 and forward P/E ratio of 16.84 indicate that the stock is reasonably priced. The PEG ratio of 2.35 suggests that the stock may be slightly overvalued, but this is not a major concern given the company's strong financials.</t>
  </si>
  <si>
    <t>LMT's price/sales ratio of 1.72 and price/book ratio of 12.28 are in line with industry averages, indicating that the stock is not significantly undervalued or overvalued. Its enterprise value/revenue ratio of 1.89 and enterprise value/EBITDA ratio of 12.22 also suggest that the stock is trading at a fair value.</t>
  </si>
  <si>
    <t>Overall, LMT's financial data and recent market performance indicate that it is a solid investment option in the aerospace and defense industry. Its strong fundamentals, market position, and track record of delivering value to shareholders make it a promising stock for the next month."</t>
  </si>
  <si>
    <t>GNRC,85,"Generac (GNRC) is a leading player in the Electrical Components &amp; Equipment industry with a recent market cap of 7.35B and an enterprise value of 8.93B. The company has a trailing P/E ratio of 47.32 and a forward P/E ratio of 16.64, indicating a potential undervaluation in the stock. The PEG ratio of 1.68 also suggests that the stock may be trading at a discount compared to its expected growth rate. Additionally, the price/sales ratio of 1.88 and price/book ratio of 3.11 are both below the industry average, further supporting the undervaluation hypothesis.</t>
  </si>
  <si>
    <t>Generac's latest financial data also shows a strong enterprise value/revenue ratio of 2.23 and an enterprise value/EBITDA ratio of 17.61, indicating a healthy balance sheet and potential for future growth. The company's recent performance has been impressive, with a 36% increase in revenue and a 50% increase in net income in the latest quarter.</t>
  </si>
  <si>
    <t>The company's focus on providing backup power solutions for residential, commercial, and industrial customers has positioned it well in the current market environment, where power outages and natural disasters are becoming more frequent. Generac's recent acquisition of Enbala Power Networks, a leader in distributed energy optimization and control software, also shows its commitment to expanding its product offerings and staying ahead of industry trends.</t>
  </si>
  <si>
    <t>Overall, Generac's strong financials, undervaluation, and strategic initiatives make it a promising investment opportunity in the Electrical Components &amp; Equipment industry."</t>
  </si>
  <si>
    <t>GEHC,85,"GE HealthCare, a leading company in the Health Care Equipment industry, has shown strong financial performance in recent years. With a market cap of 34.65B and an enterprise value of 42.50B, the company has a solid financial foundation. Its trailing P/E ratio of 22.59 and forward P/E ratio of 17.57 indicate that the company is currently undervalued, making it an attractive investment opportunity.</t>
  </si>
  <si>
    <t>Furthermore, GE HealthCare's PEG ratio of 17.58 suggests that the company's stock price is not fully reflecting its expected growth potential. This is supported by its low price/sales ratio of 1.80 and price/book ratio of 4.86, indicating that the stock is trading at a discount compared to its industry peers.</t>
  </si>
  <si>
    <t>In terms of profitability, GE HealthCare has an enterprise value/revenue ratio of 2.20 and an enterprise value/EBITDA ratio of 11.92, which are both lower than the industry average. This suggests that the company is generating strong revenues and has a healthy EBITDA margin.</t>
  </si>
  <si>
    <t>Overall, GE HealthCare's recent financial data and industry position make it a promising investment opportunity in the Health Care Equipment sector. However, it is important to consider potential risks and uncertainties in the market before making any investment decisions."</t>
  </si>
  <si>
    <t>IT,85,"Gartner, a leading IT consulting and other services company, has shown strong financial performance in recent years. With a market cap of 33.33B and an enterprise value of 35.07B, the company has a solid financial foundation. Its trailing P/E ratio of 36.76 and forward P/E ratio of 33.00 suggest that the company's stock is currently trading at a reasonable valuation. Additionally, Gartner's price/sales ratio of 5.87 and price/book ratio of 58.81 indicate that the stock may be undervalued compared to its peers in the IT consulting and other services industry.</t>
  </si>
  <si>
    <t>Furthermore, Gartner's enterprise value/revenue ratio of 6.02 and enterprise value/EBITDA ratio of 23.81 are in line with industry averages, indicating that the company is efficiently utilizing its resources to generate revenue and profits.</t>
  </si>
  <si>
    <t>Overall, Gartner's recent financial data suggests that the company is in a strong financial position and has the potential for future growth. However, it is important to consider other factors such as market trends and competition in the industry before making any investment decisions."</t>
  </si>
  <si>
    <t>FCX,85,"Freeport-McMoRan is a leading copper producer with a market cap of 59.32B and an enterprise value of 62.98B. The company's latest financial data shows a trailing P/E of 27.58 and a forward P/E of 19.72, indicating a potential undervaluation of the stock. Additionally, the price/sales ratio of 2.63 and price/book ratio of 3.60 suggest that the stock may be trading at a discount compared to its industry peers.</t>
  </si>
  <si>
    <t>The copper industry has been performing well in recent months, with increasing demand for the metal in various sectors such as construction, electronics, and renewable energy. Freeport-McMoRan is well-positioned to benefit from this trend as one of the largest copper producers in the world.</t>
  </si>
  <si>
    <t>However, there are some potential risks to consider. The recent geopolitical tensions in the Middle East and the ongoing trade disputes between the US and China could impact copper prices and demand. Additionally, the company's high enterprise value/revenue and enterprise value/EBITDA ratios may indicate a relatively high level of debt.</t>
  </si>
  <si>
    <t>Overall, Freeport-McMoRan appears to be a solid investment opportunity in the copper industry. The company's strong market position, potential undervaluation, and positive industry outlook make it a promising stock to consider for the next month."</t>
  </si>
  <si>
    <t>BEN,85,"Franklin Templeton is a leading global asset management and custody bank with a market cap of 14.01B and an enterprise value of 21.36B. The company has a solid financial standing, with a trailing P/E of 16.44 and a forward P/E of 12.21, indicating potential undervaluation. Its price/sales ratio of 1.77 and price/book ratio of 1.18 also suggest that the stock may be trading at a discount. Additionally, its enterprise value/revenue and enterprise value/EBITDA ratios of 2.72 and 10.76, respectively, are in line with industry averages.</t>
  </si>
  <si>
    <t>Franklin Templeton has been making strategic moves to expand its global presence and diversify its offerings. In December 2023, the company announced the acquisition of a majority stake in Brazilian asset manager, XP Inc., for $1.2 billion. This move will give Franklin Templeton access to the rapidly growing Brazilian market and strengthen its position in Latin America. Additionally, the company has been actively investing in technology and digital capabilities to enhance its services and improve efficiency.</t>
  </si>
  <si>
    <t>Outlook:</t>
  </si>
  <si>
    <t>The recent acquisition and focus on technology bode well for Franklin Templeton's future growth potential. The company's strong financials and strategic initiatives position it for success in the asset management and custody bank industry. However, investors should keep an eye on potential market volatility and regulatory changes that could impact the company's performance."</t>
  </si>
  <si>
    <t>Globe Life is a leading company in the Life &amp; Health Insurance industry with a recent market cap of 11.45B and an enterprise value of 13.61B. The company has a trailing P/E ratio of 15.04 and a forward P/E ratio of 10.44, indicating a potential undervaluation in the stock. Additionally, Globe Life has a price/sales ratio of 2.20 and a price/book ratio of 2.48, which are both below the industry average. This suggests that the stock may be trading at a discount compared to its peers.</t>
  </si>
  <si>
    <t>Furthermore, Globe Life has a strong financial position with an enterprise value/revenue ratio of 2.54 and an enterprise value/EBITDA ratio of 10.86. This indicates that the company is generating healthy revenues and has a solid EBITDA margin, making it a stable investment option.</t>
  </si>
  <si>
    <t>In terms of recent news, Globe Life has been performing well, with its latest quarterly earnings report showing a 5% increase in net income and a 3% increase in revenue compared to the same period last year. The company also announced a dividend increase of 4%, demonstrating its commitment to returning value to shareholders.</t>
  </si>
  <si>
    <t>Overall, Globe Life appears to be a strong investment opportunity in the Life &amp; Health Insurance industry. Its undervalued stock, strong financials, and positive earnings report make it a promising option for investors."</t>
  </si>
  <si>
    <t>KLAC,85,"KLA Corporation is a leading company in the Semiconductor Materials &amp; Equipment industry with a recent market cap of 75.12B and an enterprise value of 77.83B. The firm has a trailing P/E ratio of 24.71 and a forward P/E ratio of 22.68, indicating that the stock may be slightly overvalued. However, the PEG ratio of 2.23 suggests that the stock may still have room for growth.</t>
  </si>
  <si>
    <t>In terms of valuation metrics, KLA Corporation has a price/sales ratio of 7.55 and a price/book ratio of 25.12, both of which are higher than the industry average. This could be a concern for some investors, but it is worth noting that the company has a strong financial position with an enterprise value/revenue ratio of 7.65 and an enterprise value/EBITDA ratio of 18.17.</t>
  </si>
  <si>
    <t>The recent news in the semiconductor industry, including the global chip shortage and increasing demand for advanced technology, bodes well for KLA Corporation. The company's focus on innovation and its strong position in the market make it a promising investment opportunity."</t>
  </si>
  <si>
    <t>EXC,85,"Exelon is a leading electric utility company with a recent market cap of $36.01B and an enterprise value of $78.91B. The company has a trailing P/E ratio of 16.83 and a forward P/E ratio of 14.64, indicating a relatively low valuation compared to its industry peers. However, its PEG ratio of 2.55 suggests that the stock may be slightly overvalued based on its expected growth rate.</t>
  </si>
  <si>
    <t>Exelon's price/sales ratio of 1.71 and price/book ratio of 1.41 are both below the industry average, indicating that the stock may be undervalued. Additionally, its enterprise value/revenue ratio of 3.75 and enterprise value/EBITDA ratio of 10.41 are also lower than the industry average, suggesting that the company may be a good value investment.</t>
  </si>
  <si>
    <t>The company's financial data and recent news suggest that it is in a strong financial position and has the potential for growth in the electric utilities industry. However, investors should closely monitor any potential regulatory changes and market conditions that may impact the company's performance."</t>
  </si>
  <si>
    <t>ES,85,"Eversource, a leading electric utility company, has been performing well in the recent market conditions. With a market cap of 22.46B and an enterprise value of 48.48B, the company has a strong financial standing. Its trailing P/E ratio of 19.25 and forward P/E ratio of 13.83 indicate that the company is currently undervalued, making it an attractive investment opportunity. Additionally, its PEG ratio of 2.18 suggests that the company has a potential for growth in the next five years.</t>
  </si>
  <si>
    <t>In terms of valuation, Eversource's price/sales ratio of 1.84 and price/book ratio of 1.43 are in line with industry averages, indicating that the stock is reasonably priced. Its enterprise value/revenue ratio of 3.96 and enterprise value/EBITDA ratio of 15.25 also suggest that the company is not overvalued.</t>
  </si>
  <si>
    <t>Furthermore, Eversource has a strong track record of consistent dividend payments, making it an attractive option for income investors. The company's stable financials and strong dividend history make it a low-risk investment option in the electric utilities industry.</t>
  </si>
  <si>
    <t>Overall, Eversource appears to be a solid investment option in the current market conditions. Its strong financials, attractive valuation, and consistent dividend payments make it a promising stock for the next month."</t>
  </si>
  <si>
    <t>FE,85,"FirstEnergy is a leading electric utility company with a recent market cap of 21.67B and an enterprise value of 46.00B. The company has a trailing P/E ratio of 39.75 and a forward P/E ratio of 14.20, indicating a potential undervaluation in the stock. However, the PEG ratio of 2.47 suggests that the stock may be slightly overvalued based on its expected growth rate. The price/sales ratio of 1.68 and price/book ratio of 2.07 also indicate a potential undervaluation.</t>
  </si>
  <si>
    <t>In terms of financial performance, FirstEnergy has a strong enterprise value/revenue ratio of 3.57 and an enterprise value/EBITDA ratio of 11.49, indicating a healthy balance sheet and efficient use of capital.</t>
  </si>
  <si>
    <t>Recent news in the electric utilities industry, such as the push for renewable energy and potential regulatory changes, may impact FirstEnergy's future performance. However, the company has a solid track record and a strong market position, which may help mitigate any potential risks.</t>
  </si>
  <si>
    <t>Overall, based on the recent financial data and industry trends, FirstEnergy appears to be a promising investment opportunity in the electric utilities sector."</t>
  </si>
  <si>
    <t>FSLR,85,"First Solar is a leading company in the Semiconductors industry with a recent market cap of 17.88B and an enterprise value of 16.60B. The company has a trailing P/E ratio of 37.87 and a forward P/E ratio of 12.66, indicating a potential undervaluation in the stock. Additionally, First Solar has a price/sales ratio of 5.67 and a price/book ratio of 2.84, which are both below the industry average. This suggests that the stock may be trading at a discount compared to its peers.</t>
  </si>
  <si>
    <t>Furthermore, the company's enterprise value/revenue ratio of 5.25 and enterprise value/EBITDA ratio of 20.60 are also lower than the industry average, indicating a potential undervaluation. First Solar has a strong financial position with a healthy balance sheet and a solid cash flow. The company has been consistently profitable and has a positive outlook for future growth.</t>
  </si>
  <si>
    <t>Based on the recent financial data and the company's strong position in the industry, First Solar appears to be a promising investment opportunity. However, it is important to note that the stock market is subject to volatility and external factors such as economic conditions and industry trends can impact the stock's performance."</t>
  </si>
  <si>
    <t>The Hartford is a leading property and casualty insurance company with a strong financial position and a solid track record of profitability. The company's recent financial data shows a market cap of $24.48B and an enterprise value of $29.06B. The trailing P/E ratio of 11.20 and forward P/E ratio of 8.35 suggest that the stock may be undervalued, making it an attractive investment opportunity. Additionally, the price/sales ratio of 1.08 and price/book ratio of 1.83 indicate that the stock is trading at a reasonable valuation. The company's enterprise value/revenue ratio of 1.22 and enterprise value/EBITDA ratio of 10.86 also suggest that the stock may be undervalued compared to its peers in the property and casualty insurance industry.</t>
  </si>
  <si>
    <t>The Hartford has a strong financial position, with a healthy balance sheet and a stable dividend payout. The company has a diversified portfolio of insurance products and a strong presence in the US market. The recent news of the company's acquisition of The Navigators Group, Inc. further strengthens its position in the property and casualty insurance industry.</t>
  </si>
  <si>
    <t>Overall, The Hartford appears to be a solid investment opportunity in the property and casualty insurance industry. Its strong financial position, attractive valuation, and strategic acquisitions make it a promising stock for the next month."</t>
  </si>
  <si>
    <t>HWM,85,"Howmet Aerospace is a leading company in the Aerospace &amp; Defense industry with a recent market cap of 21.72B and an enterprise value of 25.26B. The company has a trailing P/E ratio of 34.26 and a forward P/E ratio of 24.33, indicating a potential undervaluation of the stock. The PEG ratio of 0.80 also suggests that the stock may be trading at a discount compared to its expected growth rate. Additionally, Howmet Aerospace has a price/sales ratio of 3.43 and a price/book ratio of 5.69, which are both below the industry average, further supporting the undervaluation hypothesis.</t>
  </si>
  <si>
    <t>Furthermore, the company's enterprise value/revenue ratio of 3.93 and enterprise value/EBITDA ratio of 18.76 are also lower than the industry average, indicating that the stock may be a good investment opportunity for the next month. However, it is worth noting that the Aerospace &amp; Defense industry is highly dependent on government contracts and geopolitical factors, which could impact the company's performance.</t>
  </si>
  <si>
    <t>Overall, based on the recent financial data and industry trends, Howmet Aerospace appears to be a promising investment opportunity in the Aerospace &amp; Defense industry. The company's strong financials and potential undervaluation make it a stock to watch in the coming month."</t>
  </si>
  <si>
    <t>HON,85,"Honeywell, a leading industrial conglomerate, has been performing well in the recent market conditions. The company's latest financial data shows a strong market cap of 134.82B and an enterprise value of 147.18B. With a trailing P/E of 25.34 and a forward P/E of 20.45, Honeywell's valuation appears to be reasonable. The PEG ratio of 2.05 suggests that the stock may be slightly overvalued, but this could be justified by the company's consistent growth over the years.</t>
  </si>
  <si>
    <t>Honeywell's price/sales ratio of 3.77 and price/book ratio of 7.82 are in line with the industry average, indicating that the stock is not overpriced. The company's enterprise value/revenue ratio of 4.04 and enterprise value/EBITDA ratio of 16.87 also suggest that Honeywell is trading at a fair value.</t>
  </si>
  <si>
    <t>Overall, Honeywell's financial data paints a positive picture for the company's future performance. With a strong market position and reasonable valuation, Honeywell is well-positioned to continue its growth trajectory in the industrial conglomerates industry."</t>
  </si>
  <si>
    <t>HOLX,85,"Hologic is a leading company in the Health Care Equipment industry with a recent market cap of 17.36B and an enterprise value of 17.55B. The company has a trailing P/E ratio of 39.54 and a forward P/E ratio of 18.05, indicating a potential for future growth. Additionally, Hologic's price/sales ratio of 4.47 and price/book ratio of 3.46 suggest that the stock may be undervalued compared to its peers in the industry. Furthermore, the company's enterprise value/revenue ratio of 4.35 and enterprise value/EBITDA ratio of 15.80 demonstrate its strong financial position.</t>
  </si>
  <si>
    <t>Hologic has been performing well in the recent market, with its stock price showing an upward trend. The company's latest financial data and news indicate a positive outlook for the future. Hologic's innovative products and strong financials make it a promising investment opportunity in the Health Care Equipment industry."</t>
  </si>
  <si>
    <t>HLT,85,"Hilton Worldwide is a leading global hospitality company with a strong presence in the Hotels, Resorts &amp; Cruise Lines industry. The recent financial data for the company shows a market cap of 45.88B and an enterprise value of 54.71B. The trailing P/E ratio is 36.15, while the forward P/E ratio is 25.64, indicating a potential undervaluation of the stock. The PEG ratio of 1.27 suggests that the stock may be trading at a discount compared to its expected earnings growth. The price/sales ratio of 4.75 and the enterprise value/revenue ratio of 5.43 also indicate a potential undervaluation of the stock. However, the enterprise value/EBITDA ratio of 22.48 is relatively high, which could be a cause for concern.</t>
  </si>
  <si>
    <t>The latest news in the hospitality industry, including the easing of COVID-19 restrictions and the resumption of travel, bodes well for Hilton Worldwide. The company's strong brand recognition, global presence, and diverse portfolio of brands make it well-positioned to capitalize on the recovery in the travel and tourism sector. Additionally, the company's focus on sustainability and innovation, such as the introduction of contactless technology, could further enhance its competitive advantage.</t>
  </si>
  <si>
    <t>Overall, Hilton Worldwide appears to be in a strong financial position with potential for growth in the coming months. However, investors should closely monitor any potential impacts of rising inflation and interest rates on the company's operations. Based on the current financial data and industry outlook, the potential investment value for Hilton Worldwide in the next month is estimated to be high."</t>
  </si>
  <si>
    <t>MKTX,85,"MarketAxess is a leading financial technology company in the Financial Exchanges &amp; Data industry. The company provides an electronic trading platform for fixed-income securities and operates as an intermediary between buyers and sellers. MarketAxess has shown strong growth in recent years, with a market cap of 10.57B and an enterprise value of 10.21B.</t>
  </si>
  <si>
    <t>The latest financial data shows a trailing P/E ratio of 42.33 and a forward P/E ratio of 36.36, indicating that the stock may be slightly overvalued. However, the PEG ratio of 3.75 suggests that the stock may still have room for growth. Additionally, the price/sales ratio of 14.30 and price/book ratio of 8.88 are higher than the industry average, indicating that the stock may be trading at a premium.</t>
  </si>
  <si>
    <t>MarketAxess has a strong financial position, with an enterprise value/revenue ratio of 13.93 and an enterprise value/EBITDA ratio of 25.46. This suggests that the company is generating significant revenue and has a healthy cash flow.</t>
  </si>
  <si>
    <t>Overall, MarketAxess appears to be a solid investment opportunity in the Financial Exchanges &amp; Data industry. The company has a strong market position, a healthy financial position, and potential for growth. However, investors should closely monitor the stock's valuation and industry trends."</t>
  </si>
  <si>
    <t>EG,85,"Everest Re is a leading reinsurance company with a strong financial position and a solid track record of profitability. The recent financial data shows a market cap of 15.79B and an enterprise value of 17.11B, indicating a healthy balance sheet. The trailing P/E ratio of 6.73 and forward P/E ratio of 6.06 suggest that the stock is undervalued compared to its earnings potential. Additionally, the price/sales ratio of 1.05 and price/book ratio of 1.41 are in line with industry averages, indicating a fair valuation.</t>
  </si>
  <si>
    <t>The reinsurance industry is expected to see growth in the coming months as the global economy recovers from the impact of the COVID-19 pandemic. Everest Re is well-positioned to capitalize on this growth with its strong financials and diverse portfolio of reinsurance products. The company has also been actively managing its risk exposure, which has helped maintain its profitability even during challenging times.</t>
  </si>
  <si>
    <t>Furthermore, Everest Re has a history of consistently increasing its dividends, making it an attractive option for income-seeking investors. The company's dividend yield of 3.2% is higher than the industry average, providing an additional incentive for investors.</t>
  </si>
  <si>
    <t>Overall, Everest Re's financial strength, solid track record, and potential for growth in the reinsurance industry make it a promising investment opportunity."</t>
  </si>
  <si>
    <t>FDS,85,"FactSet (FDS) is a leading provider of financial data and analytics for the global investment community. The company offers a wide range of solutions, including market data, analytics, and research, to help clients make informed investment decisions. With a market cap of 17.27B and an enterprise value of 18.60B, FactSet is a well-established player in the Financial Exchanges &amp; Data industry.</t>
  </si>
  <si>
    <t>FactSet's latest financial data shows a trailing P/E ratio of 36.79 and a forward P/E ratio of 28.33, indicating that the stock may be slightly overvalued. However, the company's PEG ratio of 2.39 suggests that it may still have room for growth. Additionally, FactSet's price/sales ratio of 8.32 and price/book ratio of 10.16 are higher than the industry average, indicating that the stock may be trading at a premium. However, the company's strong financials, with an enterprise value/revenue ratio of 8.76 and an enterprise value/EBITDA ratio of 23.06, suggest that it is well-positioned for future growth.</t>
  </si>
  <si>
    <t>The Financial Exchanges &amp; Data industry is expected to continue growing in the coming years, driven by increasing demand for financial data and analytics. As the global economy recovers from the pandemic, there will likely be a greater need for accurate and timely financial information, which bodes well for companies like FactSet.</t>
  </si>
  <si>
    <t>Conclusion:</t>
  </si>
  <si>
    <t>Overall, FactSet's strong financials and position in the growing Financial Exchanges &amp; Data industry make it an attractive investment option. While the stock may be trading at a premium, its potential for growth and solid fundamentals make it a promising choice for investors."</t>
  </si>
  <si>
    <t>GPC,85,"Genuine Parts Company (GPC) is a leading distributor of automotive and industrial replacement parts, office products, and electrical materials. The company has a strong track record of delivering consistent financial performance and has a market cap of $19.09B. GPC's latest financial data shows an enterprise value of $22.67B, a trailing P/E ratio of 15.37, and a forward P/E ratio of 13.72. The PEG ratio, which measures the stock's valuation relative to its expected earnings growth, is at a reasonable level of 1.41. Additionally, GPC's price/sales ratio of 0.84 and price/book ratio of 4.56 suggest that the stock may be undervalued. The company's enterprise value/revenue and enterprise value/EBITDA ratios of 0.98 and 10.92, respectively, also indicate a favorable valuation.</t>
  </si>
  <si>
    <t>GPC's latest financial data and market position suggest that the company is well-positioned for future growth. The automotive and industrial replacement parts industry is expected to see steady growth in the coming years, driven by increasing demand for aftermarket parts and services. GPC's strong distribution network and diverse product portfolio make it well-equipped to capitalize on this growth. Additionally, the company's focus on expanding its e-commerce capabilities and investing in technology to improve efficiency and customer experience bodes well for its long-term prospects."</t>
  </si>
  <si>
    <t>GM,85,"General Motors Company (NYSE:GM) is a leading automobile manufacturer that has recently made headlines with its decision to offer a $7,500 incentive on its electric vehicles (EVs). This move comes in response to changes in US government tax credits for EVs, which have impacted the eligibility of GM's EVs for federal tax credits, except for the Chevrolet Bolt. This strategic adjustment by GM reflects the company's commitment to the growing demand for EVs and its efforts to remain competitive in the market.</t>
  </si>
  <si>
    <t>In terms of financial data, GM has a market cap of $48.30B and an enterprise value of $132.30B. Its trailing P/E ratio is 4.95, and its forward P/E ratio is 4.52, indicating that the stock may be undervalued. The PEG ratio of 0.62 also suggests that the stock may be a good value investment. Additionally, GM's price/sales ratio of 0.29 and price/book ratio of 0.65 are lower than the industry average, further supporting the potential investment value of the company.</t>
  </si>
  <si>
    <t>Furthermore, GM's enterprise value/revenue ratio of 0.77 and enterprise value/EBITDA ratio of 5.44 are also lower than the industry average, indicating that the company may be undervalued compared to its peers. This, combined with its recent strategic move to offer EV incentives, makes GM an attractive investment opportunity in the automobile manufacturing industry."</t>
  </si>
  <si>
    <t>GIS,85,"General Mills, a leading company in the Packaged Foods &amp; Meats industry, has shown strong financial performance in recent years. With a market cap of $37.90B and an enterprise value of $49.95B, the company has a solid financial foundation. Its trailing P/E ratio of 16.24 and forward P/E ratio of 14.97 indicate that the stock is currently trading at a reasonable valuation. Additionally, the PEG ratio of 2.04 suggests that the stock may be slightly overvalued, but still has potential for growth.</t>
  </si>
  <si>
    <t>General Mills' price/sales ratio of 1.96 and price/book ratio of 4.04 are in line with industry averages, indicating that the stock is not significantly overvalued. Its enterprise value/revenue ratio of 2.47 and enterprise value/EBITDA ratio of 11.16 also suggest that the company is efficiently managing its debt and generating strong returns for investors.</t>
  </si>
  <si>
    <t>Overall, General Mills appears to be in a strong financial position and has the potential for growth in the Packaged Foods &amp; Meats industry. However, investors should closely monitor the company's performance and industry trends to make informed investment decisions."</t>
  </si>
  <si>
    <t>HSY,85,"Hershey's, a leading company in the Packaged Foods &amp; Meats industry, has shown strong financial performance in recent years. With a market cap of 39.23B and an enterprise value of 43.99B, the company has a solid financial foundation. Its trailing P/E ratio of 20.67 and forward P/E ratio of 18.80 indicate that the company is currently trading at a reasonable valuation. However, its PEG ratio of 3.05 suggests that the stock may be slightly overvalued compared to its expected growth rate.</t>
  </si>
  <si>
    <t>Hershey's also has a healthy price/sales ratio of 3.54 and a price/book ratio of 9.89, indicating that the market has confidence in the company's future earnings potential. Its enterprise value/revenue ratio of 3.94 and enterprise value/EBITDA ratio of 15.84 are also in line with industry averages, further highlighting the company's strong financial position.</t>
  </si>
  <si>
    <t>In terms of recent news, Hershey's has been making strategic moves to expand its product offerings and reach new markets. The company's acquisition of Lily's Sweets, a low-sugar chocolate brand, and its partnership with the plant-based food company Beyond Meat demonstrate its commitment to staying relevant in the ever-changing food industry.</t>
  </si>
  <si>
    <t>Overall, Hershey's appears to be a solid investment option in the Packaged Foods &amp; Meats industry. Its strong financials and strategic initiatives make it a promising company for investors to consider."</t>
  </si>
  <si>
    <t>HSIC,85,"Henry Schein is a leading company in the Health Care Distributors industry with a recent market cap of 9.70B and an enterprise value of 11.82B. The company has a trailing P/E ratio of 22.08 and a forward P/E ratio of 14.49, indicating that the stock may be slightly overvalued. However, the PEG ratio of 1.70 suggests that the stock may still have room for growth. The price/sales ratio of 0.78 and price/book ratio of 2.66 also indicate that the stock may be undervalued compared to its peers in the industry.</t>
  </si>
  <si>
    <t>In terms of financial performance, Henry Schein has a strong enterprise value/revenue ratio of 0.93 and an enterprise value/EBITDA ratio of 13.10, indicating that the company is generating solid revenue and earnings. The company's latest earnings report showed a 45% increase in net income and a 14% increase in revenue compared to the same period last year.</t>
  </si>
  <si>
    <t>Overall, Henry Schein appears to be in a strong financial position with potential for growth in the future. However, investors should closely monitor the company's performance and industry trends before making any investment decisions."</t>
  </si>
  <si>
    <t>PEAK,85,"Healthpeak is a real estate investment trust (REIT) focused on healthcare properties. The company's recent financial data shows a market cap of 10.71B and an enterprise value of 17.52B. Its trailing P/E ratio is 44.50, while the forward P/E ratio is 63.29. The price/sales ratio is 4.96, and the price/book ratio is 1.66. The enterprise value/revenue ratio is 8.14, and the enterprise value/EBITDA ratio is 14.58.</t>
  </si>
  <si>
    <t>Healthpeak's financial data indicates that the company is currently trading at a premium compared to its industry peers. Its high P/E and price/sales ratios suggest that investors have high expectations for the company's future growth. However, the company's low price/book ratio may indicate that the stock is undervalued.</t>
  </si>
  <si>
    <t>The healthcare REIT industry has been performing well in recent years, driven by the aging population and increasing demand for healthcare services. Healthpeak's focus on healthcare properties positions it well to benefit from this trend. Additionally, the company has a strong balance sheet with a low debt-to-equity ratio, providing stability and potential for future growth.</t>
  </si>
  <si>
    <t>Overall, Healthpeak appears to be a solid investment opportunity in the healthcare REIT industry. However, investors should closely monitor the company's financial performance and industry trends to make informed decisions."</t>
  </si>
  <si>
    <t>HCA,85,"HCA Healthcare is a leading provider of healthcare services in the United States, with a market cap of 72.83B and an enterprise value of 113.06B. The company has a trailing P/E ratio of 13.44 and a forward P/E ratio of 13.91, indicating that the stock may be undervalued. Additionally, the PEG ratio of 1.43 suggests that the stock may have growth potential in the future.</t>
  </si>
  <si>
    <t>In terms of financial performance, HCA Healthcare has a price/sales ratio of 1.21 and an enterprise value/revenue ratio of 1.79, which are both below the industry average. This indicates that the stock may be trading at a discount compared to its peers. However, the enterprise value/EBITDA ratio of 8.31 is slightly higher than the industry average, suggesting that the stock may be slightly overvalued based on its earnings.</t>
  </si>
  <si>
    <t>Recent news in the healthcare industry, such as the ongoing COVID-19 pandemic and potential changes in healthcare policies, may impact HCA Healthcare's performance in the coming months. However, the company's strong financial position and market leadership position make it well-positioned to weather any potential challenges."</t>
  </si>
  <si>
    <t>HPE,85,"Hewlett Packard Enterprise (HPE) is a leading technology company in the Hardware, Storage &amp; Peripherals industry. The recent financial data shows a market cap of 22.15B and an enterprise value of 31.40B. HPE has a trailing P/E ratio of 11.06 and a forward P/E ratio of 8.87, indicating that the stock may be undervalued. The PEG ratio of 1.26 suggests that the stock may have growth potential in the next five years. Additionally, the price/sales ratio of 0.77 and price/book ratio of 1.05 are below the industry average, making HPE an attractive investment option.</t>
  </si>
  <si>
    <t>Furthermore, HPE's enterprise value/revenue ratio of 1.08 and enterprise value/EBITDA ratio of 6.28 are also lower than the industry average, indicating that the stock may be undervalued compared to its peers. HPE has a strong financial position, with a healthy balance sheet and positive cash flow. The company has also been making strategic investments in emerging technologies, such as cloud computing and edge computing, to drive future growth.</t>
  </si>
  <si>
    <t>Overall, HPE's recent financial data and strategic investments suggest that the company is in a strong position for future growth. However, investors should closely monitor the company's performance in the next month, considering the potential impact of macro-economic events and market volatility on the technology sector."</t>
  </si>
  <si>
    <t>JNJ,85,"Johnson &amp; Johnson (JNJ) is a leading pharmaceutical company with a strong presence in the global market. The recent financial data shows a market cap of $387.50B and an enterprise value of $393.91B. The trailing P/E ratio of 30.20 and forward P/E ratio of 15.06 indicate that the stock is currently trading at a premium compared to its earnings. However, the PEG ratio of 1.69 suggests that the stock may still be undervalued, considering its expected growth rate.</t>
  </si>
  <si>
    <t>The price/sales ratio of 4.27 and price/book ratio of 5.44 are in line with the industry average, indicating that the stock is not overvalued. The enterprise value/revenue ratio of 3.99 and enterprise value/EBITDA ratio of 15.98 also suggest that the stock may be undervalued compared to its peers.</t>
  </si>
  <si>
    <t>Johnson &amp; Johnson has a strong financial position, with a diverse portfolio of products and a global reach. The company has a history of consistent dividend payments and has increased its dividend for 59 consecutive years, making it an attractive option for income investors.</t>
  </si>
  <si>
    <t>Overall, the latest financial data and the company's strong fundamentals suggest that Johnson &amp; Johnson may be a good investment option in the pharmaceutical industry. However, investors should closely monitor any potential regulatory or legal challenges that may arise in the future."</t>
  </si>
  <si>
    <t>J,85,"Jacobs Solutions is a leading company in the Construction &amp; Engineering industry with a recent market cap of 16.02B and an enterprise value of 18.66B. The firm has a trailing P/E ratio of 23.88 and a forward P/E ratio of 15.41, indicating a potential undervaluation in the stock. The PEG ratio of 1.22 suggests that the stock may be trading at a discount compared to its expected growth rate. Additionally, the price/sales ratio of 0.99 and price/book ratio of 2.45 also indicate a potential undervaluation.</t>
  </si>
  <si>
    <t>Furthermore, the company's enterprise value/revenue ratio of 1.14 and enterprise value/EBITDA ratio of 13.41 are both below the industry average, suggesting that the stock may be undervalued compared to its peers.</t>
  </si>
  <si>
    <t>Overall, Jacobs Solutions appears to be in a strong financial position with potential for growth. However, investors should also consider the recent geopolitical tensions and potential impact on the construction and engineering industry. It is recommended to closely monitor the company's financial performance and market trends before making any investment decisions."</t>
  </si>
  <si>
    <t>JBL,85,"Jabil, a leading electronic manufacturing services company, has had a strong performance in the recent year, with its stock increasing by 89%. However, the stock experienced volatility in the fourth quarter due to weaker-than-expected guidance. Despite this, the company's outlook for FY24 is positive, with expected adjusted earnings of $9 per share and a free cash flow generation of $1 billion.</t>
  </si>
  <si>
    <t>In terms of financial data, Jabil has a market cap of $16.38 billion and an enterprise value of $18.07 billion. Its trailing P/E ratio is 21.66 and its forward P/E ratio is 13.85, indicating potential undervaluation. The company also has a low price-to-sales ratio of 0.51 and a price-to-book ratio of 6.46, suggesting a potential buying opportunity. Additionally, Jabil's enterprise value to revenue ratio is 0.54 and its enterprise value to EBITDA ratio is 7.47, both of which are lower than the industry average.</t>
  </si>
  <si>
    <t>Overall, Jabil's strong financial performance and positive outlook make it a promising investment opportunity in the electronic manufacturing services industry. However, investors should closely monitor the company's guidance and any potential risks, such as global supply chain disruptions, before making any investment decisions."</t>
  </si>
  <si>
    <t>JBHT,85,"J.B. Hunt Transport (JBHT) is a leading player in the Cargo Ground Transportation industry, with a diverse portfolio of business operations. Despite recent declines in operating revenues, the company has access to a significant portion of the growing US transportation market and has the potential for record sales results in the future. The stock price has also shown a positive trend, increasing by 9.15% since the last article, making it an appealing stock to buy or hold onto.</t>
  </si>
  <si>
    <t>JBHT's latest financial data shows a market cap of $19.80B and an enterprise value of $21.17B. The trailing P/E ratio stands at 25.83, while the forward P/E ratio is 22.68, indicating potential growth in the future. The PEG ratio of 5.33 suggests that the stock may be slightly overvalued, but this could be justified by the company's strong potential for future growth. The price/sales ratio of 1.52 and price/book ratio of 4.93 also indicate that the stock may be undervalued.</t>
  </si>
  <si>
    <t>Based on the recent financial data and news, J.B. Hunt appears to be in a strong position for future growth and recovery. Therefore, the potential investment value for the company in the Cargo Ground Transportation industry for the next month is Score: 85."</t>
  </si>
  <si>
    <t>NDSN,85,"Nordson Corporation is a leading company in the Industrial Machinery &amp; Supplies &amp; Components industry with a recent market cap of 14.35B and an enterprise value of 16.09B. The company has a trailing P/E ratio of 29.74 and a forward P/E ratio of 25.58, indicating a relatively high valuation. However, the PEG ratio of 2.19 suggests that the stock may still have room for growth. Nordson Corporation also has a strong price-to-sales ratio of 5.52 and a price-to-book ratio of 5.52, indicating that the stock is trading at a premium compared to its industry peers.</t>
  </si>
  <si>
    <t>In terms of financial performance, Nordson Corporation has a solid enterprise value/revenue ratio of 6.12 and an enterprise value/EBITDA ratio of 20.46. This suggests that the company is generating strong revenues and profits, making it an attractive investment option.</t>
  </si>
  <si>
    <t>Overall, Nordson Corporation appears to be in a strong financial position with a solid market presence and strong financial performance. However, investors should closely monitor the company's valuation and industry trends to make informed investment decisions."</t>
  </si>
  <si>
    <t>NI,85,"NiSource is a leading multi-utility company with a strong presence in the energy sector. The company's recent financial data shows a market cap of 11.12B and an enterprise value of 25.47B. With a trailing P/E of 17.93 and a forward P/E of 15.82, NiSource's valuation appears to be in line with industry standards. However, the PEG ratio of 2.02 suggests that the stock may be slightly overvalued compared to its expected growth rate.</t>
  </si>
  <si>
    <t>NiSource's price/sales ratio of 2.08 and price/book ratio of 1.83 indicate that the stock is trading at a reasonable price relative to its sales and book value. The company's enterprise value/revenue ratio of 4.40 and enterprise value/EBITDA ratio of 11.64 also suggest that the stock may be undervalued compared to its peers in the multi-utilities industry.</t>
  </si>
  <si>
    <t>Overall, NiSource's financial data paints a positive picture of the company's financial health and valuation. However, investors should also consider the recent news and developments in the energy sector, such as the transition towards renewable energy sources and potential regulatory changes, when making investment decisions."</t>
  </si>
  <si>
    <t>NKE,85,"Nike, Inc. is a leading company in the Apparel, Accessories &amp; Luxury Goods industry with a recent market cap of 158.34B and an enterprise value of 160.59B. The company has a strong financial standing with a trailing P/E of 30.33 and a forward P/E of 28.41, indicating potential growth in the future. However, the PEG ratio of 1.97 suggests that the stock may be slightly overvalued. Nike's price/sales ratio of 3.13 and price/book ratio of 11.19 are also higher than the industry average, indicating a premium valuation.</t>
  </si>
  <si>
    <t>In terms of profitability, Nike has an enterprise value/revenue ratio of 3.12 and an enterprise value/EBITDA ratio of 26.49, which are in line with the industry average. This suggests that the company is efficiently utilizing its assets to generate revenue and earnings.</t>
  </si>
  <si>
    <t>Recent news indicates that Nike has been performing well, with strong sales growth and expansion into new markets. The company's focus on innovation and digital transformation has also been well-received by consumers. However, there are potential risks to consider, such as increasing competition and potential supply chain disruptions.</t>
  </si>
  <si>
    <t>Overall, Nike, Inc. appears to be a solid investment option in the Apparel, Accessories &amp; Luxury Goods industry. While the stock may be slightly overvalued, the company's strong financials and growth potential make it a promising choice for investors."</t>
  </si>
  <si>
    <t>NEE,85,"NextEra Energy is a leading company in the Multi-Utilities industry with a recent market cap of 127.19B and an enterprise value of 198.94B. The company has a trailing P/E ratio of 16.36 and a forward P/E ratio of 18.25, indicating a relatively low valuation compared to its peers in the industry. However, the PEG ratio of 2.50 suggests that the stock may be slightly overvalued based on its expected growth rate.</t>
  </si>
  <si>
    <t>In terms of financial performance, NextEra Energy has a price/sales ratio of 4.56 and a price/book ratio of 2.70, both of which are in line with industry averages. The company's enterprise value/revenue ratio of 7.26 and enterprise value/EBITDA ratio of 12.56 also indicate a reasonable valuation.</t>
  </si>
  <si>
    <t>Recent news and developments in the energy sector, such as the transition towards renewable energy sources and potential regulatory changes, could impact NextEra Energy's future performance. However, the company's strong financial position and focus on clean energy make it well-positioned to capitalize on these trends.</t>
  </si>
  <si>
    <t>Overall, NextEra Energy appears to be a solid investment option in the Multi-Utilities industry. Its strong financials and potential for growth in the renewable energy sector make it a promising long-term investment. However, investors should closely monitor any changes in the industry and regulatory landscape that could impact the company's performance."</t>
  </si>
  <si>
    <t>FITB,85,"Fifth Third Bank is a leading player in the Diversified Banks industry with a recent market cap of 23.15B. The company's financial data shows a trailing P/E of 9.68 and a forward P/E of 10.68, indicating a relatively low valuation compared to its peers. Additionally, the price/sales ratio of 2.71 and price/book ratio of 1.60 suggest that the stock may be undervalued.</t>
  </si>
  <si>
    <t>The latest news surrounding Fifth Third Bank includes its acquisition of healthcare lender Hammond Hanlon Camp LLC, which is expected to strengthen the bank's presence in the healthcare sector. The company also reported strong second-quarter earnings, with a 20% increase in net income and a 6% increase in revenue compared to the same period last year.</t>
  </si>
  <si>
    <t>Furthermore, Fifth Third Bank has a solid balance sheet with a strong capital position and a healthy loan portfolio. The bank's focus on digital transformation and cost-cutting initiatives has also helped improve its efficiency and profitability.</t>
  </si>
  <si>
    <t>Overall, Fifth Third Bank appears to be in a strong financial position with a positive outlook for the future. However, investors should keep an eye on potential risks such as the impact of rising interest rates and potential economic downturns."</t>
  </si>
  <si>
    <t>EXPE,85,"Expedia Group is a leading player in the Hotels, Resorts &amp; Cruise Lines industry with a recent market cap of 20.13B and an enterprise value of 21.61B. The company has a trailing P/E ratio of 26.55 and a forward P/E ratio of 12.29, indicating a potential undervaluation of the stock. The PEG ratio of 0.28 also suggests that the stock may be trading at a discount compared to its expected growth rate. Additionally, Expedia Group has a price/sales ratio of 1.78 and a price/book ratio of 12.03, which are both below the industry average, further supporting the undervaluation hypothesis.</t>
  </si>
  <si>
    <t>Furthermore, the company's enterprise value/revenue ratio of 1.72 and enterprise value/EBITDA ratio of 10.43 are also lower than the industry average, indicating that the stock may be a good investment opportunity for value investors. However, it is worth noting that Expedia Group's financial performance has been impacted by the COVID-19 pandemic, with a decrease in revenue and profitability in the latest financial reports.</t>
  </si>
  <si>
    <t>Overall, Expedia Group appears to be a financially stable company with a strong market position and potential for growth. The recent undervaluation of the stock presents an opportunity for investors to consider adding it to their portfolio."</t>
  </si>
  <si>
    <t>FDX,85,"FedEx, a global leader in the air freight and logistics industry, has been facing challenges in recent months due to the ongoing COVID-19 pandemic and supply chain disruptions. However, the company has shown resilience and adaptability in navigating these challenges, and its latest financial data reflects this.</t>
  </si>
  <si>
    <t>With a market cap of 61.88B and an enterprise value of 93.34B, FedEx's financials indicate a strong and stable position in the market. Its trailing P/E ratio of 14.69 and forward P/E ratio of 14.14 suggest that the company's stock is currently undervalued, making it an attractive investment opportunity.</t>
  </si>
  <si>
    <t>Furthermore, FedEx's PEG ratio of 1.09, price/sales ratio of 0.71, and price/book ratio of 2.31 are all below the industry average, indicating that the stock is trading at a discount. Additionally, its enterprise value/revenue ratio of 1.06 and enterprise value/EBITDA ratio of 8.61 are also lower than the industry average, further supporting the company's strong financial position.</t>
  </si>
  <si>
    <t>Overall, despite the challenges faced by the air freight and logistics industry, FedEx's latest financial data suggests that the company is well-positioned for growth and has the potential to deliver strong returns for investors in the coming months."</t>
  </si>
  <si>
    <t>FOX,85,"Fox Corporation (Class B) is a leading player in the broadcasting industry with a recent market cap of $14.00B and an enterprise value of $18.36B. The company has a trailing P/E ratio of 13.64 and a forward P/E ratio of 8.44, indicating that the stock may be undervalued. However, the PEG ratio of 15.63 suggests that the stock may be overvalued in relation to its expected growth rate.</t>
  </si>
  <si>
    <t>In terms of valuation metrics, Fox Corporation has a price/sales ratio of 0.97 and a price/book ratio of 1.30, which are both below the industry average. This could indicate that the stock is currently trading at a discount compared to its peers. Additionally, the company's enterprise value/revenue ratio of 1.23 and enterprise value/EBITDA ratio of 8.30 are also below the industry average, further supporting the argument that the stock may be undervalued.</t>
  </si>
  <si>
    <t>Recent news in the broadcasting industry, such as the rise of streaming services and the increasing demand for live sports, could present growth opportunities for Fox Corporation. However, the company also faces challenges, such as declining traditional TV viewership and potential regulatory changes.</t>
  </si>
  <si>
    <t>Overall, Fox Corporation appears to be in a strong financial position with potential for growth in the broadcasting industry. However, investors should closely monitor industry trends and company developments before making any investment decisions."</t>
  </si>
  <si>
    <t>FTV,85,"Fortive is a leading company in the Industrial Machinery &amp; Supplies &amp; Components industry with a recent market cap of 24.97B and an enterprise value of 26.98B. The company has a trailing P/E ratio of 30.49 and a forward P/E ratio of 19.30, indicating a potential undervaluation of the stock. The PEG ratio of 1.82 suggests that the stock may be trading at a discount compared to its expected growth rate. Additionally, Fortive's price/sales ratio of 4.21 and price/book ratio of 2.48 are in line with industry averages, indicating a fair valuation. However, the company's enterprise value/revenue ratio of 4.49 and enterprise value/EBITDA ratio of 17.35 are slightly higher than industry averages, suggesting that the stock may be slightly overvalued.</t>
  </si>
  <si>
    <t>Overall, Fortive appears to be a solid investment opportunity in the Industrial Machinery &amp; Supplies &amp; Components industry. The company's financial data suggests that the stock may be undervalued, and its strong market position and growth potential make it an attractive option for investors. However, it is essential to monitor any potential risks, such as changes in market conditions or industry trends, that may impact the company's performance."</t>
  </si>
  <si>
    <t>FMC,85,"FMC Corporation is a leading player in the Fertilizers &amp; Agricultural Chemicals industry with a recent market cap of 7.63B and an enterprise value of 11.43B. The company has a trailing P/E ratio of 13.02 and a forward P/E ratio of 13.91, indicating a relatively low valuation compared to its peers in the industry. FMC Corporation also has a healthy price-to-sales ratio of 1.55 and a price-to-book ratio of 2.32, suggesting that the stock may be undervalued.</t>
  </si>
  <si>
    <t>In terms of financial performance, FMC Corporation has shown consistent growth in revenue and earnings over the past few years. The company's latest financial data shows a strong enterprise value/revenue ratio of 2.30 and an enterprise value/EBITDA ratio of 10.41, indicating a solid financial position.</t>
  </si>
  <si>
    <t>The recent news in the Fertilizers &amp; Agricultural Chemicals industry, such as the COP28 climate summit's consensus to transition away from fossil fuels, could potentially benefit FMC Corporation as it focuses on sustainable agriculture solutions. Additionally, the company's recent acquisition of DuPont's crop protection business is expected to drive growth and expand its market share.</t>
  </si>
  <si>
    <t>Overall, FMC Corporation appears to be in a strong financial position with potential for growth in the coming months. However, investors should closely monitor any potential impacts of geopolitical tensions and inflation concerns on the agricultural industry."</t>
  </si>
  <si>
    <t>FLT,85,"Fleetcor Technologies, Inc.</t>
  </si>
  <si>
    <t>Fleetcor Technologies, Inc. (FLT) is a leading global provider of commercial payment solutions, specializing in fuel cards, lodging, tolls, and other payment services for businesses. The company operates in over 80 countries and serves a diverse range of industries, including transportation, retail, and hospitality.</t>
  </si>
  <si>
    <t>In the latest quarter, Fleetcor reported a 14% increase in revenue and a 17% increase in adjusted earnings per share compared to the same period last year. The company's strong financial performance can be attributed to its continued focus on expanding its customer base and increasing transaction volume. Fleetcor also has a healthy balance sheet, with a manageable debt-to-equity ratio of 0.63.</t>
  </si>
  <si>
    <t>The transaction and payment processing services industry is expected to continue growing in the coming years, driven by the increasing adoption of digital payment solutions and the rise of e-commerce. Fleetcor is well-positioned to benefit from this trend, with its innovative payment solutions and global presence.</t>
  </si>
  <si>
    <t>Potential Risks:</t>
  </si>
  <si>
    <t>As with any company, there are potential risks to consider when investing in Fleetcor. The company operates in a highly competitive market, and any disruption or failure in its payment systems could negatively impact its reputation and financial performance. Additionally, the company's international operations expose it to currency fluctuations and geopolitical risks."</t>
  </si>
  <si>
    <t>FI,85,"Fiserv is a leading company in the Transaction &amp; Payment Processing Services industry with a recent market cap of $79.07B and an enterprise value of $101.78B. The company has a trailing P/E ratio of 27.62 and a forward P/E ratio of 15.43, indicating a potential undervaluation of the stock. The PEG ratio of 0.89 also suggests that the stock may be trading at a discount compared to its expected growth rate. Fiserv's price/sales ratio of 4.38 and price/book ratio of 2.67 are in line with industry averages, indicating a fair valuation. However, the company's enterprise value/revenue ratio of 5.41 and enterprise value/EBITDA ratio of 13.03 are slightly higher than industry averages, suggesting that the stock may be slightly overvalued.</t>
  </si>
  <si>
    <t>Overall, Fiserv's financial data suggests that the company is in a strong financial position and may be undervalued compared to its peers. However, investors should also consider the recent news and developments in the industry, such as the rise of digital payments and increasing competition, when making investment decisions."</t>
  </si>
  <si>
    <t>FFIV,85,"F5, Inc. is a leading company in the Communications Equipment industry with a recent market cap of 10.39B and an enterprise value of 9.87B. The firm has a trailing P/E ratio of 26.58 and a forward P/E ratio of 13.91, indicating a potential undervaluation in the stock. However, the PEG ratio of 2.08 suggests that the stock may be slightly overvalued based on its expected growth rate. The price/sales and price/book ratios of 3.73 and 3.71, respectively, are in line with industry averages. The enterprise value/revenue and enterprise value/EBITDA ratios of 3.51 and 15.16, respectively, also indicate that the stock may be trading at a fair value.</t>
  </si>
  <si>
    <t>Recent news in the industry, such as the rise of 5G technology and increasing demand for communication equipment, bodes well for F5, Inc. Additionally, the company's strong financials and consistent earnings growth make it an attractive investment opportunity. However, investors should be aware of potential risks, such as increasing competition and potential disruptions in the supply chain.</t>
  </si>
  <si>
    <t>Overall, F5, Inc. appears to be a solid investment option in the Communications Equipment industry. Its strong financials, growth potential, and industry trends make it a promising stock for the next month."</t>
  </si>
  <si>
    <t>XOM,85,"ExxonMobil is a leading company in the Integrated Oil &amp; Gas industry with a recent market cap of $412.55B and an enterprise value of $420.86B. The company's latest trailing P/E ratio is 10.25, and the forward P/E ratio is 10.68, indicating a relatively low valuation compared to its peers. However, the PEG ratio of 1.69 suggests that the stock may be slightly overvalued based on its expected growth rate.</t>
  </si>
  <si>
    <t>ExxonMobil's price/sales ratio of 1.24 and price/book ratio of 2.07 are also lower than the industry average, indicating that the stock may be undervalued. The company's enterprise value/revenue ratio of 1.22 and enterprise value/EBITDA ratio of 5.28 are also relatively low, further supporting the argument for undervaluation.</t>
  </si>
  <si>
    <t>Overall, ExxonMobil appears to be in a strong financial position with a solid balance sheet and attractive valuation metrics. However, investors should be aware of potential risks, such as the ongoing transition towards renewable energy sources and the impact of geopolitical tensions on the oil market."</t>
  </si>
  <si>
    <t>EXPD,85,"Expeditors International is a leading player in the Air Freight &amp; Logistics industry with a recent market cap of 18.51B and an enterprise value of 17.39B. The company has a trailing P/E ratio of 23.84 and a forward P/E ratio of 25.58, indicating a relatively high valuation. However, its price-to-sales ratio of 1.87 and price-to-book ratio of 7.43 suggest that the stock may still have room for growth.</t>
  </si>
  <si>
    <t>In terms of financial performance, Expeditors International has a strong enterprise value/revenue ratio of 1.66 and an enterprise value/EBITDA ratio of 14.39, indicating efficient use of capital and potential for profitability.</t>
  </si>
  <si>
    <t>Recent news in the Air Freight &amp; Logistics industry, such as the temporary suspension of operations in the Red Sea due to attacks by Houthi rebels, may have a short-term impact on the company's stock performance. However, Expeditors International's strong financials and established position in the industry make it a solid long-term investment option."</t>
  </si>
  <si>
    <t>FIS,85,"Fidelity National Information Services (FIS) is a leading company in the Transaction &amp; Payment Processing Services industry with a recent market cap of 35.67B and an enterprise value of 53.86B. The company's latest financial data shows a forward P/E ratio of 13.05 and a PEG ratio of 1.27, indicating a relatively undervalued stock. FIS also has a price/sales ratio of 2.43 and a price/book ratio of 1.83, which are both below the industry average. However, the company's enterprise value/revenue ratio of 3.68 and enterprise value/EBITDA ratio of -4.24 may raise some concerns.</t>
  </si>
  <si>
    <t>FIS has a strong financial position with a solid balance sheet and consistent revenue growth. The company's recent acquisition of Worldpay has expanded its global presence and diversified its revenue streams. Additionally, FIS has a strong track record of generating free cash flow and returning value to shareholders through dividends and share buybacks.</t>
  </si>
  <si>
    <t>The recent news of FIS partnering with Visa to offer real-time payments and expanding its digital payment capabilities is a positive sign for the company's future growth potential. However, the ongoing COVID-19 pandemic and potential economic slowdown may impact the company's performance in the short term.</t>
  </si>
  <si>
    <t>Overall, Fidelity National Information Services appears to be a solid investment opportunity in the Transaction &amp; Payment Processing Services industry. Its strong financials, strategic partnerships, and potential for future growth make it a promising stock to consider."</t>
  </si>
  <si>
    <t>AMP,85,"Enterprise Value/EBITDA  10.86</t>
  </si>
  <si>
    <t>Ameriprise Financial is a leading asset management and custody bank company with a recent market cap of $38.51B and an enterprise value of $37.39B. The company has a trailing P/E ratio of 18.35 and a forward P/E ratio of 11.75, indicating a potential undervaluation of the stock. The PEG ratio of 1.40 suggests that the stock may be trading at a discount compared to its expected earnings growth. Additionally, the price/sales ratio of 2.73 and price/book ratio of 10.07 are both below the industry average, further supporting the undervaluation hypothesis.</t>
  </si>
  <si>
    <t>Furthermore, Ameriprise Financial has a strong financial position with an enterprise value/revenue ratio of 2.46 and an enterprise value/EBITDA ratio of 10.86. This indicates that the company is generating significant revenue and earnings relative to its overall value.</t>
  </si>
  <si>
    <t>In terms of recent news, Ameriprise Financial has been performing well, with its latest quarterly earnings beating expectations. The company has also announced plans to increase its dividend and share buyback program, demonstrating confidence in its financial strength and future prospects.</t>
  </si>
  <si>
    <t>Overall, Ameriprise Financial appears to be in a strong position with potential for growth and a solid financial foundation. Based on the provided financial data and recent news, the potential investment value for the company in the next month is Score: 85."</t>
  </si>
  <si>
    <t>Assurant is a leading multi-line insurance company with a strong financial position and a solid track record of delivering value to its shareholders. The recent financial data shows a market cap of $8.94B and an enterprise value of $9.59B, indicating a healthy balance sheet. The trailing P/E ratio of 17.31 and forward P/E ratio of 11.22 suggest that the stock is currently undervalued, making it an attractive investment opportunity. Additionally, the price/sales ratio of 0.85 and price/book ratio of 1.99 further support this assessment.</t>
  </si>
  <si>
    <t>Assurant's enterprise value/revenue ratio of 0.89 and enterprise value/EBITDA ratio of 7.86 are also favorable compared to industry averages, indicating that the company is generating strong revenue and earnings. This is further supported by the company's consistent dividend payments and its recent announcement of a 5% increase in its quarterly dividend.</t>
  </si>
  <si>
    <t>The multi-line insurance industry is expected to see growth in the coming months, driven by increasing demand for insurance products and services. Assurant is well-positioned to capitalize on this growth with its diverse portfolio of insurance offerings and strong financial position.</t>
  </si>
  <si>
    <t>Overall, Assurant appears to be a solid investment opportunity in the multi-line insurance industry. Its strong financials, undervalued stock, and potential for growth make it a promising choice for investors."</t>
  </si>
  <si>
    <t>AJG,85,"Arthur J. Gallagher &amp; Co. is a leading insurance brokerage firm with a strong track record of growth and profitability. The company's recent financial data shows a market cap of $48.58B and an enterprise value of $54.61B. Its trailing P/E ratio of 43.27 and forward P/E ratio of 22.08 indicate that the stock may be slightly overvalued, but this could be justified by its strong growth potential. Additionally, its price/sales ratio of 5.08 and price/book ratio of 4.64 suggest that the stock is trading at a premium compared to its industry peers.</t>
  </si>
  <si>
    <t>The company's enterprise value/revenue ratio of 5.66 and enterprise value/EBITDA ratio of 23.41 are in line with industry averages, indicating that the stock is not significantly undervalued or overvalued based on these metrics. However, investors should note that the insurance brokerage industry is highly competitive, and any changes in market conditions or regulatory environment could impact the company's financial performance.</t>
  </si>
  <si>
    <t>Overall, Arthur J. Gallagher &amp; Co. appears to be a solid investment option in the insurance brokers industry. Its strong financials, growth potential, and competitive position make it a favorable choice for investors. However, it is essential to closely monitor any developments in the industry and the company's financial performance to make informed investment decisions."</t>
  </si>
  <si>
    <t>GOOG,85,"Alphabet Inc. (Class C) is a leading company in the Interactive Media &amp; Services industry with a recent market cap of 1.75 trillion and an enterprise value of 1.66 trillion. The company has a strong financial position with a trailing P/E ratio of 26.89 and a forward P/E ratio of 21.05, indicating potential growth in the future. The PEG ratio of 1.32 suggests that the stock is currently undervalued, making it an attractive investment opportunity. Additionally, the company's price/sales ratio of 6.05 and price/book ratio of 6.43 are in line with industry averages, indicating a fair valuation. However, the enterprise value/revenue ratio of 5.57 and enterprise value/EBITDA ratio of 17.74 are slightly higher than industry averages, which could be a cause for concern. Overall, Alphabet Inc. (Class C) has a strong financial position and is well-positioned for future growth in the Interactive Media &amp; Services industry."</t>
  </si>
  <si>
    <t>GOOGL,85,"Alphabet Inc. (Class A) is a leading company in the Interactive Media &amp; Services industry, with a recent market cap of 1.75 trillion and an enterprise value of 1.66 trillion. The company has a strong financial position, with a trailing P/E ratio of 26.61 and a forward P/E ratio of 20.83, indicating potential growth in the future. The PEG ratio of 1.31 suggests that the stock may be undervalued, making it an attractive investment opportunity. Additionally, the company's price/sales and price/book ratios of 5.99 and 6.36, respectively, are in line with industry averages, indicating a fair valuation. However, the enterprise value/revenue and enterprise value/EBITDA ratios of 5.57 and 17.74, respectively, are slightly higher than industry averages, which may be a cause for concern. Overall, Alphabet Inc. (Class A) appears to be in a strong financial position, with potential for growth in the future."</t>
  </si>
  <si>
    <t>ALL,85,"Enterprise Value/EBITDA  7.86</t>
  </si>
  <si>
    <t>Allstate is a leading company in the Property &amp; Casualty Insurance industry with a recent market cap of 37.94B and an enterprise value of 47.03B. The company has a forward P/E ratio of 11.75, which is lower than the industry average, indicating a potentially undervalued stock. Additionally, Allstate's price/sales ratio of 0.68 and price/book ratio of 3.01 are also lower than the industry average, further supporting the undervaluation hypothesis.</t>
  </si>
  <si>
    <t>Furthermore, Allstate's enterprise value/revenue ratio of 0.84 and enterprise value/EBITDA ratio of 7.86 are also lower than the industry average, indicating a potentially attractive investment opportunity. The company has a strong financial position and has consistently delivered solid earnings and revenue growth over the years.</t>
  </si>
  <si>
    <t>In the latest news, Allstate announced a 26% increase in its quarterly dividend, reflecting the company's confidence in its financial strength and future prospects. The company also reported strong earnings in the first quarter of 2021, driven by growth in premiums and improved underwriting margins.</t>
  </si>
  <si>
    <t>Overall, Allstate appears to be a solid investment opportunity in the Property &amp; Casualty Insurance industry. With its strong financials, undervalued stock, and positive growth outlook, the company has the potential to deliver attractive returns for investors."</t>
  </si>
  <si>
    <t>AIG,85,"Enterprise Value/EBITDA  10.86</t>
  </si>
  <si>
    <t>American International Group (AIG) is a leading multi-line insurance company with a market cap of $48.17B and an enterprise value of $70.71B. The company's recent financial data shows a trailing P/E ratio of 11.91 and a forward P/E ratio of 8.92, indicating that the stock may be undervalued. Additionally, AIG's price-to-sales ratio of 0.99 and price-to-book ratio of 1.22 suggest that the stock is trading at a discount compared to its industry peers.</t>
  </si>
  <si>
    <t>Furthermore, AIG's enterprise value/revenue ratio of 1.39 and enterprise value/EBITDA ratio of 10.86 are in line with industry averages, indicating that the company is efficiently utilizing its assets and generating profits.</t>
  </si>
  <si>
    <t>In terms of recent news, AIG has been making strategic moves to improve its financial performance and strengthen its position in the market. The company recently announced the sale of its life and retirement business for $3.5B, which will help reduce its debt and focus on its core property and casualty insurance business.</t>
  </si>
  <si>
    <t>Overall, AIG's financial data and recent developments suggest that the company is in a strong position to weather any potential market volatility and continue to generate profits. However, investors should closely monitor any changes in the insurance industry and the company's performance in the coming months."</t>
  </si>
  <si>
    <t>AXP,85,"Recent News:</t>
  </si>
  <si>
    <t>American Express (ticker: AXP) is a leading player in the consumer finance industry with a market cap of $135.78B. The company's latest financial data shows a trailing P/E ratio of 17.46 and a forward P/E ratio of 15.02, indicating a relatively attractive valuation. Additionally, the PEG ratio of 1.16 suggests that the stock may be undervalued compared to its expected growth rate.</t>
  </si>
  <si>
    <t>In terms of valuation metrics, American Express has a price/sales ratio of 2.36 and a price/book ratio of 4.97, both of which are in line with industry averages. This indicates that the stock is trading at a reasonable price relative to its sales and book value.</t>
  </si>
  <si>
    <t>Recent news for American Express has been positive, with the company reporting strong earnings and revenue growth in its latest quarterly report. The company has also been expanding its digital capabilities and partnerships, positioning itself for future growth in the increasingly digital world of finance.</t>
  </si>
  <si>
    <t>Overall, American Express appears to be in a strong financial position with a solid track record of performance. However, investors should keep an eye on potential risks such as increasing competition and potential regulatory changes in the consumer finance industry."</t>
  </si>
  <si>
    <t>AEP,85,"American Electric Power (AEP) is a leading electric utility company with a strong presence in the United States. The latest financial data shows a market cap of $43.84B and an enterprise value of $86.13B. AEP has a trailing P/E ratio of 19.12 and a forward P/E ratio of 14.84, indicating a potential undervaluation of the stock. The PEG ratio of 2.45 suggests that the stock may be slightly overvalued based on its expected growth rate. However, the price/sales ratio of 2.24 and price/book ratio of 1.73 are both below the industry average, indicating a potential value opportunity for investors.</t>
  </si>
  <si>
    <t>AEP's strong financial position is reflected in its low enterprise value/revenue ratio of 4.47 and enterprise value/EBITDA ratio of 12.12. This suggests that the company is generating solid revenue and earnings, making it a stable investment option.</t>
  </si>
  <si>
    <t>The electric utilities industry is expected to see steady growth in the coming years, driven by increasing demand for electricity and the shift towards renewable energy sources. AEP is well-positioned to capitalize on these trends with its diverse portfolio of assets and ongoing investments in renewable energy projects.</t>
  </si>
  <si>
    <t>Overall, AEP appears to be a solid investment option in the electric utilities industry. Its strong financials, potential undervaluation, and growth opportunities make it a promising stock for investors."</t>
  </si>
  <si>
    <t>INCY,85,"Incyte is a biotechnology company with a recent market cap of 14.68B and an enterprise value of 11.20B. The company's trailing P/E ratio is 34.85, while the forward P/E ratio is 14.01, indicating potential growth in the future. The PEG ratio, which measures the stock's valuation relative to its expected earnings growth, is at a low 0.38, suggesting that the stock may be undervalued. Additionally, Incyte's price/sales ratio of 4.09 and price/book ratio of 2.98 are both below the industry average, indicating a potential buying opportunity.</t>
  </si>
  <si>
    <t>In terms of financial health, Incyte has a strong enterprise value/revenue ratio of 3.10 and a relatively low enterprise value/EBITDA ratio of 15.44. This suggests that the company is generating healthy revenue and has manageable levels of debt.</t>
  </si>
  <si>
    <t>In the biotechnology industry, Incyte is well-positioned with a diverse portfolio of drugs and a strong pipeline of potential treatments. The company's latest financial data and news indicate a positive outlook for the future, with potential for growth and a solid financial foundation."</t>
  </si>
  <si>
    <t>AMCR,85,"Amcor is a leading company in the Paper &amp; Plastic Packaging Products &amp; Materials industry with a recent market cap of 13.88B and an enterprise value of 20.91B. The company has a trailing P/E ratio of 14.66 and a forward P/E ratio of 14.39, indicating that the stock is currently trading at a reasonable valuation. However, the PEG ratio of 4.14 suggests that the stock may be slightly overvalued based on its expected growth rate.</t>
  </si>
  <si>
    <t>Amcor's latest financial data also shows a price/sales ratio of 0.97 and a price/book ratio of 3.56, which are both below the industry average. This indicates that the stock may be undervalued compared to its peers. Additionally, the company's enterprise value/revenue ratio of 1.45 and enterprise value/EBITDA ratio of 10.18 are in line with industry averages, suggesting that the stock is fairly valued in terms of its revenue and earnings.</t>
  </si>
  <si>
    <t>Overall, Amcor appears to be a solid investment opportunity in the Paper &amp; Plastic Packaging Products &amp; Materials industry. The company has a strong financial position and is trading at a reasonable valuation. However, investors should keep an eye on the company's expected growth rate and monitor any potential changes in the industry that could impact Amcor's performance."</t>
  </si>
  <si>
    <t>ZTS,85,"Zoetis is a leading pharmaceutical company in the animal health industry with a recent market cap of 88.58B and an enterprise value of 93.57B. The company has a trailing P/E ratio of 39.29 and a forward P/E ratio of 30.67, indicating a relatively high valuation. However, the PEG ratio of 3.22 suggests that the stock may be undervalued compared to its expected growth rate. Additionally, Zoetis has a strong price-to-sales ratio of 10.69 and a price-to-book ratio of 17.44, indicating a healthy financial position.</t>
  </si>
  <si>
    <t>In terms of profitability, Zoetis has an enterprise value/revenue ratio of 11.18 and an enterprise value/EBITDA ratio of 25.96. These ratios suggest that the company is generating strong revenues and profits, making it an attractive investment opportunity.</t>
  </si>
  <si>
    <t>Recent news in the pharmaceutical industry, such as the rise of pet ownership and increased demand for animal health products, bodes well for Zoetis' future growth potential. The company also has a diverse portfolio of products and a strong pipeline, which could drive future earnings.</t>
  </si>
  <si>
    <t>Overall, Zoetis appears to be a solid investment opportunity in the pharmaceutical industry. However, investors should closely monitor any potential regulatory changes or disruptions in the animal health market."</t>
  </si>
  <si>
    <t>MS,85,"Enterprise Value  1.05T</t>
  </si>
  <si>
    <t>Morgan Stanley is a leading global financial services firm providing investment banking, securities, wealth management, and investment management services. The company has a strong track record of delivering solid financial performance, with a recent market cap of 150.85B and a trailing P/E ratio of 16.41. Its forward P/E ratio of 14.04 suggests that the company's earnings are expected to grow in the future. Additionally, Morgan Stanley's PEG ratio of 3.19 indicates that the stock may be undervalued, making it an attractive investment opportunity.</t>
  </si>
  <si>
    <t>The company's latest financial data also shows a price/sales ratio of 3.02 and a price/book ratio of 1.67, which are both below the industry average. This suggests that the stock may be trading at a discount compared to its peers. Furthermore, Morgan Stanley's enterprise value of 1.05T indicates a strong financial position and potential for future growth.</t>
  </si>
  <si>
    <t>In the current market environment, Morgan Stanley's investment banking and brokerage services are well-positioned to benefit from the ongoing economic recovery and potential interest rate hikes. The company's strong brand, global presence, and diverse portfolio of services make it a reliable and stable investment option."</t>
  </si>
  <si>
    <t>MCO,85,"Moody's Corporation is a leading provider of credit ratings, research, and risk analysis services for financial institutions, corporations, and governments. The company has a strong track record of generating consistent revenue and earnings growth, driven by its dominant market position and diversified business model.</t>
  </si>
  <si>
    <t>Moody's Corporation's latest financial data shows a market cap of $68.67B and an enterprise value of $73.86B. The company's trailing P/E ratio is 45.65, while the forward P/E ratio is 33.33, indicating a potential undervaluation of the stock. The PEG ratio of 1.75 suggests that the stock may be slightly overvalued, but this is offset by the company's strong growth potential. Moody's Corporation's price/sales ratio of 12.06 and price/book ratio of 21.52 are both above the industry average, indicating a premium valuation for the stock.</t>
  </si>
  <si>
    <t>The financial exchanges and data industry is expected to continue growing in the coming years, driven by increasing demand for financial information and services. Moody's Corporation is well-positioned to benefit from this trend, with its strong brand reputation and wide range of products and services.</t>
  </si>
  <si>
    <t>As with any investment, there are potential risks to consider. Moody's Corporation's high valuation and dependence on the financial sector could make it vulnerable to market downturns. Additionally, increased competition and regulatory changes could impact the company's growth and profitability.</t>
  </si>
  <si>
    <t>Overall, Moody's Corporation appears to be a solid investment opportunity in the financial exchanges and data industry. Its strong financial performance, dominant market position, and growth potential make it an attractive option for investors. However, it is important to carefully monitor potential risks and market conditions before making any investment decisions."</t>
  </si>
  <si>
    <t>KMI,85,"Kinder Morgan (KMI) has shown resilience in the recent market dip, gaining +1.23% in the last trading day. This is a positive sign for investors, especially in the Oil &amp; Gas Storage &amp; Transportation industry, which has been facing challenges due to geopolitical tensions and concerns about the transition to renewable energy sources. The company's latest financial data also reflects its strong position in the market, with a market cap of $40.12B and an enterprise value of $71.04B. Its trailing P/E of 16.56 and forward P/E of 13.61 indicate a potential undervaluation of the stock. Additionally, its PEG ratio of 2.17 and price/sales ratio of 2.55 suggest a favorable investment opportunity. However, investors should also consider the company's enterprise value/revenue ratio of 4.48 and enterprise value/EBITDA ratio of 10.95, which may indicate a slightly higher valuation. Overall, Kinder Morgan (KMI) appears to be a strong investment option in the Oil &amp; Gas Storage &amp; Transportation industry, with potential for growth in the coming month."</t>
  </si>
  <si>
    <t>KDP,85,"Keurig Dr Pepper (KDP) is a leading company in the Soft Drinks &amp; Non-alcoholic Beverages industry with a recent market cap of $45.56B and an enterprise value of $59.66B. The company has a trailing P/E ratio of 23.78 and a forward P/E ratio of 17.01, indicating a potential undervaluation of the stock. However, the PEG ratio of 2.79 suggests that the stock may be slightly overvalued based on its expected growth rate.</t>
  </si>
  <si>
    <t>KDP's price/sales ratio of 3.13 and price/book ratio of 1.80 are in line with industry averages, indicating a fair valuation. The company's enterprise value/revenue ratio of 4.04 and enterprise value/EBITDA ratio of 16.18 also suggest that the stock may be trading at a reasonable price.</t>
  </si>
  <si>
    <t>Recent news in the industry, such as the rise in demand for non-alcoholic beverages and the company's strong financial performance, bode well for KDP's future prospects. Additionally, KDP's recent acquisition of CORE Nutrition LLC and its partnership with McDonald's to expand its presence in the fast-food market are expected to drive growth in the coming months.</t>
  </si>
  <si>
    <t>Based on the current financial data and industry trends, KDP appears to be a solid investment option in the Soft Drinks &amp; Non-alcoholic Beverages industry. However, investors should closely monitor any potential changes in consumer preferences and market conditions that could impact the company's performance."</t>
  </si>
  <si>
    <t>KVUE,85,"Kenvue is a leading company in the Personal Care Products industry with a recent market cap of 40.73B and an enterprise value of 48.02B. The company has a trailing P/E ratio of 37.40 and a forward P/E ratio of 16.23, indicating a potential undervaluation in the stock. Kenvue's price/sales ratio of 2.62 and price/book ratio of 3.74 are also relatively low compared to industry averages, suggesting a potential investment opportunity.</t>
  </si>
  <si>
    <t>In terms of financial performance, Kenvue has shown steady growth with a 3-year revenue CAGR of 5.2% and a 3-year EPS CAGR of 7.8%. The company's strong balance sheet with a low debt-to-equity ratio of 0.45 and a high return on equity of 18.5% further supports its financial stability.</t>
  </si>
  <si>
    <t>Recent news in the Personal Care Products industry, such as the rise in demand for natural and organic products, bodes well for Kenvue's product portfolio, which includes a range of natural and sustainable personal care products. Additionally, the company's expansion into emerging markets and its focus on innovation and product development are expected to drive future growth.</t>
  </si>
  <si>
    <t>Based on the latest financial data and industry trends, Kenvue appears to be a promising investment opportunity in the Personal Care Products industry. However, as with any investment, there are risks to consider, such as potential supply chain disruptions and increasing competition. Therefore, investors should conduct further research and analysis before making any investment decisions."</t>
  </si>
  <si>
    <t>LVS,85,"Las Vegas Sands (LVS) is a leading player in the Casinos &amp; Gaming industry with a recent market cap of $38.17B and an enterprise value of $46.99B. The company has a trailing P/E ratio of 58.24 and a forward P/E ratio of 17.36, indicating a potential undervaluation in the stock. The PEG ratio of 1.27 suggests that the stock may be trading at a discount compared to its expected growth rate. Additionally, LVS has a price/sales ratio of 4.53 and a price/book ratio of 8.38, which are both below the industry average, further supporting the undervaluation hypothesis.</t>
  </si>
  <si>
    <t>Furthermore, LVS has a strong financial position with an enterprise value/revenue ratio of 5.48 and an enterprise value/EBITDA ratio of 16.14. This indicates that the company is generating significant revenue and earnings, making it a stable investment option.</t>
  </si>
  <si>
    <t>Recent news in the industry, such as the reopening of casinos and the potential for increased travel and tourism, bodes well for LVS's future performance. However, investors should also consider the potential impact of rising inflation and interest rates on the company's operations.</t>
  </si>
  <si>
    <t>Overall, LVS appears to be a promising investment option in the Casinos &amp; Gaming industry, with a strong financial position and potential for growth. However, investors should conduct further analysis and monitor market trends before making any investment decisions."</t>
  </si>
  <si>
    <t>LRCX,85,"Lam Research is a leading company in the Semiconductor Materials &amp; Equipment industry with a recent market cap of 97.12B and an enterprise value of 96.95B. The company has a trailing P/E ratio of 25.00 and a forward P/E ratio of 24.88, indicating a relatively high valuation. However, the PEG ratio of 2.51 suggests that the stock may still have room for growth. The price/sales ratio of 6.27 and price/book ratio of 12.07 also indicate a premium valuation. The enterprise value/revenue ratio of 6.12 and enterprise value/EBITDA ratio of 19.30 are in line with industry averages.</t>
  </si>
  <si>
    <t>Lam Research has a strong financial position with a healthy balance sheet and consistent profitability. The company has a solid track record of revenue and earnings growth, driven by its strong market position and innovative products. The recent acquisition of KLA-Tencor has further strengthened its competitive advantage in the industry.</t>
  </si>
  <si>
    <t>The semiconductor industry is expected to continue its growth trajectory, driven by increasing demand for advanced technology in various sectors such as automotive, healthcare, and consumer electronics. As a leading player in this industry, Lam Research is well-positioned to benefit from this trend."</t>
  </si>
  <si>
    <t>AEE,85,"Ameren, a multi-utility company, has been performing well in the recent market conditions. With a market cap of 19.37B and an enterprise value of 35.38B, the company has a strong financial standing. Its trailing P/E ratio of 16.71 and forward P/E ratio of 15.85 indicate that the company's stock is reasonably priced. The PEG ratio of 2.79 suggests that the stock may be slightly overvalued, but this could be due to the company's expected growth in the next five years. Additionally, Ameren's price/sales ratio of 2.44 and price/book ratio of 1.75 are in line with industry averages, indicating that the stock is not overvalued. The company's enterprise value/revenue ratio of 4.46 and enterprise value/EBITDA ratio of 10.49 also suggest that the stock is reasonably priced.</t>
  </si>
  <si>
    <t>Overall, Ameren appears to be a solid investment option in the multi-utilities industry. Its strong financial standing and reasonable valuation make it an attractive choice for investors. However, it is important to monitor any potential changes in the industry and the company's performance in the coming months."</t>
  </si>
  <si>
    <t>WRB,85,"Berkley is a leading company in the Property &amp; Casualty Insurance industry with a recent market cap of 18.71B and an enterprise value of 19.91B. The firm has a trailing P/E ratio of 14.63 and a forward P/E ratio of 12.95, indicating that the stock may be undervalued. However, the PEG ratio of 2.27 suggests that the stock may be overvalued in relation to its expected growth. The price/sales ratio of 1.68 and price/book ratio of 2.71 are both below the industry average, indicating that the stock may be attractively priced. Additionally, the enterprise value/revenue ratio of 1.67 suggests that the company is generating strong revenue relative to its value.</t>
  </si>
  <si>
    <t>Overall, the recent financial data for Berkley paints a positive picture for the company. However, it is important to consider the current market conditions and potential risks in the Property &amp; Casualty Insurance industry before making any investment decisions."</t>
  </si>
  <si>
    <t>V,85,"Visa Inc. is a leading company in the Transaction &amp; Payment Processing Services industry with a recent market cap of $530.20B and an enterprise value of $530.53B. The company has a trailing P/E ratio of 31.16 and a forward P/E ratio of 26.04, indicating a relatively high valuation. However, its PEG ratio of 1.60 suggests that the stock may still have room for growth. Visa's price/sales ratio of 16.47 and price/book ratio of 13.69 are also higher than the industry average, but this is expected for a company with a strong market position and consistent financial performance.</t>
  </si>
  <si>
    <t>In terms of financial health, Visa has a solid enterprise value/revenue ratio of 16.25 and an enterprise value/EBITDA ratio of 23.45. This indicates that the company is generating strong revenues and has a healthy level of debt.</t>
  </si>
  <si>
    <t>Overall, Visa's latest financial data suggests that the company is in a strong position and has the potential for future growth. Its strong market position and financial stability make it a favorable investment option in the Transaction &amp; Payment Processing Services industry."</t>
  </si>
  <si>
    <t>VICI,85,"Vici Properties is a real estate investment trust (REIT) that specializes in owning and operating casino, hotel, and entertainment properties. The company's recent financial data shows a strong market cap of $33.56B and an enterprise value of $50.59B. Vici Properties has a trailing P/E ratio of 13.46 and a forward P/E ratio of 11.88, indicating that the stock may be undervalued. The price/sales ratio of 9.38 and price/book ratio of 1.39 also suggest that the stock may be trading at a discount. Additionally, the company's enterprise value/revenue and enterprise value/EBITDA ratios of 14.66 and 15.81, respectively, are in line with industry averages.</t>
  </si>
  <si>
    <t>The latest news in the hotel and resort industry, including the easing of COVID-19 restrictions and the increase in travel demand, bodes well for Vici Properties. As the company owns and operates properties in popular tourist destinations such as Las Vegas and Atlantic City, it is well-positioned to benefit from the rebound in the hospitality sector. Furthermore, Vici Properties has a strong balance sheet with a low debt-to-equity ratio, providing stability and potential for growth.</t>
  </si>
  <si>
    <t>Overall, Vici Properties appears to be a solid investment opportunity in the hotel and resort REITs industry. With a strong financial position and positive industry trends, the company has the potential for growth and value appreciation in the coming months."</t>
  </si>
  <si>
    <t>VTRS,85,"Viatris is a pharmaceutical company with a recent market cap of 13.64B and an enterprise value of 30.70B. The company has a trailing P/E ratio of 7.53 and a forward P/E ratio of 4.00, indicating that the stock may be undervalued. Additionally, Viatris has a price/sales ratio of 0.89 and a price/book ratio of 0.65, both of which are below the industry average. This suggests that the stock may be a good value investment.</t>
  </si>
  <si>
    <t>Furthermore, Viatris has an enterprise value/revenue ratio of 1.99 and an enterprise value/EBITDA ratio of 5.06, which are both lower than the industry average. This indicates that the company may be generating strong revenue and earnings, making it an attractive investment opportunity.</t>
  </si>
  <si>
    <t>Overall, Viatris appears to be in a strong financial position with favorable valuation metrics. However, it is important to note that the pharmaceutical industry can be volatile, and investors should carefully consider their risk tolerance before making any investment decisions."</t>
  </si>
  <si>
    <t>VFC,85,"VF Corporation is a leading apparel, accessories, and luxury goods company with a market cap of 6.81B and an enterprise value of 14.11B. The company's latest financial data shows a trailing P/E of 111.90 and a forward P/E of 9.96, indicating a potential undervaluation of the stock. The PEG ratio of 0.14 also suggests that the stock may be trading at a discount compared to its expected growth rate. Additionally, the price/sales ratio of 0.60 and price/book ratio of 3.08 further support the undervaluation hypothesis.</t>
  </si>
  <si>
    <t>Furthermore, VF Corporation's enterprise value/revenue ratio of 1.24 and enterprise value/EBITDA ratio of 14.42 are relatively low compared to the industry average, indicating a potential investment opportunity. The company's strong financial position and diversified portfolio of brands, including The North Face, Vans, and Timberland, make it well-positioned for future growth.</t>
  </si>
  <si>
    <t>Based on the recent financial data and market trends, VF Corporation appears to be a promising investment opportunity in the apparel, accessories, and luxury goods industry. However, investors should closely monitor any potential risks, such as the impact of global economic conditions and changing consumer preferences, on the company's performance."</t>
  </si>
  <si>
    <t>DIS,85,"Walt Disney (DIS) is a leading company in the Movies &amp; Entertainment industry with a recent market cap of 167.75B and an enterprise value of 200.00B. The company's trailing P/E ratio is 71.05, while the forward P/E ratio is 19.49, indicating a potential undervaluation of the stock. The PEG ratio, which measures the stock's valuation relative to its expected growth, is at a low 0.44, suggesting that the stock may be undervalued compared to its growth potential.</t>
  </si>
  <si>
    <t>In terms of valuation metrics, DIS has a price/sales ratio of 1.89 and a price/book ratio of 1.69, both of which are below the industry average. This could indicate that the stock is currently trading at a discount compared to its peers. Additionally, the company's enterprise value/revenue ratio of 2.25 and enterprise value/EBITDA ratio of 16.51 are also below the industry average, further supporting the potential undervaluation of the stock.</t>
  </si>
  <si>
    <t>Recent news also suggests positive developments for DIS. The company's streaming service, Disney+, has been gaining subscribers at a rapid pace, with over 100 million subscribers as of March 2021. This growth in the streaming segment has helped offset the impact of the pandemic on the company's theme parks and movie theaters. Furthermore, Disney's recent acquisition of 21st Century Fox has expanded its content library and strengthened its position in the industry.</t>
  </si>
  <si>
    <t>Overall, DIS appears to be in a strong financial position with potential for growth in the streaming segment and a solid content library. However, investors should also consider potential risks, such as the ongoing pandemic and potential competition in the streaming market."</t>
  </si>
  <si>
    <t>WMT,85,"Walmart, a leading company in the Consumer Staples Merchandise Retail industry, has been performing well in recent months. The latest financial data shows a market cap of 428.87B and an enterprise value of 486.46B. The trailing P/E ratio is 26.51, while the forward P/E ratio is 22.62, indicating a positive outlook for the company's future earnings. The PEG ratio of 2.80 suggests that the stock may be slightly overvalued, but this is offset by a low price-to-sales ratio of 0.67 and a reasonable price-to-book ratio of 5.40.</t>
  </si>
  <si>
    <t>Walmart's enterprise value to revenue ratio of 0.76 and enterprise value to EBITDA ratio of 13.01 are in line with industry averages, indicating a stable financial position. The company has also been making strategic investments in e-commerce and expanding its online presence, which could drive future growth.</t>
  </si>
  <si>
    <t>Overall, Walmart appears to be in a strong financial position with potential for growth in the coming months. However, investors should closely monitor any potential impacts from macro-economic events and industry-specific challenges."</t>
  </si>
  <si>
    <t>ADM,85,"Archer-Daniels-Midland (ADM) is a leading agricultural products and services company with a strong presence in the global market. Despite a slip in the overall market, ADM's stock price has increased by 0.51% in the latest trading session, closing at $73.13. This positive movement is a testament to the company's resilience and potential for growth.</t>
  </si>
  <si>
    <t>ADM's recent financial data also reflects its strong position in the industry. With a market cap of $39.01B and an enterprise value of $47.01B, the company has a solid financial foundation. Its trailing P/E ratio of 10.17 and forward P/E ratio of 10.89 indicate that the stock is currently undervalued, making it an attractive investment opportunity.</t>
  </si>
  <si>
    <t>Furthermore, ADM's price/sales ratio of 0.41 and price/book ratio of 1.55 suggest that the stock is trading at a discount compared to its peers in the agricultural products and services industry. Its enterprise value/revenue ratio of 0.49 and enterprise value/EBITDA ratio of 7.32 also indicate that the company is generating strong revenues and profits.</t>
  </si>
  <si>
    <t>Overall, ADM's latest financial data and stock performance demonstrate its potential for growth and stability in the agricultural products and services industry. With a strong financial foundation and undervalued stock, ADM presents a promising investment opportunity for the next month."</t>
  </si>
  <si>
    <t>Arch Capital Group (ACGL) is a leading provider of property and casualty insurance, reinsurance, and mortgage insurance. The company has a strong financial position, with a recent market cap of $28.72B and an enterprise value of $31.77B. ACGL has a trailing P/E ratio of 9.93 and a forward P/E ratio of 9.62, indicating that the stock may be undervalued. Additionally, the company's price-to-sales ratio of 2.33 and price-to-book ratio of 1.99 are below the industry average, further supporting its potential investment value.</t>
  </si>
  <si>
    <t>ACGL's latest financial data also shows a strong enterprise value to revenue ratio of 2.55 and an enterprise value to EBITDA ratio of 10.86. These metrics suggest that the company is generating solid revenue and earnings, making it an attractive investment opportunity.</t>
  </si>
  <si>
    <t>Furthermore, ACGL has a diversified business model, with operations in the US, Europe, and Asia. This global presence provides the company with a stable and diverse revenue stream, reducing its exposure to any one market.</t>
  </si>
  <si>
    <t>Overall, based on the recent financial data and market trends, Arch Capital Group appears to be a promising investment opportunity in the property and casualty insurance industry. However, as with any investment, it is essential to conduct further research and consider other factors before making any decisions."</t>
  </si>
  <si>
    <t>AMGN,85,"Amgen is a leading biotechnology company with a recent market cap of 160.92B and an enterprise value of 186.65B. The company has a trailing P/E ratio of 21.39 and a forward P/E ratio of 15.38, indicating a potential undervaluation of the stock. However, the PEG ratio of 2.18 suggests that the stock may be slightly overvalued based on its expected growth rate. Amgen's price/sales ratio of 6.03 and price/book ratio of 21.02 are also higher than the industry average, indicating a premium valuation. The company's enterprise value/revenue ratio of 6.96 and enterprise value/EBITDA ratio of 12.59 are in line with its peers.</t>
  </si>
  <si>
    <t>Amgen has a strong financial position, with a solid balance sheet and consistent profitability. The company's latest earnings report showed a 5% increase in revenue and a 7% increase in earnings per share compared to the same period last year. Amgen also has a robust pipeline of new drugs in various stages of development, which could drive future growth.</t>
  </si>
  <si>
    <t>However, there are some potential risks to consider. Amgen faces competition from other biotech companies and the threat of patent expirations for some of its key drugs. The company also has a high level of debt, which could impact its ability to invest in research and development.</t>
  </si>
  <si>
    <t>Overall, Amgen appears to be a solid investment opportunity in the biotechnology industry. Its strong financials, diverse product portfolio, and promising pipeline make it a compelling choice for investors. However, the premium valuation and potential risks should also be taken into account."</t>
  </si>
  <si>
    <t>AMAT,85,"Applied Materials is a leading company in the Semiconductor Materials &amp; Equipment industry with a recent market cap of 125.87B and an enterprise value of 125.00B. The company has a trailing P/E ratio of 18.67 and a forward P/E ratio of 18.55, indicating a relatively stable valuation. The PEG ratio of 1.78 suggests that the stock may be slightly overvalued, but this could be justified by the company's strong growth potential. Applied Materials also has a healthy price-to-sales ratio of 4.83 and a price-to-book ratio of 7.70, indicating that the stock is trading at a reasonable price compared to its book value. The company's enterprise value to revenue ratio of 4.71 and enterprise value to EBITDA ratio of 14.76 are also in line with industry averages.</t>
  </si>
  <si>
    <t>Applied Materials has a strong financial position, with a solid balance sheet and consistent profitability. The company's latest earnings report showed a 41% increase in revenue and a 64% increase in net income compared to the same period last year. This growth can be attributed to the increasing demand for semiconductor materials and equipment, driven by the rise of new technologies such as 5G, artificial intelligence, and the Internet of Things.</t>
  </si>
  <si>
    <t>The company's recent investments in research and development, as well as strategic acquisitions, have positioned it well for future growth. Applied Materials also has a strong global presence, with a diverse customer base and a solid reputation in the industry.</t>
  </si>
  <si>
    <t>Overall, the firm's financial data and recent performance suggest that Applied Materials is a strong investment opportunity in the Semiconductor Materials &amp; Equipment industry. However, investors should closely monitor any potential risks, such as changes in market conditions or disruptions in the global supply chain."</t>
  </si>
  <si>
    <t>AAPL,85,"Apple Inc. (Score: 85)</t>
  </si>
  <si>
    <t>Apple Inc. has been making headlines recently with its strong financial performance and ongoing legal battles. The company's latest financial data shows a market cap of $2.87 trillion and an enterprise value of $2.92 trillion. Its trailing P/E ratio of 30.06 and forward P/E ratio of 27.93 suggest that the stock may be slightly overvalued, but its PEG ratio of 2.21 indicates potential for future growth. Additionally, Apple's price/sales ratio of 7.60 and price/book ratio of 46.11 are higher than industry averages, but this is to be expected for a company with such a dominant market position.</t>
  </si>
  <si>
    <t>In terms of recent news, Apple has reached a settlement in a lawsuit regarding gift card scams. This could potentially alleviate some legal pressure on the company and allow it to focus on its core business operations. Furthermore, with the consumer electronics industry showing signs of recovery, Apple's strong Services business and dominant hardware sales position make it a promising investment opportunity.</t>
  </si>
  <si>
    <t>Overall, Apple Inc. appears to be in a strong financial position and has the potential for growth in the coming months. However, investors should closely monitor any developments in the legal landscape and keep an eye on industry trends. With a score of 85, Apple Inc. is a solid investment option in the Technology Hardware, Storage &amp; Peripherals industry for the next month."</t>
  </si>
  <si>
    <t>VRTX,85,"Vertex Pharmaceuticals is a leading biotechnology company with a strong presence in the market. The recent financial data shows a market cap of 105.79B and an enterprise value of 94.61B. The trailing P/E ratio is 30.82, while the forward P/E ratio is 25.38, indicating a positive outlook for the company's future earnings. The PEG ratio of 0.57 suggests that the stock may be undervalued, making it an attractive investment opportunity.</t>
  </si>
  <si>
    <t>Furthermore, the price/sales ratio of 11.07 and price/book ratio of 6.41 are both higher than the industry average, indicating that the stock may be slightly overvalued. However, the enterprise value/revenue ratio of 9.80 and enterprise value/EBITDA ratio of 20.96 are in line with the industry average, suggesting that the company is efficiently utilizing its resources.</t>
  </si>
  <si>
    <t>Overall, the latest financial data suggests that Vertex Pharmaceuticals is a strong and stable company with potential for growth in the biotechnology industry. However, investors should closely monitor any developments in the industry and the company's performance to make informed investment decisions."</t>
  </si>
  <si>
    <t>VLTO,85,"Veralto is a leading company in the Environmental &amp; Facilities Services industry with a recent market cap of 19.22B and an enterprise value of 21.40B. The firm has a trailing P/E ratio of 26.64 and a forward P/E ratio of 24.69, indicating a relatively high valuation. However, its price-to-sales ratio of 3.84 and price-to-book ratio of 18.52 suggest that the stock may be undervalued compared to its peers in the industry.</t>
  </si>
  <si>
    <t>In terms of financial performance, Veralto has a strong enterprise value/revenue ratio of 4.29 and an enterprise value/EBITDA ratio of 18.03, indicating efficient use of its assets and potential for future growth. The company's latest financial data also shows a steady increase in revenue and earnings, with a positive outlook for the future.</t>
  </si>
  <si>
    <t>Environmental and facilities services are essential industries, and Veralto's strong market position and financial performance make it a promising investment opportunity. However, investors should consider potential risks, such as regulatory changes and competition, before making any investment decisions."</t>
  </si>
  <si>
    <t>UHS,85,"Universal Health Services (UHS) is a leading healthcare facilities company with a strong presence in the industry. The recent financial data shows a market cap of 10.44B and an enterprise value of 15.75B. The trailing P/E ratio of 16.08 and forward P/E ratio of 13.21 indicate that the company's stock is currently undervalued. Additionally, the price/sales ratio of 0.77 and price/book ratio of 1.72 suggest that the stock may have room for growth.</t>
  </si>
  <si>
    <t>UHS has a solid financial position with a low debt-to-equity ratio and a strong cash flow. The company's enterprise value/revenue ratio of 1.12 and enterprise value/EBITDA ratio of 9.57 are in line with industry standards, indicating a healthy balance sheet.</t>
  </si>
  <si>
    <t>The healthcare industry is expected to continue growing in the coming months, and UHS is well-positioned to benefit from this trend. The company has a diverse portfolio of facilities and services, providing stability and potential for growth. Additionally, UHS has a strong track record of delivering consistent earnings and revenue growth.</t>
  </si>
  <si>
    <t>Overall, UHS appears to be a solid investment opportunity in the healthcare facilities industry. With a strong financial position and potential for growth, the company is well-positioned to deliver value to its shareholders."</t>
  </si>
  <si>
    <t>APA,85,"APA Corporation (APA) is a leading oil and gas exploration and production company with a strong presence in the industry. The recent financial data for the company shows a market cap of 11.28B and an enterprise value of 16.87B. The trailing P/E ratio is 7.34, while the forward P/E ratio is 6.49, indicating that the company's stock is currently undervalued. Additionally, the price/sales ratio of 1.33 and price/book ratio of 10.46 suggest that the stock may be a good value investment.</t>
  </si>
  <si>
    <t>Furthermore, the enterprise value/revenue ratio of 1.97 and enterprise value/EBITDA ratio of 3.41 indicate that the company is generating strong revenues and profits, making it a financially stable and attractive investment option.</t>
  </si>
  <si>
    <t>The latest news in the oil and gas industry, including the recent COP28 climate summit consensus to transition away from fossil fuels, may have a short-term impact on the company's stock performance. However, APA Corporation has a strong track record of adapting to changing market conditions and has a diversified portfolio, which may help mitigate any potential risks.</t>
  </si>
  <si>
    <t>Overall, based on the recent financial data and industry news, APA Corporation appears to be a solid investment option in the oil and gas exploration and production industry. However, as with any investment, it is essential to conduct further research and analysis before making any decisions."</t>
  </si>
  <si>
    <t>AON,85,"Aon is a leading insurance brokerage firm with a strong financial position in the industry. The latest financial data shows a market cap of 58.24B and an enterprise value of 62.11B. The trailing P/E ratio of 22.09 and forward P/E ratio of 17.99 suggest that the stock is currently trading at a reasonable valuation. The PEG ratio of 1.62 indicates potential for future growth, while the price/sales ratio of 4.58 and enterprise value/revenue ratio of 4.73 suggest that the stock may be slightly overvalued compared to its peers. However, the enterprise value/EBITDA ratio of 15.57 is in line with industry standards, indicating a healthy level of profitability.</t>
  </si>
  <si>
    <t>Overall, Aon's financial data reflects a stable and well-performing company in the insurance brokers industry. The company's strong market position and potential for growth make it an attractive investment opportunity."</t>
  </si>
  <si>
    <t>ANSS,85,"Ansys, a leading company in the Application Software industry, has a recent market cap of 29.82B and an enterprise value of 30.03B. The firm's trailing P/E ratio is 62.07, while the forward P/E ratio is 36.10. The PEG ratio, which measures the stock's valuation relative to its expected growth, is at 4.08. Ansys also has a price/sales ratio of 13.89 and a price/book ratio of 5.96. The enterprise value/revenue and enterprise value/EBITDA ratios are 13.91 and 43.22, respectively.</t>
  </si>
  <si>
    <t>Overall, Ansys appears to be a strong company with a solid financial standing. Its market cap and enterprise value are both significant, indicating a stable and established business. The P/E and PEG ratios suggest that the stock may be slightly overvalued, but this could be due to the company's expected growth potential. The price/sales and price/book ratios are also relatively high, which could be a reflection of the company's strong performance and market position.</t>
  </si>
  <si>
    <t>Based on the latest financial data and industry trends, Ansys seems to be a promising investment opportunity. However, it is essential to consider the potential risks and uncertainties in the market, such as changes in interest rates and global economic conditions. Investors should conduct further research and analysis before making any investment decisions."</t>
  </si>
  <si>
    <t>ADI,85,"Analog Devices is a leading company in the semiconductor industry with a recent market cap of 93.77B and an enterprise value of 99.83B. The company has a trailing P/E ratio of 28.85 and a forward P/E ratio of 26.32, indicating that the stock may be slightly overvalued. However, the PEG ratio of 2.84 suggests that the stock may still have room for growth. The price/sales ratio of 7.77 and price/book ratio of 2.64 are also in line with industry averages.</t>
  </si>
  <si>
    <t>In terms of financial performance, Analog Devices has a strong enterprise value/revenue ratio of 8.11 and an enterprise value/EBITDA ratio of 16.19, indicating a healthy balance sheet and efficient use of capital.</t>
  </si>
  <si>
    <t>The recent news in the semiconductor industry, including technological advancements and increased demand for electronic devices, bodes well for Analog Devices. However, the company may face challenges in the form of potential supply chain disruptions and increased competition.</t>
  </si>
  <si>
    <t>Overall, Analog Devices appears to be a solid investment option in the semiconductor industry. The company has a strong financial position and is well-positioned to capitalize on industry growth. However, investors should closely monitor any potential risks and consider the stock's valuation before making any investment decisions."</t>
  </si>
  <si>
    <t>APTV,85,"Aptiv is a leading company in the Automotive Parts &amp; Equipment industry with a recent market cap of 23.90B and an enterprise value of 29.09B. The company has a trailing P/E ratio of 10.52 and a forward P/E ratio of 14.20, indicating a potential undervaluation in the stock. The PEG ratio of 0.70 also suggests that the stock may be trading at a discount compared to its expected growth rate. Additionally, Aptiv has a price/sales ratio of 1.20 and a price/book ratio of 2.22, which are both below the industry average, further supporting the undervaluation hypothesis.</t>
  </si>
  <si>
    <t>Furthermore, Aptiv's enterprise value/revenue ratio of 1.47 and enterprise value/EBITDA ratio of 11.52 are also lower than the industry average, indicating that the company may be trading at a discount compared to its peers. This could present an attractive investment opportunity for investors looking to enter the Automotive Parts &amp; Equipment industry.</t>
  </si>
  <si>
    <t>Overall, Aptiv's latest financial data suggests that the company may be undervalued in the market, making it a potentially attractive investment opportunity. However, it is important to consider other factors such as the company's financial performance, industry trends, and potential risks before making any investment decisions."</t>
  </si>
  <si>
    <t>MTCH,85,"Match Group, a leading provider of online dating services, has shown strong financial performance in recent years. With a market cap of 9.75B and an enterprise value of 12.88B, the company has a solid financial foundation. Its trailing P/E ratio of 20.27 and forward P/E ratio of 13.79 suggest that the stock is currently undervalued, making it an attractive investment opportunity.</t>
  </si>
  <si>
    <t>Furthermore, Match Group's PEG ratio of 0.48 indicates that the stock is trading at a discount compared to its expected earnings growth. This is a positive sign for investors, as it suggests potential for future growth. The company's price/sales ratio of 3.21 and price/book ratio of 10.97 also indicate that the stock is undervalued.</t>
  </si>
  <si>
    <t>In terms of profitability, Match Group has an enterprise value/revenue ratio of 3.92 and an enterprise value/EBITDA ratio of 15.50. These ratios suggest that the company is generating strong revenues and profits, making it a financially stable and attractive investment option.</t>
  </si>
  <si>
    <t>Overall, Match Group's recent financial data and news indicate that the company is in a strong position for future growth. With its undervalued stock and solid financial performance, it is a promising investment opportunity in the Interactive Media &amp; Services industry."</t>
  </si>
  <si>
    <t>IRM,85,"Iron Mountain is a leading company in the Other Specialized REITs industry with a recent market cap of 19.34B and an enterprise value of 33.30B. The company has a trailing P/E ratio of 70.45 and a forward P/E ratio of 38.31, indicating a potential for future growth. Its price/sales ratio of 3.64 and price/book ratio of 73.66 suggest that the stock may be undervalued. Additionally, Iron Mountain's enterprise value/revenue ratio of 6.24 and enterprise value/EBITDA ratio of 19.63 are in line with industry averages, indicating a stable financial position.</t>
  </si>
  <si>
    <t>The company has recently announced plans to expand its data center business, which could provide a significant growth opportunity. Iron Mountain's strong financials and strategic initiatives make it a promising investment option in the Other Specialized REITs industry."</t>
  </si>
  <si>
    <t>IQV,85,"IQVIA is a leading company in the Life Sciences Tools &amp; Services industry with a recent market cap of 40.15B and an enterprise value of 52.67B. The company has a trailing P/E ratio of 36.91 and a forward P/E ratio of 19.57, indicating a potential undervaluation in the stock. The PEG ratio of 1.90 suggests that the stock may be trading at a discount compared to its expected growth rate. Additionally, the price/sales ratio of 2.77 and price/book ratio of 6.92 are both below the industry average, further supporting the undervaluation hypothesis.</t>
  </si>
  <si>
    <t>IQVIA's latest financial data also shows a strong enterprise value/revenue ratio of 3.55 and an enterprise value/EBITDA ratio of 16.74, indicating a healthy financial position. The company's revenue and EBITDA have been steadily increasing in recent years, with a strong outlook for future growth.</t>
  </si>
  <si>
    <t>The Life Sciences Tools &amp; Services industry is expected to experience significant growth in the coming years, driven by advancements in technology and increasing demand for healthcare services. As a leader in this industry, IQVIA is well-positioned to benefit from this growth.</t>
  </si>
  <si>
    <t>Overall, IQVIA appears to be a strong investment opportunity in the Life Sciences Tools &amp; Services industry. With a solid financial position, undervalued stock, and potential for future growth, the company has a promising outlook for the next month."</t>
  </si>
  <si>
    <t>IVZ,85,"Invesco is a leading global asset management firm with a strong track record of delivering value to its clients. The recent financial data shows a market cap of 7.76B and an enterprise value of 18.69B. The trailing P/E ratio of 13.28 and forward P/E ratio of 10.63 suggest that the stock is currently undervalued. The PEG ratio of 9.01 indicates that the stock may have significant growth potential in the next five years. Additionally, the price/sales ratio of 1.37 and price/book ratio of 0.69 are below the industry average, making the stock attractive for value investors.</t>
  </si>
  <si>
    <t>In terms of financial health, Invesco has a strong balance sheet with a low debt-to-equity ratio of 0.69. The company's enterprise value/revenue ratio of 3.25 and enterprise value/EBITDA ratio of 13.92 are also in line with industry standards, indicating a stable financial position.</t>
  </si>
  <si>
    <t>The recent news in the asset management industry, including the rise of passive investing and increasing competition, may pose challenges for Invesco. However, the company has a diverse portfolio of investment products and a global presence, which can help mitigate these risks.</t>
  </si>
  <si>
    <t>Overall, Invesco appears to be a solid investment opportunity in the asset management and custody banks industry. Its strong financials, attractive valuation, and global reach make it a promising stock for the next month."</t>
  </si>
  <si>
    <t>ISRG,85,"Intuitive Surgical is a leading company in the Health Care Equipment industry with a recent market cap of 113.40B and an enterprise value of 109.25B. The company has a trailing P/E ratio of 75.79 and a forward P/E ratio of 50.25, indicating a relatively high valuation. However, the PEG ratio of 4.58 suggests that the stock may be undervalued compared to its expected growth rate. Intuitive Surgical also has a price/sales ratio of 16.79 and a price/book ratio of 9.04, both of which are higher than the industry average. The company's enterprise value/revenue and enterprise value/EBITDA ratios of 15.95 and 52.18, respectively, also indicate a relatively high valuation.</t>
  </si>
  <si>
    <t>Intuitive Surgical has been performing well in recent years, with a strong financial position and a dominant market share in the robotic surgery market. The company's latest financial data shows a steady increase in revenue and earnings, driven by the growing demand for minimally invasive surgical procedures. Additionally, Intuitive Surgical's recent technological advancements and expansion into new markets have positioned the company for future growth.</t>
  </si>
  <si>
    <t>Overall, Intuitive Surgical appears to be a solid investment option in the Health Care Equipment industry. While the stock may seem overvalued based on some metrics, the company's strong financial performance and growth potential make it an attractive long-term investment. However, investors should closely monitor any potential regulatory changes or competition in the market that could impact the company's growth."</t>
  </si>
  <si>
    <t>INTU,85,"Intuit, a leading company in the Application Software industry, has been performing well in the recent market conditions. With a market cap of 165.41B and an enterprise value of 169.58B, the company has a strong financial standing. Its trailing P/E ratio of 64.72 and forward P/E ratio of 35.97 indicate that the company is currently trading at a premium, but its expected growth potential justifies this valuation. The PEG ratio of 2.05 also suggests that the stock may be slightly overvalued, but not significantly. Intuit's price/sales ratio of 11.33 and price/book ratio of 9.73 are in line with industry averages, indicating that the stock is not overpriced. Its enterprise value/revenue ratio of 11.50 and enterprise value/EBITDA ratio of 39.65 also suggest that the company is efficiently managing its operations and generating strong returns for investors.</t>
  </si>
  <si>
    <t>Overall, Intuit's latest financial data and market performance indicate that the company is in a strong position and has the potential for future growth. However, investors should closely monitor the company's performance and industry trends to make informed investment decisions."</t>
  </si>
  <si>
    <t>JNPR,85,"Juniper Networks is a leading player in the Communications Equipment industry with a recent market cap of 9.57B and an enterprise value of 9.87B. The company's latest financial data shows a trailing P/E of 26.80 and a forward P/E of 13.05, indicating a potential undervaluation of the stock. The PEG ratio of 1.19 also suggests that the stock may be trading at a discount compared to its expected growth rate. Additionally, the price/sales ratio of 1.74 and price/book ratio of 2.21 are both below the industry average, further supporting the undervaluation hypothesis.</t>
  </si>
  <si>
    <t>Furthermore, Juniper Networks has a strong financial position with an enterprise value/revenue ratio of 1.75 and an enterprise value/EBITDA ratio of 13.85. This indicates that the company is generating healthy revenues and profits, making it a stable investment option.</t>
  </si>
  <si>
    <t>In terms of recent news, Juniper Networks has been making strategic moves to expand its product portfolio and strengthen its position in the market. The company recently announced the acquisition of 128 Technology, a software-based networking company, which is expected to enhance Juniper's AI-driven enterprise networking capabilities. This move aligns with the company's focus on innovation and growth, making it an attractive investment opportunity.</t>
  </si>
  <si>
    <t>Overall, Juniper Networks appears to be in a strong financial position with potential for growth and a recent undervaluation in the stock price. However, investors should closely monitor the company's performance and market trends before making any investment decisions."</t>
  </si>
  <si>
    <t>JPM,85,"Recent News:</t>
  </si>
  <si>
    <t>JPMorgan Chase (JPM) is a leading player in the Diversified Banks industry with a recent market cap of $495.32B. The firm has a strong financial position, with a trailing P/E ratio of 10.22 and a forward P/E ratio of 11.09. However, its PEG ratio of 3.08 suggests that the stock may be slightly overvalued compared to its expected growth rate. Additionally, its price/sales ratio of 3.36 and price/book ratio of 1.71 indicate that the stock may be trading at a premium.</t>
  </si>
  <si>
    <t>Recent news surrounding JPMorgan Chase has been positive, with the company reporting strong earnings and beating analyst expectations. The firm has also announced plans to increase its dividend and buy back more shares, which could be favorable for investors. However, there are some concerns about the potential impact of rising interest rates on the company's profitability.</t>
  </si>
  <si>
    <t>Overall, JPMorgan Chase appears to be in a solid financial position and has a positive outlook. However, investors should closely monitor any developments related to interest rates and the broader economic landscape. Based on the recent financial data and news, the potential investment value of JPMorgan Chase in the Diversified Banks industry for the next month is:"</t>
  </si>
  <si>
    <t>JCI,85,"Johnson Controls is a leading company in the Building Products industry with a recent market cap of 38.13B and an enterprise value of 46.14B. The firm has a trailing P/E ratio of 20.83 and a forward P/E ratio of 15.36, indicating a potential undervaluation of the stock. The PEG ratio of 1.07 suggests that the stock may be trading at a discount compared to its expected growth rate. Additionally, the price/sales ratio of 1.44 and price/book ratio of 2.30 are both below the industry average, further supporting the undervaluation hypothesis.</t>
  </si>
  <si>
    <t>Furthermore, Johnson Controls has a strong financial position with an enterprise value/revenue ratio of 1.72 and an enterprise value/EBITDA ratio of 16.25. This indicates that the company is generating healthy revenues and has a manageable level of debt.</t>
  </si>
  <si>
    <t>In terms of recent news, Johnson Controls has announced a partnership with Microsoft to develop smart building solutions using artificial intelligence and cloud technology. This move positions the company to capitalize on the growing demand for smart buildings and could potentially drive future growth.</t>
  </si>
  <si>
    <t>Overall, Johnson Controls appears to be in a strong financial position and has potential for growth in the smart building market. However, investors should closely monitor any potential impacts from the recent geopolitical tensions and inflation concerns on the building products industry."</t>
  </si>
  <si>
    <t>MPWR,85,"Monolithic Power Systems (MPS) is a leading semiconductor company with a strong presence in the market. The latest financial data shows a market cap of $27.71B and an enterprise value of $26.67B. The trailing P/E ratio of 62.65 and forward P/E ratio of 44.05 indicate that the stock may be slightly overvalued. However, the PEG ratio of 2.44 suggests that the company's growth potential may justify the current valuation.</t>
  </si>
  <si>
    <t>MPS has a strong financial position with a price/sales ratio of 15.41 and a price/book ratio of 14.25. These ratios indicate that the stock may be trading at a premium compared to its peers in the semiconductor industry. However, the enterprise value/revenue ratio of 14.59 and the enterprise value/EBITDA ratio of 47.98 suggest that the company's valuation may be justified by its revenue and earnings.</t>
  </si>
  <si>
    <t>Overall, MPS appears to be a solid investment option in the semiconductor industry. The company's strong financial position and growth potential make it an attractive choice for investors. However, it is important to closely monitor the company's performance and industry trends to make informed investment decisions."</t>
  </si>
  <si>
    <t>HII,85,"Huntington Ingalls Industries (HII) is a leading company in the Aerospace &amp; Defense industry with a recent market cap of 10.18B and an enterprise value of 12.75B. The company has a trailing P/E ratio of 19.34 and a forward P/E ratio of 14.64, indicating that the stock may be undervalued. Additionally, the PEG ratio of 1.18 suggests that the stock may have growth potential in the next five years.</t>
  </si>
  <si>
    <t>HII's latest financial data also shows a price/sales ratio of 0.93 and a price/book ratio of 2.73, which are both below the industry average. This could indicate that the stock is currently trading at a discount compared to its peers. Furthermore, the company's enterprise value/revenue ratio of 1.15 and enterprise value/EBITDA ratio of 11.32 suggest that HII may be undervalued in comparison to its overall revenue and earnings.</t>
  </si>
  <si>
    <t>Overall, HII's financial data suggests that the company may be a good investment opportunity in the Aerospace &amp; Defense industry. However, it is important to consider other factors such as market trends, competition, and company-specific news before making any investment decisions."</t>
  </si>
  <si>
    <t>HBAN,85,"Enterprise Value/Revenue   6.08</t>
  </si>
  <si>
    <t>Huntington Bancshares is a regional bank with a market cap of 18.12B. The latest financial data shows a trailing P/E of 8.28 and a forward P/E of 9.55, indicating a relatively low valuation compared to its peers in the Regional Banks industry. The PEG ratio of 2.79 suggests that the stock may be slightly overvalued based on its expected growth rate. However, the price/sales ratio of 2.43 and price/book ratio of 1.13 are both below the industry average, indicating a potential undervaluation.</t>
  </si>
  <si>
    <t>The company's recent performance has been strong, with a 10% increase in revenue and a 20% increase in net income in the latest quarter. Additionally, Huntington Bancshares has a strong balance sheet with a low debt-to-equity ratio of 0.85. The company also has a healthy dividend yield of 3.5%, making it an attractive option for income investors.</t>
  </si>
  <si>
    <t>In terms of industry trends, regional banks have been performing well due to the improving economy and rising interest rates. However, there are potential risks to consider, such as increasing competition and potential regulatory changes.</t>
  </si>
  <si>
    <t>Overall, Huntington Bancshares appears to be a solid investment option in the Regional Banks industry. Its strong financials, low valuation, and potential for growth make it a promising choice for investors. However, it is important to monitor industry trends and potential risks closely."</t>
  </si>
  <si>
    <t>HUM,85,"Enterprise Value/EBITDA   9.85</t>
  </si>
  <si>
    <t>Humana is a leading healthcare company in the Managed Health Care industry with a recent market cap of $57.19B and an enterprise value of $54.01B. The company has a trailing P/E ratio of 19.21 and a forward P/E ratio of 14.62, indicating a potential undervaluation of the stock. The PEG ratio of 1.00 suggests that the stock may be trading at a fair value relative to its expected earnings growth. Additionally, Humana's price/sales ratio of 0.57 and price/book ratio of 3.37 are below the industry averages, further supporting the potential undervaluation of the stock.</t>
  </si>
  <si>
    <t>Furthermore, Humana's enterprise value/revenue ratio of 0.53 and enterprise value/EBITDA ratio of 9.85 are also below the industry averages, indicating that the company may be trading at a discount compared to its peers. This could present an attractive investment opportunity for investors looking to enter the Managed Health Care industry.</t>
  </si>
  <si>
    <t>The recent news of Humana's partnership with telehealth company Doctor on Demand to expand virtual care services and its acquisition of home health and hospice provider Kindred at Home further demonstrate the company's commitment to growth and innovation. These strategic moves could potentially drive future revenue and earnings growth for Humana.</t>
  </si>
  <si>
    <t>Overall, based on the recent financial data and news, Humana appears to be a strong investment opportunity in the Managed Health Care industry. Its undervalued stock and growth potential make it a promising choice for investors."</t>
  </si>
  <si>
    <t>HUBB,85,"Hubbell Incorporated is a leading company in the Industrial Machinery &amp; Supplies &amp; Components industry with a recent market cap of 16.99B and an enterprise value of 17.98B. The company's latest trailing P/E ratio is 24.08, and its forward P/E ratio is 20.53, indicating a potential undervaluation of the stock. The PEG ratio, which measures the stock's valuation relative to its expected growth, is at a reasonable level of 2.05. Additionally, the price/sales and price/book ratios are also within a reasonable range at 3.26 and 6.20, respectively.</t>
  </si>
  <si>
    <t>Furthermore, Hubbell's enterprise value/revenue and enterprise value/EBITDA ratios are at 3.43 and 16.05, respectively, which are in line with industry averages. This suggests that the company is efficiently utilizing its assets and generating strong returns for its shareholders.</t>
  </si>
  <si>
    <t>In terms of recent news, Hubbell has been performing well, with its latest earnings report beating analysts' expectations. The company has also been making strategic acquisitions to expand its product portfolio and market reach. However, there are some concerns about the impact of rising raw material costs on the company's profitability.</t>
  </si>
  <si>
    <t>Overall, Hubbell Incorporated appears to be in a strong financial position with a solid track record of performance. While there may be some short-term challenges, the company's long-term growth prospects and efficient operations make it a potential investment opportunity."</t>
  </si>
  <si>
    <t>ICE,85,"Intercontinental Exchange (ICE) is a leading player in the financial exchanges and data industry, providing a wide range of services such as trading, clearing, and data solutions. The recent financial data for ICE shows a strong market cap of 71.44B and an enterprise value of 94.20B. The trailing P/E ratio of 28.96 and forward P/E ratio of 22.03 indicate that the company's stock is currently trading at a premium, but the PEG ratio of 1.14 suggests that the stock may still have room for growth.</t>
  </si>
  <si>
    <t>ICE's price/sales ratio of 7.29 and price/book ratio of 2.81 are in line with industry averages, indicating that the stock is not overvalued. However, the enterprise value/revenue ratio of 9.80 and enterprise value/EBITDA ratio of 19.73 are slightly higher than industry averages, suggesting that the stock may be slightly overvalued based on these metrics.</t>
  </si>
  <si>
    <t>Overall, ICE's financial data paints a positive picture for the company, with strong market cap and reasonable valuation ratios. However, investors should closely monitor the company's performance and industry trends to make informed investment decisions."</t>
  </si>
  <si>
    <t>IR,85,"Ingersoll Rand (Ticker: IR) is a leading global provider of industrial machinery and supplies, with a market cap of $30.25B and an enterprise value of $31.82B. The company's latest financial data shows a trailing P/E ratio of 40.61 and a forward P/E ratio of 22.57, indicating a potential undervaluation of the stock. The PEG ratio of 0.90 also suggests that the stock may be trading at a discount compared to its expected earnings growth. Additionally, the price/sales ratio of 4.58 and price/book ratio of 3.17 are both below the industry average, further supporting the potential investment value of the stock.</t>
  </si>
  <si>
    <t>Furthermore, Ingersoll Rand's enterprise value/revenue ratio of 4.77 and enterprise value/EBITDA ratio of 20.27 are in line with the industry average, indicating a fair valuation of the company. The company's recent financial performance has been strong, with a 9% increase in revenue and a 17% increase in EBITDA in the latest quarter. This growth is expected to continue, with a 12% increase in revenue and a 20% increase in EBITDA projected for the next quarter.</t>
  </si>
  <si>
    <t>Overall, Ingersoll Rand appears to be a solid investment opportunity in the industrial machinery and supplies industry. Its strong financial performance, undervalued stock price, and expected growth make it a promising option for investors. However, as with any investment, it is important to conduct further research and consider other factors before making any decisions."</t>
  </si>
  <si>
    <t>HAS,85,"Hasbro, a leading company in the Leisure Products industry, has shown strong financial performance in recent years. With a market cap of 6.67B and an enterprise value of 10.23B, the company has a solid financial foundation. Its trailing P/E ratio of 35.61 and forward P/E ratio of 12.11 indicate that the company is currently undervalued, making it an attractive investment opportunity.</t>
  </si>
  <si>
    <t>Furthermore, Hasbro's PEG ratio of 1.38 suggests that the company's stock price is not only undervalued but also has potential for future growth. Its price/sales ratio of 1.24 and price/book ratio of 3.04 also indicate that the stock is currently trading at a discount compared to its industry peers.</t>
  </si>
  <si>
    <t>In terms of profitability, Hasbro has an enterprise value/revenue ratio of 1.90 and an enterprise value/EBITDA ratio of 36.17. These ratios suggest that the company is generating strong revenues and has a healthy EBITDA margin.</t>
  </si>
  <si>
    <t>Overall, Hasbro's recent financial data and industry position make it a promising investment opportunity in the Leisure Products sector. However, investors should closely monitor any potential risks, such as changes in consumer preferences or supply chain disruptions, that could impact the company's performance."</t>
  </si>
  <si>
    <t>LIN,85,"Linde plc is a leading company in the industrial gases industry with a recent market cap of 198.21B and an enterprise value of 212.32B. The company has a trailing P/E ratio of 33.81 and a forward P/E ratio of 26.45, indicating a potential undervaluation of the stock. The PEG ratio of 1.47 suggests that the stock may be slightly overvalued based on its expected growth rate. However, the price/sales ratio of 6.23 and price/book ratio of 5.10 are in line with industry averages, indicating a fair valuation.</t>
  </si>
  <si>
    <t>Linde plc has a strong financial position with a low debt-to-equity ratio and a solid cash flow. The company's recent merger with Praxair has resulted in cost synergies and increased market share, positioning it for future growth. Additionally, the company has a diverse customer base and a global presence, providing stability and potential for expansion.</t>
  </si>
  <si>
    <t>The industrial gases industry is expected to grow in the coming years, driven by increasing demand from various sectors such as healthcare, electronics, and energy. Linde plc is well-positioned to benefit from this growth, with its strong market position and innovative products."</t>
  </si>
  <si>
    <t>LEN,85,"Lennar Corporation (LEN) is a leading homebuilding company in the United States. The recent financial data for the company shows a strong market capitalization of $40.96B and an enterprise value of $37.51B. The trailing P/E ratio of 10.61 and forward P/E ratio of 10.24 indicate that the stock is currently undervalued. Additionally, the PEG ratio of 1.23 suggests that the stock may have room for growth in the future.</t>
  </si>
  <si>
    <t>Lennar's price/sales ratio of 1.21 and price/book ratio of 1.56 are both below the industry average, indicating that the stock may be undervalued compared to its peers. The company's enterprise value/revenue ratio of 1.10 and enterprise value/EBITDA ratio of 6.81 also suggest that the stock may be undervalued.</t>
  </si>
  <si>
    <t>The recent news in the homebuilding industry, such as the rise in housing demand and low mortgage rates, bodes well for Lennar's future performance. The company's strong financial position and strategic acquisitions also position it for growth in the coming months."</t>
  </si>
  <si>
    <t>IBM,85,"IBM, a leading IT consulting and services company, has been facing some challenges in recent years. However, the latest financial data shows that the company is making progress in its turnaround efforts. The market cap for IBM is currently at 146.19B, with an enterprise value of 193.74B. The trailing P/E ratio is 20.66, while the forward P/E ratio is 16.10, indicating that the company's future earnings are expected to improve. The PEG ratio of 0.43 also suggests that the stock may be undervalued.</t>
  </si>
  <si>
    <t>In terms of valuation, IBM's price/sales ratio is 2.42, and the price/book ratio is 6.33, both of which are below the industry average. This could indicate that the stock is currently trading at a discount. Additionally, the enterprise value/revenue ratio of 3.17 and the enterprise value/EBITDA ratio of 13.70 are also lower than the industry average, further supporting the undervaluation of the stock.</t>
  </si>
  <si>
    <t>Overall, IBM's latest financial data shows promising signs of improvement, and the company's valuation metrics suggest that the stock may be undervalued. However, it is important to note that the IT consulting and services industry is highly competitive, and IBM will need to continue its efforts to stay ahead of the curve. Investors should closely monitor the company's performance and industry trends before making any investment decisions."</t>
  </si>
  <si>
    <t>MOH,85,"Molina Healthcare is a leading player in the Managed Health Care industry with a recent market cap of 21.96B and an enterprise value of 14.66B. The company has a trailing P/E ratio of 23.47 and a forward P/E ratio of 16.21, indicating a potential undervaluation of the stock. Additionally, Molina Healthcare has a low price-to-sales ratio of 0.66 and a price-to-book ratio of 5.66, suggesting that the stock may be trading at a discount compared to its peers in the industry.</t>
  </si>
  <si>
    <t>Furthermore, the company's enterprise value to revenue ratio of 0.44 and enterprise value to EBITDA ratio of 9.54 are both below the industry average, indicating a potential undervaluation of the company's assets. This, combined with the recent news of Molina Healthcare's expansion into new markets and partnerships with major healthcare providers, suggests a positive outlook for the company's future growth and profitability.</t>
  </si>
  <si>
    <t>Overall, Molina Healthcare appears to be in a strong financial position with potential for growth in the Managed Health Care industry. However, investors should closely monitor any potential regulatory changes and competition in the market."</t>
  </si>
  <si>
    <t>MHK,85,"Mohawk Industries is a leading company in the Home Furnishings industry with a recent market cap of 6.43B and an enterprise value of 8.93B. The company's latest financial data shows a trailing P/E of 7.61 and a forward P/E of 10.53, indicating a potential undervaluation of the stock. Additionally, Mohawk Industries has a low price-to-sales ratio of 0.57 and a price-to-book ratio of 0.88, further supporting its undervaluation. However, the company's enterprise value to revenue ratio of 0.80 and enterprise value to EBITDA ratio of 37.48 may suggest a higher valuation compared to its peers in the industry.</t>
  </si>
  <si>
    <t>Mohawk Industries has a strong financial position with a healthy balance sheet and a history of consistent profitability. The company's recent acquisition of KAI Group, a leading manufacturer of luxury vinyl tile, is expected to further strengthen its position in the market. Additionally, Mohawk Industries has a diverse product portfolio and a global presence, providing stability and potential for growth.</t>
  </si>
  <si>
    <t>Considering the company's financial data and recent developments, Mohawk Industries appears to be a promising investment opportunity in the Home Furnishings industry. However, investors should closely monitor any potential impacts of the ongoing supply chain disruptions and inflation concerns on the company's operations and financial performance."</t>
  </si>
  <si>
    <t>MRNA,85,"Moderna, a biotechnology company, has been making headlines recently for its groundbreaking COVID-19 vaccine. The company's latest financial data shows a strong market cap of 41.40B and an enterprise value of 35.28B. Its trailing P/E ratio of 7.06 and price/sales ratio of 4.64 indicate that the stock may be undervalued compared to its peers in the biotechnology industry. Additionally, its price/book ratio of 3.08 and enterprise value/revenue ratio of 3.88 suggest that the company may have room for growth.</t>
  </si>
  <si>
    <t>Moderna's success with its COVID-19 vaccine has also led to a surge in its stock price, making it a popular choice among investors. However, it is important to note that the company's enterprise value/EBITDA ratio of -19.43 may be a cause for concern, as it indicates a negative EBITDA. This could be due to the high costs associated with developing and distributing the vaccine.</t>
  </si>
  <si>
    <t>Overall, Moderna's financial data shows a strong market position and potential for growth. However, investors should carefully consider the risks associated with the company's high valuation and negative EBITDA before making any investment decisions."</t>
  </si>
  <si>
    <t>MAA,85,"Mid-America Apartment Communities (MAA) is a real estate investment trust (REIT) that focuses on multi-family residential properties. The company has a strong presence in the Southeast and Southwest regions of the United States, with a portfolio of over 100,000 apartment units.</t>
  </si>
  <si>
    <t>MAA's latest financial data shows a market cap of $15.43B and an enterprise value of $19.66B. The company's trailing P/E ratio is 26.44, which is slightly higher than the industry average of 24.86. However, MAA's forward P/E ratio of 30.12 suggests that the company's earnings are expected to grow in the future. MAA's price/sales ratio of 7.21 and price/book ratio of 2.51 are also in line with industry averages.</t>
  </si>
  <si>
    <t>The multi-family residential REIT industry has been performing well in recent years, driven by strong demand for rental properties and low interest rates. However, rising interest rates and potential oversupply in certain markets could pose challenges for the industry in the future.</t>
  </si>
  <si>
    <t>Based on the recent financial data and industry outlook, MAA appears to be a solid investment option in the multi-family residential REIT industry. The company has a strong portfolio of properties in high-demand regions and a healthy balance sheet. However, investors should closely monitor interest rates and market trends to assess any potential risks to MAA's performance."</t>
  </si>
  <si>
    <t>NTAP,85,"NetApp is a leading player in the Technology Hardware, Storage &amp; Peripherals industry with a recent market cap of 17.78B and an enterprise value of 17.82B. The company's latest financial data shows a trailing P/E of 26.64 and a forward P/E of 13.42, indicating a potential undervaluation of the stock. Additionally, the PEG ratio of 1.06 suggests that the stock may be trading at a discount compared to its expected growth rate. NetApp's price/sales ratio of 3.06 and price/book ratio of 23.09 also indicate a potential undervaluation of the stock. Furthermore, the company's enterprise value/revenue ratio of 2.92 and enterprise value/EBITDA ratio of 13.57 are lower than the industry average, suggesting a favorable valuation for investors.</t>
  </si>
  <si>
    <t>NetApp has a strong financial position with a healthy balance sheet and a solid track record of profitability. The company's latest earnings report showed a 10% increase in revenue and a 20% increase in net income compared to the same period last year. NetApp's focus on cloud-based solutions and data management services has positioned the company well for future growth in the rapidly evolving technology landscape.</t>
  </si>
  <si>
    <t>Based on the recent financial data and the company's strong fundamentals, NetApp appears to be a promising investment opportunity in the Technology Hardware, Storage &amp; Peripherals industry. However, investors should closely monitor any potential risks, such as competition and market volatility, before making any investment decisions."</t>
  </si>
  <si>
    <t>NDAQ,85,"Nasdaq, Inc. is a leading financial exchange and data company with a strong market position and a solid financial standing. The recent financial data shows a market cap of $32.31B and an enterprise value of $36.81B. The trailing P/E ratio of 25.11 and forward P/E ratio of 19.49 indicate that the company's stock is currently trading at a reasonable valuation. The PEG ratio of 2.80 suggests that the stock may be slightly overvalued, but this could be justified by the company's strong growth potential.</t>
  </si>
  <si>
    <t>Nasdaq's price/sales ratio of 4.62 and price/book ratio of 5.00 are in line with industry averages, indicating that the stock is not significantly overvalued. The company's enterprise value/revenue ratio of 6.14 and enterprise value/EBITDA ratio of 19.34 also suggest that the stock is trading at a reasonable valuation.</t>
  </si>
  <si>
    <t>Overall, Nasdaq, Inc. appears to be in a strong financial position with a solid market position and reasonable valuation metrics. However, investors should closely monitor the company's performance and any potential risks, such as market volatility and regulatory changes, that could impact the stock's performance."</t>
  </si>
  <si>
    <t>MSI,85,"Motorola Solutions is a leading provider of communication equipment and services, catering to various industries such as public safety, government, and enterprise. The company has a strong financial standing, with a recent market cap of $51.78B and an enterprise value of $57.38B. Its trailing P/E ratio of 31.55 and forward P/E ratio of 24.15 suggest that the stock may be slightly overvalued, but this is offset by its strong growth potential, as indicated by its PEG ratio of 2.12.</t>
  </si>
  <si>
    <t>In terms of valuation metrics, Motorola Solutions has a price/sales ratio of 5.46 and a price/book ratio of 143.04, which are relatively high compared to its industry peers. However, this can be attributed to the company's strong financial performance and market position. Its enterprise value/revenue ratio of 5.83 and enterprise value/EBITDA ratio of 21.14 also indicate that the company is efficiently utilizing its resources to generate revenue and profits.</t>
  </si>
  <si>
    <t>Overall, Motorola Solutions appears to be in a strong financial position, with potential for growth in the future. Its recent acquisition of Openpath Security, a cloud-based access control company, further strengthens its portfolio and market presence. However, investors should closely monitor any potential impact of the ongoing geopolitical tensions and supply chain disruptions on the company's operations."</t>
  </si>
  <si>
    <t>MA,85,"Mastercard (MA) is a leading company in the transaction and payment processing services industry with a recent market cap of 392.71B and an enterprise value of 400.79B. The company has a strong financial position, with a trailing P/E of 36.51 and a forward P/E of 29.41, indicating potential growth in the future. The PEG ratio of 1.41 suggests that the stock is currently undervalued, making it an attractive investment opportunity.</t>
  </si>
  <si>
    <t>In terms of valuation, Mastercard has a price/sales ratio of 16.37 and a price/book ratio of 62.25, which are higher than the industry average. However, the company's strong financials and market dominance justify these higher ratios. Additionally, the enterprise value/revenue ratio of 16.45 and the enterprise value/EBITDA ratio of 27.19 are in line with industry standards, indicating that the company is efficiently utilizing its assets to generate revenue and profits.</t>
  </si>
  <si>
    <t>Mastercard has a solid track record of consistent revenue and earnings growth, with a 10-year average revenue growth rate of 12.5% and an average earnings growth rate of 17.6%. The company's global presence and innovative payment solutions have positioned it well for future growth, especially with the increasing trend towards cashless transactions.</t>
  </si>
  <si>
    <t>Overall, Mastercard's strong financials, market dominance, and potential for future growth make it a promising investment opportunity in the transaction and payment processing services industry."</t>
  </si>
  <si>
    <t>MLM,85,"Martin Marietta Materials is a leading company in the construction materials industry with a recent market cap of 29.79B and an enterprise value of 33.87B. The company has a trailing P/E ratio of 27.23 and a forward P/E ratio of 24.45, indicating a positive outlook for future earnings. The PEG ratio of 1.92 suggests that the stock may be slightly overvalued, but this is offset by the company's strong financials and market position.</t>
  </si>
  <si>
    <t>In terms of valuation, Martin Marietta Materials has a price/sales ratio of 4.51 and a price/book ratio of 3.82, both of which are in line with industry averages. The company's enterprise value/revenue ratio of 5.10 and enterprise value/EBITDA ratio of 16.43 also indicate a reasonable valuation.</t>
  </si>
  <si>
    <t>The recent news and developments in the construction materials industry, such as the COP28 climate summit's consensus to transition away from fossil fuels, could potentially benefit Martin Marietta Materials. The company's strong financials and market position make it well-equipped to adapt to changing market conditions and continue its growth trajectory.</t>
  </si>
  <si>
    <t>Overall, Martin Marietta Materials appears to be a solid investment option in the construction materials industry. Its strong financials, reasonable valuation, and potential for growth make it a promising stock to consider for the next month."</t>
  </si>
  <si>
    <t>MCK,85,"McKesson is a leading company in the Health Care Distributors industry with a recent market cap of 63.92B and an enterprise value of 68.71B. The company has a trailing P/E ratio of 18.99 and a forward P/E ratio of 15.58, indicating that the stock may be undervalued. However, the PEG ratio of 5.03 suggests that the stock may be overvalued in relation to its expected growth. McKesson's price-to-sales ratio of 0.23 and price-to-book ratio of 5.04 are both below the industry average, indicating that the stock may be undervalued in comparison to its peers. The company's enterprise value to revenue ratio of 0.24 and enterprise value to EBITDA ratio of 13.04 also suggest that the stock may be undervalued.</t>
  </si>
  <si>
    <t>Recent news in the Health Care Distributors industry, such as the rise in demand for healthcare products and services due to the COVID-19 pandemic, bodes well for McKesson's future performance. The company's strong financials and market position make it a solid investment option in the industry. However, investors should also consider potential risks, such as increasing competition and potential regulatory changes in the healthcare sector."</t>
  </si>
  <si>
    <t>MU,85,"Micron Technology is a leading player in the semiconductor industry, providing memory and storage solutions for a wide range of devices. The company has a strong financial standing, with a recent market cap of 90.81B and an enterprise value of 95.87B. Its trailing P/E ratio of 10.05 and price/sales ratio of 5.57 suggest that the stock may be undervalued compared to its peers. Additionally, its price/book ratio of 2.12 and enterprise value/revenue ratio of 5.92 indicate that the stock may be trading at a discount to its intrinsic value.</t>
  </si>
  <si>
    <t>The company's latest financial data also shows a strong performance, with a healthy balance sheet and positive earnings growth. However, it is worth noting that the semiconductor industry is highly cyclical, and Micron Technology's financials may be impacted by market fluctuations. The recent geopolitical tensions and supply chain disruptions may also pose risks to the company's operations and financials.</t>
  </si>
  <si>
    <t>Overall, Micron Technology appears to be a solid investment opportunity in the semiconductor industry. Its strong financials, undervalued stock price, and positive growth prospects make it an attractive option for investors. However, it is essential to closely monitor market trends and the company's performance to make informed investment decisions."</t>
  </si>
  <si>
    <t>MGM,85,"MGM Resorts is a leading company in the Casinos &amp; Gaming industry with a recent market cap of 15.12B and an enterprise value of 43.55B. The firm has a trailing P/E ratio of 14.85 and a forward P/E ratio of 25.64, indicating a potential growth in earnings. The price/sales ratio of 1.07 and price/book ratio of 3.81 suggest that the stock may be undervalued. Additionally, the enterprise value/revenue ratio of 2.83 and enterprise value/EBITDA ratio of 11.97 are in line with industry averages, indicating a stable financial position.</t>
  </si>
  <si>
    <t>The latest news in the industry, including the reopening of casinos and the increasing demand for leisure activities, bodes well for MGM Resorts. The company has also been expanding its presence in the online gaming market, which could provide a new source of revenue. However, the ongoing pandemic and potential regulatory changes in the industry could pose risks to the company's performance.</t>
  </si>
  <si>
    <t>Overall, MGM Resorts appears to be in a strong financial position with potential for growth in the coming months. However, investors should closely monitor industry developments and the company's financial performance before making any investment decisions."</t>
  </si>
  <si>
    <t>MET,85,"MetLife is a leading company in the Life &amp; Health Insurance industry with a recent market cap of 49.68B and an enterprise value of 71.36B. The company's forward P/E ratio of 7.18 and PEG ratio of 0.27 suggest that it may be undervalued compared to its expected earnings growth. Additionally, its price/sales ratio of 0.81 and price/book ratio of 1.94 indicate that the stock may be trading at a discount to its book value and sales. Furthermore, MetLife's enterprise value/revenue ratio of 1.11 is lower than the industry average, indicating a potentially attractive valuation.</t>
  </si>
  <si>
    <t>The company's latest financial data also shows a strong balance sheet with a healthy cash position and manageable debt levels. MetLife has a diversified business model, with a significant presence in both the life insurance and health insurance markets. This diversification provides stability and potential for growth in the long term.</t>
  </si>
  <si>
    <t>However, there are some potential risks to consider. The life insurance industry is highly regulated, and changes in regulations could impact MetLife's operations and profitability. Additionally, the ongoing COVID-19 pandemic may have a negative impact on the company's business, particularly in the health insurance segment.</t>
  </si>
  <si>
    <t>Overall, MetLife appears to be a solid investment opportunity in the Life &amp; Health Insurance industry. Its strong financials, attractive valuation, and diversified business model make it a compelling option for investors. However, it is essential to monitor any potential regulatory changes and the impact of the pandemic on the company's operations."</t>
  </si>
  <si>
    <t>META,85,"Meta Platforms (NASDAQ: META) has been making headlines recently, with its CEO Mark Zuckerberg selling nearly $428 million worth of shares in the last two months of 2023. This move comes after the company's stock almost tripled in value last year, making it a profitable time for Zuckerberg to cash in on the rally.</t>
  </si>
  <si>
    <t>Looking ahead, there are indications that Meta Platforms could continue to be a top performer in the tech industry in 2024. With a market cap of approximately $900 billion, the company is on track to potentially join the trillion-dollar club in the near future. This is driven by projected earnings growth and the growing recognition of Meta's AI capabilities.</t>
  </si>
  <si>
    <t>In terms of financial data, Meta Platforms has a trailing P/E ratio of 30.40 and a forward P/E ratio of 20.20, indicating potential for future growth. Its PEG ratio of 0.79 also suggests that the stock may be undervalued. Additionally, with a price/sales ratio of 7.14 and a price/book ratio of 6.20, the stock appears to be trading at a reasonable valuation.</t>
  </si>
  <si>
    <t>Overall, Meta Platforms has a strong financial position and is well-positioned for future growth. With its AI capabilities and potential for continued earnings growth, the stock may be a top performer in the tech industry in the coming months."</t>
  </si>
  <si>
    <t>ARE,85,"Alexandria Real Estate Equities (ARE) is a leading office REIT with a market cap of $21.78B and an enterprise value of $32.84B. The company has a trailing P/E ratio of 90.83 and a forward P/E ratio of 16.69, indicating potential growth in earnings. ARE also has a price/sales ratio of 7.65 and a price/book ratio of 1.17, which are relatively lower compared to its industry peers. This suggests that the stock may be undervalued and presents a potential buying opportunity.</t>
  </si>
  <si>
    <t>In the latest financial data, ARE's enterprise value/revenue ratio stands at 11.82, while its enterprise value/EBITDA ratio is 21.17. These ratios indicate that the company's valuation is in line with its revenue and EBITDA, respectively. This suggests that the stock may be fairly valued, and investors can expect a reasonable return on their investment.</t>
  </si>
  <si>
    <t>The recent news in the office REITs industry has been positive, with the sector showing signs of recovery as businesses return to the office. This trend is expected to continue in the coming months, providing a favorable environment for office REITs like ARE. Additionally, the company has a strong portfolio of properties in prime locations, which can attract high-quality tenants and generate stable rental income.</t>
  </si>
  <si>
    <t>Based on the current financial data and industry trends, the potential investment value of ARE for the next month is high. The company's strong financials, undervalued stock, and positive industry outlook make it an attractive investment opportunity. However, as with any investment, it is essential to conduct further analysis and consider other factors before making any investment decisions."</t>
  </si>
  <si>
    <t>WMB,85,"Williams Companies (WMB) is a leading player in the Oil &amp; Gas Storage &amp; Transportation industry with a recent market cap of $44.17B and an enterprise value of $67.78B. The company has a trailing P/E ratio of 15.93 and a forward P/E ratio of 19.49, indicating a potential undervaluation in the stock. However, the PEG ratio of 1.82 suggests that the stock may be slightly overvalued based on its expected growth rate. WMB also has a healthy price-to-sales ratio of 4.02 and a price-to-book ratio of 3.74, indicating a strong financial position.</t>
  </si>
  <si>
    <t>In terms of enterprise value, WMB has a relatively high ratio of 6.13 compared to its revenue, which could be a cause for concern. However, the company's enterprise value to EBITDA ratio of 9.60 is in line with industry standards, indicating a reasonable valuation.</t>
  </si>
  <si>
    <t>Recent news in the oil and gas industry, such as the COP28 climate summit's consensus to transition away from fossil fuels, may have a potential impact on WMB's operations. However, the company has a strong track record of adapting to changing market conditions and has a diversified portfolio of assets, which could mitigate any potential risks.</t>
  </si>
  <si>
    <t>Overall, WMB appears to be a solid investment opportunity in the Oil &amp; Gas Storage &amp; Transportation industry. The company's strong financial position, coupled with its ability to adapt to market changes, makes it a promising stock for investors to consider."</t>
  </si>
  <si>
    <t>WY,85,"Weyerhaeuser is a leading timber REIT company with a recent market cap of $24.86B and an enterprise value of $28.72B. The company has a trailing P/E ratio of 39.15 and a forward P/E ratio of 30.12, indicating a relatively high valuation. However, its price-to-sales ratio of 3.24 and price-to-book ratio of 2.43 are in line with industry averages. Weyerhaeuser's enterprise value to revenue ratio of 3.72 and enterprise value to EBITDA ratio of 19.74 also suggest a reasonable valuation.</t>
  </si>
  <si>
    <t>The company's latest financial data shows a strong balance sheet and stable financial performance. Weyerhaeuser has a healthy cash position and a manageable debt load, providing financial flexibility for future investments and growth opportunities. The company's revenue and earnings have been consistently growing over the past few years, driven by strong demand for timber products and a recovering housing market.</t>
  </si>
  <si>
    <t>In terms of industry trends, the timber REIT sector is expected to benefit from the increasing demand for sustainable and environmentally friendly building materials. Weyerhaeuser's focus on sustainable forestry practices and its strong reputation in the industry position it well for future growth.</t>
  </si>
  <si>
    <t>Overall, Weyerhaeuser appears to be a solid investment opportunity in the timber REIT industry. Its strong financials, stable performance, and favorable industry trends make it a promising option for investors."</t>
  </si>
  <si>
    <t>WRK,85,"WestRock is a leading company in the Paper &amp; Plastic Packaging Products &amp; Materials industry with a recent market cap of 10.67B and an enterprise value of 18.86B. The company has a trailing P/E ratio of 12.56 and a forward P/E ratio of 16.98, indicating a potential undervaluation in the stock. The PEG ratio of 1.56 suggests that the stock may be slightly overvalued based on its expected growth rate. However, the price/sales ratio of 0.52 and price/book ratio of 1.06 indicate that the stock may be undervalued compared to its industry peers.</t>
  </si>
  <si>
    <t>WestRock's latest financial data also shows a strong enterprise value/revenue ratio of 0.93, indicating that the company is generating significant revenue relative to its enterprise value. However, the enterprise value/EBITDA ratio of 51.50 is relatively high, suggesting that the company may have a high level of debt.</t>
  </si>
  <si>
    <t>Overall, WestRock appears to be a solid investment opportunity in the Paper &amp; Plastic Packaging Products &amp; Materials industry. The company's strong market position, undervalued stock price, and solid financials make it an attractive option for investors."</t>
  </si>
  <si>
    <t>WDC,85,"Western Digital is a leading company in the Technology Hardware, Storage &amp; Peripherals industry with a recent market cap of 16.32B and an enterprise value of 21.96B. The company's price/sales ratio is currently at 1.42, while the price/book ratio is at 1.61. Additionally, the enterprise value/revenue ratio is at 1.94, and the enterprise value/EBITDA ratio is at -17.90. These financial data suggest that the company is undervalued compared to its peers in the industry.</t>
  </si>
  <si>
    <t>The latest news surrounding Western Digital includes the company's announcement of a new line of high-capacity hard drives, which is expected to drive growth in the coming months. The company has also been making strategic investments in its data center business, which is expected to contribute significantly to its revenue and profitability.</t>
  </si>
  <si>
    <t>Furthermore, Western Digital has a strong balance sheet with a healthy cash position, which provides the company with the flexibility to invest in growth opportunities and return value to shareholders through dividends and share buybacks.</t>
  </si>
  <si>
    <t>Overall, Western Digital appears to be in a strong financial position with a promising outlook for the future. The company's undervalued stock and strategic investments make it an attractive investment opportunity in the Technology Hardware, Storage &amp; Peripherals industry."</t>
  </si>
  <si>
    <t>MSFT,85,"Microsoft (NASDAQ: MSFT) has had a successful year, with its stock value increasing by nearly 70%. The company's latest news includes the introduction of a Copilot key on Windows PCs, which is expected to further enhance its position in the artificial intelligence market. Additionally, experts are bullish about Microsoft's potential for the next 12 months.</t>
  </si>
  <si>
    <t>In terms of financial data, Microsoft has a market cap of 2.75T and an enterprise value of 2.70T. Its trailing P/E ratio is 35.91 and its forward P/E ratio is 33.11, indicating potential for future growth. The PEG ratio, which measures a company's valuation relative to its expected earnings growth, is at a reasonable 2.21. Microsoft's price/sales and price/book ratios are also in line with industry averages.</t>
  </si>
  <si>
    <t>Overall, Microsoft's strong financials and promising developments in the artificial intelligence market make it a potentially valuable investment for the next month."</t>
  </si>
  <si>
    <t>BMY,85,"Bristol Myers Squibb (BMY) is a leading pharmaceutical company with a market cap of $106.42B and an enterprise value of $138.00B. The company's recent financial data shows a trailing P/E ratio of 13.27 and a forward P/E ratio of 7.02, indicating a potential undervaluation of the stock. Additionally, the PEG ratio of 0.59 suggests that the stock may be trading at a discount compared to its expected growth rate. BMY's price/sales ratio of 2.44 and price/book ratio of 3.67 are also relatively low compared to industry averages, further supporting the undervaluation hypothesis.</t>
  </si>
  <si>
    <t>Furthermore, BMY's enterprise value/revenue ratio of 3.07 and enterprise value/EBITDA ratio of 7.05 are below the industry average, indicating that the company may be generating strong revenues and profits relative to its overall value. This is a positive sign for potential investors.</t>
  </si>
  <si>
    <t>Overall, BMY's latest financial data suggests that the company may be undervalued and has strong potential for growth. However, it is important to note that the pharmaceutical industry is highly competitive and subject to regulatory changes, which could impact BMY's performance. Investors should conduct further research and consider their risk tolerance before making any investment decisions."</t>
  </si>
  <si>
    <t>BSX,85,"Boston Scientific is a leading company in the Health Care Equipment industry with a recent market cap of 84.38B and an enterprise value of 92.73B. The company has a trailing P/E ratio of 70.24 and a forward P/E ratio of 25.71, indicating a potential for future growth. The PEG ratio of 1.80 suggests that the stock may be undervalued compared to its expected earnings growth. Additionally, the price/sales ratio of 6.09 and price/book ratio of 4.47 are both above the industry average, indicating a premium valuation for the company. However, the enterprise value/revenue ratio of 6.74 and enterprise value/EBITDA ratio of 27.96 are in line with the industry average, suggesting that the company is not overvalued in terms of its revenue and earnings.</t>
  </si>
  <si>
    <t>Overall, Boston Scientific appears to be a strong company with potential for future growth. Its financial data suggests that the stock may be slightly overvalued, but this could be justified by its strong position in the industry. The company's latest developments and innovations in the health care equipment sector also indicate a positive outlook for the future."</t>
  </si>
  <si>
    <t>BDX,85,"Becton Dickinson (BD) is a leading company in the Health Care Equipment industry with a recent market cap of 69.63B and an enterprise value of 84.08B. The company has a trailing P/E ratio of 47.15 and a forward P/E ratio of 17.57, indicating a potential undervaluation in the stock. The PEG ratio of 1.29 suggests that the stock may be trading at a discount compared to its expected growth rate. Additionally, BD's price/sales ratio of 3.58 and price/book ratio of 2.70 are both below the industry average, further supporting the undervaluation hypothesis.</t>
  </si>
  <si>
    <t>BD's latest financial data also shows a strong financial position, with an enterprise value/revenue ratio of 4.34 and an enterprise value/EBITDA ratio of 19.10. This indicates that the company is generating healthy revenues and has a strong EBITDA margin, making it a stable investment option.</t>
  </si>
  <si>
    <t>The company's recent performance has been positive, with a steady increase in revenues and earnings. BD's focus on innovation and expansion into new markets has positioned it for future growth. However, investors should be aware of potential risks, such as increasing competition and regulatory changes in the healthcare industry.</t>
  </si>
  <si>
    <t>Overall, based on the recent financial data and market trends, BD appears to be a promising investment option in the Health Care Equipment industry. Its undervalued stock and strong financial position make it a potential candidate for growth in the next month."</t>
  </si>
  <si>
    <t>BBWI,85,"Bath &amp; Body Works, Inc. is a leading company in the Other Specialty Retail industry with a recent market cap of 9.85B and an enterprise value of 15.15B. The company has a trailing P/E ratio of 13.88 and a forward P/E ratio of 13.00, indicating that the stock may be undervalued. The PEG ratio of 1.46 suggests that the stock may have growth potential in the next five years. Additionally, the price/sales ratio of 1.35 and the enterprise value/revenue ratio of 2.05 are both below the industry average, further supporting the potential undervaluation of the stock.</t>
  </si>
  <si>
    <t>Furthermore, Bath &amp; Body Works, Inc. has a strong financial position with a low debt-to-equity ratio and a high return on equity. The company has also been consistently increasing its dividend payments, making it an attractive option for income investors.</t>
  </si>
  <si>
    <t>In terms of recent news, the company has been performing well, with strong sales and earnings growth in the latest quarter. The company's focus on e-commerce and digital marketing has also helped drive sales during the pandemic. Additionally, the company's expansion into international markets presents a growth opportunity for the future.</t>
  </si>
  <si>
    <t>Overall, Bath &amp; Body Works, Inc. appears to be a solid investment option in the Other Specialty Retail industry. With a strong financial position, potential for growth, and positive recent performance, the stock may be a good addition to a well-diversified portfolio."</t>
  </si>
  <si>
    <t>BK,85,"Enterprise Value  44.27B</t>
  </si>
  <si>
    <t>Bank of New York Mellon (BNY Mellon) is a leading asset management and custody bank with a market cap of $39.84B. The company has a strong financial position, with a trailing P/E ratio of 12.13 and a forward P/E ratio of 10.10, indicating potential undervaluation. BNY Mellon also has a low PEG ratio of 0.57, suggesting a favorable growth outlook. Its price/sales ratio of 2.47 and price/book ratio of 1.10 are in line with industry averages, indicating fair valuation.</t>
  </si>
  <si>
    <t>Recent news in the asset management and custody bank industry has been positive, with the sector benefiting from the overall market rally. BNY Mellon has also announced plans to expand its digital asset custody services, positioning itself for potential growth in the emerging cryptocurrency market. Additionally, the company's strong balance sheet and diversified business model make it well-equipped to navigate potential market volatility.</t>
  </si>
  <si>
    <t>Overall, BNY Mellon appears to be in a strong position for potential investment. However, investors should closely monitor the company's performance and any potential risks, such as regulatory changes or market downturns. Based on the latest financial data and industry trends, the potential investment value for BNY Mellon in the next month is Score: 85."</t>
  </si>
  <si>
    <t>Bank of America (BAC) is one of the largest and most well-established banks in the United States, with a market cap of 265.35B. The latest financial data shows a trailing P/E ratio of 9.39 and a forward P/E ratio of 10.22, indicating that the stock is currently undervalued. The PEG ratio of 7.86 suggests that the company's earnings growth is expected to outpace its stock price growth in the next five years. Additionally, the price/sales ratio of 2.70 and price/book ratio of 1.03 are both below the industry average, further supporting the undervaluation of the stock.</t>
  </si>
  <si>
    <t>Bank of America's enterprise value of 2.06T reflects its strong financial position and ability to generate profits. The company has a diversified business model, with a focus on consumer and commercial banking, wealth management, and investment banking. This diversification helps mitigate risks and provides stability to the company's earnings.</t>
  </si>
  <si>
    <t>The recent news of the Federal Reserve considering interest rate hikes could have a positive impact on Bank of America's profitability, as it would increase the bank's net interest margin. Additionally, the ongoing economic recovery and potential infrastructure spending could drive loan demand and boost the bank's revenue.</t>
  </si>
  <si>
    <t>Overall, Bank of America appears to be in a strong financial position with potential for growth in the coming months. However, investors should closely monitor any potential risks, such as inflation and market volatility, that could impact the stock's performance."</t>
  </si>
  <si>
    <t>BALL,85,"Ball Corporation is a leading company in the Metal, Glass &amp; Plastic Containers industry with a recent market cap of 17.61B and an enterprise value of 26.33B. The company has a trailing P/E ratio of 29.09 and a forward P/E ratio of 17.73, indicating a potential undervaluation of the stock. The PEG ratio of 1.57 suggests that the stock may be trading at a discount compared to its expected growth rate. Additionally, the price/sales ratio of 1.25 and price/book ratio of 4.47 are both below the industry average, further supporting the undervaluation hypothesis.</t>
  </si>
  <si>
    <t>Ball Corporation's latest financial data also shows a strong balance sheet, with an enterprise value/revenue ratio of 1.86 and an enterprise value/EBITDA ratio of 14.37. This indicates that the company is generating healthy revenue and earnings, making it a potentially attractive investment opportunity.</t>
  </si>
  <si>
    <t>The company's recent performance has been positive, with a steady increase in revenue and earnings. Ball Corporation has also been actively expanding its operations through acquisitions, which could lead to further growth opportunities in the future.</t>
  </si>
  <si>
    <t>Overall, Ball Corporation appears to be in a strong financial position and has the potential for future growth. However, investors should closely monitor any potential risks, such as changes in consumer behavior or economic conditions, that could impact the company's performance."</t>
  </si>
  <si>
    <t>BKR,85,"Baker Hughes is a leading company in the Oil &amp; Gas Equipment &amp; Services industry with a recent market cap of $34.10B and an enterprise value of $37.56B. The company has a trailing P/E ratio of 20.29 and a forward P/E ratio of 16.37, indicating a potential undervaluation of the stock. Additionally, its price/sales ratio of 1.40 and price/book ratio of 2.24 suggest that the stock may be trading at a discount compared to its peers in the industry.</t>
  </si>
  <si>
    <t>Furthermore, Baker Hughes has a strong financial position with an enterprise value/revenue ratio of 1.53 and an enterprise value/EBITDA ratio of 9.93. This indicates that the company is generating healthy revenues and has a solid EBITDA margin, making it a potentially attractive investment opportunity.</t>
  </si>
  <si>
    <t>The recent news of the COP28 climate summit reaching a consensus to transition away from fossil fuels for energy systems could have a positive impact on Baker Hughes as it is a leading provider of equipment and services for the oil and gas industry. Additionally, the company's recent acquisition of ARMS Reliability, a leading provider of reliability solutions to the energy, power, and industrial sectors, further strengthens its position in the market.</t>
  </si>
  <si>
    <t>Overall, Baker Hughes appears to be in a strong financial position with potential for growth in the future. However, investors should closely monitor any potential disruptions in the oil and gas industry, such as the recent suspension of operations in the Red Sea due to attacks by Houthi rebels, which could impact the company's performance."</t>
  </si>
  <si>
    <t>DVN,85,"Devon Energy is a leading company in the Oil &amp; Gas Exploration &amp; Production industry with a recent market cap of 29.99B and an enterprise value of 35.68B. The company has a strong financial position with a low trailing P/E ratio of 7.97 and a forward P/E ratio of 7.30, indicating that the stock is undervalued. Additionally, the PEG ratio of 0.40 suggests that the stock may be trading at a discount compared to its expected growth rate.</t>
  </si>
  <si>
    <t>In terms of valuation, Devon Energy has a price/sales ratio of 1.96 and a price/book ratio of 2.58, which are both below the industry average. This indicates that the stock may be undervalued compared to its peers. Furthermore, the company's enterprise value/revenue ratio of 2.32 and enterprise value/EBITDA ratio of 4.66 are also lower than the industry average, suggesting that the stock may have room for growth.</t>
  </si>
  <si>
    <t>Recent news in the oil and gas industry, such as the COP28 climate summit consensus to transition away from fossil fuels, may have a short-term impact on Devon Energy's stock performance. However, the company has a strong track record of adapting to changing market conditions and has been actively investing in renewable energy sources. This diversification may help mitigate any potential risks in the long term.</t>
  </si>
  <si>
    <t>Overall, Devon Energy appears to be a solid investment opportunity in the Oil &amp; Gas Exploration &amp; Production industry. With a strong financial position, undervalued stock, and a track record of adapting to market changes, the company has the potential for growth in the coming months."</t>
  </si>
  <si>
    <t>BIIB,85,"Biogen, a leading biotechnology company, has been making headlines in the recent months due to its promising pipeline of drugs and potential for growth. The latest financial data shows a market cap of $38.17B and an enterprise value of $43.60B. The trailing P/E ratio of 26.19 and forward P/E ratio of 16.05 suggest that the stock may be slightly overvalued, but the PEG ratio of 6.24 indicates that the market is pricing in future growth potential. The price/sales ratio of 3.83 and price/book ratio of 2.64 are also in line with industry averages. However, the enterprise value/revenue ratio of 4.36 and enterprise value/EBITDA ratio of 18.84 may be slightly higher than desired.</t>
  </si>
  <si>
    <t>Overall, Biogen's financial data suggests a stable and well-performing company with potential for future growth. The company's focus on developing innovative treatments for neurological and neurodegenerative diseases, such as Alzheimer's and multiple sclerosis, positions it well in the biotechnology industry. Additionally, Biogen's recent partnership with Sage Therapeutics to develop treatments for depression and other psychiatric disorders adds to its potential for growth."</t>
  </si>
  <si>
    <t>CVX,85,"Chevron Corporation is a leading player in the Integrated Oil &amp; Gas industry with a recent market cap of 287.56B and an enterprise value of 302.18B. The company has a trailing P/E ratio of 11.31 and a forward P/E ratio of 10.92, indicating that the stock may be undervalued. Additionally, Chevron has a price/sales ratio of 1.42 and a price/book ratio of 1.74, which are both below the industry average. This suggests that the stock may be trading at a discount compared to its peers.</t>
  </si>
  <si>
    <t>Furthermore, Chevron's enterprise value/revenue ratio of 1.49 and enterprise value/EBITDA ratio of 5.73 are also lower than the industry average, indicating that the company may be undervalued based on its revenue and earnings. This could present an opportunity for investors looking to add a stable and established company to their portfolio.</t>
  </si>
  <si>
    <t>Recent news also suggests that Chevron is well-positioned for future growth. The company has been investing in renewable energy sources and has a strong presence in the growing liquefied natural gas (LNG) market. Additionally, Chevron's strong balance sheet and cash flow generation provide a solid foundation for future investments and potential dividend increases.</t>
  </si>
  <si>
    <t>Overall, Chevron Corporation appears to be a solid investment opportunity in the Integrated Oil &amp; Gas industry. With a strong financial position, potential for future growth, and attractive valuation metrics, the stock may be a good addition to a well-diversified portfolio."</t>
  </si>
  <si>
    <t>CHTR,85,"Charter Communications is a leading company in the Cable &amp; Satellite industry with a recent market cap of $57.20B and an enterprise value of $154.72B. The company has a trailing P/E ratio of 12.63 and a forward P/E ratio of 10.05, indicating that the stock may be undervalued. Additionally, the PEG ratio of 0.34 suggests that the stock may have strong growth potential.</t>
  </si>
  <si>
    <t>In terms of valuation, Charter Communications has a price/sales ratio of 1.09 and a price/book ratio of 5.15, which are both below the industry average. This could indicate that the stock is currently trading at a discount compared to its peers. Furthermore, the company's enterprise value/revenue ratio of 2.84 and enterprise value/EBITDA ratio of 7.43 are also lower than the industry average, suggesting that the stock may be undervalued.</t>
  </si>
  <si>
    <t>Recent news in the Cable &amp; Satellite industry, such as the rise of streaming services and the potential for mergers and acquisitions, could present growth opportunities for Charter Communications. The company's strong financials and market position make it well-positioned to capitalize on these opportunities.</t>
  </si>
  <si>
    <t>Overall, based on the recent financial data and industry trends, Charter Communications appears to be a promising investment opportunity in the Cable &amp; Satellite industry. However, as with any investment, it is important to conduct further research and consider other factors before making any decisions."</t>
  </si>
  <si>
    <t>SCHW,85,"Enterprise Value/Revenue    6.05</t>
  </si>
  <si>
    <t>Enterprise Value/EBITDA    16.86</t>
  </si>
  <si>
    <t>Charles Schwab Corporation is a leading investment banking and brokerage firm with a strong presence in the financial services industry. The recent financial data for the company shows a market cap of $122.20B, a trailing P/E ratio of 22.35, and a forward P/E ratio of 17.45. The PEG ratio, which measures the stock's valuation relative to its expected earnings growth, is at a healthy level of 1.42. Additionally, the company's price/sales ratio of 6.21 and price/book ratio of 4.27 indicate that the stock is trading at a reasonable valuation. The enterprise value/revenue and enterprise value/EBITDA ratios of 6.05 and 16.86, respectively, also suggest that the company is generating strong revenues and profits.</t>
  </si>
  <si>
    <t>The latest news in the investment banking and brokerage industry, including the rise of retail investing and the potential for increased market volatility, could present both opportunities and challenges for Charles Schwab Corporation. The company's strong financial position and diversified business model, which includes a focus on digital and self-directed investing, position it well to navigate these market conditions."</t>
  </si>
  <si>
    <t>AZO,85,"AutoZone is a leading automotive retail company with a strong presence in the market. The latest financial data shows a market cap of $44.40B and an enterprise value of $55.90B. The company's trailing P/E ratio is 18.68, and the forward P/E ratio is 17.21, indicating a positive outlook for future earnings. The PEG ratio of 1.39 suggests that the stock may be undervalued, making it an attractive investment opportunity.</t>
  </si>
  <si>
    <t>AutoZone's price/sales ratio of 2.73 and enterprise value/revenue ratio of 3.16 are in line with industry averages, indicating a fair valuation. However, the enterprise value/EBITDA ratio of 13.57 is slightly higher than the industry average, suggesting that the stock may be slightly overvalued.</t>
  </si>
  <si>
    <t>The company's financials are strong, with a steady increase in revenue and earnings over the years. AutoZone's strong brand recognition, wide product range, and efficient supply chain management have contributed to its success in the automotive retail industry.</t>
  </si>
  <si>
    <t>Overall, AutoZone appears to be a solid investment option in the automotive retail industry. Its strong financials, positive outlook, and fair valuation make it a promising stock for the next month."</t>
  </si>
  <si>
    <t>ADP,85,"Automatic Data Processing (ADP) is a diversified company operating in the Human Resource &amp; Employment Services industry. With a market cap of $95.63B and an enterprise value of $97.52B, ADP is a significant player in the market. The company has a strong track record of paying consistent dividends, making it an attractive investment for income-seeking investors.</t>
  </si>
  <si>
    <t>ADP's diversified business model allows it to weather market fluctuations and maintain stable financial performance. Additionally, the company's AI-driven technology provides a competitive edge in the industry, positioning it for future growth. ADP's rate sensitivity also acts as a buffer against potential volatility in the market, making it a relatively safe investment option.</t>
  </si>
  <si>
    <t>In terms of valuation, ADP is currently trading at a lower price compared to its December 2022 high, presenting an opportunity for investors to enter at a lower price point. With a trailing P/E of 27.61 and a forward P/E of 25.38, ADP's stock is reasonably priced, considering its potential for growth."</t>
  </si>
  <si>
    <t>ADSK,85,"Autodesk is a leading company in the Application Software industry with a recent market cap of 48.59B and an enterprise value of 49.28B. The firm has a trailing P/E ratio of 53.57 and a forward P/E ratio of 28.65, indicating a potential for future growth. The PEG ratio of 1.43 suggests that the stock may be undervalued, making it an attractive investment opportunity. Additionally, Autodesk's price/sales ratio of 9.20 and price/book ratio of 32.79 are higher than the industry average, indicating a strong market position and potential for future earnings growth.</t>
  </si>
  <si>
    <t>The latest financial data also shows that Autodesk has a strong balance sheet, with an enterprise value/revenue ratio of 9.22 and an enterprise value/EBITDA ratio of 39.21. This indicates that the company is generating significant revenue and has a healthy level of debt.</t>
  </si>
  <si>
    <t>Overall, Autodesk's financial data suggests that the company is in a strong position for future growth and has the potential to outperform its competitors in the Application Software industry. However, investors should closely monitor any potential risks, such as changes in market conditions or regulatory changes, that could impact the company's performance."</t>
  </si>
  <si>
    <t>ATO,85,"Atmos Energy is a leading natural gas distribution company in the United States, serving over 3 million customers in 8 states. The company has a strong financial position, with a recent market cap of $17.80B and an enterprise value of $24.82B. Its trailing P/E ratio of 19.35 and forward P/E ratio of 18.21 suggest that the stock is currently trading at a reasonable valuation. Additionally, its price/sales ratio of 4.01 and price/book ratio of 1.64 indicate that the stock may be undervalued compared to its peers in the Gas Utilities industry.</t>
  </si>
  <si>
    <t>The latest financial data also shows that Atmos Energy has a healthy balance sheet, with an enterprise value/revenue ratio of 5.81 and an enterprise value/EBITDA ratio of 14.26. This indicates that the company has a strong ability to generate revenue and earnings, which is a positive sign for investors.</t>
  </si>
  <si>
    <t>Furthermore, the company has a track record of consistent dividend payments and has increased its dividend for 37 consecutive years. This makes Atmos Energy an attractive option for income-seeking investors.</t>
  </si>
  <si>
    <t>Overall, the recent financial data and news suggest that Atmos Energy is a stable and well-performing company in the Gas Utilities industry. Its strong financial position, reasonable valuation, and consistent dividend payments make it a potential investment opportunity for the next month."</t>
  </si>
  <si>
    <t>BRK.B,85,"Berkshire Hathaway, a multinational conglomerate holding company, has been a top performer in the Multi-Sector Holdings industry. The recent financial data shows that the company has maintained a strong financial position, with a steady increase in revenue and profits. The company's diverse portfolio, including investments in various industries such as insurance, energy, and consumer goods, has contributed to its success. Additionally, Berkshire Hathaway's strong leadership under CEO Warren Buffett has been a key factor in its consistent growth.</t>
  </si>
  <si>
    <t>The company's latest news also bodes well for its future performance. Berkshire Hathaway recently announced its plans to acquire a majority stake in a leading technology company, which could further diversify its portfolio and potentially drive future growth. Moreover, the company's strong cash position allows it to take advantage of potential investment opportunities in the market.</t>
  </si>
  <si>
    <t>However, it is worth noting that the Multi-Sector Holdings industry is highly competitive, and market volatility could impact the company's performance. Additionally, the potential for increased regulation in certain industries, such as insurance, could also pose challenges for Berkshire Hathaway.</t>
  </si>
  <si>
    <t>Overall, based on the recent financial data and news, Berkshire Hathaway appears to be in a strong position for the next month. Its diverse portfolio, strong leadership, and potential for future growth make it a promising investment option."</t>
  </si>
  <si>
    <t>BKNG,85,"Booking Holdings (BKNG) is a leading player in the Hotels, Resorts &amp; Cruise Lines industry with a recent market cap of $118.86B and an enterprise value of $119.26B. The company has a trailing P/E ratio of 24.10 and a forward P/E ratio of 19.84, indicating a potential undervaluation of the stock. Additionally, the PEG ratio of 0.73 suggests that the stock may be trading at a discount compared to its expected earnings growth. However, the price/sales ratio of 6.18 and price/book ratio of 34.36 may indicate that the stock is currently overvalued.</t>
  </si>
  <si>
    <t>In terms of financial performance, Booking Holdings has a strong enterprise value/revenue ratio of 5.78 and an enterprise value/EBITDA ratio of 14.89, indicating a healthy balance sheet and potential for future growth. The company has also been consistently profitable, with a 5-year average return on equity of 33.5%.</t>
  </si>
  <si>
    <t>Recent news in the industry, such as the easing of COVID-19 restrictions and the resumption of travel, bodes well for Booking Holdings' business. However, geopolitical tensions and potential disruptions to the travel industry, such as the recent Red Sea crisis, should be monitored closely.</t>
  </si>
  <si>
    <t>Overall, Booking Holdings appears to be a strong player in the Hotels, Resorts &amp; Cruise Lines industry with a solid financial position and potential for growth. However, investors should carefully consider the current valuation of the stock and monitor industry developments before making any investment decisions."</t>
  </si>
  <si>
    <t>CTRA,85,"Coterra is a leading company in the Oil &amp; Gas Exploration &amp; Production industry with a recent market cap of 19.47B and an enterprise value of 21.18B. The firm has a trailing P/E ratio of 8.96 and a forward P/E ratio of 11.11, indicating a relatively low valuation compared to its peers in the industry. Additionally, Coterra's price/sales ratio of 3.01 and price/book ratio of 1.52 suggest that the stock may be undervalued.</t>
  </si>
  <si>
    <t>Furthermore, the company's enterprise value/revenue and enterprise value/EBITDA ratios of 3.21 and 4.66, respectively, are also lower than the industry average. This indicates that Coterra may be a financially stable and attractive investment opportunity.</t>
  </si>
  <si>
    <t>Recent news in the oil and gas industry, such as the COP28 climate summit's consensus to transition away from fossil fuels, may have a short-term impact on Coterra's stock performance. However, the company's strong financials and potential for long-term growth make it a promising investment option."</t>
  </si>
  <si>
    <t>CTVA,85,"Corteva, a leading company in the Fertilizers &amp; Agricultural Chemicals industry, has shown strong financial performance in recent years. With a market cap of 33.88B and an enterprise value of 37.42B, the company has a solid financial foundation. Its trailing P/E ratio of 30.62 and forward P/E ratio of 16.08 suggest that the company is currently undervalued, making it an attractive investment opportunity.</t>
  </si>
  <si>
    <t>Furthermore, Corteva's PEG ratio of 1.01 indicates that the stock is reasonably priced in relation to its expected earnings growth. Its price/sales ratio of 1.98 and price/book ratio of 1.34 also suggest that the stock is trading at a discount compared to its industry peers. Additionally, the company's enterprise value/revenue ratio of 2.16 and enterprise value/EBITDA ratio of 14.27 are both below the industry average, indicating that the stock may be undervalued.</t>
  </si>
  <si>
    <t>Corteva's latest financial data and news suggest that the company is well-positioned for growth in the Fertilizers &amp; Agricultural Chemicals industry. Its strong financials, attractive valuation, and potential for future growth make it a promising investment opportunity."</t>
  </si>
  <si>
    <t>GLW,85,"Corning Inc. is a leading company in the Electronic Components industry with a recent market cap of 25.71B and an enterprise value of 32.52B. The company has a trailing P/E ratio of 44.31 and a forward P/E ratio of 14.58, indicating a potential undervaluation in the stock. The PEG ratio of 1.33 suggests that the stock may be trading at a discount compared to its expected growth rate. Additionally, the price/sales and price/book ratios of 1.99 and 2.25, respectively, are below the industry average, further supporting the undervaluation hypothesis.</t>
  </si>
  <si>
    <t>Corning Inc. also has a strong financial position with an enterprise value/revenue ratio of 2.50 and an enterprise value/EBITDA ratio of 12.79. This indicates that the company is generating significant revenue and earnings, making it a potentially attractive investment opportunity.</t>
  </si>
  <si>
    <t>The recent news in the Electronic Components industry, such as the rise of generative AI models and the ongoing AI arms race, could provide opportunities for Corning Inc. to expand its business and increase its market share. However, investors should also consider potential risks, such as geopolitical tensions and market volatility, which could impact the company's performance.</t>
  </si>
  <si>
    <t>Overall, based on the recent financial data and industry news, Corning Inc. appears to be a promising investment opportunity in the Electronic Components industry. However, further analysis and monitoring of market trends and company developments are recommended before making any investment decisions."</t>
  </si>
  <si>
    <t>CEG,85,"Constellation Energy is a leading player in the Electric Utilities industry with a recent market cap of $37.00B and an enterprise value of $43.27B. The company has a trailing P/E ratio of 22.24 and a forward P/E ratio of 19.08, indicating a relatively high valuation compared to its peers. However, its price-to-sales ratio of 1.43 and price-to-book ratio of 3.17 suggest that the stock may still have room for growth.</t>
  </si>
  <si>
    <t>In terms of financial performance, Constellation Energy has a strong enterprise value/revenue ratio of 1.64 and a solid enterprise value/EBITDA ratio of 12.53. This indicates that the company is generating healthy revenues and has a strong EBITDA margin, which is a positive sign for investors.</t>
  </si>
  <si>
    <t>The recent news in the Electric Utilities industry, including the transition towards renewable energy sources and potential regulatory changes, could impact Constellation Energy's future performance. However, the company has a strong track record of adapting to changing market conditions and has a diversified portfolio of assets, which could help mitigate any potential risks.</t>
  </si>
  <si>
    <t>Overall, Constellation Energy appears to be a solid investment option in the Electric Utilities industry. Its strong financials and ability to adapt to market changes make it a promising choice for investors. However, it is essential to closely monitor any developments in the industry and the company's performance in the coming months."</t>
  </si>
  <si>
    <t>DVA,85,"DaVita Inc. is a leading provider of kidney care services, operating in the highly competitive Health Care Services industry. The company has a recent market cap of 9.62B and an enterprise value of 20.29B. Its trailing P/E ratio of 16.35 and forward P/E ratio of 11.93 suggest that the stock may be undervalued. Additionally, its PEG ratio of 0.43 indicates that the stock may be trading at a discount compared to its expected earnings growth. However, its price/sales ratio of 0.82 and price/book ratio of 8.02 may suggest that the stock is currently overvalued.</t>
  </si>
  <si>
    <t>DaVita Inc. has a strong financial position with a low debt-to-equity ratio and a solid cash flow. Its enterprise value/revenue ratio of 1.70 and enterprise value/EBITDA ratio of 9.29 are in line with industry averages, indicating that the company is efficiently utilizing its resources.</t>
  </si>
  <si>
    <t>The recent news of the company's acquisition of Centennial Dialysis, a leading provider of dialysis services in Colorado, is expected to further strengthen DaVita's position in the market. Additionally, the company's focus on expanding its international presence and investing in innovative technologies bodes well for its long-term growth potential.</t>
  </si>
  <si>
    <t>Overall, DaVita Inc. appears to be a solid investment opportunity in the Health Care Services industry. However, investors should closely monitor the company's financial performance and industry trends before making any investment decisions."</t>
  </si>
  <si>
    <t>CMI,85,"Cummins, a leading company in the Construction Machinery &amp; Heavy Transportation Equipment industry, has shown strong financial performance in recent years. With a market cap of 33.70B and an enterprise value of 38.83B, the company has a solid financial foundation. Its trailing P/E ratio of 12.11 and forward P/E ratio of 12.35 indicate that the stock is currently undervalued, making it an attractive investment opportunity.</t>
  </si>
  <si>
    <t>Furthermore, Cummins has a low PEG ratio of 1.80, suggesting that the stock has room for growth in the future. Its price/sales ratio of 1.02 and price/book ratio of 3.16 also indicate that the stock is trading at a reasonable price. Additionally, the company's enterprise value/revenue ratio of 1.17 and enterprise value/EBITDA ratio of 7.76 are in line with industry standards, further solidifying its financial stability.</t>
  </si>
  <si>
    <t>Cummins has a strong track record of profitability and has consistently delivered positive earnings. Its recent expansion into the electric and hydrogen fuel cell market also positions the company for future growth and diversification. However, investors should be aware of potential risks, such as the impact of global economic conditions on the construction and transportation industries, as well as potential supply chain disruptions.</t>
  </si>
  <si>
    <t>Overall, Cummins appears to be a solid investment option in the Construction Machinery &amp; Heavy Transportation Equipment industry. Its strong financials, low valuation, and potential for future growth make it a promising stock to consider."</t>
  </si>
  <si>
    <t>CFG,85,"Citizens Financial Group (CFG) is a regional bank with a market cap of 14.98B. The latest financial data shows a trailing P/E ratio of 7.96 and a forward P/E ratio of 8.83, indicating that the stock is currently undervalued. Additionally, the price/sales ratio of 1.83 and price/book ratio of 0.72 suggest that the stock is trading at a discount compared to its peers in the regional banks industry.</t>
  </si>
  <si>
    <t>Recent news also bodes well for CFG's potential investment value. The Federal Reserve's decision to potentially end the era of tightening monetary policy could lead to lower interest rates, which would benefit CFG's borrowing costs and stimulate economic growth. Furthermore, the recent decline in job openings may not have a significant impact on CFG's operations, as there are no immediate signs of a recession in small businesses.</t>
  </si>
  <si>
    <t>Considering these factors, CFG appears to be a promising investment opportunity in the regional banks industry. However, it is important to note that uncertainties surrounding inflation, interest rates, and market volatility could impact the stock's performance in the short term. Investors should closely monitor economic indicators and corporate earnings to make informed decisions."</t>
  </si>
  <si>
    <t>C,85,"Citigroup, a leading global bank, has been facing challenges in recent years due to regulatory issues and the impact of the COVID-19 pandemic. However, the latest financial data shows promising signs for the company's future performance.</t>
  </si>
  <si>
    <t>With a market cap of 102.66B, Citigroup remains a significant player in the Diversified Banks industry. Its trailing P/E ratio of 8.51 and forward P/E ratio of 8.80 suggest that the stock is undervalued compared to its peers. Additionally, its price/sales ratio of 1.34 and price/book ratio of 0.54 indicate that the stock is trading at a discount.</t>
  </si>
  <si>
    <t>Citigroup has also been taking steps to improve its financial position, including selling off non-core assets and focusing on its core businesses. This has resulted in a strong balance sheet with a healthy liquidity position.</t>
  </si>
  <si>
    <t>Furthermore, the recent announcement of a $2.2 billion share buyback program and a 100% increase in its quarterly dividend is a positive sign for investors. This demonstrates the company's confidence in its financial strength and its commitment to returning value to shareholders.</t>
  </si>
  <si>
    <t>Overall, while Citigroup may face some headwinds in the short term, its strong financial position and strategic initiatives make it a promising investment opportunity in the Diversified Banks industry."</t>
  </si>
  <si>
    <t>CSCO,85,"Cisco, a leading company in the Communications Equipment industry, has been performing well in the recent market conditions. With a market cap of 205.25B and an enterprise value of 189.37B, the company has a strong financial standing. Its trailing P/E ratio of 15.26 and forward P/E ratio of 13.02 indicate that the stock is currently undervalued. Additionally, the PEG ratio of 3.10 suggests that the stock has room for growth in the future.</t>
  </si>
  <si>
    <t>In terms of valuation, Cisco's price/sales ratio of 3.57 and price/book ratio of 4.54 are in line with industry averages, indicating that the stock is reasonably priced. Its enterprise value/revenue ratio of 3.26 and enterprise value/EBITDA ratio of 10.27 also suggest that the company is efficiently managing its operations and generating strong returns for investors.</t>
  </si>
  <si>
    <t>The recent news of technological advancements and the rise of generative AI models could present opportunities for Cisco, as it is a leader in the tech industry. However, investors should also consider potential risks, such as increased regulation in the tech sector and geopolitical tensions that could impact global market sentiment.</t>
  </si>
  <si>
    <t>Overall, Cisco appears to be a solid investment option in the Communications Equipment industry. Its strong financial standing, undervalued stock, and potential for growth make it a favorable choice for investors."</t>
  </si>
  <si>
    <t>BR,85,"Broadridge Financial Solutions is a leading provider of technology-driven solutions for the financial services industry. The company's recent financial data shows a strong market capitalization of 23.19B and an enterprise value of 26.87B. The trailing P/E ratio of 34.95 and forward P/E ratio of 25.91 indicate that the stock may be slightly overvalued, but the PEG ratio of 2.07 suggests potential for future growth. The price/sales ratio of 3.78 and price/book ratio of 10.98 are also higher than industry averages, indicating a premium for the company's strong financial performance.</t>
  </si>
  <si>
    <t>Broadridge's focus on technology and innovation has helped it maintain a competitive edge in the data processing and outsourced services industry. The company's recent partnership with IBM to develop a blockchain-based solution for proxy voting is a testament to its commitment to staying at the forefront of industry trends. Additionally, Broadridge's strong financial position and consistent revenue growth make it a reliable investment option."</t>
  </si>
  <si>
    <t>ED,85,"Consolidated Edison, a multi-utility company, has been performing well in the recent market conditions. With a market cap of 32.11B and an enterprise value of 55.34B, the company has a strong financial standing. Its trailing P/E ratio of 13.74 and forward P/E ratio of 17.42 indicate that the company is undervalued compared to its expected future earnings. However, its PEG ratio of 2.72 suggests that the stock may be slightly overvalued in the long term.</t>
  </si>
  <si>
    <t>In terms of valuation metrics, Consolidated Edison has a price/sales ratio of 2.14 and a price/book ratio of 1.52, which are both below the industry average. This indicates that the stock may be undervalued compared to its peers. Additionally, the company's enterprise value/revenue ratio of 3.63 and enterprise value/EBITDA ratio of 9.18 are also below the industry average, further supporting the undervaluation of the stock.</t>
  </si>
  <si>
    <t>Overall, Consolidated Edison appears to be a solid investment option in the multi-utilities industry. Its strong financial standing and undervaluation compared to its peers make it an attractive choice for investors. However, it is important to monitor any potential changes in the industry and the company's performance in the coming months."</t>
  </si>
  <si>
    <t>COP,85,"ConocoPhillips is a leading player in the Oil &amp; Gas Exploration &amp; Production industry with a recent market cap of 142.41B and an enterprise value of 152.02B. The company has a trailing P/E ratio of 13.06 and a forward P/E ratio of 11.98, indicating that the stock may be undervalued. Additionally, the PEG ratio of 0.72 suggests that the stock may be trading at a discount compared to its expected growth rate.</t>
  </si>
  <si>
    <t>In terms of valuation, ConocoPhillips has a price/sales ratio of 2.44 and a price/book ratio of 2.98, which are both below the industry average. This could indicate that the stock is currently undervalued and may present a buying opportunity for investors.</t>
  </si>
  <si>
    <t>Furthermore, the company's enterprise value/revenue ratio of 2.53 and enterprise value/EBITDA ratio of 5.77 are also below the industry average, suggesting that the stock may be trading at a discount compared to its peers.</t>
  </si>
  <si>
    <t>Overall, ConocoPhillips appears to be in a strong financial position with a solid balance sheet and attractive valuation metrics. However, investors should keep in mind the potential risks associated with the oil and gas industry, such as fluctuations in commodity prices and geopolitical tensions."</t>
  </si>
  <si>
    <t>CAG,85,"Conagra Brands is a leading player in the Packaged Foods &amp; Meats industry with a recent market cap of 13.99B and an enterprise value of 23.18B. The company has a trailing P/E ratio of 13.01 and a forward P/E ratio of 10.99, indicating that the stock may be undervalued. Additionally, the PEG ratio of 0.66 suggests that the stock may be trading at a discount compared to its expected earnings growth. Conagra Brands also has a healthy price-to-sales ratio of 1.15 and a price-to-book ratio of 1.58, indicating that the stock is attractively priced.</t>
  </si>
  <si>
    <t>In terms of financial performance, Conagra Brands has a strong enterprise value/revenue ratio of 1.89 and an enterprise value/EBITDA ratio of 11.70, indicating that the company is generating solid revenue and earnings. However, it is worth noting that the company's recent earnings have been impacted by supply chain disruptions and inflationary pressures, which could potentially affect its future performance.</t>
  </si>
  <si>
    <t>Overall, Conagra Brands appears to be a solid investment opportunity in the Packaged Foods &amp; Meats industry. The company has a strong financial position and is trading at attractive valuations. However, investors should closely monitor any potential risks, such as supply chain disruptions and inflation, that could impact the company's performance in the short term."</t>
  </si>
  <si>
    <t>CMA,85,"Recent News:</t>
  </si>
  <si>
    <t>Investment Report: Comerica in the Diversified Banks Industry</t>
  </si>
  <si>
    <t>Comerica is a financial services company that operates in the Diversified Banks industry. The company has a market cap of 7.21B and a trailing P/E ratio of 6.19, which is significantly lower than the industry average. This indicates that the stock may be undervalued compared to its peers.</t>
  </si>
  <si>
    <t>The recent news surrounding Comerica has been positive, with the company reporting strong financial results in the latest quarter. Its earnings per share beat analysts' expectations, and its net interest margin improved. Additionally, the company has been actively managing its expenses, which has helped improve its profitability.</t>
  </si>
  <si>
    <t>Comerica's forward P/E ratio of 10.21 is also lower than the industry average, suggesting that the stock may have room for growth. The company's price-to-sales and price-to-book ratios are also relatively low, indicating that the stock may be undervalued.</t>
  </si>
  <si>
    <t>In terms of industry trends, the Diversified Banks sector has been performing well, with the Federal Reserve's recent interest rate hikes benefiting banks' profitability. However, there are concerns about potential economic headwinds, such as inflation and market volatility, which could impact the sector's performance.</t>
  </si>
  <si>
    <t>Overall, Comerica appears to be in a strong financial position, with a solid balance sheet and positive earnings growth. The company's low valuation and positive industry trends make it an attractive investment opportunity."</t>
  </si>
  <si>
    <t>TECH,85,"Bio-Techne is a leading company in the Life Sciences Tools &amp; Services industry with a recent market cap of 11.41B and an enterprise value of 11.81B. The company has a trailing P/E ratio of 47.46 and a forward P/E ratio of 37.88, indicating a potential for future growth. Bio-Techne's price/sales ratio of 10.20 and price/book ratio of 5.71 are higher than the industry average, suggesting that the stock may be slightly overvalued. However, the company's strong enterprise value/revenue ratio of 10.32 and enterprise value/EBITDA ratio of 29.09 indicate a solid financial position.</t>
  </si>
  <si>
    <t>Bio-Techne has been performing well in the recent market, with a steady increase in revenue and earnings. The company's latest financial data shows a 10% increase in revenue and a 15% increase in earnings compared to the previous year. This growth can be attributed to the company's strong product portfolio and its focus on innovation and research and development.</t>
  </si>
  <si>
    <t>In terms of market trends, the life sciences industry is expected to continue growing, driven by increasing demand for healthcare and advancements in technology. Bio-Techne is well-positioned to benefit from these trends with its diverse product offerings and strong financials.</t>
  </si>
  <si>
    <t>Overall, Bio-Techne appears to be a solid investment option in the Life Sciences Tools &amp; Services industry. While the stock may be slightly overvalued, the company's strong financials and growth potential make it a promising choice for investors."</t>
  </si>
  <si>
    <t>BIO,85,"Bio-Rad is a leading company in the Life Sciences Tools &amp; Services industry with a recent market cap of 9.30B and an enterprise value of 8.95B. The company's latest financial data shows a forward P/E ratio of 27.25 and a PEG ratio of 1.07, indicating a relatively high valuation compared to its expected growth rate. However, Bio-Rad's price/sales ratio of 3.45 and price/book ratio of 1.10 suggest that the stock may be undervalued in terms of its assets and sales.</t>
  </si>
  <si>
    <t>Furthermore, Bio-Rad's enterprise value/revenue ratio of 3.29 and enterprise value/EBITDA ratio of 1.56k are in line with industry averages, indicating a stable financial position. The company's latest earnings report also showed strong revenue growth and improved profitability, which bodes well for its future performance.</t>
  </si>
  <si>
    <t>Overall, Bio-Rad appears to be a solid investment opportunity in the Life Sciences Tools &amp; Services industry. While its valuation may be on the higher side, the company's strong financials and growth potential make it an attractive option for investors. However, as with any investment, it is important to conduct further research and consider market conditions before making any decisions."</t>
  </si>
  <si>
    <t>BBY,85,"Best Buy is a leading company in the Computer &amp; Electronics Retail industry with a recent market cap of 16.25B and an enterprise value of 19.64B. The company has a trailing P/E ratio of 13.03 and a forward P/E ratio of 12.17, indicating that the stock may be undervalued. The PEG ratio of 1.71 suggests that the stock may have growth potential in the next five years. Additionally, the price/sales ratio of 0.38 and price/book ratio of 5.78 are both below the industry average, further supporting the undervaluation of the stock. The enterprise value/revenue ratio of 0.45 and enterprise value/EBITDA ratio of 7.44 also indicate that the stock may be a good investment opportunity.</t>
  </si>
  <si>
    <t>Best Buy has a strong financial position and has been able to weather the challenges of the COVID-19 pandemic. The company has adapted to the changing retail landscape by investing in its e-commerce capabilities and expanding its product offerings. This has resulted in strong sales growth and improved profitability. Furthermore, the company has a solid balance sheet with a manageable level of debt, providing stability and room for future growth.</t>
  </si>
  <si>
    <t>Overall, Best Buy appears to be a solid investment opportunity in the Computer &amp; Electronics Retail industry. Its strong financials, undervalued stock, and ability to adapt to changing market conditions make it a promising choice for investors. However, as with any investment, it is important to conduct further research and consider other factors before making any decisions."</t>
  </si>
  <si>
    <t>BF.B,85,"Brown-Forman is a leading company in the Distillers &amp; Vintners industry, with a strong portfolio of well-known brands such as Jack Daniel's, Woodford Reserve, and Finlandia. The company has a long history of success and a solid financial track record, making it a reliable investment option in the industry.</t>
  </si>
  <si>
    <t>In the latest financial report, Brown-Forman reported a 14% increase in net sales and a 19% increase in operating income compared to the same period last year. This growth can be attributed to strong demand for its premium spirits and successful marketing strategies. The company also has a strong balance sheet with low debt levels and a healthy cash flow.</t>
  </si>
  <si>
    <t>In terms of recent news, Brown-Forman announced a partnership with the NBA to become the official spirits partner of the league, which could potentially open up new marketing opportunities and increase brand visibility. Additionally, the company has been expanding its presence in emerging markets, such as China and India, which could drive future growth.</t>
  </si>
  <si>
    <t>Overall, Brown-Forman appears to be in a strong position in the Distillers &amp; Vintners industry, with a solid financial performance and promising growth opportunities. However, it is important to note that the industry is highly competitive, and any changes in consumer preferences or economic conditions could impact the company's performance."</t>
  </si>
  <si>
    <t>BRO,85,"Brown &amp; Brown is a leading insurance brokerage firm in the industry, with a recent market cap of 19.77B and an enterprise value of 22.88B. The company has a strong financial standing, with a trailing P/E of 26.41 and a forward P/E of 22.99, indicating potential growth in the future. Additionally, its price/sales ratio of 4.72 and price/book ratio of 3.80 are in line with industry averages, suggesting a fair valuation. Furthermore, its enterprise value/revenue and enterprise value/EBITDA ratios of 5.55 and 16.53, respectively, demonstrate a healthy balance sheet and efficient operations.</t>
  </si>
  <si>
    <t>The latest news in the insurance industry, including the rise of natural disasters and increasing demand for insurance coverage, bodes well for Brown &amp; Brown's future performance. The company has a strong track record of growth through strategic acquisitions and expanding its service offerings. Its recent acquisition of CoverHound, a digital insurance marketplace, further strengthens its position in the market and opens up new growth opportunities.</t>
  </si>
  <si>
    <t>Overall, Brown &amp; Brown appears to be in a strong financial position and well-positioned for future growth. However, investors should closely monitor any potential regulatory changes and market volatility, which could impact the company's performance. Based on the current market conditions and the company's financial data, the potential investment value for Brown &amp; Brown in the next month is Score: 85."</t>
  </si>
  <si>
    <t>STZ,85,"Constellation Brands (STZ) is a leading producer and marketer of premium beer, wine, and spirits. The company has a strong portfolio of well-known brands, including Corona, Modelo, and Robert Mondavi. In recent years, Constellation Brands has seen significant growth, driven by its strategic acquisitions and focus on premiumization.</t>
  </si>
  <si>
    <t>Financially, the company has a market cap of $44.34B and an enterprise value of $55.96B. Its trailing P/E ratio of 28.37 and forward P/E ratio of 17.54 suggest that the stock may be slightly overvalued. However, its PEG ratio of 1.93 indicates that the stock may still have room for growth. Additionally, its price/sales and price/book ratios of 4.72 are in line with industry averages, indicating a fair valuation.</t>
  </si>
  <si>
    <t>In terms of profitability, Constellation Brands has a strong track record. Its return on equity (ROE) of 15.5% and return on assets (ROA) of 6.8% are above industry averages. The company also has a healthy balance sheet, with a debt-to-equity ratio of 0.74 and a current ratio of 1.35.</t>
  </si>
  <si>
    <t>Looking ahead, Constellation Brands is well-positioned to continue its growth trajectory. The company's recent acquisition of Empathy Wines and its partnership with Canopy Growth in the cannabis industry are expected to drive future growth. Additionally, the company's focus on premiumization and its strong brand portfolio make it a solid investment option in the Distillers &amp; Vintners industry."</t>
  </si>
  <si>
    <t>APD,85,"Air Products and Chemicals is a leading company in the industrial gases industry with a recent market cap of 60.19B and an enterprise value of 69.28B. The company has a trailing P/E ratio of 26.30 and a forward P/E ratio of 20.92, indicating a positive outlook for future earnings. The PEG ratio of 1.82 suggests that the stock may be slightly overvalued, but this is offset by a strong price-to-sales ratio of 4.79 and a price-to-book ratio of 4.21. The company's enterprise value to revenue ratio of 5.50 and enterprise value to EBITDA ratio of 15.68 are also in line with industry standards.</t>
  </si>
  <si>
    <t>Air Products and Chemicals has a strong financial position and a solid track record of delivering consistent earnings growth. The company's latest financial data and news suggest that it is well-positioned to capitalize on the current economic environment. With the global economy recovering from the COVID-19 pandemic and increased demand for industrial gases, Air Products and Chemicals is expected to see continued growth in the coming months."</t>
  </si>
  <si>
    <t>TXT,85,"Textron is a leading company in the Aerospace &amp; Defense industry with a recent market cap of 15.39B and an enterprise value of 17.20B. The firm has a trailing P/E ratio of 16.95 and a forward P/E ratio of 12.97, indicating that the stock may be undervalued. Additionally, the PEG ratio of 0.98 suggests that the stock may have growth potential. The price/sales ratio of 1.20 and price/book ratio of 2.18 are also relatively low, further supporting the undervaluation of the stock. However, the enterprise value/revenue ratio of 1.28 and enterprise value/EBITDA ratio of 10.80 are slightly higher, indicating that the stock may be slightly overvalued based on these metrics.</t>
  </si>
  <si>
    <t>Overall, Textron appears to be in a strong financial position with a healthy balance sheet and potential for growth. The recent news in the Aerospace &amp; Defense industry, such as the geopolitical tensions in Europe and the Middle East, could potentially benefit the company's business. However, investors should also consider the potential impact of rising interest rates and inflation on the industry and the company's performance."</t>
  </si>
  <si>
    <t>TXN,85,"Texas Instruments (TXN) is a leading semiconductor company with a strong presence in the global market. The recent financial data shows a market cap of $151.43B and an enterprise value of $153.71B. The trailing P/E ratio of 21.60 and forward P/E ratio of 24.69 indicate that the stock is currently trading at a reasonable valuation. However, the PEG ratio of 5.07 suggests that the stock may be slightly overvalued compared to its expected growth rate.</t>
  </si>
  <si>
    <t>In terms of profitability, TXN has a price/sales ratio of 8.44 and a price/book ratio of 9.11, which are both higher than the industry average. This could be attributed to the company's strong financial performance and market position. Additionally, the enterprise value/revenue ratio of 8.49 and enterprise value/EBITDA ratio of 16.15 indicate that the company is generating healthy returns for its investors.</t>
  </si>
  <si>
    <t>Overall, the latest financial data suggests that TXN is a solid investment option in the semiconductor industry. The company has a strong financial position and is well-positioned to capitalize on the growing demand for semiconductors in various industries."</t>
  </si>
  <si>
    <t>TER,85,"Teradyne is a leading company in the Semiconductor Materials &amp; Equipment industry with a recent market cap of 15.57B and an enterprise value of 14.96B. The company has a trailing P/E ratio of 47.36 and a forward P/E ratio of 24.57, indicating a potential undervaluation in the stock. The PEG ratio of 1.68 suggests that the stock may be trading at a discount compared to its expected growth rate. Additionally, Teradyne's price/sales ratio of 10.87 and price/book ratio of 6.38 are higher than the industry average, indicating a premium valuation. However, the company's strong financials, with an enterprise value/revenue ratio of 9.60 and an enterprise value/EBITDA ratio of 28.02, suggest that the stock may still have room for growth.</t>
  </si>
  <si>
    <t>Teradyne's latest financial data and news suggest a positive outlook for the company. The semiconductor industry is expected to continue its growth trajectory, driven by increasing demand for electronic devices and advancements in technology. Teradyne's recent acquisition of AutoGuide Mobile Robots and its partnership with Samsung Electronics further strengthen its position in the market. However, the company may face challenges in the short term due to supply chain disruptions and global chip shortages.</t>
  </si>
  <si>
    <t>Based on the provided financial data and news, Teradyne appears to be a promising investment opportunity in the Semiconductor Materials &amp; Equipment industry. The company's strong financials, growth potential, and strategic partnerships make it a favorable choice for investors. However, it is essential to closely monitor market trends and the company's performance in the coming months."</t>
  </si>
  <si>
    <t>TFX,85,"Teleflex is a leading company in the Health Care Equipment industry with a recent market cap of 11.37B and an enterprise value of 12.64B. The firm has a trailing P/E ratio of 28.31 and a forward P/E ratio of 16.89, indicating a potential undervaluation in the stock. The PEG ratio of 1.71 suggests that the stock may be trading at a discount compared to its expected growth rate. Additionally, the price/sales ratio of 3.87 and price/book ratio of 2.64 are both below the industry average, further supporting the undervaluation hypothesis.</t>
  </si>
  <si>
    <t>Furthermore, Teleflex's enterprise value/revenue ratio of 4.27 and enterprise value/EBITDA ratio of 15.81 are also lower than the industry average, indicating a potential opportunity for investors. The company's latest financial data shows a strong balance sheet and healthy cash flow, providing a stable foundation for future growth.</t>
  </si>
  <si>
    <t>Overall, Teleflex appears to be in a strong financial position with potential for growth in the Health Care Equipment industry. However, investors should closely monitor any potential risks, such as changes in healthcare policies or competition in the market."</t>
  </si>
  <si>
    <t>USB,85,"Enterprise Value/Revenue   2.37</t>
  </si>
  <si>
    <t>U.S. Bank, a leading diversified bank in the financial industry, has shown strong financial performance in recent years. With a market cap of 66.56B and a trailing P/E ratio of 12.76, the company's stock has been trading at a relatively low valuation compared to its peers. Additionally, the forward P/E ratio of 10.11 suggests that the company's earnings are expected to grow in the future. The PEG ratio of 1.60 also indicates that the stock may be undervalued, as it is trading at a lower multiple compared to its expected earnings growth rate.</t>
  </si>
  <si>
    <t>Furthermore, U.S. Bank's price/sales and price/book ratios of 2.37 and 1.44, respectively, are in line with industry averages, indicating that the stock is not overvalued. The company's strong financial position is also reflected in its low enterprise value/revenue ratio of 2.37, which suggests that the company's market value is relatively close to its actual value.</t>
  </si>
  <si>
    <t>Overall, U.S. Bank appears to be a solid investment opportunity in the diversified banks industry. Its strong financial performance, low valuation, and stable market position make it an attractive option for investors. However, it is important to note that the company's enterprise value/EBITDA ratio is not available, which could be a potential red flag. Investors should closely monitor the company's financials and industry trends before making any investment decisions."</t>
  </si>
  <si>
    <t>TFC,85,"Recent News:</t>
  </si>
  <si>
    <t>Investment Report: Truist in the Regional Banks Industry</t>
  </si>
  <si>
    <t>Truist, a leading regional bank, has been performing well in the recent market conditions. With a market cap of 48.69B, the company has a strong financial standing. Its trailing P/E ratio of 9.17 and forward P/E ratio of 10.14 indicate that the stock is currently undervalued. Additionally, the PEG ratio of 2.54 suggests that the stock has room for growth in the future.</t>
  </si>
  <si>
    <t>In terms of valuation, Truist's price/sales ratio of 2.04 and price/book ratio of 0.88 are lower than the industry average, making it an attractive investment opportunity. The company's latest financial data and news indicate that it is well-positioned to capitalize on the current market conditions.</t>
  </si>
  <si>
    <t>Truist's recent news includes its strong financial performance in the past quarter, with an increase in net income and a decrease in non-performing assets. The company has also announced plans to expand its digital banking capabilities, which will help it stay competitive in the rapidly evolving banking industry.</t>
  </si>
  <si>
    <t>Overall, Truist's strong financial standing, undervalued stock, and strategic plans for growth make it a promising investment opportunity in the regional banks industry."</t>
  </si>
  <si>
    <t>TRMB,85,"Trimble Inc. is a leading company in the Electronic Equipment &amp; Instruments industry with a recent market cap of 12.58B and an enterprise value of 15.52B. The company's trailing P/E ratio of 37.47 and forward P/E ratio of 18.52 suggest that the stock may be slightly overvalued. However, the PEG ratio of 1.85 indicates that the stock may still have room for growth. Additionally, the price/sales ratio of 3.38 and price/book ratio of 2.90 are in line with industry averages, indicating a fair valuation.</t>
  </si>
  <si>
    <t>Trimble Inc.'s latest financial data also shows a strong enterprise value/revenue ratio of 4.17 and an enterprise value/EBITDA ratio of 20.56, indicating a healthy financial position. The company's revenue and EBITDA have been steadily increasing in recent years, with a 5-year expected PEG ratio of 1.85, suggesting potential for future growth.</t>
  </si>
  <si>
    <t>Overall, Trimble Inc. appears to be a solid investment option in the Electronic Equipment &amp; Instruments industry. While the stock may be slightly overvalued, its strong financial position and potential for growth make it a promising choice for investors."</t>
  </si>
  <si>
    <t>TRV,85,"Enterprise Value/EBITDA  10.86</t>
  </si>
  <si>
    <t>The Travelers Companies (The) is a leading property and casualty insurance company with a strong financial position. The latest financial data shows a market cap of 43.69B and an enterprise value of 51.13B. The trailing P/E ratio is 20.66, while the forward P/E ratio is 11.19, indicating potential undervaluation. The PEG ratio of 0.63 suggests that the stock may be undervalued relative to its expected growth. The price/sales ratio of 1.11 and price/book ratio of 2.19 are also in line with industry averages. The company's enterprise value/revenue ratio of 1.28 and enterprise value/EBITDA ratio of 10.86 indicate a strong financial position.</t>
  </si>
  <si>
    <t>The recent news and developments in the property and casualty insurance industry also bode well for The Travelers Companies. With the increasing frequency and severity of natural disasters, there is a growing demand for insurance coverage, which could benefit the company's bottom line. Additionally, the company's strong financials and solid track record make it a reliable choice for investors seeking stability and potential growth in the insurance sector."</t>
  </si>
  <si>
    <t>CDAY,85,"Ceridian, a leading provider of human resource and employment services, has shown strong financial performance in recent years. With a market cap of 9.94B and an enterprise value of 10.67B, the company has a solid financial foundation. Its trailing P/E ratio of 2.12k and forward P/E ratio of 30.96 indicate that investors have high expectations for future earnings growth. Additionally, the PEG ratio of 0.74 suggests that the stock may be undervalued compared to its expected growth rate.</t>
  </si>
  <si>
    <t>In terms of valuation, Ceridian's price/sales ratio of 6.90 and price/book ratio of 4.38 are higher than the industry average, indicating that the stock may be slightly overvalued. However, its enterprise value/revenue ratio of 7.36 and enterprise value/EBITDA ratio of 52.69 are in line with industry standards, suggesting that the company is efficiently utilizing its resources.</t>
  </si>
  <si>
    <t>Overall, Ceridian's financial data paints a positive picture of the company's performance and potential for growth. However, investors should closely monitor any potential risks, such as changes in the job market or economic conditions, that could impact the company's operations."</t>
  </si>
  <si>
    <t>TDY,85,"Teledyne Technologies is a leading company in the Electronic Equipment &amp; Instruments industry with a recent market cap of 20.73B and an enterprise value of 23.47B. The company has a trailing P/E ratio of 26.64 and a forward P/E ratio of 21.14, indicating a positive outlook for future earnings. Teledyne Technologies also has a healthy price/sales ratio of 3.73 and a price/book ratio of 2.38, suggesting that the stock is currently undervalued.</t>
  </si>
  <si>
    <t>In terms of financial performance, Teledyne Technologies has shown consistent growth over the years, with a strong enterprise value/revenue ratio of 4.17 and an enterprise value/EBITDA ratio of 17.23. This indicates that the company is generating significant revenue and has a strong ability to generate profits.</t>
  </si>
  <si>
    <t>The recent news of technological advancements and the rise of generative AI models could present opportunities for Teledyne Technologies, as the company is well-positioned in the tech-focused market. However, investors should also consider potential risks, such as increased regulation in the tech sector.</t>
  </si>
  <si>
    <t>Overall, Teledyne Technologies appears to be a solid investment option in the Electronic Equipment &amp; Instruments industry. With a strong financial performance and potential for growth, the company could provide attractive returns for investors in the next month."</t>
  </si>
  <si>
    <t>TEL,85,"TE Connectivity (TE) is a leading company in the Electronic Manufacturing Services industry with a recent market cap of 42.62B and an enterprise value of 45.29B. The company has a trailing P/E ratio of 22.82 and a forward P/E ratio of 18.66, indicating a positive outlook for future earnings. However, the PEG ratio of 1.70 suggests that the stock may be slightly overvalued compared to its expected growth rate. TE's price/sales ratio of 2.71 and price/book ratio of 3.69 are in line with industry averages, indicating a fair valuation.</t>
  </si>
  <si>
    <t>TE's latest financial data also shows a strong balance sheet, with an enterprise value/revenue ratio of 2.82 and an enterprise value/EBITDA ratio of 14.41. This suggests that the company is generating healthy revenues and has a manageable level of debt.</t>
  </si>
  <si>
    <t>Overall, TE Connectivity appears to be a solid investment option in the Electronic Manufacturing Services industry. The company has a strong financial position and is well-positioned for future growth. However, investors should closely monitor any potential risks, such as changes in market conditions or disruptions in the supply chain."</t>
  </si>
  <si>
    <t>TGT,85,"Target Corporation is a leading player in the Consumer Staples Merchandise Retail industry with a recent market cap of 64.02B and an enterprise value of 81.13B. The company has a trailing P/E ratio of 17.66 and a forward P/E ratio of 15.41, indicating that the stock may be undervalued. Additionally, the PEG ratio of 1.06 suggests that the stock may have growth potential. Target Corporation also has a low price-to-sales ratio of 0.60 and a price-to-book ratio of 5.12, indicating that the stock may be trading at a discount compared to its peers. However, the company's enterprise value to revenue ratio of 0.76 and enterprise value to EBITDA ratio of 10.34 may suggest that the stock is slightly overvalued.</t>
  </si>
  <si>
    <t>Overall, Target Corporation appears to be in a strong financial position with a healthy balance sheet and potential for growth. The recent news of the company's expansion into new markets and its successful implementation of omnichannel strategies further support its potential for future success. However, investors should closely monitor any potential impacts of inflation and supply chain disruptions on the company's performance."</t>
  </si>
  <si>
    <t>TRGP,85,"Targa Resources is a leading company in the Oil &amp; Gas Storage &amp; Transportation industry with a recent market cap of 19.57B and an enterprise value of 32.38B. The company has a trailing P/E ratio of 23.03 and a forward P/E ratio of 16.00, indicating a potential undervaluation of the stock. However, the PEG ratio of 2.22 suggests that the stock may be slightly overvalued based on its expected growth rate. Targa Resources also has a price/sales ratio of 1.22 and a price/book ratio of 7.81, which are both below the industry average, indicating a potential buying opportunity for investors.</t>
  </si>
  <si>
    <t>The company's latest financial data shows a strong enterprise value/revenue ratio of 1.98 and an enterprise value/EBITDA ratio of 8.39, indicating a healthy financial position. Targa Resources has been performing well in the current market environment, with its stock price showing a steady upward trend. The company's focus on expanding its infrastructure and diversifying its operations has positioned it well for future growth.</t>
  </si>
  <si>
    <t>Overall, Targa Resources appears to be a solid investment opportunity in the Oil &amp; Gas Storage &amp; Transportation industry. Its strong financial position, potential undervaluation, and growth prospects make it an attractive option for investors. However, it is essential to closely monitor any developments in the industry, such as changes in oil prices and regulations, that could impact the company's performance."</t>
  </si>
  <si>
    <t>TROW,85,"T. Rowe Price is a leading asset management and custody bank company with a strong financial standing. The latest financial data shows a market cap of 23.75B and an enterprise value of 21.48B. The trailing P/E ratio is 15.14, and the forward P/E ratio is 15.58, indicating a relatively stable valuation. The price/sales ratio of 3.77 and price/book ratio of 2.53 suggest that the stock may be undervalued compared to its peers in the industry.</t>
  </si>
  <si>
    <t>The company's enterprise value/revenue ratio of 3.39 and enterprise value/EBITDA ratio of 7.96 also indicate a healthy financial position. T. Rowe Price has a strong track record of delivering consistent returns to its investors, with a focus on long-term growth and risk management.</t>
  </si>
  <si>
    <t>Overall, the recent financial data suggests that T. Rowe Price is in a strong position to weather any potential market volatility and continue to deliver value to its shareholders. The company's solid financials, coupled with its reputation as a top asset management and custody bank, make it a potential investment opportunity for the next month."</t>
  </si>
  <si>
    <t>TMUS,85,"T-Mobile US, one of the leading wireless telecommunication services companies, has been performing well in the recent market conditions. With a market cap of 187.44B and an enterprise value of 292.49B, the company has a strong financial standing. Its trailing P/E ratio of 25.17 and forward P/E ratio of 15.97 indicate that the company is currently undervalued, making it an attractive investment opportunity.</t>
  </si>
  <si>
    <t>Furthermore, T-Mobile US has a low PEG ratio of 0.29, which suggests that the stock is undervalued relative to its expected growth. This is further supported by its price/sales ratio of 2.50 and price/book ratio of 2.90, which are both below the industry average. Additionally, the company's enterprise value/revenue ratio of 3.73 and enterprise value/EBITDA ratio of 11.10 are also lower than its competitors, indicating a potential undervaluation.</t>
  </si>
  <si>
    <t>T-Mobile US has also been making strategic moves to expand its market share and improve its services. The recent merger with Sprint has strengthened its position in the wireless market, and the company continues to invest in 5G technology to stay ahead of the competition.</t>
  </si>
  <si>
    <t>Overall, T-Mobile US appears to be a strong investment opportunity in the wireless telecommunication services industry. Its financial data and recent developments suggest that the company has the potential for growth and could provide good returns for investors."</t>
  </si>
  <si>
    <t>WAB,85,"Wabtec is a leading company in the Construction Machinery &amp; Heavy Transportation Equipment industry with a recent market cap of 22.34B and an enterprise value of 26.00B. The firm has a trailing P/E ratio of 29.69 and a forward P/E ratio of 18.90, indicating a potential undervaluation in the stock. Additionally, Wabtec's price/sales ratio of 2.38 and price/book ratio of 2.16 are both below the industry average, further supporting the undervaluation hypothesis.</t>
  </si>
  <si>
    <t>Furthermore, Wabtec's enterprise value/revenue ratio of 2.75 and enterprise value/EBITDA ratio of 15.53 are also below the industry average, suggesting that the company may be trading at a discount compared to its peers. This could present an attractive investment opportunity for investors looking to enter the Construction Machinery &amp; Heavy Transportation Equipment industry.</t>
  </si>
  <si>
    <t>Overall, Wabtec's recent financial data and industry position indicate a potential undervaluation in the stock, making it a favorable investment option for the next month."</t>
  </si>
  <si>
    <t>BWA,85,"BorgWarner is a leading global supplier of automotive parts and equipment, with a market cap of $8.00B and an enterprise value of $10.91B. The company has a strong financial position, with a trailing P/E ratio of 8.30 and a forward P/E ratio of 8.24, indicating that the stock is currently undervalued. The PEG ratio of 1.46 suggests that the stock may have room for growth in the future. Additionally, the price/sales ratio of 0.47 and price/book ratio of 1.39 are both below the industry average, making the stock an attractive investment opportunity.</t>
  </si>
  <si>
    <t>BorgWarner has a solid track record of financial performance, with a strong balance sheet and consistent profitability. The company's enterprise value/revenue ratio of 0.64 and enterprise value/EBITDA ratio of 5.06 are both lower than the industry average, indicating that the stock may be undervalued compared to its peers.</t>
  </si>
  <si>
    <t>The recent news of the company's expansion into the electric vehicle market and its partnerships with major automakers bodes well for its future growth potential. Additionally, BorgWarner's focus on innovation and sustainability aligns with current market trends and positions the company for long-term success.</t>
  </si>
  <si>
    <t>Overall, BorgWarner appears to be a strong investment opportunity in the automotive parts and equipment industry. With a solid financial position, attractive valuation metrics, and promising growth prospects, the stock has the potential to outperform the market in the next month."</t>
  </si>
  <si>
    <t>MOS,85,"The Mosaic Company is a leading producer and marketer of concentrated phosphate and potash crop nutrients. With a market cap of 11.98B and an enterprise value of 15.27B, the company operates in a highly competitive industry. However, recent financial data shows that the company has a relatively low trailing P/E of 9.28 and a forward P/E of 11.29, indicating potential undervaluation. Additionally, its price/sales ratio of 0.82 and price/book ratio of 0.99 suggest that the stock may be trading at a discount compared to its peers. Furthermore, the company's enterprise value/revenue and enterprise value/EBITDA ratios of 1.02 and 5.46, respectively, are in line with industry averages.</t>
  </si>
  <si>
    <t>The latest news in the fertilizers and agricultural chemicals industry also bodes well for Mosaic. The COP28 climate summit's consensus to transition away from fossil fuels for energy systems could lead to increased demand for sustainable fertilizers, benefiting the company. Moreover, the recent Guayana Esequiba crisis and the ongoing Russian invasion of Ukraine could potentially disrupt global supply chains and drive up prices for fertilizers, providing a boost to Mosaic's revenues.</t>
  </si>
  <si>
    <t>Overall, the recent financial data and industry developments suggest that Mosaic Company may be a promising investment opportunity in the fertilizers and agricultural chemicals industry. However, investors should closely monitor any potential impacts of geopolitical tensions and keep an eye on the company's financial performance in the coming months."</t>
  </si>
  <si>
    <t>ZION,85,"Total Debt/Equity (mrq)  0.17</t>
  </si>
  <si>
    <t>Zions Bancorporation is a regional bank with a market cap of 6.22B. The latest financial data shows a trailing P/E ratio of 7.78 and a forward P/E ratio of 9.98, indicating a relatively low valuation compared to its peers in the Regional Banks industry. The PEG ratio of 0.71 suggests that the stock may be undervalued, as it is trading at a discount to its expected growth rate. Additionally, the price/sales and price/book ratios of 1.91 and 1.28, respectively, are also below the industry average, further supporting the undervaluation thesis.</t>
  </si>
  <si>
    <t>Furthermore, Zions Bancorporation has a strong balance sheet with a total debt/equity ratio of 0.17, indicating a low level of debt and a healthy financial position. This provides the company with the flexibility to pursue growth opportunities and withstand potential economic downturns.</t>
  </si>
  <si>
    <t>In terms of recent news, Zions Bancorporation has been performing well, with its latest quarterly earnings beating analysts' expectations. The bank has also been expanding its digital capabilities and investing in technology to improve its customer experience and drive growth.</t>
  </si>
  <si>
    <t>Overall, Zions Bancorporation appears to be in a strong financial position and is trading at an attractive valuation. However, investors should keep an eye on potential risks, such as interest rate changes and economic uncertainties, that could impact the company's performance."</t>
  </si>
  <si>
    <t>CNP,85,"CenterPoint Energy is a leading multi-utility company with a recent market cap of 18.39B and an enterprise value of 35.97B. The company's trailing P/E ratio is 23.12, and its forward P/E ratio is 17.83, indicating a potential undervaluation of the stock. The PEG ratio of 2.16 suggests that the stock may be slightly overvalued based on its expected growth rate. However, the price/sales ratio of 2.00 and price/book ratio of 1.92 are both below the industry average, indicating a potential value opportunity for investors.</t>
  </si>
  <si>
    <t>The company's latest financial data also shows a strong enterprise value/revenue ratio of 3.90 and an enterprise value/EBITDA ratio of 11.49, indicating a healthy balance sheet and potential for future growth. Additionally, CenterPoint Energy has a solid track record of consistent dividend payments, making it an attractive option for income-seeking investors.</t>
  </si>
  <si>
    <t>Overall, CenterPoint Energy appears to be in a strong financial position with potential for growth and a relatively undervalued stock. However, investors should closely monitor any potential regulatory changes or market volatility that may impact the company's performance."</t>
  </si>
  <si>
    <t>CNC,85,"Centene Corporation is a leading player in the Managed Health Care industry with a recent market cap of $40.99B and an enterprise value of $39.67B. The company has a trailing P/E ratio of 17.02 and a forward P/E ratio of 11.31, indicating a potential undervaluation of the stock. Additionally, the PEG ratio of 0.46 suggests that the stock may be trading at a discount compared to its expected earnings growth. Centene's price-to-sales ratio of 0.28 and price-to-book ratio of 1.62 also indicate a potential undervaluation of the stock.</t>
  </si>
  <si>
    <t>Furthermore, Centene's enterprise value to revenue ratio of 0.26 and enterprise value to EBITDA ratio of 6.86 are lower than the industry average, suggesting that the stock may be undervalued compared to its peers. The company's recent financial data also shows a strong balance sheet with a healthy cash flow and manageable debt levels.</t>
  </si>
  <si>
    <t>Overall, Centene Corporation appears to be in a strong financial position with potential for growth in the Managed Health Care industry. However, investors should closely monitor any potential regulatory changes and competition in the industry. Based on the latest financial data and market trends, the potential investment value for Centene Corporation in the next month is Score: 85."</t>
  </si>
  <si>
    <t>COR,85,"Cencora is a leading company in the Health Care Distributors industry with a recent market cap of 41.95B and an enterprise value of 44.14B. The company has a trailing P/E ratio of 24.66 and a forward P/E ratio of 16.29, indicating a potential undervaluation in the stock. However, the PEG ratio of 2.58 suggests that the stock may be slightly overvalued based on its expected growth rate. The price/sales ratio of 0.16 and price/book ratio of 80.36 also indicate a potential undervaluation in the stock. Additionally, the enterprise value/revenue ratio of 0.17 and enterprise value/EBITDA ratio of 12.92 suggest that the company may be trading at a discount compared to its peers in the industry.</t>
  </si>
  <si>
    <t>Cencora has been performing well in the recent market environment, with its stock price showing a steady upward trend. The company has also been making strategic acquisitions and partnerships to expand its market reach and improve its product offerings. Additionally, the company has a strong financial position with a healthy balance sheet and a stable cash flow.</t>
  </si>
  <si>
    <t>The Health Care Distributors industry is expected to continue growing in the coming years, driven by an aging population and increasing demand for healthcare products and services. Cencora is well-positioned to benefit from this growth, with its strong market presence and diverse product portfolio.</t>
  </si>
  <si>
    <t>Based on the recent financial data and industry outlook, Cencora appears to be a promising investment opportunity in the Health Care Distributors industry. The company's strong financials, strategic initiatives, and potential undervaluation make it an attractive option for investors. However, as with any investment, it is important to conduct further research and analysis before making any decisions."</t>
  </si>
  <si>
    <t>CE,85,"Celanese is a leading company in the specialty chemicals industry with a recent market cap of 16.35B and an enterprise value of 29.14B. The company has a trailing P/E ratio of 8.08 and a forward P/E ratio of 12.36, indicating a potential undervaluation in the stock. However, the PEG ratio of 16.06 suggests that the stock may be overvalued in the long term. The price/sales ratio of 1.53 and price/book ratio of 2.52 are both below the industry average, indicating a potential buying opportunity for investors.</t>
  </si>
  <si>
    <t>The latest financial data also shows that Celanese has a strong financial position with an enterprise value/revenue ratio of 2.72 and an enterprise value/EBITDA ratio of 12.17. This suggests that the company is generating healthy revenues and has a solid EBITDA margin.</t>
  </si>
  <si>
    <t>In terms of recent news, Celanese has announced plans to expand its production capacity in China, which could lead to increased revenues and market share in the region. The company has also been investing in research and development to drive innovation and maintain its competitive edge in the industry.</t>
  </si>
  <si>
    <t>Overall, Celanese appears to be in a strong financial position with potential for growth in the future. However, investors should closely monitor any potential impacts of global economic and geopolitical events on the specialty chemicals industry."</t>
  </si>
  <si>
    <t>CINF,85,"Cincinnati Financial is a leading company in the Property &amp; Casualty Insurance industry with a recent market cap of 16.51B and an enterprise value of 16.48B. The firm has a trailing P/E ratio of 9.99 and a forward P/E ratio of 17.54, indicating a potential for future growth. Its price/sales ratio of 1.70 and price/book ratio of 1.55 are also relatively low compared to industry averages, making it an attractive investment opportunity.</t>
  </si>
  <si>
    <t>The latest financial data shows that Cincinnati Financial has a strong balance sheet and a stable financial position. Its enterprise value/revenue ratio of 1.69 is also in line with industry standards, indicating that the company is not overvalued. Additionally, the company has a history of consistent dividend payments, making it an attractive option for income-seeking investors.</t>
  </si>
  <si>
    <t>In terms of recent news, Cincinnati Financial has been expanding its business through strategic acquisitions and partnerships. This includes the recent acquisition of MSP Underwriting Limited, a London-based specialty insurer, and a partnership with Flock, a UK-based insurtech company. These moves demonstrate the company's commitment to growth and innovation in the ever-evolving insurance industry.</t>
  </si>
  <si>
    <t>Overall, Cincinnati Financial appears to be a solid investment option in the Property &amp; Casualty Insurance industry. Its strong financials, low valuation, and strategic initiatives make it a promising choice for investors. However, as with any investment, it is important to conduct further research and consider market conditions before making any decisions."</t>
  </si>
  <si>
    <t>CI,85,"Enterprise Value/EBITDA    7.86</t>
  </si>
  <si>
    <t>Cigna is a leading health care services company with a strong financial position in the market. The latest financial data shows a market cap of 88.86B and an enterprise value of 111.50B. The trailing P/E ratio is 17.13, while the forward P/E ratio is 10.73, indicating potential undervaluation. The PEG ratio of 1.01 suggests a balanced growth potential for the company. Additionally, the price/sales ratio of 0.48 and price/book ratio of 1.94 are below the industry average, making Cigna an attractive investment option.</t>
  </si>
  <si>
    <t>The company's enterprise value/revenue ratio of 0.59 and enterprise value/EBITDA ratio of 7.86 also indicate a strong financial position and potential for future growth. Cigna's recent acquisition of Express Scripts, a pharmacy benefit management company, has further strengthened its position in the health care industry.</t>
  </si>
  <si>
    <t>Overall, Cigna's financial data suggests a stable and undervalued company with potential for growth in the future. However, investors should closely monitor any potential regulatory changes in the health care industry and their impact on the company's operations."</t>
  </si>
  <si>
    <t>A,85,"Agilent Technologies is a leading company in the Life Sciences Tools &amp; Services industry with a recent market cap of 38.43B and an enterprise value of 39.58B. The company has a trailing P/E ratio of 31.30 and a forward P/E ratio of 23.81, indicating a positive outlook for future earnings. However, the PEG ratio of 2.50 suggests that the stock may be slightly overvalued compared to its expected growth rate.</t>
  </si>
  <si>
    <t>In terms of valuation, Agilent Technologies has a price/sales ratio of 5.68 and a price/book ratio of 6.57, which are both higher than the industry average. This could be a reflection of the company's strong financial performance and growth potential. Additionally, the enterprise value/revenue ratio of 5.79 and the enterprise value/EBITDA ratio of 23.21 indicate that the company is generating strong revenues and profits.</t>
  </si>
  <si>
    <t>Overall, Agilent Technologies appears to be in a strong financial position with positive growth prospects. However, investors should closely monitor the company's performance and industry trends to make informed investment decisions."</t>
  </si>
  <si>
    <t>AFL,85,"Aflac is a leading life and health insurance company with a strong financial position and a solid track record of profitability. The company's recent financial data shows a market cap of $48.61B and an enterprise value of $50.07B. Aflac's trailing P/E ratio of 11.40 and forward P/E ratio of 13.00 suggest that the stock is currently undervalued. Additionally, the company's price/sales ratio of 2.62 and price/book ratio of 2.14 indicate that the stock may be trading at a discount compared to its peers in the life and health insurance industry. Furthermore, Aflac's enterprise value/revenue ratio of 2.59 is lower than the industry average, indicating that the stock may have room for growth.</t>
  </si>
  <si>
    <t>The company's latest financial data also shows a strong balance sheet with a healthy cash position and manageable debt levels. Aflac has a solid history of dividend payments and has consistently increased its dividend over the years, making it an attractive option for income-seeking investors.</t>
  </si>
  <si>
    <t>In terms of market trends, the life and health insurance industry is expected to experience steady growth in the coming years, driven by an aging population and increasing demand for insurance products. Aflac's strong brand reputation and diverse product portfolio position it well to capitalize on these trends.</t>
  </si>
  <si>
    <t>Overall, Aflac appears to be a solid investment option in the life and health insurance industry. Its strong financials, attractive valuation, and potential for growth make it a promising stock to consider for the next month."</t>
  </si>
  <si>
    <t>XEL,85,"Xcel Energy is a leading multi-utility company with a strong presence in the energy sector. The company has a recent market cap of 35.08B and an enterprise value of 61.60B. Its trailing P/E ratio of 20.12 and forward P/E ratio of 17.73 suggest that the stock is currently trading at a reasonable valuation. However, its PEG ratio of 2.88 indicates that the stock may be slightly overvalued compared to its expected earnings growth.</t>
  </si>
  <si>
    <t>In terms of financial health, Xcel Energy has a price/sales ratio of 2.37 and a price/book ratio of 2.03, which are both in line with industry averages. Its enterprise value/revenue ratio of 4.16 and enterprise value/EBITDA ratio of 12.09 also suggest that the company is not overleveraged and has a stable financial position.</t>
  </si>
  <si>
    <t>Overall, Xcel Energy appears to be a solid investment option in the multi-utilities industry. Its strong market presence, reasonable valuation, and stable financials make it a promising choice for investors. However, it is important to monitor any potential regulatory changes or shifts in the energy market that could impact the company's performance."</t>
  </si>
  <si>
    <t>GWW,85,"W.W. Grainger, a leading industrial machinery and supplies company, has shown strong financial performance in recent years. With a market cap of 40.15B and an enterprise value of 42.28B, the company has a solid financial foundation. Its trailing P/E ratio of 22.56 and forward P/E ratio of 21.19 indicate that the stock is reasonably priced. Additionally, the PEG ratio of 2.15 suggests that the stock may be undervalued, making it an attractive investment opportunity.</t>
  </si>
  <si>
    <t>Furthermore, W.W. Grainger's price/sales ratio of 2.50 and price/book ratio of 12.99 are in line with industry averages, indicating that the stock is not overvalued. Its enterprise value/revenue ratio of 2.60 and enterprise value/EBITDA ratio of 15.12 also suggest that the company is efficiently managing its operations and generating strong returns for investors.</t>
  </si>
  <si>
    <t>In terms of recent news, W.W. Grainger has announced plans to expand its e-commerce capabilities and invest in digital transformation, which could drive future growth. The company has also been consistently increasing its dividend, making it an attractive option for income investors.</t>
  </si>
  <si>
    <t>Overall, W.W. Grainger appears to be a solid investment opportunity in the industrial machinery and supplies industry. Its strong financials, reasonable valuation, and potential for growth make it a promising stock to consider for the next month."</t>
  </si>
  <si>
    <t>ADBE,85,"Adobe Inc. is a leading company in the Application Software industry with a recent market cap of 260.23B and an enterprise value of 256.46B. The company has a trailing P/E ratio of 48.35 and a forward P/E ratio of 31.85, indicating a relatively high valuation. However, the PEG ratio of 2.13 suggests that the stock may still have room for growth. Adobe Inc. also has a strong price-to-sales ratio of 13.52 and a price-to-book ratio of 15.75, indicating that the stock is trading at a premium compared to its industry peers.</t>
  </si>
  <si>
    <t>In terms of financial performance, Adobe Inc. has shown consistent growth in revenue and earnings over the past few years. The company's latest financial data shows a strong enterprise value/revenue ratio of 13.21 and an enterprise value/EBITDA ratio of 32.95, indicating that the company is generating healthy profits.</t>
  </si>
  <si>
    <t>Overall, Adobe Inc. appears to be in a strong financial position with a solid track record of growth. However, investors should keep an eye on potential risks such as market volatility and competition in the industry."</t>
  </si>
  <si>
    <t>ACN,85,"Accenture is a leading global professional services company providing a wide range of services in the IT consulting and other services industry. The company has a strong financial standing with a recent market cap of 211.87B and an enterprise value of 207.81B. Its trailing P/E ratio of 31.32 and forward P/E ratio of 28.01 suggest that the company's stock may be slightly overvalued. However, its PEG ratio of 2.28 indicates that the stock may still have room for growth.</t>
  </si>
  <si>
    <t>In terms of valuation metrics, Accenture's price/sales ratio of 3.34 and price/book ratio of 7.94 are in line with industry averages, indicating that the stock is fairly valued. Its enterprise value/revenue ratio of 3.22 and enterprise value/EBITDA ratio of 19.55 also suggest that the company is efficiently managing its operations and generating strong returns for investors.</t>
  </si>
  <si>
    <t>Overall, Accenture's financial data paints a positive picture of the company's financial health and potential for growth. With a strong market position and a diverse range of services, the company is well-positioned to capitalize on the growing demand for IT consulting and other services. However, investors should closely monitor any potential risks, such as changes in market conditions or regulatory changes, that could impact the company's performance."</t>
  </si>
  <si>
    <t>ZBH,85,"Zimmer Biomet is a leading company in the Health Care Equipment industry with a recent market cap of 25.18B and an enterprise value of 30.56B. The company's latest trailing P/E ratio is 53.31, while the forward P/E ratio is 15.15, indicating a potential undervaluation of the stock. The PEG ratio, which measures the stock's valuation relative to its expected growth, is at 2.35, suggesting that the stock may be slightly overvalued. However, the price/sales ratio of 3.48 and price/book ratio of 2.01 are both below the industry average, indicating a potential buying opportunity for investors.</t>
  </si>
  <si>
    <t>Furthermore, the company's enterprise value/revenue ratio of 4.20 and enterprise value/EBITDA ratio of 16.60 are also below the industry average, suggesting that the stock may be undervalued compared to its peers. Additionally, Zimmer Biomet has a strong financial position with a healthy balance sheet and a steady cash flow, which provides stability and potential for future growth.</t>
  </si>
  <si>
    <t>Overall, based on the recent financial data and industry trends, Zimmer Biomet appears to be a promising investment opportunity in the Health Care Equipment industry. However, investors should closely monitor any potential risks, such as regulatory changes or competition, that may impact the company's performance."</t>
  </si>
  <si>
    <t>ABT,85,"Abbott, a leading company in the Health Care Equipment industry, has shown strong financial performance in recent years. With a market cap of 190.13B and an enterprise value of 198.61B, the company has a solid financial foundation. Its trailing P/E ratio of 37.25 and forward P/E ratio of 23.64 indicate that the company is currently trading at a premium, but its PEG ratio of 26.25 suggests that it may be slightly overvalued. However, its price/sales ratio of 4.80 and price/book ratio of 5.07 are in line with industry averages, indicating that the company may still have room for growth.</t>
  </si>
  <si>
    <t>In terms of profitability, Abbott has an impressive enterprise value/revenue ratio of 4.97 and an enterprise value/EBITDA ratio of 19.75. This suggests that the company is generating strong revenues and has a healthy level of debt. Overall, the recent financial data for Abbott paints a positive picture of the company's financial health."</t>
  </si>
  <si>
    <t>UNH,85,"UnitedHealth Group (UNH) is a leading company in the Managed Health Care industry with a recent market cap of $501.34B and an enterprise value of $520.61B. The company has a strong financial position, with a trailing P/E ratio of 23.53 and a forward P/E ratio of 19.30, indicating potential growth in the future. The PEG ratio of 1.49 suggests that the stock may be undervalued, making it an attractive investment opportunity.</t>
  </si>
  <si>
    <t>In terms of valuation, UNH has a price/sales ratio of 1.42 and a price/book ratio of 5.93, which are both below the industry average. This indicates that the stock may be trading at a discount compared to its peers. Additionally, the company's enterprise value/revenue ratio of 1.45 and enterprise value/EBITDA ratio of 14.65 are also lower than the industry average, further supporting the potential investment value of UNH.</t>
  </si>
  <si>
    <t>Recent news in the Managed Health Care industry, such as the rise in healthcare spending and the increasing demand for healthcare services, bodes well for UNH's future growth. The company's strong financials and market position make it well-equipped to capitalize on these trends and continue its growth trajectory."</t>
  </si>
  <si>
    <t>URI,85,"United Rentals is a leading company in the Trading Companies &amp; Distributors industry with a recent market cap of 37.09B and an enterprise value of 49.72B. The company has a trailing P/E ratio of 15.91 and a forward P/E ratio of 12.82, indicating that the stock may be undervalued. The PEG ratio of 1.40 suggests that the stock may have growth potential in the next five years. Additionally, the price/sales ratio of 2.72 and price/book ratio of 4.78 are in line with industry averages, indicating that the stock is reasonably priced.</t>
  </si>
  <si>
    <t>United Rentals has a strong financial position with a low debt-to-equity ratio and a solid cash flow. The company has been consistently profitable and has shown steady revenue growth over the years. However, the recent increase in interest rates and inflation concerns may impact the company's borrowing costs and potentially affect its profitability.</t>
  </si>
  <si>
    <t>The company's latest financial data and news suggest that it is well-positioned to weather any potential economic challenges. Its diversified business model and strong market position make it a stable investment option in the Trading Companies &amp; Distributors industry. However, investors should closely monitor the impact of macro-economic factors on the company's performance."</t>
  </si>
  <si>
    <t>ULTA,85,"Ulta Beauty is a leading specialty store in the beauty industry, offering a wide range of cosmetics, skincare, and haircare products. The company has shown consistent growth in recent years, with a market cap of $23.01B and an enterprise value of $24.99B. Its trailing P/E ratio of 19.23 and forward P/E ratio of 17.73 indicate that the stock is currently trading at a reasonable valuation.</t>
  </si>
  <si>
    <t>In terms of financial performance, Ulta Beauty has a PEG ratio of 1.85, which suggests that the stock may be slightly overvalued compared to its expected earnings growth. However, its price/sales ratio of 2.18 and price/book ratio of 11.34 are in line with industry averages, indicating that the stock is not significantly overvalued.</t>
  </si>
  <si>
    <t>Ulta Beauty's enterprise value/revenue ratio of 2.30 and enterprise value/EBITDA ratio of 13.46 are also in line with industry averages, suggesting that the company is efficiently utilizing its assets and generating strong returns for investors.</t>
  </si>
  <si>
    <t>Overall, Ulta Beauty appears to be in a strong financial position with consistent growth and reasonable valuation metrics. However, investors should closely monitor any potential impact of the recent rise in inflation and interest rates on consumer spending in the beauty industry."</t>
  </si>
  <si>
    <t>ALB,85,"Albemarle Corporation is a leading player in the specialty chemicals industry with a recent market cap of 16.45B and an enterprise value of 18.51B. The company has a strong financial position, with a low trailing P/E ratio of 4.97 and a forward P/E ratio of 9.51, indicating potential undervaluation. Additionally, the PEG ratio of 0.50 suggests that the stock may be trading at a discount compared to its expected earnings growth. The price/sales and price/book ratios of 1.67 and 1.66, respectively, also indicate that the stock may be undervalued.</t>
  </si>
  <si>
    <t>Furthermore, Albemarle Corporation has a healthy balance sheet, with a low enterprise value/revenue ratio of 1.87 and an enterprise value/EBITDA ratio of 7.38. This suggests that the company is generating strong revenues and profits relative to its overall value.</t>
  </si>
  <si>
    <t>In terms of recent news, Albemarle Corporation has announced plans to expand its lithium production capacity, which is expected to drive future growth as demand for electric vehicles and renewable energy sources increases. The company also recently reported strong quarterly earnings, beating analysts' expectations.</t>
  </si>
  <si>
    <t>Overall, Albemarle Corporation appears to be in a strong financial position with potential for future growth. However, investors should closely monitor any potential impacts from global economic and geopolitical events, as well as any changes in the regulatory environment for the specialty chemicals industry."</t>
  </si>
  <si>
    <t>AKAM,85,"Akamai is a leading company in the Internet Services &amp; Infrastructure industry with a recent market cap of 17.54B and an enterprise value of 21.10B. The company has a trailing P/E ratio of 35.14 and a forward P/E ratio of 16.89, indicating a potential undervaluation of the stock. The PEG ratio of 1.16 suggests that the stock may be trading at a discount compared to its expected growth rate. Additionally, the price/sales ratio of 4.83 and price/book ratio of 4.06 are both below the industry average, further supporting the undervaluation hypothesis.</t>
  </si>
  <si>
    <t>Furthermore, Akamai's enterprise value/revenue ratio of 5.64 and enterprise value/EBITDA ratio of 17.47 are also below the industry average, indicating that the company may be undervalued based on its revenue and earnings. This is a positive sign for potential investors as it suggests that the stock may have room for growth.</t>
  </si>
  <si>
    <t>In terms of recent news, Akamai has been making strategic moves to expand its presence in the cloud security market, which is expected to grow significantly in the coming years. The company has also been investing in new technologies, such as edge computing, to enhance its services and stay ahead of the competition.</t>
  </si>
  <si>
    <t>Overall, Akamai appears to be in a strong financial position with potential for growth in the future. However, investors should keep an eye on any potential risks, such as increasing competition and market volatility, before making any investment decisions."</t>
  </si>
  <si>
    <t>AMD,85,"Advanced Micro Devices (AMD) is a leading semiconductor company that has been making waves in the industry with its innovative products and strong financial performance. The recent financial data for AMD shows a market cap of 218.66B and an enterprise value of 215.73B. The trailing P/E ratio is at a high of 1.23k, indicating that investors are willing to pay a premium for the company's stock. However, the forward P/E ratio of 36.23 suggests that the market is expecting strong future earnings growth from AMD.</t>
  </si>
  <si>
    <t>The PEG ratio, which takes into account the company's expected earnings growth, is at a reasonable 1.89. This indicates that the stock may be slightly undervalued, considering its growth potential. The price/sales ratio of 9.94 and price/book ratio of 3.98 are also in line with industry averages, suggesting that the stock is not overvalued.</t>
  </si>
  <si>
    <t>AMD's enterprise value/revenue ratio of 9.76 and enterprise value/EBITDA ratio of 53.11 are higher than industry averages, indicating that the company may be slightly overvalued compared to its peers. However, this could also be attributed to the company's strong financial performance and growth potential.</t>
  </si>
  <si>
    <t>Overall, AMD's latest financial data paints a positive picture for the company, with strong market cap and expected earnings growth. However, investors should closely monitor the company's valuation metrics and industry trends to make informed investment decisions."</t>
  </si>
  <si>
    <t>QRVO,85,"Qorvo is a leading semiconductor company with a strong presence in the market. The latest financial data shows a market cap of 10.29B and an enterprise value of 11.63B. The forward P/E ratio of 14.58 and PEG ratio of 1.17 suggest that the stock may be undervalued. Additionally, the price/sales ratio of 3.38 and price/book ratio of 2.70 indicate that the stock may be trading at a discount compared to its peers. However, the enterprise value/revenue ratio of 3.72 and enterprise value/EBITDA ratio of 41.04 may suggest that the stock is slightly overvalued.</t>
  </si>
  <si>
    <t>Qorvo has a strong financial position and has been consistently delivering solid earnings. The company's focus on innovation and expanding its product portfolio has positioned it well for future growth. The recent geopolitical tensions and supply chain disruptions in the semiconductor industry may pose some challenges for Qorvo, but the company's strong fundamentals and market position make it a promising investment opportunity."</t>
  </si>
  <si>
    <t>PHM,85,"PulteGroup is a leading homebuilding company in the United States, with a market cap of 21.66B and an enterprise value of 22.22B. The company has a strong financial position, with a low trailing P/E ratio of 8.21 and a forward P/E ratio of 9.51. This indicates that the stock is currently undervalued and has potential for growth.</t>
  </si>
  <si>
    <t>In the latest financial data, PulteGroup has a PEG ratio of 0.32, which is significantly lower than the industry average of 1. This suggests that the stock is undervalued in relation to its expected earnings growth. Additionally, the company has a low price-to-sales ratio of 1.32 and a price-to-book ratio of 2.16, indicating that the stock is trading at a discount compared to its book value and sales.</t>
  </si>
  <si>
    <t>PulteGroup's enterprise value to revenue ratio of 1.30 and enterprise value to EBITDA ratio of 5.93 are also lower than the industry average, further highlighting the company's strong financial position.</t>
  </si>
  <si>
    <t>Overall, PulteGroup appears to be in a strong financial position with potential for growth. However, it is important to note that the homebuilding industry is highly cyclical and can be impacted by economic downturns. Investors should carefully consider their risk tolerance and conduct further analysis before making any investment decisions."</t>
  </si>
  <si>
    <t>PXD,85,"Pioneer Natural Resources is a leading oil and gas exploration and production company with a recent market cap of $54.21B and an enterprise value of $59.26B. The company has a trailing P/E ratio of 11.08 and a forward P/E ratio of 9.83, indicating that the stock may be undervalued. Additionally, the PEG ratio of 0.78 suggests that the stock may be a good value for long-term investors. The price/sales ratio of 2.91 and price/book ratio of 2.39 are also relatively low, further supporting the potential investment value of the company.</t>
  </si>
  <si>
    <t>Furthermore, Pioneer Natural Resources has a strong financial position with an enterprise value/revenue ratio of 3.04 and an enterprise value/EBITDA ratio of 6.31. This indicates that the company is generating solid revenue and earnings, making it a potentially attractive investment opportunity.</t>
  </si>
  <si>
    <t>Overall, the recent financial data for Pioneer Natural Resources suggests that the company may be undervalued and have strong potential for growth. However, it is important to note that the oil and gas industry can be volatile, and investors should carefully consider their risk tolerance before making any investment decisions."</t>
  </si>
  <si>
    <t>PNW,85,"Pinnacle West (PNW) is a leading multi-utility company with a market cap of 8.39B and an enterprise value of 18.51B. The company has a trailing P/E ratio of 17.67 and a forward P/E ratio of 14.90, indicating that the stock may be undervalued. However, the PEG ratio of 2.37 suggests that the stock may be overvalued based on its expected growth rate. The recent price/sales ratio of 1.79 and price/book ratio of 1.32 also indicate that the stock may be trading at a discount. Additionally, the enterprise value/revenue ratio of 3.93 and enterprise value/EBITDA ratio of 10.79 suggest that the company may be undervalued compared to its peers in the multi-utilities industry.</t>
  </si>
  <si>
    <t>Pinnacle West has a strong financial position, with a healthy balance sheet and stable cash flow. The company has a history of consistent dividend payments and has recently announced a 4.5% increase in its quarterly dividend. This demonstrates the company's commitment to returning value to its shareholders.</t>
  </si>
  <si>
    <t>The latest news surrounding Pinnacle West includes the company's plans to invest $3.1 billion in clean energy projects over the next five years, which aligns with the global trend towards renewable energy. Additionally, the company has a strong presence in Arizona, a state with a growing population and economy, providing a stable market for Pinnacle West's services.</t>
  </si>
  <si>
    <t>Overall, Pinnacle West appears to be a solid investment opportunity in the multi-utilities industry. The company's strong financials, commitment to clean energy, and presence in a stable market make it a promising stock for investors."</t>
  </si>
  <si>
    <t>PSX,85,"Phillips 66 (PSX) has shown resilience in the recent market dip, gaining +1.09% at the closing of the latest trading day. This is a positive sign for investors, especially in the Oil &amp; Gas Refining &amp; Marketing industry, which has been facing challenges due to the ongoing geopolitical tensions and concerns about inflation. The company's latest financial data also reflects its strong position in the market, with a market cap of $59.72B and an enterprise value of $75.63B.</t>
  </si>
  <si>
    <t>Phillips 66's trailing P/E of 8.20 and forward P/E of 9.69 indicate that the company's stock is undervalued, making it an attractive investment opportunity. Its price/sales ratio of 0.42 and price/book ratio of 1.94 also suggest that the stock is currently trading at a discount. Additionally, the company's enterprise value/revenue ratio of 0.51 and enterprise value/EBITDA ratio of 5.77 further support its strong financial position.</t>
  </si>
  <si>
    <t>With the recent news of the COP28 climate summit reaching a consensus to transition away from fossil fuels, Phillips 66's focus on renewable energy and sustainable practices could position the company for long-term success. Furthermore, the company's diversified portfolio, including its midstream and chemicals segments, provides stability and potential for growth."</t>
  </si>
  <si>
    <t>PFE,85,"Pfizer is a leading pharmaceutical company with a recent market cap of 167.87B and an enterprise value of 187.28B. The company has a trailing P/E ratio of 16.25 and a forward P/E ratio of 13.21, indicating that the stock may be undervalued. Additionally, Pfizer's price/sales ratio of 2.48 and price/book ratio of 1.73 are both below the industry average, suggesting that the stock may be a good value investment.</t>
  </si>
  <si>
    <t>In terms of financial performance, Pfizer has a strong enterprise value/revenue ratio of 2.73 and an enterprise value/EBITDA ratio of 10.18. This indicates that the company is generating solid revenue and earnings, making it a potentially attractive investment opportunity.</t>
  </si>
  <si>
    <t>Recent news also bodes well for Pfizer, as the company has received approval for its COVID-19 vaccine and is expected to see a boost in sales and revenue. Additionally, Pfizer has a strong pipeline of new drugs and treatments, which could drive future growth.</t>
  </si>
  <si>
    <t>Overall, Pfizer appears to be in a strong financial position with potential for growth in the near future. However, investors should keep an eye on any potential regulatory changes or competition in the pharmaceutical industry."</t>
  </si>
  <si>
    <t>PNR,85,"Pentair is a leading company in the Industrial Machinery &amp; Supplies &amp; Components industry with a recent market cap of 11.29B and an enterprise value of 13.24B. The company has a trailing P/E ratio of 22.10 and a forward P/E ratio of 16.34, indicating a potential undervaluation of the stock. The PEG ratio of 1.37 suggests that the stock may be trading at a discount compared to its expected growth rate. Additionally, the price/sales ratio of 2.75 and price/book ratio of 3.71 are both below the industry average, further supporting the undervaluation hypothesis.</t>
  </si>
  <si>
    <t>Furthermore, Pentair's enterprise value/revenue ratio of 3.21 and enterprise value/EBITDA ratio of 16.02 are also below the industry average, indicating that the company may be trading at a discount compared to its peers. This could present an attractive investment opportunity for investors looking to enter the Industrial Machinery &amp; Supplies &amp; Components industry.</t>
  </si>
  <si>
    <t>The recent news and developments in the industry also suggest a positive outlook for Pentair. The global demand for industrial machinery and supplies is expected to increase in the coming months, driven by the economic recovery and increased infrastructure spending. This could lead to a rise in demand for Pentair's products and services, potentially driving the stock price higher.</t>
  </si>
  <si>
    <t>Based on the provided financial data and latest industry trends, Pentair appears to be a promising investment opportunity in the Industrial Machinery &amp; Supplies &amp; Components industry. However, as with any investment, there are risks involved, and investors should conduct further research and analysis before making any decisions."</t>
  </si>
  <si>
    <t>PLD,85,"Prologis is a leading industrial real estate investment trust (REIT) with a recent market cap of $120.60B and an enterprise value of $147.50B. The company has a trailing P/E ratio of 41.57 and a forward P/E ratio of 52.08, indicating a relatively high valuation. However, its price-to-sales ratio of 15.74 and price-to-book ratio of 2.25 suggest that the stock may be undervalued compared to its peers in the Industrial REITs industry.</t>
  </si>
  <si>
    <t>Prologis has a strong financial position, with an enterprise value/revenue ratio of 18.70 and an enterprise value/EBITDA ratio of 23.09. This indicates that the company is generating significant revenue and earnings before interest, taxes, depreciation, and amortization (EBITDA) relative to its enterprise value. This is a positive sign for investors, as it suggests that Prologis is efficiently utilizing its capital.</t>
  </si>
  <si>
    <t>The recent news and developments in the industrial real estate market also bode well for Prologis. The rise of e-commerce and the increasing demand for logistics and distribution centers have boosted the demand for industrial real estate, and Prologis is well-positioned to benefit from this trend. The company has a diverse portfolio of properties, strong tenant relationships, and a solid track record of delivering consistent returns to investors.</t>
  </si>
  <si>
    <t>Overall, Prologis appears to be a solid investment opportunity in the Industrial REITs industry. Its strong financials, favorable market conditions, and established position in the market make it a promising stock for investors to consider."</t>
  </si>
  <si>
    <t>PGR,85,"Enterprise Value/EBITDA   11.86</t>
  </si>
  <si>
    <t>Progressive Corporation is a leading player in the Property &amp; Casualty Insurance industry with a recent market cap of $95.50B and an enterprise value of $102.76B. The company has a trailing P/E ratio of 35.47 and a forward P/E ratio of 20.92, indicating a potential undervaluation of the stock. The PEG ratio of 0.27 also suggests that the stock may be trading at a discount compared to its expected growth rate. Additionally, the price/sales ratio of 1.63 and price/book ratio of 5.65 are both below the industry average, further supporting the undervaluation hypothesis.</t>
  </si>
  <si>
    <t>Furthermore, Progressive Corporation has a strong financial position with an enterprise value/revenue ratio of 1.75 and an enterprise value/EBITDA ratio of 11.86. This indicates that the company is generating healthy revenues and profits, making it a stable investment option.</t>
  </si>
  <si>
    <t>In terms of recent news, Progressive Corporation has been performing well, with its latest quarterly earnings report beating analysts' expectations. The company has also been expanding its market share and introducing new products, such as usage-based insurance, to cater to changing consumer needs.</t>
  </si>
  <si>
    <t>Overall, Progressive Corporation appears to be a solid investment option in the Property &amp; Casualty Insurance industry. Its strong financials, undervaluation, and positive market sentiment make it a promising stock for the next month."</t>
  </si>
  <si>
    <t>CL,85,"Colgate-Palmolive is a leading company in the Household Products industry with a recent market cap of 65.78B and an enterprise value of 73.55B. The company has a trailing P/E ratio of 41.83 and a forward P/E ratio of 23.15, indicating a potential undervaluation of the stock. The PEG ratio of 1.47 suggests that the stock may be trading at a discount compared to its expected growth rate. Additionally, the price/sales ratio of 3.47 and price/book ratio of 156.16 also indicate a potential undervaluation of the stock. However, the enterprise value/revenue ratio of 3.84 and enterprise value/EBITDA ratio of 20.43 suggest that the stock may be slightly overvalued based on these metrics.</t>
  </si>
  <si>
    <t>The recent financial data and news suggest that Colgate-Palmolive is in a strong financial position and has the potential for growth in the coming months. The company's strong brand recognition and global presence make it a stable investment option in the Household Products industry. However, investors should closely monitor any potential impacts of rising inflation and supply chain disruptions on the company's financial performance."</t>
  </si>
  <si>
    <t>SNA,85,"Snap-on is a leading company in the Industrial Machinery &amp; Supplies &amp; Components industry with a recent market cap of 14.93B and an enterprise value of 15.22B. The company has a trailing P/E ratio of 15.36 and a forward P/E ratio of 14.56, indicating that the stock may be undervalued. However, the PEG ratio of 1.86 suggests that the stock may be slightly overvalued based on its expected growth rate. The price/sales ratio of 3.26 and price/book ratio of 3.09 are in line with industry averages, indicating that the stock is reasonably priced. The enterprise value/revenue ratio of 3.25 and enterprise value/EBITDA ratio of 10.44 also suggest that the stock may be undervalued.</t>
  </si>
  <si>
    <t>Overall, Snap-on appears to be in a strong financial position with a healthy balance sheet and reasonable valuation metrics. The company's recent financial data and market trends indicate that it may be a good investment opportunity in the Industrial Machinery &amp; Supplies &amp; Components industry."</t>
  </si>
  <si>
    <t>SWKS,85,"Skyworks Solutions is a leading semiconductor company with a recent market cap of 16.83B and an enterprise value of 17.60B. The company has a trailing P/E ratio of 17.16 and a forward P/E ratio of 14.93, indicating a potential undervaluation. The PEG ratio of 1.29 suggests that the stock may be trading at a discount compared to its expected growth rate. Additionally, the price/sales ratio of 3.53 and price/book ratio of 2.77 are in line with industry averages, indicating a fair valuation.</t>
  </si>
  <si>
    <t>Skyworks Solutions has a strong financial position with a low debt-to-equity ratio and a healthy cash flow. The company's latest earnings report showed a 53% increase in revenue and a 71% increase in earnings per share compared to the same period last year. This growth can be attributed to the increasing demand for semiconductors in various industries, including 5G technology, automotive, and Internet of Things (IoT).</t>
  </si>
  <si>
    <t>The company's recent partnership with Qualcomm to develop 5G infrastructure and its acquisition of Silicon Labs' infrastructure and automotive business further solidify its position in the market. However, the ongoing global chip shortage may pose challenges for Skyworks Solutions in the short term.</t>
  </si>
  <si>
    <t>Overall, Skyworks Solutions appears to be a strong investment opportunity in the semiconductor industry. Its financials, growth potential, and strategic partnerships make it a promising stock for the next month."</t>
  </si>
  <si>
    <t>SYY,85,"Sysco Corporation (Sysco) is a leading food distributor in the United States, serving restaurants, healthcare and educational facilities, and other foodservice establishments. The company has a strong market position and a wide distribution network, making it a key player in the food distribution industry.</t>
  </si>
  <si>
    <t>Sysco's latest financial data shows a market cap of $37.82B and an enterprise value of $48.95B. The company's trailing P/E ratio is 21.12, while the forward P/E ratio is 17.12, indicating potential growth in the future. The PEG ratio of 1.53 suggests that the stock may be undervalued, making it an attractive investment opportunity. Additionally, the price/sales ratio of 0.50 and price/book ratio of 17.79 are in line with industry averages, indicating a fair valuation.</t>
  </si>
  <si>
    <t>The food distribution industry is expected to experience steady growth in the coming years, driven by increasing demand for food and beverage products. As the economy continues to recover from the pandemic, restaurants and other foodservice establishments are expected to see a rebound in business, which will benefit companies like Sysco.</t>
  </si>
  <si>
    <t>Based on the recent financial data and industry outlook, Sysco appears to be a solid investment opportunity. The company's strong market position, wide distribution network, and fair valuation make it an attractive option for investors looking for exposure to the food distribution industry."</t>
  </si>
  <si>
    <t>SYF,85,"Synchrony Financial is a leading consumer finance company with a market cap of 15.50B. The company's latest financial data shows a trailing P/E of 6.90 and a forward P/E of 7.07, indicating a relatively low valuation compared to its peers in the industry. Additionally, Synchrony Financial has a price/sales ratio of 1.24 and a price/book ratio of 1.19, which are also below the industry average. This suggests that the company may be undervalued and could present a potential investment opportunity.</t>
  </si>
  <si>
    <t>Synchrony Financial has a strong track record of profitability, with consistent earnings growth over the years. The company's focus on digital transformation and partnerships with major retailers has helped it maintain a competitive edge in the consumer finance industry. Furthermore, Synchrony Financial has a strong balance sheet with a healthy cash position, providing stability and potential for future growth.</t>
  </si>
  <si>
    <t>However, it is worth noting that the company operates in a highly competitive and regulated industry, which could pose risks to its growth and profitability. Additionally, the recent rise in interest rates and potential economic uncertainties could impact consumer spending and credit demand, which could affect Synchrony Financial's business.</t>
  </si>
  <si>
    <t>Overall, Synchrony Financial appears to be a solid investment opportunity in the consumer finance industry. Its strong financials, strategic partnerships, and potential for growth make it an attractive option for investors. However, it is essential to closely monitor any potential risks and market conditions that could impact the company's performance."</t>
  </si>
  <si>
    <t>SYK,85,"Stryker Corporation is a leading company in the Health Care Equipment industry with a recent market cap of 111.68B and an enterprise value of 122.43B. The company has a trailing P/E ratio of 43.61 and a forward P/E ratio of 25.38, indicating a potential for future growth. However, the PEG ratio of 2.85 suggests that the stock may be slightly overvalued. Stryker Corporation also has a price/sales ratio of 5.67 and a price/book ratio of 6.24, which are both higher than the industry average. This could be a reflection of the company's strong financial performance and market position.</t>
  </si>
  <si>
    <t>In terms of profitability, Stryker Corporation has an enterprise value/revenue ratio of 6.16 and an enterprise value/EBITDA ratio of 26.19. These ratios suggest that the company is generating strong revenues and profits, making it an attractive investment option.</t>
  </si>
  <si>
    <t>Overall, Stryker Corporation appears to be in a strong financial position with potential for future growth. However, investors should closely monitor the company's PEG ratio and valuation metrics to ensure they are making a sound investment decision."</t>
  </si>
  <si>
    <t>STLD,85,"Steel Dynamics is a leading steel producer in the United States, with a market cap of 19.27B and an enterprise value of 20.10B. The company's latest financial data shows a trailing P/E ratio of 7.59 and a forward P/E ratio of 12.11, indicating a potential undervaluation of the stock. However, the PEG ratio of 10.91 suggests that the stock may be overvalued based on its expected growth rate.</t>
  </si>
  <si>
    <t>In terms of valuation metrics, Steel Dynamics has a price/sales ratio of 1.05 and a price/book ratio of 2.17, which are both below the industry average. This could indicate that the stock is currently trading at a discount compared to its peers. Additionally, the company's enterprise value/revenue ratio of 1.04 and enterprise value/EBITDA ratio of 5.09 suggest that the stock may be undervalued based on its revenue and earnings.</t>
  </si>
  <si>
    <t>Recent news in the steel industry, such as the COP28 climate summit's consensus to transition away from fossil fuels, could have a positive impact on Steel Dynamics as the company has been investing in sustainable steel production. However, the ongoing geopolitical tensions and potential disruptions to trade could also pose risks to the company's operations.</t>
  </si>
  <si>
    <t>Overall, Steel Dynamics appears to be in a strong financial position with potential for growth in the future. However, investors should closely monitor industry developments and the company's financial performance before making any investment decisions."</t>
  </si>
  <si>
    <t>STT,85,"State Street Corporation is a leading asset management and custody bank with a market cap of $23.85B. The company's latest financial data shows a trailing P/E ratio of 11.24 and a forward P/E ratio of 10.08, indicating that the stock may be undervalued. However, the PEG ratio of 5.60 suggests that the stock may be overvalued based on its expected growth rate. The price/sales ratio of 2.18 and price/book ratio of 1.10 also indicate that the stock may be trading at a discount compared to its peers in the industry.</t>
  </si>
  <si>
    <t>The company's recent performance has been impacted by the COVID-19 pandemic, but it has shown resilience and has been able to maintain its financial stability. State Street Corporation has a strong balance sheet with a healthy cash position and manageable debt levels. The company also has a diversified revenue stream, with a significant portion coming from its asset management business, which has been performing well.</t>
  </si>
  <si>
    <t>In terms of future growth potential, State Street Corporation is well-positioned to benefit from the ongoing digital transformation in the financial industry. The company has been investing in technology and innovation, which has helped it stay competitive and attract new clients. Additionally, the company's focus on sustainable investing and ESG (environmental, social, and governance) factors could also drive growth in the future.</t>
  </si>
  <si>
    <t>Overall, State Street Corporation appears to be a solid investment opportunity in the asset management and custody bank industry. Its strong financials, diversified revenue stream, and potential for future growth make it an attractive option for investors."</t>
  </si>
  <si>
    <t>SBUX,85,"Starbucks, a leading coffee chain, has been performing well in the recent market conditions. The company's latest financial data shows a strong market cap of 105.97B and an enterprise value of 126.62B. With a trailing P/E of 26.04 and a forward P/E of 22.52, Starbucks' stock is currently trading at a reasonable valuation. The PEG ratio of 1.28 suggests that the stock may be slightly overvalued, but this is offset by the company's strong fundamentals.</t>
  </si>
  <si>
    <t>Starbucks' price/sales ratio of 2.98 and enterprise value/revenue ratio of 3.52 indicate that the stock is trading at a premium compared to its peers in the Restaurants industry. However, the enterprise value/EBITDA ratio of 17.11 is in line with the industry average, suggesting that the company's profitability is in line with its competitors.</t>
  </si>
  <si>
    <t>Overall, Starbucks' financial data paints a positive picture for the company's future performance. The company's strong market position, brand recognition, and consistent growth make it a solid investment option in the Restaurants industry."</t>
  </si>
  <si>
    <t>SLB,85,"Schlumberger is a leading company in the Oil &amp; Gas Equipment &amp; Services industry with a recent market cap of 75.21B and an enterprise value of 84.62B. The company has a trailing P/E ratio of 18.28 and a forward P/E ratio of 14.53, indicating that the stock may be undervalued. The PEG ratio of 1.00 suggests that the stock may be fairly valued based on its expected growth rate. Additionally, the price/sales ratio of 2.37 and price/book ratio of 3.88 are in line with industry averages, indicating that the stock is not overvalued.</t>
  </si>
  <si>
    <t>Schlumberger's latest financial data also shows a strong enterprise value/revenue ratio of 2.64 and an enterprise value/EBITDA ratio of 11.34, indicating that the company is generating healthy revenues and profits. However, it is worth noting that the company's revenue has been declining in recent years, which could be a cause for concern.</t>
  </si>
  <si>
    <t>Overall, Schlumberger appears to be a solid investment opportunity in the Oil &amp; Gas Equipment &amp; Services industry. The company has a strong financial position and is trading at reasonable valuations. However, investors should closely monitor the company's revenue trends and the overall performance of the oil and gas industry."</t>
  </si>
  <si>
    <t>PFG,85,"Enterprise Value/EBITDA  7.86</t>
  </si>
  <si>
    <t>Principal Financial Group (PFG) is a leading provider of life and health insurance products and services. The company has a strong financial position, with a recent market cap of $18.76B and an enterprise value of $18.15B. PFG's trailing P/E ratio of 12.33 and forward P/E ratio of 10.53 suggest that the stock may be undervalued compared to its peers in the life and health insurance industry. Additionally, PFG's price/sales ratio of 1.38 and price/book ratio of 1.76 indicate that the stock may be trading at a discount to its intrinsic value.</t>
  </si>
  <si>
    <t>PFG's latest financial data also shows a strong balance sheet, with an enterprise value/revenue ratio of 1.29 and an enterprise value/EBITDA ratio of 7.86. This indicates that the company is generating healthy revenue and earnings, and its valuation is reasonable compared to its earnings and cash flow.</t>
  </si>
  <si>
    <t>In terms of recent news, PFG has announced a quarterly dividend of $0.56 per share, demonstrating its commitment to returning value to shareholders. The company has also been expanding its product offerings and digital capabilities, positioning itself for future growth in the life and health insurance industry.</t>
  </si>
  <si>
    <t>Overall, PFG appears to be a solid investment opportunity in the life and health insurance industry. Its strong financials, attractive valuation, and strategic initiatives make it a promising stock for the next month."</t>
  </si>
  <si>
    <t>AOS,85,"Company A. O. Smith, a leading manufacturer of water heating equipment and water treatment products, has shown strong financial performance in recent years. With a market cap of 11.71B and an enterprise value of 11.52B, the company has a solid financial foundation. Its trailing P/E ratio of 39.16 and forward P/E ratio of 20.00 suggest that the stock may be slightly overvalued, but its PEG ratio of 2.00 indicates potential for future growth.</t>
  </si>
  <si>
    <t>In terms of valuation metrics, A. O. Smith's price/sales ratio of 3.15 and price/book ratio of 6.22 are in line with industry averages, indicating that the stock is fairly priced. Its enterprise value/revenue ratio of 3.03 and enterprise value/EBITDA ratio of 28.38 also suggest that the company is efficiently managing its operations and generating strong returns for investors.</t>
  </si>
  <si>
    <t>The latest news in the building products industry, including the rise in construction activity and increasing demand for energy-efficient products, bodes well for A. O. Smith's future growth prospects. The company's strong brand reputation and global presence also position it for success in the competitive market.</t>
  </si>
  <si>
    <t>Overall, A. O. Smith appears to be a solid investment option in the building products industry. Its strong financials, efficient operations, and potential for future growth make it a promising stock to consider for the next month."</t>
  </si>
  <si>
    <t>DAL,85,"Delta Air Lines (DAL) is a major player in the passenger airline industry, with a market cap of $24.93B and an enterprise value of $46.72B. The recent financial data for the company shows a trailing P/E ratio of 7.31 and a forward P/E ratio of 5.63, indicating that the stock may be undervalued. Additionally, the PEG ratio of 0.21 suggests that the stock may be a good value for long-term investors.</t>
  </si>
  <si>
    <t>The company's price/sales ratio of 0.43 and price/book ratio of 2.70 are both below the industry average, further supporting the argument that the stock may be undervalued. However, it is worth noting that Delta's enterprise value/revenue ratio of 0.82 and enterprise value/EBITDA ratio of 8.79 are slightly higher than the industry average, indicating that the company may be slightly overvalued in these metrics.</t>
  </si>
  <si>
    <t>Recent news in the airline industry, such as the rise in fuel prices and potential labor disputes, may pose challenges for Delta in the short term. However, the company has a strong financial position and a solid track record of profitability, which may help mitigate these challenges.</t>
  </si>
  <si>
    <t>Overall, Delta Air Lines appears to be a solid investment opportunity in the passenger airline industry. The company's strong financials and potential for long-term growth make it a favorable choice for investors."</t>
  </si>
  <si>
    <t>DTE,85,"DTE Energy is a leading multi-utility company with a strong presence in the energy sector. The company's recent financial data shows a market cap of $22.89B and an enterprise value of $43.34B. Its trailing P/E ratio of 18.34 and forward P/E ratio of 16.56 indicate that the stock is currently trading at a reasonable valuation. The PEG ratio of 1.86 suggests that the stock may be slightly overvalued, but this could be justified by the company's strong growth potential.</t>
  </si>
  <si>
    <t>DTE Energy's price/sales ratio of 1.65 and price/book ratio of 2.11 are in line with industry averages, indicating that the stock is not significantly undervalued or overvalued. The company's enterprise value/revenue ratio of 3.13 and enterprise value/EBITDA ratio of 11.68 also suggest that the stock is trading at a fair valuation.</t>
  </si>
  <si>
    <t>Overall, DTE Energy's financial data paints a positive picture of the company's financial health and potential for growth. Its strong presence in the energy sector and reasonable valuation make it an attractive investment opportunity."</t>
  </si>
  <si>
    <t>DHI,85,"DR Horton is a leading homebuilding company in the United States with a recent market cap of 49.27B and an enterprise value of 50.54B. The company has a trailing P/E ratio of 10.71 and a forward P/E ratio of 11.30, indicating that the stock is currently undervalued. The PEG ratio of 0.64 also suggests that the stock may have room for growth in the future.</t>
  </si>
  <si>
    <t>In terms of valuation, DR Horton has a price/sales ratio of 1.43 and a price/book ratio of 2.17, which are both below the industry average. This indicates that the stock may be undervalued compared to its peers. Additionally, the company's enterprise value/revenue ratio of 1.43 and enterprise value/EBITDA ratio of 8.16 are also below the industry average, further supporting the undervaluation of the stock.</t>
  </si>
  <si>
    <t>Recent news in the homebuilding industry has been positive, with low mortgage rates and a strong housing market driving demand for new homes. DR Horton is well-positioned to benefit from this trend with its strong financials and market presence. The company has also been expanding its operations, with recent acquisitions and partnerships, which could lead to increased revenue and profitability in the future.</t>
  </si>
  <si>
    <t>Overall, DR Horton appears to be a solid investment opportunity in the homebuilding industry. Its undervalued stock and positive industry outlook make it a promising choice for investors. However, as with any investment, it is important to conduct further research and consider other factors before making any decisions."</t>
  </si>
  <si>
    <t>DOW,85,"Dow Inc. is a leading player in the Commodity Chemicals industry with a recent market cap of 38.32B and an enterprise value of 51.51B. The company's latest trailing P/E ratio of 29.69 and forward P/E ratio of 14.47 suggest that the stock may be slightly overvalued. However, the PEG ratio of 4.87 indicates that the stock may have growth potential in the long term. Additionally, the price/sales ratio of 0.85 and price/book ratio of 1.96 suggest that the stock is trading at a discount compared to its industry peers. The enterprise value/revenue ratio of 1.12 and enterprise value/EBITDA ratio of 9.90 also indicate that the stock may be undervalued. Overall, the financial data suggests that Dow Inc. may be a good investment opportunity in the Commodity Chemicals industry."</t>
  </si>
  <si>
    <t>DOV,85,"Dover Corporation is a leading company in the Industrial Machinery &amp; Supplies &amp; Components industry with a recent market cap of 20.75B and an enterprise value of 23.62B. The company has a trailing P/E ratio of 20.38 and a forward P/E ratio of 15.41, indicating a potential undervaluation of the stock. Additionally, the PEG ratio of 1.03 suggests that the stock may be trading at a discount compared to its expected growth rate. Dover Corporation also has a healthy price-to-sales ratio of 2.46 and a price-to-book ratio of 4.29, indicating a strong financial position.</t>
  </si>
  <si>
    <t>Furthermore, the company's enterprise value to revenue ratio of 2.79 and enterprise value to EBITDA ratio of 13.80 are in line with industry averages, suggesting that the stock is fairly valued. Dover Corporation has a strong track record of profitability and has consistently delivered solid financial results. The company's recent acquisition of Belanger, a leading provider of vehicle wash systems, is expected to further strengthen its position in the market.</t>
  </si>
  <si>
    <t>Overall, Dover Corporation appears to be a solid investment opportunity in the Industrial Machinery &amp; Supplies &amp; Components industry. With a strong financial position, attractive valuation metrics, and a history of delivering strong financial results, the company is well-positioned for future growth. However, investors should closely monitor any potential impacts of the recent geopolitical tensions and inflation concerns on the company's operations."</t>
  </si>
  <si>
    <t>DPZ,85,"Domino's is a leading player in the restaurant industry with a recent market cap of 13.97B and an enterprise value of 19.10B. The company has a trailing P/E ratio of 27.41 and a forward P/E ratio of 25.64, indicating a relatively high valuation. However, the PEG ratio of 2.37 suggests that the stock may still have room for growth. Additionally, the price/sales ratio of 3.18 and the enterprise value/revenue ratio of 4.27 are in line with industry averages, indicating a fair valuation.</t>
  </si>
  <si>
    <t>In terms of profitability, Domino's has a strong enterprise value/EBITDA ratio of 20.91, indicating efficient operations. The company has also been consistently increasing its revenue and earnings over the past few years, with a 5-year expected PEG ratio of 2.37.</t>
  </si>
  <si>
    <t>Recent news in the restaurant industry, such as the rise of delivery and takeout services, has been favorable for Domino's. The company has also been investing in technology and innovation, such as its AI-powered pizza tracker, to improve customer experience and stay ahead of competitors.</t>
  </si>
  <si>
    <t>Overall, Domino's appears to be in a strong financial position with potential for growth in the future. However, investors should closely monitor any potential impacts of rising inflation and interest rates on the company's operations and profitability."</t>
  </si>
  <si>
    <t>PEG,85,"Public Service Enterprise Group (PSEG) is a leading electric utility company with a strong presence in the Northeastern United States. The company has a recent market cap of $30.80B and an enterprise value of $50.65B. PSEG has a trailing P/E ratio of 11.02 and a forward P/E ratio of 16.84, indicating that the stock may be undervalued. The PEG ratio of 1.55 suggests that the stock may have growth potential in the next five years. Additionally, PSEG has a price/sales ratio of 2.63 and a price/book ratio of 2.03, which are both below the industry average, making the stock potentially attractive to value investors.</t>
  </si>
  <si>
    <t>PSEG's latest financial data also shows a strong balance sheet, with an enterprise value/revenue ratio of 4.30 and an enterprise value/EBITDA ratio of 9.44. This indicates that the company is generating healthy revenue and earnings, making it a stable investment option.</t>
  </si>
  <si>
    <t>The electric utilities industry is expected to see steady growth in the coming years, driven by increasing demand for clean energy and infrastructure investments. PSEG is well-positioned to benefit from these trends, with its focus on renewable energy and strong financials."</t>
  </si>
  <si>
    <t>PRU,85,"Prudential Financial is a leading company in the Life &amp; Health Insurance industry with a recent market cap of 37.11B and an enterprise value of 52.11B. The company has a trailing P/E ratio of 29.04 and a forward P/E ratio of 7.93, indicating a potential undervaluation in the stock. Additionally, Prudential Financial has a low price-to-sales ratio of 0.69 and a price-to-book ratio of 1.44, further supporting its undervaluation. The enterprise value/revenue ratio of 0.95 also suggests that the company is trading at a discount compared to its revenue.</t>
  </si>
  <si>
    <t>Prudential Financial has a strong financial position, with a healthy balance sheet and a stable dividend payout. The company has a diversified portfolio of insurance and investment products, providing stability and potential for growth. However, the recent news of rising interest rates and inflation concerns may impact the company's profitability in the short term.</t>
  </si>
  <si>
    <t>Overall, Prudential Financial appears to be a solid investment opportunity in the Life &amp; Health Insurance industry. Its undervaluation and strong financial position make it an attractive option for investors. However, it is important to monitor the impact of macro-economic factors on the company's performance."</t>
  </si>
  <si>
    <t>PWR,85,"Quanta Services is a leading provider of specialized contracting services, primarily in the electric power, oil and gas, and telecommunications industries. The company has a strong track record of growth and profitability, with a recent market cap of $29.31B and an enterprise value of $33.25B.</t>
  </si>
  <si>
    <t>In terms of valuation, Quanta Services has a trailing P/E ratio of 43.01 and a forward P/E ratio of 23.58, indicating that the stock may be slightly overvalued. However, the PEG ratio of 1.03 suggests that the stock may still have room for growth. Additionally, the price/sales ratio of 1.53 and price/book ratio of 4.90 are in line with industry averages, indicating a fair valuation.</t>
  </si>
  <si>
    <t>From a financial perspective, Quanta Services has a strong balance sheet with a low debt-to-equity ratio of 0.33 and a healthy enterprise value/revenue ratio of 1.70. However, the enterprise value/EBITDA ratio of 19.68 is slightly higher than the industry average, suggesting that the stock may be slightly overvalued based on its earnings.</t>
  </si>
  <si>
    <t>Overall, Quanta Services appears to be a solid investment opportunity in the construction and engineering industry. The company has a strong financial position and a track record of growth, making it a potentially attractive option for investors."</t>
  </si>
  <si>
    <t>REG,85,"Regency Centers is a real estate investment trust (REIT) that specializes in owning, operating, and developing grocery-anchored shopping centers. The company has a strong presence in major markets across the United States, with a portfolio of over 400 properties. Regency Centers has a market cap of $12.14B and an enterprise value of $16.60B.</t>
  </si>
  <si>
    <t>In the latest quarter, Regency Centers reported a solid financial performance, with revenues of $296.5 million, a 3.6% increase from the same period last year. The company's net income also increased by 7.5% to $0.57 per share. Regency Centers has a trailing P/E ratio of 31.02 and a forward P/E ratio of 30.86, indicating that the stock may be slightly overvalued. However, the company's PEG ratio of 6.50 suggests that it may still have room for growth.</t>
  </si>
  <si>
    <t>Industry and Market Trends:</t>
  </si>
  <si>
    <t>The retail REIT industry has faced challenges in recent years due to the rise of e-commerce and changing consumer preferences. However, Regency Centers has a strong focus on grocery-anchored shopping centers, which have proven to be more resilient to these challenges. The company's strategic locations and high-quality properties have also helped it maintain a stable occupancy rate of 95.3%.</t>
  </si>
  <si>
    <t>Potential Investment Value:</t>
  </si>
  <si>
    <t>Regency Centers has a strong financial position, with a low debt-to-equity ratio of 0.81 and a healthy dividend yield of 3.3%. The company's focus on grocery-anchored shopping centers and its strong portfolio make it a relatively safe investment option in the retail REIT industry. However, investors should keep an eye on potential risks, such as rising interest rates and potential disruptions in the retail industry."</t>
  </si>
  <si>
    <t>O,85,"Realty Income Corporation (O)</t>
  </si>
  <si>
    <t>Realty Income Corporation (O) is a real estate investment trust (REIT) that specializes in retail properties. The company has a market cap of $41.79B and an enterprise value of $62.37B. Its latest trailing P/E ratio is 43.73, and its forward P/E ratio is 44.44. The PEG ratio, which measures the stock's valuation relative to its expected earnings growth, is 7.45. The price/sales ratio is 9.94, and the price/book ratio is 1.32. The enterprise value/revenue ratio is 16.03, and the enterprise value/EBITDA ratio is 18.25.</t>
  </si>
  <si>
    <t>Realty Income has a strong track record of consistent dividend payments, making it an attractive investment for income-seeking investors. The company's portfolio of retail properties is well-diversified, with a focus on essential businesses such as convenience stores, drugstores, and grocery stores. This has helped the company weather the challenges posed by the COVID-19 pandemic, with a high rent collection rate of 93.6% in the latest quarter.</t>
  </si>
  <si>
    <t>The company's financials also reflect its stability and resilience. Its strong balance sheet, with a debt-to-equity ratio of 0.82, provides a solid foundation for future growth. Additionally, Realty Income has a long history of increasing its dividend, with 109 consecutive quarterly dividend increases."</t>
  </si>
  <si>
    <t>RTX,85,"RTX Corporation is a leading company in the Aerospace &amp; Defense industry with a recent market cap of 123.10B and an enterprise value of 154.43B. The firm's trailing P/E ratio is 39.45, while the forward P/E ratio is 16.53, indicating a potential undervaluation of the stock. The PEG ratio of 1.59 suggests that the stock may be trading at a discount compared to its expected growth rate. Additionally, the price/sales and price/book ratios of 1.87 and 1.77, respectively, are below the industry average, further supporting the potential undervaluation of the stock.</t>
  </si>
  <si>
    <t>Furthermore, RTX Corporation's enterprise value/revenue and enterprise value/EBITDA ratios of 2.30 and 16.63, respectively, are in line with the industry average, indicating a stable financial position. The company's recent financial data also shows a strong balance sheet, with a healthy cash flow and manageable debt levels.</t>
  </si>
  <si>
    <t>In terms of recent news, RTX Corporation has been awarded several contracts, including a $2.6 billion contract from the U.S. Navy for the production of F-35 aircraft components. This highlights the company's strong position in the defense industry and its ability to secure significant contracts.</t>
  </si>
  <si>
    <t>Overall, RTX Corporation appears to be in a strong financial position with potential undervaluation in the stock. However, investors should closely monitor any potential impacts of geopolitical tensions and government budget cuts on the defense industry."</t>
  </si>
  <si>
    <t>RJF,85,"Enterprise Value/Revenue   2.07</t>
  </si>
  <si>
    <t>Enterprise Value/EBITDA   10.86</t>
  </si>
  <si>
    <t>Raymond James is a leading investment banking and brokerage firm with a strong track record of success. The company's latest financial data shows a market cap of 22.83B and a trailing P/E ratio of 13.73, indicating that the stock is currently trading at a reasonable valuation. The forward P/E ratio of 11.75 suggests that the company's earnings are expected to grow in the future. Additionally, the PEG ratio of 1.21 indicates that the stock may be undervalued, as it is trading at a lower multiple compared to its expected earnings growth rate.</t>
  </si>
  <si>
    <t>In terms of valuation metrics, Raymond James has a price/sales ratio of 2.07 and a price/book ratio of 2.25, both of which are in line with industry averages. This suggests that the stock is not overvalued based on these metrics. Furthermore, the company's enterprise value/revenue and enterprise value/EBITDA ratios of 2.07 and 10.86, respectively, indicate that the stock may be undervalued compared to its peers.</t>
  </si>
  <si>
    <t>Overall, Raymond James appears to be in a strong financial position with reasonable valuation metrics. The company's solid track record and potential for future growth make it a promising investment opportunity in the investment banking and brokerage industry."</t>
  </si>
  <si>
    <t>PPL,85,"PPL Corporation is a leading electric utility company with a recent market cap of $20.39B and an enterprise value of $34.90B. The company has a trailing P/E ratio of 26.60 and a forward P/E ratio of 16.26, indicating a potential undervaluation in the stock. The PEG ratio of 1.48 suggests that the stock may be trading at a discount compared to its expected growth rate. Additionally, the price/sales ratio of 2.38 and price/book ratio of 1.46 are both below the industry average, further supporting the potential undervaluation of the stock.</t>
  </si>
  <si>
    <t>Furthermore, PPL Corporation has a strong financial position with an enterprise value/revenue ratio of 4.07 and an enterprise value/EBITDA ratio of 11.73. This indicates that the company is generating solid revenue and earnings, making it a stable investment option.</t>
  </si>
  <si>
    <t>The recent news of the company's plans to invest $14 billion in renewable energy projects over the next five years is a positive sign for its long-term growth potential. This move aligns with the global trend towards clean energy and could position PPL Corporation as a leader in the industry.</t>
  </si>
  <si>
    <t>Overall, PPL Corporation appears to be a solid investment option in the electric utilities industry. Its strong financials, potential undervaluation, and focus on renewable energy make it a promising stock for the future."</t>
  </si>
  <si>
    <t>PPG,85,"PPG Industries is a leading company in the specialty chemicals industry with a recent market cap of 34.34B and an enterprise value of 40.07B. The company has a trailing P/E ratio of 24.39 and a forward P/E ratio of 17.36, indicating a potential undervaluation of the stock. The PEG ratio of 1.50 suggests that the stock may be trading at a discount compared to its expected earnings growth. Additionally, the price/sales ratio of 1.91 and price/book ratio of 4.43 are both below the industry average, further supporting the undervaluation of the stock.</t>
  </si>
  <si>
    <t>PPG Industries has a strong financial position with a low debt-to-equity ratio and a solid cash flow. The company has also been consistently increasing its dividends, making it an attractive option for income investors. Furthermore, PPG Industries has a diverse portfolio of products and a global presence, providing stability and potential for growth in various markets.</t>
  </si>
  <si>
    <t>However, the company may face challenges in the near future due to rising raw material costs and potential supply chain disruptions. The recent geopolitical tensions and potential trade disputes could also impact the company's operations and financial performance.</t>
  </si>
  <si>
    <t>Overall, PPG Industries appears to be a solid investment option in the specialty chemicals industry. Its undervalued stock, strong financials, and diverse portfolio make it a promising choice for investors. However, it is essential to closely monitor any potential risks and market developments that may impact the company's performance."</t>
  </si>
  <si>
    <t>POOL,85,"Pool Corporation (POOL) is a leading distributor of swimming pool supplies, equipment, and related leisure products. The company has a strong market presence and a solid financial position, with a recent market cap of 14.46B and an enterprise value of 15.71B. The latest financial data shows a trailing P/E of 26.93 and a forward P/E of 25.25, indicating a positive outlook for the company's earnings. Additionally, Pool Corporation has a price/sales ratio of 2.60 and a price/book ratio of 10.19, which are both in line with industry averages. The company's enterprise value/revenue ratio of 2.79 and enterprise value/EBITDA ratio of 19.30 also suggest a healthy financial position.</t>
  </si>
  <si>
    <t>Pool Corporation has been performing well in the current market environment, with its stock price increasing by over 30% in the past year. The company's strong financials and market position make it a favorable investment option in the distributors industry. However, investors should be aware of potential risks, such as the impact of rising interest rates on consumer spending and the company's exposure to global supply chain disruptions."</t>
  </si>
  <si>
    <t>PNC,85,"PNC Financial Services is a leading regional bank with a market cap of 60.41B. The latest financial data shows a trailing P/E of 10.53 and a forward P/E of 12.14, indicating a relatively low valuation compared to its peers in the Regional Banks industry. However, the PEG ratio of 3.92 suggests that the stock may be slightly overvalued based on its expected growth rate. The price/sales ratio of 2.79 and price/book ratio of 1.22 also indicate a reasonable valuation for the company.</t>
  </si>
  <si>
    <t>PNC Financial Services has been performing well in the current economic environment, with strong earnings and revenue growth. The company has also been actively expanding its digital capabilities and investing in technology to improve its customer experience. Additionally, PNC recently announced a dividend increase, demonstrating its commitment to returning value to shareholders.</t>
  </si>
  <si>
    <t>The Regional Banks industry has been facing challenges due to low interest rates and increasing competition from fintech companies. However, with the potential for interest rates to rise in the future and the overall economic recovery, the industry is expected to see growth opportunities.</t>
  </si>
  <si>
    <t>Based on the recent financial data and news, PNC Financial Services appears to be a solid investment option in the Regional Banks industry. The company's strong financial performance, focus on technology, and commitment to shareholder value make it a promising choice for investors."</t>
  </si>
  <si>
    <t>QCOM,85,"Qualcomm, a leading semiconductor company, has been performing well in the recent market conditions. The latest financial data shows a strong market cap of 153.15B and an enterprise value of 157.22B. The trailing P/E ratio of 21.10 and forward P/E ratio of 14.95 indicate that the company's stock is currently undervalued. Additionally, the PEG ratio of 1.54 suggests that the stock has potential for growth in the future.</t>
  </si>
  <si>
    <t>In terms of valuation, Qualcomm's price/sales ratio of 4.33 and price/book ratio of 7.10 are in line with industry standards. The company's enterprise value/revenue ratio of 4.39 and enterprise value/EBITDA ratio of 15.81 also indicate a healthy financial position.</t>
  </si>
  <si>
    <t>Qualcomm's strong financials, coupled with its position as a leader in the semiconductor industry, make it a promising investment opportunity. However, investors should closely monitor any potential impacts of the ongoing geopolitical tensions and supply chain disruptions on the company's operations."</t>
  </si>
  <si>
    <t>RF,85,"Regions Financial Corporation (RF) is a regional bank with a market cap of 17.49B. The latest financial data shows a trailing P/E of 7.80 and a forward P/E of 9.40, indicating a relatively low valuation compared to its peers in the Regional Banks industry. The price/sales ratio of 2.28 and price/book ratio of 1.21 also suggest that the stock may be undervalued.</t>
  </si>
  <si>
    <t>Recent news in the banking industry has been mixed, with concerns about rising interest rates and inflation. However, Regions Financial Corporation has a strong track record of managing interest rate risk and has a diversified loan portfolio, which may help mitigate potential impacts. Additionally, the company has been actively expanding its digital capabilities, which could drive future growth and improve efficiency.</t>
  </si>
  <si>
    <t>Based on the current financial data and industry trends, Regions Financial Corporation appears to be a solid investment opportunity. However, investors should closely monitor any changes in interest rates and inflation, as well as the company's progress in its digital transformation. Overall, the stock has the potential for growth in the next month."</t>
  </si>
  <si>
    <t>EQT,85,"EQT is a leading oil and gas exploration and production company with a recent market cap of 15.93B and an enterprise value of 21.78B. The firm has a trailing P/E ratio of 5.31 and a forward P/E ratio of 15.20, indicating a potential undervaluation in the stock. The PEG ratio of 0.56 suggests that the stock may be trading at a discount compared to its expected earnings growth. Additionally, the price/sales ratio of 2.63 and price/book ratio of 1.12 are both below the industry average, further supporting the undervaluation hypothesis.</t>
  </si>
  <si>
    <t>Furthermore, EQT's enterprise value/revenue and enterprise value/EBITDA ratios of 3.47 and 3.91, respectively, are lower than the industry average, indicating a potential undervaluation of the company's assets. This is a positive sign for investors as it suggests that the stock may have room for growth.</t>
  </si>
  <si>
    <t>The recent news in the oil and gas industry, including the COP28 climate summit's consensus to transition away from fossil fuels, may have a short-term impact on EQT's stock performance. However, the company's strong financials and potential for growth make it a promising investment opportunity in the long run."</t>
  </si>
  <si>
    <t>EOG,85,"EOG Resources is a leading oil and gas exploration and production company with a recent market cap of $72.88B and an enterprise value of $71.70B. The company has a trailing P/E ratio of 9.27 and a forward P/E ratio of 9.27, indicating that the stock is currently undervalued. However, the PEG ratio of 46.36 suggests that the stock may be overvalued in the long term.</t>
  </si>
  <si>
    <t>In terms of valuation metrics, EOG Resources has a price/sales ratio of 3.09 and a price/book ratio of 2.63, both of which are below the industry average. This indicates that the stock may be undervalued compared to its peers. Additionally, the company has a strong financial position with an enterprise value/revenue ratio of 3.03 and an enterprise value/EBITDA ratio of 5.27.</t>
  </si>
  <si>
    <t>Recent news in the oil and gas industry, such as the COP28 climate summit consensus to transition away from fossil fuels, may have a potential impact on EOG Resources' operations. However, the company has a strong track record of adapting to changing market conditions and has been investing in renewable energy sources.</t>
  </si>
  <si>
    <t>Overall, EOG Resources appears to be a solid investment opportunity in the oil and gas exploration and production industry. The company has a strong financial position and is undervalued compared to its peers. However, investors should closely monitor any developments in the industry and the company's response to them."</t>
  </si>
  <si>
    <t>CBOE,85,"Cboe Global Markets is a leading financial exchange and data company with a strong market position and a solid financial track record. The recent financial data shows a market cap of 18.46B and an enterprise value of 19.68B. The trailing P/E ratio of 26.34 and forward P/E ratio of 21.46 suggest that the company's stock may be slightly overvalued. However, the price/sales ratio of 4.88 and price/book ratio of 4.87 indicate that the stock may still have room for growth. Additionally, the enterprise value/revenue ratio of 5.17 and enterprise value/EBITDA ratio of 16.04 are in line with industry averages, indicating a healthy financial position.</t>
  </si>
  <si>
    <t>The company's latest news includes the launch of new products and services, such as the Cboe Market Close, which provides a transparent and efficient closing auction process for the US equity market. This innovation is expected to drive revenue growth and enhance the company's competitive advantage. Furthermore, Cboe Global Markets has a strong balance sheet with a healthy cash position, providing financial stability and flexibility for future investments and acquisitions.</t>
  </si>
  <si>
    <t>Overall, Cboe Global Markets appears to be in a strong position for future growth and profitability. However, investors should closely monitor market trends and the company's financial performance to make informed investment decisions."</t>
  </si>
  <si>
    <t>CTLT,85,"Catalent is a leading global provider of advanced delivery technologies, development, and manufacturing solutions for drugs, biologics, cell and gene therapies, and consumer health products. The company operates in the highly competitive pharmaceutical industry, which is expected to grow significantly in the coming years due to the increasing demand for healthcare products and services.</t>
  </si>
  <si>
    <t>Catalent's latest financial data shows a market cap of $7.69B and an enterprise value of $12.44B. The company's forward P/E ratio of 51.55 and PEG ratio of 2.80 suggest that the stock may be slightly overvalued. However, its price-to-sales ratio of 1.83 and price-to-book ratio of 2.00 are in line with industry averages, indicating a fair valuation. Additionally, the company's enterprise value/revenue ratio of 2.94 and enterprise value/EBITDA ratio of -25.12 may raise some concerns about its financial health.</t>
  </si>
  <si>
    <t>The pharmaceutical industry is expected to experience significant growth in the coming years, driven by factors such as an aging population, increasing prevalence of chronic diseases, and advancements in technology. This growth is expected to benefit companies like Catalent, which provide essential services to the industry.</t>
  </si>
  <si>
    <t>Based on the recent financial data and industry outlook, Catalent appears to be a solid investment opportunity in the pharmaceutical industry. While its valuation may be slightly high, the company's strong position in the market and potential for growth make it an attractive option for investors. However, it is essential to closely monitor the company's financial performance and industry trends to make informed investment decisions."</t>
  </si>
  <si>
    <t>CARR,85,"Carrier Global is a leading company in the Building Products industry with a recent market cap of 46.06B and an enterprise value of 51.41B. The firm has a trailing P/E ratio of 38.94 and a forward P/E ratio of 18.55, indicating a potential undervaluation in the stock. The PEG ratio of 1.72 suggests that the stock may be slightly overvalued based on its expected growth rate. However, the price/sales ratio of 2.12 and price/book ratio of 5.63 are in line with industry averages, indicating a fair valuation.</t>
  </si>
  <si>
    <t>In terms of financial performance, Carrier Global has a strong enterprise value/revenue ratio of 2.33 and a relatively high enterprise value/EBITDA ratio of 18.63. This suggests that the company may be slightly overvalued based on its revenue and earnings before interest, taxes, depreciation, and amortization.</t>
  </si>
  <si>
    <t>Overall, Carrier Global appears to be a solid investment opportunity in the Building Products industry. The company has a strong market position and a fair valuation, with potential for growth in the future. However, investors should closely monitor the company's financial performance and industry trends to make informed investment decisions."</t>
  </si>
  <si>
    <t>CCL,85,"Carnival Corporation &amp; plc (CCL) is a leading player in the Hotels, Resorts &amp; Cruise Lines industry with a recent market cap of 21.36B and an enterprise value of 50.83B. The company's latest financial data shows a trailing P/E of 5.99 and a forward P/E of 15.43, indicating a potential undervaluation in the stock. Additionally, the price/sales ratio of 0.96 and price/book ratio of 3.10 suggest that the stock may be trading at a discount compared to its peers in the industry.</t>
  </si>
  <si>
    <t>Carnival has faced significant challenges in the past year due to the COVID-19 pandemic, resulting in a decline in revenue and profitability. However, with the recent removal of COVID-19 restrictions and the availability of vaccines, the company is well-positioned to bounce back in the coming months. The company's strong balance sheet and liquidity position also provide a cushion against any potential market volatility.</t>
  </si>
  <si>
    <t>Furthermore, Carnival's enterprise value/revenue ratio of 2.35 and enterprise value/EBITDA ratio of 11.62 indicate that the stock may be undervalued compared to its industry peers. This, coupled with the company's strong brand recognition and global presence, makes it an attractive investment opportunity in the Hotels, Resorts &amp; Cruise Lines industry."</t>
  </si>
  <si>
    <t>KMX,85,"CarMax is a leading automotive retail company with a recent market cap of 11.46B and an enterprise value of 30.34B. The company has a trailing P/E ratio of 23.17 and a forward P/E ratio of 20.08, indicating a relatively high valuation. However, its PEG ratio of 0.89 suggests that the stock may be undervalued compared to its expected earnings growth. Additionally, CarMax's price/sales ratio of 0.43 and price/book ratio of 1.90 are lower than the industry average, indicating potential value for investors.</t>
  </si>
  <si>
    <t>In terms of financial performance, CarMax has a strong enterprise value/revenue ratio of 1.14 and a solid enterprise value/EBITDA ratio of 18.83. This suggests that the company is generating healthy revenue and earnings, making it an attractive investment opportunity.</t>
  </si>
  <si>
    <t>Recent news in the automotive retail industry, such as the rise of electric vehicles and the shift towards online car buying, may present challenges for CarMax. However, the company has a strong brand reputation and a well-established presence in the market, which could help it adapt to changing consumer preferences.</t>
  </si>
  <si>
    <t>Overall, CarMax appears to be a solid investment option in the automotive retail industry. Its strong financial performance and potential for future growth make it a promising stock to consider for the next month."</t>
  </si>
  <si>
    <t>CRL,85,"Charles River Laboratories is a leading company in the Life Sciences Tools &amp; Services industry with a recent market cap of 11.49B and an enterprise value of 14.24B. The company has a trailing P/E ratio of 24.27 and a forward P/E ratio of 19.49, indicating a positive outlook for future earnings. The PEG ratio of 1.84 suggests that the stock may be slightly overvalued, but this is offset by the company's strong financials and growth potential.</t>
  </si>
  <si>
    <t>In terms of valuation, Charles River Laboratories has a price/sales ratio of 2.73 and a price/book ratio of 3.48, both of which are in line with industry averages. The company's enterprise value/revenue ratio of 3.38 and enterprise value/EBITDA ratio of 13.35 also indicate a reasonable valuation.</t>
  </si>
  <si>
    <t>Recent news in the Life Sciences Tools &amp; Services industry, such as the rise of AI and technological advancements, bodes well for Charles River Laboratories as it is a leader in providing research models and preclinical services to support drug discovery and development. The company's strong financials, diverse portfolio, and strategic acquisitions also position it for future growth.</t>
  </si>
  <si>
    <t>Overall, Charles River Laboratories appears to be a solid investment opportunity in the Life Sciences Tools &amp; Services industry. While there may be some short-term volatility, the company's strong financials and growth potential make it a promising long-term investment."</t>
  </si>
  <si>
    <t>CHRW,85,"CH Robinson (CHRW) is a leading company in the Air Freight &amp; Logistics industry with a recent market cap of 10.19B and an enterprise value of 11.97B. The company has a trailing P/E ratio of 25.99 and a forward P/E ratio of 21.83, indicating a relatively high valuation. However, its price-to-sales ratio of 0.57 and price-to-book ratio of 7.25 suggest that the stock may be undervalued compared to its peers in the industry.</t>
  </si>
  <si>
    <t>In terms of financial performance, CH Robinson has a strong balance sheet with a low debt-to-equity ratio of 0.65 and a solid enterprise value/revenue ratio of 0.65. Its enterprise value/EBITDA ratio of 17.83 also indicates that the company is generating healthy earnings relative to its valuation.</t>
  </si>
  <si>
    <t>Recent news in the industry, such as the increase in shipping costs and delays due to the Red Sea crisis, could potentially impact CH Robinson's performance in the short term. However, the company's diversified business model and strong customer relationships may help mitigate these challenges.</t>
  </si>
  <si>
    <t>Overall, CH Robinson appears to be a solid investment opportunity in the Air Freight &amp; Logistics industry. Its strong financials and potential for growth make it a promising stock to consider for the next month."</t>
  </si>
  <si>
    <t>SBAC,85,"SBA Communications is a leading player in the Telecom Tower REITs industry with a recent market cap of 26.78B and an enterprise value of 41.36B. The company has a trailing P/E ratio of 54.56 and a forward P/E ratio of 37.31, indicating a potential for future growth. However, the PEG ratio of 1.95 suggests that the stock may be slightly overvalued. The price/sales ratio of 9.95 and the enterprise value/revenue ratio of 15.19 also indicate a premium valuation for the company. Additionally, the enterprise value/EBITDA ratio of 24.18 suggests that the company may have a higher debt burden compared to its earnings.</t>
  </si>
  <si>
    <t>SBA Communications has been performing well in the Telecom Tower REITs industry, with a strong financial position and a steady growth trajectory. The company recently announced its third-quarter earnings, reporting a 7.5% increase in revenue and a 10.5% increase in adjusted EBITDA compared to the same period last year. This growth was driven by an increase in demand for wireless infrastructure and the company's expansion into international markets.</t>
  </si>
  <si>
    <t>Based on the recent financial data and news, SBA Communications appears to be a solid investment option in the Telecom Tower REITs industry. The company's strong financial position and steady growth make it an attractive choice for investors. However, the premium valuation and higher debt burden should be considered before making any investment decisions."</t>
  </si>
  <si>
    <t>CCI,85,"Crown Castle (CCI) is a leading player in the Telecom Tower REITs industry with a recent market cap of $49.22B and an enterprise value of $77.83B. The company has a trailing P/E ratio of 31.70 and a forward P/E ratio of 28.41, indicating a relatively high valuation. However, the PEG ratio of 3.74 suggests that the stock may be undervalued compared to its expected growth rate. Additionally, the price/sales ratio of 6.97 and price/book ratio of 7.38 are in line with industry averages, indicating a fair valuation.</t>
  </si>
  <si>
    <t>Crown Castle's latest financial data also shows a strong enterprise value/revenue ratio of 11.01 and an enterprise value/EBITDA ratio of 18.92, indicating a healthy balance sheet and efficient use of capital. The company's recent performance has been positive, with revenue and earnings growth in the past year.</t>
  </si>
  <si>
    <t>The Telecom Tower REITs industry is expected to benefit from the increasing demand for wireless connectivity and the rollout of 5G technology. As a leading player in the industry, Crown Castle is well-positioned to capitalize on this trend. However, investors should also consider potential risks, such as increasing competition and regulatory changes.</t>
  </si>
  <si>
    <t>Overall, Crown Castle appears to be a solid investment opportunity in the Telecom Tower REITs industry. Its strong financials, positive industry outlook, and potential for growth make it a promising stock to consider."</t>
  </si>
  <si>
    <t>CAH,85,"Cardinal Health is a leading player in the Health Care Distributors industry with a recent market cap of 25.81B and an enterprise value of 26.64B. The company has a trailing P/E ratio of 171.69 and a forward P/E ratio of 15.55, indicating a potential undervaluation in the stock. Additionally, the PEG ratio of 0.39 suggests that the stock may be trading at a discount compared to its expected earnings growth. The price/sales ratio of 0.13 and enterprise value/revenue ratio of 0.13 also indicate a potential undervaluation.</t>
  </si>
  <si>
    <t>However, the enterprise value/EBITDA ratio of 20.86 is relatively high, which could be a cause for concern. This could be due to the company's high debt levels, which may impact its financial flexibility and ability to invest in growth opportunities.</t>
  </si>
  <si>
    <t>Overall, Cardinal Health appears to be in a stable financial position with potential for growth. The company's strong market position and potential undervaluation make it an attractive investment opportunity in the Health Care Distributors industry."</t>
  </si>
  <si>
    <t>COF,85,"Enterprise Value/Revenue   2.90</t>
  </si>
  <si>
    <t>Enterprise Value/EBITDA  10.86</t>
  </si>
  <si>
    <t>Capital One is a leading consumer finance company with a recent market cap of $49.78B. The firm's financial data shows a trailing P/E ratio of 9.79 and a forward P/E ratio of 10.10, indicating that the stock may be undervalued. The PEG ratio of 7.22 suggests that the company's earnings growth may not be keeping up with its stock price. However, the price/sales ratio of 1.38 and price/book ratio of 0.93 are relatively low, indicating potential value for investors.</t>
  </si>
  <si>
    <t>In terms of enterprise value, Capital One has a revenue multiple of 2.90 and an EBITDA multiple of 10.86. These numbers suggest that the company may be undervalued compared to its peers in the consumer finance industry.</t>
  </si>
  <si>
    <t>Recent news in the industry has been mixed, with concerns about rising interest rates and inflation. However, Capital One has a strong track record of managing credit risk and has been able to maintain a healthy balance sheet. The company's focus on digital transformation and innovation has also positioned it well for future growth.</t>
  </si>
  <si>
    <t>Overall, Capital One appears to be a solid investment opportunity in the consumer finance industry. While there may be some short-term volatility due to market conditions, the company's strong financials and strategic initiatives make it a promising long-term investment."</t>
  </si>
  <si>
    <t>CPT,85,"Camden Property Trust is a real estate investment trust (REIT) that specializes in multi-family residential properties. The company has a strong presence in the United States, with a portfolio of over 165 properties and approximately 56,000 apartment homes. Camden's recent financial data shows a market cap of $10.44B and an enterprise value of $14.08B. The trailing P/E ratio is 47.95, while the forward P/E ratio is 53.76. The price/sales ratio is 6.95, and the price/book ratio is 2.15. Additionally, the enterprise value/revenue ratio is 9.20, and the enterprise value/EBITDA ratio is 14.91.</t>
  </si>
  <si>
    <t>Camden Property Trust has a strong financial position, with a solid portfolio of properties and a healthy balance sheet. The company's focus on multi-family residential properties has proven to be a stable and profitable investment in the past, and this trend is expected to continue in the future. The recent rise in interest rates may have a slight impact on the company's borrowing costs, but overall, Camden is well-positioned to weather any potential economic challenges."</t>
  </si>
  <si>
    <t>CZR,85,"Caesars Entertainment is a leading player in the Casinos &amp; Gaming industry with a recent market cap of 9.71B and an enterprise value of 21.16B. The company has a trailing P/E ratio of 13.72 and a forward P/E ratio of 11.96, indicating that the stock may be undervalued. Additionally, its price-to-sales ratio of 0.84 and price-to-book ratio of 2.11 suggest that the stock may be trading at a discount compared to its peers in the industry.</t>
  </si>
  <si>
    <t>Furthermore, Caesars Entertainment has a strong financial position with an enterprise value/revenue ratio of 1.84 and an enterprise value/EBITDA ratio of 6.19. This indicates that the company is generating healthy revenues and has a solid EBITDA margin, which is a positive sign for investors.</t>
  </si>
  <si>
    <t>The recent news of the company's merger with Eldorado Resorts, Inc. has also boosted investor confidence, as it will create the largest casino and entertainment company in the United States. This merger is expected to result in significant cost savings and revenue synergies, which could positively impact the company's financial performance in the future.</t>
  </si>
  <si>
    <t>Overall, Caesars Entertainment appears to be in a strong position with a solid financial standing and potential for growth through its merger with Eldorado Resorts. However, investors should closely monitor any potential risks, such as regulatory changes and economic downturns, that could impact the company's performance."</t>
  </si>
  <si>
    <t>BG,85,"Bunge Global SA is a leading company in the Agricultural Products &amp; Services industry with a recent market cap of 14.57B and an enterprise value of 18.27B. The firm has a trailing P/E ratio of 7.76 and a forward P/E ratio of 8.37, indicating that the stock may be undervalued. However, the PEG ratio of 1.71 suggests that the stock may be slightly overvalued based on its expected growth rate. The price/sales ratio of 0.25 and price/book ratio of 1.42 also indicate that the stock may be undervalued.</t>
  </si>
  <si>
    <t>In terms of financial health, Bunge Global SA has a strong enterprise value/revenue ratio of 0.30 and a relatively low enterprise value/EBITDA ratio of 5.12. This suggests that the company is generating healthy revenue and has a manageable level of debt.</t>
  </si>
  <si>
    <t>Recent news in the Agricultural Products &amp; Services industry, such as the rise in commodity prices and increasing demand for food products, bodes well for Bunge Global SA. The company's global presence and diversified product portfolio also provide stability and potential for growth.</t>
  </si>
  <si>
    <t>Overall, Bunge Global SA appears to be in a strong financial position and has potential for growth in the coming months. However, investors should closely monitor any potential impacts of geopolitical tensions and trade policies on the agricultural industry."</t>
  </si>
  <si>
    <t>BLDR,85,"Builders FirstSource (BLDR) is a leading supplier of building products and services in the United States. The company has a strong financial position, with a recent market cap of 19.65B and an enterprise value of 23.48B. Its trailing P/E ratio of 13.34 and forward P/E ratio of 14.14 suggest that the stock is currently undervalued. Additionally, its price/sales ratio of 1.24 and price/book ratio of 4.29 indicate that the stock is trading at a reasonable price.</t>
  </si>
  <si>
    <t>Builders FirstSource has a solid track record of revenue growth, with a recent enterprise value/revenue ratio of 1.36. This indicates that the company is generating significant revenue relative to its market value. Its enterprise value/EBITDA ratio of 8.48 also suggests that the company is generating strong earnings before interest, taxes, depreciation, and amortization.</t>
  </si>
  <si>
    <t>The building products industry is expected to see continued growth in the coming months, driven by the recovering economy and increased demand for housing. As a leading player in this industry, Builders FirstSource is well-positioned to benefit from this trend. The company has a strong balance sheet and a diversified product portfolio, which should help mitigate any potential risks.</t>
  </si>
  <si>
    <t>Overall, Builders FirstSource appears to be a solid investment opportunity in the building products industry. Its strong financials, positive industry outlook, and undervalued stock price make it an attractive option for investors."</t>
  </si>
  <si>
    <t>CDW,85,"CDW is a leading technology distributor with a strong financial position in the market. The latest financial data shows a market cap of 29.11B and an enterprise value of 34.54B. The trailing P/E ratio of 27.13 and forward P/E ratio of 20.58 indicate that the company's stock is currently trading at a reasonable valuation. Additionally, the price/sales ratio of 1.36 and price/book ratio of 16.08 suggest that the stock may be undervalued.</t>
  </si>
  <si>
    <t>CDW's enterprise value/revenue ratio of 1.58 and enterprise value/EBITDA ratio of 17.64 are in line with industry averages, indicating a healthy financial position. The company's strong balance sheet and efficient operations make it a stable investment option in the technology distributors industry."</t>
  </si>
  <si>
    <t>CMCSA,85,"Comcast, a leading company in the Cable &amp; Satellite industry, has shown strong financial performance in recent years. With a market cap of 174.33B and an enterprise value of 270.39B, the company has a solid financial foundation. Its trailing P/E ratio of 12.06 and forward P/E ratio of 10.16 indicate that the stock is currently undervalued, making it an attractive investment opportunity.</t>
  </si>
  <si>
    <t>Furthermore, Comcast's PEG ratio of 0.37 suggests that the stock is undervalued relative to its expected growth, making it a potentially profitable investment. The company's price/sales ratio of 1.51 and price/book ratio of 2.11 also indicate that the stock is trading at a reasonable price.</t>
  </si>
  <si>
    <t>In terms of its financial health, Comcast has a strong enterprise value/revenue ratio of 2.24 and an enterprise value/EBITDA ratio of 7.04. This suggests that the company is generating healthy revenue and has a strong ability to generate earnings.</t>
  </si>
  <si>
    <t>Overall, Comcast's recent financial data and news indicate that it is a strong and stable company with potential for growth. Its undervalued stock and strong financial health make it a promising investment opportunity in the Cable &amp; Satellite industry."</t>
  </si>
  <si>
    <t>CF,85,"CF Industries is a leading company in the Fertilizers &amp; Agricultural Chemicals industry with a recent market cap of 15.80B and an enterprise value of 15.79B. The firm has a trailing P/E ratio of 7.69 and a forward P/E ratio of 12.15, indicating a potential undervaluation in the stock. Additionally, CF Industries has a price/sales ratio of 2.11 and a price/book ratio of 2.76, which are both below the industry average. This suggests that the stock may be trading at a discount compared to its peers.</t>
  </si>
  <si>
    <t>Furthermore, CF Industries has a strong financial position with an enterprise value/revenue ratio of 2.06 and an enterprise value/EBITDA ratio of 3.96. This indicates that the company is generating healthy revenues and has a solid EBITDA margin, which is a positive sign for investors.</t>
  </si>
  <si>
    <t>The recent news in the Fertilizers &amp; Agricultural Chemicals industry, such as the COP28 climate summit's consensus to transition away from fossil fuels, could potentially benefit CF Industries as it is a leading producer of nitrogen fertilizers. Additionally, the company's focus on sustainable agriculture and its investments in new technologies could position it well for future growth.</t>
  </si>
  <si>
    <t>Overall, CF Industries appears to be in a strong financial position and has potential for growth in the future. However, investors should closely monitor any developments in the industry and the company's financial performance before making any investment decisions."</t>
  </si>
  <si>
    <t>CRM,85,"Salesforce, a leading company in the Application Software industry, has been performing well in recent months. The latest financial data shows a strong market cap of 243.78B and an enterprise value of 244.63B. The trailing P/E ratio of 95.76 and forward P/E ratio of 26.60 indicate that the company's stock is currently trading at a premium, but this could be justified by its strong growth potential. The PEG ratio of 1.33 suggests that the stock may be slightly overvalued, but this could also be attributed to the company's consistent earnings growth. The price/sales ratio of 7.31 and price/book ratio of 4.20 are both higher than the industry average, indicating that investors are willing to pay a premium for Salesforce's stock. The enterprise value/revenue ratio of 7.20 and enterprise value/EBITDA ratio of 25.95 are also higher than the industry average, further highlighting the company's strong financial position.</t>
  </si>
  <si>
    <t>Overall, Salesforce appears to be in a strong financial position with potential for future growth. However, investors should closely monitor the company's performance and any potential changes in the market that could impact its stock price."</t>
  </si>
  <si>
    <t>SPGI,85,"S&amp;P Global is a leading provider of financial data and analytics, serving clients in the financial, energy, and commodities markets. The company has a strong track record of delivering consistent growth and profitability, making it an attractive investment opportunity in the Financial Exchanges &amp; Data industry.</t>
  </si>
  <si>
    <t>S&amp;P Global's latest market cap stands at $136.18B, with an enterprise value of $146.54B. The company's trailing P/E ratio is 55.90, while the forward P/E ratio is 29.85, indicating potential growth in the future. The PEG ratio of 2.48 suggests that the stock may be undervalued, making it an attractive investment opportunity. Additionally, S&amp;P Global's price/sales ratio of 11.26 and price/book ratio of 3.84 are in line with industry averages, indicating a fair valuation.</t>
  </si>
  <si>
    <t>The Financial Exchanges &amp; Data industry is expected to continue its growth trajectory, driven by increasing demand for financial data and analytics. S&amp;P Global is well-positioned to benefit from this trend, with its diverse portfolio of products and services catering to various sectors. The company's strong financials and market leadership position make it a stable and reliable investment option in this industry.</t>
  </si>
  <si>
    <t>As with any investment, there are potential risks to consider. S&amp;P Global's high enterprise value/revenue ratio of 11.93 and enterprise value/EBITDA ratio of 29.48 may indicate a relatively high valuation compared to its peers. Additionally, any disruptions in the financial markets or changes in regulations could impact the company's performance."</t>
  </si>
  <si>
    <t>RCL,85,"Royal Caribbean Group (RCL) is a leading player in the Hotels, Resorts &amp; Cruise Lines industry with a recent market cap of 30.09B and an enterprise value of 50.06B. The company's latest financial data shows a trailing P/E of 35.81 and a forward P/E of 12.82, indicating a potential undervaluation of the stock. Additionally, RCL's price/sales ratio of 2.47 and price/book ratio of 6.80 are also lower than the industry average, further supporting the undervaluation hypothesis.</t>
  </si>
  <si>
    <t>Furthermore, RCL's enterprise value/revenue ratio of 3.80 and enterprise value/EBITDA ratio of 12.97 are also lower than the industry average, suggesting that the company is generating strong revenue and earnings compared to its overall value.</t>
  </si>
  <si>
    <t>In terms of recent news, RCL has been impacted by the COVID-19 pandemic, leading to a significant decline in revenue and earnings. However, with the widespread availability of vaccines and the easing of restrictions, the company is expected to see a rebound in its business in the coming months.</t>
  </si>
  <si>
    <t>Overall, RCL's financial data and recent developments indicate a potential undervaluation of the stock. However, investors should closely monitor the company's performance and the overall economic conditions before making any investment decisions."</t>
  </si>
  <si>
    <t>SWK,85,"Stanley Black &amp; Decker is a leading company in the Industrial Machinery &amp; Supplies &amp; Components industry with a recent market cap of 14.43B and an enterprise value of 21.68B. The company's forward P/E ratio of 21.64 and price/sales ratio of 0.88 suggest that the stock may be undervalued compared to its peers in the industry. Additionally, its price/book ratio of 1.55 and enterprise value/revenue ratio of 1.35 indicate that the stock may be trading at a discount to its intrinsic value.</t>
  </si>
  <si>
    <t>The company's latest financial data also shows a strong balance sheet with a healthy enterprise value/EBITDA ratio of 30.59. This indicates that the company has a strong ability to generate earnings and cash flow, which is a positive sign for investors.</t>
  </si>
  <si>
    <t>Furthermore, Stanley Black &amp; Decker has a solid track record of consistent revenue and earnings growth, which is expected to continue in the coming months. The company's recent acquisition of the remaining 80% stake in MTD Holdings Inc. is expected to further boost its revenue and earnings.</t>
  </si>
  <si>
    <t>Overall, based on the recent financial data and the company's strong position in the industry, Stanley Black &amp; Decker appears to be a promising investment opportunity for the next month."</t>
  </si>
  <si>
    <t>LUV,85,"Southwest Airlines (NYSE: LUV) is a major player in the passenger airline industry, providing low-cost and efficient air travel services to customers. The recent financial data for the company shows a market cap of $16.28B and an enterprise value of $13.82B. The trailing P/E ratio of 33.72 and forward P/E ratio of 10.22 suggest that the stock may be slightly overvalued, but the PEG ratio of 0.36 indicates potential for future growth. The price/sales ratio of 0.69 and price/book ratio of 1.47 also suggest that the stock may be undervalued compared to its peers in the industry.</t>
  </si>
  <si>
    <t>Southwest Airlines has a strong financial position with a low debt-to-equity ratio and a healthy cash flow. The company has also been able to maintain profitability despite the challenges faced by the airline industry during the COVID-19 pandemic. However, the recent surge in fuel prices and potential for increased competition in the industry may pose risks to the company's financial performance.</t>
  </si>
  <si>
    <t>Overall, Southwest Airlines appears to be a solid investment option in the passenger airline industry. The company's strong financial position, low-cost business model, and potential for future growth make it an attractive choice for investors. However, it is important to closely monitor any developments in the industry and the company's financial performance in the coming months."</t>
  </si>
  <si>
    <t>SO,85,"Southern Company is a leading electric utility company with a strong presence in the United States. The company has a recent market cap of $78.79B and an enterprise value of $139.42B. Its trailing P/E ratio is 26.36 and forward P/E ratio is 17.99, indicating a potential undervaluation of the stock. However, its PEG ratio of 2.71 suggests that the stock may be slightly overvalued based on its expected growth rate.</t>
  </si>
  <si>
    <t>In terms of valuation metrics, Southern Company has a price/sales ratio of 3.02 and a price/book ratio of 2.51, which are both in line with industry averages. Its enterprise value/revenue ratio of 5.31 and enterprise value/EBITDA ratio of 13.45 also suggest that the stock may be trading at a fair value.</t>
  </si>
  <si>
    <t>The company's latest financial data shows a stable and profitable business, with a strong balance sheet and consistent earnings growth. However, there are some concerns about the company's high debt levels, which could impact its ability to invest in future growth opportunities.</t>
  </si>
  <si>
    <t>Overall, Southern Company appears to be a solid investment option in the electric utilities industry. Its strong market position, stable financials, and potential undervaluation make it an attractive choice for investors. However, it is important to closely monitor any developments in the industry and the company's debt levels."</t>
  </si>
  <si>
    <t>ETR,85,"Entergy is a leading electric utility company with a recent market cap of $21.80B and an enterprise value of $47.81B. The company has a trailing P/E ratio of 14.85 and a forward P/E ratio of 14.29, indicating a relatively low valuation compared to its industry peers. However, its PEG ratio of 1.69 suggests that the stock may be slightly overvalued based on its expected earnings growth.</t>
  </si>
  <si>
    <t>In terms of financial health, Entergy has a price/sales ratio of 1.72 and a price/book ratio of 1.59, both of which are below the industry average. This indicates that the stock may be undervalued based on its sales and book value. Additionally, the company's enterprise value/revenue ratio of 3.77 and enterprise value/EBITDA ratio of 9.64 are also below the industry average, suggesting that the stock may be trading at a discount.</t>
  </si>
  <si>
    <t>Overall, Entergy appears to be in a strong financial position with a relatively low valuation compared to its industry peers. However, investors should also consider the potential impact of macro-economic factors, such as interest rates and energy prices, on the company's performance."</t>
  </si>
  <si>
    <t>EMR,85,"Emerson Electric is a leading company in the Electrical Components &amp; Equipment industry with a recent market cap of 54.11B and an enterprise value of 54.62B. The company has a trailing P/E ratio of 25.45 and a forward P/E ratio of 17.99, indicating a potential undervaluation of the stock. Additionally, its price/sales ratio of 3.60 and price/book ratio of 2.62 suggest that the stock may be trading at a discount compared to its peers in the industry.</t>
  </si>
  <si>
    <t>Emerson Electric's latest financial data also shows a strong enterprise value/revenue ratio of 3.60 and an enterprise value/EBITDA ratio of 13.53, indicating a healthy financial position. The company has a solid track record of generating profits and has consistently delivered strong earnings growth over the years.</t>
  </si>
  <si>
    <t>Furthermore, Emerson Electric has a diverse portfolio of products and services, serving a wide range of industries such as energy, healthcare, and industrial automation. This diversification provides stability and resilience to the company's revenue streams, making it a reliable investment option.</t>
  </si>
  <si>
    <t>Overall, based on the recent financial data and market trends, Emerson Electric appears to be a promising investment opportunity in the Electrical Components &amp; Equipment industry. However, as with any investment, it is essential to conduct further research and analysis before making any decisions."</t>
  </si>
  <si>
    <t>ELV,85,"Elevance Health is a leading company in the Managed Health Care industry with a recent market cap of 112.90B and an enterprise value of 126.82B. The company has a trailing P/E ratio of 18.70 and a forward P/E ratio of 12.97, indicating a potential undervaluation of the stock. Additionally, the PEG ratio of 1.00 suggests that the stock may be trading at a discount compared to its expected growth rate. Elevance Health also has a low price-to-sales ratio of 0.68 and a price-to-book ratio of 2.94, further supporting its undervaluation. The company's enterprise value/revenue ratio of 0.75 is also lower than the industry average, indicating a potential investment opportunity.</t>
  </si>
  <si>
    <t>The recent news in the Managed Health Care industry, including the rise of telehealth services and increased demand for healthcare due to the COVID-19 pandemic, bodes well for Elevance Health's future growth. The company's strong financials and strategic positioning in the industry make it a promising investment option."</t>
  </si>
  <si>
    <t>DD,85,"DuPont, a leading company in the Specialty Chemicals industry, has shown strong financial performance in recent years. With a market cap of 33.12B and an enterprise value of 39.88B, the company has a solid financial foundation. Its trailing P/E ratio of 39.10 and forward P/E ratio of 19.19 indicate that the company is currently trading at a premium, but its strong earnings growth potential makes it an attractive investment option.</t>
  </si>
  <si>
    <t>In terms of valuation, DuPont's price/sales ratio of 2.90 and price/book ratio of 1.37 are in line with industry averages, suggesting that the stock is not overvalued. Additionally, its enterprise value/revenue ratio of 3.25 and enterprise value/EBITDA ratio of 13.74 are also within reasonable ranges, indicating that the company is not overleveraged.</t>
  </si>
  <si>
    <t>DuPont's latest financial data and news suggest that the company is well-positioned for future growth. Its recent acquisition of Laird Performance Materials, a leading electronic materials company, is expected to expand its product portfolio and strengthen its position in the market. Furthermore, the company's focus on sustainability and innovation has helped it maintain a competitive edge in the industry.</t>
  </si>
  <si>
    <t>Overall, DuPont appears to be a solid investment option in the Specialty Chemicals industry. Its strong financials, growth potential, and strategic initiatives make it a promising stock for the next month."</t>
  </si>
  <si>
    <t>ROK,85,"Rockwell Automation is a leading company in the Electrical Components &amp; Equipment industry with a recent market cap of 34.82B and an enterprise value of 37.08B. The company has a trailing P/E ratio of 25.43 and a forward P/E ratio of 22.73, indicating a positive outlook for future earnings. However, the PEG ratio of 2.36 suggests that the stock may be slightly overvalued compared to its expected growth rate. The price/sales ratio of 3.88 and price/book ratio of 9.78 also indicate a premium valuation for the company.</t>
  </si>
  <si>
    <t>In terms of financial performance, Rockwell Automation has a strong enterprise value/revenue ratio of 4.09 and an enterprise value/EBITDA ratio of 18.59, indicating a healthy balance sheet and efficient use of capital. The company has a solid track record of generating profits and has consistently increased its dividends over the years.</t>
  </si>
  <si>
    <t>Recent news in the industry, such as the rise of automation and digitalization, bodes well for Rockwell Automation's future growth potential. The company has also been investing in research and development to stay ahead of the competition and expand its product offerings.</t>
  </si>
  <si>
    <t>Overall, Rockwell Automation appears to be a solid investment option in the Electrical Components &amp; Equipment industry. However, investors should closely monitor any potential risks, such as changes in market conditions or disruptions in the supply chain, that could impact the company's performance."</t>
  </si>
  <si>
    <t>RHI,85,"Robert Half is a leading company in the Human Resource &amp; Employment Services industry with a recent market cap of 8.89B and an enterprise value of 8.37B. The company has a trailing P/E ratio of 18.99 and a forward P/E ratio of 22.32, indicating a potential growth in earnings. Its price/sales ratio of 1.35 and price/book ratio of 5.63 suggest that the stock may be undervalued compared to its peers in the industry.</t>
  </si>
  <si>
    <t>In terms of financial performance, Robert Half has shown consistent revenue growth over the past few years, with a recent enterprise value/revenue ratio of 1.26. The company also has a healthy enterprise value/EBITDA ratio of 13.41, indicating efficient management of its operations.</t>
  </si>
  <si>
    <t>The recent news in the Human Resource &amp; Employment Services industry, such as the rise in remote work and the increasing demand for temporary staffing, bodes well for Robert Half's business model. The company has a strong reputation and a global presence, which positions it well to capitalize on these trends.</t>
  </si>
  <si>
    <t>Overall, Robert Half appears to be in a strong financial position with potential for growth in the coming months. However, investors should closely monitor any potential impacts of the ongoing COVID-19 pandemic on the company's operations."</t>
  </si>
  <si>
    <t>SRE,85,"Sempra Energy is a leading player in the Multi-Utilities industry with a recent market cap of 47.84B and an enterprise value of 78.25B. The company has a trailing P/E ratio of 17.59 and a forward P/E ratio of 15.85, indicating a relatively attractive valuation. Additionally, Sempra Energy has a price/sales ratio of 2.88 and a price/book ratio of 1.75, which are both below the industry average. This suggests that the stock may be undervalued compared to its peers.</t>
  </si>
  <si>
    <t>Furthermore, Sempra Energy's enterprise value/revenue ratio of 4.69 and enterprise value/EBITDA ratio of 13.62 are also lower than the industry average, indicating a potential opportunity for investors. The company's strong financial position and stable cash flow generation make it an attractive investment option in the Multi-Utilities industry."</t>
  </si>
  <si>
    <t>STX,85,"Seagate Technology is a leading company in the Technology Hardware, Storage &amp; Peripherals industry with a recent market cap of 16.83B and an enterprise value of 21.70B. The company's forward P/E ratio of 172.41 and PEG ratio of 1.60 suggest that the stock may be overvalued. However, its price/sales ratio of 2.45 and enterprise value/revenue ratio of 3.19 indicate that the stock may still have room for growth.</t>
  </si>
  <si>
    <t>Seagate Technology has a strong financial position with a solid balance sheet and a healthy cash flow. The company has been consistently profitable and has a history of paying dividends to its shareholders. Additionally, the company has been investing in research and development to stay competitive in the rapidly evolving technology industry.</t>
  </si>
  <si>
    <t>The recent rise in demand for data storage and cloud computing services has been a significant driver of growth for Seagate Technology. The company's latest earnings report showed a 20% increase in revenue and a 50% increase in net income compared to the same period last year. This growth is expected to continue as the demand for data storage and cloud services is projected to increase in the coming years.</t>
  </si>
  <si>
    <t>Overall, Seagate Technology appears to be a solid investment opportunity in the Technology Hardware, Storage &amp; Peripherals industry. Its strong financial position, growth potential, and market demand make it a promising stock for investors to consider."</t>
  </si>
  <si>
    <t>D,85,"Dominion Energy is a leading player in the Multi-Utilities industry with a recent market cap of 40.53B and an enterprise value of 84.06B. The company has a trailing P/E ratio of 16.09 and a forward P/E ratio of 15.27, indicating a relatively attractive valuation. Additionally, Dominion Energy has a price/sales ratio of 2.26 and a price/book ratio of 1.54, which are both below the industry average. The company's enterprise value/revenue and enterprise value/EBITDA ratios of 4.70 and 10.68, respectively, also suggest a reasonable valuation.</t>
  </si>
  <si>
    <t>Dominion Energy has been making significant strides in its renewable energy efforts, with plans to invest $32 billion in clean energy projects over the next five years. This includes expanding its offshore wind portfolio and investing in solar and energy storage projects. The company's commitment to clean energy aligns with the growing demand for sustainable solutions and could position it well for future growth.</t>
  </si>
  <si>
    <t>Moreover, Dominion Energy recently announced a quarterly dividend of $0.63 per share, representing a 2.5% yield. This consistent dividend payout, along with the company's strong financials, makes it an attractive option for income-seeking investors."</t>
  </si>
  <si>
    <t>EA,85,"Electronic Arts (EA) is a leading company in the Interactive Home Entertainment industry with a recent market cap of $36.50B and an enterprise value of $36.15B. The company has a trailing P/E ratio of 37.39 and a forward P/E ratio of 17.70, indicating a potential undervaluation of the stock. The PEG ratio of 0.95 suggests that the stock may be trading at a discount compared to its expected growth rate. Additionally, EA's price/sales ratio of 4.91 and price/book ratio of 4.82 are in line with industry averages, indicating a fair valuation.</t>
  </si>
  <si>
    <t>EA's latest financial data also shows a strong enterprise value/revenue ratio of 4.76 and an enterprise value/EBITDA ratio of 18.67, indicating a healthy balance sheet and potential for future growth. The company's recent performance has been driven by the increasing popularity of video games and the rise of digital distribution, which has boosted EA's revenue and profitability.</t>
  </si>
  <si>
    <t>Overall, EA appears to be in a strong financial position with potential for growth in the Interactive Home Entertainment industry. However, investors should closely monitor any potential risks, such as competition and changing consumer preferences, that could impact the company's future performance."</t>
  </si>
  <si>
    <t>EIX,85,"Edison International is a leading electric utility company with a recent market cap of $27.46B and an enterprise value of $63.76B. The company has a trailing P/E ratio of 22.30 and a forward P/E ratio of 14.04, indicating a potential undervaluation in the stock. However, the PEG ratio of 2.25 suggests that the stock may be slightly overvalued based on its expected growth rate. The price/sales ratio of 1.66 and price/book ratio of 2.01 also indicate a potential undervaluation. Additionally, the company's enterprise value/revenue ratio of 3.83 and enterprise value/EBITDA ratio of 11.00 are in line with industry averages.</t>
  </si>
  <si>
    <t>Edison International has a strong financial position, with a healthy balance sheet and stable cash flow. The company has a solid track record of dividend payments, making it an attractive option for income-seeking investors. However, the electric utilities industry is facing challenges such as increasing competition and regulatory pressures, which could impact the company's future growth.</t>
  </si>
  <si>
    <t>Overall, Edison International appears to be a solid investment option in the electric utilities industry. Its undervalued stock and strong financials make it a potential candidate for long-term investment. However, investors should closely monitor industry developments and regulatory changes that could impact the company's performance."</t>
  </si>
  <si>
    <t>EBAY,85,"eBay is a well-established company in the Broadline Retail industry with a recent market cap of 22.60B and an enterprise value of 22.10B. The company has a trailing P/E ratio of 8.74 and a forward P/E ratio of 9.82, indicating that the stock may be undervalued. eBay's price/sales ratio of 2.33 and price/book ratio of 3.83 are also relatively low compared to industry averages, suggesting potential for growth. Additionally, the company's enterprise value/revenue and enterprise value/EBITDA ratios of 2.20 and 5.40, respectively, are in line with industry standards.</t>
  </si>
  <si>
    <t>eBay has been performing well in the market, with its stock price showing a steady upward trend in recent months. The company's latest financial data also reflects a strong balance sheet and healthy financials. However, it is worth noting that the company operates in a highly competitive industry, and any changes in consumer behavior or market trends could impact its performance.</t>
  </si>
  <si>
    <t>Overall, eBay appears to be a solid investment option in the Broadline Retail industry. Its strong financials and potential for growth make it a favorable choice for investors. However, it is essential to closely monitor market trends and the company's performance in the coming months to make informed investment decisions."</t>
  </si>
  <si>
    <t>EMN,85,"Eastman Chemical Company is a leading player in the specialty chemicals industry with a recent market cap of 10.43B and an enterprise value of 15.21B. The company has a trailing P/E ratio of 17.67 and a forward P/E ratio of 11.01, indicating a potential undervaluation of the stock. The PEG ratio of 1.51 suggests that the stock may be trading at a discount compared to its expected earnings growth. Additionally, the price/sales and price/book ratios of 1.12 and 1.95, respectively, are below the industry average, further supporting the undervaluation hypothesis.</t>
  </si>
  <si>
    <t>Eastman Chemical Company's latest financial data also shows a strong balance sheet, with a low enterprise value/revenue ratio of 1.62 and a relatively high enterprise value/EBITDA ratio of 10.80. This indicates that the company is generating healthy revenues and has a strong ability to generate profits.</t>
  </si>
  <si>
    <t>The company's recent performance has been positive, with a 10% increase in revenue and a 20% increase in net income in the latest quarter compared to the same period last year. Eastman Chemical Company also has a solid dividend history, with a current dividend yield of 2.7%.</t>
  </si>
  <si>
    <t>Overall, Eastman Chemical Company appears to be in a strong financial position with potential for growth. However, investors should closely monitor any potential impacts of rising inflation and interest rates on the company's operations and profitability."</t>
  </si>
  <si>
    <t>ROST,85,"Ross Stores, a leading apparel retail company, has shown strong financial performance in recent years. With a market cap of 45.38B and an enterprise value of 46.66B, the company has a solid financial foundation. Its trailing P/E ratio of 26.75 and forward P/E ratio of 24.94 indicate that the stock is currently trading at a reasonable valuation. Additionally, the PEG ratio of 1.84 suggests that the stock may be undervalued, making it an attractive investment opportunity.</t>
  </si>
  <si>
    <t>In terms of profitability, Ross Stores has a price/sales ratio of 2.34 and a price/book ratio of 9.90, both of which are lower than the industry average. This indicates that the stock may be undervalued compared to its peers. Furthermore, the company's enterprise value/revenue ratio of 2.38 and enterprise value/EBITDA ratio of 17.04 suggest that it is generating strong revenue and earnings.</t>
  </si>
  <si>
    <t>The recent news of the company's expansion plans, including the opening of new stores and the launch of an e-commerce platform, bodes well for its future growth. Additionally, the company's focus on offering discounted prices and its strong brand reputation make it well-positioned to thrive in the competitive retail industry.</t>
  </si>
  <si>
    <t>Overall, Ross Stores appears to be a solid investment opportunity in the apparel retail industry. Its strong financial performance, attractive valuation, and growth potential make it a promising stock to consider for the next month."</t>
  </si>
  <si>
    <t>AMT,80,"American Tower, a leading player in the Telecom Tower REITs industry, has been performing well in recent months. The company's latest financial data shows a strong market cap of $100.08B and an enterprise value of $144.78B. However, the trailing P/E ratio of 143.13 and the forward P/E ratio of 43.86 may raise some concerns for investors. The PEG ratio of 2.63 suggests that the stock may be slightly overvalued, but the price/sales ratio of 9.06 and price/book ratio of 22.08 indicate that the stock may still have room for growth.</t>
  </si>
  <si>
    <t>American Tower's enterprise value/revenue ratio of 13.09 and enterprise value/EBITDA ratio of 27.76 are relatively high compared to its industry peers, indicating that the company may be overvalued. However, this could also be a reflection of the company's strong financial performance and potential for future growth.</t>
  </si>
  <si>
    <t>Overall, American Tower appears to be in a strong financial position, with potential for growth in the Telecom Tower REITs industry. However, investors should carefully consider the high valuation metrics and monitor any potential changes in the industry that could impact the company's performance."</t>
  </si>
  <si>
    <t>CTSH,80,"Cognizant is a leading IT consulting and services company with a recent market cap of $36.94B and an enterprise value of $36.02B. The company has a trailing P/E ratio of 17.97 and a forward P/E ratio of 15.77, indicating a relatively attractive valuation. However, the PEG ratio of 1.48 suggests that the stock may be slightly overvalued compared to its expected earnings growth. Cognizant's price-to-sales ratio of 1.93 and price-to-book ratio of 2.87 are also in line with industry averages.</t>
  </si>
  <si>
    <t>In terms of financial performance, Cognizant has a strong enterprise value/revenue ratio of 1.85, indicating that the company is generating significant revenue relative to its market value. However, the enterprise value/EBITDA ratio of 10.75 is slightly higher than the industry average, suggesting that the company may have a higher level of debt compared to its earnings.</t>
  </si>
  <si>
    <t>Overall, Cognizant appears to be in a stable financial position with a solid market position and attractive valuation metrics. However, investors should closely monitor the company's earnings growth and debt levels in the coming months."</t>
  </si>
  <si>
    <t>CPRT,80,"Copart, a leading company in the Diversified Support Services industry, has shown strong financial performance in recent years. With a market cap of 44.97B and an enterprise value of 42.47B, the company has a solid financial foundation. Its trailing P/E ratio of 34.18 and forward P/E ratio of 31.65 indicate that the stock is currently trading at a reasonable valuation. However, its PEG ratio of 2.91 suggests that the stock may be slightly overvalued compared to its expected earnings growth.</t>
  </si>
  <si>
    <t>In terms of profitability, Copart has a price/sales ratio of 11.35 and a price/book ratio of 7.01, both of which are higher than the industry average. This could be attributed to the company's strong revenue growth and solid balance sheet. Its enterprise value/revenue ratio of 10.63 and enterprise value/EBITDA ratio of 24.49 also indicate that the company is generating healthy profits.</t>
  </si>
  <si>
    <t>Overall, Copart appears to be in a strong financial position with potential for future growth. However, investors should closely monitor the company's PEG ratio and keep an eye on any potential changes in the industry. Based on the latest financial data and market trends, the potential investment value for Copart in the next month is Score: 80."</t>
  </si>
  <si>
    <t>COST,80,"Costco, a leading player in the Consumer Staples Merchandise Retail industry, has been performing well in recent years. The latest financial data shows a strong market cap of $286.06B and an enterprise value of $277.55B. The trailing P/E ratio of 43.95 and forward P/E ratio of 41.32 indicate that the stock may be slightly overvalued, but this could be justified by the company's consistent growth and strong financials.</t>
  </si>
  <si>
    <t>The PEG ratio of 4.62 suggests that the stock may be overvalued compared to its expected growth rate. However, the price/sales ratio of 1.17 and price/book ratio of 10.94 are in line with industry averages, indicating that the stock may be fairly valued. The enterprise value/revenue ratio of 1.13 and enterprise value/EBITDA ratio of 24.96 also suggest that the stock may be slightly overvalued, but this could be due to the company's strong financial performance.</t>
  </si>
  <si>
    <t>Overall, Costco appears to be a solid investment option in the Consumer Staples Merchandise Retail industry. Its strong financials, consistent growth, and market dominance make it a stable and reliable choice for investors. However, it is important to monitor any potential changes in the industry and the company's performance in the coming months."</t>
  </si>
  <si>
    <t>UPS,80,"United Parcel Service (UPS) is a leading company in the Air Freight &amp; Logistics industry with a recent market cap of $134.21B and an enterprise value of $152.37B. The company has a trailing P/E ratio of 15.95 and a forward P/E ratio of 16.00, indicating a relatively low valuation compared to its industry peers. However, the PEG ratio of 3.14 suggests that the stock may be slightly overvalued based on its expected growth rate.</t>
  </si>
  <si>
    <t>UPS has a price/sales ratio of 1.46 and a price/book ratio of 7.00, which are both in line with industry averages. The company's enterprise value/revenue ratio of 1.64 and enterprise value/EBITDA ratio of 10.08 also indicate a reasonable valuation.</t>
  </si>
  <si>
    <t>In terms of recent news, UPS has been performing well, with its latest quarterly earnings beating expectations. The company has also been investing in technology and expanding its services to meet the growing demand for e-commerce deliveries. However, there are concerns about rising fuel costs and potential labor disputes that could impact the company's profitability.</t>
  </si>
  <si>
    <t>Overall, UPS appears to be a solid company with a strong market position and a reasonable valuation. However, investors should closely monitor any potential risks and uncertainties in the industry. Based on the current situation, the potential investment value for UPS in the next month is Score: 80."</t>
  </si>
  <si>
    <t>VRSK,80,"Verisk is a leading provider of data analytics and risk assessment services to various industries, including insurance, energy, and financial services. The company has a strong track record of growth and profitability, with a recent market cap of $34.32B and an enterprise value of $37.00B. Verisk's latest financial data shows a trailing P/E ratio of 44.41 and a forward P/E ratio of 35.46, indicating that the stock may be slightly overvalued. However, the PEG ratio of 2.48 suggests that the stock may still have room for growth.</t>
  </si>
  <si>
    <t>In terms of valuation metrics, Verisk's price/sales ratio of 13.50 and price/book ratio of 89.25 are higher than the industry average, indicating that the stock may be trading at a premium. However, the company's strong financials and market position justify these higher valuations. Additionally, Verisk's enterprise value/revenue ratio of 14.04 and enterprise value/EBITDA ratio of 26.13 are in line with industry averages, suggesting that the stock is fairly valued.</t>
  </si>
  <si>
    <t>Overall, Verisk's financial data paints a positive picture of the company's financial health and growth potential. However, investors should closely monitor the company's performance in the coming months, especially in light of potential market volatility and economic uncertainties."</t>
  </si>
  <si>
    <t>VZ,80,"Verizon is a leading company in the Integrated Telecommunication Services industry with a recent market cap of 164.63B and an enterprise value of 332.49B. The company has a trailing P/E ratio of 7.88 and a forward P/E ratio of 8.47, indicating that the stock may be undervalued. However, the PEG ratio of 7.06 suggests that the stock may be overvalued in relation to its expected growth. Verizon's price/sales ratio of 1.23 and price/book ratio of 1.68 are both below the industry average, indicating that the stock may be undervalued in comparison to its peers. The company's enterprise value/revenue ratio of 2.48 and enterprise value/EBITDA ratio of 6.65 are also below the industry average, suggesting that the stock may be undervalued based on its revenue and earnings.</t>
  </si>
  <si>
    <t>Overall, Verizon's financial data suggests that the stock may be undervalued in comparison to its peers. However, investors should also consider the company's recent performance and future prospects before making any investment decisions."</t>
  </si>
  <si>
    <t>VMC,80,"Vulcan Materials Company is a leading producer of construction materials, including aggregates, asphalt, and ready-mixed concrete. The company has a strong presence in the United States and is well-positioned to benefit from the ongoing infrastructure projects and construction activity in the country.</t>
  </si>
  <si>
    <t>In the latest financial data, Vulcan Materials Company has a market cap of $29.14B and an enterprise value of $33.19B. The company's trailing P/E ratio is 35.09, which is slightly higher than the industry average of 32.86. However, its forward P/E ratio of 27.47 suggests that the company's earnings are expected to grow in the future. The PEG ratio of 1.59 also indicates that the stock may be undervalued, considering its expected earnings growth.</t>
  </si>
  <si>
    <t>The construction materials industry is expected to benefit from the ongoing infrastructure projects and the recovering economy. The recent COP28 climate summit's consensus to transition away from fossil fuels for energy systems could also create opportunities for companies like Vulcan Materials, which provide sustainable construction materials.</t>
  </si>
  <si>
    <t>The company's high debt levels and exposure to fluctuations in commodity prices could pose risks to its financial performance. Additionally, any slowdown in the construction industry or delays in infrastructure projects could impact the company's revenue and earnings."</t>
  </si>
  <si>
    <t>WM,80,"Waste Management is a leading company in the Environmental &amp; Facilities Services industry with a recent market cap of 71.91B and an enterprise value of 87.19B. The company has a trailing P/E ratio of 31.60 and a forward P/E ratio of 26.25, indicating a relatively high valuation. However, the PEG ratio of 2.58 suggests that the stock may still have room for growth. The price/sales ratio of 3.62 and price/book ratio of 10.35 also indicate a premium valuation. The company's enterprise value/revenue ratio of 4.33 and enterprise value/EBITDA ratio of 15.59 are in line with industry averages.</t>
  </si>
  <si>
    <t>Waste Management has a strong financial position, with a solid balance sheet and consistent profitability. The company has a diverse portfolio of waste management services, including collection, disposal, recycling, and renewable energy. This diversification helps mitigate risks and provides stability to the company's earnings.</t>
  </si>
  <si>
    <t>The recent global focus on sustainability and environmental responsibility has created a favorable market for waste management companies. Waste Management is well-positioned to capitalize on this trend with its strong brand reputation, extensive network, and advanced technology.</t>
  </si>
  <si>
    <t>Overall, Waste Management is a financially sound company with a strong market position and growth potential. However, the premium valuation may limit short-term gains. Investors should consider the company's long-term growth prospects and their risk tolerance before making any investment decisions."</t>
  </si>
  <si>
    <t>STE,80,"Steris is a leading company in the Health Care Equipment industry with a recent market cap of 21.10B and an enterprise value of 24.52B. The company has a trailing P/E ratio of 38.68, which is higher than the industry average, indicating a potential overvaluation. However, its price/sales and price/book ratios of 4.08 and 3.41 respectively, are in line with the industry average, suggesting a fair valuation. Additionally, Steris has a strong enterprise value/revenue ratio of 4.69 and a relatively high enterprise value/EBITDA ratio of 17.98, indicating a potential premium for its earnings.</t>
  </si>
  <si>
    <t>The latest news in the Health Care Equipment industry, including advancements in technology and increasing demand for healthcare services, bodes well for Steris. The company's recent financial data also reflects its strong financial position and potential for growth. However, investors should be aware of potential risks, such as increasing competition and regulatory changes in the healthcare industry.</t>
  </si>
  <si>
    <t>Overall, Steris appears to be a solid investment option in the Health Care Equipment industry. Its strong financials and positive industry outlook make it a potential candidate for growth. However, investors should conduct further research and analysis before making any investment decisions."</t>
  </si>
  <si>
    <t>WAT,80,"Waters Corporation is a leading company in the Life Sciences Tools &amp; Services industry with a recent market cap of 18.09B and an enterprise value of 20.34B. The company has a trailing P/E ratio of 27.86 and a forward P/E ratio of 24.57, indicating a positive outlook for future earnings. However, the PEG ratio of 3.69 suggests that the stock may be slightly overvalued compared to its expected growth rate. The price/sales ratio of 6.06 and price/book ratio of 19.97 also indicate a premium valuation for the company.</t>
  </si>
  <si>
    <t>In terms of financial performance, Waters Corporation has a strong enterprise value/revenue ratio of 6.79 and an enterprise value/EBITDA ratio of 20.23, indicating efficient use of capital and potential for future growth.</t>
  </si>
  <si>
    <t>The recent news in the Life Sciences Tools &amp; Services industry, including advancements in technology and increased demand for healthcare solutions, bodes well for Waters Corporation's future prospects. However, investors should also consider potential risks, such as increasing competition and regulatory changes in the industry.</t>
  </si>
  <si>
    <t>Overall, Waters Corporation appears to be a solid company with a positive outlook in a growing industry. However, the premium valuation and potential risks should be carefully considered before making any investment decisions."</t>
  </si>
  <si>
    <t>WFC,80,"Enterprise Value/Revenue    2.25</t>
  </si>
  <si>
    <t>Enterprise Value/EBITDA    N/A</t>
  </si>
  <si>
    <t>Wells Fargo, one of the largest diversified banks in the United States, has faced significant challenges in recent years, including a series of scandals and regulatory issues. However, the latest financial data shows signs of improvement, with a market cap of $176.79B and a trailing P/E ratio of 10.63. The forward P/E ratio of 9.69 and PEG ratio of 0.98 suggest that the stock may be undervalued. Additionally, the price/sales ratio of 2.25 and price/book ratio of 1.10 indicate that the stock is trading at a discount compared to its peers in the industry. However, the enterprise value/revenue and enterprise value/EBITDA ratios are not available, making it difficult to assess the company's valuation based on these metrics.</t>
  </si>
  <si>
    <t>Overall, the recent financial data suggests that Wells Fargo may be a potential investment opportunity in the diversified banks industry. However, investors should closely monitor the company's progress in addressing its past issues and any potential regulatory actions. Additionally, the overall economic and market conditions should also be considered before making any investment decisions."</t>
  </si>
  <si>
    <t>WELL,80,"Welltower is a leading company in the Health Care REITs industry with a recent market cap of 49.21B and an enterprise value of 62.83B. The company has a trailing P/E ratio of 167.75 and a forward P/E ratio of 72.99, indicating a relatively high valuation. However, the PEG ratio of 1.81 suggests that the stock may still have room for growth. Welltower's price/sales ratio of 6.97 and price/book ratio of 2.14 are also in line with industry averages. The company's enterprise value/revenue ratio of 9.81 and enterprise value/EBITDA ratio of 27.76 may indicate that the stock is slightly overvalued, but this could also be due to the company's strong financial performance.</t>
  </si>
  <si>
    <t>Welltower has a solid financial position, with a strong balance sheet and consistent revenue growth. The company's focus on the healthcare real estate sector, particularly in senior housing and medical office buildings, positions it well for long-term growth as the aging population continues to drive demand for these services. Additionally, Welltower's recent acquisition of a portfolio of senior housing properties from Holiday Retirement is expected to further strengthen its position in the market.</t>
  </si>
  <si>
    <t>Overall, Welltower appears to be a strong company with a solid financial position and growth potential in the healthcare real estate sector. However, investors should closely monitor the company's valuation and any potential risks, such as changes in interest rates or regulatory changes in the healthcare industry."</t>
  </si>
  <si>
    <t>WST,80,"West Pharmaceutical Services is a leading global manufacturer of packaging and delivery systems for injectable drugs and healthcare products. The company has a strong financial position, with a recent market cap of $25.03B and an enterprise value of $24.44B. Its trailing P/E ratio of 45.59 and forward P/E ratio of 38.76 suggest that the stock may be slightly overvalued, but this is not uncommon in the healthcare industry. The PEG ratio of 5.53 indicates that the stock may be overvalued relative to its expected earnings growth. However, the company's strong financials and market position make it a solid investment option in the healthcare supplies industry.</t>
  </si>
  <si>
    <t>West Pharmaceutical Services has a price/sales ratio of 8.73 and a price/book ratio of 8.73, which are both higher than the industry average. This could be a reflection of the company's strong financial performance and potential for future growth. Its enterprise value/revenue ratio of 8.35 and enterprise value/EBITDA ratio of 30.53 also suggest that the stock may be slightly overvalued, but this could be justified by the company's strong financials and market position.</t>
  </si>
  <si>
    <t>Overall, West Pharmaceutical Services appears to be a solid investment option in the healthcare supplies industry. Its strong financials and market position make it a stable and potentially profitable investment for the next month."</t>
  </si>
  <si>
    <t>WHR,80,"Whirlpool Corporation is a leading household appliances company with a market cap of 6.47B and an enterprise value of 13.59B. The recent financial data shows a trailing P/E of 12.72 and a forward P/E of 7.69, indicating a potential undervaluation of the company's stock. The price/sales ratio of 0.34 and price/book ratio of 3.13 also suggest a favorable investment opportunity. However, the enterprise value/revenue ratio of 0.70 and enterprise value/EBITDA ratio of -29.42 raise some concerns about the company's financial health.</t>
  </si>
  <si>
    <t>The household appliances industry has been impacted by the COVID-19 pandemic, but with the recent removal of restrictions and widespread availability of vaccines, the industry is expected to recover. Whirlpool Corporation has a strong brand reputation and a diverse product portfolio, which positions it well to capitalize on the industry's recovery. Additionally, the company has been investing in technological advancements and expanding its global presence, which could drive future growth.</t>
  </si>
  <si>
    <t>Overall, Whirlpool Corporation appears to be in a stable financial position with potential for growth in the coming months. However, investors should closely monitor the company's financial performance and industry trends before making any investment decisions."</t>
  </si>
  <si>
    <t>EPAM,80,"EPAM Systems is a leading global provider of digital platform engineering and software development services. The company has a strong track record of delivering innovative solutions to its clients, which has helped it establish a solid reputation in the IT consulting and other services industry. The recent financial data for EPAM Systems shows a market cap of 16.31B and an enterprise value of 14.55B. The trailing P/E ratio is 35.24, while the forward P/E ratio is 46.30, indicating that the company's stock may be slightly overvalued. However, the price/sales ratio of 3.51 and price/book ratio of 4.94 suggest that the stock may still have room for growth. Additionally, the enterprise value/revenue ratio of 3.05 and enterprise value/EBITDA ratio of 20.55 are in line with industry averages, indicating that the company is financially stable. Overall, EPAM Systems appears to be in a strong financial position, with potential for growth in the IT consulting and other services industry."</t>
  </si>
  <si>
    <t>ROP,80,"Roper Technologies is a leading company in the Electronic Equipment &amp; Instruments industry with a recent market cap of 56.72B and an enterprise value of 63.30B. The firm has a trailing P/E ratio of 45.97 and a forward P/E ratio of 29.24, indicating a potential for future growth. However, the PEG ratio of 2.15 suggests that the stock may be slightly overvalued. The price/sales ratio of 9.49 and price/book ratio of 3.33 also indicate a premium valuation. The enterprise value/revenue ratio of 10.56 and enterprise value/EBITDA ratio of 25.46 suggest that the company may be slightly overvalued compared to its peers in the industry.</t>
  </si>
  <si>
    <t>Roper Technologies has a strong financial position with a healthy balance sheet and consistent earnings growth. The company has a diverse portfolio of products and services, providing stability and resilience in uncertain market conditions. Additionally, Roper Technologies has a history of strategic acquisitions, which have contributed to its growth and expansion into new markets.</t>
  </si>
  <si>
    <t>The recent news of the company's acquisition of Vertafore, a leading provider of cloud-based software for the insurance industry, further strengthens Roper Technologies' position in the market. This acquisition is expected to drive future growth and increase the company's market share in the insurance industry.</t>
  </si>
  <si>
    <t>Overall, Roper Technologies has a strong financial position and a history of strategic acquisitions, making it a promising investment opportunity in the Electronic Equipment &amp; Instruments industry. However, the premium valuation and potential for future growth should be carefully considered before making any investment decisions."</t>
  </si>
  <si>
    <t>CAT,80,"Caterpillar Inc. is a leading company in the Construction Machinery &amp; Heavy Transportation Equipment industry with a recent market cap of 144.73B and an enterprise value of 175.33B. The company has a trailing P/E ratio of 16.12 and a forward P/E ratio of 13.85, indicating that the stock may be undervalued. The PEG ratio of 1.69 suggests that the stock may have growth potential in the next five years. Additionally, the price/sales ratio of 2.21 and price/book ratio of 7.06 are in line with industry averages, indicating a fair valuation. However, the enterprise value/revenue ratio of 2.63 and enterprise value/EBITDA ratio of 12.04 are slightly higher than industry averages, suggesting that the stock may be slightly overvalued.</t>
  </si>
  <si>
    <t>Overall, Caterpillar Inc. appears to be in a strong financial position with a solid market cap and enterprise value. The company's P/E and PEG ratios suggest that the stock may be undervalued, while the price/sales and price/book ratios indicate a fair valuation. However, investors should keep an eye on the enterprise value/revenue and enterprise value/EBITDA ratios, which may indicate a slightly higher valuation."</t>
  </si>
  <si>
    <t>MDLZ,80,"Mondelez International is a leading global snack and food company with a strong portfolio of well-known brands such as Oreo, Cadbury, and Ritz. The recent financial data for the company shows a market cap of 99.73B and an enterprise value of 118.57B. The trailing P/E ratio is 21.94, and the forward P/E ratio is 20.58, indicating that the company's stock may be slightly undervalued. The PEG ratio of 1.93 suggests that the stock may have room for growth in the future.</t>
  </si>
  <si>
    <t>In terms of valuation, Mondelez International's price/sales ratio of 2.84 and price/book ratio of 3.49 are in line with the industry average, indicating that the stock is fairly priced. The company's enterprise value/revenue ratio of 3.35 and enterprise value/EBITDA ratio of 16.37 also suggest that the stock is not overvalued.</t>
  </si>
  <si>
    <t>Mondelez International has a strong financial position, with a solid balance sheet and consistent earnings growth. The company's latest earnings report showed a 12% increase in net revenue and a 16% increase in earnings per share compared to the same period last year. The company also has a strong presence in emerging markets, which provides opportunities for future growth.</t>
  </si>
  <si>
    <t>Overall, Mondelez International appears to be a stable and well-managed company with a strong portfolio of brands and a solid financial position. While the stock may not be significantly undervalued, it has the potential for steady growth in the future. Therefore, based on the recent financial data and the company's performance, the potential investment value for Mondelez International in the Packaged Foods &amp; Meats industry for the next month is Score: 80."</t>
  </si>
  <si>
    <t>PG,80,"Procter &amp; Gamble (P&amp;G) is a leading consumer goods company in the Personal Care Products industry. The recent financial data shows a strong market position for P&amp;G, with a market cap of 348.44B and an enterprise value of 375.40B. The company's trailing P/E ratio of 24.00 and forward P/E ratio of 23.20 indicate a positive outlook for future earnings. However, the PEG ratio of 3.42 suggests that the stock may be slightly overvalued.</t>
  </si>
  <si>
    <t>P&amp;G's price/sales ratio of 4.40 and price/book ratio of 7.43 are in line with industry averages, indicating a fair valuation. The company's enterprise value/revenue ratio of 4.51 and enterprise value/EBITDA ratio of 16.49 also suggest a reasonable valuation.</t>
  </si>
  <si>
    <t>Overall, P&amp;G's financial data shows a stable and well-established company with a strong market position. The company's valuation appears to be in line with industry averages, indicating potential for steady growth in the future."</t>
  </si>
  <si>
    <t>PSA,80,"Public Storage is a leading self-storage REIT with a strong presence in the market. The recent financial data shows a market cap of 53.28B and an enterprise value of 66.03B. The trailing P/E ratio of 27.77 and forward P/E ratio of 28.25 indicate that the stock may be slightly overvalued. However, the price/sales ratio of 12.01 and price/book ratio of 9.25 suggest that the stock may still have room for growth.</t>
  </si>
  <si>
    <t>In terms of valuation metrics, the enterprise value/revenue ratio of 14.85 and enterprise value/EBITDA ratio of 20.56 are in line with industry averages, indicating that the stock is not significantly overvalued.</t>
  </si>
  <si>
    <t>Public Storage has a strong financial position and a solid track record of consistent dividend payments. The company's latest earnings report showed an increase in revenue and funds from operations, indicating a positive outlook for the future.</t>
  </si>
  <si>
    <t>Overall, Public Storage appears to be a stable and well-performing company in the self-storage REIT industry. While the stock may be slightly overvalued, its strong financials and potential for growth make it a promising investment option."</t>
  </si>
  <si>
    <t>RL,80,"Ralph Lauren Corporation is a well-established company in the Apparel, Accessories &amp; Luxury Goods industry with a recent market cap of 9.22B and an enterprise value of 10.52B. The company has a trailing P/E ratio of 18.21 and a forward P/E ratio of 14.04, indicating that the stock may be undervalued. The PEG ratio of 1.15 suggests that the stock may have growth potential in the next five years. Additionally, the price/sales ratio of 1.48 and price/book ratio of 3.89 are in line with industry averages, indicating that the stock is reasonably priced. However, the enterprise value/revenue ratio of 1.62 and enterprise value/EBITDA ratio of 11.27 are slightly higher than industry averages, which may indicate that the stock is slightly overvalued.</t>
  </si>
  <si>
    <t>Overall, Ralph Lauren Corporation appears to be in a stable financial position with potential for growth in the future. The company's strong brand and reputation in the luxury goods market, along with its recent expansion into e-commerce, could drive future revenue and earnings growth. However, investors should closely monitor any potential impacts from global economic uncertainties and supply chain disruptions."</t>
  </si>
  <si>
    <t>FAST,80,"Fastenal is a leading company in the Trading Companies &amp; Distributors industry with a recent market cap of 35.48B and an enterprise value of 35.73B. The company has a trailing P/E ratio of 31.35 and a forward P/E ratio of 28.90, indicating that the stock may be slightly overvalued. However, the PEG ratio of 3.38 suggests that the stock may still have room for growth.</t>
  </si>
  <si>
    <t>In terms of valuation metrics, Fastenal has a price/sales ratio of 4.88 and a price/book ratio of 10.24, both of which are higher than the industry average. This could be a concern for some investors, but it also reflects the company's strong financial performance and market position.</t>
  </si>
  <si>
    <t>Fastenal's enterprise value/revenue ratio of 4.90 and enterprise value/EBITDA ratio of 21.16 are also higher than the industry average, indicating that the company may be slightly overvalued. However, these ratios are still within a reasonable range and do not raise any major red flags.</t>
  </si>
  <si>
    <t>Overall, Fastenal appears to be a solid company with strong financials and a leading position in its industry. While some valuation metrics may suggest that the stock is slightly overvalued, the company's growth potential and market position make it a promising investment opportunity."</t>
  </si>
  <si>
    <t>FRT,80,"Federal Realty is a real estate investment trust (REIT) that specializes in retail properties. The company has a strong track record of delivering consistent returns to investors and has a market cap of 8.29B and an enterprise value of 12.95B. The recent financial data shows a trailing P/E ratio of 29.54 and a forward P/E ratio of 36.23, indicating that the stock may be slightly overvalued. However, the PEG ratio of 7.30 suggests that the stock may still have room for growth.</t>
  </si>
  <si>
    <t>In terms of valuation metrics, Federal Realty has a price/sales ratio of 7.37 and a price/book ratio of 3.05, which are both higher than the industry average. This could be due to the company's strong financial performance and its portfolio of high-quality retail properties. Additionally, the enterprise value/revenue ratio of 11.56 and the enterprise value/EBITDA ratio of 16.61 are also higher than the industry average, indicating that the stock may be trading at a premium.</t>
  </si>
  <si>
    <t>The latest news in the retail industry has been mixed, with some companies struggling due to the pandemic while others have seen a surge in sales. However, Federal Realty's focus on high-quality retail properties and its strong financial position make it well-positioned to weather any potential challenges in the industry.</t>
  </si>
  <si>
    <t>Overall, Federal Realty appears to be a solid investment option in the retail REITs industry. Its strong financial performance, high-quality properties, and potential for growth make it an attractive choice for investors. However, it is important to closely monitor any changes in the retail industry and the company's financial performance in the coming months."</t>
  </si>
  <si>
    <t>FTNT,80,"Fortinet is a leading company in the Systems Software industry with a recent market cap of 44.42B and an enterprise value of 42.25B. The company has a trailing P/E ratio of 40.17 and a forward P/E ratio of 34.48, indicating a potential undervaluation of the stock. The PEG ratio of 1.69 suggests that the stock may be trading at a discount compared to its expected growth rate. However, the price/sales ratio of 8.87 and price/book ratio of 599.51 may indicate that the stock is currently overvalued.</t>
  </si>
  <si>
    <t>Fortinet's latest financial data also shows a strong enterprise value/revenue ratio of 8.17 and an enterprise value/EBITDA ratio of 29.82, indicating a healthy financial position. The company's revenue and EBITDA growth have been consistently positive in recent years, with a 22.5% and 24.6% increase, respectively, in the latest quarter.</t>
  </si>
  <si>
    <t>Overall, Fortinet appears to be in a strong financial position with potential for growth. However, investors should closely monitor the stock's valuation and keep an eye on any potential market volatility that may impact the company's performance."</t>
  </si>
  <si>
    <t>HST,80,"Host Hotels &amp; Resorts is a leading hotel and resort real estate investment trust (REIT) with a recent market cap of $13.80B and an enterprise value of $17.66B. The company has a trailing P/E ratio of 18.63 and a forward P/E ratio of 19.65, indicating a relatively fair valuation. The PEG ratio of 1.35 suggests that the stock may be slightly overvalued, but this could be justified by the company's strong financial performance.</t>
  </si>
  <si>
    <t>In terms of valuation metrics, Host Hotels &amp; Resorts has a price/sales ratio of 2.66 and a price/book ratio of 2.01, both of which are in line with industry averages. The enterprise value/revenue ratio of 3.36 and the enterprise value/EBITDA ratio of 10.69 also suggest that the company is reasonably valued.</t>
  </si>
  <si>
    <t>Recent news in the hotel and resort industry has been mixed, with the ongoing COVID-19 pandemic still impacting travel and tourism. However, with the widespread availability of vaccines and the easing of restrictions, the industry is expected to recover in the coming months. Host Hotels &amp; Resorts has a strong portfolio of properties and a solid financial position, which should position the company well for the industry's recovery.</t>
  </si>
  <si>
    <t>Overall, Host Hotels &amp; Resorts appears to be a solid investment option in the hotel and resort REITs industry. The company has a strong financial position, a fair valuation, and potential for growth as the industry recovers. However, investors should closely monitor any potential impacts of the recent geopolitical tensions and inflation concerns on the company's operations."</t>
  </si>
  <si>
    <t>CBRE,80,"CBRE Group is a leading real estate services company with a strong financial standing. The latest financial data shows a market cap of $27.14B and an enterprise value of $31.66B. The trailing P/E ratio of 46.87 and forward P/E ratio of 21.10 suggest that the company's stock may be slightly overvalued. However, the PEG ratio of 2.27 indicates that the stock may still have room for growth.</t>
  </si>
  <si>
    <t>In terms of valuation metrics, CBRE Group has a price/sales ratio of 0.90 and a price/book ratio of 3.53, which are both below the industry average. This suggests that the stock may be undervalued compared to its peers. Additionally, the company's enterprise value/revenue ratio of 1.01 and enterprise value/EBITDA ratio of 21.95 are in line with industry averages, indicating a fair valuation.</t>
  </si>
  <si>
    <t>Overall, CBRE Group appears to be in a strong financial position with potential for growth. However, investors should closely monitor the company's performance and industry trends before making any investment decisions."</t>
  </si>
  <si>
    <t>EQIX,80,"Equinix is a leading player in the Data Center REITs industry, with a recent market cap of $74.75B and an enterprise value of $89.77B. The company has a trailing P/E ratio of 85.70 and a forward P/E ratio of 70.92, indicating a relatively high valuation. However, the PEG ratio of 3.56 suggests that the stock may be undervalued compared to its expected growth rate. Equinix also has a strong price-to-sales ratio of 9.37 and a price-to-book ratio of 6.29, indicating a premium for its assets. The company's enterprise value to revenue ratio of 11.29 and enterprise value to EBITDA ratio of 27.68 are also relatively high, indicating a premium for its operations.</t>
  </si>
  <si>
    <t>Overall, Equinix appears to be a solid investment opportunity in the Data Center REITs industry. The company has a strong market position and is expected to experience growth in the coming years. However, investors should carefully consider the high valuation metrics and potential risks, such as increasing competition and potential market volatility. It is recommended to conduct further analysis and monitor the company's performance before making any investment decisions."</t>
  </si>
  <si>
    <t>K,80,"Kellanova is a leading company in the Packaged Foods &amp; Meats industry with a recent market cap of 19.69B and an enterprise value of 26.26B. The company has a trailing P/E ratio of 24.15 and a forward P/E ratio of 14.75, indicating a potential undervaluation in the stock. However, the PEG ratio of 4.56 suggests that the stock may be overvalued based on its expected growth rate. Kellanova's price/sales ratio of 1.25 and price/book ratio of 4.88 are in line with industry averages, indicating a fair valuation. The company's enterprise value/revenue ratio of 1.66 and enterprise value/EBITDA ratio of 14.11 also suggest a fair valuation.</t>
  </si>
  <si>
    <t>Recent news in the Packaged Foods &amp; Meats industry has been mixed, with some companies reporting strong earnings and others facing challenges due to supply chain disruptions and inflationary pressures. Kellanova has a strong financial position, which could help mitigate these challenges. The company's latest financial data shows a healthy balance sheet and a solid cash flow, providing a strong foundation for future growth.</t>
  </si>
  <si>
    <t>Overall, Kellanova appears to be a solid investment opportunity in the Packaged Foods &amp; Meats industry. While there are some concerns about potential overvaluation, the company's strong financial position and fair valuation metrics make it a promising investment option."</t>
  </si>
  <si>
    <t>KEY,80,"Enterprise Value/Revenue   3.27</t>
  </si>
  <si>
    <t>KeyCorp is a regional bank with a market cap of 13.28B. The latest financial data shows a trailing P/E of 11.53 and a forward P/E of 11.53, indicating a relatively low valuation. However, the PEG ratio of 8.87 suggests that the stock may be overvalued based on its expected growth rate. The price/sales ratio of 2.02 and price/book ratio of 1.22 also indicate a slightly higher valuation compared to its peers in the regional banks industry. The enterprise value/revenue ratio of 3.27 is in line with industry averages.</t>
  </si>
  <si>
    <t>Recent news in the banking sector has been mixed, with concerns about rising interest rates and potential economic slowdowns. However, KeyCorp has shown resilience in its financial performance, with strong earnings and revenue growth in the latest quarter. The company has also been actively managing its expenses and improving its efficiency, which could lead to further profitability.</t>
  </si>
  <si>
    <t>Overall, KeyCorp appears to be a solid investment option in the regional banks industry. Its strong financial performance and efforts to improve efficiency make it a promising choice for investors. However, the potential impact of rising interest rates and economic uncertainties should be closely monitored."</t>
  </si>
  <si>
    <t>KEYS,80,"Keysight is a leading company in the Electronic Equipment &amp; Instruments industry with a recent market cap of 26.37B and an enterprise value of 25.92B. The company has a trailing P/E ratio of 25.49 and a forward P/E ratio of 20.83, indicating a positive outlook for future earnings. However, the PEG ratio of 3.13 suggests that the stock may be slightly overvalued compared to its expected growth rate. The price/sales ratio of 4.94 and price/book ratio of 5.67 also indicate a relatively high valuation for the company.</t>
  </si>
  <si>
    <t>In terms of financial performance, Keysight has a strong enterprise value/revenue ratio of 4.74 and a solid enterprise value/EBITDA ratio of 15.74. This suggests that the company is generating healthy revenues and has a good level of profitability.</t>
  </si>
  <si>
    <t>Recent news in the industry, such as the rise of generative AI models and the potential for increased regulation in the tech sector, may present both risks and opportunities for Keysight. However, the company's strong financial position and market leadership position make it well-equipped to navigate these challenges.</t>
  </si>
  <si>
    <t>Overall, Keysight appears to be a solid investment option in the Electronic Equipment &amp; Instruments industry. However, investors should closely monitor industry developments and the company's financial performance to make informed decisions."</t>
  </si>
  <si>
    <t>LULU,80,"Lululemon Athletica is a leading athletic apparel company with a strong brand and a loyal customer base. The recent financial data shows a market cap of $62.85B and an enterprise value of $62.92B. The trailing P/E ratio of 63.36 and the forward P/E ratio of 35.21 indicate that the stock may be slightly overvalued. However, the PEG ratio of 1.48 suggests that the stock may still have room for growth.</t>
  </si>
  <si>
    <t>The price/sales ratio of 6.91 and the price/book ratio of 17.82 are both higher than the industry average, indicating that the stock may be trading at a premium. However, the enterprise value/revenue ratio of 6.85 and the enterprise value/EBITDA ratio of 26.53 are in line with the industry average, suggesting that the company's valuation is reasonable.</t>
  </si>
  <si>
    <t>Lululemon Athletica has a strong financial position and has been consistently delivering strong earnings growth. The company's recent expansion into new markets and its focus on digital sales have also been positive developments. However, the company may face challenges in the near future due to supply chain disruptions and potential inflationary pressures.</t>
  </si>
  <si>
    <t>Overall, Lululemon Athletica appears to be a solid investment option in the Apparel, Accessories &amp; Luxury Goods industry. While the stock may be slightly overvalued, the company's strong financials and growth potential make it a promising investment for the long term."</t>
  </si>
  <si>
    <t>GD,80,"General Dynamics is a leading company in the Aerospace &amp; Defense industry with a recent market cap of 70.01B and an enterprise value of 79.65B. The firm has a trailing P/E ratio of 21.43 and a forward P/E ratio of 17.27, indicating that the stock may be undervalued. The PEG ratio of 1.76 suggests that the stock may have growth potential in the next five years. Additionally, the price/sales ratio of 1.71 and price/book ratio of 3.51 are in line with industry averages, indicating a fair valuation. However, the enterprise value/revenue ratio of 1.92 and enterprise value/EBITDA ratio of 15.08 are slightly higher than industry averages, suggesting that the stock may be slightly overvalued.</t>
  </si>
  <si>
    <t>Overall, General Dynamics appears to be in a strong financial position with a healthy balance sheet and a stable P/E ratio. The company's recent performance has been positive, with a steady increase in revenue and earnings. However, investors should be aware of potential risks in the Aerospace &amp; Defense industry, such as changing government contracts and geopolitical tensions."</t>
  </si>
  <si>
    <t>GS,80,"Enterprise Value  1.02T</t>
  </si>
  <si>
    <t>Goldman Sachs is a leading global investment banking and financial services firm with a strong reputation and a long history of success. The recent financial data for the firm shows a market cap of 124.51B and a trailing P/E ratio of 18.41, indicating that the stock may be slightly overvalued. However, the forward P/E ratio of 10.98 and the PEG ratio of 3.05 suggest that the stock may have room for growth in the future. The price/sales ratio of 2.93 and the price/book ratio of 1.17 also indicate that the stock is trading at a reasonable valuation.</t>
  </si>
  <si>
    <t>In terms of enterprise value, Goldman Sachs has a significant value of 1.02T, which reflects the company's strong financial position and potential for future growth. The firm has a diverse portfolio of services, including investment banking, asset management, and securities trading, which provides stability and resilience in the face of market fluctuations.</t>
  </si>
  <si>
    <t>Overall, Goldman Sachs appears to be in a strong financial position with potential for growth in the future. However, investors should closely monitor market trends and economic indicators to make informed decisions about the stock."</t>
  </si>
  <si>
    <t>HAL,80,"Halliburton is a leading company in the Oil &amp; Gas Equipment &amp; Services industry with a recent market cap of 32.73B and an enterprise value of 39.60B. The company has a trailing P/E ratio of 12.57 and a forward P/E ratio of 10.46, indicating that the stock may be undervalued. The PEG ratio of 1.05 suggests that the stock may have growth potential in the next five years. Additionally, the price/sales ratio of 1.45 and price/book ratio of 3.58 are in line with industry averages, indicating a fair valuation. However, the enterprise value/revenue ratio of 1.73 and enterprise value/EBITDA ratio of 8.24 are slightly higher than industry averages, suggesting that the stock may be slightly overvalued.</t>
  </si>
  <si>
    <t>Overall, Halliburton's financial data suggests that the company is in a stable financial position with potential for growth. The recent increase in oil prices and the company's strong presence in the oil and gas industry bode well for its future performance. However, investors should closely monitor any potential changes in oil prices and industry trends that may impact the company's revenue and profitability."</t>
  </si>
  <si>
    <t>HD,80,"Home Depot (The) is a leading company in the Home Improvement Retail industry with a recent market cap of 336.66B and an enterprise value of 383.85B. The company has a trailing P/E ratio of 21.68 and a forward P/E ratio of 21.14, indicating a relatively stable valuation. However, the PEG ratio of 2.07 suggests that the stock may be slightly overvalued compared to its expected growth rate. Home Depot's price/sales ratio of 2.22 and price/book ratio of 235.42 also indicate a premium valuation.</t>
  </si>
  <si>
    <t>In terms of financial performance, Home Depot has a strong enterprise value/revenue ratio of 2.50 and an enterprise value/EBITDA ratio of 14.97, indicating efficient use of its assets and strong profitability.</t>
  </si>
  <si>
    <t>Overall, Home Depot's financial data suggests a stable and well-performing company in the Home Improvement Retail industry. However, investors should closely monitor the company's growth potential and valuation metrics to make informed investment decisions."</t>
  </si>
  <si>
    <t>INTC,80,"Intel is a leading company in the semiconductor industry with a recent market cap of 198.36B and an enterprise value of 222.21B. The company's forward P/E ratio of 25.97 and PEG ratio of 1.25 suggest that the stock may be slightly overvalued. However, its price/sales ratio of 3.71 and price/book ratio of 1.95 indicate that the stock may still have room for growth.</t>
  </si>
  <si>
    <t>In the latest news, Intel has announced plans to invest $20 billion in two new chip factories in Arizona, signaling its commitment to expanding its manufacturing capabilities. This move could position the company to better compete with its rivals in the industry.</t>
  </si>
  <si>
    <t>Moreover, Intel's financials remain strong, with a solid enterprise value/revenue ratio of 4.20 and enterprise value/EBITDA ratio of 26.73. This indicates that the company is generating healthy revenues and profits.</t>
  </si>
  <si>
    <t>Overall, Intel's financial data and recent developments suggest that the company is in a strong position in the semiconductor industry. However, investors should closely monitor the company's performance and any potential challenges in the industry."</t>
  </si>
  <si>
    <t>IP,80,"International Paper (IP) is a leading company in the Paper &amp; Plastic Packaging Products &amp; Materials industry with a recent market cap of 12.58B and an enterprise value of 17.41B. The company has a trailing P/E ratio of 16.67 and a forward P/E ratio of 16.53, indicating that the stock is currently trading at a reasonable valuation. However, the PEG ratio of 2.36 suggests that the stock may be slightly overvalued compared to its expected earnings growth.</t>
  </si>
  <si>
    <t>In terms of financial health, IP has a price/sales ratio of 0.66 and a price/book ratio of 1.42, both of which are below the industry average. This indicates that the stock may be undervalued based on its sales and book value. Additionally, the company's enterprise value/revenue ratio of 0.90 and enterprise value/EBITDA ratio of 7.17 are also below the industry average, suggesting that the stock may be undervalued based on its revenue and earnings.</t>
  </si>
  <si>
    <t>Overall, IP appears to be in a strong financial position with reasonable valuation metrics. However, investors should keep an eye on the company's earnings growth and potential impact of macro-economic factors on the paper and packaging industry."</t>
  </si>
  <si>
    <t>NOC,80,"Northrop Grumman is a leading company in the Aerospace &amp; Defense industry with a recent market cap of $71.61B and an enterprise value of $85.06B. The firm has a trailing P/E ratio of 15.62 and a forward P/E ratio of 19.19, indicating a potential increase in earnings in the future. However, the PEG ratio of 13.07 suggests that the stock may be overvalued compared to its expected growth rate. The price/sales ratio of 1.88 and price/book ratio of 4.50 are in line with industry averages, indicating a fair valuation. The enterprise value/revenue ratio of 2.20 and enterprise value/EBITDA ratio of 11.48 also suggest that the stock may be slightly overvalued.</t>
  </si>
  <si>
    <t>Northrop Grumman has a strong financial position and a solid track record of delivering value to its shareholders. The company's recent performance has been impacted by the COVID-19 pandemic, but with the removal of most restrictions and the availability of vaccines, the company is expected to bounce back in the coming months. Additionally, the ongoing geopolitical tensions and conflicts around the world could provide opportunities for growth in the Aerospace &amp; Defense industry, benefiting Northrop Grumman.</t>
  </si>
  <si>
    <t>Overall, Northrop Grumman appears to be a stable and well-established company in the Aerospace &amp; Defense industry. While there may be some concerns about its valuation, the company's strong financials and potential for growth make it a promising investment option."</t>
  </si>
  <si>
    <t>NRG,80,"NRG Energy is a leading independent power producer and energy trader in the United States. The company has a recent market cap of 11.67B and an enterprise value of 23.81B. Its forward P/E ratio of 7.67 and PEG ratio of 1.68 suggest that the stock may be undervalued. Additionally, its price/sales ratio of 0.40 and price/book ratio of 4.07 indicate that the stock may be trading at a discount compared to its peers in the industry.</t>
  </si>
  <si>
    <t>NRG Energy's latest financial data also shows a strong enterprise value/revenue ratio of 0.80, indicating that the company is generating significant revenue relative to its enterprise value. However, its enterprise value/EBITDA ratio of -45.88 may raise some concerns about its profitability.</t>
  </si>
  <si>
    <t>Overall, NRG Energy appears to be in a strong financial position with a solid market cap and enterprise value. Its low valuation metrics suggest that the stock may have potential for growth in the near future. However, investors should closely monitor the company's profitability and keep an eye on any potential changes in the energy market."</t>
  </si>
  <si>
    <t>OKE,80,"ONEOK is a leading company in the Oil &amp; Gas Storage &amp; Transportation industry with a recent market cap of $41.79B and an enterprise value of $63.57B. The company has a trailing P/E ratio of 13.19 and a forward P/E ratio of 14.27, indicating a relatively low valuation compared to its peers in the industry. However, the PEG ratio of 1.48 suggests that the stock may be slightly overvalued based on its expected growth rate.</t>
  </si>
  <si>
    <t>In terms of financial health, ONEOK has a price/sales ratio of 1.85 and a price/book ratio of 2.56, both of which are in line with industry averages. The company's enterprise value/revenue ratio of 3.64 and enterprise value/EBITDA ratio of 13.80 also indicate a healthy balance sheet.</t>
  </si>
  <si>
    <t>Recent news in the oil and gas industry, such as the COP28 climate summit's consensus to transition away from fossil fuels, may have a potential impact on ONEOK's operations. However, the company has been taking steps to diversify its portfolio and invest in renewable energy sources, which could mitigate any potential risks.</t>
  </si>
  <si>
    <t>Overall, ONEOK appears to be a stable and well-managed company with a strong financial position. However, investors should closely monitor any developments in the industry and the company's efforts to adapt to changing market conditions."</t>
  </si>
  <si>
    <t>IPG,80,"Interpublic Group of Companies (The) is a leading advertising and marketing services company with a strong global presence. The recent financial data for the company shows a market cap of $12.30B and an enterprise value of $15.32B. The trailing P/E ratio of 13.44 and forward P/E ratio of 11.35 suggest that the stock is currently undervalued. However, the PEG ratio of 3.43 indicates that the stock may be overvalued in the long term.</t>
  </si>
  <si>
    <t>The company's price/sales ratio of 1.15 and price/book ratio of 3.34 are in line with the industry average, indicating a fair valuation. The enterprise value/revenue ratio of 1.41 and enterprise value/EBITDA ratio of 9.09 also suggest that the stock is trading at a reasonable price.</t>
  </si>
  <si>
    <t>Interpublic Group of Companies (The) has a strong financial position with a healthy balance sheet and consistent profitability. The company's recent acquisitions and partnerships have further strengthened its market position and diversified its revenue streams.</t>
  </si>
  <si>
    <t>Overall, the company's financial data suggests that it is a stable and well-managed company with potential for growth in the advertising industry. However, investors should closely monitor any potential impact of the current economic and market conditions on the company's performance."</t>
  </si>
  <si>
    <t>BLK,80,"BlackRock, one of the world's largest asset management and custody banks, has been performing well in the recent market conditions. With a market cap of 116.65B and an enterprise value of 119.00B, the company has a strong financial standing. Its trailing P/E ratio of 33.65 and forward P/E ratio of 22.37 indicate that the company is currently trading at a premium, but its expected growth potential may justify this valuation.</t>
  </si>
  <si>
    <t>BlackRock's PEG ratio of 4.52 suggests that the stock may be slightly overvalued, but this could also be due to the company's strong performance in the past year. Its price/sales ratio of 6.75 and price/book ratio of 3.02 are also higher than the industry average, indicating that the stock may be trading at a premium. However, BlackRock's enterprise value/revenue ratio of 6.77 and enterprise value/EBITDA ratio of 15.72 are in line with the industry average, suggesting that the company's valuation is reasonable.</t>
  </si>
  <si>
    <t>Overall, BlackRock's financial data suggests that the company is in a strong position and has the potential for growth in the future. Its recent performance and market conditions indicate that the stock may be trading at a premium, but its strong fundamentals and expected growth potential may justify this valuation."</t>
  </si>
  <si>
    <t>AVGO,80,"Broadcom Inc. is a leading semiconductor company that has recently made headlines with its acquisition of VMware. This deal is expected to transform the company, with software projected to make up 40% of sales in 2024. This move reduces Broadcom's risk and dependence on top customers, such as Apple, who may build their own chips. Additionally, Broadcom's strong ecosystem, industry expertise, and market leadership position in Wi-Fi and server storage make it well-positioned for future success.</t>
  </si>
  <si>
    <t>In terms of financial data, Broadcom has a market cap of $495.81B and an enterprise value of $520.85B. Its trailing P/E ratio is 32.11 and its forward P/E ratio is 22.68, indicating potential growth in the future. The PEG ratio of 1.59 suggests that the stock may be undervalued. However, the price/sales ratio of 12.63 and price/book ratio of 20.67 may indicate that the stock is currently overvalued. The enterprise value/revenue ratio of 14.54 and enterprise value/EBITDA ratio of 25.34 also suggest that the stock may be overvalued.</t>
  </si>
  <si>
    <t>Overall, Broadcom's recent acquisition and strong position in the semiconductor industry make it a promising investment opportunity. However, investors should carefully consider the company's valuation metrics before making any investment decisions."</t>
  </si>
  <si>
    <t>TJX,80,"The TJX Companies, Inc. (TJX) is a leading off-price retailer of apparel and home fashions. The company operates over 4,500 stores in nine countries and has a strong presence in the United States, Canada, and Europe. TJX has a market cap of $104.51B and an enterprise value of $112.74B. The recent financial data shows a trailing P/E ratio of 25.90 and a forward P/E ratio of 22.62, indicating that the stock may be slightly overvalued. However, the PEG ratio of 1.81 suggests that the stock may still have room for growth. TJX also has a strong balance sheet, with a price/book ratio of 15.29 and an enterprise value/revenue ratio of 2.15. The company's enterprise value/EBITDA ratio of 17.38 is also relatively low, indicating that TJX may be undervalued compared to its peers in the apparel retail industry.</t>
  </si>
  <si>
    <t>The latest news in the apparel retail industry shows that consumer spending is on the rise, which could benefit TJX as consumers look for value and bargains. Additionally, the company's off-price business model has proven to be resilient during economic downturns, making it a potentially attractive investment option in the current uncertain market environment. However, investors should also consider the potential impact of rising inflation and supply chain disruptions on TJX's operations and profitability."</t>
  </si>
  <si>
    <t>TDG,80,"TransDigm Group is a leading player in the Aerospace &amp; Defense industry with a recent market cap of 53.80B and an enterprise value of 70.09B. The company has a trailing P/E ratio of 44.15 and a forward P/E ratio of 29.59, indicating a potential for future growth. However, the PEG ratio of 3.36 suggests that the stock may be slightly overvalued. The price/sales ratio of 8.45 and the enterprise value/revenue ratio of 10.64 also indicate a premium valuation for the company. Additionally, the enterprise value/EBITDA ratio of 22.27 suggests that the company may have a high level of debt.</t>
  </si>
  <si>
    <t>Recent news in the Aerospace &amp; Defense industry, such as the geopolitical tensions in Europe and the Middle East, could potentially impact TransDigm Group's performance. However, the company's strong position in the industry and its focus on innovation and customer satisfaction could help mitigate these risks.</t>
  </si>
  <si>
    <t>Overall, TransDigm Group appears to be a solid investment option in the Aerospace &amp; Defense industry. However, investors should closely monitor the company's financial performance and industry developments to make informed decisions."</t>
  </si>
  <si>
    <t>VLO,80,"Valero Energy is a leading company in the Oil &amp; Gas Refining &amp; Marketing industry with a recent market cap of $45.53B and an enterprise value of $51.14B. The company has a trailing P/E ratio of 4.56 and a forward P/E ratio of 9.29, indicating that the stock may be undervalued. Valero Energy also has a low price-to-sales ratio of 0.32 and a price-to-book ratio of 1.75, suggesting that the stock may be trading at a discount compared to its peers.</t>
  </si>
  <si>
    <t>In terms of financial performance, Valero Energy has shown strong revenue growth with an enterprise value/revenue ratio of 0.34. The company also has a healthy enterprise value/EBITDA ratio of 2.89, indicating efficient use of its capital.</t>
  </si>
  <si>
    <t>Recent news in the oil and gas industry, such as the COP28 climate summit consensus to transition away from fossil fuels, may have a potential impact on Valero Energy's operations. However, the company has a strong track record of adapting to changing market conditions and has been investing in renewable energy sources.</t>
  </si>
  <si>
    <t>Overall, Valero Energy appears to be in a stable financial position with potential for growth in the long term. However, investors should closely monitor any developments in the industry and the company's response to them."</t>
  </si>
  <si>
    <t>AME,75,"Ametek is a leading company in the Electrical Components &amp; Equipment industry with a recent market cap of 37.07B and an enterprise value of 38.38B. The firm has a trailing P/E ratio of 29.09 and a forward P/E ratio of 24.15, indicating a positive outlook for future earnings. However, the PEG ratio of 2.42 suggests that the stock may be slightly overvalued. The price/sales ratio of 5.72 and price/book ratio of 4.44 also indicate a premium valuation for the stock. The enterprise value/revenue ratio of 5.91 and enterprise value/EBITDA ratio of 19.36 suggest that the company may be slightly overvalued compared to its peers in the industry.</t>
  </si>
  <si>
    <t>Recent news and developments in the industry, such as the rise of renewable energy and increasing demand for electric vehicles, could provide growth opportunities for Ametek. The company's strong financial position and diverse product portfolio also make it well-positioned to capitalize on these trends. However, potential risks to consider include increasing competition and potential disruptions in the global supply chain.</t>
  </si>
  <si>
    <t>Overall, Ametek appears to be a solid company with a positive outlook in a growing industry. However, the stock may be slightly overvalued at its current price levels. Investors should closely monitor the company's financial performance and industry developments before making any investment decisions."</t>
  </si>
  <si>
    <t>ALGN,75,"Align Technology is a leading company in the Health Care Supplies industry with a recent market cap of 19.62B and an enterprise value of 18.47B. The company has a trailing P/E ratio of 54.28 and a forward P/E ratio of 28.17, indicating a potential for future growth. However, the PEG ratio of 2.17 suggests that the stock may be slightly overvalued. The price/sales ratio of 5.19 and price/book ratio of 5.16 also indicate a premium valuation for the stock. The enterprise value/revenue ratio of 4.85 and enterprise value/EBITDA ratio of 25.01 suggest that the company may be slightly overvalued compared to its peers in the industry.</t>
  </si>
  <si>
    <t>Align Technology has been performing well in recent years, with a strong focus on innovation and expanding its product portfolio. The company's latest financial data shows a steady increase in revenue and earnings, indicating a positive outlook for the future. Additionally, the company's recent expansion into international markets, particularly in Asia, presents a significant growth opportunity.</t>
  </si>
  <si>
    <t>However, there are some potential risks to consider. The company's high valuation and dependence on a single product, Invisalign, could make it vulnerable to market fluctuations and competition. Moreover, the ongoing COVID-19 pandemic may impact the company's sales and operations, particularly in regions with strict lockdown measures.</t>
  </si>
  <si>
    <t>Overall, Align Technology has a strong financial position and a positive outlook for the future. However, the company's high valuation and potential risks should be carefully considered before making any investment decisions."</t>
  </si>
  <si>
    <t>TSCO,75,"Tractor Supply is a leading company in the Specialty Stores industry with a recent market cap of 22.99B and an enterprise value of 27.55B. The company has a trailing P/E ratio of 20.75 and a forward P/E ratio of 20.16, indicating a relatively stable valuation. However, the PEG ratio of 2.19 suggests that the stock may be slightly overvalued compared to its expected growth rate. Tractor Supply's price/sales ratio of 1.57 and price/book ratio of 10.89 are also higher than the industry average, indicating a premium valuation. The company's enterprise value/revenue ratio of 1.85 and enterprise value/EBITDA ratio of 14.59 are also higher than the industry average, suggesting that the stock may be trading at a premium compared to its peers.</t>
  </si>
  <si>
    <t>Overall, Tractor Supply's financial data suggests that the stock may be slightly overvalued compared to its peers. However, the company has a strong market position and a solid financial foundation, which could support its future growth. Additionally, the company's recent expansion into e-commerce and its focus on digital transformation could drive future revenue growth."</t>
  </si>
  <si>
    <t>TT,75,"Trane Technologies is a leading company in the Building Products industry with a recent market cap of 53.69B and an enterprise value of 57.56B. The company has a trailing P/E ratio of 27.53 and a forward P/E ratio of 23.58, indicating a positive outlook for future earnings. However, the PEG ratio of 2.12 suggests that the stock may be slightly overvalued compared to its expected growth rate. Trane Technologies also has a price/sales ratio of 3.15 and a price/book ratio of 8.04, which are both higher than the industry average. This could indicate that the stock is currently trading at a premium.</t>
  </si>
  <si>
    <t>On the positive side, Trane Technologies has a strong enterprise value/revenue ratio of 3.32 and an enterprise value/EBITDA ratio of 18.87, which are both lower than the industry average. This suggests that the company is generating strong revenues and has a healthy balance sheet.</t>
  </si>
  <si>
    <t>Overall, Trane Technologies appears to be a solid company with a positive outlook for future earnings. However, the stock may be slightly overvalued at its current price. Investors should closely monitor the company's financial performance and industry trends before making any investment decisions."</t>
  </si>
  <si>
    <t>SNPS,75,"Synopsys is a leading company in the Application Software industry with a recent market cap of 74.84B and an enterprise value of 73.94B. The firm has a trailing P/E ratio of 62.17 and a forward P/E ratio of 34.13, indicating a potential for future growth. However, the PEG ratio of 2.08 suggests that the stock may be slightly overvalued. The price/sales ratio of 13.08 and price/book ratio of 12.17 also indicate a premium valuation for the company. Additionally, the enterprise value/revenue ratio of 12.65 and enterprise value/EBITDA ratio of 47.70 suggest that the stock may be trading at a premium compared to its peers.</t>
  </si>
  <si>
    <t>The recent news in the Application Software industry has been positive, with technological advancements and the rise of AI models offering potential opportunities for Synopsys. However, the potential for increased regulation in the tech sector is a factor to keep in mind. The company's financials and market trends indicate a potential for growth, but investors should also consider the risks and uncertainties in the market."</t>
  </si>
  <si>
    <t>CTAS,75,"Cintas is a leading company in the Diversified Support Services industry with a recent market cap of 58.80B and an enterprise value of 61.58B. The company has a trailing P/E ratio of 42.04 and a forward P/E ratio of 40.16, indicating a relatively high valuation. However, the PEG ratio of 3.71 suggests that the stock may be undervalued compared to its expected growth rate. Cintas also has a strong price-to-sales ratio of 6.53 and a price-to-book ratio of 14.72, indicating a premium for its assets. The company's enterprise value to revenue ratio of 6.70 and enterprise value to EBITDA ratio of 26.27 are also relatively high, suggesting that the stock may be overvalued.</t>
  </si>
  <si>
    <t>Overall, Cintas has a strong financial position and is well-positioned in its industry. The company's latest financial data shows positive growth and profitability, with a strong focus on customer service and innovation. However, investors should be aware of potential risks, such as increasing competition and potential economic downturns, which could impact the company's performance."</t>
  </si>
  <si>
    <t>CLX,75,"Clorox is a leading company in the household products industry with a recent market cap of 17.56B and an enterprise value of 20.24B. The company has a trailing P/E ratio of 205.10 and a forward P/E ratio of 30.77, indicating a potential for future growth. However, the PEG ratio of 2.27 suggests that the stock may be slightly overvalued. Clorox also has a price/sales ratio of 2.50 and an enterprise value/revenue ratio of 2.88, which are in line with industry averages. However, the enterprise value/EBITDA ratio of 42.08 is higher than the industry average, indicating a higher valuation for the company's earnings.</t>
  </si>
  <si>
    <t>Recent news in the household products industry has been mixed, with some companies reporting strong earnings and others facing challenges due to supply chain disruptions and inflation concerns. Clorox has also faced some challenges in the past year, including a decline in sales due to the pandemic and supply chain disruptions. However, the company has shown resilience and has been able to adapt to the changing market conditions.</t>
  </si>
  <si>
    <t>Overall, Clorox has a strong brand and a solid financial position, which could make it a good investment opportunity in the long term. However, investors should closely monitor the company's performance and any potential risks, such as inflation and supply chain disruptions, before making any investment decisions."</t>
  </si>
  <si>
    <t>CME,75,"CME Group (CME) is a leading financial exchange and data company with a market cap of $72.51B and an enterprise value of $73.53B. The company has a trailing P/E ratio of 24.03 and a forward P/E ratio of 21.79, indicating a relatively high valuation. However, the PEG ratio of 4.57 suggests that the stock may be overvalued compared to its expected earnings growth.</t>
  </si>
  <si>
    <t>In terms of valuation multiples, CME Group has a price/sales ratio of 13.54 and a price/book ratio of 2.58, both of which are higher than the industry average. This could be attributed to the company's strong financial performance and dominant position in the financial exchanges and data industry.</t>
  </si>
  <si>
    <t>CME Group's enterprise value/revenue and enterprise value/EBITDA ratios of 13.75 and 16.37, respectively, are also higher than the industry average. This indicates that the company may be trading at a premium compared to its peers.</t>
  </si>
  <si>
    <t>Overall, CME Group's latest financial data suggests that the company is performing well and has a strong market position. However, the high valuation multiples may indicate that the stock is currently overvalued."</t>
  </si>
  <si>
    <t>CMS,75,"CMS Energy is a leading energy company in the Multi-Utilities industry with a recent market cap of $17.30B and an enterprise value of $32.83B. The company has a trailing P/E ratio of 23.34 and a forward P/E ratio of 17.79, indicating a potential undervaluation of the stock. However, the PEG ratio of 2.41 suggests that the stock may be slightly overvalued based on its expected growth rate. The price/sales ratio of 2.21 and price/book ratio of 2.48 also indicate that the stock may be trading at a premium compared to its industry peers.</t>
  </si>
  <si>
    <t>In terms of financial performance, CMS Energy has a strong enterprise value/revenue ratio of 4.21, indicating a healthy balance sheet. However, the enterprise value/EBITDA ratio of 12.64 is slightly higher than the industry average, suggesting that the company may have a higher level of debt compared to its earnings.</t>
  </si>
  <si>
    <t>Overall, CMS Energy appears to be a stable and well-performing company in the Multi-Utilities industry. Its financial data suggests that the stock may be slightly overvalued, but its strong balance sheet and potential for growth make it a promising investment opportunity."</t>
  </si>
  <si>
    <t>KO,75,"The Coca-Cola Company (KO) is a leading player in the Soft Drinks &amp; Non-alcoholic Beverages industry with a recent market cap of 259.23B and an enterprise value of 283.97B. The company has a trailing P/E ratio of 24.28 and a forward P/E ratio of 21.41, indicating a relatively high valuation. However, the PEG ratio of 2.83 suggests that the stock may still have room for growth. The price/sales ratio of 5.78 and price/book ratio of 9.85 also indicate a premium valuation. The company's enterprise value/revenue ratio of 6.31 and enterprise value/EBITDA ratio of 18.26 are in line with industry averages.</t>
  </si>
  <si>
    <t>The Coca-Cola Company has been making strategic moves to expand its product portfolio and diversify its revenue streams. In the latest news, the company announced its plans to launch a new line of hard seltzers in the US market, tapping into the growing demand for alcoholic beverages. This move is expected to drive growth and increase market share for the company.</t>
  </si>
  <si>
    <t>Moreover, the company has been focusing on sustainability and has set ambitious goals to reduce its carbon footprint and use of single-use plastic. This aligns with the growing consumer demand for environmentally friendly products and could positively impact the company's brand image and sales.</t>
  </si>
  <si>
    <t>The Coca-Cola Company has a strong brand presence and a diverse product portfolio, making it a stable investment option. However, the company's high valuation and potential risks from changing consumer preferences and regulatory pressures should be considered. The recent strategic moves and focus on sustainability could drive growth and improve the company's long-term prospects."</t>
  </si>
  <si>
    <t>VTR,75,"Ventas is a leading real estate investment trust (REIT) in the healthcare industry, with a market cap of $19.98B and an enterprise value of $33.13B. The company's latest financial data shows a trailing P/E ratio of 2.48k, price/sales ratio of 4.58, and price/book ratio of 2.03. Additionally, its enterprise value/revenue and enterprise value/EBITDA ratios are 7.56 and 18.03, respectively.</t>
  </si>
  <si>
    <t>Ventas has a strong portfolio of healthcare properties, including senior housing, medical office buildings, and life science facilities. The company has a diversified tenant base and a long track record of stable and growing dividends. However, the recent COVID-19 pandemic has had a significant impact on the healthcare industry, and Ventas has not been immune to its effects. The company's stock price has declined by over 20% in the past year, and its financial performance has been negatively impacted.</t>
  </si>
  <si>
    <t>Despite these challenges, Ventas has taken proactive measures to mitigate the impact of the pandemic, including rent deferrals and cost-cutting initiatives. The company also has a strong balance sheet, with a manageable debt load and access to capital. As the healthcare industry continues to recover from the pandemic, Ventas is well-positioned to benefit from the growing demand for healthcare services."</t>
  </si>
  <si>
    <t>VRSN,75,"Verisign is a leading company in the Internet Services &amp; Infrastructure industry with a recent market cap of 20.54B and an enterprise value of 21.40B. The company has a trailing P/E ratio of 28.70 and a forward P/E ratio of 23.26, indicating a potential undervaluation of the stock. However, the PEG ratio of 2.03 suggests that the stock may be slightly overvalued based on its expected growth rate. Verisign's price/sales ratio of 14.18 and enterprise value/revenue ratio of 14.44 are also higher than the industry average, indicating a premium valuation. The company's enterprise value/EBITDA ratio of 19.85 is in line with the industry average, suggesting that the stock may be fairly valued based on its earnings. Overall, Verisign's financial data suggests that the stock may be slightly overvalued, but it is still a strong player in the industry."</t>
  </si>
  <si>
    <t>AES,75,"The AES Corporation is a leading player in the Independent Power Producers &amp; Energy Traders industry with a recent market cap of 12.68B and an enterprise value of 38.60B. The company's latest financial data shows a forward P/E of 9.96 and a PEG ratio of 1.44, indicating a relatively undervalued stock. Additionally, the price/sales ratio of 0.99 and price/book ratio of 6.53 suggest that the stock may be trading at a discount compared to its peers. However, the enterprise value/revenue ratio of 3.03 and enterprise value/EBITDA ratio of 17.94 may indicate a slightly overvalued stock. Overall, the company's financial data presents a mixed picture, and further analysis is needed to determine its potential investment value."</t>
  </si>
  <si>
    <t>BXP,75,"Boston Properties is a leading real estate investment trust (REIT) in the Office REITs industry with a recent market cap of 10.89B and an enterprise value of 25.56B. The company has a trailing P/E ratio of 56.39 and a forward P/E ratio of 28.99, indicating a relatively high valuation. However, the PEG ratio of 4.12 suggests that the stock may be overvalued compared to its expected earnings growth. Additionally, the price/sales ratio of 3.37 and price/book ratio of 1.88 are also above industry averages, further supporting the notion of a potentially overvalued stock.</t>
  </si>
  <si>
    <t>On the other hand, Boston Properties has a strong enterprise value/revenue ratio of 7.90 and an enterprise value/EBITDA ratio of 15.42, indicating a healthy financial position. The company also has a solid track record of consistent dividend payments, making it an attractive option for income-seeking investors.</t>
  </si>
  <si>
    <t>In terms of recent news, Boston Properties has been actively expanding its portfolio through acquisitions and development projects, which could drive future growth. However, the company also faces challenges such as rising interest rates and potential oversupply in the office market, which could impact its performance.</t>
  </si>
  <si>
    <t>Overall, Boston Properties appears to be a solid company with a strong financial position and potential for growth. However, the high valuation and potential market challenges should be carefully considered before making any investment decisions."</t>
  </si>
  <si>
    <t>TTWO,75,"Take-Two Interactive is a leading company in the Interactive Home Entertainment industry with a recent market cap of 26.94B and an enterprise value of 29.65B. The company's latest financial data shows a forward P/E ratio of 22.78 and a PEG ratio of 2.28, indicating a relatively high valuation compared to its expected growth rate. Additionally, the price/sales ratio of 4.92 and price/book ratio of 3.20 suggest that the stock may be overvalued.</t>
  </si>
  <si>
    <t>However, Take-Two Interactive has a strong track record of delivering successful and popular video game titles, such as the Grand Theft Auto and NBA 2K series. The company's recent financial performance has also been impressive, with a 41% increase in net revenue in the latest quarter. Furthermore, the company's focus on digital sales and expansion into the mobile gaming market could drive future growth.</t>
  </si>
  <si>
    <t>Considering the company's strong financial performance and potential for growth, Take-Two Interactive may be a good investment opportunity for the next month. However, investors should closely monitor the company's valuation and any potential risks, such as competition and changing consumer preferences."</t>
  </si>
  <si>
    <t>TPR,75,"Tapestry, Inc. is a leading company in the Apparel, Accessories &amp; Luxury Goods industry with a recent market cap of 8.45B and an enterprise value of 11.05B. The company has a trailing P/E ratio of 9.38 and a forward P/E ratio of 8.88, indicating that the stock may be undervalued. However, the PEG ratio of 2.62 suggests that the stock may be overvalued in relation to its expected growth. The price/sales ratio of 1.31 and price/book ratio of 3.50 also indicate that the stock may be trading at a premium. The enterprise value/revenue ratio of 1.66 and enterprise value/EBITDA ratio of 8.12 suggest that the company may be slightly overvalued compared to its peers.</t>
  </si>
  <si>
    <t>Tapestry, Inc. has shown strong financial performance in recent years, with consistent revenue growth and profitability. However, the company's stock has been underperforming in the past month, possibly due to concerns about the impact of the ongoing geopolitical tensions on the luxury goods market. Additionally, the company's exposure to the Chinese market may also pose risks, given the current trade tensions between the US and China.</t>
  </si>
  <si>
    <t>Overall, Tapestry, Inc. has a strong financial position and a solid track record of growth. However, the current market conditions and potential risks should be carefully considered before making any investment decisions."</t>
  </si>
  <si>
    <t>TSLA,75,"Tesla, Inc. is a leading company in the Automobile Manufacturers industry with a recent market cap of 758.11B and an enterprise value of 740.22B. The company has a trailing P/E ratio of 76.93 and a forward P/E ratio of 68.03, indicating a relatively high valuation. The PEG ratio of 2.79 suggests that the stock may be overvalued compared to its expected growth rate. Additionally, the price/sales ratio of 8.65 and price/book ratio of 14.18 also indicate a premium valuation for the company.</t>
  </si>
  <si>
    <t>However, Tesla has been a pioneer in the electric vehicle market and has shown strong growth potential in recent years. The company's latest financial data also shows a strong enterprise value/revenue ratio of 7.72 and an enterprise value/EBITDA ratio of 45.36, indicating a solid financial position.</t>
  </si>
  <si>
    <t>Overall, Tesla's financial data suggests a mixed outlook for the company. While its valuation may be on the higher side, its strong growth potential and solid financial position make it an attractive investment option for long-term investors."</t>
  </si>
  <si>
    <t>INVH,75,"Invitation Homes (INVH) is a leading single-family residential real estate investment trust (REIT) with a market cap of $20.85B and an enterprise value of $28.63B. The company's latest financial data shows a trailing P/E ratio of 42.06 and a forward P/E ratio of 44.25, indicating a relatively high valuation. The PEG ratio of 5.88 suggests that the stock may be overvalued compared to its expected earnings growth. However, the price/sales ratio of 8.75 and price/book ratio of 2.04 are in line with industry averages, indicating a fair valuation.</t>
  </si>
  <si>
    <t>Invitation Homes has a strong balance sheet, with an enterprise value/revenue ratio of 11.99 and an enterprise value/EBITDA ratio of 19.37. This suggests that the company is generating solid revenue and earnings, making it a stable investment option.</t>
  </si>
  <si>
    <t>The single-family residential REIT industry has been performing well in recent years, driven by the increasing demand for rental properties and the low interest rate environment. However, there are some potential risks to consider, such as rising interest rates and potential regulatory changes that could impact the rental market.</t>
  </si>
  <si>
    <t>Overall, Invitation Homes appears to be a stable and well-performing company in the single-family residential REIT industry. While the stock may be slightly overvalued, its strong financials and the positive outlook for the industry make it a potential investment opportunity."</t>
  </si>
  <si>
    <t>JKHY,75,"Jack Henry &amp; Associates is a leading company in the Transaction &amp; Payment Processing Services industry with a recent market cap of 11.90B and an enterprise value of 12.12B. The firm has a trailing P/E ratio of 33.02 and a forward P/E ratio of 32.47, indicating a relatively high valuation. However, the PEG ratio of 3.29 suggests that the stock may be overvalued compared to its expected growth rate. The price/sales ratio of 5.63 and price/book ratio of 7.17 also indicate a premium valuation.</t>
  </si>
  <si>
    <t>In terms of financial performance, Jack Henry &amp; Associates has a strong enterprise value/revenue ratio of 5.72 and a relatively high enterprise value/EBITDA ratio of 17.80. This suggests that the company may be generating significant revenue and earnings, but at a higher cost.</t>
  </si>
  <si>
    <t>Overall, Jack Henry &amp; Associates appears to be a solid company with a strong market position and financial performance. However, the high valuation metrics may indicate limited potential for significant short-term growth. Investors should carefully consider their investment objectives and risk tolerance before making any investment decisions."</t>
  </si>
  <si>
    <t>NWSA,75,"News Corp (Class A) is a global media and publishing company with a market cap of 14.06B and an enterprise value of 16.69B. The company's latest financial data shows a trailing P/E ratio of 101.25 and a forward P/E ratio of 30.12, indicating a potential overvaluation of the stock. However, the PEG ratio of 1.30 suggests that the stock may still have room for growth.</t>
  </si>
  <si>
    <t>In terms of valuation metrics, News Corp's price/sales ratio of 1.42 and price/book ratio of 1.75 are in line with industry averages, indicating a fair valuation. The company's enterprise value/revenue ratio of 1.69 and enterprise value/EBITDA ratio of 14.82 also suggest a reasonable valuation.</t>
  </si>
  <si>
    <t>News Corp has a strong presence in the publishing industry, with a diverse portfolio of media and publishing assets. The company's recent investments in digital media and subscription-based models have shown promising results, with a 21% increase in digital subscribers in the latest quarter. However, the company's traditional print media segment continues to face challenges, with a decline in advertising revenue.</t>
  </si>
  <si>
    <t>Overall, News Corp's financial data and recent developments suggest a stable and potentially undervalued stock. However, investors should closely monitor the company's performance in the publishing industry and its ability to adapt to the changing media landscape."</t>
  </si>
  <si>
    <t>NWS,75,"News Corp (Class B) is a global media and publishing company with a market cap of 14.06B and an enterprise value of 16.69B. The company's latest financial data shows a trailing P/E ratio of 106.17 and a forward P/E ratio of 31.55, indicating a potential overvaluation of the stock. However, the PEG ratio of 1.36 suggests that the stock may still have room for growth.</t>
  </si>
  <si>
    <t>In terms of valuation metrics, News Corp's price/sales ratio of 1.48 and price/book ratio of 1.84 are in line with industry averages, indicating a fair valuation. The company's enterprise value/revenue ratio of 1.69 and enterprise value/EBITDA ratio of 14.82 also suggest a reasonable valuation.</t>
  </si>
  <si>
    <t>News Corp operates in the publishing industry, which has faced challenges in recent years due to the rise of digital media. However, the company has been adapting to the changing landscape and has shown resilience in its financial performance. Its latest earnings report showed a 3% increase in revenue and a 10% increase in net income compared to the same period last year.</t>
  </si>
  <si>
    <t>Overall, News Corp's financial data suggests a fair valuation and a stable financial performance. However, investors should closely monitor the company's ability to adapt to the changing media landscape and its efforts to diversify its revenue streams."</t>
  </si>
  <si>
    <t>ODFL,75,"Old Dominion is a leading company in the Cargo Ground Transportation industry with a recent market cap of 42.03B and an enterprise value of 41.91B. The company has a trailing P/E ratio of 34.27 and a forward P/E ratio of 28.74, indicating a positive outlook for future earnings. However, the PEG ratio of 3.34 suggests that the stock may be slightly overvalued. The price/sales ratio of 7.26 and price/book ratio of 10.35 also indicate a premium valuation for the company. Additionally, the enterprise value/revenue ratio of 7.15 and enterprise value/EBITDA ratio of 25.32 suggest that the company may be overvalued compared to its peers in the industry.</t>
  </si>
  <si>
    <t>Overall, Old Dominion's financial data suggests that the company may be slightly overvalued, but its positive earnings outlook and strong market position make it a promising investment opportunity in the Cargo Ground Transportation industry."</t>
  </si>
  <si>
    <t>PANW,75,"Palo Alto Networks is a leading company in the Systems Software industry with a recent market cap of 90.34B and an enterprise value of 88.67B. The firm's latest financial data shows a trailing P/E ratio of 160.96 and a forward P/E ratio of 54.05, indicating a high valuation. The PEG ratio of 1.94 suggests that the stock may be overvalued compared to its expected growth rate. Additionally, the price/sales ratio of 13.72 and price/book ratio of 41.62 also indicate a premium valuation. However, the enterprise value/revenue ratio of 12.30 and enterprise value/EBITDA ratio of 80.04 suggest that the company's financials are strong.</t>
  </si>
  <si>
    <t>Overall, Palo Alto Networks has a strong financial position, but its high valuation may be a concern for investors. The company's future growth potential and ability to maintain its current valuation will be key factors to watch. Additionally, the competitive landscape and potential regulatory changes in the tech industry may also impact the company's performance."</t>
  </si>
  <si>
    <t>HPQ,75,"HP Inc. is a leading company in the Technology Hardware, Storage &amp; Peripherals industry with a recent market cap of 29.63B and an enterprise value of 37.26B. The firm's latest trailing P/E ratio is 9.17, and the forward P/E ratio is 8.57, indicating that the stock may be undervalued. However, the PEG ratio of 3.22 suggests that the stock may be overvalued in comparison to its expected growth rate. The price/sales ratio of 0.56 and the enterprise value/revenue ratio of 0.69 also indicate that the stock may be undervalued.</t>
  </si>
  <si>
    <t>HP Inc. has a strong financial position with a low debt-to-equity ratio and a healthy cash flow. The company has been consistently profitable and has shown resilience during the recent economic downturn. However, the firm's revenue growth has been relatively slow, and there are concerns about its ability to compete with other tech giants in the market.</t>
  </si>
  <si>
    <t>Overall, HP Inc. has a stable financial position and is undervalued based on its current financial data. However, the company's growth potential may be limited, and it may face challenges in the highly competitive tech industry. Investors should carefully consider these factors before making any investment decisions."</t>
  </si>
  <si>
    <t>IEX,75,"IDEX Corporation is a leading company in the Industrial Machinery &amp; Supplies &amp; Components industry with a recent market cap of 16.05B and an enterprise value of 16.93B. The company has a trailing P/E ratio of 26.11 and a forward P/E ratio of 24.94, indicating that the stock may be slightly overvalued. However, the PEG ratio of 2.27 suggests that the stock may still have room for growth. The price/sales ratio of 4.89 and price/book ratio of 4.74 are also relatively high, indicating that the stock may be trading at a premium compared to its peers. The enterprise value/revenue ratio of 5.14 and enterprise value/EBITDA ratio of 17.24 are also on the higher side, suggesting that the stock may be overvalued.</t>
  </si>
  <si>
    <t>IDEX Corporation has been performing well in the recent market environment, with its stock price increasing by over 20% in the past year. The company has also been consistently beating earnings estimates, with its latest earnings report showing a 12.5% increase in revenue and a 20.5% increase in earnings per share compared to the same period last year. The company's strong financial performance can be attributed to its diverse portfolio of products and services, as well as its focus on innovation and customer satisfaction.</t>
  </si>
  <si>
    <t>Overall, IDEX Corporation appears to be a solid company with a strong financial position and a track record of beating earnings estimates. However, its current valuation may be a cause for concern, as the stock may be trading at a premium compared to its peers. Investors should closely monitor the company's financial performance and market trends before making any investment decisions."</t>
  </si>
  <si>
    <t>IDXX,75,"Idexx Laboratories is a leading company in the Health Care Equipment industry with a recent market cap of 44.44B and an enterprise value of 45.25B. The company has a trailing P/E ratio of 54.54 and a forward P/E ratio of 53.19, indicating that the stock may be slightly overvalued. However, the PEG ratio of 5.28 suggests that the stock may still have room for growth.</t>
  </si>
  <si>
    <t>In terms of valuation metrics, Idexx Laboratories has a price/sales ratio of 12.52 and a price/book ratio of 34.25, both of which are higher than the industry average. This could be a concern for some investors, but it is worth noting that the company has a strong track record of revenue growth and profitability.</t>
  </si>
  <si>
    <t>Furthermore, Idexx Laboratories has a solid financial position with an enterprise value/revenue ratio of 12.61 and an enterprise value/EBITDA ratio of 37.88. This indicates that the company is generating strong cash flows and has the ability to pay off its debt obligations.</t>
  </si>
  <si>
    <t>Overall, Idexx Laboratories appears to be a strong company with a solid financial position and a track record of growth. However, the stock may be slightly overvalued at the moment. Investors should closely monitor the company's financial performance and industry trends before making any investment decisions."</t>
  </si>
  <si>
    <t>ITW,75,"Illinois Tool Works (ITW) is a leading company in the Industrial Machinery &amp; Supplies &amp; Components industry with a recent market cap of $77.72B and an enterprise value of $84.79B. The company has a trailing P/E ratio of 25.08 and a forward P/E ratio of 24.57, indicating that the stock may be slightly overvalued. However, the PEG ratio of 2.84 suggests that the stock may still have room for growth.</t>
  </si>
  <si>
    <t>ITW's latest financial data shows a price/sales ratio of 4.90 and a price/book ratio of 25.88, both of which are higher than the industry average. This could be a concern for investors, as it may indicate that the stock is overvalued. However, the company's strong financial position is reflected in its enterprise value/revenue ratio of 5.27 and enterprise value/EBITDA ratio of 18.18, which are both lower than the industry average.</t>
  </si>
  <si>
    <t>Overall, ITW's financial data suggests that the stock may be slightly overvalued, but the company's strong financial position and potential for growth make it a promising investment opportunity in the Industrial Machinery &amp; Supplies &amp; Components industry."</t>
  </si>
  <si>
    <t>ILMN,75,"Illumina is a leading company in the Life Sciences Tools &amp; Services industry with a recent market cap of 20.70B and an enterprise value of 22.04B. The company's latest financial data shows a forward P/E ratio of 125.00 and a PEG ratio of 3.36, indicating a relatively high valuation. However, Illumina's price/sales ratio of 4.60 and price/book ratio of 3.51 are in line with industry averages, suggesting a fair valuation. The company's enterprise value/revenue ratio of 4.94 is also in line with industry peers, while its enterprise value/EBITDA ratio of -35.49 may raise some concerns.</t>
  </si>
  <si>
    <t>Illumina has been a leader in the genomics industry, with its innovative technologies and products driving growth and profitability. The company's recent acquisition of GRAIL, a cancer detection company, further strengthens its position in the market. However, the company faces competition from other players in the industry, and any disruptions in the healthcare sector could impact its performance.</t>
  </si>
  <si>
    <t>Overall, Illumina's financial data and recent developments suggest a stable and growing company in the Life Sciences Tools &amp; Services industry. However, investors should closely monitor the company's valuation and keep an eye on any potential risks in the market."</t>
  </si>
  <si>
    <t>PODD,75,"Insulet is a leading company in the Health Care Equipment industry with a recent market cap of 13.60B and an enterprise value of 14.35B. The company has a trailing P/E ratio of 113.20 and a forward P/E ratio of 84.03, indicating a relatively high valuation. However, the PEG ratio of 0.57 suggests that the stock may be undervalued compared to its expected growth rate. Insulet also has a high price-to-sales ratio of 8.81 and a price-to-book ratio of 22.38, which may be a concern for value investors.</t>
  </si>
  <si>
    <t>In terms of financial health, Insulet has a strong enterprise value/revenue ratio of 9.21 and a relatively high enterprise value/EBITDA ratio of 61.39. This indicates that the company may have a higher level of debt compared to its earnings, which could be a risk factor for investors.</t>
  </si>
  <si>
    <t>Overall, Insulet appears to be a solid company with strong growth potential in the Health Care Equipment industry. However, investors should carefully consider the company's valuation and debt levels before making any investment decisions."</t>
  </si>
  <si>
    <t>PARA,75,"Paramount Global is a leading company in the Movies &amp; Entertainment industry with a recent market cap of 9.43B and an enterprise value of 24.60B. The company's forward P/E ratio of 10.58 and PEG ratio of 0.84 suggest that the stock may be undervalued compared to its expected earnings growth. Additionally, its price/sales ratio of 0.31 and price/book ratio of 0.42 indicate that the stock may be trading at a discount to its book value and sales. However, the company's enterprise value/revenue ratio of 0.82 and enterprise value/EBITDA ratio of -203.33 raise some concerns about its financial health.</t>
  </si>
  <si>
    <t>Recent news in the Movies &amp; Entertainment industry, such as the reopening of theaters and the release of highly anticipated films, could potentially benefit Paramount Global's business. However, the ongoing COVID-19 pandemic and its impact on the entertainment industry may also pose risks to the company's performance.</t>
  </si>
  <si>
    <t>Overall, Paramount Global's financial data and the current state of the industry suggest that the stock may have potential for growth in the next month. However, investors should closely monitor the company's financial health and industry developments before making any investment decisions."</t>
  </si>
  <si>
    <t>GRMN,75,"Garmin is a leading company in the consumer electronics industry with a recent market cap of 23.75B and an enterprise value of 22.17B. The company has a trailing P/E ratio of 22.91 and a forward P/E ratio of 20.92, indicating a relatively high valuation. However, the PEG ratio of 1.99 suggests that the stock may still have room for growth. Garmin's price/sales ratio of 4.71 and price/book ratio of 3.74 are also higher than the industry average, indicating a premium valuation. The company's enterprise value/revenue ratio of 4.39 and enterprise value/EBITDA ratio of 18.59 are also above the industry average, suggesting that the stock may be slightly overvalued.</t>
  </si>
  <si>
    <t>Garmin has been performing well in the consumer electronics industry, with its latest financial data showing strong revenue and earnings growth. The company's latest quarterly earnings report beat analysts' expectations, driven by strong demand for its fitness and outdoor products. Additionally, Garmin has been expanding its product portfolio and investing in new technologies, such as its recent acquisition of Firstbeat Analytics, which could drive future growth."</t>
  </si>
  <si>
    <t>GE,75,"General Electric (GE) is a multinational conglomerate company with a market cap of $135.03B and an enterprise value of $135.67B. The latest financial data shows a trailing P/E ratio of 12.91 and a forward P/E ratio of 26.67, indicating a potential increase in earnings in the future. The PEG ratio of 1.59 suggests that the stock may be undervalued, considering its expected growth rate. Additionally, the price/sales ratio of 1.63 and price/book ratio of 4.71 are in line with industry averages, indicating a fair valuation.</t>
  </si>
  <si>
    <t>GE's recent performance has been impacted by the COVID-19 pandemic, but the company has shown resilience and adaptability in navigating through the crisis. The company has been focusing on its core businesses, including aviation, healthcare, and renewable energy, while divesting non-core assets to strengthen its financial position. GE's recent partnership with Safran to develop a new aircraft engine further highlights its commitment to innovation and growth.</t>
  </si>
  <si>
    <t>However, there are some concerns surrounding GE's high debt levels and pension obligations, which could impact its financial flexibility. The company's exposure to the energy sector, which has been facing challenges due to the shift towards renewable energy, is also a potential risk.</t>
  </si>
  <si>
    <t>Overall, GE's financial data and recent developments suggest a stable and potentially undervalued stock. However, investors should closely monitor the company's debt levels and exposure to the energy sector. Based on the current situation, the potential investment value of GE in the Industrial Conglomerates industry for the next month is Score: 75."</t>
  </si>
  <si>
    <t>HRL,75,"Hormel Foods is a leading company in the Packaged Foods &amp; Meats industry with a recent market cap of 17.83B and an enterprise value of 20.38B. The company has a trailing P/E ratio of 22.48 and a forward P/E ratio of 21.05, indicating that the stock may be slightly overvalued. However, the PEG ratio of 4.79 suggests that the stock may have potential for future growth. Hormel Foods also has a price/sales ratio of 1.48 and a price/book ratio of 2.30, which are both below the industry average, making the stock relatively attractive in terms of valuation.</t>
  </si>
  <si>
    <t>In terms of financial performance, Hormel Foods has shown consistent revenue growth, with an enterprise value/revenue ratio of 1.68. However, the company's enterprise value/EBITDA ratio of 15.21 is slightly higher than the industry average, indicating that the stock may be slightly overvalued based on its earnings.</t>
  </si>
  <si>
    <t>Overall, Hormel Foods appears to be a stable and well-performing company in the Packaged Foods &amp; Meats industry. While the stock may be slightly overvalued based on its earnings, its potential for future growth and attractive valuation ratios make it a potential investment opportunity."</t>
  </si>
  <si>
    <t>KIM,75,"Kimco Realty (KIM) is a real estate investment trust (REIT) that owns and operates open-air shopping centers in the United States. The company's recent financial data shows a market cap of $13.93B and an enterprise value of $20.42B. Its trailing P/E ratio is 29.18, and its forward P/E ratio is 28.41, indicating that the stock may be slightly overvalued. The PEG ratio of 4.02 suggests that the stock may be overvalued compared to its expected growth rate. Additionally, the price/sales ratio of 7.24 and price/book ratio of 1.45 are both higher than the industry average, indicating a potential premium for the stock.</t>
  </si>
  <si>
    <t>However, Kimco Realty has a strong enterprise value/revenue ratio of 11.53 and an enterprise value/EBITDA ratio of 16.17, which are both lower than the industry average. This suggests that the company may be undervalued based on its revenue and earnings.</t>
  </si>
  <si>
    <t>The recent news in the retail REITs industry has been mixed, with some companies struggling due to the rise of e-commerce and others adapting to the changing retail landscape. Kimco Realty has been actively repositioning its portfolio, focusing on high-quality properties and diversifying its tenant mix. This strategy has helped the company maintain a stable occupancy rate of 94.3% and increase its average base rent by 3.5% in the latest quarter.</t>
  </si>
  <si>
    <t>Overall, while there are some concerns about the stock being overvalued, Kimco Realty's strong financials and strategic initiatives make it a promising investment opportunity in the retail REITs industry."</t>
  </si>
  <si>
    <t>LKQ,75,"LKQ Corporation is a leading distributor of aftermarket automotive parts and accessories. The company has a strong presence in the market, with a recent market cap of 12.48B and an enterprise value of 17.77B. LKQ Corporation has a solid financial standing, with a trailing P/E of 13.06 and a forward P/E of 11.17, indicating potential undervaluation. However, the PEG ratio of 8.21 suggests that the stock may be overvalued based on its expected growth rate. The company's price-to-sales ratio of 0.94 and price-to-book ratio of 2.09 also indicate that the stock may be undervalued. LKQ Corporation's enterprise value to revenue ratio of 1.33 and enterprise value to EBITDA ratio of 10.16 are in line with industry averages, indicating a fair valuation.</t>
  </si>
  <si>
    <t>The recent news in the automotive industry, such as the global chip shortage and supply chain disruptions, may have a short-term impact on LKQ Corporation's performance. However, the company's strong financial position and diversified business model, with a focus on both wholesale and retail markets, provide stability and potential for growth in the long run.</t>
  </si>
  <si>
    <t>Based on the current market conditions and LKQ Corporation's financial data, the potential investment value for the company in the next month is Score: 75."</t>
  </si>
  <si>
    <t>MAR,75,"Marriott International is a leading company in the Hotels, Resorts &amp; Cruise Lines industry with a recent market cap of 64.33B and an enterprise value of 76.35B. The company has a trailing P/E ratio of 23.23 and a forward P/E ratio of 22.62, indicating that the stock may be slightly overvalued. However, the PEG ratio of 1.53 suggests that the stock may still have room for growth.</t>
  </si>
  <si>
    <t>In terms of valuation metrics, Marriott International has a price/sales ratio of 2.87 and an enterprise value/revenue ratio of 3.24, which are both in line with industry averages. The enterprise value/EBITDA ratio of 17.01 is also relatively in line with industry peers.</t>
  </si>
  <si>
    <t>The company has a strong financial position, with a healthy balance sheet and consistent profitability. However, the recent COVID-19 pandemic has significantly impacted the travel and hospitality industry, and Marriott International has not been immune to these effects. The company's revenue and earnings have declined in the past year, but there are signs of recovery as travel restrictions ease and vaccinations increase.</t>
  </si>
  <si>
    <t>Overall, Marriott International is a well-established company with a strong brand and a solid financial position. However, the current economic climate and uncertainties surrounding the travel industry may impact the company's performance in the short term."</t>
  </si>
  <si>
    <t>MMC,75,"Marsh McLennan is a leading insurance brokerage and risk management firm with a strong global presence. The company's recent financial data shows a market cap of $94.33B and an enterprise value of $107.03B. Its trailing P/E ratio of 27.57 and forward P/E ratio of 22.32 indicate that the stock may be slightly overvalued. However, its PEG ratio of 2.10 suggests that the company's earnings growth potential may justify its current valuation.</t>
  </si>
  <si>
    <t>In terms of valuation multiples, Marsh McLennan's price/sales ratio of 4.31 and price/book ratio of 8.27 are higher than the industry average, indicating a premium for the company's strong market position and growth potential. Its enterprise value/revenue ratio of 4.82 and enterprise value/EBITDA ratio of 18.22 are also higher than the industry average, suggesting that the company may be trading at a premium compared to its peers.</t>
  </si>
  <si>
    <t>Overall, Marsh McLennan's latest financial data shows a strong and stable financial position, with potential for future growth. However, its current valuation may be slightly high, and investors should carefully consider their risk tolerance and investment objectives before making any decisions."</t>
  </si>
  <si>
    <t>CHD,75,"Church &amp; Dwight is a leading player in the household products industry with a recent market cap of 23.15B and an enterprise value of 24.98B. The company has a trailing P/E ratio of 53.38 and a forward P/E ratio of 27.62, indicating a potential for future growth. However, the PEG ratio of 1.93 suggests that the stock may be slightly overvalued. The price/sales ratio of 4.02 and price/book ratio of 5.71 also indicate a premium valuation for the stock. Additionally, the enterprise value/revenue ratio of 4.32 and enterprise value/EBITDA ratio of 28.15 suggest that the company may be overvalued compared to its peers in the industry.</t>
  </si>
  <si>
    <t>Church &amp; Dwight has a strong financial position with a solid balance sheet and consistent earnings growth. The company has a diverse portfolio of well-known brands and a strong presence in both domestic and international markets. However, the recent increase in raw material costs and potential supply chain disruptions due to the Red Sea crisis may impact the company's profitability in the short term.</t>
  </si>
  <si>
    <t>Overall, Church &amp; Dwight has a strong market position and potential for future growth, but the stock may be slightly overvalued at its current price. Investors should closely monitor the company's financial performance and industry trends before making any investment decisions."</t>
  </si>
  <si>
    <t>AVY,75,"Avery Dennison is a leading company in the Paper &amp; Plastic Packaging Products &amp; Materials industry with a recent market cap of 15.84B and an enterprise value of 18.95B. The company has a trailing P/E ratio of 33.12 and a forward P/E ratio of 20.28, indicating a potential undervaluation of the stock. However, the PEG ratio of 3.63 suggests that the stock may be overvalued in comparison to its expected growth rate. The price/sales ratio of 1.93 and price/book ratio of 7.68 also indicate a potential overvaluation of the stock. The enterprise value/revenue ratio of 2.29 and enterprise value/EBITDA ratio of 17.72 suggest that the company may be slightly overvalued in comparison to its revenue and earnings.</t>
  </si>
  <si>
    <t>Overall, Avery Dennison's financial data suggests that the stock may be slightly overvalued, but it is still a strong company with a solid market position. The company's latest earnings report showed a 12% increase in net sales and a 20% increase in earnings per share, indicating strong financial performance. Additionally, the company has a strong balance sheet with a healthy cash flow and a manageable debt level."</t>
  </si>
  <si>
    <t>BAX,75,"Baxter International is a leading company in the Health Care Equipment industry with a recent market cap of 19.34B and an enterprise value of 30.49B. The company has a trailing P/E ratio of 82.89 and a forward P/E ratio of 12.35, indicating a potential undervaluation in the stock. Additionally, the price/sales ratio of 1.26 and price/book ratio of 2.39 suggest that the stock may be trading at a discount compared to its peers in the industry. However, the enterprise value/revenue ratio of 2.00 and enterprise value/EBITDA ratio of 15.83 are slightly higher than the industry average, indicating a potential overvaluation.</t>
  </si>
  <si>
    <t>Recent news in the health care industry, such as the COP28 climate summit's consensus to transition away from fossil fuels, could have a positive impact on Baxter International's business as the company focuses on sustainable and environmentally friendly practices. However, the ongoing geopolitical tensions in Europe and the Middle East could potentially disrupt global markets and impact the company's operations.</t>
  </si>
  <si>
    <t>Overall, Baxter International appears to be in a stable financial position with potential for growth in the future. However, investors should closely monitor market trends and company developments before making any investment decisions."</t>
  </si>
  <si>
    <t>EFX,75,"Equifax is a leading player in the Research &amp; Consulting Services industry with a recent market cap of 28.71B and an enterprise value of 34.30B. The company's latest trailing P/E ratio of 55.22 and forward P/E ratio of 28.25 suggest that the stock may be slightly overvalued. However, its PEG ratio of 1.33 indicates that the stock may still have room for growth.</t>
  </si>
  <si>
    <t>In terms of valuation metrics, Equifax's price/sales ratio of 5.60 and price/book ratio of 6.69 are in line with industry averages, indicating that the stock is fairly valued. Its enterprise value/revenue ratio of 6.68 and enterprise value/EBITDA ratio of 22.60 also suggest that the company is not significantly overvalued.</t>
  </si>
  <si>
    <t>Overall, Equifax's financial data suggests that the company is in a stable financial position with room for growth. However, investors should closely monitor the company's performance and industry trends before making any investment decisions."</t>
  </si>
  <si>
    <t>EQR,75,"Equity Residential is a leading real estate investment trust (REIT) in the Multi-Family Residential industry. The company's latest financial data shows a strong market capitalization of $23.03B and an enterprise value of $30.82B. However, the trailing P/E ratio of 34.92 and forward P/E ratio of 38.17 suggest that the stock may be slightly overvalued. The PEG ratio of 2.89 also indicates that the stock may not be a good value for long-term investors.</t>
  </si>
  <si>
    <t>In terms of valuation metrics, Equity Residential's price/sales ratio of 8.33 and price/book ratio of 2.09 are in line with industry averages. However, the enterprise value/revenue ratio of 10.83 and enterprise value/EBITDA ratio of 13.83 are slightly higher than industry averages, indicating that the stock may be trading at a premium.</t>
  </si>
  <si>
    <t>Overall, Equity Residential appears to be a solid company with a strong market position. However, the current valuation metrics suggest that the stock may be slightly overvalued. Investors should closely monitor the company's financial performance and industry trends before making any investment decisions."</t>
  </si>
  <si>
    <t>ETSY,75,"Etsy, a leading online marketplace for unique and handmade goods, has been performing well in the recent market conditions. The company's latest financial data shows a market cap of 9.48B and an enterprise value of 10.90B. Its trailing P/E ratio of 32.06 and forward P/E ratio of 21.74 indicate that the stock may be slightly overvalued, but this could be justified by its strong growth potential.</t>
  </si>
  <si>
    <t>Etsy's PEG ratio of 7.25 suggests that the stock may be overvalued compared to its expected earnings growth. However, its price/sales ratio of 4.01 and enterprise value/revenue ratio of 4.02 are in line with industry averages, indicating that the stock may be fairly valued.</t>
  </si>
  <si>
    <t>One concerning aspect is the company's negative enterprise value/EBITDA ratio of -19.07, which could be a red flag for investors. However, this could be attributed to the company's focus on investing in growth and expanding its market share.</t>
  </si>
  <si>
    <t>Overall, Etsy's financial data suggests that the company is in a strong financial position and has potential for growth. However, investors should closely monitor its valuation and profitability metrics."</t>
  </si>
  <si>
    <t>EVRG,75,"Evergy is a leading electric utility company in the United States, providing electricity to over 1.6 million customers in Kansas and Missouri. The company has a strong presence in the Midwest region and is well-positioned to benefit from the growing demand for clean energy. However, recent developments in the industry and the company's financial data warrant a closer look before making any investment decisions.</t>
  </si>
  <si>
    <t>The latest financial data shows that Evergy has a market cap of $12.38B and an enterprise value of $25.09B. The company's trailing P/E ratio of 18.20 and forward P/E ratio of 13.95 suggest that the stock may be slightly overvalued. However, its price-to-sales ratio of 2.22 and price-to-book ratio of 1.27 indicate that the stock may still have room for growth.</t>
  </si>
  <si>
    <t>In terms of profitability, Evergy's enterprise value/revenue ratio of 4.48 and enterprise value/EBITDA ratio of 10.99 are in line with industry averages. This suggests that the company is efficiently utilizing its assets and generating strong returns for its investors.</t>
  </si>
  <si>
    <t>However, there are some potential risks to consider. The electric utilities industry is highly regulated, and any changes in government policies or regulations could impact Evergy's operations and financial performance. Additionally, the company's reliance on traditional energy sources may pose a challenge as the industry shifts towards renewable energy.</t>
  </si>
  <si>
    <t>Overall, Evergy appears to be a stable and well-managed company with a strong presence in its market. However, investors should closely monitor industry developments and the company's financial performance before making any investment decisions."</t>
  </si>
  <si>
    <t>EXR,75,"Extra Space Storage (EXR)</t>
  </si>
  <si>
    <t>Extra Space Storage (EXR) is a leading self-storage real estate investment trust (REIT) with a market cap of $33.55B and an enterprise value of $44.53B. The company's recent financial data shows a trailing P/E ratio of 29.96 and a forward P/E ratio of 29.67, indicating a relatively high valuation. The PEG ratio, which measures the stock's price relative to its expected earnings growth, is at 17.16, suggesting that the stock may be overvalued.</t>
  </si>
  <si>
    <t>EXR's price/sales ratio of 10.63 and price/book ratio of 2.31 are also above the industry average, indicating a premium valuation. However, the company's enterprise value/revenue ratio of 19.62 and enterprise value/EBITDA ratio of 27.39 are in line with industry peers, suggesting that the company's valuation may be justified by its financial performance.</t>
  </si>
  <si>
    <t>The self-storage industry has been resilient during the pandemic, with EXR reporting strong financial results in recent quarters. The company's occupancy rates have remained high, and rental rates have continued to increase. Additionally, EXR has a strong balance sheet with low leverage and ample liquidity, providing stability and flexibility in uncertain market conditions.</t>
  </si>
  <si>
    <t>Overall, EXR's financial data suggests a relatively high valuation, but the company's strong financial performance and stable industry outlook may justify this premium. However, investors should closely monitor any potential changes in the self-storage market and the company's financial performance."</t>
  </si>
  <si>
    <t>FICO,75,"Fair Isaac (FICO) is a leading company in the application software industry with a recent market cap of 27.74B and an enterprise value of 29.50B. The company has a trailing P/E ratio of 66.29 and a forward P/E ratio of 44.64, indicating a potential for future growth. However, the PEG ratio of 2.35 suggests that the stock may be slightly overvalued. The price/sales ratio of 18.81 and the enterprise value/revenue ratio of 19.49 also indicate a premium valuation for the company. Additionally, the enterprise value/EBITDA ratio of 44.44 suggests that the company may be overleveraged.</t>
  </si>
  <si>
    <t>Fair Isaac has a strong financial position with a solid balance sheet and consistent revenue growth. The company's latest financial data shows a 10% increase in revenue and a 15% increase in net income compared to the previous year. Fair Isaac also has a strong market position with a diverse portfolio of products and services, including its flagship FICO Score used by lenders to assess credit risk.</t>
  </si>
  <si>
    <t>However, there are some potential risks to consider. The company operates in a highly competitive industry, and any disruption or failure to innovate could impact its market position. Additionally, the recent rise in interest rates and inflation concerns could potentially impact the company's financial performance.</t>
  </si>
  <si>
    <t>Overall, Fair Isaac has a strong financial position and a solid market position, but the stock may be slightly overvalued. Considering the potential risks and the current market conditions, the score for Fair Isaac's potential investment value in the next month is 75."</t>
  </si>
  <si>
    <t>FOXA,75,"Fox Corporation (Class A) is a leading player in the broadcasting industry with a recent market cap of $14.00B and an enterprise value of $18.36B. The company has a trailing P/E ratio of 14.63 and a forward P/E ratio of 9.06, indicating a potential undervaluation of the stock. However, the PEG ratio of 16.77 suggests that the stock may be overvalued in the long term. The price/sales ratio of 1.04 and price/book ratio of 1.39 also indicate a relatively low valuation for the company. Additionally, the enterprise value/revenue ratio of 1.23 and enterprise value/EBITDA ratio of 8.30 suggest that the company may be undervalued compared to its peers in the industry.</t>
  </si>
  <si>
    <t>Fox Corporation has been making strategic moves to expand its presence in the streaming market, with the recent launch of its streaming service, Tubi, and the acquisition of streaming platform, Credible Labs. These initiatives could potentially drive growth for the company in the long term. However, the company's reliance on traditional broadcasting revenue and potential regulatory challenges in the industry could pose risks to its future performance."</t>
  </si>
  <si>
    <t>PEP,75,"PepsiCo is a leading company in the Soft Drinks &amp; Non-alcoholic Beverages industry with a recent market cap of 237.78B and an enterprise value of 272.27B. The company has a trailing P/E ratio of 28.82 and a forward P/E ratio of 21.14, indicating a potential undervaluation of the stock. However, the PEG ratio of 2.57 suggests that the stock may be slightly overvalued based on its expected growth rate. The price/sales ratio of 2.61 and price/book ratio of 12.64 also indicate a potential overvaluation of the stock. On the other hand, the enterprise value/revenue ratio of 2.97 and enterprise value/EBITDA ratio of 18.52 suggest that the stock may be undervalued based on its revenue and earnings. Overall, the financial data suggests that PepsiCo may be a slightly overvalued stock with potential for growth."</t>
  </si>
  <si>
    <t>PCG,75,"PG&amp;E Corporation is a leading multi-utility company with a market cap of $45.71B and an enterprise value of $101.08B. The company has a trailing P/E ratio of 20.90 and a forward P/E ratio of 13.32, indicating a potential undervaluation of the stock. The PEG ratio of 1.47 suggests that the stock may be trading at a discount compared to its expected earnings growth. Additionally, the price/sales ratio of 1.69 and price/book ratio of 1.89 are both below the industry average, further supporting the undervaluation hypothesis.</t>
  </si>
  <si>
    <t>However, it is worth noting that PG&amp;E Corporation has a relatively high enterprise value/revenue ratio of 4.44 and enterprise value/EBITDA ratio of 15.91, which may indicate a higher level of debt compared to its peers. This could potentially increase the company's financial risk and impact its future profitability.</t>
  </si>
  <si>
    <t>Recent news surrounding PG&amp;E Corporation includes the company's plan to invest $15 billion in wildfire prevention and safety measures, which could improve its public image and potentially lead to increased investor confidence. However, the company is still facing legal challenges and regulatory scrutiny related to past wildfires, which could impact its financial performance in the short term.</t>
  </si>
  <si>
    <t>Overall, PG&amp;E Corporation appears to be undervalued based on its financial data and recent developments. However, the company's high debt levels and ongoing legal challenges should be considered when evaluating its investment potential."</t>
  </si>
  <si>
    <t>PM,75,"Philip Morris International (PM) is a leading tobacco company with a strong global presence. The recent financial data for the company shows a market cap of 148.13B and an enterprise value of 192.83B. The trailing P/E ratio is 18.53, while the forward P/E ratio is 14.60, indicating a potential undervaluation of the stock. The PEG ratio of 2.65 suggests that the stock may be slightly overvalued based on its expected growth rate. The price/sales ratio of 4.32 and enterprise value/revenue ratio of 5.63 are in line with industry averages, indicating a fair valuation. However, the enterprise value/EBITDA ratio of 14.05 is higher than the industry average, suggesting that the stock may be overvalued based on its earnings.</t>
  </si>
  <si>
    <t>Philip Morris International has a strong track record of generating profits and dividends for its shareholders. The company has a diverse portfolio of tobacco products and is continuously investing in research and development to expand its offerings. However, the tobacco industry is facing increasing regulatory pressures and declining smoking rates, which could impact the company's future growth. Additionally, the recent rise in popularity of alternative tobacco products, such as e-cigarettes, could also pose a threat to PM's traditional cigarette business.</t>
  </si>
  <si>
    <t>Overall, Philip Morris International appears to be a stable and profitable company with a fair valuation. However, investors should closely monitor any regulatory changes and shifts in consumer preferences that could impact the company's performance."</t>
  </si>
  <si>
    <t>PTC,75,"PTC is a leading company in the Application Software industry with a recent market cap of 19.85B and an enterprise value of 21.45B. The firm has a trailing P/E ratio of 80.81 and a forward P/E ratio of 34.25, indicating a potential for growth in the future. However, the PEG ratio of 2.54 suggests that the stock may be slightly overvalued. The price/sales ratio of 9.47 and price/book ratio of 7.41 also indicate a premium valuation for the stock. The enterprise value/revenue ratio of 10.23 and enterprise value/EBITDA ratio of 35.80 suggest that the company may be slightly overvalued compared to its peers in the industry.</t>
  </si>
  <si>
    <t>Overall, PTC's financial data suggests that the company may have potential for growth in the future, but investors should be cautious of its current valuation. The company's strong position in the Application Software industry and its recent technological advancements make it a promising investment option. However, investors should closely monitor the company's financial performance and market trends before making any investment decisions."</t>
  </si>
  <si>
    <t>DGX,75,"Quest Diagnostics is a leading company in the Health Care Services industry with a recent market cap of 15.70B and an enterprise value of 20.47B. The company has a trailing P/E ratio of 20.82 and a forward P/E ratio of 15.46, indicating a potential undervaluation of the stock. However, the PEG ratio of 3.20 suggests that the stock may be overvalued in comparison to its expected growth rate. The price/sales ratio of 1.72 and price/book ratio of 2.44 also indicate a potential undervaluation of the stock. Additionally, the enterprise value/revenue ratio of 2.20 and enterprise value/EBITDA ratio of 12.79 suggest that the company may be trading at a discount compared to its peers in the industry.</t>
  </si>
  <si>
    <t>Quest Diagnostics has a strong financial position with a healthy balance sheet and consistent profitability. The company has a diverse portfolio of services and a strong market presence, making it well-positioned for future growth. However, the recent COVID-19 pandemic has had a significant impact on the company's operations, leading to a decline in revenue and earnings. The company has also faced challenges in managing supply chain disruptions and increased demand for testing services. These factors may continue to affect the company's financial performance in the short term.</t>
  </si>
  <si>
    <t>Overall, Quest Diagnostics has a strong financial position and a promising future in the Health Care Services industry. However, the current market conditions and uncertainties surrounding the pandemic may impact the company's performance in the short term. Investors should closely monitor the company's financial reports and industry trends before making any investment decisions."</t>
  </si>
  <si>
    <t>XRAY,75,"Dentsply Sirona is a leading company in the Health Care Supplies industry with a recent market cap of 7.38B and an enterprise value of 9.19B. The company's trailing P/E ratio of 126.19 and forward P/E ratio of 16.81 suggest that the stock may be overvalued. However, its PEG ratio of 2.17 indicates that the stock may have growth potential in the next five years. Additionally, its price/sales ratio of 1.89 and price/book ratio of 2.19 are in line with industry averages, indicating a fair valuation. The company's enterprise value/revenue ratio of 2.34 and enterprise value/EBITDA ratio of 48.37 may be considered high, but this could be due to the company's strong financial position and potential for future growth.</t>
  </si>
  <si>
    <t>Overall, Dentsply Sirona appears to be a solid company with a strong market position and potential for growth. However, investors should closely monitor the company's financial performance and industry trends before making any investment decisions."</t>
  </si>
  <si>
    <t>DXCM,75,"Dexcom, a leading company in the Health Care Equipment industry, has shown strong financial performance in recent years. With a market cap of 45.90B and an enterprise value of 45.38B, the company has a solid financial foundation. However, its trailing P/E ratio of 132.16 and forward P/E ratio of 69.93 may indicate that the stock is currently overvalued. The PEG ratio of 2.46 suggests that the stock may be overpriced relative to its expected growth. Additionally, the price/sales ratio of 15.12 and price/book ratio of 20.24 may also indicate that the stock is trading at a premium. However, the company's enterprise value/revenue ratio of 13.34 and enterprise value/EBITDA ratio of 57.64 suggest that the company may still have room for growth.</t>
  </si>
  <si>
    <t>Overall, Dexcom's financial data suggests that the company is in a strong financial position, but its stock may be overvalued. Investors should closely monitor the company's future earnings and growth potential to make informed investment decisions."</t>
  </si>
  <si>
    <t>DLR,75,"Digital Realty is a leading company in the Data Center REITs industry with a recent market cap of 40.43B and an enterprise value of 58.38B. The firm has a trailing P/E ratio of 46.20 and a forward P/E ratio of 98.04, indicating a potential overvaluation in the stock. The PEG ratio of 3.10 also suggests that the stock may be overpriced compared to its expected growth rate. However, the company's price-to-sales ratio of 7.68 and price-to-book ratio of 2.32 are relatively lower than the industry average, indicating a potential undervaluation.</t>
  </si>
  <si>
    <t>Digital Realty's enterprise value to revenue ratio of 10.93 and enterprise value to EBITDA ratio of 19.25 are also higher than the industry average, suggesting that the company may be overvalued compared to its revenue and earnings. However, the firm's strong financial position and consistent growth in revenue and earnings make it an attractive investment option in the Data Center REITs industry.</t>
  </si>
  <si>
    <t>The recent news of Digital Realty's expansion plans in key markets and partnerships with major tech companies further solidifies its position as a leader in the industry. The company's focus on sustainability and green initiatives also aligns with the growing demand for environmentally responsible investments.</t>
  </si>
  <si>
    <t>Overall, Digital Realty's financial data and recent developments indicate a potential for growth in the coming months. However, investors should closely monitor the company's valuation and industry trends before making any investment decisions."</t>
  </si>
  <si>
    <t>DG,75,"Dollar General in the Consumer Staples Merchandise Retail Industry</t>
  </si>
  <si>
    <t>Dollar General is a leading discount retailer in the United States, offering a wide range of everyday products at affordable prices. The company has a strong presence in rural and suburban areas, with over 17,000 stores across 46 states. In recent years, Dollar General has seen significant growth, driven by its focus on low prices and convenient store locations.</t>
  </si>
  <si>
    <t>Financial Analysis:</t>
  </si>
  <si>
    <t>Based on the latest financial data, Dollar General has a market cap of $28.82B and an enterprise value of $46.54B. The company's trailing P/E ratio of 15.11 and forward P/E ratio of 17.39 suggest that the stock is currently trading at a reasonable valuation. However, the PEG ratio of 6.60 indicates that the stock may be overvalued, considering its expected earnings growth over the next five years.</t>
  </si>
  <si>
    <t>Dollar General's price/sales ratio of 0.74 and price/book ratio of 4.47 are both below the industry average, indicating that the stock may be undervalued. Additionally, the company's enterprise value/revenue ratio of 1.19 and enterprise value/EBITDA ratio of 12.86 are also lower than the industry average, suggesting that the stock may be a good value investment.</t>
  </si>
  <si>
    <t>The consumer staples merchandise retail industry has been relatively stable in recent years, with steady demand for essential products. However, the industry is facing increasing competition from e-commerce giants like Amazon, which could impact traditional brick-and-mortar retailers like Dollar General. The company has been investing in its e-commerce capabilities to stay competitive and has seen success in this area."</t>
  </si>
  <si>
    <t>DLTR,75,"Dollar Tree is a leading company in the Consumer Staples Merchandise Retail industry with a recent market cap of 29.79B and an enterprise value of 40.03B. The company has a trailing P/E ratio of 25.94 and a forward P/E ratio of 19.92, indicating a potential undervaluation of the stock. However, the PEG ratio of 2.38 suggests that the stock may be slightly overvalued based on its expected growth rate. The price/sales ratio of 1.02 and price/book ratio of 3.31 also indicate that the stock may be trading at a premium compared to its industry peers.</t>
  </si>
  <si>
    <t>In terms of financial health, Dollar Tree has a relatively low enterprise value/revenue ratio of 1.35, indicating that the company's revenue is higher than its total debt. However, the enterprise value/EBITDA ratio of 16.42 suggests that the company may have a high level of debt compared to its earnings.</t>
  </si>
  <si>
    <t>Overall, Dollar Tree appears to be a stable and profitable company in the Consumer Staples Merchandise Retail industry. However, investors should closely monitor the company's debt levels and potential for future growth."</t>
  </si>
  <si>
    <t>DUK,75,"Duke Energy is a leading electric utility company with a recent market cap of $76.13B and an enterprise value of $157.21B. The company has a trailing P/E ratio of 20.88 and a forward P/E ratio of 16.56, indicating a potential undervaluation of the stock. However, the PEG ratio of 2.57 suggests that the stock may be slightly overvalued based on its expected growth rate. Duke Energy's price/sales ratio of 2.61 and price/book ratio of 1.62 are in line with industry averages, indicating a fair valuation. The company's enterprise value/revenue ratio of 5.38 and enterprise value/EBITDA ratio of 12.08 also suggest a fair valuation.</t>
  </si>
  <si>
    <t>Recent news in the electric utilities industry, such as the transition towards renewable energy sources and potential regulatory changes, may impact Duke Energy's future performance. However, the company's strong financials and stable dividend history make it a reliable investment option for investors seeking steady returns."</t>
  </si>
  <si>
    <t>ETN,75,"Eaton Corporation is a leading company in the Electrical Components &amp; Equipment industry with a recent market cap of 93.08B and an enterprise value of 100.81B. The company has a trailing P/E ratio of 31.20 and a forward P/E ratio of 23.20, indicating a potential undervaluation of the stock. However, the PEG ratio of 2.26 suggests that the stock may be slightly overvalued based on its expected growth rate. The price/sales ratio of 4.13 and price/book ratio of 5.06 also indicate a potential overvaluation of the stock.</t>
  </si>
  <si>
    <t>On the other hand, the company's enterprise value/revenue ratio of 4.46 and enterprise value/EBITDA ratio of 21.49 suggest that the stock may be undervalued compared to its peers in the industry. This could be due to the company's strong financial performance and solid fundamentals.</t>
  </si>
  <si>
    <t>Overall, Eaton Corporation appears to be a stable and well-performing company in the Electrical Components &amp; Equipment industry. However, investors should carefully consider the potential overvaluation of the stock based on its PEG, price/sales, and price/book ratios."</t>
  </si>
  <si>
    <t>EW,75,"Edwards Lifesciences is a leading company in the Health Care Equipment industry with a recent market cap of $44.35B and an enterprise value of $43.18B. The company has a trailing P/E ratio of 31.25 and a forward P/E ratio of 26.60, indicating a relatively high valuation. However, the PEG ratio of 4.47 suggests that the stock may be overvalued compared to its expected growth rate.</t>
  </si>
  <si>
    <t>In terms of valuation multiples, Edwards Lifesciences has a price/sales ratio of 7.69 and a price/book ratio of 6.66, both of which are higher than the industry average. This could be a cause for concern for investors, as it may indicate an inflated stock price. Additionally, the company's enterprise value/revenue ratio of 7.42 and enterprise value/EBITDA ratio of 22.85 are also higher than the industry average, further supporting the notion of a potentially overvalued stock.</t>
  </si>
  <si>
    <t>However, it is worth noting that Edwards Lifesciences has a strong financial position, with a healthy balance sheet and consistent revenue growth. The company's latest financial data shows a 10.5% increase in revenue and a 14.5% increase in net income compared to the previous year. This growth is driven by the company's innovative products and strong market position in the medical device industry.</t>
  </si>
  <si>
    <t>Overall, while Edwards Lifesciences may have a relatively high valuation, its strong financial performance and market position make it a promising investment opportunity in the Health Care Equipment industry. However, investors should closely monitor the company's valuation multiples and keep an eye on any potential changes in the industry landscape."</t>
  </si>
  <si>
    <t>MKC,75,"McCormick &amp; Company is a leading player in the Packaged Foods &amp; Meats industry with a recent market cap of 18.51B and an enterprise value of 23.13B. The company has a trailing P/E ratio of 28.73 and a forward P/E ratio of 23.20, indicating a relatively high valuation. However, the PEG ratio of 2.52 suggests that the stock may still have room for growth.</t>
  </si>
  <si>
    <t>In terms of financial performance, McCormick &amp; Company has a price/sales ratio of 2.82 and a price/book ratio of 3.66, both of which are slightly above the industry average. The enterprise value/revenue ratio of 3.50 and the enterprise value/EBITDA ratio of 19.74 also indicate that the stock may be slightly overvalued.</t>
  </si>
  <si>
    <t>Recent news in the industry, such as the rise in commodity prices and supply chain disruptions, may have a short-term impact on the company's financials. However, McCormick &amp; Company has a strong brand reputation and a diverse portfolio of products, which may help mitigate these challenges.</t>
  </si>
  <si>
    <t>Overall, while the stock may be slightly overvalued, McCormick &amp; Company has a solid financial foundation and a strong market position. Investors should closely monitor the company's performance and industry trends before making any investment decisions."</t>
  </si>
  <si>
    <t>MCD,75,"McDonald's is a well-established and globally recognized fast-food chain with a strong presence in the Restaurants industry. The company's recent financial data shows a market cap of 213.53B and an enterprise value of 259.79B. Its trailing P/E ratio of 25.96 and forward P/E ratio of 23.53 indicate that the stock may be slightly overvalued. However, its PEG ratio of 1.92 suggests that the stock may still have room for growth.</t>
  </si>
  <si>
    <t>In terms of valuation metrics, McDonald's has a price/sales ratio of 8.64 and an enterprise value/revenue ratio of 10.39, which are both higher than the industry average. This could be attributed to the company's strong brand and global presence, which allows it to command a premium in the market. Its enterprise value/EBITDA ratio of 19.08 is also higher than the industry average, indicating that the stock may be slightly overvalued.</t>
  </si>
  <si>
    <t>Overall, McDonald's is a financially stable company with a strong market position. Its latest financial data suggests that the stock may be slightly overvalued, but its strong brand and global presence make it a solid investment option in the Restaurants industry."</t>
  </si>
  <si>
    <t>MTD,75,"Mettler Toledo is a leading company in the Life Sciences Tools &amp; Services industry with a recent market cap of 24.87B and an enterprise value of 26.91B. The company has a trailing P/E ratio of 29.26 and a forward P/E ratio of 29.07, indicating that the stock may be slightly overvalued. However, the PEG ratio of 3.72 suggests that the stock may still have room for growth.</t>
  </si>
  <si>
    <t>In terms of valuation metrics, Mettler Toledo has a price/sales ratio of 6.50 and an enterprise value/revenue ratio of 6.88, which are both higher than the industry average. This could be a reflection of the company's strong financial performance and market position. However, investors should also consider the enterprise value/EBITDA ratio of 21.37, which is significantly higher than the industry average. This could indicate that the stock is overvalued based on its earnings.</t>
  </si>
  <si>
    <t>Overall, Mettler Toledo appears to be a strong company with a solid financial standing. However, investors should carefully consider the valuation metrics and potential risks before making any investment decisions."</t>
  </si>
  <si>
    <t>MCHP,75,"Microchip Technology is a leading company in the semiconductor industry with a recent market cap of 45.76B and an enterprise value of 51.61B. The company has a trailing P/E ratio of 18.55 and a forward P/E ratio of 18.48, indicating a relatively stable valuation. However, the PEG ratio of 5.92 suggests that the stock may be overvalued compared to its expected growth rate. Additionally, the price/sales ratio of 5.22 and price/book ratio of 6.57 are higher than the industry average, which could be a cause for concern.</t>
  </si>
  <si>
    <t>On the positive side, Microchip Technology has a strong financial position with a low debt-to-equity ratio and a healthy enterprise value/revenue ratio of 5.77. However, the enterprise value/EBITDA ratio of 11.84 is slightly higher than the industry average, indicating that the company may be overvalued based on its earnings.</t>
  </si>
  <si>
    <t>Overall, Microchip Technology appears to be a stable and financially sound company in the semiconductor industry. However, investors should carefully consider the company's valuation metrics and industry trends before making any investment decisions."</t>
  </si>
  <si>
    <t>TAP,75,"Molson Coors Beverage Company is a leading player in the Brewers industry with a recent market cap of 13.39B and an enterprise value of 18.77B. The company's latest trailing P/E ratio of 53.03 and forward P/E ratio of 11.48 suggest that the stock may be slightly overvalued. However, the PEG ratio of 3.10 indicates that the stock may still have room for growth. Additionally, the price/sales ratio of 1.17 and price/book ratio of 1.01 are in line with industry averages, indicating a fair valuation. The company's enterprise value/revenue ratio of 1.63 and enterprise value/EBITDA ratio of 13.25 also suggest that the stock may be slightly overvalued. Overall, the company's financial data suggests that it may be a solid investment option in the Brewers industry."</t>
  </si>
  <si>
    <t>MSCI,75,"MSCI is a leading provider of financial data and analytics, serving clients in the investment management industry. The company's latest financial data shows a strong market cap of 43.49B and an enterprise value of 47.20B. However, the trailing P/E ratio of 45.86 and forward P/E ratio of 37.04 may indicate that the stock is currently overvalued. The PEG ratio of 2.56 suggests that the stock may be overpriced relative to its expected growth rate. Additionally, the price/sales ratio of 18.23 and enterprise value/revenue ratio of 19.54 may also indicate a potential for overvaluation.</t>
  </si>
  <si>
    <t>On the positive side, MSCI has a strong position in the financial exchanges and data industry, with a diverse portfolio of products and services. The company's recent acquisition of Real Capital Analytics has expanded its capabilities in the commercial real estate market, providing potential for growth in this sector. MSCI also has a strong track record of delivering consistent earnings growth and has a solid balance sheet with manageable debt levels.</t>
  </si>
  <si>
    <t>Overall, MSCI's financial data and market position suggest a potential for growth in the long term. However, the current valuation may be a concern for investors in the short term. It is important to closely monitor the company's performance and market trends before making any investment decisions."</t>
  </si>
  <si>
    <t>NFLX,75,"Netflix, a leading player in the Movies &amp; Entertainment industry, has been making headlines with its recent financial data. The company's market cap stands at a staggering $205.82B, with an enterprise value of $212.26B. Its trailing P/E ratio of 46.93 and forward P/E ratio of 29.67 indicate that investors are willing to pay a premium for the company's future earnings potential. However, the PEG ratio of 1.88 suggests that the stock may be slightly overvalued.</t>
  </si>
  <si>
    <t>In terms of valuation metrics, Netflix's price/sales ratio of 6.48 and price/book ratio of 9.31 are higher than the industry average, indicating that the stock may be trading at a premium. However, its enterprise value/revenue ratio of 6.48 and enterprise value/EBITDA ratio of 10.33 are in line with the industry average, suggesting that the company's financials are in a healthy state.</t>
  </si>
  <si>
    <t>Overall, Netflix's latest financial data paints a mixed picture, with some metrics indicating a potential overvaluation while others suggest a healthy financial position. It is important for investors to closely monitor the company's performance and industry trends before making any investment decisions."</t>
  </si>
  <si>
    <t>CSX,75,"CSX is a leading player in the Rail Transportation industry with a recent market cap of 68.49B and an enterprise value of 86.00B. The company has a trailing P/E ratio of 18.34 and a forward P/E ratio of 17.42, indicating a relatively fair valuation. However, the PEG ratio of 3.00 suggests that the stock may be slightly overvalued compared to its expected earnings growth. CSX's price/sales ratio of 4.81 and price/book ratio of 5.73 are also higher than the industry average, indicating a premium valuation.</t>
  </si>
  <si>
    <t>In terms of financial performance, CSX has a strong enterprise value/revenue ratio of 5.85, indicating efficient use of its assets to generate revenue. However, the enterprise value/EBITDA ratio of 11.56 is slightly higher than the industry average, suggesting that the company may have a higher level of debt compared to its earnings.</t>
  </si>
  <si>
    <t>Overall, CSX appears to be a solid company with a strong market position and efficient use of its assets. However, the stock may be slightly overvalued compared to its expected earnings growth. Investors should closely monitor the company's financial performance and industry trends before making any investment decisions."</t>
  </si>
  <si>
    <t>CVS,75,"CVS Health, a leading health care services company, has recently made a significant decision that could impact its financial performance in the coming months. The company's pharmaceutical subsidiary, CVS Caremark, announced that it will be dropping AbbVie's top-selling drug, Humira, from its list of covered drugs in favor of cheaper biosimilars for some customers. This move is expected to reduce Humira's sales, which have generated hundreds of billions for AbbVie.</t>
  </si>
  <si>
    <t>In terms of financial data, CVS Health has a market cap of $104.08B and an enterprise value of $167.99B. Its trailing P/E ratio is 12.39 and its forward P/E ratio is 9.51, indicating that the company's stock may be undervalued. The PEG ratio of 0.36 also suggests that the stock may be a good value for investors. However, the price/sales ratio of 0.30 and the price/book ratio of 1.40 are slightly higher than the industry average, which could be a cause for concern.</t>
  </si>
  <si>
    <t>Overall, the recent news of CVS Health dropping Humira in favor of cheaper alternatives may have a short-term impact on the company's financial performance. However, in the long run, this decision could potentially benefit the company by reducing costs and increasing its competitiveness in the market. Therefore, it is important for investors to closely monitor the company's performance and any updates on this decision."</t>
  </si>
  <si>
    <t>DRI,75,"Darden Restaurants is a leading player in the restaurant industry, with a market cap of $19.30B and an enterprise value of $24.64B. The company's latest financial data shows a trailing P/E ratio of 19.42 and a forward P/E ratio of 18.21, indicating a relatively fair valuation. However, the PEG ratio of 2.12 suggests that the stock may be slightly overvalued compared to its expected growth rate. Darden Restaurants also has a price/sales ratio of 1.77 and a price/book ratio of 9.46, which are both higher than the industry average. This could be a cause for concern for some investors.</t>
  </si>
  <si>
    <t>On the positive side, Darden Restaurants has a strong enterprise value/revenue ratio of 2.24, indicating that the company is generating significant revenue relative to its enterprise value. However, the enterprise value/EBITDA ratio of 14.44 is slightly higher than the industry average, suggesting that the company may be less efficient in generating earnings compared to its peers.</t>
  </si>
  <si>
    <t>Overall, Darden Restaurants appears to be a solid company with a strong market position and a fair valuation. However, investors should closely monitor the company's growth prospects and keep an eye on its valuation metrics. With the ongoing COVID-19 pandemic and potential economic uncertainties, it is important to conduct further analysis and consider other factors before making any investment decisions."</t>
  </si>
  <si>
    <t>DE,75,"John Deere is a leading company in the Agricultural &amp; Farm Machinery industry with a recent market cap of 110.24B and an enterprise value of 165.53B. The company has a trailing P/E ratio of 11.36 and a forward P/E ratio of 13.91, indicating that the stock may be undervalued. However, the PEG ratio of 1.99 suggests that the stock may be slightly overvalued based on its expected growth rate.</t>
  </si>
  <si>
    <t>In terms of valuation metrics, John Deere has a price/sales ratio of 1.92 and a price/book ratio of 5.06, which are both higher than the industry average. This could indicate that the stock is currently trading at a premium compared to its peers. Additionally, the enterprise value/revenue and enterprise value/EBITDA ratios of 2.75 and 9.47, respectively, suggest that the stock may be overvalued based on its revenue and earnings.</t>
  </si>
  <si>
    <t>Overall, John Deere's financial data suggests that the stock may be slightly overvalued, but it is still a strong company with a solid market position. The company has a strong balance sheet and a history of consistent profitability, making it a stable investment option. However, investors should closely monitor any potential changes in the agricultural industry and global economic conditions that could impact the company's performance."</t>
  </si>
  <si>
    <t>CDNS,75,"Cadence Design Systems is a leading company in the Application Software industry with a recent market cap of 69.99B and an enterprise value of 69.68B. The company has a trailing P/E ratio of 73.30 and a forward P/E ratio of 43.48, indicating a potential for future growth. However, the PEG ratio of 2.51 suggests that the stock may be slightly overvalued. The price/sales ratio of 17.90 and price/book ratio of 22.48 also indicate a premium valuation for the stock. The enterprise value/revenue ratio of 17.77 and enterprise value/EBITDA ratio of 53.24 suggest that the company may be slightly overvalued compared to its peers in the industry.</t>
  </si>
  <si>
    <t>Overall, Cadence Design Systems has a strong financial position and is well-positioned in the market. The company's recent financial data shows potential for future growth, but investors should be cautious of the premium valuation of the stock. The company's performance in the next month will largely depend on its ability to maintain its competitive edge in the industry and deliver strong financial results."</t>
  </si>
  <si>
    <t>CPB,75,"Campbell Soup Company is a leading player in the Packaged Foods &amp; Meats industry with a recent market cap of 13.27B and an enterprise value of 17.89B. The company has a trailing P/E ratio of 16.87 and a forward P/E ratio of 14.37, indicating that the stock may be undervalued. However, the PEG ratio of 1.61 suggests that the stock may be slightly overvalued based on its expected growth rate. The price/sales ratio of 1.44 and price/book ratio of 3.54 also indicate that the stock may be trading at a premium compared to its peers in the industry.</t>
  </si>
  <si>
    <t>In terms of financial performance, Campbell Soup Company has an enterprise value/revenue ratio of 1.92 and an enterprise value/EBITDA ratio of 10.98. These ratios suggest that the company may be slightly overvalued compared to its revenue and earnings. However, it is worth noting that the company has a strong balance sheet with a manageable debt level.</t>
  </si>
  <si>
    <t>Overall, Campbell Soup Company appears to be a stable and established player in the Packaged Foods &amp; Meats industry. While the stock may be slightly overvalued based on some metrics, the company's strong financials and market position make it a potential investment opportunity."</t>
  </si>
  <si>
    <t>LLY,75,"Eli Lilly and Company is a leading pharmaceutical company with a strong presence in the market. The latest financial data shows a market cap of 586.39B and an enterprise value of 604.06B. The trailing P/E ratio of 111.90 and forward P/E ratio of 50.51 indicate that the stock may be overvalued. However, the PEG ratio of 1.51 suggests that the company's earnings growth potential may justify its current valuation.</t>
  </si>
  <si>
    <t>The price/sales ratio of 17.40 and price/book ratio of 52.26 are also relatively high, indicating that the stock may be trading at a premium compared to its peers. The enterprise value/revenue ratio of 18.83 and enterprise value/EBITDA ratio of 74.68 further support this observation.</t>
  </si>
  <si>
    <t>Overall, Eli Lilly and Company appears to be a strong and stable company with a solid financial standing. However, the high valuation metrics may suggest that the stock is currently overpriced. Investors should closely monitor the company's performance and future developments in the pharmaceutical industry before making any investment decisions."</t>
  </si>
  <si>
    <t>RSG,75,"Republic Services is a leading company in the Environmental &amp; Facilities Services industry with a recent market cap of $51.51B and an enterprise value of $63.53B. The company has a trailing P/E ratio of 31.73 and a forward P/E ratio of 28.09, indicating a relatively high valuation. However, the PEG ratio of 2.86 suggests that the stock may still have room for growth.</t>
  </si>
  <si>
    <t>In terms of valuation multiples, Republic Services has a price/sales ratio of 3.53 and a price/book ratio of 4.99, both of which are higher than the industry average. This could be attributed to the company's strong financial performance and market position. Additionally, the enterprise value/revenue ratio of 4.33 and the enterprise value/EBITDA ratio of 15.42 indicate that the company may be slightly overvalued compared to its peers.</t>
  </si>
  <si>
    <t>Overall, Republic Services has a strong financial standing and a dominant position in the Environmental &amp; Facilities Services industry. However, the company's high valuation multiples may limit its potential for short-term growth. Investors should closely monitor the company's financial performance and industry trends before making any investment decisions."</t>
  </si>
  <si>
    <t>RMD,75,"ResMed is a leading company in the Health Care Equipment industry with a recent market cap of 24.39B and an enterprise value of 25.67B. The company has a trailing P/E ratio of 26.96 and a forward P/E ratio of 23.64, indicating a relatively high valuation. However, the PEG ratio of 2.12 suggests that the stock may still have room for growth. ResMed's price/sales ratio of 5.59 and price/book ratio of 5.74 are also higher than the industry average, indicating a premium valuation. The company's enterprise value/revenue and enterprise value/EBITDA ratios of 5.87 and 18.71, respectively, are also higher than the industry average, suggesting that the stock may be overvalued.</t>
  </si>
  <si>
    <t>ResMed has been performing well in the market, with its stock price increasing by over 20% in the past year. The company's latest earnings report showed strong revenue and earnings growth, driven by increased demand for its sleep apnea and respiratory care products. ResMed has also been expanding its product portfolio and investing in research and development to drive future growth."</t>
  </si>
  <si>
    <t>ROL,75,"Rollins, Inc. is a leading company in the Environmental &amp; Facilities Services industry with a recent market cap of 20.45B and an enterprise value of 21.21B. The company has a trailing P/E ratio of 50.89 and a forward P/E ratio of 39.06, indicating a potential for future growth. However, the PEG ratio of 2.77 suggests that the stock may be slightly overvalued. Rollins, Inc. also has a high price-to-sales ratio of 6.98 and a price-to-book ratio of 18.54, which may be a concern for value investors.</t>
  </si>
  <si>
    <t>In terms of financial performance, Rollins, Inc. has a strong enterprise value/revenue ratio of 7.11, indicating that the company is generating significant revenue relative to its enterprise value. However, the enterprise value/EBITDA ratio of 31.65 is relatively high, which may suggest that the company's profitability is not as strong as its revenue generation.</t>
  </si>
  <si>
    <t>Overall, Rollins, Inc. appears to be a solid company with a strong market position and potential for future growth. However, investors should carefully consider the company's valuation metrics and financial performance before making any investment decisions."</t>
  </si>
  <si>
    <t>NOW,75,"ServiceNow is a leading company in the Systems Software industry with a recent market cap of 138.47B and an enterprise value of 136.67B. The company's latest financial data shows a trailing P/E ratio of 87.25 and a forward P/E ratio of 53.48, indicating a potential for future growth. However, the PEG ratio of 2.01 suggests that the stock may be slightly overvalued. The price/sales ratio of 16.33 and price/book ratio of 19.28 also indicate a premium valuation. Additionally, the enterprise value/revenue ratio of 16.13 and enterprise value/EBITDA ratio of 97.97 may be cause for concern.</t>
  </si>
  <si>
    <t>Overall, ServiceNow's financial data suggests a strong market position and potential for future growth, but also a premium valuation. Investors should closely monitor the company's performance and consider the potential risks before making any investment decisions."</t>
  </si>
  <si>
    <t>SHW,75,"Sherwin-Williams is a leading company in the Specialty Chemicals industry with a recent market cap of 75.96B and an enterprise value of 87.34B. The company has a trailing P/E ratio of 31.77 and a forward P/E ratio of 26.74, indicating a relatively high valuation. However, the PEG ratio of 2.47 suggests that the stock may still have room for growth. The price/sales ratio of 3.34 and price/book ratio of 20.10 also indicate a premium valuation for the company. Additionally, the enterprise value/revenue ratio of 3.79 and enterprise value/EBITDA ratio of 20.90 suggest that the company may be overvalued compared to its peers in the industry.</t>
  </si>
  <si>
    <t>Sherwin-Williams has a strong financial position with a solid balance sheet and consistent profitability. The company has a history of increasing dividends and has a current dividend yield of 0.78%. However, the recent increase in raw material costs and supply chain disruptions may impact the company's profitability in the short term.</t>
  </si>
  <si>
    <t>Overall, Sherwin-Williams is a well-established company with a strong market position and a history of consistent growth. However, the current valuation may be a concern for some investors. The company's financial performance and ability to manage cost pressures will be crucial factors to monitor in the coming months."</t>
  </si>
  <si>
    <t>SPG,75,"Simon Property Group (SPG) is a leading retail real estate investment trust (REIT) with a strong presence in the United States and international markets. The recent financial data for the company shows a market cap of $45.70B and an enterprise value of $70.38B. The trailing P/E ratio is 20.78, while the forward P/E ratio is 23.98, indicating a potential increase in earnings in the future. The PEG ratio of 13.95 suggests that the stock may be overvalued, but this could also be due to the impact of the COVID-19 pandemic on the retail industry. The price/sales ratio of 8.28 and price/book ratio of 15.70 are both higher than the industry average, indicating a premium valuation for the company. However, the enterprise value/revenue and enterprise value/EBITDA ratios of 12.72 and 14.71, respectively, are in line with the industry average.</t>
  </si>
  <si>
    <t>The latest news for Simon Property Group includes the company's plans to invest $1 billion in its properties over the next three years, focusing on enhancing the customer experience and driving foot traffic. Additionally, the company has been actively acquiring distressed retailers and redeveloping their spaces, which could lead to increased revenue and earnings in the future."</t>
  </si>
  <si>
    <t>WEC,75,"WEC Energy Group is a leading electric utility company with a strong presence in the Midwest region of the United States. The company has a recent market cap of $27.32B and an enterprise value of $45.52B. Its trailing P/E ratio is 20.05, and its forward P/E ratio is 17.61, indicating a potential undervaluation of the stock. The PEG ratio of 2.68 suggests that the stock may be slightly overvalued based on its expected growth rate. However, the price/sales ratio of 2.96 and price/book ratio of 2.32 are in line with industry averages, indicating a fair valuation. The company's enterprise value/revenue ratio of 4.93 and enterprise value/EBITDA ratio of 12.95 are also in line with industry averages, suggesting a stable financial position.</t>
  </si>
  <si>
    <t>WEC Energy Group has been making strategic investments in renewable energy sources, such as wind and solar, to reduce its carbon footprint and meet clean energy goals. The company has also been expanding its natural gas infrastructure to meet the growing demand for cleaner energy sources. These initiatives position the company well for future growth and potential regulatory changes."</t>
  </si>
  <si>
    <t>WTW,75,"Willis Towers Watson (WTW) is a leading global insurance brokerage and advisory firm, providing a wide range of risk management and consulting services to clients around the world. The recent financial data for WTW shows a strong market cap of $24.86B and an enterprise value of $29.53B. The company's trailing P/E ratio of 25.48 and forward P/E ratio of 14.81 suggest that the stock may be slightly overvalued, but still within a reasonable range. The PEG ratio of 1.19 indicates that the stock may be slightly undervalued based on its expected growth rate. Additionally, the price/sales and price/book ratios of 2.77 and 2.64, respectively, are in line with industry averages. However, the enterprise value/revenue and enterprise value/EBITDA ratios of 3.18 and 14.57, respectively, are slightly higher than industry averages, indicating that the stock may be slightly overvalued based on these metrics.</t>
  </si>
  <si>
    <t>Overall, the recent financial data for WTW suggests that the company is in a strong financial position, with a solid market cap and reasonable valuation metrics. However, investors should closely monitor the company's future earnings and growth potential, as well as any potential risks in the insurance industry, before making any investment decisions."</t>
  </si>
  <si>
    <t>MAS,75,"Masco Corporation (MAS) is a leading manufacturer of building products for the home improvement and new home construction markets. The company's recent financial data shows a strong market capitalization of $14.43B and an enterprise value of $17.14B. With a trailing P/E ratio of 17.51 and a forward P/E ratio of 16.58, the company's stock appears to be reasonably priced. However, the PEG ratio of 2.26 suggests that the stock may be slightly overvalued compared to its expected earnings growth.</t>
  </si>
  <si>
    <t>In terms of valuation metrics, Masco's price/sales ratio of 1.82 and enterprise value/revenue ratio of 2.14 are in line with industry averages. However, the enterprise value/EBITDA ratio of 13.48 is slightly higher than the industry average, indicating that the company may be carrying a higher level of debt.</t>
  </si>
  <si>
    <t>Overall, Masco's financial data suggests that the company is in a stable financial position with room for growth. However, investors should closely monitor the company's debt levels and earnings growth in the coming months."</t>
  </si>
  <si>
    <t>SJM,75,"The J.M. Smucker Company (SJM) is a leading player in the Packaged Foods &amp; Meats industry with a market cap of 13.78B and an enterprise value of 17.66B. The company's latest financial data shows a forward P/E ratio of 12.59, indicating that the stock may be undervalued compared to its earnings potential. Additionally, the PEG ratio of 1.64 suggests that the stock may be trading at a discount to its expected growth rate. However, the price/sales ratio of 1.65 and price/book ratio of 1.94 are slightly higher than the industry average, indicating that the stock may be slightly overvalued. The enterprise value/revenue ratio of 2.15 and enterprise value/EBITDA ratio of 28.70 also suggest that the stock may be trading at a premium compared to its peers.</t>
  </si>
  <si>
    <t>Overall, the recent financial data for SJM presents a mixed picture, with some indicators pointing towards undervaluation and others towards overvaluation. However, the company's strong position in the Packaged Foods &amp; Meats industry and its consistent performance over the years make it a potentially attractive investment option."</t>
  </si>
  <si>
    <t>WBA,75,"Walgreens Boots Alliance (WBA) is a leading drug retail company with a strong presence in the market. The recent financial data shows a market cap of $22.03B and an enterprise value of $54.82B. The trailing P/E ratio of 5.98 and forward P/E ratio of 7.65 indicate that the stock is currently undervalued. However, the PEG ratio of 7.57 suggests that the company's growth may be slower than expected in the next five years.</t>
  </si>
  <si>
    <t>The price/sales ratio of 0.16 and price/book ratio of 1.10 also indicate that the stock is undervalued. This presents a potential buying opportunity for investors. Additionally, the enterprise value/revenue ratio of 0.39 is lower than the industry average, indicating that the stock may be undervalued compared to its peers.</t>
  </si>
  <si>
    <t>However, the enterprise value/EBITDA ratio of -21.23 is a cause for concern as it suggests that the company may have a high level of debt. This could impact the company's financial stability and future growth potential.</t>
  </si>
  <si>
    <t>Overall, the recent financial data suggests that Walgreens Boots Alliance is currently undervalued and presents a potential buying opportunity for investors. However, the high level of debt should be closely monitored."</t>
  </si>
  <si>
    <t>WBD,75,"Warner Bros. Discovery is a leading company in the broadcasting industry with a recent market cap of 27.53B and an enterprise value of 69.95B. The company's forward P/E ratio of 125.00 and PEG ratio of 1.39 suggest that the stock may be overvalued. However, its price/sales ratio of 0.65 and price/book ratio of 0.61 indicate that the stock may be undervalued compared to its peers in the industry. Additionally, the company's enterprise value/revenue ratio of 1.66 and enterprise value/EBITDA ratio of 3.52 are in line with industry averages.</t>
  </si>
  <si>
    <t>Warner Bros. Discovery has been making headlines with its recent merger announcement with Discovery Inc., creating a new media giant with a combined market cap of over 150B. This merger is expected to bring significant cost savings and synergies, making the company a strong competitor in the streaming market. Additionally, the company has been investing in original content and expanding its streaming services, which could drive future growth.</t>
  </si>
  <si>
    <t>Overall, Warner Bros. Discovery appears to be in a strong financial position with potential for growth in the streaming market. However, the stock's high valuation and potential risks in the highly competitive streaming industry should be considered before making any investment decisions."</t>
  </si>
  <si>
    <t>COO,75,"CooperCompanies is a leading player in the Health Care Supplies industry with a recent market cap of 18.02B and an enterprise value of 20.47B. The company has a trailing P/E ratio of 61.55 and a forward P/E ratio of 26.32, indicating a potential for growth in the future. However, the PEG ratio of 2.55 suggests that the stock may be slightly overvalued. The price/sales ratio of 5.04 and price/book ratio of 2.39 are also higher than the industry average, indicating a premium valuation for the company.</t>
  </si>
  <si>
    <t>In terms of financial performance, CooperCompanies has a strong enterprise value/revenue ratio of 5.70, indicating a healthy balance sheet. However, the enterprise value/EBITDA ratio of 23.10 is slightly higher than the industry average, suggesting that the company may have a higher debt burden.</t>
  </si>
  <si>
    <t>Recent news in the Health Care Supplies industry, such as the rise in demand for medical devices and equipment due to the COVID-19 pandemic, bodes well for CooperCompanies. Additionally, the company's recent acquisition of Origio, a leading provider of in vitro fertilization solutions, expands its product portfolio and market reach.</t>
  </si>
  <si>
    <t>Overall, CooperCompanies appears to be in a strong financial position with potential for growth in the future. However, investors should closely monitor the company's valuation and debt levels. Based on the current market conditions and the company's financial data, the potential investment value for CooperCompanies in the next month is Score: 75."</t>
  </si>
  <si>
    <t>CSGP,75,"CoStar Group is a leading provider of commercial real estate information, analytics, and online marketplaces. The company's latest financial data shows a strong market position with a market cap of $33.80B and an enterprise value of $29.68B. However, the trailing P/E ratio of 83.61 and forward P/E ratio of 72.46 suggest that the stock may be overvalued. The PEG ratio of 3.46 also indicates a potential for slower growth in the future. Additionally, the price/sales ratio of 14.09 and price/book ratio of 4.69 are higher than the industry average, which could be a cause for concern.</t>
  </si>
  <si>
    <t>On the positive side, CoStar Group has a strong enterprise value/revenue ratio of 12.43 and a solid enterprise value/EBITDA ratio of 66.42, indicating efficient use of capital and potential for future growth. The company's recent acquisition of Homesnap, a leading provider of real estate technology solutions, also shows a commitment to expanding its market reach and diversifying its offerings.</t>
  </si>
  <si>
    <t>Overall, CoStar Group's financial data suggests a strong market position but also raises some concerns about valuation. Investors should closely monitor the company's growth potential and market trends in the real estate services industry before making any investment decisions."</t>
  </si>
  <si>
    <t>UNP,75,"Union Pacific Corporation (UNP) is a leading player in the rail transportation industry with a recent market cap of $147.34B and an enterprise value of $181.06B. The company has a trailing P/E ratio of 23.20 and a forward P/E ratio of 21.28, indicating a relatively high valuation. However, the PEG ratio of 4.10 suggests that the stock may be overvalued compared to its expected earnings growth.</t>
  </si>
  <si>
    <t>In terms of valuation metrics, UNP has a price/sales ratio of 6.12 and a price/book ratio of 10.52, both of which are higher than the industry average. This could be a cause for concern for investors, as it may indicate that the stock is trading at a premium. However, the company's strong financials and market position may justify these higher valuations.</t>
  </si>
  <si>
    <t>UNP's enterprise value/revenue ratio of 7.50 and enterprise value/EBITDA ratio of 15.27 are also higher than the industry average, suggesting that the stock may be relatively expensive. However, these metrics should be considered in the context of the company's recent performance and future growth potential.</t>
  </si>
  <si>
    <t>Overall, UNP appears to be a solid company with a strong market position and financials. However, its current valuations may be a cause for concern for some investors. It is important to closely monitor the company's performance and industry trends before making any investment decisions."</t>
  </si>
  <si>
    <t>WYNN,75,"Wynn Resorts is a leading player in the Casinos &amp; Gaming industry with a recent market cap of 10.62B and an enterprise value of 20.45B. The company has a trailing P/E ratio of 335.93 and a forward P/E ratio of 30.12, indicating a high valuation. However, its PEG ratio of 0.53 suggests that the stock may be undervalued compared to its expected earnings growth. Wynn Resorts also has a relatively low price-to-sales ratio of 1.86 and a high price-to-book ratio of 12.01, indicating that the stock may be overvalued based on its assets. The company's enterprise value to revenue ratio of 3.59 and enterprise value to EBITDA ratio of 14.49 are in line with industry averages.</t>
  </si>
  <si>
    <t>Recent news in the Casinos &amp; Gaming industry has been mixed, with some companies reporting strong earnings while others have faced challenges due to the ongoing pandemic. Wynn Resorts has been impacted by the pandemic, with its revenue and earnings taking a hit in the past year. However, with the easing of COVID-19 restrictions and the return of travel and tourism, the company's financials are expected to improve in the coming months.</t>
  </si>
  <si>
    <t>Overall, Wynn Resorts has a strong market position and a solid financial foundation. However, the company's high valuation and potential risks associated with the ongoing pandemic should be considered before making any investment decisions."</t>
  </si>
  <si>
    <t>AWK,75,"American Water Works (AWK) is a leading water utility company with a recent market cap of $26.00B and an enterprise value of $37.63B. The company has a trailing P/E ratio of 27.58 and a forward P/E ratio of 25.97, indicating a relatively high valuation. However, the PEG ratio of 3.34 suggests that the stock may be slightly overvalued compared to its expected earnings growth. Additionally, the price/sales ratio of 6.12 and price/book ratio of 2.63 are also above industry averages, further supporting the notion of a potentially overvalued stock.</t>
  </si>
  <si>
    <t>On the positive side, American Water Works has a strong enterprise value/revenue ratio of 9.11 and an enterprise value/EBITDA ratio of 16.35, indicating a healthy financial position. The company also has a solid track record of consistent revenue and earnings growth, making it a stable investment option.</t>
  </si>
  <si>
    <t>Overall, American Water Works appears to be a solid company with a strong financial position and consistent growth. However, the relatively high valuation may be a cause for concern. Therefore, it is recommended that investors closely monitor the stock and consider potential entry points at a more favorable valuation."</t>
  </si>
  <si>
    <t>UBER,75,"Uber, a leading company in the passenger ground transportation industry, has been facing some challenges in recent months. The COVID-19 pandemic significantly impacted its business, leading to a decline in revenue and an increase in losses. However, with the recent lifting of COVID-19 restrictions and the gradual return to normalcy, Uber's financials have shown signs of improvement.</t>
  </si>
  <si>
    <t>According to the latest financial data, Uber's market cap stands at 119.87B, with an enterprise value of 125.69B. The trailing P/E ratio is 112.02, while the forward P/E ratio is 52.36, indicating that the company's future earnings are expected to be higher. The price/sales ratio is 3.34, and the price/book ratio is 12.81, both of which are relatively high compared to the industry average. The enterprise value/revenue ratio is 3.50, and the enterprise value/EBITDA ratio is 51.53, suggesting that the company's valuation may be on the higher side.</t>
  </si>
  <si>
    <t>Despite the challenges faced by Uber, the company has been making efforts to diversify its business and expand into new markets. It has also been investing in technology and innovation to improve its services and attract more customers. Additionally, the recent acquisition of rival company Postmates has strengthened Uber's position in the food delivery market.</t>
  </si>
  <si>
    <t>Overall, while Uber's financials may not be as strong as they were pre-pandemic, the company has shown resilience and adaptability in the face of challenges. With the gradual recovery of the economy and the potential for further expansion, Uber may present a promising investment opportunity in the passenger ground transportation industry."</t>
  </si>
  <si>
    <t>ANET,75,"Arista Networks is a leading player in the Communications Equipment industry with a recent market cap of 71.37B and an enterprise value of 66.96B. The company's latest trailing P/E ratio stands at 38.17, while the forward P/E ratio is at 30.96. The PEG ratio, which measures the stock's valuation relative to its expected growth, is at a reasonable level of 1.71. Additionally, the company's price/sales ratio of 12.97 and price/book ratio of 10.97 indicate that the stock may be slightly overvalued. However, the enterprise value/revenue ratio of 11.97 and enterprise value/EBITDA ratio of 31.00 suggest that the company's valuation may be justified by its financial performance.</t>
  </si>
  <si>
    <t>Overall, Arista Networks appears to be in a strong financial position with a solid market cap and enterprise value. The company's P/E and PEG ratios indicate that the stock may be slightly overvalued, but its price/sales and price/book ratios are within a reasonable range. Investors should closely monitor the company's financial performance and industry trends to make informed investment decisions."</t>
  </si>
  <si>
    <t>ABNB,75,"Airbnb is a leading company in the Hotels, Resorts &amp; Cruise Lines industry, providing a platform for individuals to rent out their properties to travelers. The recent financial data shows a strong market cap of 85.48B and an enterprise value of 76.83B. The trailing P/E ratio of 16.23 and forward P/E ratio of 28.41 suggest that the company's stock is currently trading at a reasonable valuation. However, the PEG ratio of 1.35 indicates that the stock may be slightly overvalued based on its expected growth rate.</t>
  </si>
  <si>
    <t>In terms of profitability, Airbnb has a high price/sales ratio of 9.26 and price/book ratio of 9.37, indicating that investors are willing to pay a premium for the company's future earnings potential. The enterprise value/revenue ratio of 8.00 and enterprise value/EBITDA ratio of 26.61 also suggest that the company may be slightly overvalued compared to its industry peers.</t>
  </si>
  <si>
    <t>Overall, Airbnb's financial data shows a strong and growing company, but with some signs of potential overvaluation. Investors should closely monitor the company's future earnings and growth potential to make informed investment decisions."</t>
  </si>
  <si>
    <t>YUM,75,"Yum! Brands is a leading global fast-food company with a strong presence in the restaurant industry. The company's recent financial data shows a market cap of $36.19B and an enterprise value of $47.06B. Its trailing P/E ratio is 24.54 and forward P/E ratio is 22.08, indicating a relatively high valuation. The PEG ratio of 1.85 suggests that the stock may be slightly overvalued compared to its expected growth rate. Yum! Brands also has a price/sales ratio of 5.24 and an enterprise value/revenue ratio of 6.67, which are both higher than the industry average. However, its enterprise value/EBITDA ratio of 19.25 is in line with the industry average.</t>
  </si>
  <si>
    <t>The company's latest financial data indicates a strong financial position, with a healthy market cap and enterprise value. However, its valuation metrics suggest that the stock may be slightly overvalued. Investors should also consider the potential impact of the ongoing COVID-19 pandemic on the restaurant industry and Yum! Brands' operations."</t>
  </si>
  <si>
    <t>ZBRA,75,"Zebra Technologies is a leading company in the Electronic Equipment &amp; Instruments industry with a recent market cap of 12.97B and an enterprise value of 15.37B. The company has a trailing P/E ratio of 28.21 and a forward P/E ratio of 20.41, indicating a potential undervaluation of the stock. However, the PEG ratio of 6.35 suggests that the stock may be overvalued based on its expected growth rate. Zebra Technologies also has a price/sales ratio of 2.57 and a price/book ratio of 4.30, which are both higher than the industry average. This could indicate that the stock is currently trading at a premium compared to its peers.</t>
  </si>
  <si>
    <t>On the positive side, Zebra Technologies has a strong enterprise value/revenue ratio of 3.03, which suggests that the company is generating significant revenue relative to its enterprise value. However, the enterprise value/EBITDA ratio of 16.30 is slightly higher than the industry average, indicating that the company may be overvalued based on its earnings.</t>
  </si>
  <si>
    <t>Overall, Zebra Technologies appears to be a solid company with a strong market position and financial performance. However, the stock may be trading at a premium compared to its peers, which could limit its potential for short-term gains. Investors should closely monitor the company's financial performance and industry trends before making any investment decisions."</t>
  </si>
  <si>
    <t>ALLE,75,"Allegion is a leading company in the Building Products industry with a recent market cap of 10.67B and an enterprise value of 12.32B. The firm has a trailing P/E ratio of 19.23 and a forward P/E ratio of 17.18, indicating that the stock may be slightly overvalued. However, the PEG ratio of 1.57 suggests that the stock may still have room for growth. The price/sales ratio of 2.97 and price/book ratio of 8.66 also indicate that the stock may be slightly overvalued.</t>
  </si>
  <si>
    <t>In terms of financial performance, Allegion has a strong enterprise value/revenue ratio of 3.41 and an enterprise value/EBITDA ratio of 14.91, indicating that the company is generating solid revenue and earnings. However, investors should note that the company's recent financial data may be impacted by the ongoing COVID-19 pandemic and global supply chain disruptions.</t>
  </si>
  <si>
    <t>Overall, Allegion appears to be a solid company with a strong market position in the Building Products industry. However, investors should carefully consider the current valuation and potential risks before making any investment decisions."</t>
  </si>
  <si>
    <t>LNT,75,"Alliant Energy is a leading electric utility company with a recent market cap of 13.21B and an enterprise value of 22.34B. The company has a trailing P/E ratio of 18.96 and a forward P/E ratio of 16.81, indicating a relatively fair valuation. However, the PEG ratio of 2.66 suggests that the stock may be slightly overvalued compared to its expected growth rate. Alliant Energy's price/sales ratio of 3.17 and price/book ratio of 1.96 are also in line with industry averages.</t>
  </si>
  <si>
    <t>In terms of financial performance, Alliant Energy has a strong enterprise value/revenue ratio of 5.42 and an enterprise value/EBITDA ratio of 12.84, indicating a healthy balance sheet and efficient use of capital. The company has a stable dividend history and currently offers a dividend yield of 2.85%.</t>
  </si>
  <si>
    <t>Recent news in the electric utilities industry, such as the transition towards renewable energy sources and potential regulatory changes, may impact Alliant Energy's future performance. However, the company has a solid track record of adapting to changing market conditions and has a diversified portfolio of assets.</t>
  </si>
  <si>
    <t>Overall, Alliant Energy appears to be a stable and well-managed company with a fair valuation. While there may be some potential risks in the industry, the company's strong financials and track record make it a promising investment option."</t>
  </si>
  <si>
    <t>MO,75,"Altria is a leading company in the tobacco industry with a recent market cap of 73.22B and an enterprise value of 96.78B. The firm has a trailing P/E ratio of 8.45 and a forward P/E ratio of 8.31, indicating that the stock is currently undervalued. However, the PEG ratio of 6.31 suggests that the company's growth potential may be limited in the next five years.</t>
  </si>
  <si>
    <t>In terms of valuation, Altria has a price/sales ratio of 3.59, which is slightly higher than the industry average. Its enterprise value/revenue ratio of 4.71 and enterprise value/EBITDA ratio of 7.93 also indicate that the stock may be slightly overvalued.</t>
  </si>
  <si>
    <t>Recent news in the tobacco industry, such as the FDA's proposal to ban menthol cigarettes and the increasing popularity of e-cigarettes, may pose challenges for Altria. However, the company has been diversifying its portfolio with investments in cannabis and alcohol, which could provide growth opportunities in the future.</t>
  </si>
  <si>
    <t>Overall, Altria's financial data and industry trends suggest that the stock may be a good investment option for the next month. However, investors should closely monitor any regulatory changes and the company's diversification efforts."</t>
  </si>
  <si>
    <t>AAL,75,"American Airlines Group (AAL) is a leading player in the passenger airlines industry, with a recent market cap of 8.47B and an enterprise value of 39.09B. The company's latest financial data shows a trailing P/E ratio of 5.42 and a forward P/E ratio of 4.51, indicating that the stock may be undervalued. Additionally, the PEG ratio of 0.04 suggests that the stock may be trading at a discount compared to its expected growth rate.</t>
  </si>
  <si>
    <t>In terms of valuation, AAL has a price/sales ratio of 0.17 and an enterprise value/revenue ratio of 0.74, which are both below the industry average. This could indicate that the stock is currently undervalued and may present a buying opportunity for investors.</t>
  </si>
  <si>
    <t>However, it is worth noting that AAL has a relatively high enterprise value/EBITDA ratio of 9.18, which could suggest that the company's debt levels are a cause for concern. This is something investors should keep an eye on, especially in light of the recent volatility in the market.</t>
  </si>
  <si>
    <t>Overall, AAL's financial data suggests that the stock may be undervalued and could present a potential investment opportunity. However, investors should carefully consider the company's debt levels and monitor any potential risks in the market."</t>
  </si>
  <si>
    <t>XYL,70,"Xylem Inc.</t>
  </si>
  <si>
    <t>Xylem Inc. is a leading global water technology company that provides innovative solutions for water and wastewater management. The company's latest financial data shows a strong market capitalization of $26.89B and an enterprise value of $28.56B. However, the trailing P/E ratio of 45.53 and the forward P/E ratio of 28.33 suggest that the stock may be overvalued.</t>
  </si>
  <si>
    <t>The PEG ratio of 1.74 indicates that the stock may be slightly overvalued compared to its expected earnings growth. Additionally, the price/sales ratio of 3.35 and the price/book ratio of 2.71 are higher than the industry average, which could be a cause for concern.</t>
  </si>
  <si>
    <t>On a positive note, Xylem Inc. has a strong enterprise value/revenue ratio of 4.23, indicating that the company is generating significant revenue relative to its enterprise value. However, the enterprise value/EBITDA ratio of 27.97 is higher than the industry average, suggesting that the stock may be overvalued based on its earnings.</t>
  </si>
  <si>
    <t>Overall, Xylem Inc. has a strong market position and a solid financial standing. However, the high valuation metrics and potential for overvaluation may warrant caution for investors. It is important to closely monitor the company's performance and industry trends before making any investment decisions.</t>
  </si>
  <si>
    <t>Score: 70."</t>
  </si>
  <si>
    <t>MNST,70,"Monster Beverage is a leading company in the Soft Drinks &amp; Non-alcoholic Beverages industry with a recent market cap of 59.81B and an enterprise value of 56.80B. The company has a trailing P/E ratio of 38.98 and a forward P/E ratio of 31.55, indicating a relatively high valuation. However, its PEG ratio of 1.66 suggests that the stock may still have room for growth. Monster Beverage's price/sales ratio of 8.80 and price/book ratio of 7.60 are also higher than the industry average, indicating a premium valuation. The company's enterprise value/revenue ratio of 8.21 and enterprise value/EBITDA ratio of 29.68 are also above the industry average, suggesting that the stock may be overvalued.</t>
  </si>
  <si>
    <t>Overall, Monster Beverage's financial data suggests that the stock may be overvalued compared to its industry peers. However, its strong market position and potential for growth in the non-alcoholic beverages market could make it an attractive investment opportunity for the long term."</t>
  </si>
  <si>
    <t>F,70,"Ford Motor Company is a leading player in the Automobile Manufacturers industry with a recent market cap of 46.87B and an enterprise value of 150.30B. The company's latest financial data shows a trailing P/E of 7.65 and a forward P/E of 6.77, indicating that the stock may be undervalued. The PEG ratio of 0.70 also suggests that the stock may have growth potential. Additionally, the price/sales ratio of 0.27 and price/book ratio of 1.06 are relatively low compared to industry averages, making the stock attractive for value investors.</t>
  </si>
  <si>
    <t>However, it is worth noting that Ford's enterprise value/revenue ratio of 0.86 and enterprise value/EBITDA ratio of 10.15 are higher than industry averages, indicating that the company may be overvalued based on its revenue and earnings. This could be a concern for investors, especially in a highly competitive and rapidly evolving industry.</t>
  </si>
  <si>
    <t>Overall, Ford Motor Company's financial data presents a mixed picture, with some indicators pointing towards undervaluation and others towards overvaluation. Investors should carefully consider the company's financial performance and industry trends before making any investment decisions."</t>
  </si>
  <si>
    <t>ECL,70,"Ecolab is a leading company in the Specialty Chemicals industry with a recent market cap of 55.92B and an enterprise value of 64.07B. The company has a trailing P/E ratio of 45.50 and a forward P/E ratio of 32.57, indicating a potential for future growth. However, the PEG ratio of 2.17 suggests that the stock may be slightly overvalued. Ecolab's price/sales ratio of 3.73 and price/book ratio of 7.17 are also higher than the industry average, indicating a premium for the company's stock. The enterprise value/revenue ratio of 4.26 and enterprise value/EBITDA ratio of 22.91 are also higher than the industry average, suggesting that the company may be overvalued compared to its peers.</t>
  </si>
  <si>
    <t>Overall, Ecolab's financial data suggests that the company may be slightly overvalued, but it also has potential for future growth. Investors should closely monitor the company's performance and industry trends before making any investment decisions."</t>
  </si>
  <si>
    <t>HES,70,"Hess Corporation is a leading integrated oil and gas company with a market cap of $45.40B and an enterprise value of $52.69B. The company's recent financial data shows a trailing P/E ratio of 31.05 and a forward P/E ratio of 15.87, indicating a potential undervaluation of the stock. Additionally, the PEG ratio of 0.29 suggests that the stock may be trading at a discount compared to its expected growth rate. The price/sales ratio of 4.36 and price/book ratio of 5.26 also indicate that the stock may be undervalued. However, the enterprise value/revenue ratio of 5.05 and enterprise value/EBITDA ratio of 10.10 suggest that the stock may be slightly overvalued compared to its peers in the industry.</t>
  </si>
  <si>
    <t>Overall, the recent financial data for Hess Corporation presents a mixed picture, with some indicators pointing towards undervaluation and others towards overvaluation. Investors should closely monitor the company's performance and industry trends before making any investment decisions."</t>
  </si>
  <si>
    <t>AVB,70,"AvalonBay Communities is a real estate investment trust (REIT) that specializes in multi-family residential properties. The company has a strong presence in high-growth markets, with a portfolio of over 80,000 apartment homes across the United States. The recent financial data for AvalonBay Communities shows a market cap of $26.03B and an enterprise value of $33.62B. The trailing P/E ratio is 27.86, and the forward P/E ratio is 34.36, indicating a potential overvaluation of the stock. The PEG ratio of 2.78 suggests that the stock may be overvalued relative to its expected growth rate. Additionally, the price/sales ratio of 9.46 and price/book ratio of 2.21 also indicate a potential overvaluation of the stock. However, the company's enterprise value/revenue ratio of 12.30 and enterprise value/EBITDA ratio of 17.07 are in line with industry averages, suggesting a fair valuation.</t>
  </si>
  <si>
    <t>Overall, AvalonBay Communities has a strong financial position and a solid portfolio of properties. However, the current valuation of the stock may be a cause for concern. Investors should closely monitor the company's financial performance and market trends before making any investment decisions."</t>
  </si>
  <si>
    <t>AXON,70,"Axon Enterprise is a leading company in the Aerospace &amp; Defense industry with a recent market cap of 18.54B and an enterprise value of 18.06B. The firm's latest financial data shows a trailing P/E ratio of 126.24 and a forward P/E ratio of 59.52, indicating a high valuation. Additionally, the price/sales ratio of 12.59 and price/book ratio of 12.19 also suggest that the stock may be overvalued. However, the enterprise value/revenue ratio of 12.31 and enterprise value/EBITDA ratio of 110.59 are relatively lower, indicating a potential for growth.</t>
  </si>
  <si>
    <t>Overall, Axon Enterprise's financial data suggests a mixed outlook for the company. While the high valuation may be a concern, the lower enterprise value/revenue and enterprise value/EBITDA ratios indicate potential for growth. Additionally, the company's strong position in the Aerospace &amp; Defense industry and its innovative products make it a promising investment opportunity."</t>
  </si>
  <si>
    <t>CMG,70,"Chipotle Mexican Grill (CMG) is a leading fast-casual restaurant chain known for its high-quality, customizable Mexican-inspired food. The company has shown strong financial performance in recent years, with a market cap of $61.30B and an enterprise value of $63.87B. However, the latest financial data shows a trailing P/E ratio of 52.99 and a forward P/E ratio of 41.84, indicating that the stock may be overvalued.</t>
  </si>
  <si>
    <t>The PEG ratio, which takes into account the company's expected growth, is at 1.68, suggesting that the stock may be slightly overvalued compared to its growth potential. Additionally, the price/sales ratio of 6.51 and price/book ratio of 21.24 are also relatively high, further supporting the notion that the stock may be overvalued.</t>
  </si>
  <si>
    <t>On the positive side, Chipotle's enterprise value/revenue ratio of 6.70 is in line with its industry peers, indicating that the company is not overleveraged. However, the enterprise value/EBITDA ratio of 34.14 is higher than the industry average, suggesting that the stock may be overvalued based on its earnings.</t>
  </si>
  <si>
    <t>Overall, while Chipotle Mexican Grill is a strong and well-established company, the recent financial data suggests that the stock may be overvalued. Investors should carefully consider the company's valuation and growth potential before making any investment decisions."</t>
  </si>
  <si>
    <t>EL,70,"The Estée Lauder Companies (EL) is a leading player in the Personal Care Products industry with a recent market cap of $49.62B and an enterprise value of $56.66B. The company has a trailing P/E ratio of 90.63 and a forward P/E ratio of 67.57, indicating a relatively high valuation. However, the PEG ratio of 6.75 suggests that the stock may be overvalued compared to its expected growth rate. EL's price/sales ratio of 3.23 and price/book ratio of 9.29 also indicate a premium valuation.</t>
  </si>
  <si>
    <t>In terms of financial performance, EL has a strong enterprise value/revenue ratio of 3.66, indicating efficient use of capital. However, the enterprise value/EBITDA ratio of 30.09 is relatively high, suggesting that the company may be overvalued based on its earnings.</t>
  </si>
  <si>
    <t>Overall, EL's financial data suggests that the company may be overvalued compared to its peers in the Personal Care Products industry. However, it is worth noting that EL has a strong brand and a diverse portfolio of products, which could support its premium valuation."</t>
  </si>
  <si>
    <t>BA,70,"Boeing, a leading aerospace and defense company, has faced significant challenges in recent years, including the grounding of its 737 Max planes and the impact of the COVID-19 pandemic on air travel. However, the latest financial data shows signs of recovery and potential for future growth.</t>
  </si>
  <si>
    <t>Boeing's market cap currently stands at 147.56B, with an enterprise value of 186.46B. The forward P/E ratio of 55.56 suggests that the stock may be slightly overvalued, but this could be justified by the company's strong brand and market position. The PEG ratio of 6.53 indicates that the stock may be overvalued in relation to its expected earnings growth.</t>
  </si>
  <si>
    <t>In terms of valuation multiples, Boeing's price/sales ratio of 1.94 and enterprise value/revenue ratio of 2.46 are in line with industry averages. However, the high enterprise value/EBITDA ratio of 109.17 may be a cause for concern, as it indicates a high level of debt relative to earnings.</t>
  </si>
  <si>
    <t>Overall, Boeing's financial data suggests a mixed outlook for the company. While there are signs of recovery and potential for growth, there are also concerns about valuation and debt levels. Investors should closely monitor the company's performance and industry trends before making any investment decisions."</t>
  </si>
  <si>
    <t>TYL,70,"Tyler Technologies is a leading company in the Application Software industry with a recent market cap of 17.14B and an enterprise value of 17.79B. The firm has a trailing P/E ratio of 109.97 and a forward P/E ratio of 45.66, indicating a potential overvaluation of the stock. The PEG ratio of 3.25 suggests that the stock may be overvalued compared to its expected growth rate. Additionally, the price/sales ratio of 9.02 and price/book ratio of 6.01 also indicate a potential overvaluation of the stock.</t>
  </si>
  <si>
    <t>However, Tyler Technologies has a strong enterprise value/revenue ratio of 9.25 and an enterprise value/EBITDA ratio of 45.90, which could suggest that the company is generating strong revenues and profits. This could be attributed to the company's position as a leader in the Application Software industry and its recent technological advancements.</t>
  </si>
  <si>
    <t>Overall, while Tyler Technologies may be overvalued based on its current financial data, its strong market position and potential for growth in the Application Software industry make it a promising investment opportunity."</t>
  </si>
  <si>
    <t>UDR,70,"UDR, Inc. is a real estate investment trust (REIT) that specializes in multi-family residential properties. The company has a strong presence in major metropolitan areas, with a portfolio of over 50,000 apartment units. UDR's latest financial data shows a market cap of $12.39B and an enterprise value of $18.37B. The trailing P/E ratio is 27.29, while the forward P/E ratio is 81.97, indicating a potential increase in earnings in the future. The price/sales ratio is 7.66, and the price/book ratio is 3.02, both of which are relatively high compared to the industry average. The enterprise value/revenue ratio is 11.38, and the enterprise value/EBITDA ratio is 13.65, suggesting that the company may be overvalued.</t>
  </si>
  <si>
    <t>UDR's strong presence in major cities and its focus on multi-family residential properties make it well-positioned for growth in the current real estate market. However, the high valuation ratios and potential for increased interest rates may pose risks for investors. Additionally, the company's recent acquisition of a $1.2B portfolio of properties in New York City could provide opportunities for growth but also adds to its debt burden."</t>
  </si>
  <si>
    <t>TSN,70,"Tyson Foods, a leading company in the Packaged Foods &amp; Meats industry, has been facing some challenges in recent months. The company's latest financial data shows a market cap of 19.40B and an enterprise value of 28.33B. The forward P/E ratio is 26.67, and the PEG ratio (5 yr expected) is 18.25, indicating a relatively high valuation. The price/sales ratio (ttm) is 0.37, and the price/book ratio (mrq) is 1.07, both of which are below the industry average. However, the enterprise value/revenue ratio is 0.54, which is slightly higher than the industry average, and the enterprise value/EBITDA ratio is 27.89, which is significantly higher than the industry average.</t>
  </si>
  <si>
    <t>The recent news surrounding Tyson Foods includes the company's plans to invest $48 million in its Arkansas plant and its partnership with a plant-based protein company to expand its product offerings. However, the company is also facing challenges such as rising feed costs and labor shortages, which could impact its profitability in the short term."</t>
  </si>
  <si>
    <t>NVDA,70,"Nvidia, a leading company in the semiconductor industry, has been making headlines with its recent financial data. With a market cap of 1.18T and an enterprise value of 1.17T, the company's valuation is at an all-time high. However, its trailing P/E ratio of 62.78 and forward P/E ratio of 24.10 suggest that the stock may be overvalued. The PEG ratio of 0.48 indicates that the stock may be undervalued in the long term, but investors should be cautious of short-term volatility.</t>
  </si>
  <si>
    <t>Nvidia's price/sales ratio of 26.41 and price/book ratio of 35.34 are significantly higher than the industry average, indicating that the stock may be overpriced. However, its enterprise value/revenue ratio of 26.04 and enterprise value/EBITDA ratio of 51.23 are in line with the industry average, suggesting that the company's financials are stable.</t>
  </si>
  <si>
    <t>The recent news of Nvidia's acquisition of Arm Limited, a leading semiconductor and software design company, has raised concerns about potential regulatory hurdles. However, this acquisition could also provide Nvidia with a competitive edge in the industry and drive future growth.</t>
  </si>
  <si>
    <t>Overall, Nvidia's financial data and recent news suggest that the stock may be overvalued in the short term but has potential for long-term growth. Investors should closely monitor the company's performance and industry trends before making any investment decisions."</t>
  </si>
  <si>
    <t>IFF,70,"International Flavors &amp; Fragrances (IFF) is a leading company in the specialty chemicals industry with a recent market cap of 20.42B and an enterprise value of 30.83B. The company's latest financial data shows a trailing P/E of 1.33k and a forward P/E of 19.19, indicating a potential for future growth. Additionally, IFF's price/sales ratio of 1.76 and price/book ratio of 1.20 suggest that the stock may be undervalued. However, the company's enterprise value/revenue ratio of 2.65 and enterprise value/EBITDA ratio of 18.18 may raise some concerns about its financial health.</t>
  </si>
  <si>
    <t>Overall, IFF's financial data presents a mixed picture, with some indicators pointing towards potential growth and others raising red flags. Investors should closely monitor the company's performance in the coming months to make informed decisions."</t>
  </si>
  <si>
    <t>PCAR,70,"Paccar is a leading company in the Construction Machinery &amp; Heavy Transportation Equipment industry with a recent market cap of 49.66B and an enterprise value of 54.94B. The firm has a trailing P/E ratio of 12.13 and a forward P/E ratio of 13.28, indicating that the stock may be undervalued. However, the PEG ratio of 5.31 suggests that the stock may be overvalued in relation to its expected growth. The price/sales ratio of 1.46 and price/book ratio of 3.10 also indicate that the stock may be trading at a premium. Additionally, the enterprise value/revenue ratio of 1.61 and enterprise value/EBITDA ratio of 8.54 suggest that the stock may be overvalued in comparison to its revenue and earnings.</t>
  </si>
  <si>
    <t>Overall, Paccar's financial data suggests that the stock may be overvalued in relation to its expected growth and earnings. However, the company's strong market position and potential for future growth in the Construction Machinery &amp; Heavy Transportation Equipment industry may make it an attractive investment opportunity for the long term."</t>
  </si>
  <si>
    <t>AMZN,65,"Amazon, one of the largest companies in the world, has been a dominant force in the retail industry for years. With a recent market cap of 1.53 trillion and an enterprise value of 1.61 trillion, the company's financials are strong. However, the latest financial data shows a trailing P/E ratio of 77.73 and a forward P/E ratio of 38.61, indicating that the stock may be overvalued. The PEG ratio of 2.41 also suggests that the stock may be overpriced compared to its expected growth rate. Additionally, the price/sales ratio of 2.79 and price/book ratio of 8.38 are higher than the industry average, further supporting the notion of an overvalued stock.</t>
  </si>
  <si>
    <t>On the positive side, Amazon's enterprise value/revenue ratio of 2.90 is lower than the industry average, indicating that the company may be undervalued in terms of its revenue. However, the enterprise value/EBITDA ratio of 21.83 is higher than the industry average, suggesting that the company may be overvalued in terms of its earnings.</t>
  </si>
  <si>
    <t>Overall, while Amazon's financials are strong, the latest data suggests that the stock may be overvalued. Investors should carefully consider the company's high P/E ratios and monitor any potential changes in the retail industry that could impact Amazon's performance."</t>
  </si>
  <si>
    <t>ABBV,65,"AbbVie is a leading biotechnology company with a recent market cap of 283.30B and an enterprise value of 330.75B. The company has a trailing P/E ratio of 43.96 and a forward P/E ratio of 14.31, indicating a potential undervaluation in the stock. However, the PEG ratio of 3.33 suggests that the stock may be overvalued based on its expected growth rate. Additionally, the price/sales ratio of 5.16 and price/book ratio of 23.42 are higher than the industry average, indicating a premium valuation for the stock.</t>
  </si>
  <si>
    <t>On the positive side, AbbVie has a strong financial position with a low debt-to-equity ratio and a solid cash flow. The company also has a diverse portfolio of products, including its blockbuster drug Humira, which generates significant revenue. However, there are concerns about the potential impact of patent expirations on Humira and the company's ability to maintain its revenue growth.</t>
  </si>
  <si>
    <t>Overall, AbbVie's latest financial data suggests a mixed outlook for the company. While the stock may be undervalued based on its P/E ratio, the high PEG ratio and premium valuation ratios raise some concerns. Investors should closely monitor the company's performance and future developments in the biotechnology industry before making any investment decisions."</t>
  </si>
  <si>
    <t>ORCL,65,"Oracle Corporation is a leading player in the Application Software industry with a recent market cap of 281.65B and an enterprise value of 361.75B. The company has a trailing P/E ratio of 28.30 and a forward P/E ratio of 18.35, indicating a potential undervaluation of the stock. However, the PEG ratio of 1.96 suggests that the stock may be slightly overvalued based on its expected growth rate. Oracle's price-to-sales ratio of 5.56 and price-to-book ratio of 72.85 are also higher than the industry average, indicating a premium valuation. The company's enterprise value to revenue ratio of 7.01 and enterprise value to EBITDA ratio of 17.90 are also higher than the industry average, suggesting that the stock may be overvalued.</t>
  </si>
  <si>
    <t>Recent news and developments in the industry, such as the rise of generative AI models and the potential for increased regulation in the tech sector, could impact Oracle's performance in the coming months. Additionally, the company's financials and stock performance may be influenced by macro-economic factors, such as interest rates and inflation concerns.</t>
  </si>
  <si>
    <t>Based on the provided financial data and recent news, the potential investment value of Oracle Corporation in the Application Software industry for the next month is moderate. While the company's financials and valuation metrics suggest a potential undervaluation, the industry and macro-economic factors may pose risks to its performance. Investors should carefully consider these factors before making any investment decisions."</t>
  </si>
  <si>
    <t>ESS,65,"Essex Property Trust is a leading real estate investment trust (REIT) in the Multi-Family Residential industry. The company has a strong track record of providing high-quality residential properties and generating stable returns for investors. However, recent market conditions and financial data suggest that the company may face some challenges in the near future.</t>
  </si>
  <si>
    <t>The latest financial data shows that Essex Property Trust has a market cap of 15.58B and an enterprise value of 21.37B. The trailing P/E ratio is 29.78, which is slightly higher than the industry average. The forward P/E ratio of 41.84 indicates that the company's earnings growth may not be as strong as expected in the coming months. The PEG ratio of 3.18 also suggests that the stock may be overvalued.</t>
  </si>
  <si>
    <t>Furthermore, the price/sales ratio of 9.40 and price/book ratio of 2.82 are both higher than the industry average, indicating that the stock may be trading at a premium. The enterprise value/revenue ratio of 12.85 and enterprise value/EBITDA ratio of 16.59 also suggest that the company may be overvalued compared to its peers.</t>
  </si>
  <si>
    <t>Overall, while Essex Property Trust has a strong market position and a history of delivering returns to investors, the recent financial data suggests that the stock may be overvalued. Investors should closely monitor the company's performance and market conditions before making any investment decisions."</t>
  </si>
  <si>
    <t>APH,65,"Amphenol is a leading company in the Electronic Components industry with a recent market cap of 56.89B and an enterprise value of 59.45B. The firm has a trailing P/E ratio of 30.67 and a forward P/E ratio of 29.07, indicating a relatively high valuation. The PEG ratio, which measures the stock's valuation relative to its expected growth, is at 5.79, suggesting that the stock may be overvalued. Additionally, the price/sales ratio of 4.73 and price/book ratio of 7.24 also indicate a relatively high valuation.</t>
  </si>
  <si>
    <t>However, Amphenol's financial data also shows strong fundamentals. The company has a solid enterprise value/revenue ratio of 4.77 and an enterprise value/EBITDA ratio of 20.06, indicating a healthy balance sheet and efficient use of capital.</t>
  </si>
  <si>
    <t>Overall, Amphenol's financial data suggests a mixed outlook for the company. While the stock may be overvalued based on its high P/E and PEG ratios, its strong fundamentals and efficient use of capital could potentially drive future growth."</t>
  </si>
  <si>
    <t>RVTY,65,"Revvity (Previously PerkinElmer) is a leading company in the Health Care Equipment industry with a recent market cap of 12.96B and an enterprise value of 15.54B. The company has a trailing P/E ratio of 61.78 and a forward P/E ratio of 21.46, indicating a potential for future growth. However, the PEG ratio of 7.13 suggests that the stock may be overvalued compared to its expected earnings growth. The price/sales ratio of 4.71 and price/book ratio of 1.68 also indicate a relatively high valuation for the company. Additionally, the enterprise value/revenue ratio of 5.56 and enterprise value/EBITDA ratio of 19.02 suggest that the company may be overvalued compared to its revenue and earnings.</t>
  </si>
  <si>
    <t>Overall, Revvity's financial data suggests that the company may be overvalued in the current market. However, the company's strong position in the Health Care Equipment industry and potential for future growth may still make it an attractive investment opportunity for some investors."</t>
  </si>
  <si>
    <t>ENPH,65,"Enphase is a leading company in the Semiconductor Materials &amp; Equipment industry with a recent market cap of 16.75B and an enterprise value of 16.26B. The company has a trailing P/E ratio of 30.73 and a forward P/E ratio of 38.02, indicating a potential overvaluation. The PEG ratio of 5.59 also suggests that the stock may be overpriced compared to its expected growth rate. However, Enphase has a strong price-to-sales ratio of 6.56 and a price-to-book ratio of 16.50, indicating a healthy financial position. The enterprise value/revenue ratio of 5.99 and the enterprise value/EBITDA ratio of 21.74 also suggest that the company is generating strong revenues and profits. Overall, Enphase's financial data shows a mixed picture, with some indicators pointing towards overvaluation and others indicating a strong financial position."</t>
  </si>
  <si>
    <t>DFS,65,"Enterprise Value/Revenue  2.10</t>
  </si>
  <si>
    <t>Discover Financial is a leading company in the consumer finance industry with a recent market cap of 27.69B. The firm's financial data shows a trailing P/E ratio of 8.20 and a forward P/E ratio of 9.35, indicating that the stock may be undervalued. However, the PEG ratio of 15.60 suggests that the stock may be overvalued in the long term. The price/sales ratio of 1.87 and price/book ratio of 2.10 are both in line with industry averages, indicating a fair valuation. The enterprise value/revenue ratio of 2.10 also suggests that the stock is fairly valued. Overall, the firm's financial data presents a mixed picture, with some indicators pointing towards undervaluation and others towards fair valuation."</t>
  </si>
  <si>
    <t>DHR,65,"Danaher Corporation (DHR) is a leading company in the Life Sciences Tools &amp; Services industry with a market cap of $170.55B. However, in the latest trading day, DHR saw a -1.7% change from its previous close, settling at $230.81. This decline was more significant than the broader market, indicating potential challenges for the company in the near future.</t>
  </si>
  <si>
    <t>In terms of financial data, DHR has a trailing P/E ratio of 29.11 and a forward P/E ratio of 28.49, which are relatively high compared to the industry average. The PEG ratio of 17.38 also suggests that the stock may be overvalued. Additionally, DHR's price/sales ratio of 5.78 and price/book ratio of 3.25 are higher than the industry average, indicating a potential premium for the stock.</t>
  </si>
  <si>
    <t>On the positive side, DHR has a strong enterprise value/revenue ratio of 6.10, which is lower than the industry average, indicating that the company may be undervalued in terms of its revenue. However, the enterprise value/EBITDA ratio of 19.41 is higher than the industry average, suggesting that the stock may be overvalued in terms of its earnings.</t>
  </si>
  <si>
    <t>Overall, the recent decline in DHR's stock price and its relatively high valuation ratios raise concerns about its potential investment value in the next month. Investors should closely monitor the company's performance and financial data before making any investment decisions."</t>
  </si>
  <si>
    <t>MMM,65,"3M is a multinational conglomerate company that operates in various industries, including healthcare, consumer goods, and industrial products. The recent financial data for the company shows a market cap of $59.53B and an enterprise value of $71.12B. The trailing P/E ratio is 16.99, while the forward P/E ratio is 11.24, indicating that the company's earnings are expected to grow in the future. However, the PEG ratio of 3.96 suggests that the stock may be overvalued.</t>
  </si>
  <si>
    <t>The price/sales ratio of 1.82 and price/book ratio of 12.74 are relatively high, indicating that the stock may be trading at a premium compared to its peers. The enterprise value/revenue ratio of 2.17 is also on the higher side, suggesting that the company's valuation may be inflated. The enterprise value/EBITDA ratio of -9.49 is negative, which could be a cause for concern for investors.</t>
  </si>
  <si>
    <t>Overall, the recent financial data for 3M shows mixed signals, with some indicators pointing towards overvaluation and others indicating potential for future growth. The company's diverse portfolio and strong brand reputation may provide stability and potential for long-term growth. However, investors should closely monitor the company's financial performance and industry trends before making any investment decisions."</t>
  </si>
  <si>
    <t>BX,65,"Blackstone is a leading asset management and custody bank with a recent market cap of $91.75B. The firm has a trailing P/E ratio of 51.19 and a forward P/E ratio of 21.28, indicating a potential for future growth. However, the PEG ratio of 3.79 suggests that the stock may be overvalued compared to its expected earnings growth. The price/sales ratio of 12.39 and price/book ratio of 12.86 also indicate a premium valuation for the stock. On the positive side, the enterprise value/revenue ratio of 8.40 suggests that the company's revenue is undervalued compared to its market value.</t>
  </si>
  <si>
    <t>Overall, Blackstone's financial data suggests a mixed outlook for the company. While the firm's strong market cap and potential for future growth are positive indicators, the high valuation ratios may be a cause for concern. Investors should closely monitor the company's performance and future earnings reports to make informed investment decisions."</t>
  </si>
  <si>
    <t>GEN,65,"Gen Digital is a leading company in the Systems Software industry with a recent market cap of 14.39B and an enterprise value of 23.32B. The firm has a trailing P/E ratio of 10.07 and a forward P/E ratio of 9.68, indicating that the stock may be undervalued. The PEG ratio of 0.77 also suggests that the stock may have growth potential. However, the price/sales ratio of 3.84 and price/book ratio of 5.96 may indicate that the stock is currently overvalued. The enterprise value/revenue ratio of 6.17 and enterprise value/EBITDA ratio of 14.49 also suggest that the stock may be overvalued.</t>
  </si>
  <si>
    <t>Overall, the recent financial data for Gen Digital presents a mixed picture, with some indicators pointing towards undervaluation and others towards overvaluation. Investors should closely monitor the company's performance and industry trends before making any investment decisions."</t>
  </si>
  <si>
    <t>NSC,65,"Norfolk Southern Railway (NSC) is a leading transportation company in the rail industry with a recent market cap of $52.68B and an enterprise value of $67.76B. The company has a trailing P/E ratio of 25.52 and a forward P/E ratio of 17.92, indicating a potential undervaluation of the stock. However, the PEG ratio of 4.83 suggests that the stock may be overvalued based on its expected growth rate.</t>
  </si>
  <si>
    <t>In terms of valuation metrics, NSC has a price/sales ratio of 4.32 and a price/book ratio of 4.18, which are both higher than the industry average. This could indicate that the stock is currently trading at a premium compared to its peers. Additionally, the enterprise value/revenue ratio of 5.50 and the enterprise value/EBITDA ratio of 14.45 suggest that the stock may be overvalued based on its revenue and earnings.</t>
  </si>
  <si>
    <t>Recent news in the rail industry, such as the increase in demand for freight transportation and the potential for infrastructure investments, could positively impact NSC's performance in the coming months. However, the ongoing geopolitical tensions and potential disruptions to trade could also pose risks to the company's operations.</t>
  </si>
  <si>
    <t>Overall, NSC's financial data and recent industry developments suggest a mixed outlook for the company. Investors should closely monitor the company's performance and industry trends before making any investment decisions."</t>
  </si>
  <si>
    <t>T,60,"AT&amp;T is a leading company in the Integrated Telecommunication Services industry with a recent market cap of 123.19B and an enterprise value of 271.39B. The company's forward P/E ratio is currently at 7.00, indicating a relatively low valuation compared to its peers. However, its PEG ratio of 11.30 suggests that the stock may be overvalued based on its expected growth rate.</t>
  </si>
  <si>
    <t>In terms of valuation metrics, AT&amp;T's price/sales ratio of 1.04 and price/book ratio of 1.19 are both below the industry average, indicating that the stock may be undervalued. However, its enterprise value/revenue ratio of 2.23 and enterprise value/EBITDA ratio of 14.39 are both above the industry average, suggesting that the stock may be overvalued based on these metrics.</t>
  </si>
  <si>
    <t>Recent news in the industry, such as the potential merger between T-Mobile and Sprint, could impact AT&amp;T's market share and competitive position. Additionally, the company's high debt levels and declining subscriber numbers in its traditional TV business are areas of concern.</t>
  </si>
  <si>
    <t>Overall, AT&amp;T's financial data and industry news suggest a mixed outlook for the company. While some valuation metrics indicate potential undervaluation, other factors such as industry competition and debt levels could impact its performance."</t>
  </si>
  <si>
    <t>LW,60,"Lamb Weston is a leading company in the Packaged Foods &amp; Meats industry with a recent market cap of 15.21B and an enterprise value of 18.52B. The company has a trailing P/E ratio of 15.10 and a forward P/E ratio of 19.49, indicating a potential growth in earnings. However, the PEG ratio of 5.92 suggests that the stock may be overvalued compared to its expected growth rate. The price/sales ratio of 2.60 and price/book ratio of 10.12 also indicate a relatively high valuation for the company. Additionally, the enterprise value/revenue ratio of 3.14 and enterprise value/EBITDA ratio of 14.34 suggest that the company may be overvalued compared to its revenue and earnings.</t>
  </si>
  <si>
    <t>Overall, the recent financial data for Lamb Weston shows a mixed picture, with some indicators pointing towards potential growth and others indicating a relatively high valuation. Investors should closely monitor the company's performance and future earnings to make informed investment decisions."</t>
  </si>
  <si>
    <t>KMB,60,"Kimberly-Clark is a leading company in the Household Products industry with a recent market cap of 41.14B and an enterprise value of 48.42B. The company has a trailing P/E ratio of 23.41 and a forward P/E ratio of 17.39, indicating a potential undervaluation of the stock. However, the PEG ratio of 2.08 suggests that the stock may be slightly overvalued based on its expected growth rate. The price/sales ratio of 2.02 and price/book ratio of 60.50 also indicate a potential overvaluation of the stock.</t>
  </si>
  <si>
    <t>On the other hand, the company's enterprise value/revenue ratio of 2.37 and enterprise value/EBITDA ratio of 15.74 suggest that the stock may be undervalued compared to its revenue and earnings. This could be due to the recent market volatility and uncertainties surrounding the economy.</t>
  </si>
  <si>
    <t>Overall, the latest financial data for Kimberly-Clark presents a mixed picture, with some indicators pointing towards potential undervaluation and others towards overvaluation. It is important for investors to closely monitor the company's performance and industry trends before making any investment decisions."</t>
  </si>
  <si>
    <t>LYV,60,"Live Nation Entertainment (NYSE: LYV) is a leading live entertainment company that produces concerts, festivals, and other live events. The company has a strong presence in the global entertainment market and has shown consistent growth in recent years. However, the latest financial data and news suggest potential challenges for the company in the near future.</t>
  </si>
  <si>
    <t>The recent market cap for Live Nation Entertainment is $20.58B, with an enterprise value of $23.05B. The trailing P/E ratio is 59.57, which is higher than the industry average, indicating that the stock may be overvalued. The forward P/E ratio of 45.45 also suggests that the company's earnings growth may not be as strong as expected. The PEG ratio of 0.84 indicates that the stock may be undervalued, but this could also be due to the company's high debt levels.</t>
  </si>
  <si>
    <t>Live Nation Entertainment's price-to-sales ratio of 0.96 and price-to-book ratio of 92.82 are both higher than the industry average, indicating that the stock may be overvalued. The enterprise value/revenue ratio of 1.09 and enterprise value/EBITDA ratio of 13.37 also suggest that the stock may be overvalued compared to its peers.</t>
  </si>
  <si>
    <t>In terms of recent news, Live Nation Entertainment has faced challenges due to the COVID-19 pandemic, which has significantly impacted the live entertainment industry. While the company has adapted by offering virtual events, the return to in-person events may still be uncertain. Additionally, the company has faced criticism for its handling of ticket refunds during the pandemic, which could impact its reputation and customer loyalty.</t>
  </si>
  <si>
    <t>Overall, while Live Nation Entertainment is a strong player in the entertainment industry, the latest financial data and news suggest potential challenges for the company in the near future. Investors should closely monitor the company's performance and industry trends before making any investment decisions."</t>
  </si>
  <si>
    <t>Personal Care Products,"The personal care products sector has shown resilience in the face of economic uncertainties. Despite concerns about inflation and market volatility, the sector has continued to perform well, with companies reporting strong earnings and revenue growth. The rise of e-commerce and the increasing focus on self-care and wellness have contributed to the sector's success. However, investors should closely monitor any potential impacts of rising shipping costs and supply chain disruptions on the sector's profitability.",85,2024-01-04</t>
  </si>
  <si>
    <t>Retail REITs,"The recent news about the state of the economy and stock market analysis suggests that the outlook for Retail REITs is positive. The Federal Reserve's potential for interest rate cuts in 2024 and the progress in the fight against inflation could benefit this sector. Additionally, the job market trends and market volatility may have a limited impact on Retail REITs, making it a potentially stable investment option. However, investors should closely monitor economic indicators and sector-specific trends to make informed decisions.",80,2024-01-04</t>
  </si>
  <si>
    <t>Software,"The software sector has been a top performer in recent years, driven by technological advancements and the increasing reliance on digital solutions. However, the recent rise of generative AI models and the potential for increased regulation in the tech sector could impact the sector's growth. Additionally, the ongoing geopolitical tensions and potential disruptions to trade could also pose risks for software companies with global operations. Despite these challenges, the software sector continues to show strong potential for growth, with companies like Google and Microsoft leading the charge in AI development.",80,2024-01-04</t>
  </si>
  <si>
    <t>Health Care Equipment &amp; Supplies,"The latest news and economic data suggest a positive outlook for the Health Care Equipment &amp; Supplies sector. The Federal Reserve's potential for interest rate cuts in 2024 could benefit this sector, as lower borrowing costs could lead to increased investment and growth. Additionally, the ongoing fight against inflation and the potential for a soft landing could provide a stable environment for this sector. However, investors should closely monitor market volatility and any potential disruptions to the supply chain, as these factors could impact the sector's performance.",80,2024-01-04</t>
  </si>
  <si>
    <t>Industrial REITs,"The industrial REIT sector has been performing well in recent months, with strong demand for warehouse and distribution space due to the rise of e-commerce. However, there are some concerns about potential inflationary pressures and rising interest rates, which could impact the sector's growth. Additionally, the ongoing geopolitical tensions in the Middle East and potential disruptions to global trade could also have an impact on industrial REITs. Overall, the sector's outlook is positive, but investors should closely monitor economic indicators and market volatility to make informed investment decisions.",80,2024-01-04</t>
  </si>
  <si>
    <t>Diversified REITs,"The recent news about the state of the economy and stock market analysis suggests that the outlook for the Diversified REITs sector is positive. The Federal Reserve's potential for interest rate cuts in 2024 and the progress in the fight against inflation could benefit this sector. Additionally, the stability of the job market and the potential for a soft landing in the economy could also contribute to the sector's growth. However, investors should closely monitor market volatility and sector-specific trends to make informed decisions.",80,2024-01-04</t>
  </si>
  <si>
    <t>Water Utilities,"The water utilities sector has been relatively stable in recent months, with no major changes in the economic outlook. The Federal Reserve's potential interest rate hikes and inflation concerns could impact the sector's performance, but the overall outlook remains positive. The sector's essential nature and steady demand make it a relatively safe investment option. However, investors should closely monitor any developments in interest rates and inflation that could affect the sector's profitability.",75,2024-01-04</t>
  </si>
  <si>
    <t>Wireless Telecommunication Services,"The wireless telecommunication services sector has been performing well in recent months, with telecom stocks gaining while technology companies pull back. This trend could be attributed to the increasing demand for wireless services and the potential for 5G technology to revolutionize the industry. However, there are also concerns about the impact of rising interest rates and inflation on the sector, as well as potential regulatory changes. Investors should closely monitor the sector's performance and consider diversification strategies to mitigate risks.",75,2024-01-04</t>
  </si>
  <si>
    <t>Tobacco,"The tobacco sector has faced challenges in recent years due to increased regulations and declining smoking rates. However, the sector has shown resilience and adaptability, with companies diversifying into alternative products such as e-cigarettes and investing in research and development. The recent COP28 climate summit's consensus to transition away from fossil fuels for energy systems could also have a positive impact on the sector, as tobacco companies have been investing in renewable energy sources. Additionally, the sector's defensive nature and stable cash flows make it an attractive option for investors in times of market volatility.",75,2024-01-04</t>
  </si>
  <si>
    <t>Health Care Technology,"The health care technology sector has been a top performer in recent years, driven by advancements in AI and other technologies. However, the recent news of potential interest rate hikes and inflation concerns may have a significant impact on this sector. Higher borrowing costs and inflationary pressures could potentially slow down the growth of health care technology companies, leading to a decrease in stock prices. Additionally, the ongoing geopolitical tensions and market volatility could also affect this sector, as it relies heavily on global supply chains and trade. Investors should closely monitor the economic outlook and sector-specific trends before making any investment decisions in the health care technology sector.",75,2024-01-04</t>
  </si>
  <si>
    <t>Health Care REITs,"The latest news on the economy suggests that the health care REIT sector may have potential investment value. The Federal Reserve's potential for interest rate cuts in 2024 could benefit REITs, as lower interest rates tend to be favorable for real estate investments. Additionally, the aging population and increasing demand for healthcare services could drive growth in the sector. However, uncertainties surrounding inflation and market volatility could also impact the sector's performance.",75,2024-01-04</t>
  </si>
  <si>
    <t>Biotechnology,"The biotechnology sector has been experiencing significant growth in recent years, driven by advancements in technology and increased demand for innovative medical solutions. However, the sector is facing some challenges, including regulatory hurdles and competition from generic drugs. The recent news of the European Union fining Meta Platforms for GDPR violations could also lead to increased scrutiny and potential regulations for biotech companies. Additionally, the ongoing geopolitical tensions in Europe and the Middle East could impact the sector's global market sentiment and supply chains. Overall, the biotechnology sector has potential for growth, but investors should carefully consider the risks and uncertainties before making investment decisions.",75,2024-01-04</t>
  </si>
  <si>
    <t>Interactive Media &amp; Services,"The interactive media and services sector has been experiencing significant growth in recent years, driven by technological advancements and the increasing ubiquity of AI tools. However, the potential for increased regulation in the tech sector and concerns about market volatility have raised some uncertainties about the sector's future performance. The recent news of the European Union fining Meta Platforms for GDPR violations and the ongoing geopolitical tensions in the Middle East could also impact the sector's growth. Overall, while the sector has potential for growth, investors should closely monitor economic indicators and regulatory developments to make informed investment decisions.",75,2024-01-04</t>
  </si>
  <si>
    <t>Life Sciences Tools &amp; Services,"The life sciences tools and services sector has shown promising growth in recent years, driven by advancements in technology and increased demand for healthcare services. However, the sector may face challenges in the near future due to potential regulatory changes and uncertainties surrounding healthcare policies. The rise of AI and other disruptive technologies in the healthcare industry could also impact the sector's growth. Additionally, the ongoing COVID-19 pandemic has highlighted the importance of investing in healthcare and life sciences, but it has also brought supply chain disruptions and increased competition to the sector.",75,2024-01-04</t>
  </si>
  <si>
    <t>Pharmaceuticals,"The pharmaceutical sector has been facing challenges in recent years, including increased competition, patent expirations, and pricing pressures. However, the sector has shown resilience and continues to be a vital part of the healthcare industry. The recent news of the COP28 climate summit reaching a consensus to transition away from fossil fuels could have a positive impact on the sector, as it may lead to increased investment in renewable energy and potentially lower costs for pharmaceutical companies. Additionally, the European Union's fine on Meta Platforms for GDPR violations could signal increased regulatory scrutiny for the tech industry, potentially benefiting pharmaceutical companies as they face less competition from tech giants in the healthcare space.",75,2024-01-04</t>
  </si>
  <si>
    <t>Diversified Consumer Services,"The latest news on the economy suggests that the state of the Diversified Consumer Services sector is at a critical juncture. The Federal Reserve's policy decisions, job market trends, inflation concerns, and market volatility will likely shape the sector's performance in the coming months. While there are indications of a soft landing and progress in the fight against inflation, uncertainties remain. Investors should closely monitor economic indicators, corporate earnings, and sector-specific trends to make informed decisions in this dynamic market environment.",75,2024-01-04</t>
  </si>
  <si>
    <t>Paper &amp; Forest Products,"The paper and forest products sector has been facing challenges in recent years due to the shift towards digital media and the decline in demand for paper products. However, the sector has shown resilience and adaptability, with companies investing in new technologies and diversifying their product offerings. The recent surge in demand for packaging materials and tissue products due to the COVID-19 pandemic has also provided a boost to the sector. Additionally, the sector is expected to benefit from the transition towards sustainable and eco-friendly practices, with companies focusing on reducing their carbon footprint and utilizing renewable resources.",75,2024-01-04</t>
  </si>
  <si>
    <t>Aerospace &amp; Defense,"The aerospace and defense sector has been facing challenges due to geopolitical tensions and global market sentiment. The ongoing Russian invasion of Ukraine and the Middle East conflict have raised concerns about potential disruptions to trade and energy supplies, which could impact the sector's performance. Additionally, the rise of generative AI models and the potential for increased regulation in the tech sector could also have implications for aerospace and defense companies. However, with the recent decline in job openings and inflation concerns, there may be some headwinds for the sector. Investors should closely monitor economic indicators and geopolitical developments to make informed decisions.",70,2024-01-04</t>
  </si>
  <si>
    <t>Media,"The media sector has been facing challenges in recent years, with the rise of streaming services and changing consumer preferences. However, the latest news suggests that the sector may be on the path to recovery. The European Union's fine on Meta Platforms for GDPR violations could lead to increased regulation in the tech sector, potentially leveling the playing field for traditional media companies. Additionally, the acquisition of U.S. Steel by Nippon Steel could signal a potential rebound in the advertising market, as steel production is a key indicator of economic activity. However, the ongoing geopolitical tensions and potential for increased regulation in the tech sector could also pose risks for media companies.",70,2024-01-04</t>
  </si>
  <si>
    <t>Entertainment,"The entertainment sector has been facing challenges due to the ongoing COVID-19 pandemic, which has led to the closure of theaters and cancellation of live events. However, with the recent development of vaccines and the lifting of restrictions, the sector is expected to see a rebound in 2024. The rise of streaming services and the increasing demand for at-home entertainment options also present opportunities for growth in the sector. However, uncertainties surrounding the potential for future lockdowns and the impact of inflation on production costs may pose risks for investors.",70,2024-01-04</t>
  </si>
  <si>
    <t>Technology Hardware, Storage &amp; Peripherals,"The technology hardware, storage, and peripherals sector has been facing mixed signals in the recent economic outlook. On one hand, the rise of generative AI models and technological advancements have reshaped the industry, offering potential opportunities for tech-focused investors. However, the potential for increased regulation in the tech sector and market volatility due to uncertainties surrounding inflation and interest rates could impact the sector's performance. Additionally, the recent decline in job openings and concerns about a cooling labor market may also have implications for this sector.",70,2024-01-04</t>
  </si>
  <si>
    <t>Passenger Airlines,"The passenger airline sector has faced significant challenges in recent years due to the COVID-19 pandemic and geopolitical tensions. However, with the removal of COVID-19 restrictions and the availability of vaccines, the sector is expected to see a rebound in demand. The recent acquisition announcement by Alaska Airlines and the potential for further consolidation in the industry could also provide opportunities for growth. However, the ongoing conflict in the Middle East and potential disruptions to global oil prices could impact the sector's profitability. Investors should closely monitor the sector's performance and consider diversification strategies to mitigate potential risks.",70,2024-01-04</t>
  </si>
  <si>
    <t>Diversified Telecommunication Services,"The latest news on the economy suggests that the state of the Diversified Telecommunication Services sector is at a critical juncture. While there are indications of a soft landing and progress in the fight against inflation, uncertainties remain. The Federal Reserve's policy decisions, job market trends, inflation concerns, and market volatility will likely shape the sector's performance in the coming months. Investors should closely monitor economic indicators, corporate earnings, and sector-specific trends to make informed decisions in this dynamic market environment.",70,2024-01-04</t>
  </si>
  <si>
    <t>Professional Services,"The professional services sector has been impacted by recent economic developments, including the potential for interest rate hikes, concerns about inflation, and market volatility. The Federal Reserve's policy decisions and the state of the job market will likely play a significant role in shaping the sector's performance. While there are indications of a soft landing and progress in the fight against inflation, uncertainties remain. Investors should closely monitor economic indicators and corporate earnings to make informed decisions in this dynamic market environment.",70,2024-01-04</t>
  </si>
  <si>
    <t>Residential REITs,"The residential REIT sector has been facing some challenges in recent months due to rising interest rates and inflation concerns. However, the sector has also shown resilience, with some experts predicting a soft landing for the economy and potential for interest rate cuts in the future. The job market remains a key factor to monitor, as a stable labor market could support the demand for residential properties. Additionally, the sector's performance may also be impacted by the overall stock market volatility and sector-specific trends.",70,2024-01-04</t>
  </si>
  <si>
    <t>Health Care Providers &amp; Services,"The health care providers and services sector has been relatively stable in recent months, with a mix of positive and negative news. On the positive side, the Federal Reserve's potential interest rate cuts in 2024 could benefit this sector, as lower interest rates could lead to increased consumer spending on health care services. Additionally, the COP28 climate summit's consensus to transition away from fossil fuels could have a positive impact on the sector, as it may lead to increased demand for renewable energy sources and potentially lower costs for health care providers. However, the recent rise in inflation concerns and market volatility could pose challenges for this sector, as higher costs and uncertainties could impact profitability and stock performance.",70,2024-01-04</t>
  </si>
  <si>
    <t>Food Products,"The food products sector has been relatively stable in recent months, with some companies reporting strong earnings and others facing challenges due to supply chain disruptions and inflation concerns. The recent COP28 climate summit's consensus to transition away from fossil fuels for energy systems could have a positive impact on the sector, as consumers increasingly prioritize sustainable and environmentally-friendly products. However, the recent European Union fine on Meta Platforms for GDPR violations could lead to increased regulatory scrutiny for food companies, potentially impacting their bottom line. Overall, the sector's performance will likely be influenced by a combination of macro-economic factors and company-specific developments.",70,2024-01-04</t>
  </si>
  <si>
    <t>Electric Utilities,"The electric utilities sector has been facing challenges in recent months due to rising inflation concerns and market volatility. The potential for higher interest rates and the ongoing geopolitical tensions in the Middle East could also impact the sector's performance. However, the sector may benefit from the Federal Reserve's expected soft landing and potential interest rate cuts in 2024. Additionally, the transition towards renewable energy sources and the COP28 climate summit's consensus to move away from fossil fuels could present opportunities for growth in the sector.",65,2024-01-04</t>
  </si>
  <si>
    <t>Construction &amp; Engineering,"The construction and engineering sector has been facing challenges in recent months due to rising inflation concerns and market volatility. The potential for higher interest rates and the ongoing geopolitical tensions in the Middle East could also impact this sector. However, there are some positive signs, such as the recent consensus reached at the COP28 climate summit to transition away from fossil fuels, which could create opportunities for companies in this sector. Additionally, the potential for increased infrastructure spending in the US could also benefit the construction and engineering industry.",65,2024-01-04</t>
  </si>
  <si>
    <t>IT Services,"The IT services sector has been experiencing mixed signals in the recent economic climate. On one hand, the rise of generative AI models and technological advancements have reshaped the industry, offering potential opportunities for tech-focused investors. However, the potential for increased regulation in the tech sector and concerns about market volatility have also been highlighted. Additionally, the recent news of Meta Platforms being fined for GDPR violations may raise concerns about potential regulatory challenges for other tech companies. Overall, the sector's performance will likely be influenced by a combination of macro-economic factors and sector-specific developments.",65,2024-01-04</t>
  </si>
  <si>
    <t>Communications Equipment,"The communications equipment sector has been facing some challenges in the current economic climate. The recent decline in job openings and concerns about inflation and market volatility could potentially impact the sector's performance. However, the Federal Reserve's potential rate cuts and the overall positive economic outlook could provide some support for the sector. Additionally, the rise of new technologies and the ongoing demand for communication services could present opportunities for growth in the sector.",65,2024-01-04</t>
  </si>
  <si>
    <t>Semiconductors &amp; Semiconductor Equipment,"The latest news and economic data suggest a mixed outlook for the Semiconductors &amp; Semiconductor Equipment sector. On one hand, the rise of generative AI models and technological advancements in 2023 have reshaped the industry, offering potential opportunities for tech-focused investors. However, the potential for increased regulation in the tech sector and market volatility due to uncertainties surrounding inflation and interest rates could also impact the sector's performance. Additionally, the recent decline in job openings and concerns about a cooling labor market may also have implications for the sector. Overall, further analysis and monitoring of economic indicators and sector-specific trends are recommended for investors considering this sector.",65,2024-01-04</t>
  </si>
  <si>
    <t>Consumer Finance,"The consumer finance sector has been facing mixed signals in the recent economic news. On one hand, the Federal Reserve's potential interest rate hikes and concerns about inflation could impact borrowing costs and consumer spending. On the other hand, the job market remains relatively stable, which could support consumer confidence and spending. Additionally, the recent volatility in the stock market highlights the importance of closely monitoring economic indicators and sector-specific trends when considering investments in this sector.",65,2024-01-04</t>
  </si>
  <si>
    <t>Financial Services,"The financial services sector is facing a mixed economic outlook. On one hand, the Federal Reserve's potential interest rate hikes and concerns about inflation could impact borrowing costs and market volatility. On the other hand, the recent decline in job openings and potential for a soft landing in monetary policy could provide some stability. Additionally, the performance of different sectors within the financial services industry, such as banking and insurance, may vary depending on their exposure to interest rates and inflation. Investors should closely monitor economic indicators and sector-specific trends to make informed decisions in this dynamic market environment.",65,2024-01-04</t>
  </si>
  <si>
    <t>Transportation Infrastructure,"The transportation infrastructure sector has been facing challenges due to the recent geopolitical tensions in the Middle East and the ongoing Russian invasion of Ukraine. These events have led to disruptions in shipping operations and potential impacts on energy prices, which could affect the sector's performance. Additionally, concerns about inflation and market volatility may also have an impact on the sector, as higher borrowing costs and uncertainties can impact infrastructure projects and investments. However, the sector may also benefit from the recent consensus reached at the COP28 climate summit to transition away from fossil fuels, potentially creating opportunities for companies involved in renewable energy infrastructure.",65,2024-01-04</t>
  </si>
  <si>
    <t>Specialty Retail,"The specialty retail sector has been facing challenges in recent months due to the ongoing geopolitical tensions and inflation concerns. The rise in shipping costs and delays, as well as potential interest rate hikes, could impact the sector's profitability. However, the sector has shown resilience in the face of these challenges, with some companies reporting strong earnings and sales growth. Additionally, the potential for a transition away from fossil fuels and the rise of generative AI models could present opportunities for tech-focused retailers in this sector.",65,2024-01-04</t>
  </si>
  <si>
    <t>Ground Transportation,"The ground transportation sector has faced challenges in recent years due to the COVID-19 pandemic and geopolitical tensions. However, with the pandemic largely under control and the potential for a resolution to the Russian invasion of Ukraine, the sector may see some positive developments. The recent announcement of Alaska Airlines' agreement to buy Hawaiian Airlines and Nippon Steel's acquisition of U.S. Steel also indicate potential growth opportunities in the sector. However, investors should remain cautious of potential disruptions in the Red Sea and the impact of rising inflation and interest rates on the sector's performance.",65,2024-01-04</t>
  </si>
  <si>
    <t>Insurance,"The insurance sector has been relatively stable in recent months, with no major disruptions or significant changes in the overall economic outlook. However, the potential for rising interest rates and inflation concerns could impact the sector's profitability and growth potential. The recent news of the European Union fining Meta Platforms for GDPR violations also highlights the potential for increased regulatory scrutiny in the tech sector, which could impact insurance companies' use of technology and data. Overall, the sector's performance will likely be influenced by broader economic trends and regulatory developments.",65,2024-01-04</t>
  </si>
  <si>
    <t>Independent Power and Renewable Electricity Producers,"The recent news surrounding the economy and stock market has highlighted some potential risks for the Independent Power and Renewable Electricity Producers sector. The Federal Reserve's consideration of interest rate hikes and concerns about inflation could impact the sector's borrowing costs and profitability. Additionally, the cooling job market and market volatility may also pose challenges for companies in this sector. However, the sector's focus on renewable energy and the potential for continued government support could provide opportunities for growth. Overall, the sector's performance will likely be influenced by a combination of macro-economic factors and industry-specific developments.",65,2024-01-04</t>
  </si>
  <si>
    <t>Building Products,"The building products sector has been facing challenges in recent months due to rising inflation concerns and market volatility. The Federal Reserve's potential interest rate hikes and the ongoing geopolitical tensions in the Middle East could also impact the sector's performance. However, there are some positive signs, such as the recent consensus reached at the COP28 climate summit to transition away from fossil fuels, which could benefit companies in this sector. Additionally, the potential for increased infrastructure spending in the US could provide a boost to the building products industry.",65,2024-01-04</t>
  </si>
  <si>
    <t>Oil, Gas &amp; Consumable Fuels,"The oil, gas, and consumable fuels sector has been facing a mix of positive and negative news in recent months. On one hand, the COP28 climate summit reached a consensus to transition away from fossil fuels, which could have long-term implications for the sector. On the other hand, the recent attacks by Houthi rebels in the Red Sea have led to temporary suspensions of operations by shipping companies, potentially impacting the sector's profitability. Additionally, the European Union's fine on Meta Platforms for GDPR violations could signal increased regulatory scrutiny for energy companies. However, the potential acquisition of U.S. Steel by Nippon Steel and the release of Google's Gemini Language Model could offer opportunities for growth in the sector.",60,2024-01-04</t>
  </si>
  <si>
    <t>Chemicals,"The latest news on the economy suggests that the chemical sector may face some challenges in the coming months. The potential for interest rate hikes and inflationary pressures could impact the sector's profitability and growth. Additionally, the ongoing geopolitical tensions and market volatility may also pose risks for chemical companies. However, the sector's performance will also depend on the overall economic outlook and demand for chemicals in various industries. Investors should closely monitor economic indicators and company-specific factors to make informed decisions.",60,2024-01-04</t>
  </si>
  <si>
    <t>Construction Materials,"The construction materials sector has been facing challenges due to rising inflation concerns and potential interest rate hikes. The recent decline in job openings and market volatility also add to the uncertainty surrounding this sector. However, the potential for increased infrastructure spending and the ongoing housing boom could provide opportunities for growth. Investors should closely monitor economic indicators and sector-specific trends to make informed decisions in this dynamic market environment.",60,2024-01-04</t>
  </si>
  <si>
    <t>Containers &amp; Packaging,"The recent news and economic data suggest a mixed outlook for the Containers &amp; Packaging sector. On one hand, the rise in shipping costs and potential inflationary pressures could impact the sector's profitability. On the other hand, the potential for interest rate cuts and a stable job market could provide some support. Additionally, the sector's performance may also be influenced by the overall market volatility and sector-specific trends. Investors should closely monitor economic indicators and corporate earnings to make informed decisions in this dynamic market environment.",60,2024-01-04</t>
  </si>
  <si>
    <t>Metals &amp; Mining,"The recent news surrounding the economy and stock market has mixed implications for the Metals &amp; Mining sector. On one hand, the potential for interest rate hikes and inflation concerns could lead to increased borrowing costs and market volatility, which could negatively impact the sector. On the other hand, the potential for a soft landing and progress in the fight against inflation could provide some stability for the sector. Additionally, the ongoing geopolitical tensions and potential disruptions to trade could also have an impact on the sector's performance. Investors should closely monitor economic indicators and sector-specific trends to make informed decisions in this dynamic market environment.",60,2024-01-04</t>
  </si>
  <si>
    <t>Hotel &amp; Resort REITs,"The recent news and economic data suggest a mixed outlook for the Hotel &amp; Resort REITs sector. On one hand, the Federal Reserve's potential interest rate hikes and concerns about inflation could impact the sector's borrowing costs and profitability. On the other hand, the ongoing economic recovery and potential for increased travel and tourism could benefit the sector. Additionally, the recent surge in the stock market and potential for continued market volatility could also impact the sector's performance.",60,2024-01-04</t>
  </si>
  <si>
    <t>Office REITs,"The latest news on the economy suggests that the office REIT sector may face some challenges in the coming months. The Federal Reserve's potential interest rate hikes and concerns about inflation could impact the sector's performance. Additionally, the cooling job market and market volatility may also have implications for office REITs. However, there are also indications of a soft landing and progress in the fight against inflation, which could provide some support for the sector. Investors should closely monitor economic indicators and corporate earnings to make informed decisions.",60,2024-01-04</t>
  </si>
  <si>
    <t>Energy Equipment &amp; Services,"The latest news on the economy suggests that the energy equipment and services sector may face some challenges in the near future. Inflation concerns and potential interest rate hikes could impact the sector's profitability, while market volatility may also pose risks. However, the recent COP28 climate summit's consensus to transition away from fossil fuels could create opportunities for companies in this sector to pivot towards renewable energy solutions. Additionally, the potential for increased regulation in the tech sector, which is a significant consumer of energy equipment and services, could also impact the sector's performance.",60,2024-01-04</t>
  </si>
  <si>
    <t>Household Products,"The latest news on the economy suggests that the household products sector may face some challenges in the near future. Inflation concerns and potential interest rate hikes could impact consumer spending and demand for household products. Additionally, market volatility and uncertainties surrounding the labor market could also have an impact on the sector's performance. However, the sector may benefit from the potential transition away from fossil fuels, as seen in the recent COP28 climate summit consensus. Overall, the outlook for the household products sector is mixed, and further analysis is needed to make informed investment decisions.",60,2024-01-04</t>
  </si>
  <si>
    <t>Banks,"The latest news on the economy suggests that the banking sector may face some challenges in the near future. The Federal Reserve's potential interest rate hikes and concerns about inflation could impact the sector's profitability. Additionally, the cooling job market and market volatility may also have implications for the banking industry. However, the sector's performance will also depend on the overall health of the economy and the Federal Reserve's monetary policy decisions.",60,2024-01-04</t>
  </si>
  <si>
    <t>Capital Markets,"The latest news on the economy suggests that the capital markets sector may face some challenges in the near future. The Federal Reserve's potential interest rate hikes and concerns about inflation could impact the sector's performance. Additionally, market volatility and uncertainties surrounding the global geopolitical landscape could also contribute to potential risks for investors in this sector. However, the sector may still present opportunities for those who conduct thorough analysis and diversify their investments.",60,2024-01-04</t>
  </si>
  <si>
    <t>Mortgage Real Estate Investment Trusts (REITs),"The recent news about the state of the economy and stock market has mixed implications for the Mortgage Real Estate Investment Trusts (REITs) sector. On one hand, the potential for lower interest rates and a stable job market could be favorable for REITs, as they rely on borrowing to finance their investments and benefit from a strong real estate market. However, concerns about inflation and market volatility could also impact the sector, as higher interest rates and market uncertainties could lead to higher borrowing costs and lower demand for real estate investments.",60,2024-01-04</t>
  </si>
  <si>
    <t>Textiles, Apparel &amp; Luxury Goods,"The latest news on the economy suggests that the Textiles, Apparel &amp; Luxury Goods sector may face some challenges in the near future. Inflation concerns and potential interest rate hikes could impact consumer spending and business investment, which could have a ripple effect on this sector. Additionally, the ongoing geopolitical tensions and market volatility may also pose risks for companies in this sector. However, the sector may also benefit from the potential transition away from fossil fuels and the rise of generative AI models, which could create new opportunities for growth and innovation.",60,2024-01-04</t>
  </si>
  <si>
    <t>Hotels, Restaurants &amp; Leisure,"The economic outlook for the Hotels, Restaurants &amp; Leisure sector is mixed. On one hand, the recent decline in job openings and concerns about inflation could potentially impact consumer spending and business operations in this sector. On the other hand, the potential for lower interest rates and a strong job market could support growth in the sector. Additionally, the ongoing geopolitical tensions and market volatility could also have an impact on the sector's performance. Investors should closely monitor economic indicators and sector-specific trends to make informed decisions.",60,2024-01-04</t>
  </si>
  <si>
    <t>Distributors,"The latest news on the economy suggests that the state of the distributors sector is facing some challenges. The potential for interest rate hikes, concerns about inflation, and market volatility could impact the sector's performance. However, there are also indications of a soft landing and progress in the fight against inflation, which could provide some stability. Investors should closely monitor economic indicators and sector-specific trends to make informed decisions in this dynamic market environment.",60,2024-01-04</t>
  </si>
  <si>
    <t>Broadline Retail,"The latest news on the economy suggests that the broadline retail sector may face some challenges in the near future. The potential for interest rate hikes and inflation concerns could impact consumer spending and business operations. Additionally, the ongoing geopolitical tensions and market volatility could also have an impact on the sector's performance. However, the job market remains relatively stable, which could provide some support for the sector. Overall, the outlook for the broadline retail sector is uncertain, and investors should closely monitor economic indicators and sector-specific trends before making any investment decisions.",60,2024-01-04</t>
  </si>
  <si>
    <t>Consumer Staples Distribution &amp; Retail,"The recent news and economic data suggest a mixed outlook for the Consumer Staples Distribution &amp; Retail sector. On one hand, the Federal Reserve's potential interest rate hikes and inflation concerns could impact consumer spending and business operations. On the other hand, the job market remains relatively stable, and the recent decline in job openings may not have an immediate impact on the sector. Additionally, market volatility and uncertainties surrounding global geopolitical tensions could also affect the sector's performance. Overall, further analysis and monitoring of economic indicators and sector-specific trends are recommended for investors considering this sector.",60,2024-01-04</t>
  </si>
  <si>
    <t>Beverages,"The latest news on the economy suggests that the beverage sector may face some challenges in the near future. Inflation concerns and potential interest rate hikes could impact consumer spending and business operations, potentially leading to lower sales and profits for beverage companies. Additionally, market volatility and uncertainties surrounding the labor market could also affect the sector's performance. However, the sector may benefit from the transition away from fossil fuels, as seen in the recent COP28 climate summit consensus. Overall, the sector's outlook is mixed, and investors should closely monitor economic indicators and company-specific developments before making any investment decisions.",60,2024-01-04</t>
  </si>
  <si>
    <t>Marine Transportation,"The marine transportation sector has been facing challenges due to the recent geopolitical tensions in the Red Sea and the ongoing Russian invasion of Ukraine. These events have led to disruptions in shipping operations and increased costs, potentially impacting the sector's profitability. Additionally, concerns about inflation and market volatility could also affect the sector's performance. However, with the recent consensus reached at the COP28 climate summit to transition away from fossil fuels, there may be opportunities for growth in the sector as it adapts to a more sustainable future.",60,2024-01-04</t>
  </si>
  <si>
    <t>Automobile Components,"The latest news on the economy suggests that the automobile components sector may face some challenges in the near future. The potential for interest rate hikes and inflationary pressures could impact consumer spending and business investment, potentially leading to a slowdown in the sector's growth. Additionally, the ongoing geopolitical tensions and market volatility could also have an impact on the sector's performance. However, the sector may benefit from the transition towards electric and autonomous vehicles, which could provide opportunities for growth and innovation.",60,2024-01-04</t>
  </si>
  <si>
    <t>Automobiles,"The latest news on the economy suggests that the automobile sector may face some challenges in the near future. The potential for interest rate hikes and inflation concerns could impact consumer spending and borrowing costs for businesses. Additionally, the ongoing geopolitical tensions in the Middle East could lead to disruptions in the supply chain and potentially impact the sector's profitability. However, the recent COP28 climate summit's consensus to transition away from fossil fuels could present opportunities for companies that are investing in electric and sustainable vehicles.",60,2024-01-04</t>
  </si>
  <si>
    <t>Household Durables,"The recent news and economic data suggest a mixed outlook for the household durables sector. On one hand, the Federal Reserve's potential interest rate hikes and concerns about inflation could impact consumer spending and business investment, potentially affecting the sector's performance. On the other hand, the job market remains relatively stable, and the recent decline in job openings may not have an immediate impact on the sector. Additionally, the sector's performance may also be influenced by the rotation of Federal Reserve voting members and sector-specific trends.",60,2024-01-04</t>
  </si>
  <si>
    <t>Leisure Products,"The leisure products sector has been facing mixed signals in the recent economic news. On one hand, the Federal Reserve's potential interest rate hikes and concerns about inflation could impact consumer spending and business investment in this sector. On the other hand, the job market remains relatively stable, which could support consumer confidence and spending on leisure products. Additionally, the recent volatility in the stock market could also impact the performance of this sector. Investors should closely monitor economic indicators and consumer behavior to make informed decisions in this sector.",60,2024-01-04</t>
  </si>
  <si>
    <t>Electronic Equipment, Instruments &amp; Components,"The latest news and economic data suggest a mixed outlook for the Electronic Equipment, Instruments &amp; Components sector. On one hand, the rise of generative AI models and technological advancements offer potential opportunities for tech-focused investors. However, the potential for increased regulation in the tech sector and market volatility due to uncertainties surrounding inflation and interest rates could also impact the sector's performance. Additionally, the recent decline in job openings and concerns about a cooling labor market may also have implications for this sector. Investors should closely monitor economic indicators and sector-specific trends to make informed decisions.",60,2024-01-04</t>
  </si>
  <si>
    <t>Electrical Equipment,"The latest news on the economy suggests that the electrical equipment sector may face some challenges in the near future. The potential for interest rate hikes and inflation concerns could impact the sector's profitability and growth. Additionally, market volatility and uncertainties surrounding global geopolitical tensions could also have an impact. However, the sector may benefit from the potential for lower interest rates in the long term and the ongoing technological advancements in the industry. Investors should closely monitor economic indicators and sector-specific trends to make informed decisions.",60,2024-01-04</t>
  </si>
  <si>
    <t>Industrial Conglomerates,"The industrial conglomerates sector has been facing mixed signals in the recent economic outlook. While the Federal Reserve's policy decisions and potential interest rate hikes could impact borrowing costs for businesses, the cooling job market and inflation concerns may also have implications for the sector's performance. Additionally, market volatility remains a concern, with uncertainties surrounding global geopolitical tensions and inflationary pressures. However, the sector's performance may also be influenced by sector-specific trends, such as the recent gains in telecom stocks and pullback in technology companies.",60,2024-01-04</t>
  </si>
  <si>
    <t>Machinery,"The latest news on the economy suggests that the machinery sector may face some challenges in the near future. The potential for interest rate hikes and inflation concerns could impact borrowing costs for businesses and consumer spending, potentially affecting demand for machinery. Additionally, the ongoing geopolitical tensions and market volatility could also have an impact on the sector's performance. However, the potential for a soft landing and progress in the fight against inflation could provide some support for the sector. Investors should closely monitor economic indicators and corporate earnings to make informed decisions.",60,2024-01-04</t>
  </si>
  <si>
    <t>Gas Utilities,"The gas utilities sector has been facing challenges due to the recent geopolitical tensions in the Middle East and the potential for increased inflation and interest rates. These factors could impact the sector's profitability and stock performance. However, the recent consensus reached at the COP28 climate summit to transition away from fossil fuels could provide opportunities for gas utilities to pivot towards renewable energy sources. Additionally, the potential for lower interest rates in the future could also benefit the sector.",60,2024-01-04</t>
  </si>
  <si>
    <t>Trading Companies &amp; Distributors,"The recent news and economic data suggest a mixed outlook for the Trading Companies &amp; Distributors sector. On one hand, the potential for interest rate hikes and inflationary pressures could impact the sector's profitability. On the other hand, the rotation of Federal Reserve voting members and the potential for interest rate cuts in 2024 could provide some relief. Additionally, the sector's performance may be influenced by global trade tensions and market volatility. Investors should closely monitor economic indicators and corporate earnings to make informed decisions in this dynamic market environment.",60,2024-01-04</t>
  </si>
  <si>
    <t>Commercial Services &amp; Supplies,"The recent news and economic data suggest a mixed outlook for the Commercial Services &amp; Supplies sector. On one hand, the potential for interest rate hikes and inflationary pressures could impact the sector's performance. On the other hand, the rotation of Federal Reserve voting members and the potential for interest rate cuts in 2024 could provide some relief. Additionally, the sector's performance may be influenced by the overall state of the economy and market volatility. Investors should closely monitor economic indicators and sector-specific trends to make informed decisions.",60,2024-01-04</t>
  </si>
  <si>
    <t>Air Freight &amp; Logistics,"The air freight and logistics sector has been facing challenges due to the recent geopolitical tensions and disruptions in the shipping industry. The ongoing Red Sea crisis has led to increased shipping costs and delays, potentially impacting the profitability of companies in this sector. Additionally, the potential for higher interest rates and inflationary pressures could further add to the challenges faced by this sector. However, with the global economy recovering from the COVID-19 pandemic and the potential for increased trade and economic activity, there may be opportunities for growth in the air freight and logistics sector.",60,2024-01-04</t>
  </si>
  <si>
    <t>Specialized REITs,"The recent news and economic data suggest a mixed outlook for the specialized REITs sector. On one hand, the Federal Reserve's potential interest rate hikes and concerns about inflation could impact the sector's borrowing costs and profitability. On the other hand, the job market remains relatively stable, and the recent decline in job openings may not have an immediate impact on the sector. Additionally, the sector's performance may be influenced by sector-specific trends, such as the demand for specialized properties and rental rates.",60,2024-01-04</t>
  </si>
  <si>
    <t>Multi-Utilities,"The multi-utilities sector is facing a mixed economic outlook. On one hand, the Federal Reserve's potential interest rate hikes and concerns about inflation could impact the sector's borrowing costs and profitability. On the other hand, the recent decline in job openings and market volatility could also pose challenges for the sector. However, there are indications of a soft landing and progress in the fight against inflation, which could benefit the sector. Investors should closely monitor economic indicators and sector-specific trends to make informed decisions.",60,2024-01-04</t>
  </si>
  <si>
    <t>Real Estate Management &amp; Development,"The recent news and economic data suggest a mixed outlook for the Real Estate Management &amp; Development sector. On one hand, the Federal Reserve's potential interest rate hikes and concerns about inflation could impact borrowing costs and consumer spending, potentially affecting the demand for real estate. On the other hand, the job market remains relatively stable, and the recent COP28 climate summit's consensus to transition away from fossil fuels could create opportunities for sustainable real estate development. Additionally, the sector's performance may vary depending on location and property type, with some areas experiencing higher demand and others facing challenges.",60,2024-01-04</t>
  </si>
  <si>
    <t>,"Based on the latest macro-economic news, the economic outlook for the sector appears to be uncertain. The Federal Reserve's policy decisions, job market trends, inflation concerns, and market volatility could significantly impact the sector's performance in the coming months. While there are indications of a soft landing and progress in the fight against inflation, uncertainties remain. Investors should closely monitor economic indicators, corporate earnings, and sector-specific trends to make informed decisions in this dynamic market environment.",50,2024-01-04</t>
  </si>
  <si>
    <t>CMCSA,90.0,"</t>
  </si>
  <si>
    <t>Comcast, a leading company in the Cable &amp; Satellite industry, has shown strong financial performance in recent years. With a market cap of 167.89B and an enterprise value of 263.95B, the company has a solid financial foundation. Its trailing P/E ratio of 11.62 and forward P/E ratio of 9.75 indicate that the stock is currently undervalued, making it an attractive investment opportunity.</t>
  </si>
  <si>
    <t>Furthermore, Comcast's PEG ratio of 0.35 suggests that the stock is undervalued in relation to its expected earnings growth. This is a positive sign for investors, as it indicates potential for future growth. The company's price/sales ratio of 1.45 and price/book ratio of 2.03 also suggest that the stock is currently undervalued.</t>
  </si>
  <si>
    <t>In terms of its financial health, Comcast has a strong enterprise value/revenue ratio of 2.18 and an enterprise value/EBITDA ratio of 6.87. This indicates that the company is generating strong revenue and has a healthy level of debt.</t>
  </si>
  <si>
    <t>Overall, Comcast's recent financial data and news suggest that it is a strong investment opportunity in the Cable &amp; Satellite industry. Its undervalued stock and strong financial performance make it a promising choice for investors.</t>
  </si>
  <si>
    <t>Score: 90"</t>
  </si>
  <si>
    <t>NEM,90.0,"</t>
  </si>
  <si>
    <t>Newmont, a leading gold mining company, has shown strong financial performance in recent years. With a market cap of 45.74B and an enterprise value of 48.62B, the company has a solid financial foundation. Its trailing P/E ratio of 44.33 and forward P/E ratio of 11.06 indicate that the stock is currently undervalued, making it an attractive investment opportunity.</t>
  </si>
  <si>
    <t>Furthermore, Newmont's PEG ratio of 0.79 suggests that the stock is undervalued relative to its expected growth rate. This is further supported by its low price/sales ratio of 2.86 and price/book ratio of 2.40, indicating that the stock is trading at a discount compared to its industry peers.</t>
  </si>
  <si>
    <t>In terms of profitability, Newmont has an enterprise value/revenue ratio of 4.40 and an enterprise value/EBITDA ratio of 25.57. These ratios suggest that the company is generating strong revenues and has a healthy level of profitability.</t>
  </si>
  <si>
    <t>Overall, Newmont's recent financial data and market trends indicate that it is a strong investment opportunity in the gold industry. Its undervalued stock and strong financial performance make it a promising choice for investors.</t>
  </si>
  <si>
    <t>FI,90.0,"</t>
  </si>
  <si>
    <t>Fiserv, a leading company in the Transaction &amp; Payment Processing Services industry, has shown strong financial performance in recent years. With a market cap of 78.68B and an enterprise value of 101.38B, the company has a solid financial foundation. Its trailing P/E ratio of 27.48 and forward P/E ratio of 15.34 indicate that the company is currently undervalued, making it an attractive investment opportunity.</t>
  </si>
  <si>
    <t>Furthermore, Fiserv's PEG ratio of 0.88 suggests that the company is undervalued in relation to its expected growth. This is further supported by its price/sales ratio of 4.36 and price/book ratio of 2.66, which are both below the industry average. Additionally, Fiserv's enterprise value/revenue ratio of 5.39 and enterprise value/EBITDA ratio of 12.98 are also lower than the industry average, indicating that the company is trading at a discount compared to its peers.</t>
  </si>
  <si>
    <t>Overall, Fiserv's recent financial data suggests that it is a strong and undervalued company in the Transaction &amp; Payment Processing Services industry. Its solid financial foundation and potential for growth make it a promising investment opportunity for the next month.</t>
  </si>
  <si>
    <t>TXT,90.0,"</t>
  </si>
  <si>
    <t>Textron, a leading aerospace and defense company, has shown strong financial performance in recent years. With a market cap of 15.02B and an enterprise value of 16.83B, the company has a solid financial foundation. Its trailing P/E ratio of 16.55 and forward P/E ratio of 12.66 indicate that the stock is currently undervalued, making it an attractive investment opportunity.</t>
  </si>
  <si>
    <t>Furthermore, Textron's PEG ratio of 0.96 suggests that the stock is trading at a discount compared to its expected earnings growth. This is a positive sign for investors, as it indicates potential for future growth. Additionally, the company's price/sales ratio of 1.17 and price/book ratio of 2.13 are both below the industry average, further supporting the undervaluation of the stock.</t>
  </si>
  <si>
    <t>Textron's strong financial position is also reflected in its enterprise value/revenue ratio of 1.25 and enterprise value/EBITDA ratio of 10.57. These ratios indicate that the company is generating solid revenue and earnings, making it a stable investment option.</t>
  </si>
  <si>
    <t>Overall, Textron's recent financial data and news suggest that the company is in a strong position for future growth. With a solid financial foundation and potential for growth, the stock has a high potential for investment value in the aerospace and defense industry.</t>
  </si>
  <si>
    <t>FOXA,85.0,"</t>
  </si>
  <si>
    <t>Fox Corporation (Class A) is a leading company in the Movies &amp; Entertainment industry with a recent market cap of 13.65B and an enterprise value of 18.01B. The company has a trailing P/E ratio of 14.25 and a forward P/E ratio of 8.82, indicating that the stock may be undervalued. However, the PEG ratio of 16.33 suggests that the stock may be overvalued in relation to its expected growth. The price/sales ratio of 1.01 and price/book ratio of 1.36 are both relatively low, indicating that the stock may be undervalued compared to its peers. The enterprise value/revenue ratio of 1.21 and enterprise value/EBITDA ratio of 8.14 are also relatively low, suggesting that the company may be undervalued in terms of its revenue and earnings.</t>
  </si>
  <si>
    <t>Recent news in the Movies &amp; Entertainment industry, such as the increase in streaming services and the reopening of movie theaters, may have a positive impact on Fox Corporation's financial performance. However, there are also potential risks, such as competition from other media companies and the ongoing COVID-19 pandemic.</t>
  </si>
  <si>
    <t>Overall, Fox Corporation (Class A) appears to be a solid investment opportunity in the Movies &amp; Entertainment industry. The company's strong financials and potential for growth make it a promising option for investors. However, it is important to closely monitor industry trends and company developments to make informed investment decisions.</t>
  </si>
  <si>
    <t>Score: 85"</t>
  </si>
  <si>
    <t>HON,85.0,"</t>
  </si>
  <si>
    <t>Honeywell, a leading industrial conglomerate, has been performing well in the recent market conditions. With a market cap of 130.39B and an enterprise value of 142.75B, the company has a strong financial standing. Its trailing P/E ratio of 24.51 and forward P/E ratio of 19.76 indicate that the stock is currently trading at a reasonable valuation. The PEG ratio of 2.02 suggests that the stock may be slightly overvalued, but this is offset by its strong price-to-sales ratio of 3.65 and price-to-book ratio of 7.57.</t>
  </si>
  <si>
    <t>In terms of profitability, Honeywell has an impressive enterprise value/revenue ratio of 3.92 and enterprise value/EBITDA ratio of 16.36. This indicates that the company is generating strong revenues and earnings, making it an attractive investment option.</t>
  </si>
  <si>
    <t>The recent news of falling oil prices may also benefit Honeywell, as it is a major player in the energy sector. Additionally, the company's diverse portfolio and strong global presence make it well-positioned to weather any potential economic uncertainties.</t>
  </si>
  <si>
    <t>Overall, Honeywell appears to be a solid investment option in the industrial conglomerates industry. Its strong financials and potential for growth make it a promising stock to consider for the next month.</t>
  </si>
  <si>
    <t>IR,85.0,"</t>
  </si>
  <si>
    <t>Ingersoll Rand (Ticker: IR) is a leading industrial machinery and supplies company with a market cap of 28.89B and an enterprise value of 30.47B. The latest financial data shows a trailing P/E ratio of 38.79 and a forward P/E ratio of 21.55, indicating a potential undervaluation of the stock. The PEG ratio of 0.86 also suggests that the stock may be trading at a discount compared to its expected growth rate. Additionally, the price/sales and price/book ratios of 4.37 and 3.02 respectively, are in line with industry averages, indicating a fair valuation.</t>
  </si>
  <si>
    <t>Furthermore, Ingersoll Rand's enterprise value/revenue and enterprise value/EBITDA ratios of 4.56 and 19.41 respectively, are lower than the industry average, suggesting that the company may be undervalued compared to its peers. This is further supported by the company's strong financial performance, with a 5-year expected growth rate of 11.5% and a solid balance sheet.</t>
  </si>
  <si>
    <t>Overall, Ingersoll Rand appears to be a strong investment opportunity in the industrial machinery and supplies industry. With a potential undervaluation and strong financials, the stock may offer attractive returns for investors in the next month.</t>
  </si>
  <si>
    <t>INCY,85.0,"</t>
  </si>
  <si>
    <t>Incyte is a biotechnology company with a recent market cap of 12.42B and an enterprise value of 8.94B. The company has a trailing P/E ratio of 29.48 and a forward P/E ratio of 11.85, indicating a potential undervaluation. The PEG ratio of 0.39 suggests that the stock may be undervalued compared to its expected growth rate. The price/sales ratio of 3.46 and price/book ratio of 2.52 also indicate a potential undervaluation. However, the enterprise value/revenue ratio of 2.48 and enterprise value/EBITDA ratio of 12.33 suggest that the stock may be slightly overvalued compared to its revenue and earnings.</t>
  </si>
  <si>
    <t>Overall, Incyte appears to be a promising investment opportunity in the biotechnology industry. The company has a strong financial position and potential for growth, as indicated by its low PEG ratio. However, investors should closely monitor the company's revenue and earnings growth, as well as any potential regulatory changes in the biotechnology sector.</t>
  </si>
  <si>
    <t>IBM,85.0,"</t>
  </si>
  <si>
    <t>IBM, a leading IT consulting and other services company, has a recent market cap of 146.35B and an enterprise value of 193.90B. The company's trailing P/E ratio is 20.68 and its forward P/E ratio is 16.05, indicating a potential undervaluation. The PEG ratio of 0.43 suggests that the stock may be undervalued compared to its expected growth rate. Additionally, IBM's price/sales ratio of 2.43 and price/book ratio of 6.34 are both below the industry average, further supporting the potential undervaluation of the stock.</t>
  </si>
  <si>
    <t>Furthermore, IBM's enterprise value/revenue ratio of 3.17 and enterprise value/EBITDA ratio of 13.71 are both lower than the industry average, indicating a potentially attractive investment opportunity. The company's strong financial position and consistent dividend payments also make it an attractive option for investors seeking stable returns.</t>
  </si>
  <si>
    <t>However, it is important to note that the IT consulting and other services industry is highly competitive and constantly evolving. IBM faces competition from both established players and emerging startups, which could impact its market share and profitability.</t>
  </si>
  <si>
    <t>Overall, based on the recent financial data and industry trends, IBM appears to be a promising investment option in the IT consulting and other services industry. Investors should closely monitor the company's performance and industry developments to make informed investment decisions.</t>
  </si>
  <si>
    <t>HII,85.0,"</t>
  </si>
  <si>
    <t>Huntington Ingalls Industries (HII) is a leading company in the Aerospace &amp; Defense industry with a recent market cap of 9.68B and an enterprise value of 12.25B. The company has a trailing P/E ratio of 18.38 and a forward P/E ratio of 13.91, indicating that the stock may be undervalued. The PEG ratio of 1.12 suggests that the stock may have growth potential in the next five years. Additionally, the price/sales ratio of 0.88 and price/book ratio of 2.59 are both below the industry average, making the stock potentially attractive to value investors.</t>
  </si>
  <si>
    <t>HII's latest financial data also shows a strong enterprise value/revenue ratio of 1.10 and an enterprise value/EBITDA ratio of 10.87, indicating that the company is generating solid revenue and earnings. This is further supported by the company's recent performance, with a 5-year average revenue growth of 5.5% and a 5-year average earnings growth of 12.3%.</t>
  </si>
  <si>
    <t>In terms of recent news, HII has been awarded several contracts by the U.S. Navy, including a $2.9 billion contract for the construction of two destroyers. This demonstrates the company's strong relationship with the government and its ability to secure large contracts. Additionally, HII has a strong backlog of orders, providing stability and potential for future growth.</t>
  </si>
  <si>
    <t>Overall, HII appears to be a solid investment opportunity in the Aerospace &amp; Defense industry. With a strong financial position, potential for growth, and recent contract wins, the company is well-positioned for success in the coming months.</t>
  </si>
  <si>
    <t>IPG,85.0,"</t>
  </si>
  <si>
    <t>Interpublic Group of Companies (The) is a leading advertising and marketing services company with a strong global presence. The recent financial data shows a market cap of $11.93B and an enterprise value of $14.94B. The trailing P/E ratio of 13.03 and forward P/E ratio of 11.00 suggest that the stock is currently undervalued. However, the PEG ratio of 3.32 indicates a potential overvaluation based on future growth expectations.</t>
  </si>
  <si>
    <t>The company's price/sales ratio of 1.11 and price/book ratio of 3.24 are in line with industry averages, indicating a fair valuation. The enterprise value/revenue ratio of 1.38 and enterprise value/EBITDA ratio of 8.86 suggest that the company is generating strong revenue and earnings, making it an attractive investment opportunity.</t>
  </si>
  <si>
    <t>Interpublic Group of Companies (The) operates in the advertising industry, which is expected to see growth in the coming months as businesses increase their marketing efforts to recover from the impact of the pandemic. The company's strong global presence and diverse portfolio of clients make it well-positioned to capitalize on this growth.</t>
  </si>
  <si>
    <t>Based on the recent financial data and industry outlook, the potential investment value of Interpublic Group of Companies (The) for the next month is high. However, investors should closely monitor any potential changes in the advertising industry and the company's financial performance to make informed investment decisions.</t>
  </si>
  <si>
    <t>IP,85.0,"</t>
  </si>
  <si>
    <t>International Paper (IP) is a leading company in the Paper &amp; Plastic Packaging Products &amp; Materials industry with a recent market cap of 12.65B and an enterprise value of 17.48B. The company has a trailing P/E ratio of 16.77 and a forward P/E ratio of 17.39, indicating that the stock is currently trading at a reasonable valuation. However, the PEG ratio of 2.49 suggests that the stock may be slightly overvalued compared to its expected earnings growth.</t>
  </si>
  <si>
    <t>In terms of valuation metrics, IP has a price/sales ratio of 0.66 and a price/book ratio of 1.42, both of which are below the industry average. This indicates that the stock may be undervalued compared to its peers. Additionally, the company has a strong financial position with an enterprise value/revenue ratio of 0.90 and an enterprise value/EBITDA ratio of 7.20, which are both lower than the industry average.</t>
  </si>
  <si>
    <t>Recent news in the industry, such as the increase in demand for paper and packaging products due to the rise in e-commerce and sustainability efforts, bodes well for IP's future growth potential. However, the company may face challenges in the short term due to rising raw material costs and potential supply chain disruptions.</t>
  </si>
  <si>
    <t>Overall, IP appears to be a solid investment option in the Paper &amp; Plastic Packaging Products &amp; Materials industry. With a strong financial position and positive industry trends, the company has the potential for long-term growth. However, investors should closely monitor any potential challenges in the short term.</t>
  </si>
  <si>
    <t>IFF,85.0,"</t>
  </si>
  <si>
    <t>International Flavors &amp; Fragrances (IFF) is a leading company in the specialty chemicals industry with a recent market cap of 19.33B and an enterprise value of 29.74B. The company has a trailing P/E ratio of 1.26k and a forward P/E ratio of 18.18, indicating a potential for future growth. IFF's price/sales ratio of 1.66 and price/book ratio of 1.14 are both below the industry average, making the stock potentially undervalued. Additionally, the company's enterprise value/revenue ratio of 2.56 and enterprise value/EBITDA ratio of 17.53 are also lower than the industry average, suggesting a potential for higher returns.</t>
  </si>
  <si>
    <t>Recent news in the specialty chemicals industry, such as the increasing demand for sustainable and natural ingredients, bodes well for IFF as the company has a strong focus on sustainability and innovation. Furthermore, IFF's recent acquisition of DuPont's Nutrition &amp; Biosciences business is expected to drive growth and expand the company's product portfolio.</t>
  </si>
  <si>
    <t>Based on the latest financial data and industry trends, IFF appears to be a promising investment opportunity in the specialty chemicals industry. However, investors should closely monitor any potential impacts of the ongoing COVID-19 pandemic on the company's operations and financial performance.</t>
  </si>
  <si>
    <t>PKG,85.0,"</t>
  </si>
  <si>
    <t>Packaging Corporation of America (PCA) is a leading manufacturer of paper and plastic packaging products and materials. The recent financial data for the company shows a strong market capitalization of $14.72 billion and an enterprise value of $16.82 billion. The trailing P/E ratio of 18.85 and forward P/E ratio of 20.53 indicate that the company's stock is trading at a reasonable valuation. Additionally, the price/sales ratio of 1.88 and price/book ratio of 3.79 suggest that the stock may be undervalued compared to its peers in the industry.</t>
  </si>
  <si>
    <t>Furthermore, PCA's enterprise value/revenue ratio of 2.14 and enterprise value/EBITDA ratio of 10.48 are in line with industry averages, indicating a healthy financial position. The company has a strong track record of profitability and has consistently delivered solid earnings growth over the years.</t>
  </si>
  <si>
    <t>In terms of recent news, PCA has announced plans to expand its production capacity and invest in new technology to meet the growing demand for sustainable packaging solutions. This strategic move positions the company for long-term growth and potential market share gains.</t>
  </si>
  <si>
    <t>Based on the current financial data and positive industry outlook, PCA appears to be a solid investment opportunity in the paper and plastic packaging industry. However, as with any investment, it is important to conduct thorough research and consider the potential risks before making any decisions.</t>
  </si>
  <si>
    <t>OTIS,85.0,"</t>
  </si>
  <si>
    <t>Otis Worldwide is a leading company in the Industrial Machinery &amp; Supplies &amp; Components industry with a recent market cap of 35.38B and an enterprise value of 41.44B. The company has a trailing P/E ratio of 26.12 and a forward P/E ratio of 22.08, indicating a potential undervaluation of the stock. The PEG ratio of 1.90 suggests that the stock may be trading at a discount compared to its expected growth rate. Additionally, the price/sales ratio of 2.57 and the enterprise value/revenue ratio of 2.95 are both below the industry average, further supporting the undervaluation of the stock.</t>
  </si>
  <si>
    <t>Furthermore, Otis Worldwide has a strong financial position with a low debt-to-equity ratio and a solid cash flow. The company also has a global presence and a diverse portfolio of products and services, providing stability and potential for growth in various markets.</t>
  </si>
  <si>
    <t>In terms of recent news, Otis Worldwide has announced plans to expand its digital capabilities and invest in new technologies, which can drive future growth and increase its competitive advantage. The company has also reported strong financial results in the latest quarter, with an increase in revenue and earnings.</t>
  </si>
  <si>
    <t>Based on the financial data and recent news, Otis Worldwide appears to be a promising investment opportunity in the Industrial Machinery &amp; Supplies &amp; Components industry. However, investors should always conduct their own research and consider their risk tolerance before making any investment decisions.</t>
  </si>
  <si>
    <t>ORCL,85.0,"</t>
  </si>
  <si>
    <t>Oracle Corporation, a leading company in the Application Software industry, has a recent market cap of 306.89B and an enterprise value of 383.75B. The company's trailing P/E ratio is 33.24 and its forward P/E ratio is 20.16, indicating a potential undervaluation. The PEG ratio of 1.29 suggests that the stock may be trading at a discount compared to its expected growth rate. Additionally, the price/sales ratio of 6.12 and price/book ratio of 129.49 also indicate a potential undervaluation.</t>
  </si>
  <si>
    <t>In terms of financial health, Oracle has a strong enterprise value/revenue ratio of 7.53 and an enterprise value/EBITDA ratio of 19.63, indicating a solid balance sheet and profitability.</t>
  </si>
  <si>
    <t>Recent news in the tech industry, such as the rise of AI and technological advancements, may present opportunities for Oracle to expand its market share and increase its revenue. However, potential regulatory changes and geopolitical tensions may also pose risks for the company.</t>
  </si>
  <si>
    <t>Overall, based on the recent financial data and industry trends, Oracle Corporation appears to be a promising investment opportunity in the Application Software industry. However, investors should closely monitor any potential risks and stay updated on the company's performance.</t>
  </si>
  <si>
    <t>OKE,85.0,"</t>
  </si>
  <si>
    <t>ONEOK is a leading company in the Oil &amp; Gas Storage &amp; Transportation industry with a recent market cap of 39.89B and an enterprise value of 61.66B. The company has a trailing P/E ratio of 12.59 and a forward P/E ratio of 13.61, indicating that the stock may be undervalued. However, the PEG ratio of 1.42 suggests that the stock may be slightly overvalued based on its expected growth rate.</t>
  </si>
  <si>
    <t>In terms of valuation metrics, ONEOK has a price/sales ratio of 1.77 and a price/book ratio of 2.45, which are both below the industry average. This indicates that the stock may be trading at a discount compared to its peers. Additionally, the company has a strong enterprise value/revenue ratio of 3.53 and an enterprise value/EBITDA ratio of 13.38, which are both favorable compared to the industry average.</t>
  </si>
  <si>
    <t>Recent news in the oil and gas industry, such as falling oil prices and increased demand for mortgage refinancing, may have a positive impact on ONEOK's business. However, investors should also consider potential risks, such as geopolitical tensions and regulatory changes, that could affect the company's performance.</t>
  </si>
  <si>
    <t>Overall, ONEOK appears to be a solid investment opportunity in the Oil &amp; Gas Storage &amp; Transportation industry. Its strong financial metrics and potential for growth make it a promising stock to consider for the next month.</t>
  </si>
  <si>
    <t>HUM,85.0,"  Enterprise Value/EBITDA  10.86</t>
  </si>
  <si>
    <t>Humana, a leading managed health care company, has shown strong financial performance in recent years. With a market cap of 59.56B and an enterprise value of 56.39B, the company has a solid financial foundation. Its trailing P/E ratio of 20.01 and forward P/E ratio of 15.24 indicate that the company is currently undervalued, making it an attractive investment opportunity.</t>
  </si>
  <si>
    <t>Furthermore, Humana's PEG ratio of 1.04 suggests that the company is expected to have steady growth in the next five years. Its price/sales ratio of 0.59 and price/book ratio of 3.51 also indicate that the company's stock is currently undervalued. Additionally, Humana's enterprise value/revenue ratio of 0.55 and enterprise value/EBITDA ratio of 10.86 are lower than the industry average, further highlighting its potential for growth.</t>
  </si>
  <si>
    <t>The recent news of the company's expansion into new markets and partnerships with other healthcare providers also bodes well for its future growth. With the increasing demand for managed health care services, Humana is well-positioned to capitalize on this trend and continue its strong financial performance.</t>
  </si>
  <si>
    <t>Overall, Humana appears to be a solid investment opportunity in the managed health care industry. Its strong financials, undervalued stock, and potential for growth make it a promising choice for investors.</t>
  </si>
  <si>
    <t>HPQ,85.0,"</t>
  </si>
  <si>
    <t>HP Inc. is a leading company in the Technology Hardware, Storage &amp; Peripherals industry with a recent market cap of 28.16B and an enterprise value of 34.41B. The company has a trailing P/E ratio of 8.74 and a forward P/E ratio of 8.16, indicating that the stock is currently undervalued. However, the PEG ratio of 3.07 suggests that the stock may be overvalued in the long term. The price/sales ratio of 0.53 and the enterprise value/revenue ratio of 0.64 also indicate that the stock may be undervalued.</t>
  </si>
  <si>
    <t>In terms of financial performance, HP Inc. has shown strong profitability with a low enterprise value/EBITDA ratio of 6.78. This suggests that the company is generating healthy earnings relative to its enterprise value. However, investors should note that the company's revenue growth has been relatively slow, with a PEG ratio of 3.07.</t>
  </si>
  <si>
    <t>Overall, HP Inc. appears to be a solid investment opportunity in the Technology Hardware, Storage &amp; Peripherals industry. The company's strong profitability and undervalued stock price make it an attractive option for investors. However, the potential for slower revenue growth in the long term should also be considered.</t>
  </si>
  <si>
    <t>HWM,85.0,"</t>
  </si>
  <si>
    <t>Howmet Aerospace is a leading company in the Aerospace &amp; Defense industry with a recent market cap of 21.54B and an enterprise value of 25.08B. The company has a trailing P/E ratio of 33.97 and a forward P/E ratio of 24.51, indicating a potential undervaluation of the stock. The PEG ratio of 0.80 also suggests that the stock may be trading at a discount compared to its expected growth rate. Additionally, the price/sales and price/book ratios of 3.40 and 5.64, respectively, are in line with industry averages.</t>
  </si>
  <si>
    <t>In terms of financial health, Howmet Aerospace has a strong enterprise value/revenue ratio of 3.91 and a relatively low enterprise value/EBITDA ratio of 18.62. This indicates that the company is generating solid revenue and has a manageable level of debt.</t>
  </si>
  <si>
    <t>The recent news in the Aerospace &amp; Defense industry, including geopolitical tensions and technological advancements, may present both risks and opportunities for Howmet Aerospace. However, the company's strong financials and position in the industry make it a potentially attractive investment option.</t>
  </si>
  <si>
    <t>NTRS,85.0,"         Enterprise Value  16.64B</t>
  </si>
  <si>
    <t>Northern Trust is a leading asset management and custody bank with a recent market cap of $16.70B. The firm has a solid financial standing, with a trailing P/E ratio of 15.31 and a forward P/E ratio of 14.03, indicating a positive outlook for future earnings. The PEG ratio of 1.69 suggests that the stock may be undervalued, making it an attractive investment opportunity. Additionally, the price/sales ratio of 2.49 and price/book ratio of 1.52 are both below the industry average, further supporting the potential investment value of the company.</t>
  </si>
  <si>
    <t>In terms of recent news, Northern Trust has been expanding its global presence, with plans to open a new office in Abu Dhabi and acquire UBS Asset Management's fund administration servicing units in Luxembourg and Switzerland. These strategic moves can help the company increase its assets under management and diversify its revenue streams.</t>
  </si>
  <si>
    <t>Furthermore, Northern Trust has a strong balance sheet, with an enterprise value of $16.64B. This provides the company with the financial flexibility to pursue growth opportunities and withstand potential market volatility.</t>
  </si>
  <si>
    <t>Overall, Northern Trust appears to be in a favorable position for potential investment. However, as with any investment, it is important to conduct thorough research and consider the company's financial performance and market conditions before making any decisions.</t>
  </si>
  <si>
    <t>NI,85.0,"</t>
  </si>
  <si>
    <t>NiSource is a recent addition to the Multi-Utilities industry, with a market cap of 10.92B and an enterprise value of 25.27B. The company has a trailing P/E ratio of 17.61 and a forward P/E ratio of 15.53, indicating a potential undervaluation. However, the PEG ratio of 1.98 suggests that the stock may be slightly overvalued based on its expected growth rate. The price/sales ratio of 2.04 and price/book ratio of 1.80 also indicate a potential undervaluation. The enterprise value/revenue ratio of 4.37 and enterprise value/EBITDA ratio of 11.55 are in line with industry averages.</t>
  </si>
  <si>
    <t>Recent news in the Multi-Utilities industry, such as falling oil prices and increased demand for mortgage refinancing, may have a positive impact on NiSource's performance. However, potential regulatory changes and weaker job growth could also affect the company's operations.</t>
  </si>
  <si>
    <t>Based on the current financial data and industry trends, NiSource appears to be a promising investment opportunity. However, investors should closely monitor any developments in the industry and the company's financial performance before making any investment decisions.</t>
  </si>
  <si>
    <t>PH,85.0,"</t>
  </si>
  <si>
    <t>Parker Hannifin is a leading company in the Industrial Machinery &amp; Supplies &amp; Components industry with a recent market cap of 55.80B and an enterprise value of 67.53B. The company has a trailing P/E ratio of 24.06 and a forward P/E ratio of 18.66, indicating a potential undervaluation of the stock. The PEG ratio of 1.99 suggests that the stock may be slightly overvalued in relation to its expected growth. However, the price/sales ratio of 2.87 and price/book ratio of 5.28 are both below the industry average, indicating a potential value opportunity for investors.</t>
  </si>
  <si>
    <t>In terms of financial health, Parker Hannifin has a strong enterprise value/revenue ratio of 3.43 and a solid enterprise value/EBITDA ratio of 15.03. This suggests that the company is generating healthy levels of revenue and earnings, making it a stable investment option.</t>
  </si>
  <si>
    <t>Overall, Parker Hannifin appears to be a solid investment option in the Industrial Machinery &amp; Supplies &amp; Components industry. With a strong financial position and potential undervaluation, the stock may present a good opportunity for investors in the next month.</t>
  </si>
  <si>
    <t>DVN,85.0,"</t>
  </si>
  <si>
    <t>Devon Energy is a leading company in the Oil &amp; Gas Exploration &amp; Production industry with a recent market cap of $27.71B and an enterprise value of $33.40B. The company has a strong financial position with a low trailing P/E ratio of 7.37 and a forward P/E ratio of 6.16, indicating potential undervaluation. The PEG ratio of 0.40 also suggests that the stock may be undervalued compared to its expected growth rate.</t>
  </si>
  <si>
    <t>In terms of valuation metrics, Devon Energy has a price/sales ratio of 1.81 and a price/book ratio of 2.38, which are both below the industry average. This indicates that the stock may be trading at a discount compared to its peers. Additionally, the company has a strong enterprise value/revenue ratio of 2.17 and an enterprise value/EBITDA ratio of 4.37, which further supports its undervaluation.</t>
  </si>
  <si>
    <t>Recent news in the oil and gas industry, such as falling oil prices and increased demand for mortgage refinancing, may have a positive impact on Devon Energy's financial performance. However, investors should also consider potential risks, such as geopolitical tensions and regulatory changes, that could affect the company's operations.</t>
  </si>
  <si>
    <t>Overall, Devon Energy appears to be in a strong financial position with potential for growth in the coming months. Based on the latest financial data and industry trends, the company may be a good investment opportunity for investors looking for undervalued stocks in the oil and gas sector.</t>
  </si>
  <si>
    <t>KLAC,85.0,"</t>
  </si>
  <si>
    <t>KLA Corporation is a leading company in the Semiconductor Materials &amp; Equipment industry with a recent market cap of 71.86B and an enterprise value of 74.57B. The company has a trailing P/E ratio of 23.64 and a forward P/E ratio of 21.69, indicating a positive outlook for future earnings. However, the PEG ratio of 2.13 suggests that the stock may be slightly overvalued compared to its expected growth rate. KLA Corporation also has a price/sales ratio of 7.22 and a price/book ratio of 24.03, which are higher than the industry average. This may indicate that the stock is currently trading at a premium. The enterprise value/revenue ratio of 7.33 and the enterprise value/EBITDA ratio of 17.41 suggest that the company may be slightly undervalued compared to its peers.</t>
  </si>
  <si>
    <t>Recent news in the semiconductor industry, such as the global chip shortage and increasing demand for technology products, may have a positive impact on KLA Corporation's financial performance. Additionally, the company's strong financial position and focus on innovation and research and development make it well-positioned for future growth.</t>
  </si>
  <si>
    <t>Based on the recent financial data and industry trends, KLA Corporation appears to be a solid investment option in the Semiconductor Materials &amp; Equipment industry. However, investors should closely monitor any potential risks, such as changes in market conditions or regulatory changes, that may affect the company's performance.</t>
  </si>
  <si>
    <t>KMB,85.0,"</t>
  </si>
  <si>
    <t>Kimberly-Clark (KMB) is a leading company in the household products industry, known for its popular brands such as Kleenex, Huggies, and Scott. In the recent trading day, KMB saw a gain of +0.82%, while the overall market experienced a dip. This can be attributed to the company's strong financials and positive market sentiment.</t>
  </si>
  <si>
    <t>With a market cap of $41.38B and an enterprise value of $48.66B, KMB has a solid financial foundation. Its trailing P/E ratio of 23.55 and forward P/E ratio of 17.48 indicate that the company is currently undervalued, making it an attractive investment opportunity. Additionally, its PEG ratio of 2.09 suggests that the stock has room for growth in the future.</t>
  </si>
  <si>
    <t>KMB's price/sales ratio of 2.03 and price/book ratio of 60.85 are in line with industry averages, indicating that the stock is fairly valued. Its enterprise value/revenue ratio of 2.38 and enterprise value/EBITDA ratio of 15.81 also suggest that the company is efficiently managing its operations and generating strong returns for investors.</t>
  </si>
  <si>
    <t>Overall, KMB's strong financials and positive market sentiment make it a promising investment in the household products industry. With a solid foundation and potential for growth, KMB is well-positioned for success in the coming months.</t>
  </si>
  <si>
    <t>LKQ,85.0,"</t>
  </si>
  <si>
    <t>LKQ Corporation is a leading distributor of aftermarket automotive parts and accessories. The company has a strong presence in the market, with a recent market cap of 12.13B and an enterprise value of 17.42B. LKQ Corporation has a trailing P/E ratio of 12.69 and a forward P/E ratio of 10.86, indicating that the stock may be undervalued. However, the PEG ratio of 7.98 suggests that the stock may be overvalued in relation to its expected growth.</t>
  </si>
  <si>
    <t>In terms of valuation metrics, LKQ Corporation has a price/sales ratio of 0.91 and a price/book ratio of 2.04, which are both below the industry average. This indicates that the stock may be undervalued compared to its peers. Additionally, the company has a strong financial position with an enterprise value/revenue ratio of 1.30 and an enterprise value/EBITDA ratio of 9.96.</t>
  </si>
  <si>
    <t>Recent news in the automotive industry, such as the global chip shortage and supply chain disruptions, may have a short-term impact on LKQ Corporation's performance. However, the company has a strong track record of adapting to market changes and has a diversified business model that includes both wholesale and retail operations.</t>
  </si>
  <si>
    <t>Overall, LKQ Corporation appears to be a solid investment opportunity in the distributors industry. The company has a strong financial position, a competitive market position, and a history of delivering consistent returns to shareholders. However, investors should closely monitor any potential risks and market developments that may impact the company's performance.</t>
  </si>
  <si>
    <t>MCO,85.0,"</t>
  </si>
  <si>
    <t>Moody's Corporation is a leading provider of credit ratings, research, and risk analysis services for financial institutions and corporations. The recent financial data for the company shows a strong market capitalization of 68.34B and an enterprise value of 73.53B. The trailing P/E ratio of 45.43 and forward P/E ratio of 33.33 indicate that the stock may be slightly overvalued, but the PEG ratio of 2.31 suggests potential for future growth. The price/sales ratio of 12.01 and price/book ratio of 21.42 are also higher than industry averages, indicating a premium for the company's stock. However, the enterprise value/revenue ratio of 12.84 and enterprise value/EBITDA ratio of 29.57 are in line with industry standards.</t>
  </si>
  <si>
    <t>Moody's Corporation has a strong track record of providing reliable and accurate credit ratings, making it a trusted partner for financial institutions and corporations. The company's recent expansion into new markets and investments in technology have positioned it for future growth. However, potential regulatory changes and competition in the industry may pose risks for the company.</t>
  </si>
  <si>
    <t>Overall, Moody's Corporation appears to be a solid investment option in the Financial Exchanges &amp; Data industry. Its strong financials and market position make it a stable choice for investors. However, careful monitoring of industry developments and company performance is recommended.</t>
  </si>
  <si>
    <t>MNST,85.0,"</t>
  </si>
  <si>
    <t>Monster Beverage, a leading company in the Soft Drinks &amp; Non-alcoholic Beverages industry, has shown strong financial performance in recent years. With a market cap of 56.50B and an enterprise value of 53.49B, the company has a solid financial foundation. Its trailing P/E ratio of 36.81 and forward P/E ratio of 29.76 indicate that the stock is currently trading at a premium, but this may be justified by its strong growth potential.</t>
  </si>
  <si>
    <t>The PEG ratio of 1.57 suggests that the stock may be slightly overvalued, but this is not a cause for concern as the company has consistently delivered strong earnings growth. Its price/sales ratio of 8.31 and price/book ratio of 7.18 are also higher than the industry average, indicating that investors are willing to pay a premium for the company's stock.</t>
  </si>
  <si>
    <t>One potential concern for investors is the company's high enterprise value/revenue ratio of 7.73 and enterprise value/EBITDA ratio of 27.95. This may suggest that the stock is overvalued, but it could also be a reflection of the company's strong financial performance and growth potential.</t>
  </si>
  <si>
    <t>Overall, Monster Beverage appears to be a solid investment option in the Soft Drinks &amp; Non-alcoholic Beverages industry. Its strong financial performance and growth potential make it an attractive choice for investors. However, it is important to closely monitor any potential changes in the industry and the company's financials.</t>
  </si>
  <si>
    <t>MPWR,85.0,"</t>
  </si>
  <si>
    <t>Monolithic Power Systems (MPS) is a leading semiconductor company with a strong presence in the market. The recent financial data shows a market cap of $26.57B and an enterprise value of $25.53B. The trailing P/E ratio of 60.08 and forward P/E ratio of 42.19 indicate that the stock may be slightly overvalued. However, the PEG ratio of 2.34 suggests that the stock may still have growth potential.</t>
  </si>
  <si>
    <t>MPS has a strong financial position with a price/sales ratio of 14.78 and a price/book ratio of 13.66. The enterprise value/revenue ratio of 13.97 and enterprise value/EBITDA ratio of 45.93 also indicate a healthy financial standing.</t>
  </si>
  <si>
    <t>In the semiconductor industry, MPS has a competitive advantage with its innovative products and strong customer relationships. The company has also been expanding its global presence, which can lead to further growth opportunities.</t>
  </si>
  <si>
    <t>Overall, MPS appears to be a solid investment option in the semiconductor industry. However, investors should closely monitor the company's financial performance and market trends before making any investment decisions.</t>
  </si>
  <si>
    <t>KEYS,85.0,"</t>
  </si>
  <si>
    <t>Keysight, a leading company in the Electronic Equipment &amp; Instruments industry, has shown strong financial performance in recent years. With a market cap of 24.62B and an enterprise value of 24.18B, the company has a solid financial foundation. Its trailing P/E ratio of 23.86 and forward P/E ratio of 19.49 indicate that the company is currently undervalued, making it an attractive investment opportunity.</t>
  </si>
  <si>
    <t>Furthermore, Keysight's PEG ratio of 2.93 suggests that the stock is trading at a discount compared to its expected earnings growth. This is a positive sign for investors, as it indicates potential for future growth. The company's price/sales ratio of 4.62 and price/book ratio of 5.29 also suggest that the stock is undervalued.</t>
  </si>
  <si>
    <t>In terms of profitability, Keysight has an enterprise value/revenue ratio of 4.42 and an enterprise value/EBITDA ratio of 14.68. These ratios are lower than the industry average, indicating that the company is generating strong revenue and earnings.</t>
  </si>
  <si>
    <t>Overall, Keysight's recent financial data and market trends suggest that it is a strong investment opportunity in the Electronic Equipment &amp; Instruments industry. Its undervalued stock and potential for future growth make it a promising choice for investors.</t>
  </si>
  <si>
    <t>KEY,85.0,"          Total Debt/Equity (mrq)   0.98</t>
  </si>
  <si>
    <t>KeyCorp is a regional bank with a market cap of 12.13B. The latest financial data shows a trailing P/E of 10.54 and a forward P/E of 10.54, indicating a relatively low valuation compared to its peers in the Regional Banks industry. The PEG ratio of 8.11 suggests that the stock may be undervalued, as it is trading at a lower multiple compared to its expected earnings growth rate. Additionally, the price/sales and price/book ratios of 1.84 and 1.12, respectively, are also lower than the industry average, further supporting the undervaluation of the stock.</t>
  </si>
  <si>
    <t>KeyCorp also has a relatively low total debt/equity ratio of 0.98, indicating a healthy balance sheet and lower risk for investors. The company has been consistently profitable and has a strong track record of dividend payments, making it an attractive option for income-seeking investors.</t>
  </si>
  <si>
    <t>However, it is important to note that the Regional Banks industry is currently facing challenges due to the low-interest-rate environment and potential regulatory changes. This may impact KeyCorp's profitability and growth in the short term.</t>
  </si>
  <si>
    <t>Based on the recent financial data and industry trends, KeyCorp appears to be a solid investment option for the next month. However, investors should closely monitor any developments in the industry and the company's financial performance.</t>
  </si>
  <si>
    <t>BEN,85.0,"</t>
  </si>
  <si>
    <t>Franklin Templeton, a leading asset management and custody bank company, has shown strong financial performance in recent years. With a market cap of 12.60B and an enterprise value of 19.95B, the company has a solid financial foundation. Its trailing P/E ratio of 14.81 and forward P/E ratio of 11.00 indicate that the stock is currently undervalued, making it an attractive investment opportunity.</t>
  </si>
  <si>
    <t>In terms of valuation, Franklin Templeton has a price/sales ratio of 1.59 and a price/book ratio of 1.06, which are both below the industry average. This suggests that the stock is currently trading at a discount compared to its peers. Additionally, the company's enterprise value/revenue ratio of 2.54 and enterprise value/EBITDA ratio of 10.05 are also lower than the industry average, indicating that the stock may have room for growth.</t>
  </si>
  <si>
    <t>The recent news in the asset management and custody bank industry, such as the rise of digital banking and the increasing demand for sustainable investments, presents opportunities for Franklin Templeton to expand its services and attract new clients. The company's strong financial position and diverse portfolio make it well-equipped to capitalize on these trends.</t>
  </si>
  <si>
    <t>Overall, Franklin Templeton appears to be a solid investment option in the asset management and custody bank industry. Its strong financial performance, undervalued stock, and potential for growth make it a promising choice for investors.</t>
  </si>
  <si>
    <t>KVUE,85.0,"</t>
  </si>
  <si>
    <t>Kenvue is a leading company in the Personal Care Products industry with a recent market cap of 37.13B and an enterprise value of 44.50B. The company has a trailing P/E ratio of 34.54 and a forward P/E ratio of 14.79, indicating a potential undervaluation in the stock. Kenvue also has a price/sales ratio of 2.39 and a price/book ratio of 3.36, which are both below the industry average. This suggests that the stock may be trading at a discount compared to its peers.</t>
  </si>
  <si>
    <t>In terms of financial performance, Kenvue has a strong enterprise value/revenue ratio of 2.86 and an enterprise value/EBITDA ratio of 19.26. This indicates that the company is generating solid revenue and earnings, making it an attractive investment opportunity.</t>
  </si>
  <si>
    <t>Recent news in the Personal Care Products industry, such as the rise in consumer demand for natural and organic products, bodes well for Kenvue's future growth potential. Additionally, the company has a strong presence in both domestic and international markets, providing diversification and stability to its revenue streams.</t>
  </si>
  <si>
    <t>Overall, Kenvue appears to be a solid investment opportunity in the Personal Care Products industry. With its strong financial performance and potential for future growth, the stock may be undervalued and present a good buying opportunity for investors.</t>
  </si>
  <si>
    <t>JNPR,85.0,"</t>
  </si>
  <si>
    <t>Juniper Networks is a leading company in the communications equipment industry with a recent market cap of 9.19B and an enterprise value of 9.49B. The company has a trailing P/E ratio of 25.72 and a forward P/E ratio of 12.53, indicating a potential undervaluation of the stock. The PEG ratio of 1.19 suggests that the stock may be trading at a discount compared to its expected growth rate. Additionally, the price/sales and price/book ratios of 1.67 and 2.12 respectively, are below the industry average, further supporting the undervaluation of the stock. However, the enterprise value/revenue and enterprise value/EBITDA ratios of 1.68 and 13.31 respectively, are slightly higher than the industry average, indicating a potential overvaluation. Overall, the recent financial data suggests that Juniper Networks may be a promising investment opportunity in the communications equipment industry.</t>
  </si>
  <si>
    <t>ICE,85.0,"</t>
  </si>
  <si>
    <t>Intercontinental Exchange (ICE) is a leading player in the financial exchanges and data industry, with a recent market cap of $64.72B and an enterprise value of $87.49B. The company has a strong financial position, with a trailing P/E ratio of 26.24 and a forward P/E ratio of 19.92, indicating potential growth in the future. The PEG ratio of 1.04 suggests that the stock is currently undervalued, making it an attractive investment opportunity.</t>
  </si>
  <si>
    <t>ICE's price/sales ratio of 6.61 and price/book ratio of 2.54 are both below the industry average, indicating that the stock may be undervalued compared to its peers. Additionally, the company's enterprise value/revenue ratio of 9.10 and enterprise value/EBITDA ratio of 18.33 are also below the industry average, further supporting the undervaluation of the stock.</t>
  </si>
  <si>
    <t>Recent news in the financial industry, such as falling interest rates and increased demand for mortgage refinancing, may have a positive impact on ICE's business. The company's strong position in the market and potential for growth make it a promising investment opportunity for the next month.</t>
  </si>
  <si>
    <t>JNJ,85.0,"</t>
  </si>
  <si>
    <t>Johnson &amp; Johnson (JNJ) is a leading pharmaceutical company with a recent market cap of $377.03B and an enterprise value of $383.44B. The company has a trailing P/E ratio of 29.38 and a forward P/E ratio of 14.39, indicating a potential undervaluation of the stock. The PEG ratio of 1.55 suggests that the stock may be slightly overvalued based on its expected growth rate. However, the price/sales ratio of 4.15 and price/book ratio of 5.29 are in line with industry averages, indicating a fair valuation.</t>
  </si>
  <si>
    <t>In terms of financial performance, JNJ has a strong enterprise value/revenue ratio of 3.89 and a solid enterprise value/EBITDA ratio of 15.55. This suggests that the company is generating strong revenues and profits, making it a stable investment option.</t>
  </si>
  <si>
    <t>Recent news in the pharmaceutical industry, such as the development of new drugs and potential mergers and acquisitions, may have a positive impact on JNJ's stock performance. However, investors should also consider potential risks, such as regulatory changes and patent expirations, which could affect the company's future earnings.</t>
  </si>
  <si>
    <t>Overall, JNJ appears to be a stable and potentially undervalued investment option in the pharmaceutical industry. However, investors should conduct further research and analysis before making any investment decisions.</t>
  </si>
  <si>
    <t>FSLR,85.0,"</t>
  </si>
  <si>
    <t>First Solar, a leading company in the Semiconductors industry, has a recent market cap of 15.53B and an enterprise value of 14.25B. The company's trailing P/E ratio is 32.88, while the forward P/E ratio is 10.99, indicating potential growth in the future. The price/sales ratio is 4.92 and the price/book ratio is 2.46, both of which are relatively low compared to industry averages. The enterprise value/revenue ratio is 4.51 and the enterprise value/EBITDA ratio is 17.68, suggesting that the company is undervalued.</t>
  </si>
  <si>
    <t>Recent news in the Semiconductors industry, such as the global chip shortage and increasing demand for renewable energy, may present opportunities for First Solar. The company's focus on solar technology and its strong financial position make it well-positioned to capitalize on these trends.</t>
  </si>
  <si>
    <t>Based on the provided financial data and recent industry news, First Solar appears to be a promising investment opportunity. However, as with any investment, there are risks to consider, such as potential changes in government policies and regulations. Investors should conduct their own research and carefully evaluate the company before making any investment decisions.</t>
  </si>
  <si>
    <t>J,85.0,"</t>
  </si>
  <si>
    <t>Jacobs Solutions is a leading company in the Construction &amp; Engineering industry with a recent market cap of 16.23B and an enterprise value of 18.88B. The firm has a trailing P/E ratio of 24.26 and a forward P/E ratio of 15.80, indicating a potential undervaluation of the stock. The PEG ratio of 1.25 suggests that the stock may be trading at a discount compared to its expected growth rate. Additionally, the price/sales ratio of 1.00 and price/book ratio of 2.48 are in line with industry averages, indicating a fair valuation.</t>
  </si>
  <si>
    <t>Furthermore, the enterprise value/revenue ratio of 1.15 and enterprise value/EBITDA ratio of 13.56 suggest that the company is generating strong revenue and earnings, making it an attractive investment opportunity.</t>
  </si>
  <si>
    <t>Recent news in the construction and engineering industry, such as the increase in infrastructure spending and the demand for sustainable solutions, bodes well for Jacobs Solutions. The company's strong financials and market position make it well-equipped to capitalize on these trends and continue its growth trajectory.</t>
  </si>
  <si>
    <t>Overall, Jacobs Solutions appears to be a solid investment option in the Construction &amp; Engineering industry. However, as with any investment, it is important to conduct thorough research and consider the potential risks before making any decisions.</t>
  </si>
  <si>
    <t>IQV,85.0,"</t>
  </si>
  <si>
    <t>IQVIA is a leading company in the Life Sciences Tools &amp; Services industry with a recent market cap of 39.35B and an enterprise value of 51.86B. The company has a trailing P/E ratio of 36.17 and a forward P/E ratio of 18.55, indicating a potential undervaluation of the stock. The PEG ratio of 1.80 suggests that the stock may be trading at a discount compared to its expected growth rate. Additionally, the price/sales ratio of 2.72 and price/book ratio of 6.78 are both below the industry average, further supporting the potential undervaluation of the stock.</t>
  </si>
  <si>
    <t>IQVIA's latest financial data also shows a strong enterprise value/revenue ratio of 3.49 and an enterprise value/EBITDA ratio of 16.48, indicating a solid financial position and potential for future growth.</t>
  </si>
  <si>
    <t>The company's position in the Life Sciences Tools &amp; Services industry is also favorable, with the industry expected to see continued growth in the coming years. IQVIA's strong financials and market position make it a promising investment opportunity in the industry.</t>
  </si>
  <si>
    <t>IVZ,85.0,"</t>
  </si>
  <si>
    <t>Invesco is a leading asset management and custody bank company with a recent market cap of 6.74B and an enterprise value of 17.67B. The company has a trailing P/E ratio of 11.54 and a forward P/E ratio of 9.23, indicating that the stock may be undervalued. However, the PEG ratio of 7.82 suggests that the stock may be overvalued in relation to its expected growth. In terms of valuation multiples, Invesco has a price/sales ratio of 1.19 and a price/book ratio of 0.60, both of which are below the industry average. The company's enterprise value/revenue ratio of 3.07 and enterprise value/EBITDA ratio of 13.16 also indicate that the stock may be undervalued.</t>
  </si>
  <si>
    <t>Recent news in the asset management and custody bank industry has been mixed, with concerns about potential regulatory changes and market volatility. However, Invesco has a strong track record and a diverse portfolio of assets, which may help mitigate these risks. The company also has a solid financial position, with a healthy balance sheet and strong cash flow.</t>
  </si>
  <si>
    <t>Overall, Invesco appears to be a solid investment opportunity in the asset management and custody bank industry. While there are some concerns about potential market risks, the company's strong financials and undervalued stock price make it a promising option for investors.</t>
  </si>
  <si>
    <t>GRMN,85.0,"</t>
  </si>
  <si>
    <t>Garmin, a leading company in the consumer electronics industry, has shown strong financial performance in recent years. With a market cap of 23.93B and an enterprise value of 22.35B, the company has a solid financial foundation. Its trailing P/E ratio of 23.08 and forward P/E ratio of 21.05 indicate that the stock is currently trading at a reasonable valuation. Additionally, the PEG ratio of 2.01 suggests that the stock may be slightly overvalued, but still has potential for growth.</t>
  </si>
  <si>
    <t>In terms of profitability, Garmin has a price/sales ratio of 4.75 and a price/book ratio of 3.77, both of which are in line with industry averages. Its enterprise value/revenue ratio of 4.42 and enterprise value/EBITDA ratio of 18.74 also indicate that the company is generating strong revenue and earnings.</t>
  </si>
  <si>
    <t>Overall, Garmin appears to be a financially stable and profitable company in the consumer electronics industry. Its latest financial data and market trends suggest that the stock may have potential for growth in the coming months.</t>
  </si>
  <si>
    <t>KDP,85.0,"</t>
  </si>
  <si>
    <t>Keurig Dr Pepper (KDP) is a leading company in the Soft Drinks &amp; Non-alcoholic Beverages industry with a recent market cap of $45.01B and an enterprise value of $59.11B. The company has a trailing P/E ratio of 23.50 and a forward P/E ratio of 16.81, indicating a potential undervaluation of the stock. However, the PEG ratio of 2.76 suggests that the stock may be slightly overvalued based on its expected growth rate.</t>
  </si>
  <si>
    <t>KDP's price/sales ratio of 3.09 and price/book ratio of 1.77 are both below the industry average, indicating a potential undervaluation of the stock. The company's enterprise value/revenue ratio of 4.01 and enterprise value/EBITDA ratio of 16.03 are also below the industry average, further supporting the undervaluation of the stock.</t>
  </si>
  <si>
    <t>Recent news in the industry, such as the increase in demand for non-alcoholic beverages and the company's expansion into new markets, suggest a positive outlook for KDP. However, potential risks such as increasing competition and changing consumer preferences should also be considered.</t>
  </si>
  <si>
    <t>Based on the recent financial data and industry trends, KDP appears to be a promising investment opportunity. However, investors should conduct further research and analysis before making any investment decisions.</t>
  </si>
  <si>
    <t>PAYC,85.0,"</t>
  </si>
  <si>
    <t>Paycom, a leading provider of human resource and employment services, has shown strong financial performance in recent years. With a market cap of 10.70B and an enterprise value of 10.25B, the company has a solid financial foundation. Its trailing P/E ratio of 31.77 and forward P/E ratio of 22.47 indicate that the stock is currently trading at a premium, but this may be justified by its strong growth potential.</t>
  </si>
  <si>
    <t>The company's PEG ratio of 1.17 suggests that it may be slightly overvalued, but this is not a cause for concern as it is still within a reasonable range. Its price/sales ratio of 6.61 and price/book ratio of 7.53 also indicate that the stock may be trading at a premium, but this is not uncommon for a company in the human resource and employment services industry.</t>
  </si>
  <si>
    <t>Paycom's enterprise value/revenue ratio of 6.29 and enterprise value/EBITDA ratio of 17.52 are both lower than the industry average, indicating that the company may be undervalued compared to its peers. This presents a potential opportunity for investors.</t>
  </si>
  <si>
    <t>Overall, Paycom's recent financial data suggests that it is a strong and stable company with potential for growth. Its premium valuation may be justified by its strong financial performance and growth potential. Therefore, it may be a good investment opportunity for the next month.</t>
  </si>
  <si>
    <t>HIG,85.0,"  Enterprise Value/EBITDA  7.86</t>
  </si>
  <si>
    <t>The Hartford is a leading property and casualty insurance company with a recent market cap of 23.58B and an enterprise value of 28.16B. The company has a trailing P/E ratio of 10.78 and a forward P/E ratio of 8.04, indicating that the stock may be undervalued. The price/sales ratio of 1.04 and price/book ratio of 1.77 also suggest that the stock is trading at a reasonable valuation. Additionally, the enterprise value/revenue ratio of 1.18 and enterprise value/EBITDA ratio of 7.86 are in line with industry averages.</t>
  </si>
  <si>
    <t>The latest news in the property and casualty insurance industry, including natural disasters and rising claims, may have a short-term impact on the company's financials. However, The Hartford has a strong track record of managing risks and maintaining profitability. The company also has a diversified portfolio and a strong balance sheet, which provides stability and resilience in times of uncertainty.</t>
  </si>
  <si>
    <t>Overall, The Hartford appears to be a solid investment opportunity in the property and casualty insurance industry. With its strong financials and strategic positioning, the company is well-equipped to weather any short-term challenges and deliver long-term value to shareholders.</t>
  </si>
  <si>
    <t>HAL,85.0,"</t>
  </si>
  <si>
    <t>Halliburton, a leading company in the Oil &amp; Gas Equipment &amp; Services industry, has shown strong financial performance in recent years. With a market cap of 31.20B and an enterprise value of 38.07B, the company has a solid financial foundation. Its trailing P/E ratio of 11.98 and forward P/E ratio of 9.90 indicate that the stock is currently undervalued, making it an attractive investment opportunity.</t>
  </si>
  <si>
    <t>Furthermore, Halliburton's PEG ratio of 0.99 suggests that the stock is trading at a discount compared to its expected earnings growth. This, combined with its low price-to-sales ratio of 1.38 and price-to-book ratio of 3.41, further supports the argument for its undervaluation.</t>
  </si>
  <si>
    <t>In terms of its financial health, Halliburton has a strong enterprise value/revenue ratio of 1.67 and an enterprise value/EBITDA ratio of 8.12. This indicates that the company is generating healthy revenue and has a good level of profitability.</t>
  </si>
  <si>
    <t>Considering the recent news of falling oil prices being positive for the U.S. and global economy, Halliburton may see an increase in demand for its services in the coming months. This, combined with its strong financials, makes it a potentially lucrative investment opportunity.</t>
  </si>
  <si>
    <t>GS,85.0,"          Enterprise Value  1.03T</t>
  </si>
  <si>
    <t>Goldman Sachs is a leading global investment banking and financial services firm with a strong reputation and a long history of success. The recent financial data for the firm shows a market cap of 111.52B and a trailing P/E ratio of 16.49, indicating that the stock is currently trading at a relatively low valuation. The forward P/E ratio of 9.62 suggests that the company is expected to have strong earnings growth in the future. However, the PEG ratio of 2.67 indicates that the stock may be slightly overvalued compared to its expected earnings growth.</t>
  </si>
  <si>
    <t>In terms of valuation metrics, Goldman Sachs has a price/sales ratio of 2.63 and a price/book ratio of 1.05, both of which are below the industry average. This suggests that the stock may be undervalued compared to its peers. Additionally, the firm's enterprise value of 1.03T indicates a strong financial position and potential for future growth.</t>
  </si>
  <si>
    <t>Overall, the recent financial data for Goldman Sachs paints a positive picture for the company's future prospects. However, investors should also consider the potential impact of market trends and regulatory changes on the investment banking and brokerage industry. It is important to closely monitor the company's performance and market conditions before making any investment decisions.</t>
  </si>
  <si>
    <t>GPN,85.0,"</t>
  </si>
  <si>
    <t>Global Payments, a leading company in the Transaction &amp; Payment Processing Services industry, has shown strong financial performance in recent years. With a market cap of 31.10B and an enterprise value of 46.52B, the company has a solid financial foundation. Its trailing P/E ratio of 36.42 and forward P/E ratio of 10.10 indicate that the company is currently undervalued, making it an attractive investment opportunity.</t>
  </si>
  <si>
    <t>Furthermore, Global Payments has a low PEG ratio of 0.17, suggesting that its stock price is not overvalued in relation to its expected earnings growth. Its price/sales ratio of 3.31 and price/book ratio of 1.39 also indicate that the stock is trading at a reasonable price.</t>
  </si>
  <si>
    <t>In terms of its financial health, Global Payments has a strong enterprise value/revenue ratio of 4.91 and an enterprise value/EBITDA ratio of 13.53. This indicates that the company is generating healthy revenue and has a strong ability to generate cash flow.</t>
  </si>
  <si>
    <t>Overall, Global Payments appears to be a solid investment opportunity in the Transaction &amp; Payment Processing Services industry. Its strong financial performance and undervalued stock price make it a promising option for investors.</t>
  </si>
  <si>
    <t>GL,85.0,"  Enterprise Value/EBITDA  10.86</t>
  </si>
  <si>
    <t>Globe Life is a leading company in the Life &amp; Health Insurance industry with a recent market cap of 11.59B and an enterprise value of 13.75B. The company has a trailing P/E ratio of 15.22 and a forward P/E ratio of 10.44, indicating a potential undervaluation of the stock. Additionally, Globe Life has a price/sales ratio of 2.23 and a price/book ratio of 2.51, which are both below the industry average. This suggests that the stock may be trading at a discount compared to its peers.</t>
  </si>
  <si>
    <t>Furthermore, Globe Life has a strong financial position with an enterprise value/revenue ratio of 2.57 and an enterprise value/EBITDA ratio of 10.86. This indicates that the company is generating solid revenue and earnings, making it a potentially attractive investment opportunity.</t>
  </si>
  <si>
    <t>Overall, based on the recent financial data, Globe Life appears to be in a strong position in the Life &amp; Health Insurance industry. The company's solid financials and potential undervaluation make it a promising investment option for the next month.</t>
  </si>
  <si>
    <t>GILD,85.0,"</t>
  </si>
  <si>
    <t>Gilead Sciences is a leading biotechnology company with a recent market cap of $98.91B and an enterprise value of $117.03B. The company has a trailing P/E ratio of 17.00 and a forward P/E ratio of 10.96, indicating a potential undervaluation of the stock. The PEG ratio of 0.54 also suggests that the stock may be undervalued, as it is trading at a lower multiple compared to its expected earnings growth. Gilead Sciences has a price/sales ratio of 3.65 and a price/book ratio of 4.43, which are both in line with industry averages. The company's enterprise value/revenue ratio of 4.27 and enterprise value/EBITDA ratio of 10.95 also indicate a potential undervaluation of the stock.</t>
  </si>
  <si>
    <t>Recent news in the biotechnology industry, such as the FDA approval of Gilead's new HIV treatment and the company's strong financial performance, suggest a positive outlook for Gilead Sciences. Additionally, the company has a strong pipeline of potential new drugs, which could drive future growth.</t>
  </si>
  <si>
    <t>Based on the recent financial data and industry trends, Gilead Sciences appears to be a promising investment opportunity in the biotechnology sector. However, as with any investment, there are risks to consider, such as potential regulatory changes and competition in the market.</t>
  </si>
  <si>
    <t>HOLX,85.0,"</t>
  </si>
  <si>
    <t>Hologic is a leading company in the Health Care Equipment industry with a recent market cap of 16.59B and an enterprise value of 16.77B. The company has a trailing P/E ratio of 37.77 and a forward P/E ratio of 17.09, indicating a potential undervaluation of the stock. Additionally, Hologic has a price/sales ratio of 4.27 and a price/book ratio of 3.31, both of which are below the industry average, suggesting a potential buying opportunity for investors.</t>
  </si>
  <si>
    <t>Furthermore, Hologic's enterprise value/revenue ratio of 4.16 and enterprise value/EBITDA ratio of 15.10 are also lower than the industry average, indicating that the company may be undervalued compared to its peers. This, combined with the company's strong financials and market position, makes Hologic a potentially attractive investment opportunity in the Health Care Equipment industry.</t>
  </si>
  <si>
    <t>HLT,85.0,"</t>
  </si>
  <si>
    <t>Hilton Worldwide is a leading company in the Hotels, Resorts &amp; Cruise Lines industry with a recent market cap of $43.10B and an enterprise value of $51.92B. The company has a trailing P/E ratio of 33.95 and a forward P/E ratio of 24.15, indicating a potential undervaluation of the stock. The PEG ratio of 1.19 suggests that the stock may be trading at a discount compared to its expected earnings growth. Additionally, the price/sales ratio of 4.46 and the enterprise value/revenue ratio of 5.16 are both below the industry average, further supporting the potential undervaluation of the stock.</t>
  </si>
  <si>
    <t>Hilton Worldwide has a strong financial position with a solid balance sheet and a healthy cash flow. The company has been able to maintain its profitability despite the challenges posed by the COVID-19 pandemic, with a recent increase in occupancy rates and revenue per available room (RevPAR). The company's focus on expanding its global footprint and investing in technology to enhance the guest experience bodes well for its long-term growth potential.</t>
  </si>
  <si>
    <t>However, there are some potential risks to consider. The ongoing pandemic and potential travel restrictions could continue to impact the company's operations and financial performance. Additionally, the highly competitive nature of the industry and the threat of disruptors such as Airbnb could pose challenges for Hilton Worldwide.</t>
  </si>
  <si>
    <t>Overall, based on the recent financial data and industry trends, Hilton Worldwide appears to be a solid investment opportunity with potential for growth. However, investors should carefully monitor the company's performance and the impact of external factors on the industry.</t>
  </si>
  <si>
    <t>ON,85.0,"</t>
  </si>
  <si>
    <t>ON Semiconductor, a leading semiconductor company, has shown strong financial performance in recent years. With a market cap of 31.64B and an enterprise value of 32.44B, the company has a solid financial foundation. Its trailing P/E ratio of 14.81 and forward P/E ratio of 15.20 indicate that the stock is currently undervalued. Additionally, the PEG ratio of 1.46 suggests that the stock has potential for growth in the future.</t>
  </si>
  <si>
    <t>In terms of valuation, ON Semiconductor has a price/sales ratio of 3.96 and a price/book ratio of 4.23, which are both below the industry average. This indicates that the stock may be undervalued compared to its peers. Furthermore, the company's enterprise value/revenue ratio of 3.89 and enterprise value/EBITDA ratio of 9.66 are also lower than the industry average, suggesting that the stock may be a good investment opportunity.</t>
  </si>
  <si>
    <t>The semiconductor industry is expected to continue growing in the coming years, driven by advancements in technology and increasing demand for electronic devices. As a major player in this industry, ON Semiconductor is well-positioned to benefit from this growth. The company has a strong portfolio of products and a global presence, which allows it to capitalize on opportunities in different markets.</t>
  </si>
  <si>
    <t>Based on the recent financial data and industry outlook, ON Semiconductor appears to be a promising investment opportunity. However, as with any investment, there are risks involved, and investors should conduct their own research and analysis before making any decisions.</t>
  </si>
  <si>
    <t>FTNT,85.0,"</t>
  </si>
  <si>
    <t>Fortinet, a leading provider of cybersecurity solutions, has shown strong financial performance in recent years. With a market cap of $39.80B and an enterprise value of $37.62B, the company has a solid financial foundation. Its trailing P/E ratio of 35.99 and forward P/E ratio of 30.12 indicate that the stock is trading at a reasonable valuation. Additionally, the PEG ratio of 1.75 suggests that the stock may be undervalued, considering its expected growth rate.</t>
  </si>
  <si>
    <t>Fortinet's price/sales ratio of 7.95 and price/book ratio of 537.12 may seem high, but they are in line with industry averages. The company's enterprise value/revenue ratio of 7.27 and enterprise value/EBITDA ratio of 26.55 also indicate that the stock is not overvalued.</t>
  </si>
  <si>
    <t>The recent surge in cyber attacks and the increasing need for cybersecurity solutions have created a favorable market for Fortinet. The company's strong financials and market position make it a promising investment opportunity in the systems software industry.</t>
  </si>
  <si>
    <t>FE,85.0,"</t>
  </si>
  <si>
    <t>FirstEnergy, a leading electric utility company, has a recent market cap of 21.49B and an enterprise value of 45.83B. The company's trailing P/E ratio is 39.42 and its forward P/E ratio is 14.08, indicating a potential undervaluation. However, the PEG ratio of 2.45 suggests that the stock may be overvalued in relation to its expected growth. The price/sales ratio of 1.66 and price/book ratio of 2.05 also indicate a potential undervaluation. The enterprise value/revenue ratio of 3.55 and enterprise value/EBITDA ratio of 11.44 are in line with industry averages.</t>
  </si>
  <si>
    <t>Recent news in the electric utilities industry, such as falling oil prices and lower interest rates, may have a positive impact on FirstEnergy's financial performance. However, potential regulatory changes and geopolitical tensions could also pose risks to the company's operations.</t>
  </si>
  <si>
    <t>Overall, FirstEnergy appears to be a solid investment opportunity in the electric utilities industry. Its strong market position and potential for growth make it a favorable choice for investors. However, it is important to closely monitor any developments in the industry and the company's financial performance.</t>
  </si>
  <si>
    <t>GPC,85.0,"</t>
  </si>
  <si>
    <t>Genuine Parts Company (GPC) is a leading distributor of automotive replacement parts, industrial parts, office products, and electrical/electronic materials. The company has a strong presence in the Automotive Parts &amp; Equipment industry and has been in operation for over 90 years. GPC has a recent market cap of $19.14B and an enterprise value of $22.72B.</t>
  </si>
  <si>
    <t>In terms of financial performance, GPC has a trailing P/E ratio of 15.41 and a forward P/E ratio of 13.76, indicating that the stock may be undervalued. The PEG ratio of 1.41 suggests that the stock may have growth potential in the next five years. Additionally, GPC has a low price-to-sales ratio of 0.84 and a price-to-book ratio of 4.57, which are both below the industry average. This indicates that the stock may be trading at a discount compared to its peers.</t>
  </si>
  <si>
    <t>Furthermore, GPC has a strong balance sheet with a low debt-to-equity ratio of 0.99 and a solid enterprise value/EBITDA ratio of 10.95. This suggests that the company has a healthy financial position and is well-equipped to weather any potential economic downturns.</t>
  </si>
  <si>
    <t>In terms of recent news, GPC has been expanding its e-commerce capabilities and investing in digital transformation to adapt to changing consumer preferences. This could potentially drive future growth for the company.</t>
  </si>
  <si>
    <t>Based on the provided financial data and recent news, GPC appears to be a solid investment opportunity in the Automotive Parts &amp; Equipment industry. However, as with any investment, there are risks to consider, such as potential disruptions in the supply chain and competition from online retailers.</t>
  </si>
  <si>
    <t>GM,85.0,"</t>
  </si>
  <si>
    <t>General Motors (GM) is a leading player in the Automobile Manufacturers industry with a recent market cap of $45.07B and an enterprise value of $129.07B. The company has a low trailing P/E ratio of 4.62 and a forward P/E ratio of 4.03, indicating that the stock is undervalued. Additionally, GM has a low PEG ratio of 0.55, suggesting that the stock may be undervalued relative to its expected growth. The price/sales ratio of 0.27 and price/book ratio of 0.61 also indicate that the stock is trading at a discount.</t>
  </si>
  <si>
    <t>GM's latest financial data shows a strong balance sheet with a low enterprise value/revenue ratio of 0.75 and an enterprise value/EBITDA ratio of 5.31. This indicates that the company is generating healthy revenue and earnings, making it a potentially attractive investment opportunity.</t>
  </si>
  <si>
    <t>The recent news of GM's plans to invest $35B in electric and autonomous vehicles by 2025 is a positive sign for the company's future growth potential. This investment in new technologies and products can help GM stay competitive in the rapidly evolving automotive industry.</t>
  </si>
  <si>
    <t>Overall, GM's strong financials and strategic investments make it a promising investment opportunity in the Automobile Manufacturers industry. However, investors should closely monitor any potential impacts of supply chain disruptions and rising raw material costs on the company's performance.</t>
  </si>
  <si>
    <t>GD,85.0,"</t>
  </si>
  <si>
    <t>General Dynamics is a leading company in the Aerospace &amp; Defense industry with a recent market cap of 68.76B and an enterprise value of 78.40B. The firm has a trailing P/E ratio of 21.05 and a forward P/E ratio of 16.95, indicating a potential undervaluation of the stock. The PEG ratio of 1.73 suggests that the stock may be slightly overvalued in relation to its expected growth. However, the price/sales ratio of 1.68 and price/book ratio of 3.45 are both below the industry average, indicating a potential value opportunity for investors.</t>
  </si>
  <si>
    <t>General Dynamics also has a strong financial position with an enterprise value/revenue ratio of 1.89 and an enterprise value/EBITDA ratio of 14.85. This suggests that the company is generating solid revenue and earnings, making it a stable investment option.</t>
  </si>
  <si>
    <t>In terms of recent news, General Dynamics has been awarded several contracts by the U.S. Department of Defense, which could potentially lead to increased revenue and profitability in the future. Additionally, the company has a strong track record of dividend payments, making it an attractive option for income investors.</t>
  </si>
  <si>
    <t>Overall, General Dynamics appears to be a solid investment option in the Aerospace &amp; Defense industry. With a strong financial position and potential growth opportunities, the stock may be a good addition to a well-diversified portfolio.</t>
  </si>
  <si>
    <t>GNRC,85.0,"</t>
  </si>
  <si>
    <t>Generac, a leading company in the Electrical Components &amp; Equipment industry, has shown strong financial performance in recent years. With a market cap of 7.56B and an enterprise value of 9.13B, the company has a solid financial foundation. Its trailing P/E ratio of 48.64 and forward P/E ratio of 16.34 indicate that the company is currently trading at a premium, but its PEG ratio of 1.65 suggests that it may still be undervalued.</t>
  </si>
  <si>
    <t>Generac's price/sales ratio of 1.93 and price/book ratio of 3.20 are in line with industry averages, indicating that the company is fairly valued in terms of its sales and book value. Its enterprise value/revenue ratio of 2.28 and enterprise value/EBITDA ratio of 18.01 also suggest that the company is not overvalued.</t>
  </si>
  <si>
    <t>Overall, Generac's recent financial data paints a positive picture of the company's financial health and potential for growth. However, investors should also consider the current market conditions and industry trends before making any investment decisions.</t>
  </si>
  <si>
    <t>GEN,85.0,"</t>
  </si>
  <si>
    <t>Gen Digital, a leading company in the Application Software industry, has shown strong financial performance in recent years. With a market cap of 14.18B and an enterprise value of 23.11B, the company has a solid financial foundation. Its trailing P/E ratio of 9.92 and forward P/E ratio of 9.54 indicate that the stock is currently undervalued, making it an attractive investment opportunity.</t>
  </si>
  <si>
    <t>Furthermore, Gen Digital's PEG ratio of 0.76 suggests that the stock is undervalued relative to its expected growth rate. This is further supported by its price/sales ratio of 3.79 and price/book ratio of 5.87, which are both below the industry average. The company's strong financials are also reflected in its low enterprise value/revenue ratio of 6.12 and enterprise value/EBITDA ratio of 14.36.</t>
  </si>
  <si>
    <t>In terms of recent news, Gen Digital has been making strategic moves to expand its market reach and improve its product offerings. This includes partnerships with other tech companies and the launch of new innovative products. These initiatives are expected to drive future growth and increase the company's market share.</t>
  </si>
  <si>
    <t>Based on the latest financial data and news, Gen Digital appears to be a strong investment opportunity in the Application Software industry. Its solid financials and strategic initiatives make it a promising stock for the next month.</t>
  </si>
  <si>
    <t>GEHC,85.0,"</t>
  </si>
  <si>
    <t>GE HealthCare, a leading company in the Health Care Technology industry, has shown strong financial performance in recent years. With a market cap of 30.98B and an enterprise value of 38.84B, the company has a solid financial foundation. Its trailing P/E ratio of 20.20 and forward P/E ratio of 15.72 indicate that the company is currently undervalued, making it an attractive investment opportunity.</t>
  </si>
  <si>
    <t>Furthermore, GE HealthCare's PEG ratio of 15.72 suggests that the company has strong growth potential in the next five years. Its price/sales ratio of 1.61 and price/book ratio of 4.34 also indicate that the company's stock is currently undervalued. Additionally, its enterprise value/revenue ratio of 2.01 and enterprise value/EBITDA ratio of 10.90 are in line with industry standards, further solidifying the company's financial stability.</t>
  </si>
  <si>
    <t>In terms of recent news, GE HealthCare has been making strides in the development of new technologies and partnerships, positioning itself as a leader in the rapidly growing health care technology industry. With a strong financial foundation and promising growth potential, GE HealthCare is a company to watch in the coming months.</t>
  </si>
  <si>
    <t>FIS,85.0,"</t>
  </si>
  <si>
    <t>FIS (Fidelity National Information Services) is a leading company in the Transaction &amp; Payment Processing Services industry with a recent market cap of 34.93B and an enterprise value of 53.12B. The company has a forward P/E ratio of 12.77 and a PEG ratio of 1.24, indicating a relatively low valuation compared to its expected growth. FIS also has a price/sales ratio of 2.38 and a price/book ratio of 1.79, which are both below the industry average. However, the company's enterprise value/revenue ratio of 3.63 and enterprise value/EBITDA ratio of -4.18 may raise some concerns.</t>
  </si>
  <si>
    <t>FIS has been performing well in the recent years, with a steady increase in revenue and earnings. The company has a strong market position and a diverse portfolio of products and services, which provides stability and potential for growth. FIS has also been actively expanding through acquisitions, which can further strengthen its market position and drive future growth.</t>
  </si>
  <si>
    <t>In terms of the industry, the Transaction &amp; Payment Processing Services sector is expected to continue growing due to the increasing demand for digital payment solutions. FIS is well-positioned to benefit from this trend with its advanced technology and expertise in the field.</t>
  </si>
  <si>
    <t>Based on the latest financial data and industry trends, FIS appears to be a solid investment opportunity. However, investors should closely monitor the company's financial performance and any potential risks, such as regulatory changes or economic downturns. Overall, FIS has a strong potential for growth and can be a valuable addition to a well-diversified portfolio.</t>
  </si>
  <si>
    <t>FTV,85.0,"</t>
  </si>
  <si>
    <t>Fortive is a leading company in the Industrial Machinery &amp; Supplies &amp; Components industry with a recent market cap of 24.14B and an enterprise value of 26.15B. The company has a trailing P/E ratio of 29.48 and a forward P/E ratio of 18.66, indicating a potential undervaluation of the stock. The PEG ratio of 1.76 suggests that the stock may be slightly overvalued based on its expected growth rate. However, the price/sales ratio of 4.07 and price/book ratio of 2.40 are both below the industry average, indicating a potential value opportunity for investors.</t>
  </si>
  <si>
    <t>Fortive's recent financial data also shows a strong enterprise value/revenue ratio of 4.35 and an enterprise value/EBITDA ratio of 16.82, indicating a solid financial position. The company's revenue and EBITDA have been consistently growing in recent years, with a 5-year expected growth rate of 10.5%. This, combined with the company's strong financials, makes Fortive a potentially attractive investment opportunity in the Industrial Machinery &amp; Supplies &amp; Components industry.</t>
  </si>
  <si>
    <t>OMC,85.0,"</t>
  </si>
  <si>
    <t>Omnicom Group is a leading global advertising and marketing communications company with a strong presence in the industry. The recent financial data shows a market cap of 16.22B and an enterprise value of 19.87B. The trailing P/E ratio of 11.93 and forward P/E ratio of 10.67 indicate that the stock is currently undervalued. However, the PEG ratio of 2.00 suggests that the stock may be slightly overvalued in the long term.</t>
  </si>
  <si>
    <t>The price/sales ratio of 1.15 and price/book ratio of 5.02 are both below the industry average, indicating that the stock may be undervalued compared to its peers. The enterprise value/revenue ratio of 1.37 and enterprise value/EBITDA ratio of 8.23 also suggest that the stock may be undervalued.</t>
  </si>
  <si>
    <t>Overall, the recent financial data suggests that Omnicom Group may be a good investment opportunity in the advertising industry. However, investors should closely monitor the company's performance and industry trends before making any investment decisions.</t>
  </si>
  <si>
    <t>KR,85.0,"</t>
  </si>
  <si>
    <t>Kroger, a leading food retail company, has shown strong financial performance in recent years. With a market cap of 32.04B and an enterprise value of 48.96B, the company has a solid financial foundation. Its trailing P/E ratio of 17.33 and forward P/E ratio of 10.24 indicate that the stock is currently undervalued, making it an attractive investment opportunity.</t>
  </si>
  <si>
    <t>Furthermore, Kroger's PEG ratio of 1.67 suggests that the stock has room for growth in the next five years. Its price/sales ratio of 0.22 and price/book ratio of 2.86 also indicate that the stock is undervalued compared to its peers in the food retail industry. Additionally, the company's enterprise value/revenue ratio of 0.33 and enterprise value/EBITDA ratio of 7.31 are lower than the industry average, further highlighting its potential for growth.</t>
  </si>
  <si>
    <t>Kroger has also been making strategic moves to stay competitive in the ever-changing retail landscape. The company has been investing in e-commerce and expanding its digital capabilities, which has helped it to adapt to the changing consumer behavior during the pandemic. This, coupled with its strong financials, makes Kroger a promising investment option in the food retail industry.</t>
  </si>
  <si>
    <t>OXY,85.0,"</t>
  </si>
  <si>
    <t>Occidental Petroleum (ticker: OXY) is a leading oil and gas exploration and production company with a recent market cap of $49.72B and an enterprise value of $78.11B. The company has a trailing P/E ratio of 12.31 and a forward P/E ratio of 11.00, indicating that the stock may be undervalued. Additionally, Occidental Petroleum has a price/sales ratio of 1.87 and a price/book ratio of 2.36, which are both below the industry average, suggesting that the stock may be a good value investment.</t>
  </si>
  <si>
    <t>The latest financial data also shows that Occidental Petroleum has a strong balance sheet, with an enterprise value/revenue ratio of 2.67 and an enterprise value/EBITDA ratio of 5.14. This indicates that the company is generating solid revenue and earnings, and has a manageable level of debt.</t>
  </si>
  <si>
    <t>In terms of recent news, Occidental Petroleum has been impacted by the volatility in oil prices, but the company has taken steps to reduce costs and improve efficiency. The company has also been focusing on expanding its operations in the Permian Basin, which is a major oil-producing region in the United States.</t>
  </si>
  <si>
    <t>Overall, Occidental Petroleum appears to be in a strong financial position and has potential for growth in the future. However, investors should be aware of the risks associated with the oil and gas industry, including fluctuations in oil prices and potential regulatory changes.</t>
  </si>
  <si>
    <t>ORLY,85.0,"</t>
  </si>
  <si>
    <t>O'Reilly Auto Parts is a leading company in the Automotive Retail industry with a recent market cap of 58.31B and an enterprise value of 65.61B. The company has a trailing P/E ratio of 26.24 and a forward P/E ratio of 23.09, indicating a potential undervaluation of the stock. The PEG ratio of 1.43 suggests that the stock may be trading at a discount compared to its expected growth rate. Additionally, the price/sales ratio of 3.90 and the enterprise value/revenue ratio of 4.20 are both below the industry average, further supporting the undervaluation of the stock.</t>
  </si>
  <si>
    <t>Furthermore, O'Reilly Auto Parts has a strong financial position with a low debt-to-equity ratio and a high return on equity. The company also has a history of consistent revenue and earnings growth, making it a stable investment option.</t>
  </si>
  <si>
    <t>However, there are potential risks to consider, such as the impact of the ongoing chip shortage on the automotive industry and potential competition from e-commerce retailers. Investors should also monitor any potential changes in consumer behavior and spending patterns.</t>
  </si>
  <si>
    <t>Overall, based on the recent financial data and industry trends, O'Reilly Auto Parts appears to be a solid investment option in the Automotive Retail industry. The company's strong financials and potential for growth make it a favorable choice for investors.</t>
  </si>
  <si>
    <t>NVR,85.0,"</t>
  </si>
  <si>
    <t>NVR, Inc. is a leading homebuilding company in the United States with a recent market cap of 20.23B and an enterprise value of 18.34B. The company has a trailing P/E ratio of 13.39 and a forward P/E ratio of 16.45, indicating a relatively low valuation compared to its industry peers. NVR also has a price/sales ratio of 2.23 and a price/book ratio of 4.85, which are both below the industry average. Additionally, the company has a strong financial position with an enterprise value/revenue ratio of 1.87 and an enterprise value/EBITDA ratio of 8.89.</t>
  </si>
  <si>
    <t>NVR has been performing well in the recent years, with a steady increase in revenue and net income. The company has a strong presence in the housing market and has been able to maintain a competitive edge through its efficient operations and strategic acquisitions. However, the company may face some challenges in the near future due to rising interest rates and potential changes in the housing market.</t>
  </si>
  <si>
    <t>Overall, NVR, Inc. appears to be a solid investment opportunity in the homebuilding industry. Its strong financial position, low valuation, and consistent performance make it a promising choice for investors. However, it is important to closely monitor any potential changes in the housing market and interest rates that may impact the company's performance.</t>
  </si>
  <si>
    <t>NVDA,85.0,"</t>
  </si>
  <si>
    <t>Nvidia, a leading company in the semiconductor industry, has been performing well in the recent months. With a market cap of 1.12T and a forward P/E ratio of 23.04, the company's financials are strong. The PEG ratio of 0.46 suggests that the stock may be undervalued, making it an attractive investment opportunity. Additionally, the company's price/sales and price/book ratios are higher than the industry average, indicating a positive outlook for future growth.</t>
  </si>
  <si>
    <t>Nvidia has also been making strategic moves to expand its market share and diversify its product offerings. The recent acquisition of Arm Holdings, a leading chip designer, is expected to further strengthen Nvidia's position in the industry. The company's focus on artificial intelligence and data center solutions has also been driving its growth.</t>
  </si>
  <si>
    <t>However, there are some potential risks to consider. The semiconductor industry is highly competitive, and any disruptions in the supply chain or changes in consumer demand could impact Nvidia's performance. Additionally, the ongoing global chip shortage may also affect the company's production and sales.</t>
  </si>
  <si>
    <t>Overall, based on the recent financial data and market trends, Nvidia appears to be a strong investment opportunity in the semiconductor industry. However, investors should carefully monitor any potential risks and stay updated on the company's performance.</t>
  </si>
  <si>
    <t>PFG,85.0,"  Enterprise Value/EBITDA  6.86</t>
  </si>
  <si>
    <t>Principal Financial Group (PFG) is a leading company in the Life &amp; Health Insurance industry with a recent market cap of $17.79B and an enterprise value of $17.18B. The company has a trailing P/E ratio of 11.69 and a forward P/E ratio of 9.98, indicating that the stock may be undervalued. PFG also has a low price-to-sales ratio of 1.31 and a price-to-book ratio of 1.67, which further supports its potential for investment value.</t>
  </si>
  <si>
    <t>In terms of financial performance, PFG has a strong enterprise value/revenue ratio of 1.22 and an enterprise value/EBITDA ratio of 6.86. This suggests that the company is generating solid revenue and has a healthy level of debt.</t>
  </si>
  <si>
    <t>Recent news in the Life &amp; Health Insurance industry, such as the increasing demand for insurance products due to the COVID-19 pandemic and the potential for regulatory changes, may present both opportunities and challenges for PFG. However, the company has a strong track record of adapting to changing market conditions and has a diverse portfolio of products and services.</t>
  </si>
  <si>
    <t>Overall, based on the recent financial data and industry trends, PFG appears to be a promising investment opportunity in the Life &amp; Health Insurance industry. However, as with any investment, it is important for investors to conduct their own research and carefully consider their risk tolerance before making any decisions.</t>
  </si>
  <si>
    <t>PPL,85.0,"</t>
  </si>
  <si>
    <t>PPL Corporation is a leading electric utility company with a recent market cap of $19.41B and an enterprise value of $33.92B. The company has a trailing P/E ratio of 25.32 and a forward P/E ratio of 15.48, indicating potential undervaluation. The PEG ratio of 1.41 suggests that the stock may be trading at a discount compared to its expected growth rate. Additionally, the price/sales ratio of 2.27 and price/book ratio of 1.39 are both below the industry average, further supporting the potential undervaluation of the stock.</t>
  </si>
  <si>
    <t>In terms of financial performance, PPL Corporation has a strong enterprise value/revenue ratio of 3.96 and an enterprise value/EBITDA ratio of 11.40, indicating a healthy balance sheet and efficient use of capital. The company also has a solid dividend yield of 5.5%, making it an attractive option for income investors.</t>
  </si>
  <si>
    <t>Recent news in the electric utilities industry, such as falling oil prices and increasing demand for renewable energy, may present opportunities for PPL Corporation to expand its operations and increase profitability. However, potential regulatory changes and geopolitical tensions could also pose risks for the company.</t>
  </si>
  <si>
    <t>Overall, PPL Corporation appears to be a strong investment option in the electric utilities industry, with potential for growth and a solid dividend yield. However, investors should closely monitor industry developments and company performance to make informed investment decisions.</t>
  </si>
  <si>
    <t>PPG,85.0,"Investment Report:</t>
  </si>
  <si>
    <t>PPG Industries (PPG) is a leading global manufacturer of paints, coatings, and specialty materials. Despite a slip in the overall market, PPG's stock price has shown resilience, closing at $142.70 in the latest trading session, a slight increase of 0.04% from the previous day. This is a positive sign for investors, indicating the company's strength and potential for growth.</t>
  </si>
  <si>
    <t>PPG's latest financial data also reflects a strong position in the market. With a market cap of $33.65B and an enterprise value of $39.38B, the company has a solid financial foundation. Its trailing P/E ratio of 23.90 and forward P/E ratio of 17.01 suggest that the stock is currently undervalued, making it an attractive investment opportunity.</t>
  </si>
  <si>
    <t>Furthermore, PPG's PEG ratio of 1.47 and price/sales ratio of 1.87 indicate that the stock is trading at a reasonable price compared to its expected growth and revenue. Its price/book ratio of 4.34 also suggests that the stock is undervalued, as it is trading below its book value.</t>
  </si>
  <si>
    <t>In terms of profitability, PPG has an enterprise value/revenue ratio of 2.18 and an enterprise value/EBITDA ratio of 14.81, indicating strong financial performance and potential for future growth.</t>
  </si>
  <si>
    <t>Overall, PPG Industries appears to be in a strong position in the specialty chemicals industry. Its recent stock performance and financial data suggest that it is a solid investment opportunity for the next month.</t>
  </si>
  <si>
    <t>PYPL,85.0,"</t>
  </si>
  <si>
    <t>PayPal is a leading company in the transaction and payment processing services industry, with a recent market cap of $64.18B and an enterprise value of $63.28B. The company has a trailing P/E ratio of 17.77 and a forward P/E ratio of 10.55, indicating a potential undervaluation of its stock. The PEG ratio of 0.50 also suggests that the stock may be undervalued, as it is trading at a lower multiple compared to its expected earnings growth. Additionally, PayPal's price/sales ratio of 2.29 and price/book ratio of 3.25 are in line with industry averages, indicating a fair valuation.</t>
  </si>
  <si>
    <t>Furthermore, PayPal's strong financial position is reflected in its low enterprise value/revenue ratio of 2.17 and enterprise value/EBITDA ratio of 10.19. This suggests that the company is generating significant revenue and earnings, making it a stable and potentially profitable investment.</t>
  </si>
  <si>
    <t>Overall, based on the recent financial data, PayPal appears to be a solid investment opportunity in the transaction and payment processing services industry. Its strong financials and potential undervaluation make it a promising stock for the next month.</t>
  </si>
  <si>
    <t>PXD,85.0,"</t>
  </si>
  <si>
    <t>Pioneer Natural Resources is a leading company in the Oil &amp; Gas Exploration &amp; Production industry with a recent market cap of $51.81B and an enterprise value of $56.86B. The company has a strong financial position with a trailing P/E ratio of 10.58 and a forward P/E ratio of 9.07, indicating potential undervaluation. The PEG ratio of 0.78 also suggests that the stock may be trading at a discount compared to its expected growth rate. Additionally, the price/sales and price/book ratios of 2.78 and 2.28, respectively, are in line with industry averages.</t>
  </si>
  <si>
    <t>In terms of profitability, Pioneer Natural Resources has an enterprise value/revenue ratio of 2.92 and an enterprise value/EBITDA ratio of 6.05, which are both lower than the industry average. This indicates that the company is generating strong revenues and earnings relative to its enterprise value.</t>
  </si>
  <si>
    <t>Overall, Pioneer Natural Resources appears to be in a strong financial position with potential for growth. However, investors should closely monitor the company's performance and the oil market as a whole, as fluctuations in oil prices can significantly impact the company's stock price.</t>
  </si>
  <si>
    <t>PNW,85.0,"</t>
  </si>
  <si>
    <t>Pinnacle West (PNW) is a leading company in the Multi-Utilities industry with a recent market cap of 8.64B and an enterprise value of 18.76B. The company has a trailing P/E ratio of 18.19 and a forward P/E ratio of 15.36, indicating a potential undervaluation of the stock. However, the PEG ratio of 2.44 suggests that the stock may be slightly overvalued based on its expected growth rate. The price/sales ratio of 1.84 and price/book ratio of 1.36 also indicate that the stock may be trading at a discount compared to its industry peers.</t>
  </si>
  <si>
    <t>In terms of financial performance, Pinnacle West has a strong enterprise value/revenue ratio of 3.98 and an enterprise value/EBITDA ratio of 10.94, indicating a healthy balance sheet and efficient use of capital. The company also has a solid track record of consistent dividend payments, making it an attractive option for income investors.</t>
  </si>
  <si>
    <t>Recent news in the Multi-Utilities industry, such as falling oil prices and increased demand for renewable energy, may have a positive impact on Pinnacle West's stock performance. However, potential regulatory changes and geopolitical tensions could also pose risks for the company.</t>
  </si>
  <si>
    <t>Overall, Pinnacle West appears to be a solid investment option in the Multi-Utilities industry, with a strong financial position and potential for growth. However, investors should closely monitor industry and market trends to make informed investment decisions.</t>
  </si>
  <si>
    <t>PSX,85.0,"</t>
  </si>
  <si>
    <t>Phillips 66 is a leading company in the Oil &amp; Gas Refining &amp; Marketing industry with a recent market cap of $54.99B and an enterprise value of $70.90B. The company has a trailing P/E ratio of 7.55 and a forward P/E ratio of 8.93, indicating that the stock may be undervalued. Additionally, its price/sales ratio of 0.39 and price/book ratio of 1.78 suggest that the stock is trading at a discount compared to its peers in the industry.</t>
  </si>
  <si>
    <t>Furthermore, Phillips 66 has a strong financial position with an enterprise value/revenue ratio of 0.47 and an enterprise value/EBITDA ratio of 5.41. This indicates that the company is generating solid revenue and earnings, making it a potentially attractive investment opportunity.</t>
  </si>
  <si>
    <t>However, it is important to note that the oil and gas industry is highly volatile and subject to various external factors such as geopolitical tensions and fluctuations in oil prices. As such, investors should carefully consider these risks before making any investment decisions.</t>
  </si>
  <si>
    <t>PHM,85.0,"</t>
  </si>
  <si>
    <t>PulteGroup is a leading homebuilding company in the United States with a recent market cap of $19.93B and an enterprise value of $20.49B. The company has a trailing P/E ratio of 7.55 and a forward P/E ratio of 8.75, indicating that the stock is currently undervalued. The PEG ratio of 0.29 also suggests that the stock may be undervalued compared to its expected growth rate. PulteGroup's price/sales ratio of 1.21 and price/book ratio of 1.99 are both below the industry average, further supporting the undervaluation of the stock.</t>
  </si>
  <si>
    <t>In terms of financial performance, PulteGroup has a strong balance sheet with a low debt-to-equity ratio of 0.29 and a solid return on equity of 19.72%. The company also has a healthy cash flow and has been consistently increasing its dividend payout over the years.</t>
  </si>
  <si>
    <t>In the latest news, the housing market has been showing signs of recovery, with low mortgage rates and high demand for new homes. This bodes well for PulteGroup, as the company is well-positioned to capitalize on the growing demand for new homes. Additionally, the company's focus on cost management and operational efficiency has helped it maintain strong margins and profitability.</t>
  </si>
  <si>
    <t>Based on the recent financial data and market trends, PulteGroup appears to be a solid investment opportunity in the homebuilding industry. The company's strong financials, undervalued stock, and positive market outlook make it a promising choice for investors.</t>
  </si>
  <si>
    <t>HPE,85.0,"</t>
  </si>
  <si>
    <t>Hewlett Packard Enterprise (HPE) is a leading company in the Technology Hardware, Storage &amp; Peripherals industry with a recent market cap of 20.37B and an enterprise value of 28.46B. The company has a trailing P/E ratio of 10.31 and a forward P/E ratio of 8.27, indicating that the stock may be undervalued. However, the PEG ratio of 1.17 suggests that the stock may be slightly overvalued based on its expected growth rate.</t>
  </si>
  <si>
    <t>HPE's latest financial data also shows a price/sales ratio of 0.72 and a price/book ratio of 0.96, which are both below the industry average. This indicates that the stock may be trading at a discount compared to its peers. Additionally, the enterprise value/revenue ratio of 0.98 and the enterprise value/EBITDA ratio of 5.69 suggest that the company may be undervalued based on its revenue and earnings.</t>
  </si>
  <si>
    <t>Overall, HPE's financial data suggests that the stock may be undervalued and could potentially offer a good investment opportunity. However, investors should also consider the recent news and developments in the industry, such as the rise of generative AI models and potential regulatory changes, before making any investment decisions.</t>
  </si>
  <si>
    <t>HES,85.0,"</t>
  </si>
  <si>
    <t>Hess Corporation is a leading integrated oil and gas company with a recent market cap of $41.86B and an enterprise value of $49.14B. The company has a trailing P/E ratio of 28.63 and a forward P/E ratio of 13.32, indicating a potential undervaluation of the stock. The PEG ratio of 0.29 suggests that the stock may be undervalued compared to its expected growth rate. Additionally, the price/sales and price/book ratios of 4.02 and 4.85, respectively, are in line with industry averages.</t>
  </si>
  <si>
    <t>Hess Corporation has a strong financial position with a low debt-to-equity ratio and a healthy cash flow. The company has been able to maintain stable revenues and profitability despite the recent volatility in the oil and gas industry. Furthermore, the company has a diversified portfolio of assets, including offshore and onshore operations, which helps mitigate risks.</t>
  </si>
  <si>
    <t>The recent decline in oil prices may have a short-term impact on the company's financials, but the long-term outlook for the oil and gas industry remains positive. The company's focus on cost-cutting measures and efficiency improvements should help maintain profitability and cash flow.</t>
  </si>
  <si>
    <t>Overall, Hess Corporation appears to be a solid investment opportunity in the integrated oil and gas industry. The company's strong financials, diversified portfolio, and potential undervaluation make it an attractive option for investors.</t>
  </si>
  <si>
    <t>HSIC,85.0,"</t>
  </si>
  <si>
    <t>Henry Schein, a leading health care distributor, has shown strong financial performance in recent years. With a market cap of 9.18B and an enterprise value of 11.30B, the company has a solid financial foundation. Its trailing P/E ratio of 20.90 and forward P/E ratio of 13.72 suggest that the stock is currently undervalued, making it an attractive investment opportunity.</t>
  </si>
  <si>
    <t>Furthermore, Henry Schein's PEG ratio of 1.61 indicates that the stock is trading at a reasonable price in relation to its expected earnings growth. Its price/sales ratio of 0.74 and price/book ratio of 2.51 also suggest that the stock is undervalued compared to its industry peers.</t>
  </si>
  <si>
    <t>In terms of profitability, Henry Schein has an enterprise value/revenue ratio of 0.89 and an enterprise value/EBITDA ratio of 12.53, indicating that the company is generating strong returns for its investors.</t>
  </si>
  <si>
    <t>Overall, Henry Schein's recent financial data and market trends suggest that it is a strong investment opportunity in the health care distributors industry. Its solid financial performance and undervalued stock make it a promising choice for investors.</t>
  </si>
  <si>
    <t>PFE,85.0,"</t>
  </si>
  <si>
    <t>Pfizer, a leading pharmaceutical company, has been in the news recently for its COVID-19 vaccine and its potential impact on the global pandemic. However, there are other factors to consider when evaluating the investment potential of this company.</t>
  </si>
  <si>
    <t>Recent financial data shows that Pfizer has a market cap of $162.56B and an enterprise value of $181.98B. Its trailing P/E ratio is 15.73, which is lower than the industry average, indicating that the stock may be undervalued. The forward P/E ratio of 9.00 also suggests that the company's earnings are expected to grow in the future.</t>
  </si>
  <si>
    <t>In terms of valuation, Pfizer's price/sales ratio of 2.40 and price/book ratio of 1.68 are both below the industry average, indicating that the stock may be undervalued. Its enterprise value/revenue ratio of 2.66 and enterprise value/EBITDA ratio of 9.89 are also lower than the industry average, suggesting that the company may be a good investment opportunity.</t>
  </si>
  <si>
    <t>However, it is important to note that the pharmaceutical industry is highly regulated and subject to potential changes in government policies and regulations. Additionally, Pfizer faces competition from other pharmaceutical companies and the success of its COVID-19 vaccine may not be sustainable in the long term.</t>
  </si>
  <si>
    <t>Overall, based on the recent financial data and industry trends, Pfizer appears to be a promising investment opportunity in the pharmaceutical industry. However, investors should carefully consider the potential risks and monitor any developments in the industry and the company's performance.</t>
  </si>
  <si>
    <t>PEP,85.0,"</t>
  </si>
  <si>
    <t>PepsiCo, a leading company in the Soft Drinks &amp; Non-alcoholic Beverages industry, has been performing well in the recent months. With a market cap of 230.29B and an enterprise value of 264.78B, the company has a strong financial standing. Its trailing P/E ratio of 27.92 and forward P/E ratio of 20.49 indicate that the company is currently undervalued, making it an attractive investment opportunity.</t>
  </si>
  <si>
    <t>Furthermore, PepsiCo's PEG ratio of 2.49 suggests that the stock is trading at a reasonable price in relation to its expected earnings growth. Its price/sales ratio of 2.53 and price/book ratio of 12.25 also indicate that the stock is undervalued compared to its industry peers.</t>
  </si>
  <si>
    <t>In terms of profitability, PepsiCo has an enterprise value/revenue ratio of 2.89 and an enterprise value/EBITDA ratio of 18.01, which are both lower than the industry average. This suggests that the company is generating strong revenues and has a healthy level of debt.</t>
  </si>
  <si>
    <t>Overall, PepsiCo's recent financial data and market trends indicate that it is a strong investment opportunity in the Soft Drinks &amp; Non-alcoholic Beverages industry. Its solid financial standing, undervalued stock price, and strong profitability make it a promising choice for investors.</t>
  </si>
  <si>
    <t>PNR,85.0,"</t>
  </si>
  <si>
    <t>Pentair is a leading company in the Industrial Machinery &amp; Supplies &amp; Components industry with a recent market cap of 10.98B and an enterprise value of 12.94B. The company has a trailing P/E ratio of 21.50 and a forward P/E ratio of 15.65, indicating a potential undervaluation of the stock. The PEG ratio of 1.32 suggests that the stock may be trading at a discount compared to its expected growth rate. Additionally, the price/sales and price/book ratios of 2.67 and 3.61, respectively, are below the industry average, further supporting the undervaluation of the stock.</t>
  </si>
  <si>
    <t>Pentair's recent financial data also shows a strong enterprise value/revenue ratio of 3.14 and an enterprise value/EBITDA ratio of 15.65, indicating a healthy balance sheet and potential for future growth. The company's latest news and developments, such as its focus on sustainability and innovation, also bode well for its long-term prospects.</t>
  </si>
  <si>
    <t>Overall, Pentair appears to be a solid investment opportunity in the Industrial Machinery &amp; Supplies &amp; Components industry. Its undervalued stock and strong financials make it a potential candidate for growth in the coming months.</t>
  </si>
  <si>
    <t>PNC,85.0,"          Enterprise Value  55.51B</t>
  </si>
  <si>
    <t>PNC Financial Services is a leading regional bank with a market cap of 55.51B. The latest financial data shows a trailing P/E ratio of 9.68 and a forward P/E ratio of 11.16, indicating a relatively low valuation compared to its peers in the regional banks industry. The PEG ratio of 7.20 suggests that the stock may be slightly overvalued based on its expected growth rate. However, the price/sales ratio of 2.56 and price/book ratio of 1.12 are both below the industry average, indicating a potential undervaluation.</t>
  </si>
  <si>
    <t>In terms of recent news, PNC Financial Services has announced plans to acquire BBVA USA Bancshares, Inc., which would make it the fifth-largest U.S. retail bank by assets. This acquisition could potentially drive growth and increase market share for the company.</t>
  </si>
  <si>
    <t>Overall, PNC Financial Services appears to be in a strong financial position with a solid balance sheet and potential for growth. However, investors should closely monitor any potential regulatory changes and the impact of the ongoing COVID-19 pandemic on the banking industry.</t>
  </si>
  <si>
    <t>AMP,85.0,"  Enterprise Value/EBITDA  10.86</t>
  </si>
  <si>
    <t>Ameriprise Financial is a leading company in the Asset Management &amp; Custody Banks industry with a recent market cap of $35.43B and an enterprise value of $34.31B. The company has a trailing P/E ratio of 16.88 and a forward P/E ratio of 10.81, indicating a potential undervaluation of the stock. The PEG ratio of 1.29 suggests that the stock may be trading at a discount compared to its expected earnings growth. Additionally, the price/sales ratio of 2.51 and price/book ratio of 9.26 also indicate a potential undervaluation of the stock. However, the enterprise value/revenue ratio of 2.25 and enterprise value/EBITDA ratio of 10.86 suggest that the stock may be slightly overvalued based on these metrics.</t>
  </si>
  <si>
    <t>The recent news and events in the market, such as the potential for increased regulation in the financial sector and the ongoing geopolitical tensions, may impact the stock price of Ameriprise Financial in the short term. However, the company has a strong financial position and a solid track record of performance, which may help mitigate any potential risks.</t>
  </si>
  <si>
    <t>Overall, Ameriprise Financial appears to be a solid investment opportunity in the Asset Management &amp; Custody Banks industry. The company's strong financials and potential undervaluation make it a promising option for investors. However, it is important to closely monitor market trends and company performance before making any investment decisions.</t>
  </si>
  <si>
    <t>AMT,85.0,"</t>
  </si>
  <si>
    <t>American Tower, a leading player in the Telecom Tower REITs industry, has been performing well in the recent months. The latest financial data shows a strong market cap of 98.25B and an enterprise value of 142.95B. The trailing P/E ratio of 140.51 and forward P/E ratio of 43.10 indicate that the company is currently trading at a premium, but this could be justified by its strong growth potential.</t>
  </si>
  <si>
    <t>The PEG ratio of 2.58 suggests that the stock may be slightly overvalued, but this could also be attributed to the company's strong earnings growth. The price/sales ratio of 8.90 and price/book ratio of 21.67 are also on the higher side, indicating that the stock may be trading at a premium compared to its peers.</t>
  </si>
  <si>
    <t>However, the enterprise value/revenue ratio of 12.92 and enterprise value/EBITDA ratio of 27.41 are in line with industry averages, suggesting that the company is not overleveraged and has a healthy balance sheet.</t>
  </si>
  <si>
    <t>Overall, American Tower appears to be a strong player in the Telecom Tower REITs industry with a solid financial position. The company's growth potential and strong market position make it a promising investment option.</t>
  </si>
  <si>
    <t>TMO,85.0,"</t>
  </si>
  <si>
    <t>Thermo Fisher Scientific is a leading company in the Life Sciences Tools &amp; Services industry with a recent market cap of 190.79B and an enterprise value of 219.93B. The company has a trailing P/E ratio of 32.36 and a forward P/E ratio of 22.68, indicating a potential undervaluation of the stock. The PEG ratio of 1.63 suggests that the stock may be trading at a discount compared to its expected growth rate. Thermo Fisher Scientific also has a strong financial position with a price/sales ratio of 4.42 and a price/book ratio of 4.21, both below the industry average. The company's enterprise value/revenue ratio of 5.07 and enterprise value/EBITDA ratio of 19.99 also indicate a potential undervaluation of the stock.</t>
  </si>
  <si>
    <t>Recent news in the Life Sciences Tools &amp; Services industry, such as the increasing demand for healthcare and research services, bodes well for Thermo Fisher Scientific's future growth. The company's recent acquisition of PPD, a leading contract research organization, further strengthens its position in the industry. Additionally, Thermo Fisher Scientific's strong financials and diverse product portfolio make it well-equipped to weather any potential market volatility.</t>
  </si>
  <si>
    <t>Based on the recent financial data and industry trends, Thermo Fisher Scientific appears to be a strong investment opportunity in the Life Sciences Tools &amp; Services industry. However, investors should always conduct their own research and consider their risk tolerance before making any investment decisions.</t>
  </si>
  <si>
    <t>ALLE,85.0,"</t>
  </si>
  <si>
    <t>Allegion is a leading company in the Building Products industry with a recent market cap of 9.23B and an enterprise value of 10.88B. The firm has a trailing P/E ratio of 16.63 and a forward P/E ratio of 14.88, indicating that the stock may be undervalued. The PEG ratio of 1.36 suggests that the stock may have growth potential in the next five years. Additionally, the price/sales ratio of 2.57 and price/book ratio of 7.49 are in line with industry averages, indicating a fair valuation. However, the enterprise value/revenue ratio of 3.01 and enterprise value/EBITDA ratio of 13.17 are slightly higher than industry averages, which may indicate a higher level of debt. Overall, the recent financial data suggests that Allegion is a stable and potentially undervalued company in the Building Products industry.</t>
  </si>
  <si>
    <t>ALGN,85.0,"</t>
  </si>
  <si>
    <t>Align Technology, a leading company in the Health Care Supplies industry, has shown strong financial performance in recent years. With a market cap of 16.60B and an enterprise value of 15.44B, the company has a solid financial foundation. Its trailing P/E ratio of 45.92 and forward P/E ratio of 23.81 indicate that the company is currently trading at a premium, but its PEG ratio of 1.84 suggests potential for future growth.</t>
  </si>
  <si>
    <t>In terms of valuation, Align Technology's price/sales ratio of 4.39 and price/book ratio of 4.37 are in line with industry averages, indicating that the stock is not overvalued. Its enterprise value/revenue ratio of 4.06 and enterprise value/EBITDA ratio of 20.92 also suggest that the company is reasonably priced.</t>
  </si>
  <si>
    <t>Recent news in the health care industry, such as the end of COVID-19 restrictions and the availability of vaccines, bodes well for Align Technology's business. Additionally, the company's innovative products and strong financials make it a promising investment opportunity.</t>
  </si>
  <si>
    <t>ARE,85.0,"</t>
  </si>
  <si>
    <t>Alexandria Real Estate Equities is a leading company in the Office REITs industry with a recent market cap of 21.17B and an enterprise value of 32.23B. The firm has a trailing P/E ratio of 88.28 and a forward P/E ratio of 16.69, indicating a potential undervaluation in the stock. The price/sales ratio of 7.43 and price/book ratio of 1.14 also suggest a favorable valuation for investors.</t>
  </si>
  <si>
    <t>In terms of financial performance, Alexandria Real Estate Equities has a strong enterprise value/revenue ratio of 11.60 and enterprise value/EBITDA ratio of 20.77, indicating efficient use of capital and potential for future growth.</t>
  </si>
  <si>
    <t>Recent news in the Office REITs industry, such as falling interest rates and increasing demand for office space, may provide a positive outlook for Alexandria Real Estate Equities in the next month. Additionally, the company has a strong track record of consistent dividend payments, making it an attractive option for income-seeking investors.</t>
  </si>
  <si>
    <t>Overall, based on the recent financial data and industry trends, Alexandria Real Estate Equities appears to be a promising investment opportunity in the Office REITs industry.</t>
  </si>
  <si>
    <t>ALB,85.0,"</t>
  </si>
  <si>
    <t>Albemarle Corporation is a leading company in the specialty chemicals industry with a recent market cap of 13.88B and an enterprise value of 15.94B. The company has a trailing P/E ratio of 4.19 and a forward P/E ratio of 8.03, indicating that the stock may be undervalued. Additionally, the PEG ratio of 0.37 suggests that the stock may be a good value for long-term investors.</t>
  </si>
  <si>
    <t>The latest financial data also shows that Albemarle Corporation has a price/sales ratio of 1.41 and a price/book ratio of 1.40, which are both below the industry average. This indicates that the stock may be trading at a discount compared to its peers. Furthermore, the company's enterprise value/revenue ratio of 1.61 and enterprise value/EBITDA ratio of 6.36 are also lower than the industry average, suggesting that the stock may have room for growth.</t>
  </si>
  <si>
    <t>Overall, Albemarle Corporation appears to be in a strong financial position with a low valuation and potential for growth. However, investors should also consider the potential risks and uncertainties in the specialty chemicals industry, such as changing regulations and market conditions.</t>
  </si>
  <si>
    <t>AKAM,85.0,"</t>
  </si>
  <si>
    <t>Akamai is a leading company in the Internet Services &amp; Infrastructure industry with a recent market cap of 17.26B and an enterprise value of 20.83B. The company has a trailing P/E ratio of 34.58 and a forward P/E ratio of 16.64, indicating a potential undervaluation of the stock. The PEG ratio of 1.14 suggests that the stock may be trading at a discount compared to its expected growth rate. Additionally, the price/sales ratio of 4.75 and price/book ratio of 3.99 are both below the industry average, further supporting the undervaluation of the stock.</t>
  </si>
  <si>
    <t>Akamai's latest financial data also shows a strong enterprise value/revenue ratio of 5.56 and an enterprise value/EBITDA ratio of 17.24, indicating a solid financial position and potential for future growth.</t>
  </si>
  <si>
    <t>The company has a strong track record of consistent revenue and earnings growth, with a 5-year average revenue growth rate of 9.5% and an earnings growth rate of 12.6%. Akamai also has a diverse client base, including some of the biggest names in the tech industry, which provides stability and potential for continued growth.</t>
  </si>
  <si>
    <t>Overall, Akamai appears to be a solid investment opportunity in the Internet Services &amp; Infrastructure industry. With its strong financials, undervalued stock price, and potential for future growth, the company may present a good investment opportunity for the next month.</t>
  </si>
  <si>
    <t>APD,85.0,"</t>
  </si>
  <si>
    <t>Air Products and Chemicals is a leading company in the industrial gases industry with a recent market cap of 58.06B and an enterprise value of 67.14B. The company has a trailing P/E ratio of 25.37 and a forward P/E ratio of 20.16, indicating a potential undervaluation of the stock. The PEG ratio of 1.76 suggests that the stock may be slightly overvalued in relation to its expected growth. However, the price/sales ratio of 4.62 and price/book ratio of 4.06 are in line with industry averages, indicating a fair valuation. The enterprise value/revenue ratio of 5.33 and enterprise value/EBITDA ratio of 15.20 are also in line with industry standards.</t>
  </si>
  <si>
    <t>Air Products and Chemicals has a strong financial position with a healthy balance sheet and consistent profitability. The company has a diversified portfolio of products and services, serving a wide range of industries such as healthcare, energy, and electronics. The recent acquisition of gasification technology company, Gasification Technology Inc., further strengthens the company's position in the market.</t>
  </si>
  <si>
    <t>Based on the latest financial data and industry trends, Air Products and Chemicals appears to be a solid investment option in the industrial gases industry. The company's strong financials, diversified portfolio, and strategic acquisitions make it well-positioned for future growth. However, investors should closely monitor any potential changes in the industry and the company's performance in the coming months.</t>
  </si>
  <si>
    <t>LHX,85.0,"</t>
  </si>
  <si>
    <t>L3Harris, a leading company in the Aerospace &amp; Defense industry, has shown strong financial performance in recent years. With a market cap of 37.71B and an enterprise value of 51.48B, the company has a solid financial foundation. Its trailing P/E ratio of 25.60 and forward P/E ratio of 14.81 indicate that the company is currently undervalued, making it an attractive investment opportunity.</t>
  </si>
  <si>
    <t>Furthermore, L3Harris has a low PEG ratio of 0.70, which suggests that the stock is undervalued relative to its expected growth. This is a positive sign for investors, as it indicates potential for future growth. The company also has a healthy price/sales ratio of 2.04 and a price/book ratio of 2.03, which are both below the industry average. This further supports the undervaluation of the stock.</t>
  </si>
  <si>
    <t>In terms of its enterprise value, L3Harris has a low enterprise value/revenue ratio of 2.76 and a moderate enterprise value/EBITDA ratio of 16.18. This indicates that the company is generating strong revenue and has a healthy level of debt.</t>
  </si>
  <si>
    <t>Overall, L3Harris appears to be a strong investment opportunity in the Aerospace &amp; Defense industry. Its solid financial performance and undervalued stock make it an attractive option for investors. However, as with any investment, it is important to conduct further research and analysis before making any decisions.</t>
  </si>
  <si>
    <t>LNT,85.0,"</t>
  </si>
  <si>
    <t>Alliant Energy is a leading electric utility company with a recent market cap of 13.29B and an enterprise value of 22.43B. The company has a trailing P/E ratio of 19.08 and a forward P/E ratio of 16.92, indicating a potential undervaluation of the stock. The PEG ratio of 2.68 suggests that the stock may be slightly overvalued in relation to its expected growth rate. Alliant Energy also has a price/sales ratio of 3.19 and a price/book ratio of 1.98, which are both below the industry average, indicating a potential buying opportunity.</t>
  </si>
  <si>
    <t>In terms of financial performance, Alliant Energy has a strong enterprise value/revenue ratio of 5.44 and an enterprise value/EBITDA ratio of 12.89, which are both above the industry average. This suggests that the company is generating strong revenues and profits, making it a stable investment option.</t>
  </si>
  <si>
    <t>Overall, Alliant Energy appears to be a solid investment option in the electric utilities industry. With a strong financial performance and potential undervaluation, the stock may present a buying opportunity for investors. However, it is important to closely monitor any potential regulatory changes and their impact on the company's operations.</t>
  </si>
  <si>
    <t>MHK,85.0,"</t>
  </si>
  <si>
    <t>Mohawk Industries, a leading company in the Home Furnishings industry, has shown strong financial performance in recent years. With a market cap of 5.95B and an enterprise value of 8.45B, the company has a solid financial foundation. Its trailing P/E ratio of 7.61 and forward P/E ratio of 9.74 indicate that the stock is currently undervalued, making it an attractive investment opportunity.</t>
  </si>
  <si>
    <t>Furthermore, Mohawk Industries has a low price-to-sales ratio of 0.53 and a price-to-book ratio of 0.82, which suggests that the stock is trading at a discount compared to its peers in the industry. Its enterprise value/revenue ratio of 0.76 and enterprise value/EBITDA ratio of 35.47 also indicate that the company is generating strong revenue and earnings.</t>
  </si>
  <si>
    <t>Recent news in the Home Furnishings industry, such as the increase in demand for home renovation and remodeling due to the pandemic, bodes well for Mohawk Industries. The company's diverse product portfolio and strong brand reputation position it well to capitalize on this trend.</t>
  </si>
  <si>
    <t>Overall, Mohawk Industries appears to be a solid investment opportunity in the Home Furnishings industry. Its strong financials and potential for growth make it a promising stock to consider for the next month.</t>
  </si>
  <si>
    <t>MAA,85.0,"</t>
  </si>
  <si>
    <t>Mid-America Apartment Communities (MAA) is a real estate investment trust (REIT) that specializes in multi-family residential properties. The recent financial data for MAA shows a strong market capitalization of $14.83 billion and an enterprise value of $19.07 billion. The trailing P/E ratio of 25.43 and forward P/E ratio of 28.25 suggest that the stock may be slightly overvalued, but this could also be due to the current market conditions. The price/sales ratio of 6.93 and price/book ratio of 2.42 indicate that the stock is trading at a premium compared to its industry peers. However, the enterprise value/revenue ratio of 8.93 and enterprise value/EBITDA ratio of 14.49 are in line with the industry average, indicating that the company is not overleveraged.</t>
  </si>
  <si>
    <t>The latest news in the multi-family residential REIT industry suggests a positive outlook for MAA. With the ongoing housing shortage and increasing demand for rental properties, MAA is well-positioned to benefit from the current market conditions. Additionally, the company has a strong portfolio of properties in desirable locations, which can attract high-quality tenants and generate stable rental income.</t>
  </si>
  <si>
    <t>Based on the current financial data and industry trends, MAA appears to be a solid investment option for the next month. However, investors should closely monitor any potential changes in interest rates and housing market conditions, as these factors can impact the company's performance. Overall, MAA has a strong financial position and a positive outlook, making it a potential investment opportunity for the next month.</t>
  </si>
  <si>
    <t>MSFT,85.0,"Investment Report:</t>
  </si>
  <si>
    <t>Microsoft, one of the largest companies in the world, has been making headlines recently as a potential hedge against a market crash. With a market cap of 2.74 trillion and a diverse portfolio of businesses and investments, including stakes in top companies from various sectors, Microsoft is a strong and stable player in the market.</t>
  </si>
  <si>
    <t>In terms of financial data, Microsoft's latest trailing P/E ratio of 35.74 and forward P/E ratio of 33.00 suggest that the stock may be slightly overvalued. However, its PEG ratio of 2.20 indicates that the stock may still have room for growth. Additionally, its price/sales and price/book ratios are in line with industry averages, indicating a fair valuation.</t>
  </si>
  <si>
    <t>Furthermore, Microsoft's enterprise value/revenue and enterprise value/EBITDA ratios of 12.29 and 23.95, respectively, are also in line with industry averages, suggesting that the company is not overleveraged.</t>
  </si>
  <si>
    <t>Overall, Microsoft's strong financials and diverse portfolio make it a solid investment option for investors looking to hedge against a potential market crash. However, as with any investment, it is important to conduct thorough research and consider one's own risk tolerance before making any decisions.</t>
  </si>
  <si>
    <t>MU,85.0,"</t>
  </si>
  <si>
    <t>Micron Technology, a leading semiconductor company, has shown strong financial performance in recent years. With a market cap of 80.74B and an enterprise value of 85.08B, the company has a solid financial foundation. Its trailing P/E ratio of 10.05 and price/sales ratio of 5.14 indicate that the stock is currently undervalued. Additionally, its price/book ratio of 1.83 suggests that the stock may have room for growth.</t>
  </si>
  <si>
    <t>In terms of profitability, Micron Technology has an impressive enterprise value/revenue ratio of 5.47 and an enterprise value/EBITDA ratio of 34.22. This indicates that the company is generating strong revenue and has a healthy level of earnings before interest, taxes, depreciation, and amortization.</t>
  </si>
  <si>
    <t>The recent news in the semiconductor industry, such as the global chip shortage and increasing demand for technology products, bodes well for Micron Technology. As a major player in the industry, the company is well-positioned to benefit from these trends.</t>
  </si>
  <si>
    <t>Overall, Micron Technology appears to be a strong investment opportunity in the semiconductor industry. Its solid financials and positive industry outlook make it a promising stock to consider for the next month.</t>
  </si>
  <si>
    <t>MSCI,85.0,"</t>
  </si>
  <si>
    <t>MSCI, a leading provider of financial data and analytics, has shown strong financial performance in recent years. With a market cap of 40.74B and an enterprise value of 44.45B, the company has a solid financial foundation. Its trailing P/E ratio of 42.96 and forward P/E ratio of 34.72 indicate that the stock may be slightly overvalued, but this is offset by its strong expected growth potential, with a PEG ratio of 2.40.</t>
  </si>
  <si>
    <t>In terms of revenue, MSCI has a price/sales ratio of 17.08, which is higher than the industry average. However, its enterprise value/revenue ratio of 18.40 is in line with its competitors. The company's enterprise value/EBITDA ratio of 29.64 is also higher than the industry average, indicating that it may be slightly overvalued based on its earnings.</t>
  </si>
  <si>
    <t>Overall, MSCI has a strong financial position and is well-positioned for future growth. Its recent expansion into new markets and continued investment in technology and data analytics make it a promising investment opportunity in the financial exchanges and data industry.</t>
  </si>
  <si>
    <t>MOS,85.0,"</t>
  </si>
  <si>
    <t>The Mosaic Company is a leading producer and marketer of concentrated phosphate and potash crop nutrients. With a recent market cap of 11.47B and an enterprise value of 14.76B, the company operates in a highly competitive industry, facing challenges such as fluctuating commodity prices and changing consumer demand. However, the company has a strong financial position, with a low trailing P/E of 8.88 and a forward P/E of 10.80, indicating potential undervaluation. Additionally, its price/sales ratio of 0.79 and price/book ratio of 0.95 suggest that the stock may be trading at a discount compared to its peers. The enterprise value/revenue and enterprise value/EBITDA ratios of 0.98 and 5.28, respectively, also indicate a relatively attractive valuation. However, investors should be aware of potential risks, such as the impact of global economic conditions on the demand for fertilizers and agricultural chemicals. Overall, the recent financial data suggests that Mosaic Company may be a potential investment opportunity in the fertilizers and agricultural chemicals industry.</t>
  </si>
  <si>
    <t>MS,85.0,"          Enterprise Value  1.02T</t>
  </si>
  <si>
    <t>Morgan Stanley is a leading investment banking and brokerage firm with a recent market cap of 130.34B. The firm has a trailing P/E ratio of 14.18 and a forward P/E ratio of 11.98, indicating a relatively low valuation compared to its peers in the industry. However, its PEG ratio of 2.72 suggests that the stock may be slightly overvalued based on its expected growth rate. The price/sales ratio of 2.61 and price/book ratio of 1.44 also indicate a reasonable valuation for the stock.</t>
  </si>
  <si>
    <t>In terms of financial performance, Morgan Stanley has shown strong growth in recent years, with a 5-year average revenue growth rate of 7.5%. Its latest enterprise value of 1.02T reflects the company's strong financial position and ability to generate cash flow.</t>
  </si>
  <si>
    <t>The recent news of Wall Street CEOs warning lawmakers about potential financial regulations may have an impact on the investment banking and brokerage industry, including Morgan Stanley. However, the firm's diversified business model and strong financials may help mitigate any potential risks.</t>
  </si>
  <si>
    <t>Overall, Morgan Stanley appears to be a solid investment option in the investment banking and brokerage industry. Its strong financials and reasonable valuation make it a potential candidate for investors looking for long-term growth opportunities.</t>
  </si>
  <si>
    <t>MLM,85.0,"</t>
  </si>
  <si>
    <t>Martin Marietta Materials is a leading company in the construction materials industry with a recent market cap of 28.46B and an enterprise value of 32.54B. The firm has a trailing P/E ratio of 26.02 and a forward P/E ratio of 23.36, indicating a positive outlook for future earnings. The PEG ratio of 1.83 suggests that the stock may be undervalued compared to its expected growth rate. Additionally, the price/sales ratio of 4.31 and price/book ratio of 3.65 are in line with industry averages, indicating a fair valuation.</t>
  </si>
  <si>
    <t>The latest financial data also shows that Martin Marietta Materials has a strong balance sheet, with a low debt-to-equity ratio and a solid enterprise value/revenue ratio of 4.90. However, the enterprise value/EBITDA ratio of 15.79 is slightly higher than the industry average, suggesting that the stock may be slightly overvalued based on its earnings.</t>
  </si>
  <si>
    <t>Overall, Martin Marietta Materials appears to be a stable and well-managed company with a positive outlook for future growth. The recent news of increased infrastructure spending in the United States could also benefit the construction materials industry, potentially driving up demand for the company's products.</t>
  </si>
  <si>
    <t>AEE,85.0,"</t>
  </si>
  <si>
    <t>Ameren, a multi-utility company with a market cap of 20.80B, has been performing well in the recent months. Its latest financial data shows a strong enterprise value of 36.81B and a trailing P/E ratio of 17.93. The company's forward P/E ratio of 16.86 and PEG ratio of 2.32 suggest potential growth in the future. Additionally, its price/sales ratio of 2.62 and price/book ratio of 1.88 indicate that the stock may be undervalued. However, its enterprise value/revenue ratio of 4.64 and enterprise value/EBITDA ratio of 10.92 may be cause for concern. Overall, Ameren appears to be a solid investment option in the multi-utilities industry.</t>
  </si>
  <si>
    <t>VLO,85.0,"</t>
  </si>
  <si>
    <t>Valero Energy, a leading company in the Oil &amp; Gas Refining &amp; Marketing industry, has shown strong financial performance in recent years. With a market cap of 41.78B and an enterprise value of 47.39B, the company has a solid financial foundation. Its trailing P/E ratio of 4.19 and forward P/E ratio of 8.53 indicate that the stock is undervalued, making it an attractive investment opportunity.</t>
  </si>
  <si>
    <t>In terms of valuation, Valero Energy has a price/sales ratio of 0.30 and a price/book ratio of 1.61, which are both below the industry average. This suggests that the stock is currently trading at a discount compared to its peers. Additionally, the company's enterprise value/revenue ratio of 0.31 and enterprise value/EBITDA ratio of 2.68 are also lower than the industry average, indicating that the stock may be undervalued.</t>
  </si>
  <si>
    <t>Recent news in the oil and gas industry, such as falling oil prices and increased demand for mortgage refinancing, may have a positive impact on Valero Energy's financial performance in the coming months. This, combined with the company's strong financials and undervalued stock, makes it a potentially attractive investment opportunity.</t>
  </si>
  <si>
    <t>UHS,85.0,"</t>
  </si>
  <si>
    <t>Universal Health Services (UHS) is a leading company in the Health Care Facilities industry with a recent market cap of 9.23B and an enterprise value of 14.53B. The company has a trailing P/E ratio of 14.20 and a forward P/E ratio of 11.67, indicating that the stock may be undervalued. UHS also has a low price-to-sales ratio of 0.68 and a price-to-book ratio of 1.52, which further supports its potential for investment.</t>
  </si>
  <si>
    <t>In terms of financial performance, UHS has a strong enterprise value/revenue ratio of 1.04 and an enterprise value/EBITDA ratio of 8.83, indicating that the company is generating solid revenue and earnings. This is a positive sign for investors, as it shows that UHS is efficiently managing its operations and has the potential for future growth.</t>
  </si>
  <si>
    <t>Recent news in the health care industry, such as the ongoing COVID-19 pandemic and the increasing demand for healthcare services, may also benefit UHS. The company has a strong presence in the United States and the United Kingdom, which are two of the largest healthcare markets in the world.</t>
  </si>
  <si>
    <t>Overall, UHS appears to be a promising investment opportunity in the Health Care Facilities industry. With its strong financial performance and potential for growth, the company may be a good addition to a well-diversified portfolio.</t>
  </si>
  <si>
    <t>UNH,85.0,"</t>
  </si>
  <si>
    <t>UnitedHealth Group (UNH) is a leading company in the Managed Health Care industry with a recent market cap of $508.27B and an enterprise value of $527.55B. The company has a trailing P/E ratio of 23.85 and a forward P/E ratio of 19.57, indicating a potential undervaluation of the stock. The PEG ratio of 1.51 suggests that the stock may be trading at a discount compared to its expected growth rate.</t>
  </si>
  <si>
    <t>In terms of valuation, UNH has a price/sales ratio of 1.44 and a price/book ratio of 6.02, which are both below the industry average. This indicates that the stock may be undervalued compared to its peers. Additionally, the company has a strong financial position with an enterprise value/revenue ratio of 1.47 and an enterprise value/EBITDA ratio of 14.84.</t>
  </si>
  <si>
    <t>Recent news in the healthcare industry, such as the COVID-19 pandemic and potential regulatory changes, may impact UNH's performance in the short term. However, the company has a strong track record of delivering consistent earnings growth and has a diversified business model that can withstand market fluctuations.</t>
  </si>
  <si>
    <t>Overall, UNH appears to be a solid investment opportunity in the Managed Health Care industry. With its strong financials and potential undervaluation, the stock may offer attractive returns for investors in the next month.</t>
  </si>
  <si>
    <t>URI,85.0,"</t>
  </si>
  <si>
    <t>United Rentals is a leading company in the Trading Companies &amp; Distributors industry with a recent market cap of 32.29B and an enterprise value of 44.93B. The company has a trailing P/E ratio of 13.85 and a forward P/E ratio of 11.16, indicating that the stock may be undervalued. The PEG ratio of 1.22 suggests that the stock may have growth potential in the next five years. Additionally, the price/sales ratio of 2.37 and price/book ratio of 4.16 are in line with industry averages, indicating a fair valuation. However, the enterprise value/revenue ratio of 3.23 and enterprise value/EBITDA ratio of 6.94 are slightly higher than industry averages, suggesting that the stock may be slightly overvalued.</t>
  </si>
  <si>
    <t>Overall, United Rentals appears to be a solid investment opportunity in the Trading Companies &amp; Distributors industry. The company has a strong market position and a healthy financial outlook. However, investors should closely monitor any potential changes in the industry and the overall economy that may impact the company's performance.</t>
  </si>
  <si>
    <t>UAL,85.0,"</t>
  </si>
  <si>
    <t>United Airlines Holdings (UAL) is a major player in the passenger airline industry, with a recent market cap of $13.43B and an enterprise value of $31.35B. The company has a trailing P/E ratio of 4.74 and a forward P/E ratio of 4.10, indicating that the stock may be undervalued. Additionally, the PEG ratio of 0.13 suggests that the stock may have strong growth potential.</t>
  </si>
  <si>
    <t>In terms of valuation, UAL has a price/sales ratio of 0.26 and a price/book ratio of 1.52, both of which are below the industry average. This could indicate that the stock is currently trading at a discount compared to its peers. Furthermore, the enterprise value/revenue ratio of 0.60 and the enterprise value/EBITDA ratio of 5.66 suggest that the company may be undervalued based on its revenue and earnings.</t>
  </si>
  <si>
    <t>Recent news in the airline industry, such as the lifting of COVID-19 restrictions and the increase in travel demand, bodes well for UAL's future performance. However, there are also potential risks, such as rising fuel prices and potential disruptions to global travel due to geopolitical tensions.</t>
  </si>
  <si>
    <t>Overall, UAL appears to be a strong investment opportunity in the passenger airline industry. With a low valuation and positive industry trends, the stock may have potential for growth in the coming months.</t>
  </si>
  <si>
    <t>V,85.0,"</t>
  </si>
  <si>
    <t>Visa Inc. is a leading company in the Transaction &amp; Payment Processing Services industry with a recent market cap of 522.14B and an enterprise value of 522.48B. The company has a trailing P/E ratio of 30.71 and a forward P/E ratio of 25.71, indicating a relatively high valuation. However, its PEG ratio of 1.64 suggests that the stock may still have room for growth.</t>
  </si>
  <si>
    <t>In terms of financial performance, Visa Inc. has a price/sales ratio of 16.24 and a price/book ratio of 13.48, both of which are higher than the industry average. This indicates that the stock may be overvalued compared to its peers. However, its enterprise value/revenue ratio of 16.00 and enterprise value/EBITDA ratio of 23.09 are in line with industry averages, suggesting that the company is efficiently managing its operations.</t>
  </si>
  <si>
    <t>Recent news in the industry, such as the increase in online transactions and the rise of digital payments, bodes well for Visa Inc. as a leader in the payment processing space. Additionally, the company has a strong financial position and a global presence, which positions it well for future growth opportunities.</t>
  </si>
  <si>
    <t>Based on the current market conditions and the company's financial data, the potential investment value of Visa Inc. in the Transaction &amp; Payment Processing Services industry for the next month is estimated to be high. However, investors should closely monitor any potential regulatory changes and the company's financial performance in the coming months.</t>
  </si>
  <si>
    <t>VICI,85.0,"</t>
  </si>
  <si>
    <t>Vici Properties is a real estate investment trust (REIT) that specializes in owning and operating hotel and resort properties. The recent financial data for the company shows a strong market capitalization of 31.28B and a solid enterprise value of 48.31B. The trailing P/E ratio of 12.55 and forward P/E ratio of 11.07 indicate that the company's stock is currently undervalued. Additionally, the price/sales ratio of 8.75 and price/book ratio of 1.29 suggest that the stock is trading at a discount compared to its peers in the industry.</t>
  </si>
  <si>
    <t>Furthermore, Vici Properties has a strong enterprise value/revenue ratio of 14.00 and enterprise value/EBITDA ratio of 15.10, indicating that the company is generating healthy revenue and earnings. This is a positive sign for investors as it shows the company's ability to generate profits and potentially provide stable dividends.</t>
  </si>
  <si>
    <t>Overall, Vici Properties appears to be in a strong financial position with potential for growth in the hotel and resort industry. However, investors should also consider the potential impact of the ongoing COVID-19 pandemic on the hospitality sector. As travel restrictions ease and the economy recovers, Vici Properties may see an increase in demand for its properties.</t>
  </si>
  <si>
    <t>AIG,85.0,"  Enterprise Value/EBITDA   7.86</t>
  </si>
  <si>
    <t>American International Group (AIG) is a leading global insurance company in the Property &amp; Casualty industry. The recent financial data shows a market cap of $45.89B and an enterprise value of $68.44B. AIG has a trailing P/E ratio of 11.35 and a forward P/E ratio of 8.40, indicating that the stock may be undervalued. The price/sales ratio of 0.94 and price/book ratio of 1.16 also suggest that the stock may be trading at a discount. Additionally, AIG's enterprise value/revenue ratio of 1.34 and enterprise value/EBITDA ratio of 7.86 are lower than the industry average, indicating a potentially attractive investment opportunity.</t>
  </si>
  <si>
    <t>AIG has a strong financial position with a solid balance sheet and a diversified portfolio of insurance products. The company has been focusing on cost-cutting measures and improving its underwriting performance, which has led to improved profitability. AIG also has a strong presence in emerging markets, providing opportunities for growth.</t>
  </si>
  <si>
    <t>However, there are some potential risks to consider. AIG's exposure to natural disasters and catastrophic events could impact its financial performance. Additionally, the ongoing COVID-19 pandemic may lead to increased insurance claims and potential disruptions in the global economy.</t>
  </si>
  <si>
    <t>Overall, AIG appears to be a solid investment opportunity in the Property &amp; Casualty insurance industry. With a strong financial position and potential for growth, the stock may be undervalued and offer attractive returns for investors.</t>
  </si>
  <si>
    <t>AXP,85.0,"   Recent News:</t>
  </si>
  <si>
    <t>American Express (ticker: AXP) is a leading company in the consumer finance industry with a recent market cap of $122.07B. The firm has a trailing P/E ratio of 15.70 and a forward P/E ratio of 13.51, indicating a relatively low valuation compared to its peers. The PEG ratio of 1.04 suggests that the stock may be undervalued, as it is trading at a discount to its expected growth rate. Additionally, the price/sales ratio of 2.12 and price/book ratio of 4.47 are both below the industry average, further supporting the potential investment value of the company.</t>
  </si>
  <si>
    <t>Recent news for American Express has been positive, with the company reporting strong financial results and announcing plans for future growth. In the latest quarter, the company beat earnings expectations and saw an increase in card member spending. American Express has also been investing in new technologies and partnerships to expand its customer base and improve its services.</t>
  </si>
  <si>
    <t>Based on the recent financial data and news, American Express appears to be in a strong position for future growth. The company has a solid financial foundation and is making strategic moves to stay competitive in the consumer finance industry. However, investors should keep an eye on potential regulatory changes and any impact on the company's operations.</t>
  </si>
  <si>
    <t>ALL,85.0,"  Enterprise Value/EBITDA  7.85</t>
  </si>
  <si>
    <t>Allstate is a leading company in the Property &amp; Casualty Insurance industry with a recent market cap of 36.24B and an enterprise value of 45.33B. The company has a forward P/E ratio of 11.22, which is lower than the industry average, indicating a potentially undervalued stock. Allstate also has a low price-to-sales ratio of 0.65 and a price-to-book ratio of 2.88, suggesting that the stock may be trading at a discount compared to its book value. Additionally, the company has a strong financial position with an enterprise value/revenue ratio of 0.81 and an enterprise value/EBITDA ratio of 7.85.</t>
  </si>
  <si>
    <t>Allstate has been performing well in the recent market conditions, with its stock price showing a steady upward trend. The company has also been able to maintain a strong balance sheet and generate consistent profits. However, there are potential risks to consider, such as the impact of natural disasters on the insurance industry and potential regulatory changes.</t>
  </si>
  <si>
    <t>Overall, Allstate appears to be a solid investment opportunity in the Property &amp; Casualty Insurance industry. With its strong financials and potential for growth, the company may be a good addition to a well-diversified portfolio.</t>
  </si>
  <si>
    <t>AMAT,85.0,"</t>
  </si>
  <si>
    <t>Applied Materials is a leading company in the Semiconductor Materials &amp; Equipment industry with a recent market cap of 121.05B and an enterprise value of 119.74B. The company has a trailing P/E ratio of 17.84 and a forward P/E ratio of 17.73, indicating a relatively stable valuation. The PEG ratio of 1.70 suggests that the stock may be slightly overvalued, but this is offset by the company's strong financials.</t>
  </si>
  <si>
    <t>Applied Materials has a price/sales ratio of 4.61 and a price/book ratio of 7.40, both of which are higher than the industry average. This may indicate that the stock is currently trading at a premium, but it also reflects the company's strong financial performance. The enterprise value/revenue ratio of 4.52 and the enterprise value/EBITDA ratio of 14.14 are also higher than the industry average, further highlighting the company's strong financial position.</t>
  </si>
  <si>
    <t>Overall, Applied Materials appears to be in a strong financial position with stable valuation metrics. The company's recent financial data and news suggest that it is well-positioned for growth in the Semiconductor Materials &amp; Equipment industry. However, investors should closely monitor any potential changes in the industry and the company's financial performance.</t>
  </si>
  <si>
    <t>APA,85.0,"</t>
  </si>
  <si>
    <t>APA Corporation is a leading company in the Oil &amp; Gas Exploration &amp; Production industry with a recent market cap of 10.44B and an enterprise value of 16.03B. The firm has a trailing P/E ratio of 6.79 and a forward P/E ratio of 5.23, indicating that the stock may be undervalued. Additionally, the price/sales ratio of 1.23 and price/book ratio of 9.68 suggest that the stock may be trading at a discount compared to its peers in the industry.</t>
  </si>
  <si>
    <t>In terms of financial performance, APA Corporation has a strong enterprise value/revenue ratio of 1.87 and an enterprise value/EBITDA ratio of 3.24, indicating a healthy balance sheet and efficient use of capital. However, it is important to note that the company's revenue and earnings have been impacted by the recent decline in oil prices.</t>
  </si>
  <si>
    <t>Overall, APA Corporation appears to be a solid investment opportunity in the Oil &amp; Gas Exploration &amp; Production industry. The company has a strong financial position and is trading at attractive valuation multiples. However, investors should closely monitor the impact of oil prices on the company's financial performance.</t>
  </si>
  <si>
    <t>AON,85.0,"</t>
  </si>
  <si>
    <t>Aon is a leading insurance brokerage firm with a recent market cap of 63.99B and an enterprise value of 67.86B. The company has a trailing P/E ratio of 24.27 and a forward P/E ratio of 19.76, indicating a potential undervaluation of the stock. The PEG ratio of 1.78 suggests that the stock may be slightly overvalued based on its expected growth rate. Aon's price/sales ratio of 5.03 and enterprise value/revenue ratio of 5.17 are in line with industry averages, while its enterprise value/EBITDA ratio of 17.01 is slightly higher than the industry average.</t>
  </si>
  <si>
    <t>The recent news in the insurance industry, including the rise in natural disasters and the ongoing COVID-19 pandemic, may present challenges for Aon in the short term. However, the company's strong financial position and diversified portfolio of services may help mitigate these risks. Additionally, Aon's recent acquisition of Willis Towers Watson may provide long-term growth opportunities for the company.</t>
  </si>
  <si>
    <t>Based on the latest financial data and industry trends, Aon appears to be a solid investment option in the insurance brokers industry. However, investors should closely monitor any potential regulatory changes and the impact of natural disasters on the company's financial performance.</t>
  </si>
  <si>
    <t>ADI,85.0,"</t>
  </si>
  <si>
    <t>Analog Devices is a leading company in the semiconductor industry with a recent market cap of 89.61B and an enterprise value of 95.67B. The company has a trailing P/E ratio of 27.57 and a forward P/E ratio of 25.13, indicating that the stock may be slightly overvalued. However, the PEG ratio of 2.72 suggests that the stock may still have growth potential. The price/sales ratio of 7.42 and price/book ratio of 2.52 are also in line with industry averages.</t>
  </si>
  <si>
    <t>In terms of financial performance, Analog Devices has a strong enterprise value/revenue ratio of 7.77 and an enterprise value/EBITDA ratio of 15.52, indicating a healthy balance sheet and efficient use of capital.</t>
  </si>
  <si>
    <t>The recent news in the semiconductor industry, including advancements in AI technology and the increasing demand for electronic devices, bodes well for Analog Devices. However, there are also concerns about potential supply chain disruptions and geopolitical tensions that may impact the industry.</t>
  </si>
  <si>
    <t>Overall, Analog Devices appears to be a solid investment option in the semiconductor industry. However, investors should closely monitor industry developments and the company's financial performance to make informed decisions.</t>
  </si>
  <si>
    <t>AMGN,85.0,"</t>
  </si>
  <si>
    <t>Amgen, a leading biotechnology company, has a recent market cap of $144.14B and an enterprise value of $169.87B. The company's trailing P/E ratio is 19.16 and its forward P/E ratio is 13.77, indicating a potential undervaluation. However, its PEG ratio of 2.19 suggests a slightly overvalued stock. Amgen's price/sales ratio of 5.40 and price/book ratio of 18.83 are higher than the industry average, but its enterprise value/revenue and enterprise value/EBITDA ratios of 6.33 and 11.46 respectively, are in line with industry standards.</t>
  </si>
  <si>
    <t>Amgen has a strong financial position with a solid balance sheet and consistent profitability. The company has a diverse portfolio of products and a strong pipeline of potential new drugs. However, there are concerns about potential competition and pricing pressures in the biotechnology industry.</t>
  </si>
  <si>
    <t>Based on the recent financial data and industry trends, Amgen appears to be a stable and potentially undervalued investment option in the biotechnology industry. However, investors should closely monitor any developments in the industry and the company's financial performance.</t>
  </si>
  <si>
    <t>AMD,85.0,"</t>
  </si>
  <si>
    <t>AMD's recent product launch has generated significant buzz in the tech industry, as it represents the first real threat to Nvidia's dominance in the artificial intelligence market. This is a major development for AMD, as it has historically lagged behind Nvidia in this area. The company's new products have the potential to disrupt the market and gain a larger share of the AI market.</t>
  </si>
  <si>
    <t>In terms of financial data, AMD's market cap and enterprise value are both strong, indicating a solid financial position. However, the trailing P/E ratio is quite high at 1.06k, which may be a concern for some investors. The forward P/E ratio of 31.45 is more reasonable and suggests that the company's future earnings are expected to be strong.</t>
  </si>
  <si>
    <t>The PEG ratio of 1.64 indicates that the stock may be slightly overvalued, but this could be justified by the potential growth from the new product launch. The price/sales and price/book ratios are also on the higher side, but this is not uncommon for companies in the tech industry.</t>
  </si>
  <si>
    <t>Overall, AMD's recent product launch and strong financial position make it an attractive investment option in the semiconductor industry. However, investors should closely monitor the company's performance and market trends to make informed decisions.</t>
  </si>
  <si>
    <t>AMCR,85.0,"</t>
  </si>
  <si>
    <t>Amcor is a leading company in the Paper &amp; Plastic Packaging Products &amp; Materials industry with a recent market cap of 13.60B and an enterprise value of 20.63B. The company has a trailing P/E ratio of 14.37 and a forward P/E ratio of 13.99, indicating that the stock may be undervalued. However, the PEG ratio of 4.02 suggests that the stock may be overvalued in relation to its expected growth. Amcor's price/sales ratio of 0.96 and price/book ratio of 3.49 are both below the industry average, indicating that the stock may be undervalued in comparison to its peers. The company's enterprise value/revenue ratio of 1.43 and enterprise value/EBITDA ratio of 10.05 are also below the industry average, suggesting that the stock may be undervalued in terms of its financial performance.</t>
  </si>
  <si>
    <t>Recent news in the industry, such as the increase in demand for sustainable packaging solutions, bodes well for Amcor as the company has a strong focus on sustainability and has been investing in research and development to meet this growing demand. Additionally, the company's recent acquisition of Bemis Company has expanded its product portfolio and global reach, positioning it for future growth.</t>
  </si>
  <si>
    <t>Based on the recent financial data and industry trends, Amcor appears to be a solid investment option in the Paper &amp; Plastic Packaging Products &amp; Materials industry. However, investors should closely monitor any potential impacts of rising raw material costs and potential regulatory changes on the company's financial performance.</t>
  </si>
  <si>
    <t>MO,85.0,"</t>
  </si>
  <si>
    <t>Altria, a leading company in the tobacco industry, has recently faced challenges due to declining smoking rates and increased regulations. However, the company has been able to maintain a strong financial position with a market cap of 73.15B and an enterprise value of 96.71B. The latest financial data shows a trailing P/E of 8.44 and a forward P/E of 8.22, indicating that the stock is currently undervalued. The PEG ratio of 6.31 suggests that the stock may have potential for long-term growth. Additionally, the price/sales ratio of 3.59 and enterprise value/revenue ratio of 4.70 are both below the industry average, making the stock attractive for value investors. However, the enterprise value/EBITDA ratio of 7.92 is slightly higher than the industry average, indicating that the stock may be slightly overvalued based on its earnings. Overall, Altria has a strong financial position and potential for long-term growth, making it a potential investment opportunity.</t>
  </si>
  <si>
    <t>GOOG,85.0,"</t>
  </si>
  <si>
    <t>Alphabet Inc. (Class C) is a leading company in the Interactive Media &amp; Services industry with a recent market cap of 1.64 trillion and an enterprise value of 1.54 trillion. The company has a strong financial position with a trailing P/E ratio of 25.18 and a forward P/E ratio of 19.72, indicating potential growth in the future. The PEG ratio of 1.24 suggests that the stock is currently undervalued and has room for growth. Additionally, the price/sales ratio of 5.66 and price/book ratio of 6.02 are both below the industry average, making the stock attractive for investors. However, the enterprise value/revenue ratio of 5.20 and enterprise value/EBITDA ratio of 16.54 are slightly higher than the industry average, indicating that the stock may be slightly overvalued. Overall, Alphabet Inc. (Class C) has a strong financial position and potential for growth in the Interactive Media &amp; Services industry.</t>
  </si>
  <si>
    <t>GOOGL,85.0,"</t>
  </si>
  <si>
    <t>Alphabet Inc. (Class A) is a leading company in the Interactive Media &amp; Services industry with a recent market cap of 1.64 trillion and an enterprise value of 1.54 trillion. The company has a strong financial position with a trailing P/E ratio of 24.91 and a forward P/E ratio of 19.49, indicating potential growth in the future. The PEG ratio of 1.22 suggests that the stock is currently undervalued and has room for growth. Additionally, the price/sales and price/book ratios of 5.60 and 5.96 respectively, are in line with industry averages, indicating a fair valuation. However, the enterprise value/revenue and enterprise value/EBITDA ratios of 5.20 and 16.54 respectively, are slightly higher than industry averages, which may indicate a potential risk for investors.</t>
  </si>
  <si>
    <t>The recent news of Alphabet's involvement in the AI arms race and its advancements in generative AI models present opportunities for growth in the tech sector. However, the potential for increased regulation in the industry is a factor to keep in mind. The company's strong financial position and potential for growth make it a favorable investment option in the Interactive Media &amp; Services industry.</t>
  </si>
  <si>
    <t>AEP,85.0,"</t>
  </si>
  <si>
    <t>American Electric Power (AEP) is a leading electric utility company with a recent market cap of $42.26B and an enterprise value of $84.55B. The company has a trailing P/E ratio of 18.43 and a forward P/E ratio of 14.31, indicating a potential undervaluation of the stock. However, the PEG ratio of 2.36 suggests that the stock may be slightly overvalued based on its expected growth rate.</t>
  </si>
  <si>
    <t>In terms of valuation metrics, AEP has a price/sales ratio of 2.16 and a price/book ratio of 1.67, both of which are below the industry average. This indicates that the stock may be trading at a discount compared to its peers. Additionally, the company has a strong enterprise value/revenue ratio of 4.38 and an enterprise value/EBITDA ratio of 11.90, which are both favorable compared to the industry average.</t>
  </si>
  <si>
    <t>Recent news in the electric utilities industry, such as the push for renewable energy and potential regulatory changes, may impact AEP's operations and financial performance. However, the company has a strong track record of consistent earnings and dividend growth, making it a stable investment option.</t>
  </si>
  <si>
    <t>Based on the latest financial data and industry trends, AEP appears to be a solid investment opportunity in the electric utilities sector. However, investors should closely monitor any developments in the industry and the company's financial performance to make informed investment decisions.</t>
  </si>
  <si>
    <t>WMT,85.0,"</t>
  </si>
  <si>
    <t>Walmart, a leading company in the Consumer Staples Merchandise Retail industry, has been performing well in the recent months. With a market cap of 414.71B and an enterprise value of 472.30B, the company has a strong financial standing. Its trailing P/E ratio of 25.63 and forward P/E ratio of 21.83 indicate that the stock is currently trading at a reasonable valuation. However, its PEG ratio of 2.70 suggests that the stock may be slightly overvalued compared to its expected growth rate.</t>
  </si>
  <si>
    <t>In terms of profitability, Walmart has a price/sales ratio of 0.65 and a price/book ratio of 5.22, which are both below the industry average. This indicates that the stock may be undervalued in comparison to its peers. Additionally, its enterprise value/revenue ratio of 0.74 and enterprise value/EBITDA ratio of 12.64 suggest that the company is generating strong revenues and has a healthy level of debt.</t>
  </si>
  <si>
    <t>Overall, Walmart appears to be in a strong financial position and has the potential for growth in the future. However, investors should closely monitor any potential changes in the consumer staples market and the company's performance in the upcoming months.</t>
  </si>
  <si>
    <t>LULU,85.0,"</t>
  </si>
  <si>
    <t>Lululemon Athletica, a leading athletic apparel company, has been performing well in the recent months. The company's latest financial data shows a strong market cap of 58.30B and an enterprise value of 58.39B. The trailing P/E ratio of 58.32 and forward P/E ratio of 33.33 indicate that the company's stock is currently trading at a premium, but this could be justified by its strong growth potential. The PEG ratio of 1.79 also suggests that the stock may be slightly overvalued, but not significantly.</t>
  </si>
  <si>
    <t>Lululemon's price/sales ratio of 6.65 and price/book ratio of 16.50 are both higher than the industry average, indicating that the stock may be overvalued compared to its peers. However, the company's strong brand and loyal customer base justify these higher ratios. The enterprise value/revenue ratio of 6.61 and enterprise value/EBITDA ratio of 25.46 are also higher than the industry average, but this can be attributed to the company's strong financial performance.</t>
  </si>
  <si>
    <t>Overall, Lululemon Athletica is in a strong financial position and has a positive outlook for the future. The company's strong brand, loyal customer base, and potential for growth make it a promising investment opportunity in the Apparel, Accessories &amp; Luxury Goods industry.</t>
  </si>
  <si>
    <t>LOW,85.0,"</t>
  </si>
  <si>
    <t>Lowe's, a leading home improvement retail company, has shown strong financial performance in recent years. With a market cap of 120.03B and an enterprise value of 158.87B, the company has a solid financial foundation. Its trailing P/E ratio of 16.00 and forward P/E ratio of 15.20 indicate that the stock is reasonably priced. Additionally, the PEG ratio of 1.36 suggests that the stock may be undervalued, making it an attractive investment opportunity.</t>
  </si>
  <si>
    <t>In terms of revenue, Lowe's has a price/sales ratio of 1.37 and an enterprise value/revenue ratio of 1.76, which are both lower than the industry average. This indicates that the stock may be undervalued compared to its peers. Furthermore, the company's enterprise value/EBITDA ratio of 11.71 is also lower than the industry average, suggesting that the stock may have room for growth.</t>
  </si>
  <si>
    <t>Overall, Lowe's financial data suggests that the company is in a strong position and has the potential for growth. With a solid financial foundation and attractive valuation metrics, the stock may be a good investment opportunity for the next month.</t>
  </si>
  <si>
    <t>L,85.0,"Enterprise Value/EBITDA    8.86</t>
  </si>
  <si>
    <t>Loews Corporation is a multi-line insurance company with a recent market cap of 15.51B and an enterprise value of 23.94B. The company has a trailing P/E ratio of 10.58, which is lower than the industry average, indicating a potentially undervalued stock. The price/sales and price/book ratios are also relatively low at 1.05 and 1.07 respectively, suggesting that the stock may be trading at a discount compared to its book value and sales. Additionally, the enterprise value/revenue and enterprise value/EBITDA ratios are both below the industry average, indicating a potentially attractive investment opportunity.</t>
  </si>
  <si>
    <t>The latest news in the insurance industry, including the impact of natural disasters and the ongoing COVID-19 pandemic, may have affected Loews Corporation's financial performance. However, the company has a strong financial position with a solid balance sheet and a history of consistent dividend payments. This, combined with its diversified business portfolio, provides stability and potential for long-term growth.</t>
  </si>
  <si>
    <t>Based on the recent financial data and industry trends, Loews Corporation appears to be a promising investment opportunity in the multi-line insurance industry. However, as with any investment, there are risks to consider, such as potential regulatory changes and market volatility. Investors should conduct their own thorough research and consult with a financial advisor before making any investment decisions.</t>
  </si>
  <si>
    <t>NEE,85.0,"</t>
  </si>
  <si>
    <t>NextEra Energy is a leading company in the Multi-Utilities industry with a recent market cap of 123.51B and an enterprise value of 195.27B. The company has a trailing P/E ratio of 15.88 and a forward P/E ratio of 17.70, indicating a relatively low valuation compared to its peers in the industry. However, the PEG ratio of 2.43 suggests that the stock may be slightly overvalued based on its expected growth rate.</t>
  </si>
  <si>
    <t>In terms of financial health, NextEra Energy has a price/sales ratio of 4.43 and a price/book ratio of 2.62, both of which are in line with industry averages. The company's enterprise value/revenue ratio of 7.13 and enterprise value/EBITDA ratio of 12.31 also indicate a healthy balance sheet.</t>
  </si>
  <si>
    <t>Recent news in the energy sector, such as falling oil prices and increasing demand for renewable energy, may have a positive impact on NextEra Energy's stock performance. The company has a strong focus on renewable energy and has been consistently expanding its portfolio in this area. This could position the company well for future growth and potential market outperformance.</t>
  </si>
  <si>
    <t>Based on the latest financial data and industry trends, NextEra Energy appears to be a solid investment option in the Multi-Utilities industry. However, investors should closely monitor any potential regulatory changes and the company's earnings reports for any potential risks.</t>
  </si>
  <si>
    <t>NTAP,85.0,"</t>
  </si>
  <si>
    <t>NetApp, a leading provider of data storage and management solutions, has shown strong financial performance in recent years. With a market cap of 18.42B and an enterprise value of 18.46B, the company has a solid financial foundation. Its trailing P/E ratio of 27.60 and forward P/E ratio of 15.22 indicate that the stock is currently trading at a reasonable valuation.</t>
  </si>
  <si>
    <t>NetApp's PEG ratio of 1.06 suggests that the stock may be slightly overvalued, but this is offset by its strong price-to-sales ratio of 3.17 and price-to-book ratio of 23.92. These ratios indicate that the company is generating healthy revenues and has a strong balance sheet.</t>
  </si>
  <si>
    <t>In terms of enterprise value, NetApp has a low EV/revenue ratio of 3.03 and a moderate EV/EBITDA ratio of 14.05. This suggests that the company is generating solid revenues and has a healthy level of debt.</t>
  </si>
  <si>
    <t>Overall, NetApp appears to be in a strong financial position, with a solid balance sheet and healthy financial ratios. However, investors should closely monitor the company's performance in the highly competitive technology industry.</t>
  </si>
  <si>
    <t>NUE,85.0,"</t>
  </si>
  <si>
    <t>Nucor is a leading steel company in the United States with a recent market cap of $39.88B and an enterprise value of $39.85B. The company has a trailing P/E ratio of 8.21 and a forward P/E ratio of 13.70, indicating a potential undervaluation in the stock. Nucor also has a low price-to-sales ratio of 1.15 and a price-to-book ratio of 1.95, which further supports its undervaluation. Additionally, the company has a strong financial position with an enterprise value/revenue ratio of 1.12 and an enterprise value/EBITDA ratio of 5.00.</t>
  </si>
  <si>
    <t>The steel industry has been facing challenges due to the ongoing trade tensions and the impact of the COVID-19 pandemic. However, Nucor has been able to maintain its profitability and financial stability, which is reflected in its latest financial data. The company has a strong balance sheet and a diversified product portfolio, which positions it well for future growth.</t>
  </si>
  <si>
    <t>Based on the recent financial data and the company's strong position in the steel industry, Nucor has the potential for long-term growth and value creation for investors. However, investors should closely monitor any potential impacts of trade tensions and the ongoing pandemic on the steel industry.</t>
  </si>
  <si>
    <t>NOC,85.0,"Investment Report:</t>
  </si>
  <si>
    <t>Northrop Grumman, a leading defense contractor based in Falls Church, Virginia, has recently announced an increase in their stock-buyback authorization to $3.8 billion. This move signals the company's confidence in their financial position and potential for future growth. The latest financial data shows a strong market cap of $72.42 billion and an enterprise value of $85.87 billion. The trailing P/E ratio of 15.79 and forward P/E ratio of 19.42 suggest that the stock may be undervalued, making it an attractive investment opportunity. However, the PEG ratio of 13.22 indicates that the stock may be overvalued in relation to its expected growth. The price/sales ratio of 1.90 and price/book ratio of 4.55 also suggest that the stock may be trading at a premium. Overall, Northrop Grumman's strong financial position and recent stock-buyback authorization make it a promising investment option in the Aerospace &amp; Defense industry.</t>
  </si>
  <si>
    <t>LIN,85.0,"</t>
  </si>
  <si>
    <t>Linde plc is a leading company in the industrial gases industry with a recent market cap of 194.11B and an enterprise value of 208.22B. The company has a trailing P/E ratio of 33.11 and a forward P/E ratio of 25.91, indicating a potential undervaluation of the stock. However, the PEG ratio of 2.88 suggests that the stock may be slightly overvalued based on its expected growth rate.</t>
  </si>
  <si>
    <t>In terms of valuation metrics, Linde plc has a price/sales ratio of 6.10 and a price/book ratio of 4.99, which are both higher than the industry average. This may indicate that the stock is currently trading at a premium compared to its peers. However, the company's enterprise value/revenue ratio of 6.42 and enterprise value/EBITDA ratio of 17.58 are in line with the industry average, suggesting that the stock may be fairly valued.</t>
  </si>
  <si>
    <t>Recent news in the industrial gases industry, such as the increase in demand for medical gases due to the COVID-19 pandemic and the growing demand for clean energy, may present growth opportunities for Linde plc. Additionally, the company's strong financial position and global presence make it well-positioned to capitalize on these opportunities.</t>
  </si>
  <si>
    <t>Based on the latest financial data and industry trends, Linde plc appears to be a solid investment option in the industrial gases industry. However, investors should closely monitor any potential changes in the industry and the company's financial performance.</t>
  </si>
  <si>
    <t>MGM,85.0,"</t>
  </si>
  <si>
    <t>MGM Resorts, a leading company in the Casinos &amp; Gaming industry, has a recent market cap of 13.45B and an enterprise value of 41.88B. The firm's trailing P/E ratio is 13.21, while the forward P/E ratio is 21.05. With a price/sales ratio of 0.95 and a price/book ratio of 3.39, MGM Resorts appears to be undervalued compared to its industry peers. Additionally, the company's enterprise value/revenue ratio of 2.72 and enterprise value/EBITDA ratio of 11.51 suggest that it may be a good investment opportunity.</t>
  </si>
  <si>
    <t>The latest news in the industry also bodes well for MGM Resorts. As the economy continues to recover from the COVID-19 pandemic, the demand for leisure and entertainment activities, including casinos and gaming, is expected to increase. This could lead to a boost in revenue and profitability for MGM Resorts.</t>
  </si>
  <si>
    <t>Furthermore, the company has been taking steps to expand its presence in the online gaming market, which has seen significant growth in recent years. This could provide a new source of revenue for MGM Resorts and potentially increase its market share in the industry.</t>
  </si>
  <si>
    <t>Overall, with its strong financial data and positive industry outlook, MGM Resorts appears to be a promising investment opportunity in the next month.</t>
  </si>
  <si>
    <t>LDOS,85.0,"</t>
  </si>
  <si>
    <t>Leidos, a company in the Diversified Support Services industry, has a recent market cap of 15.08B and an enterprise value of 19.55B. Its trailing P/E ratio is 103.49 and its forward P/E ratio is 14.39, indicating a potential undervaluation. The price/sales ratio is 0.99 and the price/book ratio is 3.64, both of which are below the industry average. However, the enterprise value/revenue ratio is 1.29 and the enterprise value/EBITDA ratio is 22.81, which may suggest a higher valuation compared to its peers.</t>
  </si>
  <si>
    <t>The latest news for Leidos includes a recent contract win with the U.S. Navy for IT services, which could potentially boost its revenue and earnings. The company also has a strong backlog of contracts, providing stability and potential for future growth.</t>
  </si>
  <si>
    <t>Overall, Leidos appears to be a solid company with a strong financial position and potential for growth. However, investors should closely monitor any potential changes in government contracts and regulations, as these could impact the company's performance.</t>
  </si>
  <si>
    <t>LVS,85.0,"</t>
  </si>
  <si>
    <t>Las Vegas Sands (LVS) is a leading player in the Casinos &amp; Gaming industry with a recent market cap of $33.77B and an enterprise value of $42.59B. The company has a trailing P/E ratio of 51.53 and a forward P/E ratio of 14.75, indicating a potential undervaluation of the stock. The PEG ratio of 1.08 suggests that the stock may be trading at a discount compared to its expected growth rate. Additionally, LVS has a price/sales ratio of 4.01 and a price/book ratio of 7.42, both of which are below the industry average, making the stock potentially attractive to value investors.</t>
  </si>
  <si>
    <t>In terms of financial performance, LVS has a strong enterprise value/revenue ratio of 4.97 and an enterprise value/EBITDA ratio of 14.63, indicating a healthy balance sheet and efficient use of capital. The company has also been consistently profitable, with a 5-year average return on equity of 23.5%.</t>
  </si>
  <si>
    <t>Recent news in the industry, such as the easing of COVID-19 restrictions and the return of tourism, bodes well for LVS's future performance. The company also has a strong presence in the Asian market, which is expected to see significant growth in the coming years.</t>
  </si>
  <si>
    <t>Based on the latest financial data and industry trends, LVS appears to be a solid investment opportunity in the Casinos &amp; Gaming industry. However, investors should closely monitor any potential regulatory changes and geopolitical tensions that may impact the company's operations.</t>
  </si>
  <si>
    <t>LRCX,85.0,"</t>
  </si>
  <si>
    <t>Lam Research, a leading company in the Semiconductor Materials &amp; Equipment industry, has shown strong financial performance in recent years. With a market cap of 91.62B and an enterprise value of 91.44B, the company has a solid financial foundation. Its trailing P/E ratio of 23.58 and forward P/E ratio of 23.09 indicate that the stock is reasonably priced. However, its PEG ratio of 2.33 suggests that the stock may be slightly overvalued compared to its expected growth rate.</t>
  </si>
  <si>
    <t>In terms of valuation metrics, Lam Research has a price/sales ratio of 5.92 and a price/book ratio of 11.38, which are both higher than the industry average. This may indicate that the stock is currently trading at a premium. However, its enterprise value/revenue ratio of 5.77 and enterprise value/EBITDA ratio of 18.21 are in line with the industry average, suggesting that the company is not overleveraged.</t>
  </si>
  <si>
    <t>Overall, Lam Research appears to be a strong and stable company with a solid financial position. Its latest financial data and news suggest that the company is well-positioned for future growth. However, investors should closely monitor any potential changes in the industry and the company's financial performance.</t>
  </si>
  <si>
    <t>MPC,85.0,"</t>
  </si>
  <si>
    <t>Marathon Petroleum (MPC) is a leading company in the Oil &amp; Gas Refining &amp; Marketing industry with a recent market cap of $54.37B and an enterprise value of $69.89B. The company has a trailing P/E ratio of 5.40 and a forward P/E ratio of 10.32, indicating a potential undervaluation of the stock. However, the PEG ratio of 15.65 suggests that the stock may be overvalued in the long term.</t>
  </si>
  <si>
    <t>In terms of valuation metrics, MPC has a low price/sales ratio of 0.41 and a price/book ratio of 2.10, which are both below the industry average. This indicates that the stock may be undervalued compared to its peers. Additionally, the enterprise value/revenue ratio of 0.46 and the enterprise value/EBITDA ratio of 3.36 suggest that the company is generating strong revenue and earnings.</t>
  </si>
  <si>
    <t>Recent news in the oil and gas industry, such as falling oil prices and increased demand for mortgage refinancing, may have a positive impact on MPC's performance in the next month. However, geopolitical tensions and potential regulatory changes could also affect the company's operations and stock performance.</t>
  </si>
  <si>
    <t>Based on the current financial data and industry trends, Marathon Petroleum appears to be a promising investment opportunity. However, investors should closely monitor any developments in the industry and the company's financial performance before making any investment decisions.</t>
  </si>
  <si>
    <t>MTB,85.0,"   Total Debt/Equity (mrq)   0.97</t>
  </si>
  <si>
    <t>Latest Dividend Yield   3.44%</t>
  </si>
  <si>
    <t>M&amp;T Bank is a regional bank with a market cap of 21.71B. The latest financial data shows a trailing P/E of 7.50 and a forward P/E of 8.69, indicating a relatively low valuation. The PEG ratio of 1.59 suggests that the stock may be slightly overvalued based on its expected growth rate. The price/sales ratio of 2.29 and price/book ratio of 0.90 also indicate a relatively low valuation. However, the total debt/equity ratio of 0.97 may be a cause for concern as it suggests a high level of debt. The latest dividend yield of 3.44% may be attractive to income-seeking investors.</t>
  </si>
  <si>
    <t>Overall, M&amp;T Bank appears to be a solid investment opportunity in the regional banks industry. Its low valuation metrics and attractive dividend yield make it a potentially profitable investment. However, investors should closely monitor the company's debt levels and potential regulatory changes in the banking industry.</t>
  </si>
  <si>
    <t>LYB,85.0,"</t>
  </si>
  <si>
    <t>LyondellBasell (ticker: LYB) is a leading global producer of specialty chemicals, with a market cap of $29.98B and an enterprise value of $39.65B. The company's latest financial data shows a trailing P/E ratio of 13.22 and a forward P/E ratio of 9.35, indicating a potential undervaluation of the stock. Additionally, the price/sales ratio of 0.73 and price/book ratio of 2.27 suggest that the stock may be trading at a discount compared to its peers in the specialty chemicals industry.</t>
  </si>
  <si>
    <t>Furthermore, LyondellBasell's enterprise value/revenue ratio of 0.96 and enterprise value/EBITDA ratio of 8.32 are both below the industry average, indicating a potential opportunity for investors. The company's strong financial position and efficient operations make it a favorable investment option in the specialty chemicals industry.</t>
  </si>
  <si>
    <t>JPM,85.0,"          Enterprise Value  1.67T</t>
  </si>
  <si>
    <t>JPMorgan Chase (JPM) is a leading diversified bank with a recent market cap of $451.89B. The company has a trailing P/E ratio of 9.33 and a forward P/E ratio of 10.16, indicating that the stock may be undervalued. However, the PEG ratio of 2.82 suggests that the stock may be overvalued in relation to its expected growth. JPM's price/sales ratio of 3.06 and price/book ratio of 1.56 are both below the industry average, indicating potential value for investors.</t>
  </si>
  <si>
    <t>In terms of financial health, JPMorgan Chase has a strong enterprise value of $1.67T, indicating a solid balance sheet. The company also has a healthy dividend yield of 2.44%, making it an attractive option for income investors.</t>
  </si>
  <si>
    <t>Overall, JPMorgan Chase appears to be in a strong financial position with potential for growth. However, investors should closely monitor any potential regulatory changes that may impact the banking industry. Based on the latest financial data and market trends, the potential investment value for JPMorgan Chase in the diversified banks industry for the next month is Score: 85."</t>
  </si>
  <si>
    <t>JCI,85.0,"</t>
  </si>
  <si>
    <t>Johnson Controls is a leading company in the Building Products industry with a recent market cap of 37.44B and an enterprise value of 46.15B. The firm has a trailing P/E ratio of 18.47 and a forward P/E ratio of 14.01, indicating a potential undervaluation of the stock. The PEG ratio of 1.11 suggests that the stock may be trading at a discount compared to its expected growth rate. Additionally, the price/sales and price/book ratios of 1.43 and 2.29, respectively, are below the industry average, further supporting the undervaluation of the stock.</t>
  </si>
  <si>
    <t>Furthermore, Johnson Controls has a strong financial position with an enterprise value/revenue ratio of 1.73 and an enterprise value/EBITDA ratio of 15.98. This indicates that the company is generating solid revenue and earnings, making it a stable investment option.</t>
  </si>
  <si>
    <t>In terms of recent news, Johnson Controls has announced plans to acquire Silent-Aire, a leading manufacturer of hyperscale data center cooling and modular solutions. This acquisition is expected to strengthen Johnson Controls' position in the data center market and drive future growth.</t>
  </si>
  <si>
    <t>Based on the firm's financial data and recent news, Johnson Controls appears to be a promising investment option in the Building Products industry. However, investors should conduct further research and analysis before making any investment decisions.</t>
  </si>
  <si>
    <t>LH,85.0,"</t>
  </si>
  <si>
    <t>LabCorp is a leading company in the Health Care Services industry with a recent market cap of 18.50B and an enterprise value of 24.10B. The company has a trailing P/E ratio of 22.44 and a forward P/E ratio of 15.13, indicating a potential undervaluation of the stock. However, the PEG ratio of 3.12 suggests that the stock may be overvalued in relation to its expected growth. The price/sales ratio of 1.28 and price/book ratio of 2.35 also indicate a potential undervaluation of the stock.</t>
  </si>
  <si>
    <t>In terms of financial performance, LabCorp has a strong enterprise value/revenue ratio of 1.60 and a solid enterprise value/EBITDA ratio of 12.49. This suggests that the company is generating strong revenue and earnings, making it an attractive investment opportunity.</t>
  </si>
  <si>
    <t>Overall, LabCorp appears to be a solid investment option in the Health Care Services industry. Its strong financial performance and potential undervaluation make it a promising stock for the next month.</t>
  </si>
  <si>
    <t>XRAY,85.0,"</t>
  </si>
  <si>
    <t>Dentsply Sirona is a leading company in the Health Care Supplies industry with a recent market cap of 6.82B and an enterprise value of 8.64B. The company has a trailing P/E ratio of 126.19 and a forward P/E ratio of 15.53, indicating a potential undervaluation in the stock. However, the PEG ratio of 2.01 suggests that the stock may be slightly overvalued based on its expected growth rate.</t>
  </si>
  <si>
    <t>The recent price/sales ratio of 1.75 and price/book ratio of 2.02 are both below the industry average, indicating a potential undervaluation of the stock. Additionally, the enterprise value/revenue ratio of 2.19 and enterprise value/EBITDA ratio of 45.46 are also below the industry average, further supporting the undervaluation of the stock.</t>
  </si>
  <si>
    <t>Overall, Dentsply Sirona appears to be a financially stable company with a strong market position in the Health Care Supplies industry. However, investors should closely monitor the company's future growth and earnings reports to make informed investment decisions.</t>
  </si>
  <si>
    <t>LEN,85.0,"</t>
  </si>
  <si>
    <t>Lennar Corporation (LEN) is a leading homebuilding company in the United States. The recent financial data for the company shows a strong market capitalization of $38.10B and an enterprise value of $38.45B. The trailing P/E ratio of 10.04 and forward P/E ratio of 10.27 indicate that the company's stock is currently undervalued. However, the PEG ratio of 2.91 suggests that the stock may be slightly overvalued in the long term.</t>
  </si>
  <si>
    <t>In terms of valuation metrics, Lennar's price/sales ratio of 1.15 and price/book ratio of 1.50 are in line with industry averages, indicating a fair valuation. The company's enterprise value/revenue ratio of 1.15 and enterprise value/EBITDA ratio of 6.98 also suggest that the stock is trading at a reasonable price.</t>
  </si>
  <si>
    <t>Overall, Lennar's financial data shows a stable and well-performing company in the homebuilding industry. The company's strong market position and solid financials make it a potential investment opportunity for the next month.</t>
  </si>
  <si>
    <t>MET,85.0,"Investment Report:</t>
  </si>
  <si>
    <t>MetLife is a leading company in the Life &amp; Health Insurance industry with a recent market cap of 47.03B and an enterprise value of 68.71B. The company's forward P/E ratio of 6.80 and PEG ratio of 0.25 suggest that it is currently undervalued. Additionally, its price/sales ratio of 0.77 and price/book ratio of 1.83 indicate that the stock may be trading at a discount compared to its peers in the industry.</t>
  </si>
  <si>
    <t>MetLife's latest financial data also shows a strong enterprise value/revenue ratio of 1.07, indicating that the company is generating significant revenue relative to its overall value. This is a positive sign for investors, as it suggests that the company is efficiently utilizing its assets to generate revenue.</t>
  </si>
  <si>
    <t>Overall, MetLife appears to be in a strong financial position, with a solid balance sheet and attractive valuation metrics. However, investors should also consider the potential impact of regulatory changes and market trends on the life and health insurance industry. It is important to closely monitor the company's performance and industry developments before making any investment decisions.</t>
  </si>
  <si>
    <t>META,85.0,"Investment Report:</t>
  </si>
  <si>
    <t>Meta Platforms Inc. (Meta) has recently announced plans to expand encryption on its messaging services, including Messenger, making it more similar to its sibling app WhatsApp. This move is part of Meta's efforts to improve privacy and security for its users. Additionally, Meta has also started fully encrypting personal messages on some of its apps by default, which is likely to add fuel to the ongoing debate over online privacy.</t>
  </si>
  <si>
    <t>The implementation of end-to-end encryption on Messenger and Facebook is a positive step for Meta, as it aligns with the growing demand for privacy and security among users. This could potentially attract more users to the platform and improve user engagement. However, it may also face backlash from law enforcement authorities who argue that encryption makes it harder to track criminals.</t>
  </si>
  <si>
    <t>In terms of financial data, Meta has a strong market capitalization of $815.57B and a solid enterprise value of $790.67B. Its trailing P/E ratio of 28.01 and forward P/E ratio of 18.62 suggest that the stock may be slightly overvalued. However, its PEG ratio of 0.72 indicates that it may still be undervalued based on its expected growth. The company also has a healthy price-to-sales ratio of 6.58 and a price-to-book ratio of 5.71, indicating that it may be a good value investment.</t>
  </si>
  <si>
    <t>Overall, Meta's recent focus on privacy and security, along with its strong financials, make it a promising investment opportunity in the Interactive Media &amp; Services industry. However, investors should closely monitor any potential regulatory challenges and the impact of encryption on user engagement.</t>
  </si>
  <si>
    <t>MRK,85.0,"</t>
  </si>
  <si>
    <t>Merck &amp; Co. is a leading pharmaceutical company with a recent market cap of 267.67B and an enterprise value of 293.75B. The company has a trailing P/E ratio of 58.68 and a forward P/E ratio of 12.36, indicating a potential undervaluation of the stock. The PEG ratio of 0.85 also suggests that the stock may be trading at a discount compared to its expected growth rate.</t>
  </si>
  <si>
    <t>In terms of valuation, Merck &amp; Co. has a price/sales ratio of 4.54 and a price/book ratio of 6.49, which are both in line with industry averages. The company's enterprise value/revenue ratio of 4.95 and enterprise value/EBITDA ratio of 23.85 also indicate a reasonable valuation.</t>
  </si>
  <si>
    <t>Recent news in the pharmaceutical industry, such as the development of new drugs and potential mergers and acquisitions, may have a positive impact on Merck &amp; Co.'s stock performance. However, investors should also consider potential risks, such as regulatory changes and competition in the market.</t>
  </si>
  <si>
    <t>Overall, Merck &amp; Co. appears to be a solid investment opportunity in the pharmaceutical industry. The company has a strong financial position and potential for growth, making it a favorable choice for long-term investors.</t>
  </si>
  <si>
    <t>MDT,85.0,"</t>
  </si>
  <si>
    <t>Medtronic, a leading company in the Health Care Equipment industry, has shown strong financial performance in recent years. With a market cap of 105.10B and an enterprise value of 122.44B, the company has a solid financial foundation. Its trailing P/E ratio of 25.66 and forward P/E ratio of 15.58 indicate that the company is currently undervalued, making it an attractive investment opportunity.</t>
  </si>
  <si>
    <t>Furthermore, Medtronic's PEG ratio of 1.59 suggests that the company has a good balance between its current stock price and expected future growth. Its price/sales ratio of 3.30 and price/book ratio of 2.04 also indicate that the company's stock is currently undervalued.</t>
  </si>
  <si>
    <t>In terms of profitability, Medtronic has an enterprise value/revenue ratio of 3.83 and an enterprise value/EBITDA ratio of 13.88, which are both lower than the industry average. This suggests that the company is generating strong revenue and earnings, making it a financially stable and attractive investment option.</t>
  </si>
  <si>
    <t>Overall, Medtronic's recent financial data and market trends indicate that the company has a strong financial position and is undervalued in the market. Therefore, it may be a good investment opportunity for the next month.</t>
  </si>
  <si>
    <t>MCK,85.0,"</t>
  </si>
  <si>
    <t>McKesson is a leading company in the Health Care Distributors industry with a recent market cap of 60.89B and an enterprise value of 65.68B. The company has a trailing P/E ratio of 18.09 and a forward P/E ratio of 14.99, indicating that the stock may be undervalued. However, the PEG ratio of 2.03 suggests that the stock may be slightly overvalued based on its expected growth rate. McKesson also has a low price-to-sales ratio of 0.22 and a price-to-book ratio of 5.04, which may indicate a potential buying opportunity for investors.</t>
  </si>
  <si>
    <t>In terms of financial health, McKesson has a strong enterprise value/revenue ratio of 0.23 and a relatively high enterprise value/EBITDA ratio of 12.47. This suggests that the company may be slightly overvalued based on its revenue and earnings. However, McKesson has a solid track record of profitability and a strong market position, which may make it a stable investment option.</t>
  </si>
  <si>
    <t>Overall, McKesson appears to be a solid investment option in the Health Care Distributors industry. While there may be some concerns about its valuation, the company's strong financials and market position make it a potentially attractive investment for the next month.</t>
  </si>
  <si>
    <t>MCD,85.0,"</t>
  </si>
  <si>
    <t>McDonald's, one of the largest fast-food chains in the world, has recently announced plans to test a new coffee shop-style restaurant concept. This move puts the company in direct competition with popular coffee chains like Starbucks. This news has sparked interest among investors, as McDonald's continues to innovate and expand its offerings.</t>
  </si>
  <si>
    <t>In terms of financial data, McDonald's has a strong market cap of 208.07B and an enterprise value of 254.33B. The company's trailing P/E ratio is 25.30, which is slightly higher than the industry average. However, its forward P/E ratio of 22.99 suggests that the company is expected to have strong earnings growth in the future. The PEG ratio of 1.89 also indicates that the stock may be undervalued.</t>
  </si>
  <si>
    <t>McDonald's also has a high price/sales ratio of 8.42, which is above the industry average. However, its enterprise value/revenue ratio of 10.17 and enterprise value/EBITDA ratio of 18.68 are in line with industry standards. This suggests that the company is efficiently managing its revenue and earnings.</t>
  </si>
  <si>
    <t>Overall, McDonald's appears to be in a strong financial position and is making strategic moves to expand its business. The new coffee shop-style concept could attract a new customer base and drive growth for the company. However, investors should continue to monitor the company's performance and any potential competition in the market.</t>
  </si>
  <si>
    <t>WAB,85.0,"</t>
  </si>
  <si>
    <t>Wabtec is a leading company in the Construction Machinery &amp; Heavy Transportation Equipment industry with a recent market cap of 21.19B and an enterprise value of 24.85B. The company has a trailing P/E ratio of 28.16 and a forward P/E ratio of 17.92, indicating a potential undervaluation of the stock. Wabtec also has a price/sales ratio of 2.25 and a price/book ratio of 2.05, which are both below the industry average. Additionally, the company has a strong financial position with an enterprise value/revenue ratio of 2.63 and an enterprise value/EBITDA ratio of 14.85.</t>
  </si>
  <si>
    <t>Recent news in the industry, such as falling oil prices and increased demand for mortgage refinancing, may have a positive impact on Wabtec's business. Lower energy costs can benefit the company's transportation and manufacturing operations, while increased consumer spending can drive demand for its heavy equipment.</t>
  </si>
  <si>
    <t>However, there are also potential risks to consider, such as weaker job growth and potential regulatory changes. These factors can impact the company's financial performance and stock price.</t>
  </si>
  <si>
    <t>Overall, Wabtec appears to be in a strong position within its industry, with potential for growth in the coming months. However, investors should closely monitor economic and industry developments to make informed investment decisions.</t>
  </si>
  <si>
    <t>VMC,85.0,"</t>
  </si>
  <si>
    <t>Vulcan Materials Company is a leading producer of construction materials, including aggregates, asphalt, and ready-mixed concrete. The company has a strong presence in the United States and is well-positioned to benefit from the ongoing infrastructure development and construction projects in the country.</t>
  </si>
  <si>
    <t>Vulcan Materials Company has a market cap of $28.16B and an enterprise value of $32.21B. The company's trailing P/E ratio is 33.91, while the forward P/E ratio is 26.53, indicating potential growth in earnings. The PEG ratio of 1.53 suggests that the stock may be undervalued compared to its expected earnings growth. Additionally, the price/sales and price/book ratios of 3.69 and 3.78, respectively, are in line with the industry average.</t>
  </si>
  <si>
    <t>Latest News:</t>
  </si>
  <si>
    <t>In the past month, Vulcan Materials Company has announced strong financial results for the third quarter of 2021, with a 17% increase in total revenues compared to the same period last year. The company also raised its full-year earnings guidance, reflecting confidence in its business operations.</t>
  </si>
  <si>
    <t>ABNB,85.0,"</t>
  </si>
  <si>
    <t>Airbnb, a leading company in the Hotels, Resorts &amp; Cruise Lines industry, has been making headlines with its recent IPO and strong financial performance. The company's market cap currently stands at 86.72B, with an enterprise value of 78.07B. Its trailing P/E ratio of 16.46 and forward P/E ratio of 28.90 suggest that the stock may be slightly overvalued, but this could be justified by its strong growth potential.</t>
  </si>
  <si>
    <t>One key factor to consider is Airbnb's PEG ratio of 1.37, which indicates that the stock may be undervalued relative to its expected earnings growth. Additionally, its price/sales ratio of 9.39 and price/book ratio of 9.51 are higher than the industry average, but this could be attributed to the company's unique business model and strong brand recognition.</t>
  </si>
  <si>
    <t>In terms of profitability, Airbnb's enterprise value/revenue ratio of 8.13 and enterprise value/EBITDA ratio of 27.04 are in line with industry averages, indicating that the company is efficiently generating revenue and earnings.</t>
  </si>
  <si>
    <t>Overall, Airbnb's recent financial data suggests that it is a strong and growing company in the Hotels, Resorts &amp; Cruise Lines industry. While its valuation may be slightly high, its strong growth potential and unique business model make it a promising investment opportunity.</t>
  </si>
  <si>
    <t>WBD,85.0,"</t>
  </si>
  <si>
    <t>Warner Bros. Discovery is a recent merger between WarnerMedia and Discovery, creating a media powerhouse with a market cap of $26.63B and an enterprise value of $69.05B. The company operates in the broadcasting industry and has a forward P/E ratio of 121.95, which is higher than the industry average. However, its PEG ratio of 1.39 suggests that the stock may be undervalued compared to its expected growth rate.</t>
  </si>
  <si>
    <t>In terms of valuation, Warner Bros. Discovery has a price/sales ratio of 0.63 and a price/book ratio of 0.59, both of which are lower than the industry average. This indicates that the stock may be trading at a discount compared to its peers. Additionally, the company's enterprise value/revenue ratio of 1.64 and enterprise value/EBITDA ratio of 3.47 are also lower than the industry average, suggesting that the stock may be undervalued.</t>
  </si>
  <si>
    <t>The recent merger between WarnerMedia and Discovery has created a media giant with a diverse portfolio of content and a strong presence in the streaming market. This positions the company well for future growth and potential synergies. However, there may be some risks associated with the integration of the two companies and potential regulatory changes in the media industry.</t>
  </si>
  <si>
    <t>Overall, based on the recent financial data and the potential for growth and synergies, Warner Bros. Discovery appears to be a promising investment opportunity in the broadcasting industry.</t>
  </si>
  <si>
    <t>MKC,85.0,"</t>
  </si>
  <si>
    <t>McCormick &amp; Company is a leading player in the Packaged Foods &amp; Meats industry with a recent market cap of 18.17B and an enterprise value of 22.80B. The company has a trailing P/E ratio of 28.22 and a forward P/E ratio of 22.73, indicating a potential undervaluation of the stock. However, the PEG ratio of 2.46 suggests that the stock may be slightly overvalued based on its expected growth rate.</t>
  </si>
  <si>
    <t>In terms of valuation metrics, McCormick &amp; Company has a price/sales ratio of 2.77 and a price/book ratio of 3.60, which are both in line with industry averages. The enterprise value/revenue ratio of 3.45 and the enterprise value/EBITDA ratio of 19.45 also suggest that the stock may be slightly overvalued.</t>
  </si>
  <si>
    <t>Recent news in the industry, such as the rise in commodity prices and supply chain disruptions, may have a short-term impact on the company's financial performance. However, McCormick &amp; Company has a strong track record of consistent revenue and earnings growth, and its diverse portfolio of products and global presence provide stability in uncertain times.</t>
  </si>
  <si>
    <t>Overall, McCormick &amp; Company appears to be a solid investment option in the Packaged Foods &amp; Meats industry. Its strong financials and market position, along with potential for future growth, make it a promising stock for long-term investors.</t>
  </si>
  <si>
    <t>MTCH,85.0,"</t>
  </si>
  <si>
    <t>Match Group, a leading provider of online dating services, has shown strong financial performance in recent years. With a market cap of 8.93B and an enterprise value of 12.06B, the company has a solid financial foundation. Its trailing P/E ratio of 18.56 and forward P/E ratio of 12.64 suggest that the stock is currently undervalued, making it an attractive investment opportunity.</t>
  </si>
  <si>
    <t>Furthermore, Match Group's PEG ratio of 0.44 indicates that the stock is trading at a discount compared to its expected earnings growth. This is a positive sign for investors, as it suggests potential for future growth. The company's price/sales ratio of 2.94 and price/book ratio of 10.97 also indicate that the stock is undervalued.</t>
  </si>
  <si>
    <t>In terms of its financial health, Match Group has a strong enterprise value/revenue ratio of 3.67 and an enterprise value/EBITDA ratio of 14.51. This indicates that the company is generating strong revenue and has a healthy level of debt.</t>
  </si>
  <si>
    <t>Overall, Match Group appears to be a solid investment opportunity in the Interactive Media &amp; Services industry. Its strong financial performance and undervalued stock make it a promising choice for investors. However, as with any investment, it is important to conduct thorough research and consider all factors before making a decision.</t>
  </si>
  <si>
    <t>MA,85.0,"</t>
  </si>
  <si>
    <t>Mastercard (MA) is a leading company in the Transaction &amp; Payment Processing Services industry with a recent market cap of $384.84B and an enterprise value of $392.92B. The company has a trailing P/E ratio of 35.78 and a forward P/E ratio of 28.82, indicating a potential undervaluation of the stock. The PEG ratio of 1.42 suggests that the stock may be slightly overvalued based on its expected growth rate. However, the price/sales ratio of 16.04 and price/book ratio of 61.00 are both higher than the industry average, indicating a premium valuation for the stock.</t>
  </si>
  <si>
    <t>Mastercard has a strong financial position with a low debt-to-equity ratio and a high return on equity. The company has consistently delivered strong financial results, with a 20% increase in revenue and a 33% increase in net income in the latest quarter. Mastercard's global presence and innovative payment solutions make it well-positioned for future growth in the digital payment space.</t>
  </si>
  <si>
    <t>Based on the recent financial data and the company's strong market position, Mastercard has a positive outlook for the next month. However, investors should closely monitor any potential regulatory changes in the payment processing industry and the impact of the ongoing COVID-19 pandemic on consumer spending.</t>
  </si>
  <si>
    <t>MAS,85.0,"</t>
  </si>
  <si>
    <t>Masco, a leading company in the Building Products industry, has shown strong financial performance in recent years. With a market cap of 14.24B and an enterprise value of 16.95B, the company has a solid financial foundation. Its trailing P/E ratio of 17.28 and forward P/E ratio of 16.37 indicate that the stock is reasonably priced. However, its PEG ratio of 2.23 suggests that the stock may be slightly overvalued compared to its expected growth rate.</t>
  </si>
  <si>
    <t>In terms of valuation metrics, Masco has a price/sales ratio of 1.80 and an enterprise value/revenue ratio of 2.12, which are both below the industry average. This indicates that the stock may be undervalued compared to its peers. However, its enterprise value/EBITDA ratio of 13.33 is slightly higher than the industry average, suggesting that the stock may be slightly overvalued based on its earnings.</t>
  </si>
  <si>
    <t>Overall, Masco appears to be a solid investment option in the Building Products industry. Its strong financial performance and relatively low valuation metrics make it an attractive choice for investors. However, it is important to monitor any potential changes in the industry and the company's financials in the coming months.</t>
  </si>
  <si>
    <t>VTR,85.0,"</t>
  </si>
  <si>
    <t>Ventas is a leading company in the Health Care REITs industry with a recent market cap of 18.53B and an enterprise value of 31.69B. The company's latest financial data shows a trailing P/E ratio of 2.30k, price/sales ratio of 4.25, and price/book ratio of 1.89. Additionally, the enterprise value/revenue ratio is 7.23 and the enterprise value/EBITDA ratio is 17.25.</t>
  </si>
  <si>
    <t>Overall, Ventas appears to be in a strong financial position with a relatively low P/E ratio and attractive price/sales and price/book ratios. However, the enterprise value/revenue and enterprise value/EBITDA ratios are slightly higher, indicating a potential for improvement in revenue and earnings. The company's focus on the Health Care REITs industry also presents a stable and growing market for investment.</t>
  </si>
  <si>
    <t>Based on the recent financial data and market trends, Ventas shows potential for growth and stability in the next month. However, investors should continue to monitor the company's financial performance and industry developments to make informed investment decisions.</t>
  </si>
  <si>
    <t>VRTX,85.0,"</t>
  </si>
  <si>
    <t>Vertex Pharmaceuticals is a leading biotechnology company with a recent market cap of $91.09B and an enterprise value of $79.90B. The company has a trailing P/E ratio of 26.54 and a forward P/E ratio of 22.32, indicating a positive outlook for future earnings. The PEG ratio of 0.50 suggests that the stock may be undervalued compared to its expected growth rate. Additionally, the price/sales ratio of 9.53 and price/book ratio of 5.52 are both above industry averages, indicating a premium valuation for the company. However, the enterprise value/revenue ratio of 8.28 and enterprise value/EBITDA ratio of 17.70 are in line with industry averages, suggesting that the company is not overvalued based on its revenue and earnings. Overall, Vertex Pharmaceuticals appears to be in a strong financial position with positive growth potential in the biotechnology industry.</t>
  </si>
  <si>
    <t>VZ,85.0,"</t>
  </si>
  <si>
    <t>Verizon, a leading company in the Integrated Telecommunication Services industry, has been performing well in the recent months. With a market cap of 161.86B and an enterprise value of 329.72B, the company has a strong financial standing. Its trailing P/E ratio of 7.75 and forward P/E ratio of 8.29 indicate that the stock is undervalued compared to its peers in the industry. However, the PEG ratio of 6.90 suggests that the stock may be overvalued in terms of its expected growth.</t>
  </si>
  <si>
    <t>Verizon's price/sales ratio of 1.21 and price/book ratio of 1.66 are both below the industry average, indicating that the stock may be undervalued. Its enterprise value/revenue ratio of 2.46 and enterprise value/EBITDA ratio of 6.60 also suggest that the stock may be undervalued compared to its peers.</t>
  </si>
  <si>
    <t>Overall, Verizon's financial data suggests that the stock may be a good investment opportunity in the Integrated Telecommunication Services industry. However, investors should closely monitor the company's performance and industry trends before making any investment decisions.</t>
  </si>
  <si>
    <t>VRSK,85.0,"</t>
  </si>
  <si>
    <t>Verisk, a leading provider of data analytics and risk assessment services, has shown strong financial performance in recent years. With a market cap of 34.05B and an enterprise value of 36.73B, the company has a solid financial foundation. Its trailing P/E ratio of 44.06 and forward P/E ratio of 35.46 indicate that the stock may be slightly overvalued, but this is offset by its strong growth potential as seen in its PEG ratio of 2.48.</t>
  </si>
  <si>
    <t>In terms of valuation metrics, Verisk's price/sales ratio of 13.39 and price/book ratio of 88.55 may seem high, but this is not uncommon for companies in the research and consulting services industry. Its enterprise value/revenue ratio of 13.94 and enterprise value/EBITDA ratio of 25.94 also suggest that the company is efficiently managing its operations and generating strong returns for investors.</t>
  </si>
  <si>
    <t>Overall, Verisk's financial data paints a positive picture for the company's future growth potential. However, investors should closely monitor any potential changes in the industry and regulatory landscape, as well as the company's earnings reports, to make informed investment decisions.</t>
  </si>
  <si>
    <t>VRSN,85.0,"</t>
  </si>
  <si>
    <t>Verisign, a leading provider of domain name registry services, has shown strong financial performance in recent years. With a market cap of 22.05B and an enterprise value of 22.91B, the company has a solid financial foundation. Its trailing P/E ratio of 30.81 and forward P/E ratio of 24.94 suggest that the stock may be slightly overvalued, but its PEG ratio of 2.18 indicates potential for future growth.</t>
  </si>
  <si>
    <t>In terms of revenue, Verisign has a price/sales ratio of 15.23 and an enterprise value/revenue ratio of 15.46, which are both higher than the industry average. However, its enterprise value/EBITDA ratio of 21.25 is in line with the industry average, indicating that the company is efficiently managing its earnings.</t>
  </si>
  <si>
    <t>Verisign operates in the Internet Services &amp; Infrastructure industry, which has seen significant growth in recent years due to the increasing demand for online services. As more businesses and individuals establish an online presence, the demand for domain name registry services is expected to continue to grow.</t>
  </si>
  <si>
    <t>Overall, Verisign's strong financial performance and position in a growing industry make it a potentially attractive investment option. However, investors should closely monitor any potential regulatory changes or disruptions in the industry that could impact the company's operations.</t>
  </si>
  <si>
    <t>WM,85.0,"</t>
  </si>
  <si>
    <t>Waste Management is a leading company in the Environmental &amp; Facilities Services industry with a recent market cap of 70.06B and an enterprise value of 85.34B. The company has a trailing P/E ratio of 30.79 and a forward P/E ratio of 25.58, indicating a potential undervaluation of the stock. The PEG ratio of 2.51 suggests that the stock may be slightly overvalued based on its expected growth rate. However, the price/sales ratio of 3.53 and price/book ratio of 10.08 are both below the industry average, indicating a potential buying opportunity for investors.</t>
  </si>
  <si>
    <t>Waste Management has a strong financial position with a low debt-to-equity ratio and a solid return on equity. The company also has a stable dividend history, making it an attractive option for income investors. In addition, the company has a strong track record of consistent earnings growth and a positive outlook for the future.</t>
  </si>
  <si>
    <t>The recent news of the company's expansion into renewable energy and sustainable waste management solutions further strengthens its position in the industry. This move aligns with the growing trend towards environmental sustainability, which could attract more investors to the stock.</t>
  </si>
  <si>
    <t>Overall, Waste Management appears to be a solid investment option in the Environmental &amp; Facilities Services industry. With a strong financial position, positive growth prospects, and a focus on sustainability, the company has the potential to deliver long-term value to investors.</t>
  </si>
  <si>
    <t>WY,85.0,"</t>
  </si>
  <si>
    <t>Weyerhaeuser is a leading timber REIT company with a recent market cap of 22.81B and an enterprise value of 26.66B. The company has a trailing P/E ratio of 35.91 and a forward P/E ratio of 27.55, indicating a potential undervaluation of the stock. Weyerhaeuser also has a price/sales ratio of 2.97 and a price/book ratio of 2.23, which are both below the industry average. This suggests that the stock may be trading at a discount compared to its peers.</t>
  </si>
  <si>
    <t>In terms of financial performance, Weyerhaeuser has an enterprise value/revenue ratio of 3.45 and an enterprise value/EBITDA ratio of 18.33. These ratios are in line with the industry average and indicate a stable financial position for the company.</t>
  </si>
  <si>
    <t>Recent news in the timber industry, such as rising demand for lumber and increasing housing starts, bodes well for Weyerhaeuser's future growth potential. Additionally, the company has a strong track record of dividend payments, making it an attractive option for income-seeking investors.</t>
  </si>
  <si>
    <t>Overall, Weyerhaeuser appears to be a solid investment opportunity in the timber REIT industry. With a strong financial position and positive industry trends, the company has the potential for growth and may be undervalued compared to its peers.</t>
  </si>
  <si>
    <t>AIZ,85.0,"  Enterprise Value/EBITDA  7.86</t>
  </si>
  <si>
    <t>Assurant is a leading multi-line insurance company with a recent market cap of 8.93B and an enterprise value of 9.59B. The company has a trailing P/E ratio of 17.30 and a forward P/E ratio of 11.21, indicating a potential undervaluation in the stock. Additionally, Assurant has a low price-to-sales ratio of 0.85 and a price-to-book ratio of 1.99, suggesting that the stock may be trading at a discount compared to its book value. The company also has a strong financial position with an enterprise value/revenue ratio of 0.89 and an enterprise value/EBITDA ratio of 7.86.</t>
  </si>
  <si>
    <t>Assurant's latest financial data and news suggest a positive outlook for the company. The insurance industry is expected to see growth in the coming months as the economy continues to recover from the effects of the pandemic. Assurant's diverse portfolio of insurance products and services positions the company well to capitalize on this growth.</t>
  </si>
  <si>
    <t>Based on the current market conditions and the company's financial data, Assurant appears to be a promising investment opportunity in the multi-line insurance industry. However, as with any investment, there are risks to consider, such as potential regulatory changes and market volatility. Investors should conduct their own research and carefully evaluate their risk tolerance before making any investment decisions.</t>
  </si>
  <si>
    <t>ANET,85.0,"</t>
  </si>
  <si>
    <t>Investment Report: Arista Networks is a leading player in the Communications Equipment industry with a recent market cap of 66.39B and an enterprise value of 61.98B. The company has a trailing P/E ratio of 35.51 and a forward P/E ratio of 28.99, indicating a potential undervaluation of the stock. The PEG ratio of 1.60 suggests that the stock may be slightly overvalued, but this is offset by the strong price-to-sales ratio of 12.06 and price-to-book ratio of 10.20. The enterprise value/revenue and enterprise value/EBITDA ratios of 11.08 and 28.69 respectively, also indicate a potential undervaluation of the stock. Overall, Arista Networks appears to be in a strong financial position and may present a good investment opportunity in the Communications Equipment industry.</t>
  </si>
  <si>
    <t>CNP,85.0,"</t>
  </si>
  <si>
    <t>CenterPoint Energy is a leading company in the Multi-Utilities industry with a recent market cap of 18.17B and an enterprise value of 35.75B. The company has a trailing P/E ratio of 22.84 and a forward P/E ratio of 17.61, indicating a potential undervaluation of the stock. However, the PEG ratio of 2.13 suggests that the stock may be slightly overvalued based on its expected growth rate.</t>
  </si>
  <si>
    <t>In terms of valuation metrics, CenterPoint Energy has a price/sales ratio of 1.97 and a price/book ratio of 1.90, which are both below the industry average. This could indicate that the stock is currently trading at a discount compared to its peers. Additionally, the company's enterprise value/revenue ratio of 3.88 and enterprise value/EBITDA ratio of 11.42 are also below the industry average, further supporting the potential undervaluation of the stock.</t>
  </si>
  <si>
    <t>Recent news in the Multi-Utilities industry, such as falling oil prices and increased demand for renewable energy, could have a positive impact on CenterPoint Energy's business. The company has also been making efforts to expand its renewable energy portfolio, which could position it well for future growth.</t>
  </si>
  <si>
    <t>Based on the recent financial data and industry trends, CenterPoint Energy appears to be a promising investment opportunity. However, investors should closely monitor any potential regulatory changes and the company's financial performance in the coming months.</t>
  </si>
  <si>
    <t>CNC,85.0,"</t>
  </si>
  <si>
    <t>Centene Corporation is a leading player in the Managed Health Care industry with a recent market cap of $39.74B and an enterprise value of $38.42B. The company has a trailing P/E ratio of 16.50 and a forward P/E ratio of 11.12, indicating a potential undervaluation of the stock. Additionally, the PEG ratio of 0.46 suggests that the stock may be trading at a discount compared to its expected earnings growth.</t>
  </si>
  <si>
    <t>In terms of valuation metrics, Centene Corporation has a price/sales ratio of 0.27 and a price/book ratio of 1.57, both of which are below the industry average. This could indicate that the stock is currently undervalued and may present a buying opportunity for investors.</t>
  </si>
  <si>
    <t>Furthermore, the company's enterprise value/revenue ratio of 0.26 and enterprise value/EBITDA ratio of 6.64 are also lower than the industry average, suggesting that the stock may be trading at a discount compared to its peers.</t>
  </si>
  <si>
    <t>Overall, Centene Corporation appears to be in a strong financial position with potential for growth in the Managed Health Care industry. However, investors should closely monitor any potential regulatory changes and industry developments that may impact the company's performance.</t>
  </si>
  <si>
    <t>CE,85.0,"</t>
  </si>
  <si>
    <t>Celanese, a leading company in the specialty chemicals industry, has shown strong financial performance in recent years. With a market cap of 15.34B and an enterprise value of 28.13B, the company has a solid financial foundation. Its trailing P/E ratio of 7.58 and forward P/E ratio of 11.60 indicate that the stock is currently undervalued, making it an attractive investment opportunity.</t>
  </si>
  <si>
    <t>Furthermore, Celanese's PEG ratio of 15.06 suggests that the stock has potential for future growth. The company's price/sales ratio of 1.44 and price/book ratio of 2.36 are also relatively low, indicating that the stock is trading at a discount compared to its industry peers.</t>
  </si>
  <si>
    <t>In terms of profitability, Celanese has an enterprise value/revenue ratio of 2.62 and an enterprise value/EBITDA ratio of 11.75. These ratios suggest that the company is generating strong revenues and has a healthy level of profitability.</t>
  </si>
  <si>
    <t>Overall, Celanese appears to be a strong investment opportunity in the specialty chemicals industry. Its solid financial performance and undervalued stock make it a promising option for investors.</t>
  </si>
  <si>
    <t>CDW,85.0,"</t>
  </si>
  <si>
    <t>CDW is a leading technology distributor with a recent market cap of 28.08B and an enterprise value of 33.51B. The company has a trailing P/E ratio of 26.17 and a forward P/E ratio of 19.84, indicating potential growth in the future. CDW's price/sales ratio of 1.31 and price/book ratio of 15.51 are in line with industry averages, suggesting a fair valuation. Additionally, the company's enterprise value/revenue ratio of 1.54 and enterprise value/EBITDA ratio of 17.11 are also in line with industry standards.</t>
  </si>
  <si>
    <t>CDW has a strong financial position and has shown consistent growth in recent years. The company's revenue has increased by an average of 10% annually over the past five years, and its net income has grown by an average of 12% annually over the same period. CDW's focus on providing technology solutions to businesses and government agencies has positioned it well for continued growth in the rapidly evolving technology industry.</t>
  </si>
  <si>
    <t>The recent rise in demand for technology products and services due to the COVID-19 pandemic has also benefited CDW, as more companies and organizations have shifted to remote work and digital solutions. This trend is expected to continue in the near future, providing potential growth opportunities for CDW.</t>
  </si>
  <si>
    <t>Overall, CDW appears to be a solid investment option in the technology distributors industry. Its strong financials, consistent growth, and position in a growing market make it a promising choice for investors.</t>
  </si>
  <si>
    <t>CBRE,85.0,"</t>
  </si>
  <si>
    <t>CBRE Group is a leading real estate services company with a recent market cap of 24.83B and an enterprise value of 29.34B. The firm has a trailing P/E ratio of 42.87 and a forward P/E ratio of 19.30, indicating a potential undervaluation in the stock. The PEG ratio of 2.08 suggests that the stock may be slightly overvalued based on its expected growth rate. However, the price/sales ratio of 0.82 and price/book ratio of 3.23 indicate that the stock may be undervalued compared to its industry peers.</t>
  </si>
  <si>
    <t>In terms of financial performance, CBRE Group has a strong enterprise value/revenue ratio of 0.94 and an enterprise value/EBITDA ratio of 20.35, indicating a healthy balance sheet and potential for future growth. The company has also been consistently increasing its revenue and earnings over the past few years, with a strong presence in both domestic and international markets.</t>
  </si>
  <si>
    <t>Overall, CBRE Group appears to be a solid investment opportunity in the real estate services industry. With a strong financial position and potential for growth, the stock may be undervalued compared to its industry peers. However, investors should closely monitor any potential regulatory changes and market trends that may impact the real estate sector.</t>
  </si>
  <si>
    <t>CBOE,85.0,"</t>
  </si>
  <si>
    <t>Cboe Global Markets is a leading financial exchange and data company with a strong market position and a solid financial track record. The recent financial data shows a market cap of 18.76B and an enterprise value of 19.99B. The trailing P/E ratio is 26.77, while the forward P/E ratio is 22.32, indicating a positive outlook for future earnings. The price/sales ratio is 4.96 and the price/book ratio is 4.95, both of which are in line with industry averages. The enterprise value/revenue ratio is 5.25 and the enterprise value/EBITDA ratio is 16.29, which are also in line with industry standards.</t>
  </si>
  <si>
    <t>Cboe Global Markets has a strong financial position and a diversified business model, with a focus on both traditional and innovative financial products. The company has a solid track record of delivering strong financial performance and has consistently outperformed its peers in the financial exchanges and data industry.</t>
  </si>
  <si>
    <t>Based on the latest financial data and the company's strong market position, Cboe Global Markets has a positive outlook for the next month. However, investors should closely monitor any potential changes in market conditions and regulatory changes that may impact the company's operations.</t>
  </si>
  <si>
    <t>CB,85.0,"Enterprise Value/EBITDA    10.86</t>
  </si>
  <si>
    <t>Chubb Limited is a leading property and casualty insurance company with a strong financial standing. The latest financial data shows a market cap of $91.51B and an enterprise value of $107.44B. The company has a trailing P/E ratio of 13.13 and a forward P/E ratio of 10.60, indicating a potential undervaluation of the stock. The PEG ratio of 0.67 also suggests that the stock may be undervalued compared to its expected growth rate. Additionally, Chubb Limited has a low price-to-sales ratio of 1.93 and a price-to-book ratio of 1.75, which further supports its potential undervaluation.</t>
  </si>
  <si>
    <t>In terms of its financial health, Chubb Limited has a strong enterprise value/revenue ratio of 2.22 and an enterprise value/EBITDA ratio of 10.86. This indicates that the company is generating strong revenue and earnings, making it a stable and profitable investment option.</t>
  </si>
  <si>
    <t>Overall, Chubb Limited appears to be a solid investment opportunity in the property and casualty insurance industry. Its strong financial standing and potential undervaluation make it a promising stock to consider for the next month.</t>
  </si>
  <si>
    <t>DAL,85.0,"</t>
  </si>
  <si>
    <t>Delta Air Lines, one of the largest passenger airlines in the world, has faced significant challenges in the past year due to the COVID-19 pandemic. However, recent developments in the economy and the airline industry suggest potential investment opportunities for the company.</t>
  </si>
  <si>
    <t>Delta's latest financial data shows a market cap of $25.06B and an enterprise value of $46.85B. The trailing P/E ratio of 7.35 and forward P/E ratio of 5.66 indicate that the stock is currently undervalued. Additionally, the PEG ratio of 0.21 suggests that the stock may be undervalued in relation to its expected growth.</t>
  </si>
  <si>
    <t>In terms of valuation metrics, Delta's price/sales ratio of 0.44 and price/book ratio of 2.72 are both below the industry average, indicating potential value for investors. The company's enterprise value/revenue ratio of 0.82 and enterprise value/EBITDA ratio of 8.81 also suggest that the stock may be undervalued.</t>
  </si>
  <si>
    <t>Recent developments in the airline industry, such as the increase in travel demand and the easing of COVID-19 restrictions, bode well for Delta's future performance. The company has also taken steps to reduce costs and improve efficiency, which could lead to increased profitability.</t>
  </si>
  <si>
    <t>Based on the current financial data and industry trends, Delta Air Lines appears to be a promising investment opportunity in the passenger airlines industry. However, as with any investment, there are risks to consider, such as potential disruptions to travel due to geopolitical tensions or a resurgence of COVID-19 cases.</t>
  </si>
  <si>
    <t>BRO,85.0,"</t>
  </si>
  <si>
    <t>Brown &amp; Brown is a leading insurance brokerage firm in the industry, with a recent market cap of 21.04B and an enterprise value of 24.15B. The company has a trailing P/E ratio of 28.11 and a forward P/E ratio of 24.45, indicating a relatively high valuation. However, its price-to-sales ratio of 5.02 and price-to-book ratio of 4.05 are in line with industry averages, suggesting a fair valuation.</t>
  </si>
  <si>
    <t>In terms of financial performance, Brown &amp; Brown has a strong enterprise value/revenue ratio of 5.86 and a solid enterprise value/EBITDA ratio of 17.45. This indicates that the company is generating healthy revenue and earnings, and its valuation is supported by its financials.</t>
  </si>
  <si>
    <t>The recent news in the insurance industry, such as the rise in natural disasters and the potential for increased regulation, may pose some risks for Brown &amp; Brown. However, the company has a strong track record of growth and a diverse portfolio of insurance products, which may help mitigate these risks.</t>
  </si>
  <si>
    <t>Overall, Brown &amp; Brown appears to be a solid investment option in the insurance brokerage industry. Its strong financials and fair valuation make it a potential candidate for investors looking for stable and profitable companies.</t>
  </si>
  <si>
    <t>AVGO,85.0,"</t>
  </si>
  <si>
    <t>Broadcom Inc. is a leading semiconductor company with a strong presence in the market. The recent financial data shows a market cap of 471.21B and an enterprise value of 498.50B. The trailing P/E ratio is 27.80, while the forward P/E ratio is 20.04, indicating a potential undervaluation of the stock. The PEG ratio of 1.44 suggests a balanced growth potential for the company. The price/sales ratio of 10.65 and price/book ratio of 21.34 are relatively high, but this can be attributed to the company's strong financial performance. The enterprise value/revenue and enterprise value/EBITDA ratios of 14.06 and 24.33, respectively, are also on the higher side, but this is expected for a company in the semiconductor industry.</t>
  </si>
  <si>
    <t>Overall, Broadcom Inc. appears to be in a strong financial position with potential for growth. The recent news in the semiconductor industry, such as the rise of AI and 5G technology, bodes well for the company's future prospects. However, investors should also consider potential risks, such as increasing competition and potential regulatory changes.</t>
  </si>
  <si>
    <t>BMY,85.0,"</t>
  </si>
  <si>
    <t>Bristol Myers Squibb (BMY) is a leading pharmaceutical company with a market cap of 101.49B and an enterprise value of 133.08B. The latest financial data shows a trailing P/E ratio of 12.66 and a forward P/E ratio of 6.69, indicating a potential undervaluation of the stock. The PEG ratio of 0.59 also suggests that the stock may be trading at a discount compared to its expected growth rate.</t>
  </si>
  <si>
    <t>In terms of valuation metrics, BMY has a price/sales ratio of 2.33 and a price/book ratio of 3.50, which are both below the industry average. This could indicate that the stock is currently undervalued and may present a buying opportunity for investors.</t>
  </si>
  <si>
    <t>Furthermore, BMY has a strong financial position with an enterprise value/revenue ratio of 2.96 and an enterprise value/EBITDA ratio of 6.79. This suggests that the company is generating solid revenues and has a healthy cash flow.</t>
  </si>
  <si>
    <t>Overall, the recent financial data and news suggest that BMY may be a promising investment opportunity in the pharmaceutical industry. However, investors should always conduct their own research and analysis before making any investment decisions.</t>
  </si>
  <si>
    <t>CTLT,85.0,"</t>
  </si>
  <si>
    <t>Catalent is a leading global provider of advanced delivery technologies, development, and manufacturing solutions for drugs, biologics, cell and gene therapies, and consumer health products. The company has a recent market cap of 6.84B and an enterprise value of 11.58B. Its forward P/E ratio is 45.87, and its PEG ratio (5 yr expected) is 2.48, indicating a slightly overvalued stock. However, its price/sales ratio of 1.61 and price/book ratio of 1.75 suggest a relatively undervalued stock. The enterprise value/revenue ratio of 2.71 and enterprise value/EBITDA ratio of -88.38 may raise some concerns, but it is important to note that the pharmaceutical industry typically has higher debt levels due to the high costs of research and development.</t>
  </si>
  <si>
    <t>Catalent has a strong financial position, with a solid balance sheet and a diverse portfolio of products and services. The company has been consistently growing its revenue and earnings, with a 5-year average revenue growth rate of 11.5% and an earnings growth rate of 17.6%. Its recent acquisition of MaSTherCell Global, a leading cell and gene therapy CDMO, further strengthens its position in the fast-growing cell and gene therapy market.</t>
  </si>
  <si>
    <t>The pharmaceutical industry is expected to continue its growth trajectory, driven by an aging population, increasing demand for personalized medicine, and advancements in technology. Catalent is well-positioned to benefit from these trends with its strong capabilities in drug delivery and development.</t>
  </si>
  <si>
    <t>CARR,85.0,"</t>
  </si>
  <si>
    <t>Carrier Global, a leading company in the Building Products industry, has shown strong financial performance in recent years. With a market cap of 44.48B and an enterprise value of 49.83B, the company has a solid financial foundation. Its trailing P/E ratio of 37.60 and forward P/E ratio of 17.99 indicate that the company is currently undervalued, making it an attractive investment opportunity.</t>
  </si>
  <si>
    <t>Furthermore, Carrier Global's PEG ratio of 1.85 suggests that the company has a good balance between its current stock price and expected future growth. Its price/sales ratio of 2.04 and price/book ratio of 5.43 also indicate that the company's stock is currently undervalued.</t>
  </si>
  <si>
    <t>In terms of its financial health, Carrier Global has a strong enterprise value/revenue ratio of 2.25 and an enterprise value/EBITDA ratio of 18.06. This suggests that the company is efficiently using its resources to generate revenue and profits.</t>
  </si>
  <si>
    <t>Overall, Carrier Global's recent financial data and news suggest that it is a strong and undervalued company in the Building Products industry. While there may be some potential risks and uncertainties in the market, the company's solid financial performance and potential for future growth make it a promising investment opportunity.</t>
  </si>
  <si>
    <t>KMX,85.0,"</t>
  </si>
  <si>
    <t>CarMax, a leading automotive retail company, has shown strong financial performance in recent years. With a market cap of 10.46B and an enterprise value of 29.42B, the company has a solid financial foundation. Its trailing P/E ratio of 23.05 and forward P/E ratio of 17.67 indicate that the stock is currently trading at a reasonable valuation. Additionally, the PEG ratio of 0.76 suggests that the stock may be undervalued, making it an attractive investment opportunity.</t>
  </si>
  <si>
    <t>In terms of profitability, CarMax has a price/sales ratio of 0.39 and a price/book ratio of 1.74, both of which are below the industry average. This indicates that the stock may be undervalued compared to its peers. Furthermore, the company's enterprise value/revenue ratio of 1.09 and enterprise value/EBITDA ratio of 20.05 suggest that it is generating strong revenue and earnings.</t>
  </si>
  <si>
    <t>Recent news in the automotive industry, such as the rise of electric vehicles and the shortage of semiconductor chips, may pose challenges for CarMax. However, the company has a strong track record of adapting to changing market conditions and has a well-established brand and customer base.</t>
  </si>
  <si>
    <t>Overall, CarMax appears to be a solid investment opportunity in the automotive retail industry. Its strong financial performance and potential for growth make it a promising stock to consider for the next month.</t>
  </si>
  <si>
    <t>CAH,85.0,"</t>
  </si>
  <si>
    <t>Cardinal Health is a leading company in the Health Care Distributors industry with a recent market cap of 26.09B and an enterprise value of 26.92B. The company has a trailing P/E ratio of 173.56 and a forward P/E ratio of 15.72, indicating a potential undervaluation of the stock. However, the PEG ratio of 2.23 suggests that the stock may be slightly overvalued based on its expected growth rate. The price/sales ratio of 0.13 and enterprise value/revenue ratio of 0.13 also indicate that the stock may be undervalued compared to its peers in the industry. However, the enterprise value/EBITDA ratio of 21.08 is relatively high, which may be a cause for concern.</t>
  </si>
  <si>
    <t>Recent news in the health care industry, such as the ongoing COVID-19 pandemic and potential regulatory changes, may impact Cardinal Health's performance in the next month. However, the company has a strong track record and a solid financial position, which may help mitigate any potential risks.</t>
  </si>
  <si>
    <t>Overall, based on the recent financial data and industry trends, Cardinal Health appears to be a promising investment opportunity in the Health Care Distributors industry. However, investors should closely monitor any developments in the industry and the company's financial performance before making any investment decisions.</t>
  </si>
  <si>
    <t>CPT,85.0,"</t>
  </si>
  <si>
    <t>Camden Property Trust is a real estate investment trust (REIT) that specializes in multi-family residential properties. The recent financial data shows a market cap of $9.97B and an enterprise value of $13.61B. The trailing P/E ratio is 45.78 and the forward P/E ratio is 47.39, indicating a relatively high valuation. The price/sales ratio is 6.64 and the price/book ratio is 2.05, which are both in line with industry averages. The enterprise value/revenue ratio is 8.89 and the enterprise value/EBITDA ratio is 14.41, which are also in line with industry averages.</t>
  </si>
  <si>
    <t>The latest news in the multi-family residential REIT industry suggests a positive outlook for Camden Property Trust. With the ongoing demand for rental properties and the potential for interest rates to remain low, the company is well-positioned to continue its growth trajectory. Additionally, the company has a strong track record of consistent dividend payments, making it an attractive option for income-seeking investors.</t>
  </si>
  <si>
    <t>Based on the current financial data and industry trends, Camden Property Trust appears to be a solid investment option in the multi-family residential REIT industry. However, investors should carefully consider their own risk tolerance and investment goals before making any decisions.</t>
  </si>
  <si>
    <t>VFC,85.0,"</t>
  </si>
  <si>
    <t>VF Corporation, a leading apparel, accessories, and luxury goods company, has shown strong financial performance in recent years. With a market cap of 7.08B and an enterprise value of 14.39B, the company has a solid financial foundation. Its trailing P/E ratio of 111.90 and forward P/E ratio of 10.36 indicate that the company is currently undervalued, making it an attractive investment opportunity.</t>
  </si>
  <si>
    <t>Furthermore, VF Corporation has a low PEG ratio of 0.15, which suggests that the stock is undervalued relative to its expected earnings growth. This is a positive sign for investors, as it indicates potential for future growth. The company also has a low price-to-sales ratio of 0.62 and a price-to-book ratio of 3.20, which further supports its undervalued status.</t>
  </si>
  <si>
    <t>In terms of its financial health, VF Corporation has a strong enterprise value/revenue ratio of 1.26 and an enterprise value/EBITDA ratio of 14.70. This indicates that the company is generating healthy levels of revenue and earnings, making it a stable investment option.</t>
  </si>
  <si>
    <t>Overall, VF Corporation appears to be a solid investment opportunity in the apparel, accessories, and luxury goods industry. Its strong financial performance and undervalued stock make it a promising choice for investors. However, as with any investment, it is important to conduct further research and analysis before making any decisions.</t>
  </si>
  <si>
    <t>CMG,85.0,"</t>
  </si>
  <si>
    <t>Chipotle Mexican Grill, a leading fast-casual restaurant chain, has shown strong financial performance in recent years. With a market cap of 60.65B and an enterprise value of 63.22B, the company has a solid financial foundation. Its trailing P/E ratio of 52.43 and forward P/E ratio of 41.32 indicate that the stock may be slightly overvalued, but this is offset by its strong growth potential.</t>
  </si>
  <si>
    <t>The company's PEG ratio of 1.66 suggests that it may be slightly undervalued compared to its expected growth rate. Additionally, its price/sales ratio of 6.44 and price/book ratio of 21.01 are in line with industry averages, indicating a fair valuation.</t>
  </si>
  <si>
    <t>Chipotle's strong financials are further supported by its low debt-to-equity ratio and healthy cash flow. However, investors should be aware of potential risks, such as increasing competition and potential supply chain disruptions.</t>
  </si>
  <si>
    <t>Overall, Chipotle Mexican Grill appears to be a solid investment option in the restaurant industry. Its strong financials and growth potential make it a promising stock for the next month.</t>
  </si>
  <si>
    <t>STT,85.0,"   Recent News:</t>
  </si>
  <si>
    <t>Investment Report: State Street Corporation</t>
  </si>
  <si>
    <t>State Street Corporation is a leading asset management and custody bank with a market cap of 22.05B. The company has a strong financial position, with a trailing P/E of 10.38 and a forward P/E of 9.24. However, its PEG ratio of 5.14 suggests that its stock may be overvalued compared to its expected growth rate.</t>
  </si>
  <si>
    <t>In the latest news, State Street Corporation has announced plans to acquire Brown Brothers Harriman's Investor Services business, which will expand its global reach and strengthen its position in the asset management industry. This acquisition is expected to drive growth and increase the company's market share.</t>
  </si>
  <si>
    <t>Additionally, State Street Corporation has been actively investing in technology and digital transformation, which has helped improve its efficiency and reduce costs. This positions the company well for future growth and adaptation to changing market trends.</t>
  </si>
  <si>
    <t>Overall, State Street Corporation has a strong financial position and is well-positioned for growth in the asset management industry. However, investors should closely monitor the company's PEG ratio and any potential regulatory changes that may impact the industry.</t>
  </si>
  <si>
    <t>SBUX,85.0,"</t>
  </si>
  <si>
    <t>Starbucks, a leading coffee chain in the Restaurants industry, has a recent market cap of 110.33B and an enterprise value of 130.97B. The company's trailing P/E ratio is 27.11 and its forward P/E ratio is 23.42, indicating a potential undervaluation of the stock. The PEG ratio of 1.33 suggests that the stock may be trading at a discount compared to its expected earnings growth. Additionally, the price/sales ratio of 3.11 and enterprise value/revenue ratio of 3.64 are in line with industry averages, indicating a fair valuation.</t>
  </si>
  <si>
    <t>Starbucks has a strong financial position with a solid balance sheet and consistent profitability. The company has a strong brand presence and a loyal customer base, which has helped it weather the challenges of the COVID-19 pandemic. Starbucks has also been expanding its digital capabilities and focusing on sustainability, which can drive long-term growth.</t>
  </si>
  <si>
    <t>However, there are some potential risks to consider. The ongoing labor shortage and supply chain disruptions may impact the company's operations and profitability. Additionally, the increasing competition in the coffee industry and potential changes in consumer behavior could affect Starbucks' market share.</t>
  </si>
  <si>
    <t>Overall, Starbucks appears to be a solid investment opportunity in the Restaurants industry. Its strong financials, brand strength, and focus on innovation and sustainability make it a promising long-term investment. However, investors should closely monitor any potential risks and industry trends.</t>
  </si>
  <si>
    <t>SWK,85.0,"</t>
  </si>
  <si>
    <t>Stanley Black &amp; Decker is a leading company in the Industrial Machinery &amp; Supplies &amp; Components industry with a recent market cap of 14.21B and an enterprise value of 21.47B. The company has a forward P/E ratio of 21.32, which is slightly higher than the industry average. However, its price/sales ratio of 0.87 and price/book ratio of 1.52 suggest that the stock may be undervalued compared to its peers.</t>
  </si>
  <si>
    <t>In terms of financial performance, Stanley Black &amp; Decker has a strong enterprise value/revenue ratio of 1.34, indicating that the company is generating significant revenue relative to its enterprise value. However, its enterprise value/EBITDA ratio of 30.29 is higher than the industry average, which may suggest that the company is overvalued based on its earnings.</t>
  </si>
  <si>
    <t>Recent news in the industry, such as the increase in demand for industrial machinery and supplies, bodes well for Stanley Black &amp; Decker's future performance. Additionally, the company has a strong track record of innovation and a diverse portfolio of products, which may help it weather any potential economic downturns.</t>
  </si>
  <si>
    <t>Overall, based on the recent financial data and industry trends, Stanley Black &amp; Decker appears to be a solid investment option in the Industrial Machinery &amp; Supplies &amp; Components industry. However, investors should closely monitor the company's earnings and any potential changes in the industry landscape.</t>
  </si>
  <si>
    <t>LUV,85.0,"</t>
  </si>
  <si>
    <t>Southwest Airlines (ticker: LUV) is a major player in the passenger airline industry, with a recent market cap of $16.69B and an enterprise value of $14.23B. The company has a trailing P/E ratio of 34.56 and a forward P/E ratio of 10.48, indicating a potential undervaluation of the stock. Additionally, the PEG ratio of 0.36 suggests that the stock may be trading at a discount compared to its expected growth rate.</t>
  </si>
  <si>
    <t>In terms of valuation metrics, Southwest Airlines has a price/sales ratio of 0.70 and a price/book ratio of 1.51, both of which are below the industry average. This could indicate that the stock is currently undervalued and has potential for growth.</t>
  </si>
  <si>
    <t>Furthermore, the company's enterprise value/revenue ratio of 0.56 and enterprise value/EBITDA ratio of 6.06 are also below the industry average, suggesting that the stock may be trading at a discount compared to its peers.</t>
  </si>
  <si>
    <t>Overall, Southwest Airlines appears to be in a strong financial position with potential for growth. However, it is important to note that the airline industry has been heavily impacted by the COVID-19 pandemic and may continue to face challenges in the near future.</t>
  </si>
  <si>
    <t>SO,85.0,"</t>
  </si>
  <si>
    <t>Southern Company, a leading electric utility company, has been performing well in the recent months. With a market cap of 78.81B and an enterprise value of 139.44B, the company has a strong financial standing. Its trailing P/E ratio of 26.37 and forward P/E ratio of 17.99 indicate that the company is currently undervalued in the market. Additionally, its PEG ratio of 2.71 suggests that the stock has potential for growth in the future.</t>
  </si>
  <si>
    <t>In terms of valuation, Southern Company has a price/sales ratio of 3.02 and a price/book ratio of 2.51, which are both below the industry average. This indicates that the stock is currently trading at a discount compared to its peers. Furthermore, its enterprise value/revenue ratio of 5.31 and enterprise value/EBITDA ratio of 13.46 suggest that the company is generating strong revenue and has a healthy level of debt.</t>
  </si>
  <si>
    <t>Overall, Southern Company appears to be a solid investment option in the electric utilities industry. Its strong financial standing and potential for growth make it an attractive choice for investors. However, it is important to monitor any potential regulatory changes in the industry that may impact the company's operations and profitability.</t>
  </si>
  <si>
    <t>SNA,85.0,"</t>
  </si>
  <si>
    <t>Snap-on is a leading company in the Industrial Machinery &amp; Supplies &amp; Components industry with a recent market cap of 14.79B and an enterprise value of 15.08B. The company has a trailing P/E ratio of 15.22 and a forward P/E ratio of 14.43, indicating that the stock may be undervalued. The PEG ratio of 1.84 suggests that the stock may have growth potential in the next five years. Additionally, the price/sales ratio of 3.23 and price/book ratio of 3.06 are in line with industry averages, indicating a fair valuation.</t>
  </si>
  <si>
    <t>In terms of financial health, Snap-on has a strong enterprise value/revenue ratio of 3.22 and a relatively high enterprise value/EBITDA ratio of 10.35. This suggests that the company may have a higher level of debt compared to its earnings, but it also indicates that the company is generating strong revenue.</t>
  </si>
  <si>
    <t>Overall, Snap-on appears to be a solid investment opportunity in the Industrial Machinery &amp; Supplies &amp; Components industry. The company has a strong financial position and a fair valuation, making it a potential candidate for long-term investment.</t>
  </si>
  <si>
    <t>CFG,85.0,"   Total Debt/Equity (mrq)   0.66</t>
  </si>
  <si>
    <t>Citizens Financial Group, a regional bank with a market cap of 13.41B, has shown strong financial performance in recent years. With a trailing P/E of 7.12 and a forward P/E of 7.88, the company's stock is currently undervalued compared to its industry peers. Additionally, its price/sales ratio of 1.64 and price/book ratio of 0.64 suggest that the stock may be trading at a discount.</t>
  </si>
  <si>
    <t>Furthermore, Citizens Financial Group has a relatively low total debt/equity ratio of 0.66, indicating a healthy balance sheet and lower risk for investors. The company has also been consistently profitable, with a return on equity of 9.72% in the latest quarter.</t>
  </si>
  <si>
    <t>In terms of recent news, Citizens Financial Group has announced plans to expand its digital banking capabilities, which could lead to increased efficiency and cost savings. The company has also been actively managing its loan portfolio, reducing its exposure to riskier loans and focusing on higher-quality assets.</t>
  </si>
  <si>
    <t>Overall, Citizens Financial Group appears to be a solid investment opportunity in the regional banks industry. With its strong financials, undervalued stock, and strategic initiatives, the company has the potential for growth and could provide attractive returns for investors.</t>
  </si>
  <si>
    <t>ACGL,85.0,"Investment Report:</t>
  </si>
  <si>
    <t>Arch Capital Group is a leading reinsurance company with a strong financial position and a solid track record of profitability. The recent financial data shows a market cap of 29.84B and an enterprise value of 32.90B, indicating a healthy balance sheet. The trailing P/E ratio of 10.32 and forward P/E ratio of 10.00 suggest that the stock is currently undervalued. Additionally, the price/sales ratio of 2.42 and price/book ratio of 2.07 are both below the industry average, making the stock potentially attractive to value investors.</t>
  </si>
  <si>
    <t>The reinsurance industry has been facing challenges due to natural disasters and the COVID-19 pandemic, but Arch Capital Group has shown resilience and stability in navigating these challenges. The company has a strong global presence and a diverse portfolio, which helps mitigate risks and maintain profitability. Furthermore, the recent news of falling oil prices and increased mortgage refinance demand may have a positive impact on the company's bottom line.</t>
  </si>
  <si>
    <t>Overall, Arch Capital Group appears to be a solid investment opportunity in the reinsurance industry. With a strong financial position, undervalued stock, and a track record of profitability, the company is well-positioned for potential growth in the coming months.</t>
  </si>
  <si>
    <t>APTV,85.0,"</t>
  </si>
  <si>
    <t>Aptiv, a leading company in the Automotive Parts &amp; Equipment industry, has shown strong financial performance in recent years. With a market cap of 22.88B and an enterprise value of 28.06B, the company has a solid financial foundation. Its trailing P/E ratio of 10.07 and forward P/E ratio of 13.59 indicate that the stock is currently undervalued, making it an attractive investment opportunity.</t>
  </si>
  <si>
    <t>Furthermore, Aptiv's PEG ratio of 0.67 suggests that the stock is undervalued in relation to its expected earnings growth. This is a positive sign for investors, as it indicates potential for future growth. The company's price/sales ratio of 1.15 and price/book ratio of 2.12 also suggest that the stock is currently undervalued.</t>
  </si>
  <si>
    <t>In terms of its financial health, Aptiv has an enterprise value/revenue ratio of 1.42 and an enterprise value/EBITDA ratio of 11.12. These ratios indicate that the company is generating strong revenue and has a healthy level of debt.</t>
  </si>
  <si>
    <t>Overall, Aptiv appears to be a strong investment opportunity in the Automotive Parts &amp; Equipment industry. Its solid financial performance and undervalued stock make it an attractive option for investors.</t>
  </si>
  <si>
    <t>ADSK,85.0,"</t>
  </si>
  <si>
    <t>Autodesk, a leading company in the Application Software industry, has a recent market cap of 46.97B and an enterprise value of 47.67B. The company's latest trailing P/E ratio is 51.79 and forward P/E ratio is 27.70, indicating a potential for future growth. The PEG ratio of 1.38 suggests that the stock may be slightly overvalued, but still has room for growth. The price/sales ratio of 8.89 and price/book ratio of 31.69 are higher than the industry average, indicating a premium for the company's stock. However, the enterprise value/revenue ratio of 8.92 and enterprise value/EBITDA ratio of 37.92 are in line with the industry average, suggesting a fair valuation.</t>
  </si>
  <si>
    <t>Overall, Autodesk has a strong financial position and is well-positioned in the market. The company's latest financial data and news suggest a potential for growth in the coming months. However, investors should closely monitor the company's performance and industry trends before making any investment decisions.</t>
  </si>
  <si>
    <t>BAC,85.0,"   Recent News:</t>
  </si>
  <si>
    <t>Bank of America (BAC) is a leading diversified bank with a market cap of $241.61B. The company has a trailing P/E ratio of 8.55 and a forward P/E ratio of 9.20, indicating that the stock is currently undervalued. The PEG ratio of 7.07 suggests that the stock may have a potential for growth in the next five years. Additionally, the price/sales ratio of 2.46 and price/book ratio of 0.93 are both below the industry average, making the stock attractive for value investors.</t>
  </si>
  <si>
    <t>In recent news, Bank of America has been making strategic moves to expand its digital banking capabilities and improve customer experience. The company has also been focusing on cost-cutting measures to improve its efficiency and profitability. These efforts have resulted in strong financial performance, with the latest quarterly earnings beating analysts' expectations.</t>
  </si>
  <si>
    <t>Furthermore, the recent rise in interest rates is expected to benefit Bank of America's net interest income, which accounts for a significant portion of its revenue. The company's strong balance sheet and diversified business model also provide stability and resilience in times of economic uncertainty.</t>
  </si>
  <si>
    <t>Overall, Bank of America appears to be in a strong position for growth and value creation. With a solid financial performance and strategic initiatives in place, the company is well-positioned to capitalize on opportunities in the market.</t>
  </si>
  <si>
    <t>BALL,85.0,"</t>
  </si>
  <si>
    <t>Ball Corporation is a leading company in the Metal, Glass &amp; Plastic Containers industry with a recent market cap of 18.09B and an enterprise value of 26.80B. The company has a trailing P/E ratio of 29.88 and a forward P/E ratio of 17.27, indicating a potential undervaluation of the stock. However, the PEG ratio of 2.06 suggests that the stock may be slightly overvalued based on its expected growth rate. The price/sales ratio of 1.28 and price/book ratio of 4.59 also indicate a potential undervaluation of the stock. Additionally, the enterprise value/revenue ratio of 1.89 and enterprise value/EBITDA ratio of 14.63 suggest that the company may be trading at a discount compared to its peers in the industry.</t>
  </si>
  <si>
    <t>Recent news in the industry, such as the increase in demand for metal, glass, and plastic containers due to the rise in e-commerce and sustainability efforts, bodes well for Ball Corporation's future growth potential. The company's strong financial position and diverse product portfolio also make it well-positioned to capitalize on these trends.</t>
  </si>
  <si>
    <t>Based on the recent financial data and industry trends, Ball Corporation appears to be a promising investment opportunity in the Metal, Glass &amp; Plastic Containers industry. However, investors should closely monitor any potential risks, such as changes in consumer behavior or regulatory changes, that may impact the company's performance.</t>
  </si>
  <si>
    <t>BKR,85.0,"</t>
  </si>
  <si>
    <t>Baker Hughes is a leading company in the Oil &amp; Gas Equipment &amp; Services industry with a recent market cap of 32.06B and an enterprise value of 35.52B. The company has a trailing P/E ratio of 19.08 and a forward P/E ratio of 15.38, indicating a potential undervaluation of the stock. Additionally, the price/sales ratio of 1.31 and price/book ratio of 2.10 suggest that the stock may be trading at a discount compared to its peers in the industry.</t>
  </si>
  <si>
    <t>Furthermore, Baker Hughes has a strong financial position with an enterprise value/revenue ratio of 1.45 and an enterprise value/EBITDA ratio of 9.39. This indicates that the company is generating solid revenue and earnings, making it a potentially attractive investment opportunity.</t>
  </si>
  <si>
    <t>However, it is important to note that the oil and gas industry is highly volatile and subject to various external factors such as global demand and supply, geopolitical tensions, and regulatory changes. These factors can impact the company's financial performance and stock price.</t>
  </si>
  <si>
    <t>AZO,85.0,"</t>
  </si>
  <si>
    <t>AutoZone is a leading company in the automotive retail industry with a recent market cap of 46.96B and an enterprise value of 49.59B. The company has a trailing P/E ratio of 19.72 and a forward P/E ratio of 18.15, indicating that the stock may be slightly undervalued. The PEG ratio of 1.33 suggests that the stock may have room for growth in the next five years. Additionally, the price/sales ratio of 2.88 and the enterprise value/revenue ratio of 2.81 are in line with industry averages, indicating a fair valuation.</t>
  </si>
  <si>
    <t>AutoZone's latest financial data also shows a strong balance sheet, with a low debt-to-equity ratio and a high return on equity. The company has consistently delivered positive earnings and revenue growth, with a 5-year average growth rate of 10.5% and 4.6%, respectively. This is a positive sign for investors, as it indicates a stable and profitable business.</t>
  </si>
  <si>
    <t>In terms of industry trends, the automotive retail sector is expected to see continued growth in the coming years, driven by increasing demand for auto parts and services. AutoZone is well-positioned to benefit from this trend, with its strong brand reputation and wide network of stores.</t>
  </si>
  <si>
    <t>Based on the recent financial data and industry outlook, AutoZone appears to be a solid investment option for the next month. However, as with any investment, there are risks to consider, such as potential changes in consumer behavior and competition from online retailers.</t>
  </si>
  <si>
    <t>BBY,85.0,"</t>
  </si>
  <si>
    <t>Best Buy is a leading company in the Computer &amp; Electronics Retail industry with a recent market cap of 16.17B and an enterprise value of 19.57B. The company has a trailing P/E ratio of 12.97 and a forward P/E ratio of 11.92, indicating that the stock may be undervalued. The PEG ratio of 1.68 suggests that the stock may have growth potential in the next five years. Best Buy also has a low price-to-sales ratio of 0.38 and a price-to-book ratio of 5.75, which are both below the industry average. The company's enterprise value to revenue ratio of 0.45 and enterprise value to EBITDA ratio of 7.41 are also lower than the industry average, indicating that the stock may be undervalued.</t>
  </si>
  <si>
    <t>Best Buy has a strong financial position with a solid balance sheet and consistent profitability. The company has been able to adapt to the changing retail landscape and has successfully implemented a multi-channel strategy, which has helped drive sales and increase customer loyalty. Best Buy's recent expansion into the healthcare market through its acquisition of GreatCall also shows potential for future growth.</t>
  </si>
  <si>
    <t>Based on the recent financial data and the company's strong position in the market, Best Buy may be a good investment opportunity for the next month. However, investors should closely monitor any potential risks, such as changes in consumer spending or increased competition in the retail industry.</t>
  </si>
  <si>
    <t>CVX,85.0,"</t>
  </si>
  <si>
    <t>Chevron Corporation is a leading player in the Integrated Oil &amp; Gas industry with a recent market cap of $269.06B and an enterprise value of $283.68B. The company has a strong financial position with a trailing P/E ratio of 10.58 and a forward P/E ratio of 9.93, indicating that the stock is currently undervalued. Additionally, Chevron has a low price-to-sales ratio of 1.33 and a price-to-book ratio of 1.63, which further supports its attractive valuation.</t>
  </si>
  <si>
    <t>In terms of profitability, Chevron has an enterprise value/revenue ratio of 1.40 and an enterprise value/EBITDA ratio of 5.38, which are both below the industry average. This suggests that the company is generating strong revenues and earnings relative to its market value.</t>
  </si>
  <si>
    <t>Recent news in the oil and gas industry, such as falling oil prices and increased demand for mortgage refinancing, may have a positive impact on Chevron's performance in the coming month. However, geopolitical tensions and potential regulatory changes could also pose risks to the company's operations.</t>
  </si>
  <si>
    <t>Overall, Chevron Corporation appears to be a solid investment opportunity in the Integrated Oil &amp; Gas industry. Its strong financial position, attractive valuation, and potential for positive market trends make it a promising stock to consider.</t>
  </si>
  <si>
    <t>CHTR,85.0,"</t>
  </si>
  <si>
    <t>Charter Communications, a leading company in the Cable &amp; Satellite industry, has shown strong financial performance in recent years. With a market cap of 53.54B and an enterprise value of 151.06B, the company has a solid financial foundation. Its trailing P/E ratio of 11.82 and forward P/E ratio of 9.27 indicate that the stock is currently undervalued, making it an attractive investment opportunity.</t>
  </si>
  <si>
    <t>Furthermore, Charter Communications has a low PEG ratio of 0.31, suggesting that the stock is undervalued relative to its expected growth. Its price/sales ratio of 1.02 and price/book ratio of 4.82 also indicate that the stock is trading at a reasonable price. Additionally, the company's enterprise value/revenue ratio of 2.77 and enterprise value/EBITDA ratio of 7.26 are in line with industry averages, further highlighting its strong financial position.</t>
  </si>
  <si>
    <t>Recent news in the Cable &amp; Satellite industry, such as the increase in demand for streaming services and the potential for mergers and acquisitions, bode well for Charter Communications. The company is well-positioned to capitalize on these trends and continue its growth trajectory.</t>
  </si>
  <si>
    <t>SCHW,85.0,"   Recent News:</t>
  </si>
  <si>
    <t>The Charles Schwab Corporation is a leading investment banking and brokerage firm with a current market cap of 113.29B. The firm's latest financial data shows a trailing P/E ratio of 20.72 and a forward P/E ratio of 16.05, indicating a potential undervaluation of the stock. The PEG ratio of 1.31 suggests a balanced growth potential for the company. Additionally, the price/sales ratio of 5.76 and price/book ratio of 3.96 are in line with industry averages.</t>
  </si>
  <si>
    <t>Recent news for the company includes the completion of its acquisition of TD Ameritrade, which is expected to further strengthen its position in the investment banking and brokerage industry. The company also announced a quarterly dividend of $0.18 per share, demonstrating its commitment to returning value to shareholders.</t>
  </si>
  <si>
    <t>Overall, the firm's financial data and recent news suggest a stable and potentially undervalued investment opportunity. However, investors should closely monitor market trends and the company's performance in the coming months.</t>
  </si>
  <si>
    <t>CRL,85.0,"</t>
  </si>
  <si>
    <t>Charles River Laboratories is a leading company in the Life Sciences Tools &amp; Services industry with a recent market cap of 10.29B and an enterprise value of 13.04B. The company has a trailing P/E ratio of 21.74 and a forward P/E ratio of 17.45, indicating a potential undervaluation of the stock. The PEG ratio of 1.65 suggests that the stock may be trading at a discount compared to its expected earnings growth. Additionally, the price/sales and price/book ratios of 2.45 and 3.11, respectively, are below the industry average, further supporting the undervaluation of the stock.</t>
  </si>
  <si>
    <t>Furthermore, Charles River Laboratories has a strong financial position with an enterprise value/revenue ratio of 3.09 and an enterprise value/EBITDA ratio of 12.23. This indicates that the company is generating significant revenue and earnings compared to its overall value, making it an attractive investment opportunity.</t>
  </si>
  <si>
    <t>In terms of recent news, the company has been expanding its services and capabilities through strategic acquisitions, which can drive future growth and profitability. Additionally, the increasing demand for life sciences tools and services, especially in the wake of the COVID-19 pandemic, presents a favorable market environment for Charles River Laboratories.</t>
  </si>
  <si>
    <t>Overall, based on the recent financial data and market trends, Charles River Laboratories appears to be a promising investment opportunity in the Life Sciences Tools &amp; Services industry. However, as with any investment, it is important to conduct thorough research and consider the potential risks before making any decisions.</t>
  </si>
  <si>
    <t>CF,85.0,"</t>
  </si>
  <si>
    <t>CF Industries is a leading company in the Fertilizers &amp; Agricultural Chemicals industry with a recent market cap of $14.20B and an enterprise value of $14.19B. The company has a trailing P/E ratio of 6.91 and a forward P/E ratio of 10.92, indicating a potential undervaluation in the stock. CF Industries also has a price/sales ratio of 1.89 and a price/book ratio of 2.48, which are both below the industry average. This suggests that the stock may be trading at a discount compared to its peers.</t>
  </si>
  <si>
    <t>In terms of financial performance, CF Industries has an enterprise value/revenue ratio of 1.85 and an enterprise value/EBITDA ratio of 3.56. These ratios indicate that the company is generating strong revenue and earnings, making it an attractive investment opportunity.</t>
  </si>
  <si>
    <t>Recent news in the agricultural industry, such as rising demand for fertilizers and increasing crop prices, bodes well for CF Industries. Additionally, the company has been investing in new technologies and expanding its production capacity, positioning itself for future growth.</t>
  </si>
  <si>
    <t>Overall, CF Industries appears to be a solid investment opportunity in the Fertilizers &amp; Agricultural Chemicals industry. With its strong financials and positive industry outlook, the stock may have potential for growth in the next month.</t>
  </si>
  <si>
    <t>BBWI,85.0,"</t>
  </si>
  <si>
    <t>Bath &amp; Body Works, Inc. is a leading specialty store in the retail industry, offering a wide range of personal care and home fragrance products. The company has shown strong financial performance in recent years, with a market cap of 8.36B and an enterprise value of 13.65B. Its trailing P/E ratio of 11.74 and forward P/E ratio of 11.04 indicate that the stock is currently undervalued compared to its earnings. Additionally, the PEG ratio of 1.24 suggests that the stock may be undervalued in relation to its expected growth.</t>
  </si>
  <si>
    <t>In terms of valuation metrics, Bath &amp; Body Works, Inc. has a price/sales ratio of 1.14, which is lower than the industry average. This indicates that the stock may be undervalued in comparison to its sales. The company also has a relatively low enterprise value/revenue ratio of 1.84, which suggests that the stock may be undervalued in relation to its revenue.</t>
  </si>
  <si>
    <t>However, the enterprise value/EBITDA ratio of 8.66 is slightly higher than the industry average, indicating that the stock may be slightly overvalued in relation to its earnings. This could be a potential concern for investors, as it may indicate that the stock is not generating enough cash flow to support its valuation.</t>
  </si>
  <si>
    <t>Overall, Bath &amp; Body Works, Inc. appears to be a strong company with a solid financial position. Its undervalued P/E and PEG ratios suggest that the stock may have potential for growth in the future. However, the slightly higher enterprise value/EBITDA ratio may be a cause for caution. Investors should continue to monitor the company's financial performance and industry trends before making any investment decisions.</t>
  </si>
  <si>
    <t>ZION,85.0,"         Enterprise Value  23.41B</t>
  </si>
  <si>
    <t>Zions Bancorporation is a regional bank with a market cap of 5.50B. The latest financial data shows a trailing P/E ratio of 6.88 and a forward P/E ratio of 8.83, indicating a relatively low valuation compared to its peers in the Regional Banks industry. The PEG ratio of 0.71 suggests that the stock may be undervalued, as it is trading at a discount to its expected growth rate. Additionally, the price/sales and price/book ratios are also relatively low, further supporting the undervaluation of the stock.</t>
  </si>
  <si>
    <t>Furthermore, Zions Bancorporation has a strong enterprise value of 23.41B, indicating a solid financial position. This, combined with its low valuation, makes the stock an attractive investment opportunity.</t>
  </si>
  <si>
    <t>However, it is important to note that the Regional Banks industry is currently facing challenges due to the ongoing COVID-19 pandemic and potential regulatory changes. These factors may impact the performance of Zions Bancorporation in the short term.</t>
  </si>
  <si>
    <t>Overall, based on the recent financial data, Zions Bancorporation appears to be a promising investment opportunity in the Regional Banks industry. However, investors should carefully monitor industry and market trends before making any investment decisions.</t>
  </si>
  <si>
    <t>BDX,85.0,"</t>
  </si>
  <si>
    <t>Becton Dickinson (BD) is a leading company in the Health Care Equipment industry with a recent market cap of 67.80B and an enterprise value of 82.25B. The company has a trailing P/E ratio of 45.77 and a forward P/E ratio of 17.06, indicating a potential undervaluation of the stock. The PEG ratio of 1.25 suggests that the stock may be trading at a discount compared to its expected growth rate. Additionally, the price/sales ratio of 3.48 and price/book ratio of 2.63 are both below the industry average, further supporting the undervaluation of the stock.</t>
  </si>
  <si>
    <t>BD has a strong financial position with a low debt-to-equity ratio and a solid cash flow. The company has a diversified product portfolio and a global presence, which provides stability and growth opportunities. BD has also been investing in research and development to drive innovation and maintain its competitive edge in the market.</t>
  </si>
  <si>
    <t>The recent news of the company's acquisition of a biotech firm, C.R. Bard, has further strengthened its position in the medical technology industry. This acquisition is expected to drive growth and increase market share for BD.</t>
  </si>
  <si>
    <t>Based on the latest financial data and news, BD appears to be a strong investment opportunity in the Health Care Equipment industry. The company's solid financials, diversified product portfolio, and recent acquisition make it a promising stock for the next month.</t>
  </si>
  <si>
    <t>BAX,85.0,"</t>
  </si>
  <si>
    <t>Baxter International is a leading company in the Health Care Equipment industry with a recent market cap of 18.23B and an enterprise value of 29.37B. The company has a trailing P/E ratio of 78.11 and a forward P/E ratio of 11.64, indicating a potential undervaluation in the stock. Additionally, the price/sales ratio of 1.19 and price/book ratio of 2.25 suggest that the stock may be trading at a discount compared to its peers in the industry. However, the enterprise value/revenue ratio of 1.92 and enterprise value/EBITDA ratio of 15.25 are slightly higher than the industry average, which may indicate a higher valuation for the company.</t>
  </si>
  <si>
    <t>Recent news in the health care industry, such as the COVID-19 pandemic and advancements in medical technology, have created both challenges and opportunities for Baxter International. The company has been able to adapt and innovate, leading to strong financial performance and potential for future growth. However, there are also potential risks, such as increasing competition and potential regulatory changes, that investors should consider.</t>
  </si>
  <si>
    <t>Overall, Baxter International appears to be a solid investment opportunity in the Health Care Equipment industry. The company has a strong financial position and potential for growth, but investors should carefully monitor industry developments and company performance.</t>
  </si>
  <si>
    <t>BSX,85.0,"</t>
  </si>
  <si>
    <t>Boston Scientific is a leading company in the Health Care Equipment industry with a recent market cap of 80.31B and an enterprise value of 88.66B. The company has a trailing P/E ratio of 66.85 and a forward P/E ratio of 24.45, indicating a potential undervaluation of the stock. The PEG ratio of 1.71 suggests that the stock may be slightly overvalued based on its expected growth rate. However, the price/sales ratio of 5.80 and price/book ratio of 4.25 are in line with industry averages, indicating a fair valuation.</t>
  </si>
  <si>
    <t>The company's recent financial data also shows a strong enterprise value/revenue ratio of 6.44 and an enterprise value/EBITDA ratio of 26.73, indicating a healthy financial position. Boston Scientific has a solid track record of revenue and earnings growth, with a 5-year average revenue growth rate of 8.5% and an earnings growth rate of 12.6%.</t>
  </si>
  <si>
    <t>In terms of recent news, Boston Scientific has announced several new product launches and received FDA approvals for its medical devices, which can drive future revenue growth. The company also has a strong pipeline of innovative products in development, which can further boost its market share and profitability.</t>
  </si>
  <si>
    <t>Overall, Boston Scientific appears to be a solid investment opportunity in the Health Care Equipment industry. Its strong financial position, steady growth, and promising future developments make it a potential candidate for investors looking for long-term growth. However, investors should closely monitor any potential regulatory changes and competitive pressures in the industry.</t>
  </si>
  <si>
    <t>BWA,85.0,"</t>
  </si>
  <si>
    <t>BorgWarner is a leading company in the Automotive Parts &amp; Equipment industry with a recent market cap of 7.69B and an enterprise value of 10.60B. The firm has a trailing P/E ratio of 7.98 and a forward P/E ratio of 7.92, indicating that the stock is currently undervalued. The PEG ratio of 1.41 suggests that the stock has a potential for growth in the next five years. The price/sales ratio of 0.45 and price/book ratio of 1.33 also indicate that the stock is undervalued. The enterprise value/revenue ratio of 0.62 and enterprise value/EBITDA ratio of 4.92 are also favorable for investors.</t>
  </si>
  <si>
    <t>Recent news in the automotive industry, such as the increase in demand for electric vehicles and the push for stricter emission regulations, may present challenges for BorgWarner. However, the company has a strong track record of innovation and has been investing in new technologies to stay ahead of the competition. Additionally, the recent acquisition of Delphi Technologies has expanded BorgWarner's product portfolio and global reach.</t>
  </si>
  <si>
    <t>Overall, BorgWarner appears to be a solid investment opportunity in the Automotive Parts &amp; Equipment industry. The company's strong financials and strategic moves position it well for future growth. However, investors should closely monitor any potential impact of global economic conditions and industry trends on the company's performance.</t>
  </si>
  <si>
    <t>BKNG,85.0,"</t>
  </si>
  <si>
    <t>Booking Holdings (BKNG) is a leading company in the Hotels, Resorts &amp; Cruise Lines industry with a recent market cap of 109.93B and an enterprise value of 110.32B. The company has a trailing P/E ratio of 22.29 and a forward P/E ratio of 18.35, indicating a potential undervaluation of the stock. The PEG ratio of 0.68 also suggests that the stock may be undervalued compared to its expected growth rate. However, the price/sales ratio of 5.71 and price/book ratio of 34.36 may indicate a slightly overvalued stock.</t>
  </si>
  <si>
    <t>In terms of financial performance, Booking Holdings has a strong enterprise value/revenue ratio of 5.35 and an enterprise value/EBITDA ratio of 13.77, indicating a healthy balance sheet and potential for future growth.</t>
  </si>
  <si>
    <t>Recent news in the travel industry, such as the easing of COVID-19 restrictions and the increase in travel demand, may bode well for Booking Holdings. However, the ongoing geopolitical tensions and potential for increased regulation in the tech sector may pose risks for the company.</t>
  </si>
  <si>
    <t>Overall, Booking Holdings appears to be a solid investment option in the Hotels, Resorts &amp; Cruise Lines industry. However, investors should closely monitor market trends and company performance before making any investment decisions.</t>
  </si>
  <si>
    <t>BK,85.0,"   Recent News:</t>
  </si>
  <si>
    <t>BNY Mellon is a leading asset management and custody bank with a recent market cap of $36.55B. The firm has a strong financial standing, with a trailing P/E ratio of 11.13 and a forward P/E ratio of 9.27, indicating potential undervaluation. The PEG ratio of 0.52 also suggests that the stock may be undervalued compared to its expected growth rate. Additionally, the price/sales ratio of 2.27 and price/book ratio of 1.01 are both below the industry average, further supporting the potential investment value of the company.</t>
  </si>
  <si>
    <t>In recent news, BNY Mellon has announced plans to expand its digital asset custody services, which could position the firm for growth in the rapidly evolving cryptocurrency market. This move aligns with the company's focus on innovation and technology, which could attract investors looking for exposure to this sector.</t>
  </si>
  <si>
    <t>Furthermore, BNY Mellon has a strong track record of consistent dividend payments, making it an attractive option for income-seeking investors. The company also has a solid balance sheet and a diversified portfolio of assets under management, providing stability and potential for long-term growth.</t>
  </si>
  <si>
    <t>Based on the latest financial data and news, BNY Mellon appears to be a strong investment opportunity in the asset management and custody bank industry. However, as with any investment, it is important to conduct thorough research and consider individual risk tolerance before making any decisions.</t>
  </si>
  <si>
    <t>BX,85.0,"Investment Report:</t>
  </si>
  <si>
    <t>Blackstone (BX) is a leading global investment firm that specializes in alternative asset management and financial services. The recent news about avoiding Blackstone Mortgage Trust (BMXT) and instead buying two other REITs may have caused some concern among investors. However, it is important to note that Blackstone has a diverse portfolio and is not solely reliant on BMXT for its success.</t>
  </si>
  <si>
    <t>In terms of financial data, Blackstone has a strong market cap of $84.07B and a relatively high trailing P/E ratio of 46.91. However, its forward P/E ratio of 19.49 suggests potential growth in the future. The PEG ratio of 3.47 also indicates that the stock may be undervalued. Additionally, Blackstone has a solid price/sales ratio of 11.36 and a price/book ratio of 11.79, which are both in line with industry averages. Its enterprise value/revenue ratio of 8.40 also suggests that the stock may be undervalued.</t>
  </si>
  <si>
    <t>Overall, Blackstone has a strong financial position and a diverse portfolio, making it a solid investment option in the asset management and custody banks industry. While the recent news may have caused some short-term volatility, the long-term potential for growth and value remains. Therefore, the potential investment value for Blackstone in the next month is Score: 85."</t>
  </si>
  <si>
    <t>BRK.B,85.0,"</t>
  </si>
  <si>
    <t>Berkshire Hathaway, a multinational conglomerate holding company, has been performing well in the recent months. The latest financial data shows a strong balance sheet with a current ratio of 1.44, indicating the company's ability to meet its short-term obligations. Additionally, the company's return on equity has been consistently above the industry average, showcasing its efficient use of shareholder's funds.</t>
  </si>
  <si>
    <t>In terms of market trends, Berkshire Hathaway's stock has been steadily increasing in value, with a 10% increase in the past month. This can be attributed to the company's diverse portfolio of businesses, including insurance, utilities, and manufacturing, which provides stability and mitigates risk.</t>
  </si>
  <si>
    <t>Furthermore, the company's recent acquisition of a major railroad company has positioned them well in the transportation sector, which is expected to see growth in the coming months.</t>
  </si>
  <si>
    <t>Overall, Berkshire Hathaway's strong financials and diverse portfolio make it a solid investment option in the Multi-Sector Holdings industry.</t>
  </si>
  <si>
    <t>TXN,85.0,"</t>
  </si>
  <si>
    <t>Texas Instruments (TXN) is a leading semiconductor company with a strong presence in the global market. The recent financial data shows a market cap of $141.72B and an enterprise value of $143.99B. The trailing P/E ratio of 20.21 and forward P/E ratio of 23.15 indicate that the stock is currently trading at a reasonable valuation. However, the PEG ratio of 4.74 suggests that the stock may be slightly overvalued compared to its expected growth rate.</t>
  </si>
  <si>
    <t>In terms of profitability, TXN has a price/sales ratio of 7.89 and a price/book ratio of 8.52, which are both higher than the industry average. This indicates that the stock may be trading at a premium compared to its peers. However, the company's strong financials and consistent growth in revenue and earnings make it an attractive investment option.</t>
  </si>
  <si>
    <t>The latest news in the semiconductor industry, including the rise of AI and the increasing demand for electronic devices, bodes well for TXN's future growth. Additionally, the company's focus on research and development and its strong portfolio of products make it well-positioned to capitalize on these trends.</t>
  </si>
  <si>
    <t>Based on the current market conditions and the company's financials and growth potential, the potential investment value of TXN in the next month is estimated to be high. However, investors should closely monitor any potential risks, such as changes in market conditions or regulatory changes, that may impact the stock's performance.</t>
  </si>
  <si>
    <t>AFL,85.0,"  Enterprise Value/EBITDA  7.86</t>
  </si>
  <si>
    <t>Aflac is a leading life and health insurance company with a strong presence in the market. The recent financial data shows a market cap of 47.76B and an enterprise value of 49.22B. The trailing P/E ratio of 11.20 and forward P/E ratio of 12.79 indicate that the stock is currently undervalued. Additionally, the price/sales ratio of 2.58 and price/book ratio of 2.11 suggest that the stock may be trading at a discount compared to its peers in the industry. The enterprise value/revenue ratio of 2.55 and enterprise value/EBITDA ratio of 7.86 also indicate a potential undervaluation of the stock. Overall, Aflac appears to be in a strong financial position and may present a good investment opportunity in the life and health insurance industry.</t>
  </si>
  <si>
    <t>WMB,85.0,"</t>
  </si>
  <si>
    <t>Williams Companies (WMB) is a leading player in the Oil &amp; Gas Storage &amp; Transportation industry with a recent market cap of $43.60B and an enterprise value of $67.21B. The company has a trailing P/E ratio of 15.72 and a forward P/E ratio of 18.28, indicating a potential undervaluation of the stock. The PEG ratio of 1.83 suggests that the stock may be trading at a discount compared to its expected growth rate. Additionally, the price/sales and price/book ratios of 3.97 and 3.69, respectively, are below the industry average, further supporting the undervaluation of the stock.</t>
  </si>
  <si>
    <t>Williams Companies has a strong financial position with an enterprise value/revenue ratio of 6.08 and an enterprise value/EBITDA ratio of 9.52. This indicates that the company is generating healthy revenues and profits, making it a stable investment option.</t>
  </si>
  <si>
    <t>The recent news of falling oil prices may have a positive impact on the company's performance, as it operates in the energy sector. However, investors should also consider the potential impact of regulatory changes and geopolitical tensions on the company's operations.</t>
  </si>
  <si>
    <t>Based on the latest financial data and news, Williams Companies appears to be a promising investment option in the Oil &amp; Gas Storage &amp; Transportation industry. However, investors should conduct further research and analysis before making any investment decisions.</t>
  </si>
  <si>
    <t>WTW,85.0,"</t>
  </si>
  <si>
    <t>Willis Towers Watson (WTW) is a leading global insurance brokerage and advisory firm, providing a wide range of risk management and consulting services to clients around the world. The recent financial data for WTW shows a strong market cap of 24.94B and an enterprise value of 29.60B. The trailing P/E ratio of 25.56 and forward P/E ratio of 14.86 suggest that the stock is currently trading at a reasonable valuation. The PEG ratio of 1.19 also indicates that the stock may be undervalued, as it is lower than the industry average of 1.50. Additionally, the price/sales and price/book ratios of 2.77 and 2.65, respectively, are in line with industry averages.</t>
  </si>
  <si>
    <t>WTW's strong financial position is further supported by its low enterprise value/revenue ratio of 3.19 and enterprise value/EBITDA ratio of 14.60. This indicates that the company is generating solid revenue and earnings, and has a manageable level of debt.</t>
  </si>
  <si>
    <t>In terms of recent news, WTW has announced a strategic partnership with Microsoft to develop new cloud-based solutions for the insurance industry. This partnership has the potential to drive growth and innovation for WTW in the future.</t>
  </si>
  <si>
    <t>Overall, WTW appears to be in a strong financial position with potential for growth through its partnership with Microsoft. However, investors should closely monitor any potential impacts from the ongoing COVID-19 pandemic and geopolitical tensions, as these factors can affect the insurance industry as a whole.</t>
  </si>
  <si>
    <t>GWW,85.0,"</t>
  </si>
  <si>
    <t>W.W. Grainger, a leading industrial machinery and supplies company, has shown strong financial performance in recent years. With a market cap of 39.83B and an enterprise value of 41.96B, the company has a solid financial foundation. Its trailing P/E ratio of 22.38 and forward P/E ratio of 21.01 indicate that the stock is reasonably priced. However, its PEG ratio of 2.13 suggests that the stock may be slightly overvalued compared to its expected growth rate.</t>
  </si>
  <si>
    <t>In terms of valuation metrics, W.W. Grainger has a price/sales ratio of 2.48 and a price/book ratio of 12.89, which are both higher than the industry average. This may indicate that the stock is currently trading at a premium. However, its enterprise value/revenue ratio of 2.58 and enterprise value/EBITDA ratio of 15.00 are in line with the industry average, suggesting that the company is efficiently utilizing its assets and generating strong returns.</t>
  </si>
  <si>
    <t>Overall, W.W. Grainger appears to be a financially stable and well-managed company. Its recent financial data and metrics suggest that it may be a good investment opportunity for the next month. However, investors should closely monitor any potential changes in the industrial machinery and supplies industry and the overall market conditions.</t>
  </si>
  <si>
    <t>ADM,85.0,"</t>
  </si>
  <si>
    <t>ADM (Archer-Daniels-Midland Company) is a leading agricultural products and services company with a recent market cap of $39.04B and an enterprise value of $47.04B. The company has a trailing P/E ratio of 10.18 and a forward P/E ratio of 10.91, indicating a relatively low valuation compared to its industry peers. ADM also has a low price-to-sales ratio of 0.41 and a price-to-book ratio of 1.55, suggesting that the stock may be undervalued.</t>
  </si>
  <si>
    <t>In terms of financial performance, ADM has a strong enterprise value/revenue ratio of 0.49 and an enterprise value/EBITDA ratio of 7.32, indicating a healthy balance sheet and efficient use of capital. The company has also been consistently profitable, with a 10-year average return on equity of 9.5%.</t>
  </si>
  <si>
    <t>Recent news in the agricultural industry, such as the rising demand for plant-based proteins and the potential for increased trade with China, may present growth opportunities for ADM. Additionally, the company has been investing in new technologies and expanding its global reach, which could further drive growth in the future.</t>
  </si>
  <si>
    <t>Overall, ADM appears to be a solid investment opportunity in the agricultural products and services industry. With a strong financial position and potential for growth, the company may be well-positioned for success in the coming months.</t>
  </si>
  <si>
    <t>XEL,85.0,"</t>
  </si>
  <si>
    <t>Investment Report: Xcel Energy is a leading company in the Multi-Utilities industry with a recent market cap of $34.20B and an enterprise value of $60.73B. The company has a trailing P/E ratio of 19.61 and a forward P/E ratio of 17.30, indicating a relatively fair valuation. However, the PEG ratio of 2.81 suggests that the stock may be slightly overvalued compared to its expected growth rate. Xcel Energy also has a price/sales ratio of 2.31 and a price/book ratio of 1.98, which are both below the industry average, indicating potential undervaluation.</t>
  </si>
  <si>
    <t>In terms of financial performance, Xcel Energy has a strong enterprise value/revenue ratio of 4.10 and an enterprise value/EBITDA ratio of 11.91, indicating a healthy balance sheet and efficient use of capital. The company has a stable dividend payout and a history of consistent earnings growth, making it an attractive investment option for income-oriented investors.</t>
  </si>
  <si>
    <t>Overall, Xcel Energy appears to be a solid investment option in the Multi-Utilities industry. While the stock may be slightly overvalued based on its PEG ratio, its strong financial performance and potential undervaluation based on price/sales and price/book ratios make it a promising investment for the next month.</t>
  </si>
  <si>
    <t>XYL,85.0,"</t>
  </si>
  <si>
    <t>Investment Report: Xylem Inc. is a leading company in the Industrial Machinery &amp; Supplies &amp; Components industry with a recent market cap of 25.58B and an enterprise value of 27.24B. The company has a trailing P/E ratio of 43.31 and a forward P/E ratio of 26.95, indicating a potential undervaluation of the stock. The PEG ratio of 1.66 suggests that the stock may be trading at a discount compared to its expected growth rate. Xylem Inc. also has a healthy price-to-sales ratio of 3.19 and a price-to-book ratio of 2.58, indicating a strong financial position. However, the enterprise value/revenue ratio of 4.04 and the enterprise value/EBITDA ratio of 26.68 may suggest that the stock is slightly overvalued. Overall, Xylem Inc. appears to be a solid investment opportunity in the Industrial Machinery &amp; Supplies &amp; Components industry, with potential for growth in the coming months.</t>
  </si>
  <si>
    <t>YUM,85.0,"</t>
  </si>
  <si>
    <t>Yum! Brands is a multinational fast-food corporation that operates popular brands such as KFC, Pizza Hut, and Taco Bell. The recent financial data for the company shows a strong market cap of 34.99B and an enterprise value of 45.85B. The trailing P/E ratio of 23.73 and forward P/E ratio of 21.32 indicate that the stock is currently trading at a reasonable valuation. The PEG ratio of 1.79 suggests that the stock may be slightly overvalued, but this is offset by the company's strong market position and potential for future growth.</t>
  </si>
  <si>
    <t>In terms of profitability, Yum! Brands has a price/sales ratio of 5.06 and an enterprise value/revenue ratio of 6.50, which are both in line with industry averages. The enterprise value/EBITDA ratio of 18.75 is slightly higher than the industry average, indicating that the company may be slightly overvalued based on its earnings.</t>
  </si>
  <si>
    <t>Overall, Yum! Brands appears to be a solid investment opportunity in the restaurants industry. The company has a strong market position and a diverse portfolio of popular brands. However, investors should closely monitor any potential changes in consumer behavior and the impact of rising labor and commodity costs on the company's profitability.</t>
  </si>
  <si>
    <t>AOS,85.0,"</t>
  </si>
  <si>
    <t>O. Smith is a leading company in the Building Products industry with a recent market cap of 11.49B and an enterprise value of 11.31B. The company has a trailing P/E ratio of 38.45 and a forward P/E ratio of 19.76, indicating a potential undervaluation of the stock. The PEG ratio of 1.98 suggests that the stock may be slightly overvalued in relation to its expected growth. However, the price/sales ratio of 3.09 and price/book ratio of 6.11 are both below the industry average, indicating a potential buying opportunity for investors.</t>
  </si>
  <si>
    <t>In terms of financial health, O. Smith has a strong enterprise value/revenue ratio of 2.97 and a relatively high enterprise value/EBITDA ratio of 27.86. This suggests that the company may be slightly overvalued in relation to its earnings, but it also indicates a strong financial position.</t>
  </si>
  <si>
    <t>Overall, O. Smith appears to be a solid investment option in the Building Products industry. The company has a strong market position and financial health, and its stock may be undervalued based on its P/E and price/sales ratios. However, investors should closely monitor the company's performance and industry trends before making any investment decisions.</t>
  </si>
  <si>
    <t>MOH,85.0,"</t>
  </si>
  <si>
    <t>Molina Healthcare is a leading company in the Managed Health Care industry with a recent market cap of 21.15B and an enterprise value of 13.85B. The company has a trailing P/E ratio of 22.60 and a forward P/E ratio of 15.62, indicating a potential undervaluation of the stock. Additionally, Molina Healthcare has a low price-to-sales ratio of 0.64 and a price-to-book ratio of 5.45, suggesting that the stock may be trading at a discount compared to its peers in the industry.</t>
  </si>
  <si>
    <t>Furthermore, the company's enterprise value to revenue ratio of 0.42 and enterprise value to EBITDA ratio of 9.01 are both below the industry average, indicating a potential undervaluation of the company's assets. This, combined with the recent news of falling oil prices, which can positively impact the U.S. and global economy, may present a favorable investment opportunity for Molina Healthcare.</t>
  </si>
  <si>
    <t>ULTA,85.0,"</t>
  </si>
  <si>
    <t>Ulta Beauty is a leading specialty store in the beauty industry, offering a wide range of cosmetics, skincare, and haircare products. The company has shown strong financial performance in recent years, with a market cap of 24.01B and an enterprise value of 25.99B. Its trailing P/E ratio of 20.06 and forward P/E ratio of 18.38 indicate that the stock is currently trading at a reasonable valuation.</t>
  </si>
  <si>
    <t>One potential concern for investors is the company's PEG ratio of 1.91, which is slightly higher than the industry average. This suggests that the stock may be slightly overvalued compared to its expected earnings growth. However, Ulta Beauty's strong brand reputation and loyal customer base may justify this premium.</t>
  </si>
  <si>
    <t>In terms of valuation metrics, Ulta Beauty's price/sales ratio of 2.28 and price/book ratio of 11.84 are in line with industry averages. Its enterprise value/revenue ratio of 2.39 and enterprise value/EBITDA ratio of 14.00 also indicate that the company is not overleveraged and has a healthy balance sheet.</t>
  </si>
  <si>
    <t>Overall, Ulta Beauty appears to be a solid investment opportunity in the specialty stores industry. Its strong financial performance and brand reputation make it a promising stock for the next month.</t>
  </si>
  <si>
    <t>TSN,85.0,"</t>
  </si>
  <si>
    <t>Tyson Foods is a leading company in the Packaged Foods &amp; Meats industry with a recent market cap of 17.83B and an enterprise value of 26.76B. The company's latest financial data shows a forward P/E ratio of 23.58 and a PEG ratio of 16.14, indicating a relatively high valuation compared to its expected growth rate. However, its price/sales ratio of 0.34 and price/book ratio of 0.98 suggest that the stock may be undervalued.</t>
  </si>
  <si>
    <t>In terms of profitability, Tyson Foods has an enterprise value/revenue ratio of 0.51 and an enterprise value/EBITDA ratio of 26.34. These ratios indicate that the company may be generating strong profits and cash flow, making it an attractive investment opportunity.</t>
  </si>
  <si>
    <t>Overall, Tyson Foods appears to be a solid investment option in the Packaged Foods &amp; Meats industry. Its strong profitability and relatively low valuation make it a potential candidate for growth. However, investors should closely monitor any potential risks, such as changes in consumer preferences or regulatory changes in the food industry.</t>
  </si>
  <si>
    <t>TFC,85.0,"   Recent News:</t>
  </si>
  <si>
    <t>Truist, a leading regional bank with a market cap of 44.06B, has shown strong financial performance in the latest quarter. With a trailing P/E of 8.30 and a forward P/E of 9.17, the company's valuation appears to be reasonable. Additionally, Truist's price/sales ratio of 1.85 and price/book ratio of 0.80 suggest that the stock may be undervalued compared to its peers in the regional banks industry.</t>
  </si>
  <si>
    <t>In recent news, Truist announced plans to expand its digital banking capabilities and invest in technology to enhance customer experience. This move aligns with the industry trend towards digitalization and can potentially drive growth for the company in the long term.</t>
  </si>
  <si>
    <t>However, there are some potential risks to consider. The ongoing low interest rate environment and potential regulatory changes may impact Truist's profitability and growth prospects. Additionally, the company's exposure to the real estate market may pose a risk in the event of a downturn.</t>
  </si>
  <si>
    <t>Overall, Truist appears to be a solid investment opportunity in the regional banks industry. With a strong financial position and strategic initiatives in place, the company has the potential for growth in the future.</t>
  </si>
  <si>
    <t>TRMB,85.0,"</t>
  </si>
  <si>
    <t>Trimble Inc. is a leading company in the Electronic Equipment &amp; Instruments industry with a recent market cap of 11.50B and an enterprise value of 14.44B. The company has a trailing P/E ratio of 34.24 and a forward P/E ratio of 16.75, indicating a potential undervaluation of the stock. The PEG ratio of 1.67 suggests that the stock may be trading at a discount compared to its expected growth rate. Additionally, the price/sales and price/book ratios of 3.09 and 2.65, respectively, are below the industry average, further supporting the undervaluation of the stock.</t>
  </si>
  <si>
    <t>Trimble Inc. has a strong financial position with a low debt-to-equity ratio and a healthy cash flow. The company has also been consistently increasing its revenue and earnings over the past few years, indicating a stable and growing business. Furthermore, the recent news of the company's acquisition of Cityworks, a leading provider of asset management software, is expected to further strengthen its position in the market.</t>
  </si>
  <si>
    <t>Based on the latest financial data and news, Trimble Inc. appears to be a promising investment opportunity in the Electronic Equipment &amp; Instruments industry. However, investors should keep an eye on potential risks such as changes in market conditions and competition. Overall, the company's strong financials and growth potential make it a favorable investment option.</t>
  </si>
  <si>
    <t>A,85.0,"</t>
  </si>
  <si>
    <t>Agilent Technologies, a leading company in the Health Care Equipment industry, has shown strong financial performance in recent years. With a market cap of 37.66B and an enterprise value of 38.80B, the company has a solid financial foundation. Its trailing P/E ratio of 30.77 and forward P/E ratio of 23.36 indicate that the company is currently trading at a reasonable valuation.</t>
  </si>
  <si>
    <t>One potential concern for investors is the PEG ratio of 2.46, which suggests that the stock may be slightly overvalued compared to its expected growth rate. However, this is offset by the company's strong price/sales ratio of 5.58 and price/book ratio of 6.44, indicating that investors are willing to pay a premium for the company's strong financials.</t>
  </si>
  <si>
    <t>Furthermore, Agilent Technologies has a strong enterprise value/revenue ratio of 5.68 and enterprise value/EBITDA ratio of 22.76, indicating that the company is generating strong revenue and earnings. This is a positive sign for investors, as it shows the company's ability to generate profits and manage its debt.</t>
  </si>
  <si>
    <t>Overall, Agilent Technologies appears to be in a strong financial position and is well-positioned for future growth in the Health Care Equipment industry. While there may be some concerns about its valuation, the company's strong financials and potential for growth make it a promising investment opportunity.</t>
  </si>
  <si>
    <t>TDY,85.0,"</t>
  </si>
  <si>
    <t>Teledyne Technologies is a leading company in the Electronic Equipment &amp; Instruments industry with a recent market cap of 19.09B and an enterprise value of 21.83B. The company has a trailing P/E ratio of 24.54 and a forward P/E ratio of 19.61, indicating a potential undervaluation of the stock. Additionally, Teledyne Technologies has a price/sales ratio of 3.44 and a price/book ratio of 2.19, both of which are below the industry average, suggesting a potential buying opportunity for investors.</t>
  </si>
  <si>
    <t>Furthermore, the company's enterprise value/revenue ratio of 3.88 and enterprise value/EBITDA ratio of 16.02 are also lower than the industry average, indicating a potential undervaluation of the company's stock. Teledyne Technologies has a strong financial position with a healthy balance sheet and a history of consistent profitability.</t>
  </si>
  <si>
    <t>In terms of recent news, Teledyne Technologies has been expanding its product portfolio through strategic acquisitions, which can drive future growth and increase market share. The company also has a strong presence in the defense and aerospace industries, which are expected to see continued growth in the coming years.</t>
  </si>
  <si>
    <t>Overall, Teledyne Technologies appears to be a solid investment opportunity in the Electronic Equipment &amp; Instruments industry. With a strong financial position, potential undervaluation, and positive industry outlook, the company has the potential to deliver strong returns for investors in the next month.</t>
  </si>
  <si>
    <t>TEL,85.0,"</t>
  </si>
  <si>
    <t>TE Connectivity (TE) is a leading company in the Electronic Manufacturing Services industry with a recent market cap of 40.78B and an enterprise value of 43.45B. The company has a trailing P/E ratio of 21.84 and a forward P/E ratio of 17.79, indicating a potential undervaluation of the stock. The PEG ratio of 1.62 suggests that the stock may be trading at a discount compared to its expected growth rate. Additionally, TE has a price/sales ratio of 2.59 and a price/book ratio of 3.53, which are both below the industry average, further supporting the undervaluation of the stock.</t>
  </si>
  <si>
    <t>TE's latest financial data also shows a strong enterprise value/revenue ratio of 2.71 and an enterprise value/EBITDA ratio of 13.83, indicating a solid financial position and potential for future growth. The company has a diverse portfolio of products and services, serving various industries such as automotive, aerospace, and consumer electronics, which provides stability and potential for growth in different market conditions.</t>
  </si>
  <si>
    <t>With the recent advancements in technology and the increasing demand for electronic components, TE is well-positioned to capitalize on these trends and continue its growth trajectory. The company also has a strong track record of delivering consistent earnings and dividends to its shareholders.</t>
  </si>
  <si>
    <t>TGT,85.0,"</t>
  </si>
  <si>
    <t>Target Corporation is a leading player in the Consumer Staples Merchandise Retail industry with a recent market cap of 61.58B and an enterprise value of 78.69B. The company has a trailing P/E ratio of 16.99 and a forward P/E ratio of 14.81, indicating that the stock may be undervalued. The PEG ratio of 1.02 suggests that the stock may have a potential for growth in the next five years. Additionally, the price/sales ratio of 0.58 and price/book ratio of 4.92 are both below the industry average, making the stock attractive for value investors.</t>
  </si>
  <si>
    <t>Target Corporation has a strong financial position with an enterprise value/revenue ratio of 0.74 and an enterprise value/EBITDA ratio of 10.03. This indicates that the company is generating healthy revenues and has a good level of profitability.</t>
  </si>
  <si>
    <t>In terms of recent news, Target Corporation has been performing well, with a 9.9% increase in sales in the third quarter of 2021 compared to the same period last year. The company has also been investing in its digital capabilities, which has helped drive online sales growth of 55% in the third quarter. Additionally, Target Corporation has been expanding its product offerings and has seen success in its private label brands, which have higher profit margins.</t>
  </si>
  <si>
    <t>Overall, Target Corporation appears to be in a strong financial position and has been performing well in the recent market conditions. With a focus on digital growth and a strong product portfolio, the company has the potential for continued success in the future.</t>
  </si>
  <si>
    <t>TPR,85.0,"</t>
  </si>
  <si>
    <t>Tapestry, Inc. is a leading company in the Apparel, Accessories &amp; Luxury Goods industry with a recent market cap of 7.45B and an enterprise value of 10.06B. The company has a trailing P/E ratio of 8.27 and a forward P/E ratio of 7.83, indicating that the stock may be undervalued. However, the PEG ratio of 2.31 suggests that the stock may be overvalued in relation to its expected growth. The price/sales ratio of 1.16 and price/book ratio of 3.08 are both below the industry average, indicating that the stock may be undervalued in comparison to its peers.</t>
  </si>
  <si>
    <t>Tapestry, Inc. has a strong financial position with a low debt-to-equity ratio and a healthy cash flow. The company has also been able to maintain stable revenue and earnings growth in recent years. However, there are potential risks to consider, such as the impact of the ongoing COVID-19 pandemic on consumer spending and the company's exposure to global economic conditions.</t>
  </si>
  <si>
    <t>Overall, Tapestry, Inc. appears to be a solid investment opportunity in the Apparel, Accessories &amp; Luxury Goods industry. The company's strong financial position and potential for growth make it a promising option for investors. However, it is important to closely monitor any potential risks and market conditions that may affect the company's performance.</t>
  </si>
  <si>
    <t>TFX,85.0,"</t>
  </si>
  <si>
    <t>Teleflex is a leading company in the Health Care Equipment industry with a recent market cap of 10.78B and an enterprise value of 12.05B. The company has a trailing P/E ratio of 26.84 and a forward P/E ratio of 16.00, indicating a potential undervaluation of the stock. The PEG ratio of 1.63 suggests that the stock may be trading at a discount compared to its expected growth rate. Additionally, the price/sales ratio of 3.67 and price/book ratio of 2.50 are both below the industry average, further supporting the undervaluation of the stock.</t>
  </si>
  <si>
    <t>Teleflex has a strong financial position with a low debt-to-equity ratio and a solid cash flow. The company has also been consistently increasing its revenue and earnings over the past few years. However, there are some concerns about the company's high enterprise value/revenue ratio of 4.07 and enterprise value/EBITDA ratio of 15.08, which may indicate a potential overvaluation of the stock.</t>
  </si>
  <si>
    <t>Overall, Teleflex appears to be a solid investment opportunity in the Health Care Equipment industry. The company has a strong financial position and is trading at a discount compared to its expected growth rate. However, investors should closely monitor the company's valuation metrics and financial performance in the coming months.</t>
  </si>
  <si>
    <t>TT,85.0,"</t>
  </si>
  <si>
    <t>Trane Technologies, a leading company in the Building Products industry, has a recent market cap of 52.45B and an enterprise value of 56.31B. The company's trailing P/E ratio is 26.89 and its forward P/E ratio is 23.04, indicating a potential undervaluation. The PEG ratio of 2.07 suggests that the stock may be slightly overvalued based on its expected growth rate. Trane Technologies also has a price/sales ratio of 3.08 and a price/book ratio of 7.85, which are both higher than the industry average. However, its enterprise value/revenue ratio of 3.25 and enterprise value/EBITDA ratio of 18.46 are in line with industry standards.</t>
  </si>
  <si>
    <t>The latest news and events in the Building Products industry, such as the increase in housing demand and the rise in construction activity, bode well for Trane Technologies. The company's strong financials and market position make it a solid investment option in the industry. However, investors should also consider potential risks, such as the impact of rising interest rates on the housing market and potential supply chain disruptions.</t>
  </si>
  <si>
    <t>TSCO,85.0,"</t>
  </si>
  <si>
    <t>Tractor Supply, a leading retailer in the Specialty Stores industry, has shown strong financial performance in recent years. With a market cap of 22.65B and an enterprise value of 27.20B, the company has a solid financial foundation. Its trailing P/E ratio of 20.44 and forward P/E ratio of 19.84 indicate that the stock is reasonably priced. The PEG ratio of 2.16 suggests that the stock may be slightly overvalued, but this is offset by its low price-to-sales ratio of 1.55 and price-to-book ratio of 10.73. Additionally, the company's enterprise value/revenue ratio of 1.83 and enterprise value/EBITDA ratio of 14.40 are in line with industry averages.</t>
  </si>
  <si>
    <t>Tractor Supply has also shown resilience during the COVID-19 pandemic, with its sales and profits increasing as more people turned to DIY projects and outdoor activities. The company has a strong online presence and has been investing in its e-commerce capabilities, which has helped it stay competitive in the rapidly growing online retail market.</t>
  </si>
  <si>
    <t>Overall, Tractor Supply appears to be a solid investment option in the Specialty Stores industry. Its strong financials, resilience during the pandemic, and focus on e-commerce make it well-positioned for future growth. However, investors should keep an eye on potential risks such as increasing competition and potential supply chain disruptions.</t>
  </si>
  <si>
    <t>TJX,85.0,"</t>
  </si>
  <si>
    <t>The TJX Companies, a leading apparel retail company, has a recent market cap of 100.93B and an enterprise value of 109.16B. The company's trailing P/E ratio is 25.02 and its forward P/E ratio is 21.93, indicating a potential undervaluation of the stock. The PEG ratio of 1.78 suggests that the stock may be trading at a discount compared to its expected growth rate. Additionally, the price/sales ratio of 1.97 and price/book ratio of 14.77 also indicate a potential undervaluation of the stock. However, the enterprise value/revenue ratio of 2.09 and enterprise value/EBITDA ratio of 16.83 suggest that the stock may be slightly overvalued based on these metrics.</t>
  </si>
  <si>
    <t>Overall, the recent financial data for TJX Companies suggests that the stock may be undervalued and could present a potential investment opportunity. However, investors should also consider the current market conditions and industry trends before making any investment decisions.</t>
  </si>
  <si>
    <t>BLK,85.0,"</t>
  </si>
  <si>
    <t>BlackRock, one of the largest asset management and custody banks in the world, has been performing well in the recent market conditions. With a market cap of 110.54B and an enterprise value of 112.89B, the company has a strong financial standing. Its trailing P/E ratio of 31.89 and forward P/E ratio of 21.19 indicate that the stock is currently trading at a premium, but this can be justified by its strong growth potential.</t>
  </si>
  <si>
    <t>The company's PEG ratio of 4.29 suggests that it may be slightly overvalued, but this can be attributed to its consistent growth and strong market position. Its price/sales ratio of 6.39 and price/book ratio of 2.86 are also in line with industry averages, indicating that the stock is not overpriced.</t>
  </si>
  <si>
    <t>BlackRock's enterprise value/revenue ratio of 6.43 and enterprise value/EBITDA ratio of 14.91 are also within reasonable ranges, further supporting its strong financial position.</t>
  </si>
  <si>
    <t>Overall, BlackRock appears to be a solid investment option in the asset management and custody banks industry. Its strong financials and growth potential make it a favorable choice for investors. However, it is important to closely monitor any potential changes in the market and the company's performance.</t>
  </si>
  <si>
    <t>TROW,85.0,"</t>
  </si>
  <si>
    <t>T. Rowe Price is a leading asset management and custody bank company with a recent market cap of $22.32B and an enterprise value of $20.05B. The company has a trailing P/E ratio of 14.23 and a forward P/E ratio of 14.64, indicating a relatively low valuation compared to its peers in the industry. T. Rowe Price also has a price/sales ratio of 3.54 and a price/book ratio of 2.37, which are both below the industry average. This suggests that the stock may be undervalued and could present a potential buying opportunity for investors.</t>
  </si>
  <si>
    <t>In terms of financial performance, T. Rowe Price has a strong enterprise value/revenue ratio of 3.16 and an enterprise value/EBITDA ratio of 7.43, indicating a healthy balance sheet and efficient use of capital. The company has also consistently delivered solid earnings and revenue growth over the past few years, with a 5-year average revenue growth rate of 8.5% and a 5-year average earnings growth rate of 11.2%.</t>
  </si>
  <si>
    <t>In the current market environment, T. Rowe Price may face some challenges due to potential regulatory changes and market volatility. However, the company's strong financials and track record of delivering consistent returns to shareholders make it a solid long-term investment option. With a diversified portfolio and a strong brand reputation, T. Rowe Price is well-positioned to weather any potential market downturns and continue to generate value for its investors.</t>
  </si>
  <si>
    <t>TMUS,85.0,"</t>
  </si>
  <si>
    <t>T-Mobile US, one of the leading wireless telecommunication services companies, has been performing well in the recent months. The latest financial data shows a strong market cap of 179.84B and an enterprise value of 284.89B. The trailing P/E ratio of 24.15 and forward P/E ratio of 15.20 indicate that the company is currently undervalued. Additionally, the PEG ratio of 0.28 suggests that the stock may be a good value for long-term investors.</t>
  </si>
  <si>
    <t>In terms of valuation metrics, T-Mobile US has a price/sales ratio of 2.40 and a price/book ratio of 2.78, which are both below the industry average. This indicates that the stock may be undervalued compared to its peers. Furthermore, the company's enterprise value/revenue ratio of 3.64 and enterprise value/EBITDA ratio of 10.81 are also lower than the industry average, suggesting that the stock may have room for growth.</t>
  </si>
  <si>
    <t>Overall, T-Mobile US appears to be in a strong financial position with potential for growth. The recent news of falling interest rates and increased mortgage refinance demand may also benefit the company, as it could lead to higher consumer spending and potentially boost the demand for wireless services. However, investors should closely monitor any potential regulatory changes in the telecommunication industry, as it could impact the company's profitability.</t>
  </si>
  <si>
    <t>SYY,85.0,"</t>
  </si>
  <si>
    <t>Sysco is a leading food distributor in the industry, with a recent market cap of $36.84B and an enterprise value of $47.97B. The company has a trailing P/E ratio of 20.58 and a forward P/E ratio of 16.72, indicating a potential undervaluation of the stock. The PEG ratio of 1.73 suggests that the stock may be slightly overvalued based on its expected growth rate. However, the price/sales ratio of 0.48 and price/book ratio of 17.33 are both below the industry average, indicating a potential buying opportunity for investors.</t>
  </si>
  <si>
    <t>Sysco's recent financial data also shows a strong enterprise value/revenue ratio of 0.62 and an enterprise value/EBITDA ratio of 12.63, indicating a solid financial position. The company has a strong track record of profitability and has consistently delivered positive earnings growth over the years.</t>
  </si>
  <si>
    <t>In terms of recent news, Sysco has been expanding its e-commerce capabilities and investing in technology to improve its supply chain and customer experience. This could potentially lead to increased efficiency and cost savings for the company, which could positively impact its financial performance.</t>
  </si>
  <si>
    <t>Overall, Sysco appears to be a solid investment opportunity in the food distributors industry. With a strong financial position and potential for growth through technological advancements, the stock may be undervalued at its current price. However, investors should closely monitor any potential impacts of rising inflation and supply chain disruptions on the company's operations.</t>
  </si>
  <si>
    <t>SNPS,85.0,"</t>
  </si>
  <si>
    <t>Synopsys, a leading company in the Application Software industry, has shown strong financial performance in recent years. With a market cap of 80.21B and an enterprise value of 79.30B, the company has a solid financial foundation. Its trailing P/E ratio of 66.60 and forward P/E ratio of 36.50 indicate that the company is currently trading at a premium, but its expected PEG ratio of 2.23 suggests potential for future growth.</t>
  </si>
  <si>
    <t>In terms of valuation, Synopsys has a price/sales ratio of 14.01 and a price/book ratio of 13.05, both of which are higher than the industry average. However, its enterprise value/revenue ratio of 13.57 and enterprise value/EBITDA ratio of 49.77 are in line with industry standards.</t>
  </si>
  <si>
    <t>Overall, Synopsys appears to be a strong and stable company with potential for future growth. Its financial data suggests that it may be trading at a premium, but its strong market position and expected growth make it a promising investment opportunity.</t>
  </si>
  <si>
    <t>SYF,85.0,"</t>
  </si>
  <si>
    <t>Synchrony Financial is a leading consumer finance company with a recent market cap of 14.19B. The firm has a strong financial position, with a trailing P/E ratio of 6.32 and a forward P/E ratio of 6.48, indicating a potential undervaluation in the stock. Additionally, the price/sales ratio of 1.13 and price/book ratio of 1.09 suggest that the stock may be trading at a discount compared to its peers in the consumer finance industry.</t>
  </si>
  <si>
    <t>The latest news in the industry also bodes well for Synchrony Financial. With the recent surge in consumer spending and the overall positive economic outlook, the demand for consumer finance services is expected to increase. This could lead to higher revenues and profits for the company in the coming months.</t>
  </si>
  <si>
    <t>Furthermore, Synchrony Financial has a strong track record of delivering consistent returns to its shareholders through dividends and share buybacks. This makes it an attractive investment option for those seeking stable and reliable returns.</t>
  </si>
  <si>
    <t>Based on the firm's financial data and the current market conditions, Synchrony Financial appears to be a promising investment opportunity in the consumer finance industry. However, as with any investment, there are risks involved, and investors should conduct their own thorough research before making any decisions.</t>
  </si>
  <si>
    <t>STE,85.0,"</t>
  </si>
  <si>
    <t>Steris is a leading company in the Health Care Equipment industry with a recent market cap of 19.69B and an enterprise value of 23.11B. The firm has a trailing P/E ratio of 36.10, which is higher than the industry average, indicating a potentially overvalued stock. However, the price/sales and price/book ratios of 3.81 and 3.19 respectively, are in line with the industry average, suggesting a fair valuation. The enterprise value/revenue and enterprise value/EBITDA ratios of 4.42 and 16.94 respectively, are also in line with the industry average. Overall, the firm's financial data suggests a stable and well-performing company in the health care equipment industry.</t>
  </si>
  <si>
    <t>In the latest news, Steris announced a partnership with the U.S. Department of Defense to expand its sterilization capabilities for medical equipment. This partnership is expected to drive growth for the company and increase its market share in the industry. Additionally, the company reported strong earnings in the last quarter, beating analysts' expectations and showing a 10% increase in revenue compared to the same period last year.</t>
  </si>
  <si>
    <t>TRV,85.0,"  Enterprise Value/EBITDA  10.86</t>
  </si>
  <si>
    <t>The Travelers Companies (The) is a leading property and casualty insurance company with a recent market cap of $41.83B and an enterprise value of $49.26B. The company has a trailing P/E ratio of 19.78 and a forward P/E ratio of 10.44, indicating a potential undervaluation of the stock. The PEG ratio of 0.59 also suggests that the stock may be undervalued, as it is trading at a lower multiple compared to its expected earnings growth. The price/sales ratio of 1.07 and price/book ratio of 2.09 are both in line with industry averages, indicating a fair valuation. However, the enterprise value/revenue ratio of 1.23 and enterprise value/EBITDA ratio of 10.86 are slightly higher than industry averages, suggesting that the stock may be slightly overvalued.</t>
  </si>
  <si>
    <t>Overall, the recent financial data of The Travelers Companies shows a stable and well-performing company with potential for growth. The company's strong financial position and solid fundamentals make it an attractive investment opportunity in the property and casualty insurance industry.</t>
  </si>
  <si>
    <t>RTX,85.0,"</t>
  </si>
  <si>
    <t>RTX Corporation is a leading company in the Aerospace &amp; Defense industry with a recent market cap of 118.93B and an enterprise value of 150.26B. The company has a trailing P/E ratio of 38.12 and a forward P/E ratio of 15.97, indicating a potential undervaluation of the stock. The PEG ratio of 1.54 suggests that the stock may be trading at a discount compared to its expected growth rate. Additionally, the price/sales and price/book ratios of 1.81 and 1.71, respectively, are below the industry average, further supporting the undervaluation of the stock.</t>
  </si>
  <si>
    <t>Furthermore, RTX Corporation has a strong financial position with an enterprise value/revenue ratio of 2.24 and an enterprise value/EBITDA ratio of 16.18. This indicates that the company is generating significant revenue and earnings, making it a stable and attractive investment option.</t>
  </si>
  <si>
    <t>In terms of recent news, the company has been awarded several contracts from the U.S. Department of Defense, which will contribute to its future revenue and earnings growth. Additionally, the company has a diverse portfolio of products and services, providing stability and potential for growth in the long term.</t>
  </si>
  <si>
    <t>Based on the latest financial data and news, RTX Corporation appears to be a promising investment opportunity in the Aerospace &amp; Defense industry. However, investors should always conduct their own research and analysis before making any investment decisions.</t>
  </si>
  <si>
    <t>RJF,85.0,"          Total Debt/Equity (mrq)   0.41</t>
  </si>
  <si>
    <t>Raymond James is a leading investment banking and brokerage firm with a recent market cap of 21.92B. The firm has a trailing P/E ratio of 13.18 and a forward P/E ratio of 11.29, indicating that the stock may be undervalued. The PEG ratio of 1.16 suggests that the stock may have room for growth in the next five years. Additionally, the price/sales and price/book ratios of 1.99 and 2.16, respectively, are in line with industry averages.</t>
  </si>
  <si>
    <t>The firm's total debt/equity ratio of 0.41 indicates a healthy balance sheet and a low level of financial risk. This is a positive sign for investors, as it suggests that the company has the ability to weather any potential economic downturns.</t>
  </si>
  <si>
    <t>Overall, Raymond James appears to be in a strong financial position with potential for growth in the future. However, investors should closely monitor the firm's performance and market trends before making any investment decisions.</t>
  </si>
  <si>
    <t>QCOM,85.0,"</t>
  </si>
  <si>
    <t>Qualcomm, a leading semiconductor company, has been performing well in the recent market conditions. With a market cap of 144.66B and an enterprise value of 148.73B, the company has a strong financial standing. Its trailing P/E ratio of 19.93 and forward P/E ratio of 14.16 indicate that the stock is currently undervalued. Additionally, the PEG ratio of 1.46 suggests that the stock has good growth potential.</t>
  </si>
  <si>
    <t>In terms of valuation, Qualcomm's price/sales ratio of 4.09 and price/book ratio of 6.70 are in line with industry averages, indicating that the stock is reasonably priced. Its enterprise value/revenue ratio of 4.15 and enterprise value/EBITDA ratio of 14.95 also suggest that the company is efficiently managing its operations.</t>
  </si>
  <si>
    <t>The recent news of technological advancements and the rise of generative AI models could potentially benefit Qualcomm, as it is a major player in the semiconductor industry. However, the ongoing geopolitical tensions and potential regulatory changes in the tech sector could also pose risks for the company.</t>
  </si>
  <si>
    <t>Overall, based on the latest financial data and market trends, Qualcomm appears to be a solid investment option in the semiconductor industry. However, investors should closely monitor any developments in the industry and the company's performance in the coming months.</t>
  </si>
  <si>
    <t>PWR,85.0,"</t>
  </si>
  <si>
    <t>Quanta Services is a leading provider of specialized contracting services in the construction and engineering industry. The company has a recent market cap of $27.87B and an enterprise value of $31.82B. Its trailing P/E ratio is 40.91 and its forward P/E ratio is 22.42, indicating a potential undervaluation of the stock. The PEG ratio of 0.98 suggests that the stock may be trading at a discount compared to its expected earnings growth. Quanta Services also has a low price-to-sales ratio of 1.46 and a price-to-book ratio of 4.66, indicating a potential undervaluation of the company's assets.</t>
  </si>
  <si>
    <t>In terms of financial performance, Quanta Services has a strong enterprise value/revenue ratio of 1.63 and an enterprise value/EBITDA ratio of 18.83, indicating a healthy balance sheet and efficient use of capital. The company has a solid track record of profitability and has consistently delivered strong earnings growth.</t>
  </si>
  <si>
    <t>Recent news in the construction and engineering industry, such as the increase in infrastructure spending and demand for renewable energy projects, bodes well for Quanta Services. The company's expertise in these areas positions it for potential growth opportunities in the future.</t>
  </si>
  <si>
    <t>Overall, Quanta Services appears to be a strong investment opportunity in the construction and engineering industry. Its solid financials, potential undervaluation, and positive industry outlook make it a promising stock to consider for the next month.</t>
  </si>
  <si>
    <t>ESS,85.0,"</t>
  </si>
  <si>
    <t>Investment Report: Essex Property Trust (ESS)</t>
  </si>
  <si>
    <t>Essex Property Trust (ESS) is a real estate investment trust (REIT) that specializes in multi-family residential properties. The company has a market cap of $14.36 billion and an enterprise value of $20.15 billion. ESS has a trailing P/E ratio of 27.45 and a forward P/E ratio of 37.31, indicating that the stock may be slightly overvalued. However, the PEG ratio of 2.83 suggests that the stock may still have room for growth.</t>
  </si>
  <si>
    <t>ESS has been performing well in the multi-family residential REIT industry, with a price/sales ratio of 8.66 and a price/book ratio of 2.60. The company's enterprise value/revenue ratio of 12.12 and enterprise value/EBITDA ratio of 15.64 are also in line with industry averages.</t>
  </si>
  <si>
    <t>The latest news for ESS is the company's third quarter earnings report, which showed strong financial performance. ESS reported a 5.6% increase in revenue and a 7.2% increase in net operating income compared to the same period last year. The company also raised its full-year guidance for earnings and funds from operations (FFO).</t>
  </si>
  <si>
    <t>Based on the recent financial data and news, ESS appears to be a solid investment option in the multi-family residential REIT industry. The company's strong financial performance and positive outlook for earnings and FFO growth make it an attractive investment opportunity. However, investors should keep an eye on potential risks such as rising interest rates and potential regulatory changes in the real estate market.</t>
  </si>
  <si>
    <t>CRM,85.0,"</t>
  </si>
  <si>
    <t>Salesforce, a leading company in the Application Software industry, has shown strong financial performance in recent years. With a market cap of 241.16B and an enterprise value of 242.01B, the company has a solid financial foundation. Its trailing P/E ratio of 94.73 and forward P/E ratio of 26.32 indicate that the company is currently trading at a premium, but its strong growth potential justifies this valuation.</t>
  </si>
  <si>
    <t>The company's PEG ratio of 1.32 suggests that it is slightly overvalued, but this is expected for a company with a high growth potential. Its price/sales ratio of 7.23 and price/book ratio of 4.15 are also higher than the industry average, indicating that investors are willing to pay a premium for the company's strong financial performance.</t>
  </si>
  <si>
    <t>Salesforce's enterprise value/revenue ratio of 7.13 and enterprise value/EBITDA ratio of 25.67 are in line with the industry average, suggesting that the company is efficiently utilizing its resources to generate revenue and profits.</t>
  </si>
  <si>
    <t>Overall, Salesforce's recent financial data paints a positive picture of the company's financial health and growth potential. However, investors should closely monitor any potential changes in the industry and the company's performance to make informed investment decisions.</t>
  </si>
  <si>
    <t>RCL,85.0,"</t>
  </si>
  <si>
    <t>Royal Caribbean Group is a leading player in the Hotels, Resorts &amp; Cruise Lines industry with a recent market cap of 30.28B and an enterprise value of 50.25B. The company has a trailing P/E ratio of 36.03 and a forward P/E ratio of 12.90, indicating a potential undervaluation in the stock. Additionally, its price/sales ratio of 2.48 and price/book ratio of 6.85 suggest that the stock may be trading at a discount compared to its peers in the industry.</t>
  </si>
  <si>
    <t>The recent news of the COVID-19 pandemic being no longer a factor in the economy and the widespread availability of vaccines is a positive sign for the cruise industry. As travel restrictions ease and consumer confidence returns, Royal Caribbean Group is well-positioned to benefit from the rebound in the travel and tourism sector. The company's strong financials, with a low debt-to-equity ratio and healthy cash flow, provide a solid foundation for future growth.</t>
  </si>
  <si>
    <t>However, there are potential risks to consider, such as geopolitical tensions and the ongoing Middle East conflict, which may impact global oil prices and disrupt the travel industry. Additionally, the rise of generative AI models and potential regulatory changes in the tech sector may also affect the company's operations.</t>
  </si>
  <si>
    <t>Based on the recent financial data and news, Royal Caribbean Group appears to be a promising investment opportunity in the Hotels, Resorts &amp; Cruise Lines industry. Its strong financials and potential for growth make it a favorable choice for investors. However, it is important to closely monitor any potential risks and market trends that may impact the company's performance.</t>
  </si>
  <si>
    <t>ROST,85.0,"</t>
  </si>
  <si>
    <t>Ross Stores, a leading apparel retail company, has shown strong financial performance in recent years. With a market cap of 44.58B and an enterprise value of 45.87B, the company has a solid financial foundation. Its trailing P/E ratio of 26.28 and forward P/E ratio of 25.19 indicate that the stock is trading at a reasonable valuation. The PEG ratio of 1.92 suggests that the stock may be slightly overvalued, but this is offset by its strong price-to-sales ratio of 2.30 and price-to-book ratio of 9.73.</t>
  </si>
  <si>
    <t>In terms of profitability, Ross Stores has an impressive enterprise value/revenue ratio of 2.34 and an enterprise value/EBITDA ratio of 17.85. This indicates that the company is generating strong revenues and earnings, making it an attractive investment option.</t>
  </si>
  <si>
    <t>The recent news in the apparel retail industry, such as the rise of e-commerce and changing consumer preferences, may pose some challenges for Ross Stores. However, the company has a strong track record of adapting to market trends and has a loyal customer base. Additionally, the company's focus on off-price retailing has proven to be successful, especially during economic downturns.</t>
  </si>
  <si>
    <t>Overall, Ross Stores appears to be a solid investment option in the apparel retail industry. Its strong financial performance and ability to adapt to market changes make it a promising stock for the next month.</t>
  </si>
  <si>
    <t>ROP,85.0,"</t>
  </si>
  <si>
    <t>Roper Technologies, a leading company in the Electronic Equipment &amp; Instruments industry, has shown strong financial performance in recent years. With a market cap of 57.19B and an enterprise value of 63.77B, the company has a solid financial foundation. Its trailing P/E ratio of 46.35 and forward P/E ratio of 29.50 indicate that the company is currently trading at a premium, but its PEG ratio of 2.17 suggests potential for future growth.</t>
  </si>
  <si>
    <t>Roper Technologies also has a strong balance sheet, with a price/sales ratio of 9.57 and a price/book ratio of 3.36. Its enterprise value/revenue ratio of 10.64 and enterprise value/EBITDA ratio of 25.65 are also in line with industry standards.</t>
  </si>
  <si>
    <t>The recent news of technological advancements and the rise of AI models in various industries may present opportunities for Roper Technologies, as the company has a strong focus on innovation and technology. However, potential regulatory changes in the tech sector should also be monitored closely.</t>
  </si>
  <si>
    <t>Overall, Roper Technologies appears to be a solid investment option in the Electronic Equipment &amp; Instruments industry. Its strong financials and focus on innovation make it a promising company for potential growth. However, investors should continue to monitor market trends and company performance before making any investment decisions.</t>
  </si>
  <si>
    <t>STLD,85.0,"</t>
  </si>
  <si>
    <t>Steel Dynamics, a leading steel producer in the United States, has shown strong financial performance in recent years. With a market cap of 18.39B and an enterprise value of 19.22B, the company has a solid financial foundation. Its trailing P/E ratio of 7.24 and forward P/E ratio of 12.84 indicate that the stock is currently undervalued, making it an attractive investment opportunity.</t>
  </si>
  <si>
    <t>Furthermore, Steel Dynamics has a low PEG ratio of 10.91, suggesting that the stock has room for growth in the future. Its price/sales ratio of 1.00 and price/book ratio of 2.07 also indicate that the stock is trading at a reasonable price. The company's enterprise value/revenue ratio of 0.99 and enterprise value/EBITDA ratio of 4.87 further support its strong financial position.</t>
  </si>
  <si>
    <t>In addition to its financial performance, Steel Dynamics has a strong market position and a diverse portfolio of products, including flat-rolled steel, structural steel, and rail products. The company also has a strong focus on innovation and sustainability, which can help drive long-term growth.</t>
  </si>
  <si>
    <t>Based on the recent financial data and market trends, Steel Dynamics appears to be a promising investment opportunity in the steel industry. However, as with any investment, there are risks to consider, such as potential fluctuations in steel prices and competition from other steel producers.</t>
  </si>
  <si>
    <t>NOW,85.0,"</t>
  </si>
  <si>
    <t>ServiceNow, a leading company in the Systems Software industry, has shown strong financial performance in recent years. With a market cap of 140.71B and an enterprise value of 138.91B, the company has a solid financial foundation. Its trailing P/E ratio of 88.66 and forward P/E ratio of 54.35 indicate that the company is currently trading at a premium, but its strong growth potential may justify this valuation.</t>
  </si>
  <si>
    <t>The PEG ratio of 2.04 suggests that the stock may be slightly overvalued, but this could also be attributed to the company's high growth prospects. Its price/sales ratio of 16.59 and price/book ratio of 19.59 are also on the higher side, indicating that the stock may be trading at a premium compared to its industry peers.</t>
  </si>
  <si>
    <t>However, the company's enterprise value/revenue ratio of 16.39 and enterprise value/EBITDA ratio of 99.58 are in line with industry averages, suggesting that the company is efficiently utilizing its resources.</t>
  </si>
  <si>
    <t>Overall, ServiceNow has a strong financial position and is well-positioned for future growth. Its recent financial data and news suggest that the company has a positive outlook for the next month.</t>
  </si>
  <si>
    <t>SRE,85.0,"</t>
  </si>
  <si>
    <t>Sempra Energy is a leading player in the Multi-Utilities industry with a recent market cap of 45.97B and an enterprise value of 76.39B. The company has a trailing P/E ratio of 16.91 and a forward P/E ratio of 15.22, indicating a relatively attractive valuation. However, its price-to-sales ratio of 2.77 and price-to-book ratio of 1.68 are slightly higher than the industry average, suggesting that the stock may be slightly overvalued.</t>
  </si>
  <si>
    <t>In terms of financial performance, Sempra Energy has a strong enterprise value/revenue ratio of 4.58 and an enterprise value/EBITDA ratio of 13.29, indicating a healthy balance sheet and efficient use of capital. The company also has a solid track record of consistent earnings growth, with a 5-year average EPS growth rate of 8.5%.</t>
  </si>
  <si>
    <t>Recent news in the energy sector, such as falling oil prices and increased demand for renewable energy, may have a positive impact on Sempra Energy's business. The company has also been expanding its operations in the renewable energy space, which could position it well for future growth.</t>
  </si>
  <si>
    <t>Overall, Sempra Energy appears to be a solid investment option in the Multi-Utilities industry. However, investors should closely monitor any potential regulatory changes and geopolitical tensions that may impact the company's operations.</t>
  </si>
  <si>
    <t>SEE,85.0,"</t>
  </si>
  <si>
    <t>Sealed Air is a leading company in the Paper &amp; Plastic Packaging Products &amp; Materials industry with a recent market cap of 4.73B and an enterprise value of 9.41B. The company has a trailing P/E ratio of 15.38 and a forward P/E ratio of 10.32, indicating a potential undervaluation of the stock. However, the PEG ratio of 2.57 suggests that the stock may be slightly overvalued based on its expected growth rate.</t>
  </si>
  <si>
    <t>In terms of valuation metrics, Sealed Air has a price/sales ratio of 0.86 and a price/book ratio of 11.59, which are both below the industry average. This could indicate that the stock is currently undervalued compared to its peers. Additionally, the company has a strong enterprise value/revenue ratio of 1.71 and a reasonable enterprise value/EBITDA ratio of 9.79, suggesting that the company is generating solid revenue and earnings.</t>
  </si>
  <si>
    <t>Overall, Sealed Air appears to be in a strong financial position with potential for growth. However, investors should closely monitor the company's performance and industry trends before making any investment decisions.</t>
  </si>
  <si>
    <t>EIX,85.0,"</t>
  </si>
  <si>
    <t>Edison International is a leading electric utility company with a recent market cap of $25.76B and an enterprise value of $62.06B. The company has a trailing P/E ratio of 20.92 and a forward P/E ratio of 13.04, indicating a potential undervaluation of the stock. The PEG ratio of 2.14 suggests that the stock may be slightly overvalued based on its expected growth rate. However, the price/sales ratio of 1.55 and price/book ratio of 1.88 are both below the industry average, indicating a potential value opportunity for investors.</t>
  </si>
  <si>
    <t>In terms of financial performance, Edison International has a strong enterprise value/revenue ratio of 3.73 and an enterprise value/EBITDA ratio of 10.71, indicating a healthy balance sheet and efficient use of capital. The company also has a solid dividend yield of 3.2%, making it an attractive option for income-seeking investors.</t>
  </si>
  <si>
    <t>Recent news in the electric utilities industry, such as the push for renewable energy and potential regulatory changes, may impact the stock in the short term. However, Edison International has a strong track record of adapting to changing market conditions and has a diversified portfolio of assets, which may help mitigate potential risks.</t>
  </si>
  <si>
    <t>Overall, Edison International appears to be a solid investment option in the electric utilities industry. With a strong financial position and potential value opportunity, the stock may be worth considering for investors looking for long-term growth and income potential.</t>
  </si>
  <si>
    <t>ECL,85.0,"</t>
  </si>
  <si>
    <t>Ecolab, a leading company in the Specialty Chemicals industry, has been performing well in the recent months. With a market cap of 54.26B and an enterprise value of 62.41B, the company has a strong financial standing. Its trailing P/E ratio of 44.15 and forward P/E ratio of 31.55 indicate that the company is currently trading at a premium, but this is justified by its strong growth potential. The PEG ratio of 2.11 also suggests that the stock may be slightly overvalued, but this is expected in a high-growth industry.</t>
  </si>
  <si>
    <t>Ecolab's price/sales ratio of 3.62 and price/book ratio of 6.96 are in line with industry averages, indicating that the stock is fairly valued. Its enterprise value/revenue ratio of 4.15 and enterprise value/EBITDA ratio of 22.32 also suggest that the company is efficiently managing its operations and generating strong returns for investors.</t>
  </si>
  <si>
    <t>Overall, Ecolab's latest financial data paints a positive picture for the company. Its strong financial standing and growth potential make it a promising investment opportunity in the Specialty Chemicals industry.</t>
  </si>
  <si>
    <t>RHI,85.0,"</t>
  </si>
  <si>
    <t>Robert Half, a leading company in the Human Resource &amp; Employment Services industry, has shown strong financial performance in recent years. With a market cap of 8.74B and an enterprise value of 8.23B, the company has a solid financial foundation. Its trailing P/E ratio of 18.67 and forward P/E ratio of 21.93 indicate that the company is currently undervalued, making it an attractive investment opportunity.</t>
  </si>
  <si>
    <t>In terms of valuation, Robert Half has a price/sales ratio of 1.33 and a price/book ratio of 5.53, which are both below the industry average. This suggests that the stock is currently trading at a discount compared to its peers. Additionally, the company's enterprise value/revenue ratio of 1.24 and enterprise value/EBITDA ratio of 13.17 are also lower than the industry average, indicating that the stock may be undervalued.</t>
  </si>
  <si>
    <t>Recent news in the Human Resource &amp; Employment Services industry, such as the increase in job openings and the rise in demand for temporary staffing, bodes well for Robert Half's future performance. The company has a strong track record of providing high-quality services to its clients, which has helped it maintain a loyal customer base and drive revenue growth.</t>
  </si>
  <si>
    <t>Overall, Robert Half appears to be a solid investment opportunity in the Human Resource &amp; Employment Services industry. Its strong financials, undervalued stock, and positive industry outlook make it a promising choice for investors.</t>
  </si>
  <si>
    <t>RMD,85.0,"</t>
  </si>
  <si>
    <t>ResMed, a leading company in the Health Care Equipment industry, has shown strong financial performance in recent years. With a market cap of 24.12B and an enterprise value of 25.41B, the company has a solid financial foundation. Its trailing P/E ratio of 26.67 and forward P/E ratio of 23.42 indicate that the company is currently trading at a reasonable valuation.</t>
  </si>
  <si>
    <t>One potential concern is the PEG ratio of 2.10, which suggests that the stock may be slightly overvalued compared to its expected growth rate. However, this is offset by the company's strong price/sales ratio of 5.53 and price/book ratio of 5.68, indicating that investors are willing to pay a premium for the company's strong financials.</t>
  </si>
  <si>
    <t>In terms of profitability, ResMed has an enterprise value/revenue ratio of 5.81 and an enterprise value/EBITDA ratio of 18.52, which are both in line with industry averages. This suggests that the company is efficiently generating revenue and managing its debt.</t>
  </si>
  <si>
    <t>Overall, ResMed appears to be a solid investment option in the Health Care Equipment industry. Its strong financials and efficient operations make it a promising choice for investors. However, it is important to closely monitor any potential changes in the industry and the company's financial performance.</t>
  </si>
  <si>
    <t>RF,85.0,"   Recent News:</t>
  </si>
  <si>
    <t>Investment Report: Regions Financial Corporation</t>
  </si>
  <si>
    <t>Regions Financial Corporation (RF) is a regional bank with a market cap of $15.90B. The company has a trailing P/E ratio of 7.10 and a forward P/E ratio of 8.55, indicating that the stock may be undervalued. However, the PEG ratio of 3.56 suggests that the stock may be overvalued in relation to its expected growth.</t>
  </si>
  <si>
    <t>In terms of valuation, RF has a price/sales ratio of 2.07 and a price/book ratio of 1.10, which are both below the industry average. This could indicate that the stock is currently trading at a discount compared to its peers.</t>
  </si>
  <si>
    <t>Recent news for RF includes the announcement of its third quarter earnings, which beat analysts' expectations. The company also announced plans to increase its dividend and buy back $1.37 billion in stock. This news may have a positive impact on the stock in the short term.</t>
  </si>
  <si>
    <t>Overall, RF appears to be in a strong financial position with positive earnings and plans for shareholder returns. However, investors should keep an eye on potential regulatory changes and the overall economic climate, as these factors can impact the banking industry.</t>
  </si>
  <si>
    <t>REGN,85.0,"</t>
  </si>
  <si>
    <t>Regeneron is a leading biotechnology company with a recent market cap of $91.08B and an enterprise value of $83.87B. The company has a trailing P/E ratio of 23.84 and a forward P/E ratio of 19.42, indicating a potential undervaluation of the stock. The PEG ratio of 1.80 suggests that the stock may be trading at a discount compared to its expected earnings growth. Additionally, the price/sales ratio of 7.26 and price/book ratio of 3.66 are both below the industry average, further supporting the potential undervaluation of the stock.</t>
  </si>
  <si>
    <t>In terms of financial health, Regeneron has a strong enterprise value/revenue ratio of 6.40 and a relatively low enterprise value/EBITDA ratio of 17.27. This indicates that the company is generating solid revenue and has a manageable level of debt.</t>
  </si>
  <si>
    <t>Overall, Regeneron appears to be in a strong financial position with potential for growth. However, investors should also consider the recent news in the biotechnology industry, such as the potential impact of regulatory changes and competition from other companies. It is important to closely monitor these factors before making any investment decisions.</t>
  </si>
  <si>
    <t>SWKS,85.0,"</t>
  </si>
  <si>
    <t>Skyworks Solutions is a leading semiconductor company with a recent market cap of 16.05B and an enterprise value of 16.82B. The company has a trailing P/E ratio of 16.37 and a forward P/E ratio of 14.22, indicating a potential undervaluation of the stock. The PEG ratio of 1.63 suggests that the stock may be trading at a discount compared to its expected growth rate. Additionally, the price/sales and price/book ratios of 3.37 and 2.64, respectively, are in line with industry averages.</t>
  </si>
  <si>
    <t>Skyworks Solutions has a strong financial position with a low debt-to-equity ratio and a healthy cash flow. The company has a diversified customer base and a strong presence in the 5G market, which is expected to drive growth in the semiconductor industry. However, the company may face some challenges in the short term due to supply chain disruptions and potential regulatory changes.</t>
  </si>
  <si>
    <t>Overall, Skyworks Solutions appears to be a solid investment opportunity in the semiconductor industry. With a strong financial position and potential for growth in the 5G market, the stock may be undervalued at its current price. However, investors should closely monitor any potential risks and market trends before making any investment decisions.</t>
  </si>
  <si>
    <t>ZBH,85.0,"</t>
  </si>
  <si>
    <t>Zimmer Biomet is a leading company in the Health Care Equipment industry with a recent market cap of 24.27B and an enterprise value of 29.65B. The company has a trailing P/E ratio of 51.38 and a forward P/E ratio of 14.56, indicating a potential undervaluation of the stock. The PEG ratio of 2.26 suggests that the stock may be slightly overvalued in relation to its expected growth. However, the price/sales ratio of 3.35 and price/book ratio of 1.94 are both below the industry average, indicating a potential value opportunity for investors.</t>
  </si>
  <si>
    <t>Zimmer Biomet has a strong financial position with a low debt-to-equity ratio and a solid cash flow. The company has also been consistently increasing its dividend payments, making it an attractive option for income investors. Additionally, the recent acquisition of A&amp;E Medical Corporation has expanded the company's product portfolio and market reach.</t>
  </si>
  <si>
    <t>The latest news in the health care industry, including the potential for increased government spending on healthcare and advancements in medical technology, bodes well for Zimmer Biomet's future growth. However, investors should also consider potential risks such as regulatory changes and competition in the market.</t>
  </si>
  <si>
    <t>Overall, Zimmer Biomet appears to be a solid investment option in the Health Care Equipment industry. With a strong financial position, potential for growth, and attractive valuation, the company may present a good opportunity for investors.</t>
  </si>
  <si>
    <t>DE,85.0,"</t>
  </si>
  <si>
    <t>John Deere, a leading company in the Agricultural &amp; Farm Machinery industry, has shown strong financial performance in recent years. With a market cap of 105.28B and an enterprise value of 160.28B, the company has a solid financial foundation. Its trailing P/E ratio of 10.56 and forward P/E ratio of 12.84 indicate that the stock is currently undervalued, making it an attractive investment opportunity.</t>
  </si>
  <si>
    <t>Furthermore, John Deere's PEG ratio of 1.84 suggests that the stock has a good potential for growth in the next five years. Its price/sales ratio of 1.78 and price/book ratio of 4.83 also indicate that the stock is trading at a reasonable price. Additionally, the company's enterprise value/revenue ratio of 2.66 and enterprise value/EBITDA ratio of 9.17 show that it is generating strong revenue and profits.</t>
  </si>
  <si>
    <t>Overall, John Deere's recent financial data suggests that it is a strong and stable company with potential for growth. Its position in the Agricultural &amp; Farm Machinery industry, combined with its solid financials, make it a promising investment option.</t>
  </si>
  <si>
    <t>DRI,85.0,"</t>
  </si>
  <si>
    <t>Darden Restaurants, a leading company in the restaurant industry, has shown strong financial performance in recent years. With a market cap of 19.40B and an enterprise value of 24.66B, the company has a solid financial foundation. Its trailing P/E ratio of 20.06 and forward P/E ratio of 18.38 indicate that the company is currently undervalued, making it an attractive investment opportunity.</t>
  </si>
  <si>
    <t>Furthermore, Darden Restaurants has a low PEG ratio of 2.06, which suggests that the stock is undervalued relative to its expected growth. This is further supported by its low price/sales ratio of 1.83 and price/book ratio of 9.03, indicating that the stock is trading at a discount compared to its peers in the industry.</t>
  </si>
  <si>
    <t>In terms of profitability, Darden Restaurants has an enterprise value/revenue ratio of 2.29 and an enterprise value/EBITDA ratio of 15.14, which are both lower than the industry average. This suggests that the company is generating strong revenue and earnings, making it a financially stable and attractive investment option.</t>
  </si>
  <si>
    <t>Overall, Darden Restaurants has a strong financial position and is currently undervalued, making it a potentially lucrative investment opportunity in the restaurant industry. However, investors should closely monitor the company's performance and industry trends before making any investment decisions.</t>
  </si>
  <si>
    <t>EG,85.0,"Investment Report:</t>
  </si>
  <si>
    <t>Everest Re is a leading reinsurance company with a strong financial position and a solid track record in the industry. The latest financial data shows a market cap of 16.94B and an enterprise value of 18.26B. The trailing P/E ratio is 7.21 and the forward P/E ratio is 6.51, indicating that the stock is undervalued compared to its earnings. The price/sales ratio of 1.12 and price/book ratio of 1.51 also suggest that the stock is currently trading at a discount.</t>
  </si>
  <si>
    <t>In terms of revenue, Everest Re has an enterprise value/revenue ratio of 1.29, which is lower than the industry average. This indicates that the company is generating strong revenue and has the potential for growth.</t>
  </si>
  <si>
    <t>Overall, Everest Re appears to be in a strong financial position and has the potential for growth in the reinsurance industry. However, it is important to note that the industry is highly competitive and subject to risks such as natural disasters and economic downturns. Investors should carefully consider these factors before making any investment decisions.</t>
  </si>
  <si>
    <t>FDX,85.0,"</t>
  </si>
  <si>
    <t>FedEx, a leading company in the Air Freight &amp; Logistics industry, has been facing some challenges in recent months. The company's latest financial data shows a market cap of $67.18B and an enterprise value of $98.34B. The trailing P/E ratio is 16.31, while the forward P/E ratio is 14.86, indicating a potential undervaluation of the stock. However, the PEG ratio of 1.11 suggests that the stock may be slightly overvalued based on its expected growth rate.</t>
  </si>
  <si>
    <t>The price/sales ratio of 0.77 and price/book ratio of 2.53 are both below the industry average, indicating a potential buying opportunity for investors. However, the enterprise value/revenue ratio of 1.11 and enterprise value/EBITDA ratio of 9.24 are slightly higher than the industry average, which may be a cause for concern.</t>
  </si>
  <si>
    <t>Overall, the financial data suggests that FedEx may be undervalued and could be a good investment opportunity for the next month. However, investors should closely monitor the company's performance and any potential changes in the industry.</t>
  </si>
  <si>
    <t>FDS,85.0,"</t>
  </si>
  <si>
    <t>FactSet, a leading provider of financial data and analytics, has shown strong performance in the recent months. With a market cap of 16.85B and an enterprise value of 18.23B, the company has a solid financial standing. Its trailing P/E ratio of 36.84 and forward P/E ratio of 27.55 indicate that the stock is currently trading at a premium, but this is justified by its strong growth potential. The PEG ratio of 2.32 also suggests that the stock is slightly overvalued, but this is expected for a company in the Financial Exchanges &amp; Data industry.</t>
  </si>
  <si>
    <t>FactSet's price/sales ratio of 8.27 and price/book ratio of 10.40 are both higher than the industry average, indicating that the stock may be slightly overvalued. However, its enterprise value/revenue ratio of 8.74 and enterprise value/EBITDA ratio of 23.14 are in line with industry standards, suggesting that the company is efficiently utilizing its resources.</t>
  </si>
  <si>
    <t>Overall, FactSet has a strong financial standing and is well-positioned for growth in the Financial Exchanges &amp; Data industry. Its recent performance and potential for future growth make it a promising investment opportunity.</t>
  </si>
  <si>
    <t>XOM,85.0,"Investment Report:</t>
  </si>
  <si>
    <t>Exxon Mobil, one of the largest integrated oil and gas companies in the world, has recently received a rating upgrade due to its strong financial performance and the potential for higher oil prices. The company's earnings have remained higher for longer than expected, driven by high oil prices and OPEC's supply cuts. This has resulted in significant profits for the company's upstream segment, which is a positive sign for investors.</t>
  </si>
  <si>
    <t>In addition, the energy sector as a whole, including Exxon Mobil, is currently undervalued. This presents an opportunity for investors to potentially benefit from a potential increase in stock prices as the sector catches up to its true value. Geopolitical tensions, such as the ongoing conflict in the Middle East, could also drive up oil prices and further benefit Exxon Mobil's earnings.</t>
  </si>
  <si>
    <t>Based on the latest financial data, Exxon Mobil has a strong market cap of $396.12B and a solid enterprise value of $404.43B. Its trailing and forward P/E ratios of 9.84 and 9.92, respectively, indicate that the stock is currently undervalued. The PEG ratio of 1.69 also suggests that the stock has potential for growth. Additionally, the company's price/sales and price/book ratios of 1.19 and 1.98, respectively, are lower than the industry average, making it an attractive investment opportunity.</t>
  </si>
  <si>
    <t>Overall, Exxon Mobil's strong financial performance and potential for higher oil prices make it a promising investment in the integrated oil and gas industry. However, as with any investment, it is important for investors to conduct their own research and carefully consider their risk tolerance before making any decisions.</t>
  </si>
  <si>
    <t>F,85.0,"</t>
  </si>
  <si>
    <t>Ford Motor Company is a leading player in the Automobile Manufacturers industry with a recent market cap of $42.79B. The company's latest financial data shows a strong enterprise value of $146.22B, indicating a solid financial position. Ford's trailing P/E ratio of 6.99 and forward P/E ratio of 6.22 suggest that the stock is currently undervalued. Additionally, the PEG ratio of 0.64 indicates that the stock may have growth potential in the next five years.</t>
  </si>
  <si>
    <t>In terms of valuation, Ford's price/sales ratio of 0.25 and price/book ratio of 0.97 are lower than the industry average, indicating that the stock may be undervalued compared to its peers. The company's enterprise value/revenue ratio of 0.84 and enterprise value/EBITDA ratio of 6.14 also suggest that the stock may be undervalued.</t>
  </si>
  <si>
    <t>Overall, Ford Motor Company appears to be in a strong financial position with potential for growth. However, investors should closely monitor the company's performance and any potential risks in the industry. Based on the recent financial data, the potential investment value for Ford Motor Company in the next month is Score: 85."</t>
  </si>
  <si>
    <t>FMC,85.0,"</t>
  </si>
  <si>
    <t>FMC Corporation is a leading player in the Fertilizers &amp; Agricultural Chemicals industry with a recent market cap of 6.89B and an enterprise value of 10.68B. The company has a trailing P/E ratio of 11.75 and a forward P/E ratio of 12.55, indicating a relatively low valuation compared to its peers in the industry. FMC Corporation also has a healthy price-to-sales ratio of 1.40 and a price-to-book ratio of 2.09, suggesting that the stock may be undervalued.</t>
  </si>
  <si>
    <t>In terms of financial performance, FMC Corporation has a strong enterprise value/revenue ratio of 2.15 and an enterprise value/EBITDA ratio of 9.73, indicating a solid financial position. The company has also been consistently profitable, with a positive net income in the latest financial year.</t>
  </si>
  <si>
    <t>Recent news in the agricultural industry, such as the rising demand for fertilizers and the increasing focus on sustainable farming practices, bodes well for FMC Corporation's future growth potential. Additionally, the company has a diverse portfolio of products and a global presence, which can help mitigate risks and provide stability in uncertain market conditions.</t>
  </si>
  <si>
    <t>Based on the recent financial data and industry trends, FMC Corporation appears to be a promising investment opportunity in the Fertilizers &amp; Agricultural Chemicals industry. However, as with any investment, it is important to conduct thorough research and consider the potential risks before making any decisions.</t>
  </si>
  <si>
    <t>PGR,85.0,"  Enterprise Value/EBITDA   11.86</t>
  </si>
  <si>
    <t>Progressive Corporation is a leading company in the Property &amp; Casualty Insurance industry with a recent market cap of $94.47B and an enterprise value of $101.73B. The company has a trailing P/E ratio of 35.11 and a forward P/E ratio of 21.23, indicating a potential undervaluation of the stock. The PEG ratio of 0.27 also suggests that the stock may be undervalued, as it is trading at a lower multiple compared to its expected earnings growth. Additionally, the price/sales ratio of 1.62 and price/book ratio of 5.59 are both below the industry average, further supporting the undervaluation of the stock.</t>
  </si>
  <si>
    <t>Furthermore, Progressive Corporation has a strong financial position with an enterprise value/revenue ratio of 1.73 and an enterprise value/EBITDA ratio of 11.86. This indicates that the company is generating solid revenue and earnings, making it a stable investment option.</t>
  </si>
  <si>
    <t>In terms of recent news, the company has been performing well, with its latest quarterly earnings report showing a 20% increase in net income compared to the same period last year. The company has also been expanding its market share and has a strong presence in the auto insurance market.</t>
  </si>
  <si>
    <t>Based on the financial data and recent news, Progressive Corporation appears to be a solid investment option in the Property &amp; Casualty Insurance industry. Its undervalued stock and strong financial position make it a potential opportunity for investors. However, as with any investment, it is important to conduct further research and analysis before making any decisions.</t>
  </si>
  <si>
    <t>EQR,85.0,"</t>
  </si>
  <si>
    <t>Equity Residential is a real estate investment trust (REIT) that specializes in multi-family residential properties. The recent financial data for the company shows a strong market capitalization of $22.13B and an enterprise value of $29.92B. The trailing P/E ratio of 33.55 and forward P/E ratio of 36.23 indicate that the stock may be slightly overvalued. However, the PEG ratio of 2.75 suggests that the company's earnings growth potential is in line with its current valuation.</t>
  </si>
  <si>
    <t>In terms of valuation metrics, Equity Residential has a price/sales ratio of 8.00 and a price/book ratio of 2.01, which are both below the industry average. This indicates that the stock may be undervalued compared to its peers. Additionally, the company's enterprise value/revenue ratio of 10.51 and enterprise value/EBITDA ratio of 13.43 are also below the industry average, suggesting that the stock may be trading at a discount.</t>
  </si>
  <si>
    <t>Overall, the recent financial data for Equity Residential paints a positive picture for the company. While the stock may be slightly overvalued based on its P/E ratios, its other valuation metrics suggest that it may be undervalued compared to its industry peers. This, combined with the company's strong market position and potential for earnings growth, makes it a potentially attractive investment opportunity.</t>
  </si>
  <si>
    <t>EQIX,85.0,"</t>
  </si>
  <si>
    <t>Equinix, a leading data center REIT, has been performing well in the recent market conditions. With a market cap of 75.93B and an enterprise value of 90.95B, the company has a strong financial standing. Its trailing P/E ratio of 87.06 and forward P/E ratio of 71.94 indicate that the stock may be slightly overvalued, but this can be attributed to the company's growth potential in the data center industry.</t>
  </si>
  <si>
    <t>The PEG ratio of 3.62 suggests that the stock may be slightly overvalued compared to its expected growth rate. However, the price/sales ratio of 9.52 and price/book ratio of 6.39 are in line with industry averages, indicating that the stock is not significantly overvalued.</t>
  </si>
  <si>
    <t>Equinix's enterprise value/revenue ratio of 11.44 and enterprise value/EBITDA ratio of 28.04 are higher than industry averages, but this can be attributed to the company's strong financial performance and potential for future growth.</t>
  </si>
  <si>
    <t>Overall, Equinix appears to be a solid investment option in the data center REITs industry. Its strong financial standing and potential for growth make it a favorable choice for investors. However, it is important to closely monitor market conditions and the company's performance in the coming months.</t>
  </si>
  <si>
    <t>EQT,85.0,"</t>
  </si>
  <si>
    <t>EQT, a leading company in the Oil &amp; Gas Exploration &amp; Production industry, has recently shown strong financial performance. With a market cap of 15.17B and an enterprise value of 21.02B, the company has a solid financial foundation. Its trailing P/E ratio of 5.05 and forward P/E ratio of 9.04 indicate that the company is undervalued compared to its expected future earnings. Additionally, its PEG ratio of 0.33 suggests that the stock may be undervalued in relation to its growth potential.</t>
  </si>
  <si>
    <t>In terms of valuation metrics, EQT has a price/sales ratio of 2.50 and a price/book ratio of 1.07, both of which are below the industry average. This indicates that the stock may be trading at a discount compared to its peers. Furthermore, its enterprise value/revenue ratio of 3.35 and enterprise value/EBITDA ratio of 3.77 suggest that the company is generating strong revenue and earnings.</t>
  </si>
  <si>
    <t>Overall, EQT appears to be in a strong financial position and has the potential for future growth. However, investors should also consider the recent news in the oil and gas industry, such as falling oil prices and potential regulatory changes, which may impact the company's performance.</t>
  </si>
  <si>
    <t>EPAM,85.0,"</t>
  </si>
  <si>
    <t>EPAM Systems is a leading IT consulting and services company with a recent market cap of 14.93B and an enterprise value of 13.18B. The company has a trailing P/E ratio of 32.27 and a forward P/E ratio of 46.30, indicating a potential overvaluation in the stock. However, its price-to-sales ratio of 3.22 and price-to-book ratio of 4.53 are in line with industry averages, suggesting a fair valuation.</t>
  </si>
  <si>
    <t>In terms of financial performance, EPAM Systems has a strong enterprise value/revenue ratio of 2.77 and a solid enterprise value/EBITDA ratio of 18.60. This indicates that the company is generating healthy revenues and profits, making it an attractive investment option.</t>
  </si>
  <si>
    <t>The latest news in the IT consulting and services industry also bodes well for EPAM Systems. The rise of generative AI models and the increasing demand for AI tools have created opportunities for tech-focused companies like EPAM Systems. However, the potential for increased regulation in the tech sector is a factor to keep in mind.</t>
  </si>
  <si>
    <t>Based on the recent financial data and industry trends, EPAM Systems appears to be a promising investment option in the IT consulting and services industry. However, investors should closely monitor any potential regulatory changes and the company's financial performance in the coming months.</t>
  </si>
  <si>
    <t>EOG,85.0,"</t>
  </si>
  <si>
    <t>EOG Resources is a leading oil and gas exploration and production company with a recent market cap of $69.83B and an enterprise value of $68.65B. The company has a trailing P/E ratio of 8.88 and a forward P/E ratio of 8.61, indicating that the stock is currently undervalued. However, the PEG ratio of 43.07 suggests that the stock may be overvalued in the long term.</t>
  </si>
  <si>
    <t>In terms of valuation metrics, EOG Resources has a price/sales ratio of 2.96 and a price/book ratio of 2.52, both of which are below the industry average. This indicates that the stock may be undervalued compared to its peers. Additionally, the company has a strong financial position with an enterprise value/revenue ratio of 2.90 and an enterprise value/EBITDA ratio of 5.04.</t>
  </si>
  <si>
    <t>Recent news in the oil and gas industry, such as falling oil prices and increased demand for mortgage refinancing, may have a positive impact on EOG Resources' financial performance. However, geopolitical tensions and potential regulatory changes could also pose risks to the company's operations.</t>
  </si>
  <si>
    <t>Based on the current financial data and industry trends, EOG Resources appears to be a solid investment option in the oil and gas exploration and production industry. However, investors should closely monitor any developments in the industry and the company's financial performance before making any investment decisions.</t>
  </si>
  <si>
    <t>ETR,85.0,"</t>
  </si>
  <si>
    <t>Entergy, a leading electric utility company, has shown strong financial performance in recent years. With a market cap of 21.48B and an enterprise value of 47.49B, the company has a solid financial foundation. Its trailing P/E ratio of 14.63 and forward P/E ratio of 14.06 indicate that the stock is reasonably priced. Additionally, the PEG ratio of 1.66 suggests that the stock may be undervalued, making it an attractive investment opportunity.</t>
  </si>
  <si>
    <t>In terms of valuation, Entergy's price/sales ratio of 1.69 and price/book ratio of 1.57 are in line with industry averages, indicating that the stock is not overvalued. Its enterprise value/revenue ratio of 3.74 and enterprise value/EBITDA ratio of 9.57 also suggest that the company is operating efficiently and generating strong returns for investors.</t>
  </si>
  <si>
    <t>Recent news in the electric utilities industry, such as falling oil prices and increasing demand for renewable energy, may have a positive impact on Entergy's stock performance. The company has also been investing in renewable energy projects, positioning itself for future growth and potential regulatory changes.</t>
  </si>
  <si>
    <t>Overall, Entergy appears to be a solid investment option in the electric utilities industry. Its strong financials and potential for growth make it a promising stock to consider for the next month.</t>
  </si>
  <si>
    <t>EXPD,85.0,"</t>
  </si>
  <si>
    <t>Expeditors International is a leading company in the Air Freight &amp; Logistics industry with a recent market cap of 17.54B and an enterprise value of 16.42B. The company has a trailing P/E ratio of 22.59 and a forward P/E ratio of 24.21, indicating a relatively high valuation. However, its price-to-sales ratio of 1.77 and price-to-book ratio of 7.04 are in line with industry averages. Additionally, its enterprise value/revenue ratio of 1.57 and enterprise value/EBITDA ratio of 13.59 suggest that the company is generating strong revenue and earnings.</t>
  </si>
  <si>
    <t>Recent news in the industry, such as the increase in global trade and the rise of e-commerce, bodes well for Expeditors International's business. The company has a strong track record of profitability and has consistently delivered solid financial results. Its focus on customer service and efficient operations has helped it maintain a competitive edge in the market.</t>
  </si>
  <si>
    <t>However, there are potential risks to consider, such as the ongoing trade tensions between the US and China and the potential impact of rising fuel costs on the company's bottom line. Investors should also keep an eye on any potential changes in regulations that could affect the logistics industry.</t>
  </si>
  <si>
    <t>Overall, Expeditors International appears to be a solid investment option in the Air Freight &amp; Logistics industry. Its strong financials and market position make it a stable choice for investors. However, it is important to carefully monitor any potential risks and industry developments.</t>
  </si>
  <si>
    <t>EXPE,85.0,"</t>
  </si>
  <si>
    <t>Expedia Group is a leading player in the Hotels, Resorts &amp; Cruise Lines industry with a recent market cap of 19.30B and an enterprise value of 20.78B. The company has a trailing P/E ratio of 25.46 and a forward P/E ratio of 11.78, indicating a potential undervaluation of the stock. The PEG ratio of 0.27 also suggests that the stock may be trading at a discount compared to its expected growth rate. Additionally, the price/sales ratio of 1.70 and price/book ratio of 11.54 are both below the industry average, further supporting the undervaluation of the stock.</t>
  </si>
  <si>
    <t>Expedia Group's latest financial data also shows a strong enterprise value/revenue ratio of 1.65 and an enterprise value/EBITDA ratio of 10.03, indicating a solid financial position and potential for future growth.</t>
  </si>
  <si>
    <t>The recent news of falling oil prices and increased mortgage refinance demand may also have a positive impact on the company's performance, as it operates in the travel and hospitality industry.</t>
  </si>
  <si>
    <t>Overall, based on the recent financial data and industry trends, Expedia Group appears to be a promising investment opportunity in the Hotels, Resorts &amp; Cruise Lines industry.</t>
  </si>
  <si>
    <t>PRU,85.0,"  Enterprise Value/EBITDA   5.86</t>
  </si>
  <si>
    <t>Prudential Financial is a leading company in the Life &amp; Health Insurance industry with a recent market cap of $35.35B and an enterprise value of $50.36B. The company has a trailing P/E ratio of 27.66 and a forward P/E ratio of 7.56, indicating a potential undervaluation in the stock. Additionally, Prudential Financial has a low price-to-sales ratio of 0.65 and a price-to-book ratio of 1.37, further supporting its undervaluation. The company also has a strong financial position with an enterprise value/revenue ratio of 0.92 and an enterprise value/EBITDA ratio of 5.86. This suggests that Prudential Financial is generating strong revenues and profits relative to its enterprise value. Overall, the recent financial data for Prudential Financial paints a positive picture for potential investors.</t>
  </si>
  <si>
    <t>PLD,85.0,"</t>
  </si>
  <si>
    <t>Prologis (PLD) is a leading industrial real estate investment trust (REIT) that has shown resilience in the face of a recent market slip. Despite the overall market downturn, PLD closed the most recent trading day at $119.05, a 0.34% increase from the previous session. This is a positive sign for the company and its investors.</t>
  </si>
  <si>
    <t>In terms of financial data, PLD has a strong market cap of $110 billion and an enterprise value of $136.90 billion. Its trailing P/E ratio of 37.91 and forward P/E ratio of 47.62 indicate that the company is currently trading at a premium, but this may be justified by its strong performance and potential for future growth. Additionally, PLD's price/sales ratio of 14.35 and price/book ratio of 2.05 suggest that the stock may be undervalued compared to its peers in the industrial REIT industry.</t>
  </si>
  <si>
    <t>Furthermore, PLD's enterprise value/revenue ratio of 17.36 and enterprise value/EBITDA ratio of 21.43 are both lower than the industry average, indicating that the company may be undervalued in terms of its revenue and earnings potential.</t>
  </si>
  <si>
    <t>Overall, Prologis (PLD) has shown strong performance and resilience in the current market conditions. With a solid financial position and potential for future growth, PLD may be a promising investment opportunity in the industrial REIT industry.</t>
  </si>
  <si>
    <t>FLT,85.0,"</t>
  </si>
  <si>
    <t>Fleetcor is a leading company in the Transaction &amp; Payment Processing Services industry with a recent market cap of 18.14B and an enterprise value of 24.03B. The company has a trailing P/E ratio of 19.69 and a forward P/E ratio of 13.02, indicating a potential undervaluation of the stock. The PEG ratio of 1.18 suggests that the stock may be trading at a discount compared to its expected growth rate. Additionally, Fleetcor has a price/sales ratio of 5.06 and a price/book ratio of 5.93, which are both below the industry average, further supporting the undervaluation of the stock.</t>
  </si>
  <si>
    <t>In terms of financial performance, Fleetcor has a strong enterprise value/revenue ratio of 6.49 and an enterprise value/EBITDA ratio of 12.25, indicating a healthy balance sheet and efficient use of capital. The company has also shown consistent revenue growth over the past few years, with a 5-year average revenue growth rate of 12.5%.</t>
  </si>
  <si>
    <t>Recent news in the industry, such as the increase in online transactions and the rise of digital payments, bodes well for Fleetcor's business model. The company's focus on providing payment solutions for businesses and its global presence also position it for potential growth opportunities.</t>
  </si>
  <si>
    <t>Based on the latest financial data and industry trends, Fleetcor appears to be a strong investment opportunity in the Transaction &amp; Payment Processing Services industry. However, as with any investment, it is important to conduct further research and analysis before making any decisions.</t>
  </si>
  <si>
    <t>COST,85.0,"</t>
  </si>
  <si>
    <t>Costco, a leading retailer in the Consumer Staples Merchandise industry, has shown strong financial performance in recent years. With a market cap of $268.90B and an enterprise value of $262.55B, the company has a solid financial foundation. Its trailing P/E ratio of 42.89 and forward P/E ratio of 39.22 indicate that the stock may be slightly overvalued, but this is offset by its low PEG ratio of 4.55, suggesting potential for future growth.</t>
  </si>
  <si>
    <t>In terms of valuation metrics, Costco's price/sales ratio of 1.11 and price/book ratio of 10.73 are in line with industry averages, indicating that the stock is fairly priced. Its enterprise value/revenue ratio of 1.08 and enterprise value/EBITDA ratio of 24.48 also suggest that the company is efficiently managing its operations and generating strong returns for investors.</t>
  </si>
  <si>
    <t>Overall, Costco's financial data paints a positive picture for the company's future prospects. However, investors should also consider the potential impact of external factors such as consumer spending and economic conditions on the company's performance.</t>
  </si>
  <si>
    <t>CZR,85.0,"</t>
  </si>
  <si>
    <t>Caesars Entertainment is a leading player in the Casinos &amp; Gaming industry with a recent market cap of 9.36B and an enterprise value of 20.82B. The company has a trailing P/E ratio of 13.23 and a forward P/E ratio of 11.55, indicating that the stock may be undervalued. Additionally, its price/sales ratio of 0.81 and price/book ratio of 2.03 suggest that the stock may be trading at a discount compared to its peers in the industry.</t>
  </si>
  <si>
    <t>Furthermore, Caesars Entertainment has a strong financial position with an enterprise value/revenue ratio of 1.81 and an enterprise value/EBITDA ratio of 6.09. This indicates that the company is generating solid revenue and earnings, making it a potentially attractive investment opportunity.</t>
  </si>
  <si>
    <t>However, it is important to note that the company operates in a highly competitive and regulated industry, which may pose risks to its financial performance. Additionally, the recent surge in COVID-19 cases may impact the company's operations and financials in the short term.</t>
  </si>
  <si>
    <t>Overall, based on the recent financial data and industry trends, Caesars Entertainment appears to be a promising investment opportunity in the Casinos &amp; Gaming industry. However, investors should carefully consider the potential risks and monitor the company's performance closely.</t>
  </si>
  <si>
    <t>CHRW,85.0,"</t>
  </si>
  <si>
    <t>C.H. Robinson, a leading company in the Air Freight &amp; Logistics industry, has a recent market cap of 9.98B and an enterprise value of 11.75B. The company's trailing P/E ratio is 25.45 and its forward P/E ratio is 21.37, indicating a potential undervaluation. Additionally, its price/sales ratio of 0.55 and price/book ratio of 7.10 suggest a favorable valuation compared to its industry peers. However, its enterprise value/revenue ratio of 0.64 and enterprise value/EBITDA ratio of 17.51 may indicate a slightly higher valuation. Overall, the company's financial data suggests a stable and potentially undervalued position in the market.</t>
  </si>
  <si>
    <t>BG,85.0,"</t>
  </si>
  <si>
    <t>Bunge Global SA is a leading company in the Agricultural Products &amp; Services industry with a recent market cap of 15.14B and an enterprise value of 18.84B. The firm has a trailing P/E ratio of 8.07 and a forward P/E ratio of 8.70, indicating that the stock is currently undervalued. The PEG ratio of 1.71 suggests that the stock has a potential for growth in the next five years. Additionally, the price/sales ratio of 0.26 and price/book ratio of 1.48 are both below the industry average, making the stock attractive for value investors.</t>
  </si>
  <si>
    <t>The latest financial data also shows that Bunge Global SA has a strong financial position with an enterprise value/revenue ratio of 0.31 and an enterprise value/EBITDA ratio of 5.28. This indicates that the company is generating significant revenue and has a healthy level of debt.</t>
  </si>
  <si>
    <t>In terms of recent news, Bunge Global SA has been expanding its operations in emerging markets, which could lead to increased revenue and profitability in the future. However, the company is also facing challenges in the form of trade tensions and changing consumer preferences, which could impact its performance.</t>
  </si>
  <si>
    <t>Overall, Bunge Global SA appears to be a solid investment opportunity in the Agricultural Products &amp; Services industry. With a strong financial position and potential for growth, the stock has a promising outlook for the next month.</t>
  </si>
  <si>
    <t>KO,85.0,"</t>
  </si>
  <si>
    <t>The Coca-Cola Company (KO) is a leading player in the Soft Drinks &amp; Non-alcoholic Beverages industry with a recent market cap of 253.35B and an enterprise value of 278.09B. The company has a trailing P/E ratio of 23.72 and a forward P/E ratio of 20.92, indicating a relatively high valuation. However, its PEG ratio of 2.76 suggests that the stock may still have room for growth.</t>
  </si>
  <si>
    <t>In terms of financial performance, Coca-Cola has a price/sales ratio of 5.65 and a price/book ratio of 9.62, both of which are higher than the industry average. This could be a reflection of the company's strong brand and market position. Its enterprise value/revenue ratio of 6.18 and enterprise value/EBITDA ratio of 17.88 also indicate a premium valuation.</t>
  </si>
  <si>
    <t>Recent news in the industry, such as the rise in demand for non-alcoholic beverages and the company's focus on expanding its portfolio to include healthier options, bodes well for Coca-Cola's future growth potential. However, there are also concerns about the impact of rising commodity prices on the company's margins.</t>
  </si>
  <si>
    <t>Overall, Coca-Cola's strong brand, market position, and potential for growth make it a solid investment option in the Soft Drinks &amp; Non-alcoholic Beverages industry. However, investors should closely monitor any potential risks, such as rising costs, that may affect the company's financial performance.</t>
  </si>
  <si>
    <t>CMS,85.0,"</t>
  </si>
  <si>
    <t>CMS Energy, a multi-utility company with a market cap of 16.87B, has been performing well in the recent months. Its latest financial data shows a strong enterprise value of 32.41B and a trailing P/E ratio of 22.77, indicating a positive outlook for the company. The forward P/E ratio of 17.36 suggests that the company is expected to continue its growth in the future. However, the PEG ratio of 2.35 may indicate that the stock is slightly overvalued.</t>
  </si>
  <si>
    <t>In terms of valuation, CMS Energy has a price/sales ratio of 2.16 and a price/book ratio of 2.42, which are both in line with industry averages. The enterprise value/revenue ratio of 4.16 and the enterprise value/EBITDA ratio of 12.48 also suggest that the company is reasonably valued.</t>
  </si>
  <si>
    <t>Overall, CMS Energy appears to be in a strong financial position and has the potential for growth in the multi-utilities industry. However, investors should closely monitor any potential changes in the industry and the company's financial performance.</t>
  </si>
  <si>
    <t>CTVA,85.0,"</t>
  </si>
  <si>
    <t>Corteva, a leading company in the Fertilizers &amp; Agricultural Chemicals industry, has shown strong financial performance in recent years. With a market cap of 31.11B and an enterprise value of 34.65B, the company has a solid financial foundation. Its trailing P/E ratio of 28.12 and forward P/E ratio of 14.77 indicate that the company is currently undervalued, making it an attractive investment opportunity.</t>
  </si>
  <si>
    <t>Furthermore, Corteva's PEG ratio of 0.93 suggests that the stock is trading at a discount compared to its expected growth rate. This is further supported by its low price/sales ratio of 1.82 and price/book ratio of 1.23, indicating that the stock is undervalued in terms of its sales and book value.</t>
  </si>
  <si>
    <t>In terms of its financial health, Corteva has a strong enterprise value/revenue ratio of 2.00 and an enterprise value/EBITDA ratio of 13.21. This indicates that the company is generating strong revenue and has a healthy level of debt.</t>
  </si>
  <si>
    <t>Overall, Corteva appears to be a strong investment opportunity in the Fertilizers &amp; Agricultural Chemicals industry. Its solid financial performance and undervalued stock make it a promising choice for investors.</t>
  </si>
  <si>
    <t>GLW,85.0,"</t>
  </si>
  <si>
    <t>Corning Inc. is a leading company in the Electronic Components industry with a recent market cap of 24.56B and an enterprise value of 31.38B. The company has a trailing P/E ratio of 42.34 and a forward P/E ratio of 13.93, indicating a potential undervaluation of the stock. The PEG ratio of 1.27 suggests that the stock may be trading at a discount compared to its expected growth rate. Additionally, the price/sales and price/book ratios of 1.90 and 2.15, respectively, are below the industry average, further supporting the undervaluation of the stock.</t>
  </si>
  <si>
    <t>Corning Inc. has a strong financial position with a low debt-to-equity ratio and a solid cash flow. The company has a diversified product portfolio, including glass and ceramic materials, optical communications, and mobile consumer electronics, which provides stability and potential for growth in various markets.</t>
  </si>
  <si>
    <t>The recent news of the company's collaboration with Apple to develop ceramic shield technology for the iPhone 12 has further boosted investor confidence in Corning Inc. This partnership has the potential to drive revenue growth for the company in the future.</t>
  </si>
  <si>
    <t>Based on the latest financial data and news, Corning Inc. appears to be a promising investment opportunity in the Electronic Components industry. However, investors should closely monitor any potential risks, such as changes in market conditions and competition, before making any investment decisions.</t>
  </si>
  <si>
    <t>CEG,85.0,"</t>
  </si>
  <si>
    <t>Constellation Energy, a leading company in the Multi-Utilities industry, has a recent market cap of 35.96B and an enterprise value of 42.23B. The firm's trailing P/E ratio is 21.61 and its forward P/E ratio is 18.55, indicating a relatively high valuation. However, its price/sales ratio of 1.39 and price/book ratio of 3.08 suggest that the stock may be undervalued compared to its peers in the industry. Additionally, the enterprise value/revenue ratio of 1.60 and enterprise value/EBITDA ratio of 12.23 are in line with industry averages.</t>
  </si>
  <si>
    <t>The latest news in the industry, such as falling oil prices and increased demand for mortgage refinancing, may have a positive impact on Constellation Energy's performance. Lower energy costs can benefit the company's operations, while increased consumer spending can drive demand for its services. However, potential regulatory changes and weaker job growth may pose risks to the company's future performance.</t>
  </si>
  <si>
    <t>Based on the current financial data and industry trends, Constellation Energy appears to be a solid investment option in the Multi-Utilities industry. Its strong market position and potential for growth make it a favorable choice for investors. However, it is important to closely monitor any developments in the industry and the company's financial performance to make informed investment decisions.</t>
  </si>
  <si>
    <t>SLB,85.0,"</t>
  </si>
  <si>
    <t>Schlumberger is a leading company in the Oil &amp; Gas Equipment &amp; Services industry with a recent market cap of 70.18B and an enterprise value of 79.59B. The company has a trailing P/E ratio of 17.06 and a forward P/E ratio of 13.57, indicating that the stock may be undervalued. The PEG ratio of 0.93 also suggests that the stock may have growth potential. However, the price/sales ratio of 2.21 and price/book ratio of 3.62 are slightly higher than the industry average, which may indicate that the stock is currently overvalued.</t>
  </si>
  <si>
    <t>In terms of financial performance, Schlumberger has a strong enterprise value/revenue ratio of 2.49 and a solid enterprise value/EBITDA ratio of 10.66. This indicates that the company is generating strong revenue and earnings, making it a potentially attractive investment opportunity.</t>
  </si>
  <si>
    <t>Recent news in the oil and gas industry, such as falling oil prices and increased demand for mortgage refinancing, may have a positive impact on Schlumberger's business. However, geopolitical tensions and potential regulatory changes could also pose risks to the company's operations.</t>
  </si>
  <si>
    <t>Overall, Schlumberger appears to be a solid investment option in the Oil &amp; Gas Equipment &amp; Services industry. However, investors should closely monitor the company's financial performance and industry developments before making any investment decisions.</t>
  </si>
  <si>
    <t>ED,85.0,"</t>
  </si>
  <si>
    <t>Consolidated Edison, a leading electric utility company, has shown strong financial performance in recent years. With a market cap of 31.64B and an enterprise value of 54.87B, the company has a solid financial foundation. Its trailing P/E ratio of 13.54 and forward P/E ratio of 17.18 indicate that the stock is currently undervalued, making it an attractive investment opportunity.</t>
  </si>
  <si>
    <t>Furthermore, Consolidated Edison's PEG ratio of 2.68 suggests that the stock has room for growth in the future. The company's price/sales ratio of 2.11 and price/book ratio of 1.50 also indicate that the stock is currently trading at a discount. Additionally, its enterprise value/revenue ratio of 3.60 and enterprise value/EBITDA ratio of 9.10 are lower than the industry average, further highlighting its potential for growth.</t>
  </si>
  <si>
    <t>Recent news in the electric utilities industry, such as falling oil prices and increasing demand for renewable energy, bode well for Consolidated Edison's future prospects. The company has also been investing in renewable energy projects, positioning itself for long-term success in a changing energy landscape.</t>
  </si>
  <si>
    <t>Overall, Consolidated Edison appears to be a strong investment opportunity in the electric utilities industry. Its solid financials, undervalued stock, and potential for growth make it a promising choice for investors.</t>
  </si>
  <si>
    <t>COP,85.0,"</t>
  </si>
  <si>
    <t>ConocoPhillips is a leading company in the Oil &amp; Gas Exploration &amp; Production industry with a recent market cap of 131.23B and an enterprise value of 140.85B. The company has a trailing P/E ratio of 12.04 and a forward P/E ratio of 10.44, indicating that the stock may be undervalued. Additionally, the PEG ratio of 0.72 suggests that the stock may be a good value for investors.</t>
  </si>
  <si>
    <t>In terms of financial health, ConocoPhillips has a price/sales ratio of 2.25 and a price/book ratio of 2.75, which are both below the industry average. This indicates that the stock may be trading at a discount compared to its peers. The company also has a strong enterprise value/revenue ratio of 2.35 and an enterprise value/EBITDA ratio of 5.35, which are both favorable indicators of its financial performance.</t>
  </si>
  <si>
    <t>Recent news in the oil and gas industry, such as falling oil prices and increased demand for mortgage refinancing, may have a positive impact on ConocoPhillips' performance in the coming month. However, geopolitical tensions and potential regulatory changes could also create volatility in the market.</t>
  </si>
  <si>
    <t>Based on the latest financial data and industry trends, ConocoPhillips appears to be a solid investment option in the Oil &amp; Gas Exploration &amp; Production industry. However, as with any investment, it is important for investors to conduct their own research and carefully consider their risk tolerance before making any decisions.</t>
  </si>
  <si>
    <t>C,85.0,"   Total Debt/Equity (mrq)   1.72</t>
  </si>
  <si>
    <t>Citigroup, a leading diversified bank with a market cap of $91.60B, has shown strong financial performance in recent years. With a trailing P/E ratio of 7.60 and a forward P/E ratio of 7.84, the company's stock is currently undervalued compared to its industry peers. Additionally, Citigroup's price-to-sales ratio of 1.20 and price-to-book ratio of 0.48 suggest that the stock may be trading at a discount.</t>
  </si>
  <si>
    <t>Furthermore, Citigroup has a relatively low total debt-to-equity ratio of 1.72, indicating a healthy balance sheet and manageable debt levels. This provides the company with financial flexibility to pursue growth opportunities and withstand potential economic downturns.</t>
  </si>
  <si>
    <t>In terms of recent news, Citigroup has announced plans to expand its presence in the Asia-Pacific region, which could lead to increased revenue and profitability. The company has also been actively managing its expenses and improving efficiency, which could further boost its bottom line.</t>
  </si>
  <si>
    <t>Overall, Citigroup appears to be in a strong financial position and has potential for growth in the near future. However, investors should closely monitor any potential regulatory changes and geopolitical risks that may impact the company's operations.</t>
  </si>
  <si>
    <t>CSCO,85.0,"</t>
  </si>
  <si>
    <t>Cisco, a leading company in the Communications Equipment industry, has a recent market cap of 193.83B and an enterprise value of 177.95B. The firm's trailing P/E ratio is 14.41 and the forward P/E ratio is 12.30, indicating a relatively low valuation compared to its peers. However, the PEG ratio of 2.93 suggests that the stock may be slightly overvalued based on its expected growth rate.</t>
  </si>
  <si>
    <t>In terms of financial health, Cisco has a price/sales ratio of 3.37 and a price/book ratio of 4.29, both of which are in line with industry averages. The enterprise value/revenue ratio of 3.07 and the enterprise value/EBITDA ratio of 9.65 also indicate a stable financial position for the company.</t>
  </si>
  <si>
    <t>Recent news in the industry, such as the rise of remote work and increased demand for networking and communication solutions, bodes well for Cisco's future growth potential. However, the ongoing global chip shortage may pose challenges for the company's supply chain and production.</t>
  </si>
  <si>
    <t>Overall, Cisco appears to be a solid investment option in the Communications Equipment industry, with a strong financial position and potential for growth. However, investors should closely monitor industry developments and the company's performance in the coming months.</t>
  </si>
  <si>
    <t>CI,85.0,"  Enterprise Value/EBITDA  10.44</t>
  </si>
  <si>
    <t>Cigna is a leading company in the Managed Health Care industry with a recent market cap of $75.35B and an enterprise value of $97.99B. The company has a trailing P/E ratio of 14.52 and a forward P/E ratio of 9.10, indicating that the stock may be undervalued. Additionally, the PEG ratio of 0.85 suggests that the stock may have growth potential. Cigna also has a low price-to-sales ratio of 0.41 and a price-to-book ratio of 1.65, which further supports its potential investment value.</t>
  </si>
  <si>
    <t>Furthermore, Cigna's enterprise value to revenue ratio of 0.52 and enterprise value to EBITDA ratio of 10.44 are both below the industry average, indicating that the company may be undervalued compared to its peers.</t>
  </si>
  <si>
    <t>Overall, Cigna's recent financial data suggests that the company may be a good investment opportunity in the Managed Health Care industry. However, investors should carefully monitor any potential regulatory changes and the company's performance in the coming months.</t>
  </si>
  <si>
    <t>CAG,85.0,"</t>
  </si>
  <si>
    <t>Conagra Brands is a leading company in the Packaged Foods &amp; Meats industry with a recent market cap of 14.05B and an enterprise value of 23.23B. The company has a trailing P/E ratio of 13.07 and a forward P/E ratio of 10.85, indicating that the stock may be undervalued. Additionally, the PEG ratio of 0.65 suggests that the stock may have growth potential. Conagra Brands also has a low price-to-sales ratio of 1.15 and a price-to-book ratio of 1.58, which further supports its undervalued status.</t>
  </si>
  <si>
    <t>In terms of financial health, Conagra Brands has a strong enterprise value/revenue ratio of 1.89 and a relatively low enterprise value/EBITDA ratio of 11.73. This indicates that the company is generating healthy revenue and has a manageable level of debt.</t>
  </si>
  <si>
    <t>Recent news in the Packaged Foods &amp; Meats industry, such as rising commodity prices and supply chain disruptions, may pose challenges for Conagra Brands in the short term. However, the company has a strong portfolio of well-known brands and a diverse product offering, which may help mitigate these challenges.</t>
  </si>
  <si>
    <t>Overall, Conagra Brands appears to be a solid investment opportunity in the Packaged Foods &amp; Meats industry. Its undervalued stock and strong financials make it a potential candidate for long-term growth. However, investors should closely monitor any potential risks and stay updated on the latest news in the industry.</t>
  </si>
  <si>
    <t>CMA,85.0,"      Total Debt/Equity (mrq)  0.00</t>
  </si>
  <si>
    <t>Latest News: Comerica Incorporated Announces Dividend Increase and Common Stock Repurchase Authorization</t>
  </si>
  <si>
    <t>Comerica, a diversified bank with a market cap of 6.28B, has shown strong financial performance in recent years. With a trailing P/E of 5.39 and a forward P/E of 8.90, the company's stock is currently undervalued compared to its industry peers. Additionally, Comerica has a low price-to-sales ratio of 1.65 and a price-to-book ratio of 1.37, indicating potential for growth and value for investors.</t>
  </si>
  <si>
    <t>The recent announcement of a dividend increase and common stock repurchase authorization further demonstrates the company's commitment to creating value for shareholders. This move also reflects the company's strong financial position, with a total debt/equity ratio of 0.00.</t>
  </si>
  <si>
    <t>However, it is important to note that the banking industry is facing challenges due to the ongoing COVID-19 pandemic and potential regulatory changes. These factors may impact Comerica's performance in the short term.</t>
  </si>
  <si>
    <t>CL,85.0,"</t>
  </si>
  <si>
    <t>Colgate-Palmolive is a leading company in the Household Products industry with a recent market cap of 63.79B and an enterprise value of 71.56B. The company has a trailing P/E ratio of 40.56 and a forward P/E ratio of 22.42, indicating a potential undervaluation of the stock. The PEG ratio of 1.43 suggests that the stock may be slightly overvalued based on its expected growth rate. However, the price/sales ratio of 3.37 and price/book ratio of 156.16 are both higher than the industry average, indicating a premium valuation for the stock.</t>
  </si>
  <si>
    <t>Colgate-Palmolive has a strong financial position with a low debt-to-equity ratio and a healthy cash flow. The company has a history of consistent dividend payments and has been able to maintain stable earnings despite the recent economic challenges. The company's latest earnings report showed an increase in revenue and earnings, driven by strong demand for its products.</t>
  </si>
  <si>
    <t>In terms of market trends, the Household Products industry has been relatively stable, with a steady demand for essential products. However, there may be potential challenges in the supply chain due to the ongoing pandemic and rising raw material costs. Investors should also consider the potential impact of changing consumer preferences and increased competition in the industry.</t>
  </si>
  <si>
    <t>Based on the recent financial data and market trends, Colgate-Palmolive appears to be a solid investment option in the Household Products industry. The company's strong financial position, stable earnings, and potential for growth make it a favorable choice for investors. However, it is important to closely monitor any changes in the industry and the company's performance in the coming months.</t>
  </si>
  <si>
    <t>CTSH,85.0,"</t>
  </si>
  <si>
    <t>Cognizant, a leading IT consulting and other services company, has shown strong financial performance in recent years. With a market cap of 35.16B and an enterprise value of 34.24B, the company has a solid financial foundation. Its trailing P/E ratio of 17.10 and forward P/E ratio of 15.02 indicate that the stock is reasonably priced. Additionally, the PEG ratio of 1.41 suggests that the stock may be undervalued, as it is trading at a lower multiple compared to its expected earnings growth.</t>
  </si>
  <si>
    <t>In terms of valuation metrics, Cognizant has a price/sales ratio of 1.83 and a price/book ratio of 2.73, which are both in line with industry averages. Its enterprise value/revenue ratio of 1.76 and enterprise value/EBITDA ratio of 10.22 also indicate that the company is trading at a reasonable valuation.</t>
  </si>
  <si>
    <t>Recent news in the IT industry, such as the rise of AI and technological advancements, may present opportunities for Cognizant to expand its services and increase its market share. However, there may also be potential risks, such as increased competition and potential regulatory changes.</t>
  </si>
  <si>
    <t>Overall, Cognizant appears to be a solid investment option in the IT consulting and other services industry. Its strong financials and potential for growth make it a promising stock to consider for the next month.</t>
  </si>
  <si>
    <t>STZ,85.0,"</t>
  </si>
  <si>
    <t>Constellation Brands, a leading producer and marketer of beer, wine, and spirits, has been performing well in the recent market conditions. With a market cap of 43.18B and an enterprise value of 54.80B, the company has a strong financial standing. Its trailing P/E ratio of 27.63 and forward P/E ratio of 17.04 indicate that the stock is currently trading at a reasonable valuation.</t>
  </si>
  <si>
    <t>In terms of growth potential, Constellation Brands has a PEG ratio of 1.87, which suggests that the stock may be slightly overvalued compared to its expected growth rate. However, its price/sales ratio of 4.59 and price/book ratio of 4.60 are in line with the industry average, indicating that the stock is not significantly overvalued.</t>
  </si>
  <si>
    <t>Furthermore, the company's enterprise value/revenue ratio of 5.60 and enterprise value/EBITDA ratio of 19.54 are also in line with the industry average, suggesting that the stock is fairly valued.</t>
  </si>
  <si>
    <t>Overall, Constellation Brands appears to be a solid investment option in the Distillers &amp; Vintners industry. Its strong financial standing and reasonable valuation make it an attractive choice for investors. However, it is important to monitor any potential changes in the industry and the company's performance in the coming months.</t>
  </si>
  <si>
    <t>SBAC,85.0,"</t>
  </si>
  <si>
    <t>SBA Communications is a leading cell tower REIT with a strong presence in both domestic and international markets. With a market cap of $26 billion, the company has demonstrated impressive organic growth in tower leasing and has delivered strong financial performance, with FFO and AFFO per share showing significant growth.</t>
  </si>
  <si>
    <t>The recent financial data for SBA Communications shows a market cap of $27.13 billion and an enterprise value of $41.71 billion. The trailing P/E ratio is 55.27 and the forward P/E ratio is 37.74, indicating a potential undervaluation of the stock. The PEG ratio of 1.97 suggests that the stock may be undervalued compared to its expected growth rate. The price/sales ratio of 10.08 and the enterprise value/revenue ratio of 15.32 also indicate a potential undervaluation.</t>
  </si>
  <si>
    <t>Furthermore, SBA Communications has a strong enterprise value/EBITDA ratio of 24.39, indicating a healthy financial position. This, combined with the company's strong organic growth and market presence, makes it a top pick in the low-yield REIT sector.</t>
  </si>
  <si>
    <t>DD,85.0,"</t>
  </si>
  <si>
    <t>DuPont, a leading company in the Specialty Chemicals industry, has shown strong financial performance in recent years. With a market cap of 30.37B and an enterprise value of 37.13B, the company has a solid financial foundation. Its trailing P/E ratio of 35.85 and forward P/E ratio of 17.61 indicate that the company is currently trading at a reasonable valuation. Additionally, its price/sales ratio of 2.66 and price/book ratio of 1.26 suggest that the stock may be undervalued.</t>
  </si>
  <si>
    <t>Furthermore, DuPont's enterprise value/revenue ratio of 3.03 and enterprise value/EBITDA ratio of 12.80 are in line with industry averages, indicating that the company is efficiently utilizing its resources. The recent news of falling oil prices may also benefit DuPont, as it is a major player in the chemical industry and lower energy costs can lead to increased profitability.</t>
  </si>
  <si>
    <t>Overall, DuPont appears to be in a strong financial position and has the potential for growth in the coming months. However, investors should closely monitor any potential regulatory changes that may impact the company's operations. Based on the current financial data and market trends, the potential investment value for DuPont in the next month is Score: 85."</t>
  </si>
  <si>
    <t>DUK,85.0,"Investment Report:</t>
  </si>
  <si>
    <t>Duke Energy, a leading electric utility firm, has recently faced backlash from Chinese battery giant CATL over its decision to disconnect CATL's batteries. This has caused some concern among investors about the potential impact on Duke Energy's stock in the electric utilities industry.</t>
  </si>
  <si>
    <t>However, looking at the latest financial data, Duke Energy appears to be in a strong financial position with a market cap of $72.40B and an enterprise value of $153.48B. The company also has a relatively low trailing P/E ratio of 19.86 and a forward P/E ratio of 15.80, indicating potential undervaluation. Additionally, Duke Energy's PEG ratio of 2.59 suggests that the stock may be undervalued compared to its expected growth.</t>
  </si>
  <si>
    <t>In terms of valuation metrics, Duke Energy also appears to be performing well with a price/sales ratio of 2.48 and a price/book ratio of 1.54. These ratios suggest that the stock is trading at a reasonable price compared to its sales and book value.</t>
  </si>
  <si>
    <t>Furthermore, Duke Energy's enterprise value/revenue ratio of 5.26 and enterprise value/EBITDA ratio of 11.79 are in line with industry averages, indicating that the company is not overvalued compared to its peers.</t>
  </si>
  <si>
    <t>Overall, despite the recent news and potential concerns, Duke Energy's financial data suggests that the company is in a strong position and may present a good investment opportunity in the electric utilities industry.</t>
  </si>
  <si>
    <t>DOW,85.0,"</t>
  </si>
  <si>
    <t>Dow Inc. is a leading company in the Commodity Chemicals industry with a recent market cap of 35.69B and an enterprise value of 48.88B. The firm has a trailing P/E ratio of 27.66 and a forward P/E ratio of 13.48, indicating a potential undervaluation in the stock. However, the PEG ratio of 4.54 suggests that the stock may be overvalued in relation to its expected growth. The price/sales ratio of 0.79 and price/book ratio of 1.82 also indicate a potential undervaluation. The enterprise value/revenue ratio of 1.07 and enterprise value/EBITDA ratio of 9.39 are in line with industry averages.</t>
  </si>
  <si>
    <t>Recent news in the Commodity Chemicals industry, such as falling oil prices and increased demand for chemicals, may have a positive impact on Dow Inc.'s financial performance. However, potential regulatory changes and geopolitical tensions could also affect the company's operations and stock performance.</t>
  </si>
  <si>
    <t>Overall, Dow Inc. appears to be a solid investment opportunity in the Commodity Chemicals industry, with potential for growth and a relatively low valuation. However, investors should closely monitor industry and market trends to make informed investment decisions.</t>
  </si>
  <si>
    <t>DOV,85.0,"</t>
  </si>
  <si>
    <t>Dover Corporation, a leading company in the Industrial Machinery &amp; Supplies &amp; Components industry, has shown strong financial performance in recent years. With a market cap of 20.03B and an enterprise value of 22.90B, the company has a solid financial foundation. Its trailing P/E ratio of 19.67 and forward P/E ratio of 14.86 indicate that the company is currently undervalued, making it an attractive investment opportunity.</t>
  </si>
  <si>
    <t>Furthermore, Dover Corporation has a low PEG ratio of 0.99, which suggests that the stock is undervalued relative to its expected growth. This is further supported by its low price/sales ratio of 2.38 and price/book ratio of 4.15, indicating that the stock is trading at a discount compared to its peers in the industry.</t>
  </si>
  <si>
    <t>In terms of profitability, Dover Corporation has an impressive enterprise value/revenue ratio of 2.70 and an enterprise value/EBITDA ratio of 13.38. This indicates that the company is generating strong revenues and has a healthy level of profitability.</t>
  </si>
  <si>
    <t>Overall, Dover Corporation appears to be a strong investment opportunity in the Industrial Machinery &amp; Supplies &amp; Components industry. Its solid financial performance and undervalued stock make it a promising choice for investors. However, as with any investment, it is important to conduct further research and analysis before making any decisions.</t>
  </si>
  <si>
    <t>ENPH,85.0,"</t>
  </si>
  <si>
    <t>Enphase, a leading company in the electronic components industry, has shown strong financial performance in recent years. With a market cap of 14.58B and an enterprise value of 14.09B, the company has a solid financial foundation. Its trailing P/E ratio of 26.76 and forward P/E ratio of 30.40 indicate that the stock is currently trading at a reasonable valuation.</t>
  </si>
  <si>
    <t>One potential concern for investors is the company's PEG ratio of 4.47, which suggests that the stock may be overvalued compared to its expected growth rate. However, Enphase's price/sales ratio of 5.71 and price/book ratio of 14.37 are in line with industry averages, indicating that the stock is not significantly overvalued.</t>
  </si>
  <si>
    <t>Enphase's strong financial position is further supported by its enterprise value/revenue ratio of 5.19 and enterprise value/EBITDA ratio of 18.85, which are both below industry averages. This suggests that the company is generating strong revenue and earnings, making it a potentially attractive investment opportunity.</t>
  </si>
  <si>
    <t>Overall, Enphase's recent financial data paints a positive picture for the company's future prospects. While there may be some concerns about its valuation, the company's strong financial performance and position in the electronic components industry make it a potential investment opportunity.</t>
  </si>
  <si>
    <t>EMR,85.0,"</t>
  </si>
  <si>
    <t>Emerson Electric is a leading company in the Electrical Components &amp; Equipment industry with a recent market cap of $50 billion and an enterprise value of $50.51 billion. The company has a trailing P/E ratio of 23.58 and a forward P/E ratio of 16.64, indicating a potential undervaluation of the stock. Additionally, its price/sales ratio of 3.34 and price/book ratio of 2.42 are also lower than the industry average, making it an attractive investment opportunity.</t>
  </si>
  <si>
    <t>Emerson Electric's latest financial data shows a strong balance sheet with a low debt-to-equity ratio and a healthy enterprise value/revenue ratio of 3.33. The company also has a solid enterprise value/EBITDA ratio of 12.51, indicating efficient use of its assets to generate earnings.</t>
  </si>
  <si>
    <t>In terms of recent news, Emerson Electric has been expanding its product portfolio and investing in new technologies to drive growth. The company's focus on innovation and sustainability has positioned it well for future success in the rapidly evolving electrical components and equipment industry.</t>
  </si>
  <si>
    <t>Based on the provided financial data and recent news, Emerson Electric appears to be a promising investment opportunity in the Electrical Components &amp; Equipment industry. However, as with any investment, it is important to conduct further research and analysis before making any decisions.</t>
  </si>
  <si>
    <t>ELV,85.0,"Enterprise Value/EBITDA    8.86</t>
  </si>
  <si>
    <t>Elevance Health is a leading company in the Managed Health Care industry with a recent market cap of 112.38B and an enterprise value of 126.31B. The company has a trailing P/E ratio of 18.61 and a forward P/E ratio of 12.92, indicating a potential undervaluation of the stock. The PEG ratio of 1.00 suggests that the stock may be trading at a fair value based on its expected growth. Additionally, the price/sales ratio of 0.68 and price/book ratio of 2.92 also indicate that the stock may be undervalued.</t>
  </si>
  <si>
    <t>Elevance Health has a strong financial position with an enterprise value/revenue ratio of 0.75 and an enterprise value/EBITDA ratio of 8.86. This suggests that the company is generating strong revenues and has a healthy level of debt.</t>
  </si>
  <si>
    <t>The recent news in the Managed Health Care industry, including the ongoing COVID-19 pandemic and potential regulatory changes, may impact the stock in the short term. However, Elevance Health has a strong track record of financial performance and a solid position in the market, making it a potentially attractive investment opportunity.</t>
  </si>
  <si>
    <t>EA,85.0,"</t>
  </si>
  <si>
    <t>Electronic Arts (EA) is a leading company in the Interactive Home Entertainment industry with a recent market cap of $36.90B and an enterprise value of $36.54B. The company has a trailing P/E ratio of 37.79 and a forward P/E ratio of 17.89, indicating a potential undervaluation of the stock. The PEG ratio of 0.96 suggests that the stock may be trading at a discount compared to its expected growth rate. Additionally, EA has a price/sales ratio of 4.96 and a price/book ratio of 4.87, both of which are below the industry average, further supporting the undervaluation of the stock.</t>
  </si>
  <si>
    <t>Furthermore, EA has a strong financial position with a low debt-to-equity ratio and a high return on equity. The company also has a solid track record of generating consistent profits and has been able to maintain a stable dividend payout to its shareholders.</t>
  </si>
  <si>
    <t>In terms of recent news, EA has been making strategic moves to expand its presence in the growing mobile gaming market and has also been investing in new technologies such as virtual and augmented reality. These initiatives are expected to drive future growth for the company.</t>
  </si>
  <si>
    <t>Based on the latest financial data and news, EA appears to be a promising investment opportunity in the Interactive Home Entertainment industry. However, investors should always conduct their own research and analysis before making any investment decisions.</t>
  </si>
  <si>
    <t>CTRA,85.0,"</t>
  </si>
  <si>
    <t>Coterra Energy, a company in the Oil &amp; Gas Exploration &amp; Production industry, has recently announced a shift towards oil production, which is expected to have a positive impact on its shares in the medium-term. Despite facing headwinds from lower natural gas prices, the company has implemented hedges to limit potential downside. Additionally, its focus on increasing oil production is expected to boost cash flow. Coterra has also committed to returning at least 50% of its capital budget to investors, which is a positive sign for shareholders.</t>
  </si>
  <si>
    <t>Market Cap (intraday): 18.64B</t>
  </si>
  <si>
    <t>Enterprise Value: 20.35B</t>
  </si>
  <si>
    <t>Trailing P/E: 8.57</t>
  </si>
  <si>
    <t>Forward P/E: 9.07</t>
  </si>
  <si>
    <t>Price/Sales (ttm): 2.88</t>
  </si>
  <si>
    <t>Price/Book (mrq): 1.46</t>
  </si>
  <si>
    <t>Enterprise Value/Revenue: 3.08</t>
  </si>
  <si>
    <t>Enterprise Value/EBITDA: 4.47</t>
  </si>
  <si>
    <t>D,85.0,"</t>
  </si>
  <si>
    <t>Dominion Energy is a leading electric utility company with a recent market cap of $39.55B and an enterprise value of $83.08B. The company has a trailing P/E ratio of 15.70 and a forward P/E ratio of 14.90, indicating that the stock may be undervalued. Additionally, Dominion Energy has a price/sales ratio of 2.21 and a price/book ratio of 1.51, which are both below the industry average. This suggests that the stock may be a good value investment.</t>
  </si>
  <si>
    <t>In terms of financial performance, Dominion Energy has an enterprise value/revenue ratio of 4.64 and an enterprise value/EBITDA ratio of 10.56. These ratios are in line with the industry average, indicating that the company is performing well financially.</t>
  </si>
  <si>
    <t>Recent news in the electric utilities industry, such as falling oil prices and lower interest rates, may have a positive impact on Dominion Energy's stock. Additionally, the company's focus on renewable energy sources and its commitment to reducing carbon emissions may attract socially responsible investors.</t>
  </si>
  <si>
    <t>Overall, Dominion Energy appears to be a solid investment option in the electric utilities industry. Its strong financial performance and potential for growth make it a promising stock for the next month.</t>
  </si>
  <si>
    <t>DLTR,85.0,"</t>
  </si>
  <si>
    <t>Dollar Tree, a leading discount retailer in the Consumer Staples Merchandise Retail industry, has been performing well in the recent months. The company's latest financial data shows a market cap of $27.46B and an enterprise value of $37.70B. Its trailing P/E ratio of 23.92 and forward P/E ratio of 18.35 indicate that the stock is currently trading at a reasonable valuation. However, its PEG ratio of 2.19 suggests that the stock may be slightly overvalued compared to its expected earnings growth.</t>
  </si>
  <si>
    <t>In terms of valuation metrics, Dollar Tree's price/sales ratio of 0.94 and price/book ratio of 3.05 are in line with industry averages. Its enterprise value/revenue ratio of 1.27 and enterprise value/EBITDA ratio of 15.46 also indicate that the company is not overleveraged and has a healthy balance sheet.</t>
  </si>
  <si>
    <t>Overall, Dollar Tree appears to be a solid investment option in the Consumer Staples Merchandise Retail industry. Its strong financials and stable performance make it a relatively low-risk investment. However, investors should keep an eye on any potential changes in consumer spending habits and the impact of inflation on the company's margins.</t>
  </si>
  <si>
    <t>DIS,85.0,"</t>
  </si>
  <si>
    <t>Disney, a leading company in the Movies &amp; Entertainment industry, has been facing challenges due to the COVID-19 pandemic. However, recent news and financial data suggest that the company is well-positioned for potential growth in the next month.</t>
  </si>
  <si>
    <t>Disney's latest market cap stands at 167.47B, with an enterprise value of 199.72B. The trailing P/E ratio of 70.93 may seem high, but the forward P/E ratio of 19.46 indicates that the company's earnings are expected to improve in the future. Additionally, the PEG ratio of 0.44 suggests that the stock may be undervalued.</t>
  </si>
  <si>
    <t>The price/sales ratio of 1.88 and price/book ratio of 1.69 are both below the industry average, indicating that the stock may be trading at a discount. Furthermore, the enterprise value/revenue ratio of 2.25 and enterprise value/EBITDA ratio of 16.49 are also lower than the industry average, suggesting that the company may be undervalued compared to its peers.</t>
  </si>
  <si>
    <t>In terms of recent news, Disney's streaming service, Disney+, has been gaining popularity and has surpassed 100 million subscribers. This is a positive sign for the company's future growth potential. Additionally, the reopening of theme parks and the release of highly anticipated movies can also drive revenue for the company.</t>
  </si>
  <si>
    <t>Based on the current financial data and recent news, Disney appears to be a promising investment in the Movies &amp; Entertainment industry for the next month. However, as with any investment, it is important to conduct thorough research and consider the potential risks before making any decisions.</t>
  </si>
  <si>
    <t>DFS,85.0,"   Recent News:</t>
  </si>
  <si>
    <t>Investment Report: Discover Financial</t>
  </si>
  <si>
    <t>Discover Financial is a leading company in the consumer finance industry with a recent market cap of 25.18B. The firm has a strong financial position, with a trailing P/E of 7.46 and a forward P/E of 8.51. However, its PEG ratio of 14.18 suggests that its stock may be overvalued compared to its expected growth rate.</t>
  </si>
  <si>
    <t>In terms of valuation, Discover Financial has a price/sales ratio of 1.70 and a price/book ratio of 1.91, which are both relatively low compared to its industry peers. This indicates that the stock may be undervalued and could present a good investment opportunity.</t>
  </si>
  <si>
    <t>Recent news for Discover Financial has been positive, with the company reporting strong earnings and revenue growth in its latest quarterly report. Additionally, the company has been expanding its digital capabilities and investing in new technologies to improve its customer experience.</t>
  </si>
  <si>
    <t>Overall, Discover Financial appears to be in a strong financial position and has been performing well in the current market conditions. However, investors should closely monitor any potential changes in interest rates and consumer spending, as these factors can impact the company's profitability.</t>
  </si>
  <si>
    <t>DLR,85.0,"</t>
  </si>
  <si>
    <t>Digital Realty is a leading company in the Data Center REITs industry with a recent market cap of 41.03B and an enterprise value of 58.97B. The firm has a trailing P/E ratio of 46.88 and a forward P/E ratio of 100.00, indicating a potential overvaluation. However, its PEG ratio of 3.15 suggests a reasonable growth potential. The price/sales ratio of 7.80 and price/book ratio of 2.35 are also within a reasonable range. The enterprise value/revenue ratio of 11.04 and enterprise value/EBITDA ratio of 19.45 indicate a relatively high valuation compared to its peers in the industry.</t>
  </si>
  <si>
    <t>The recent news and developments in the Data Center REITs industry, such as the increasing demand for data storage and the rise of cloud computing, present a positive outlook for Digital Realty. The company's strong financial position and strategic acquisitions have positioned it well for future growth. However, the potential impact of rising interest rates and competition in the industry should also be considered.</t>
  </si>
  <si>
    <t>Based on the current financial data and industry trends, Digital Realty appears to be a solid investment option for the next month. However, investors should closely monitor any changes in the market and the company's performance.</t>
  </si>
  <si>
    <t>FANG,85.0,"</t>
  </si>
  <si>
    <t>Diamondback Energy is a leading company in the Oil &amp; Gas Exploration &amp; Production industry with a recent market cap of 26.22B and an enterprise value of 31.62B. The company has a trailing P/E ratio of 8.31 and a forward P/E ratio of 6.87, indicating that the stock may be undervalued. Additionally, Diamondback Energy has a price/sales ratio of 3.24 and a price/book ratio of 1.61, which are both below the industry average. This suggests that the stock may be a good value investment.</t>
  </si>
  <si>
    <t>Furthermore, Diamondback Energy has a strong financial position with an enterprise value/revenue ratio of 3.89 and an enterprise value/EBITDA ratio of 5.21. This indicates that the company is generating solid revenue and has a healthy level of debt.</t>
  </si>
  <si>
    <t>Overall, Diamondback Energy appears to be in a strong financial position and may be a good investment opportunity in the Oil &amp; Gas Exploration &amp; Production industry. However, investors should closely monitor the company's performance and industry trends before making any investment decisions.</t>
  </si>
  <si>
    <t>EBAY,85.0,"</t>
  </si>
  <si>
    <t>eBay, a leading company in the Broadline Retail industry, has a recent market cap of 21.53B and an enterprise value of 21.03B. The company's latest trailing P/E ratio is 8.33 and forward P/E ratio is 9.35, indicating a relatively low valuation compared to its peers in the industry. eBay's price/sales ratio of 2.22 and price/book ratio of 3.65 also suggest that the stock may be undervalued. Additionally, the company's enterprise value/revenue ratio of 2.09 and enterprise value/EBITDA ratio of 5.14 are lower than the industry average, indicating a potentially attractive investment opportunity.</t>
  </si>
  <si>
    <t>eBay has a strong presence in the e-commerce market, with a wide range of products and a loyal customer base. The company has also been investing in technology and innovation to improve its platform and enhance the customer experience. However, there are some concerns about the company's growth potential and competition from other e-commerce giants.</t>
  </si>
  <si>
    <t>Overall, eBay's financial data and market position suggest a potential investment opportunity in the Broadline Retail industry. However, investors should carefully consider the company's growth prospects and competitive landscape before making any investment decisions.</t>
  </si>
  <si>
    <t>DHI,85.0,"</t>
  </si>
  <si>
    <t>D.R. Horton is a leading homebuilding company in the United States with a recent market cap of $44.52B and an enterprise value of $45.79B. The company has a trailing P/E ratio of 9.67 and a forward P/E ratio of 10.20, indicating that the stock is currently undervalued. The PEG ratio of 0.58 also suggests that the stock may be a good investment opportunity, as it is trading at a discount compared to its expected growth rate.</t>
  </si>
  <si>
    <t>In terms of valuation, D.R. Horton has a price/sales ratio of 1.29 and a price/book ratio of 1.96, which are both below the industry average. This indicates that the stock may be undervalued compared to its peers. Additionally, the company has a strong financial position with an enterprise value/revenue ratio of 1.29 and an enterprise value/EBITDA ratio of 7.39, which are both lower than the industry average.</t>
  </si>
  <si>
    <t>The recent news of falling interest rates and increased mortgage refinance demand may have a positive impact on the housing market, which could benefit D.R. Horton as a leading homebuilder. However, there are also concerns about potential regulatory changes and weaker job growth, which could impact the company's performance.</t>
  </si>
  <si>
    <t>Overall, based on the recent financial data and news, D.R. Horton appears to be a strong investment opportunity in the homebuilding industry. The company's undervalued stock and strong financial position make it a potential candidate for investors looking for long-term growth. However, it is important to closely monitor economic data and industry trends to make informed investment decisions.</t>
  </si>
  <si>
    <t>CVS,85.0,"</t>
  </si>
  <si>
    <t>CVS Health is a leading company in the Health Care Services industry with a recent market cap of $94.59B and an enterprise value of $158.49B. The company has a trailing P/E ratio of 11.26 and a forward P/E ratio of 8.64, indicating that the stock may be undervalued. The PEG ratio of 0.33 also suggests that the stock may have growth potential. Additionally, the price/sales ratio of 0.27 and price/book ratio of 1.27 are both below the industry average, making the stock potentially attractive to value investors.</t>
  </si>
  <si>
    <t>CVS Health has a strong financial position with a low enterprise value/revenue ratio of 0.46 and an enterprise value/EBITDA ratio of 8.70. This indicates that the company is generating significant revenue and earnings compared to its overall value. Furthermore, the company has a solid track record of profitability and has consistently delivered strong financial results.</t>
  </si>
  <si>
    <t>In terms of recent news, CVS Health has been expanding its services and offerings, including the launch of its HealthHUB concept stores and the acquisition of Aetna. These initiatives have the potential to drive growth and increase market share for the company.</t>
  </si>
  <si>
    <t>Overall, CVS Health appears to be a solid investment opportunity in the Health Care Services industry. With its strong financials, potential for growth, and recent strategic moves, the company may be well-positioned for success in the coming months.</t>
  </si>
  <si>
    <t>CMI,85.0,"</t>
  </si>
  <si>
    <t>Cummins, a leading company in the Industrial Machinery &amp; Supplies &amp; Components industry, has shown strong financial performance in recent years. With a market cap of 32.69B and an enterprise value of 37.82B, the company has a solid financial foundation. Its trailing P/E ratio of 11.75 and forward P/E ratio of 12.14 indicate that the stock is currently undervalued, making it an attractive investment opportunity.</t>
  </si>
  <si>
    <t>Furthermore, Cummins has a low PEG ratio of 1.63, which suggests that the stock is undervalued relative to its expected growth. This is further supported by its low price/sales ratio of 0.99 and price/book ratio of 3.07, indicating that the stock is trading at a discount compared to its peers in the industry.</t>
  </si>
  <si>
    <t>In terms of profitability, Cummins has an enterprise value/revenue ratio of 1.14 and an enterprise value/EBITDA ratio of 7.56, which are both lower than the industry average. This suggests that the company is generating strong revenues and profits, making it a stable and reliable investment option.</t>
  </si>
  <si>
    <t>Overall, Cummins has a strong financial position and is undervalued in the market, making it a potentially lucrative investment for the next month. However, investors should continue to monitor the company's financial performance and industry trends to make informed investment decisions.</t>
  </si>
  <si>
    <t>DHR,85.0,"</t>
  </si>
  <si>
    <t>Danaher Corporation, a leading company in the Health Care Equipment industry, has shown strong financial performance in recent years. With a market cap of 163.13B and an enterprise value of 172.91B, the company has a solid financial foundation. Its trailing P/E ratio of 27.84 and forward P/E ratio of 27.25 indicate that the stock is trading at a reasonable valuation.</t>
  </si>
  <si>
    <t>One potential concern for investors is the company's PEG ratio of 10.09, which is higher than the industry average. This may suggest that the stock is overvalued compared to its expected growth rate. However, Danaher Corporation has a strong track record of consistent earnings growth, which may justify its higher PEG ratio.</t>
  </si>
  <si>
    <t>In terms of valuation metrics, the company's price/sales ratio of 5.53 and price/book ratio of 3.11 are in line with industry averages. Its enterprise value/revenue ratio of 5.85 and enterprise value/EBITDA ratio of 18.61 also indicate that the stock is trading at a reasonable valuation.</t>
  </si>
  <si>
    <t>Overall, Danaher Corporation appears to be a solid investment option in the Health Care Equipment industry. Its strong financial performance and reasonable valuation metrics make it a potential candidate for investors. However, it is important to closely monitor any potential changes in the industry and the company's financials.</t>
  </si>
  <si>
    <t>SJM,80.0,"</t>
  </si>
  <si>
    <t>The J.M. Smucker Company (The) is a leading player in the Packaged Foods &amp; Meats industry with a recent market cap of 12.49B and an enterprise value of 16.20B. The company has a forward P/E ratio of 12.20 and a PEG ratio of 1.36, indicating a relatively undervalued stock. The price/sales ratio of 1.50 and price/book ratio of 1.76 also suggest that the stock may be trading at a discount. However, the enterprise value/revenue ratio of 1.98 and enterprise value/EBITDA ratio of 26.34 may indicate that the stock is slightly overvalued compared to its peers in the industry.</t>
  </si>
  <si>
    <t>The latest financial data for the company shows a stable financial position, with a strong market cap and enterprise value. The company's P/E and PEG ratios suggest that it may be a good value investment, while the price/sales and price/book ratios indicate potential for growth. However, investors should also consider the relatively high enterprise value/revenue and enterprise value/EBITDA ratios when making investment decisions.</t>
  </si>
  <si>
    <t>Overall, the J.M. Smucker Company (The) appears to be in a stable financial position with potential for growth. However, investors should carefully consider the company's valuation metrics and industry trends before making any investment decisions.</t>
  </si>
  <si>
    <t>Score: 80"</t>
  </si>
  <si>
    <t>CINF,80.0,"Investment Report:</t>
  </si>
  <si>
    <t>Cincinnati Financial is a leading company in the Property &amp; Casualty Insurance industry with a recent market cap of 15.93B and an enterprise value of 15.90B. The company has a strong financial position with a trailing P/E ratio of 9.64 and a forward P/E ratio of 16.58, indicating potential growth in the future. Its price/sales ratio of 1.64 and price/book ratio of 1.50 are also in line with industry averages, suggesting a fair valuation.</t>
  </si>
  <si>
    <t>In the latest quarter, Cincinnati Financial reported a 6% increase in net income and a 4% increase in revenue, driven by strong performance in its commercial lines and personal lines segments. The company also has a solid balance sheet with a low debt-to-equity ratio of 0.14.</t>
  </si>
  <si>
    <t>However, the company faces some challenges in the current market environment, including rising interest rates and potential regulatory changes. These factors could impact the company's profitability and growth potential in the short term.</t>
  </si>
  <si>
    <t>Overall, Cincinnati Financial is a well-established company with a strong financial position and potential for growth. Its solid performance in the latest quarter and fair valuation make it a potential investment opportunity in the Property &amp; Casualty Insurance industry.</t>
  </si>
  <si>
    <t>CME,80.0,"</t>
  </si>
  <si>
    <t>CME Group, a leading financial exchange and data company, has shown strong financial performance in recent years. With a market cap of 77.14B and an enterprise value of 78.16B, the company has a solid financial foundation. Its trailing P/E ratio of 25.57 and forward P/E ratio of 23.20 indicate that the stock is trading at a reasonable valuation. However, its PEG ratio of 4.68 suggests that the stock may be slightly overvalued compared to its expected growth rate.</t>
  </si>
  <si>
    <t>In terms of profitability, CME Group has a price/sales ratio of 14.40 and a price/book ratio of 2.74, which are both in line with industry averages. Its enterprise value/revenue ratio of 14.62 and enterprise value/EBITDA ratio of 17.40 also indicate that the company is generating strong revenues and earnings.</t>
  </si>
  <si>
    <t>Overall, CME Group appears to be a financially stable and profitable company. However, investors should keep an eye on potential regulatory changes in the financial industry, as well as any shifts in market sentiment that could impact the stock's performance.</t>
  </si>
  <si>
    <t>CPRT,80.0,"</t>
  </si>
  <si>
    <t>Copart, a company in the Diversified Support Services industry, has been performing well in the recent months. With a market cap of 45.82B and an enterprise value of 43.32B, the company has a strong financial standing. Its trailing P/E ratio of 34.83 and forward P/E ratio of 32.26 indicate that the company is currently trading at a premium, but its PEG ratio of 2.96 suggests that it may still have room for growth.</t>
  </si>
  <si>
    <t>In terms of valuation, Copart has a price/sales ratio of 11.56 and a price/book ratio of 7.15, which are both higher than the industry average. However, its enterprise value/revenue ratio of 10.84 and enterprise value/EBITDA ratio of 24.98 are in line with the industry average, indicating that the company is not overvalued.</t>
  </si>
  <si>
    <t>Overall, Copart has a strong financial position and is trading at a premium, but its growth potential and industry performance should be closely monitored. Based on the recent financial data, the potential investment value for Copart in the next month is Score: 80."</t>
  </si>
  <si>
    <t>WEC,80.0,"</t>
  </si>
  <si>
    <t>WEC Energy Group is a leading electric utility company with a recent market cap of $26.78B and an enterprise value of $44.99B. The company has a trailing P/E ratio of 19.66 and a forward P/E ratio of 17.27, indicating a relatively fair valuation. However, the PEG ratio of 2.63 suggests that the stock may be slightly overvalued compared to its expected growth rate. WEC Energy Group also has a price/sales ratio of 2.90 and a price/book ratio of 2.28, which are both in line with industry averages.</t>
  </si>
  <si>
    <t>In terms of financial performance, WEC Energy Group has a strong enterprise value/revenue ratio of 4.87 and an enterprise value/EBITDA ratio of 12.80, indicating a healthy balance sheet and efficient use of capital. The company has a stable dividend yield of 3.3%, making it an attractive option for income investors.</t>
  </si>
  <si>
    <t>Overall, WEC Energy Group appears to be a solid investment option in the electric utilities industry. The company has a strong financial position and a stable dividend yield, making it a relatively low-risk investment. However, investors should closely monitor any potential regulatory changes that may impact the industry.</t>
  </si>
  <si>
    <t>WFC,80.0,"   Enterprise Value/Revenue    2.05</t>
  </si>
  <si>
    <t>Wells Fargo, one of the largest diversified banks in the United States, has faced significant challenges in recent years, including a series of scandals and regulatory fines. However, the latest financial data shows that the company has been able to maintain a strong market position, with a market cap of $161.61B. Its trailing P/E ratio of 9.72 and forward P/E ratio of 8.86 suggest that the stock is currently undervalued. Additionally, its PEG ratio of 0.69 indicates that the stock may be a good value for long-term investors. However, the company's price/sales and price/book ratios are slightly higher than the industry average, which may indicate that the stock is slightly overvalued. Overall, the recent financial data suggests that Wells Fargo may be a solid investment option in the diversified banks industry.</t>
  </si>
  <si>
    <t>BR,80.0,"</t>
  </si>
  <si>
    <t>Broadridge Financial Solutions is a leading provider of technology and outsourcing solutions for the financial services industry. The company has a strong financial position with a recent market cap of 22.52B and an enterprise value of 26.20B. Its trailing P/E ratio of 33.93 and forward P/E ratio of 25.13 suggest that the stock may be slightly overvalued, but its PEG ratio of 2.01 indicates potential for future growth.</t>
  </si>
  <si>
    <t>In terms of valuation metrics, Broadridge Financial Solutions has a price/sales ratio of 3.67 and a price/book ratio of 10.66, which are both higher than the industry average. However, its enterprise value/revenue ratio of 4.22 and enterprise value/EBITDA ratio of 20.04 are in line with industry standards.</t>
  </si>
  <si>
    <t>The recent news of falling interest rates and increased mortgage refinance demand may have a positive impact on Broadridge Financial Solutions, as it provides technology and outsourcing solutions for the financial industry. However, potential regulatory changes and weaker job growth may also have an impact on the company's performance.</t>
  </si>
  <si>
    <t>Overall, Broadridge Financial Solutions appears to be a solid company with a strong financial position and potential for future growth. However, investors should closely monitor economic and industry trends to make informed investment decisions.</t>
  </si>
  <si>
    <t>COF,80.0,"   Recent News:</t>
  </si>
  <si>
    <t>Capital One is a leading company in the consumer finance industry with a recent market cap of 43.33B. The firm has a trailing P/E ratio of 8.52 and a forward P/E ratio of 8.80, indicating a relatively low valuation compared to its peers. However, its PEG ratio of 6.28 suggests that the stock may be overvalued based on its expected growth rate.</t>
  </si>
  <si>
    <t>In terms of financial performance, Capital One has a price/sales ratio of 1.20 and a price/book ratio of 0.81, which are both below the industry average. This indicates that the stock may be undervalued based on its sales and book value.</t>
  </si>
  <si>
    <t>Recent news for Capital One includes the company's announcement of a new partnership with Walmart to offer a co-branded credit card, as well as its acquisition of the digital banking platform, GreenSky. These moves show the company's commitment to innovation and growth in the competitive consumer finance industry.</t>
  </si>
  <si>
    <t>Overall, Capital One appears to be in a strong financial position with a solid track record of profitability and a focus on growth. However, investors should closely monitor the company's performance and any potential regulatory changes that may impact the consumer finance industry.</t>
  </si>
  <si>
    <t>CAT,80.0,"</t>
  </si>
  <si>
    <t>Caterpillar Inc. is a leading company in the Construction Machinery &amp; Heavy Transportation Equipment industry with a recent market cap of 130.31B and an enterprise value of 160.90B. The company has a trailing P/E ratio of 14.51 and a forward P/E ratio of 12.47, indicating that the stock may be undervalued. The PEG ratio of 1.52 suggests that the stock may have growth potential in the next five years. Additionally, the price/sales ratio of 1.99 and price/book ratio of 6.36 are in line with industry averages, indicating a fair valuation.</t>
  </si>
  <si>
    <t>Caterpillar Inc. has a strong financial position with an enterprise value/revenue ratio of 2.42 and an enterprise value/EBITDA ratio of 11.05. This suggests that the company is generating healthy revenues and has a good level of profitability.</t>
  </si>
  <si>
    <t>The recent news of falling oil prices may have a positive impact on Caterpillar Inc. as it can lead to lower production costs for the company's heavy machinery and equipment. However, the weaker-than-expected private sector jobs report may have a negative impact on the company's sales, as businesses may be more cautious in their spending.</t>
  </si>
  <si>
    <t>Overall, Caterpillar Inc. appears to be in a stable financial position with potential for growth in the future. However, investors should closely monitor economic and industry trends to make informed investment decisions.</t>
  </si>
  <si>
    <t>SPGI,80.0,"</t>
  </si>
  <si>
    <t>S&amp;P Global, a leading provider of financial data and analytics, has a strong financial position with a recent market cap of 132.63B and an enterprise value of 142.99B. The company's trailing P/E ratio of 54.44 and forward P/E ratio of 29.15 suggest that the stock may be slightly overvalued. However, its PEG ratio of 2.42 indicates potential for future growth. S&amp;P Global's price/sales ratio of 10.96 and price/book ratio of 3.74 are in line with industry averages, while its enterprise value/revenue and enterprise value/EBITDA ratios of 11.64 and 28.77, respectively, suggest a strong financial position.</t>
  </si>
  <si>
    <t>The recent news in the financial industry, such as the surge in productivity and falling oil prices, may have a positive impact on S&amp;P Global's business. However, potential regulatory changes and weaker job growth could also affect the company's performance. Investors should closely monitor economic and industry trends to make informed decisions about investing in S&amp;P Global.</t>
  </si>
  <si>
    <t>MAR,80.0,"</t>
  </si>
  <si>
    <t>Marriott International is a leading company in the Hotels, Resorts &amp; Cruise Lines industry with a recent market cap of 60.14B and an enterprise value of 72.16B. The company has a trailing P/E ratio of 21.72 and a forward P/E ratio of 21.19, indicating a relatively stable valuation. The PEG ratio of 1.43 suggests that the stock may be slightly overvalued, but this is not a major concern. The price/sales ratio of 2.68 and enterprise value/revenue ratio of 3.07 are also within a reasonable range.</t>
  </si>
  <si>
    <t>In terms of profitability, Marriott International has an enterprise value/EBITDA ratio of 16.07, which is slightly higher than the industry average. This may indicate that the company is generating strong earnings, but it is important to monitor this ratio in the future to ensure it does not become too high.</t>
  </si>
  <si>
    <t>Overall, Marriott International appears to be in a stable financial position with a strong market presence. The recent news of falling oil prices may also benefit the company, as it can lead to lower operating costs for its hotels and resorts. However, the ongoing COVID-19 pandemic and potential geopolitical tensions may pose risks to the company's operations.</t>
  </si>
  <si>
    <t>MTD,80.0,"</t>
  </si>
  <si>
    <t>Mettler Toledo, a leading company in the Life Sciences Tools &amp; Services industry, has shown strong financial performance in recent years. With a market cap of 23.71B and an enterprise value of 25.74B, the company has a solid financial foundation. Its trailing P/E ratio of 27.89 and forward P/E ratio of 27.70 indicate that the company is currently trading at a fair valuation. However, its PEG ratio of 3.54 suggests that the stock may be slightly overvalued compared to its expected growth rate.</t>
  </si>
  <si>
    <t>In terms of revenue, Mettler Toledo has a price/sales ratio of 6.19 and an enterprise value/revenue ratio of 6.58, which are both in line with industry averages. Its enterprise value/EBITDA ratio of 20.44 is slightly higher than the industry average, indicating that the company may have a higher level of debt compared to its earnings.</t>
  </si>
  <si>
    <t>Overall, Mettler Toledo has a strong financial position and is well-positioned in the Life Sciences Tools &amp; Services industry. However, investors should closely monitor the company's growth potential and debt levels. Based on the recent financial data, the potential investment value for Mettler Toledo in the next month is Score: 80."</t>
  </si>
  <si>
    <t>MRNA,80.0,"</t>
  </si>
  <si>
    <t>Moderna, a biotechnology company, has been making headlines with its recent success in developing a COVID-19 vaccine. The company's latest financial data shows a market cap of 30.74B and an enterprise value of 24.62B. Its trailing P/E ratio of 7.06 and price/sales ratio of 3.44 indicate that the stock may be undervalued compared to its peers in the biotechnology industry. Additionally, its price/book ratio of 2.28 and enterprise value/revenue ratio of 2.71 suggest that the stock may have room for growth.</t>
  </si>
  <si>
    <t>Moderna's success in developing a COVID-19 vaccine has also led to a surge in investor interest, with the stock price increasing by over 200% in the past year. The company's partnership with the US government to supply millions of doses of its vaccine has also boosted its revenue and potential for future growth.</t>
  </si>
  <si>
    <t>However, there are also risks to consider. Moderna's enterprise value/EBITDA ratio of -13.56 indicates that the company is currently not generating positive earnings, which may be a concern for some investors. Additionally, the biotechnology industry is highly competitive and subject to regulatory approvals, which can impact the company's future success.</t>
  </si>
  <si>
    <t>Overall, Moderna's recent financial data and developments in the biotechnology industry suggest potential for growth. However, investors should carefully consider the risks and monitor the company's progress in developing and distributing its COVID-19 vaccine.</t>
  </si>
  <si>
    <t>TAP,80.0,"</t>
  </si>
  <si>
    <t>Molson Coors Beverage Company is a leading player in the Brewers industry with a recent market cap of 13.36B and an enterprise value of 18.74B. The company has a trailing P/E ratio of 52.91 and a forward P/E ratio of 11.45, indicating a potential undervaluation of the stock. However, the PEG ratio of 3.09 suggests that the stock may be overvalued in the long term. The price/sales ratio of 1.16 and price/book ratio of 1.01 are both below the industry average, indicating a potential buying opportunity for investors.</t>
  </si>
  <si>
    <t>The recent financial data also shows that Molson Coors has a strong balance sheet, with a low enterprise value/revenue ratio of 1.62 and an enterprise value/EBITDA ratio of 13.22. This suggests that the company is generating healthy revenues and has a manageable level of debt.</t>
  </si>
  <si>
    <t>In terms of industry trends, the Brewers industry has been facing challenges due to the COVID-19 pandemic and changing consumer preferences. However, Molson Coors has been adapting to these changes by expanding its portfolio to include non-alcoholic and low-alcohol beverages, as well as investing in e-commerce and direct-to-consumer channels.</t>
  </si>
  <si>
    <t>Overall, Molson Coors appears to be in a strong financial position with potential for growth in the long term. However, investors should closely monitor the company's performance and industry trends before making any investment decisions.</t>
  </si>
  <si>
    <t>MDLZ,80.0,"</t>
  </si>
  <si>
    <t>Mondelez International is a leading company in the Packaged Foods &amp; Meats industry with a recent market cap of $97.02B and an enterprise value of $115.86B. The company has a trailing P/E ratio of 21.34 and a forward P/E ratio of 20.00, indicating a relatively high valuation. However, the PEG ratio of 2.01 suggests that the stock may still have growth potential.</t>
  </si>
  <si>
    <t>In terms of valuation metrics, Mondelez has a price/sales ratio of 2.76 and a price/book ratio of 3.40, both of which are in line with industry averages. The company's enterprise value/revenue ratio of 3.27 and enterprise value/EBITDA ratio of 15.99 also indicate a reasonable valuation.</t>
  </si>
  <si>
    <t>Recent news in the Packaged Foods &amp; Meats industry, such as rising commodity prices and supply chain disruptions, may have a short-term impact on Mondelez's financial performance. However, the company has a strong portfolio of popular brands and a global presence, which can help mitigate these challenges.</t>
  </si>
  <si>
    <t>Overall, Mondelez International appears to be a solid investment option in the Packaged Foods &amp; Meats industry. Its strong financials and market position make it a stable choice for investors. However, it is important to closely monitor industry trends and company performance in the coming months.</t>
  </si>
  <si>
    <t>DPZ,80.0,"</t>
  </si>
  <si>
    <t>Domino's is a leading player in the restaurant industry with a recent market cap of 13.69B and an enterprise value of 18.82B. The company has a trailing P/E ratio of 26.87 and a forward P/E ratio of 24.81, indicating a relatively high valuation. However, its PEG ratio of 2.27 suggests that the stock may be slightly overvalued compared to its expected earnings growth. Additionally, its price/sales ratio of 3.12 and enterprise value/revenue ratio of 4.21 are in line with industry averages.</t>
  </si>
  <si>
    <t>In terms of profitability, Domino's has a strong enterprise value/EBITDA ratio of 20.61, indicating efficient use of its capital. The company has also been consistently increasing its revenue and earnings over the past few years, with a 5-year expected earnings growth rate of 2.27%.</t>
  </si>
  <si>
    <t>Recent news in the restaurant industry, such as the rise of delivery and takeout services, may benefit Domino's as it is well-positioned in this market. However, the ongoing COVID-19 pandemic may also pose challenges for the company, as it relies heavily on in-person dining.</t>
  </si>
  <si>
    <t>Overall, Domino's appears to be a solid player in the restaurant industry with strong financials and potential for growth. However, investors should closely monitor the impact of the pandemic on the company's operations and consumer behavior.</t>
  </si>
  <si>
    <t>DTE,80.0,"</t>
  </si>
  <si>
    <t>DTE Energy is a leading multi-utility company with a recent market cap of $22.14B and an enterprise value of $42.58B. The company has a trailing P/E ratio of 17.74 and a forward P/E ratio of 16.03, indicating a relatively fair valuation. However, the PEG ratio of 1.95 suggests that the stock may be slightly overvalued compared to its expected growth rate. DTE Energy also has a price/sales ratio of 1.59 and a price/book ratio of 2.04, which are both in line with industry averages.</t>
  </si>
  <si>
    <t>In terms of profitability, DTE Energy has a strong enterprise value/revenue ratio of 3.08 and an enterprise value/EBITDA ratio of 11.48. This indicates that the company is generating solid returns on its investments and is efficiently managing its operations.</t>
  </si>
  <si>
    <t>Overall, DTE Energy appears to be a stable and well-managed company in the multi-utilities industry. While its valuation may be slightly high, the company's strong profitability and efficient operations make it a potential investment opportunity.</t>
  </si>
  <si>
    <t>EMN,80.0,"</t>
  </si>
  <si>
    <t>Eastman Chemical Company is a leading player in the Diversified Chemicals industry with a recent market cap of 9.91B and an enterprise value of 14.69B. The company has a trailing P/E ratio of 16.79 and a forward P/E ratio of 10.46, indicating a potential undervaluation of the stock. The PEG ratio of 1.44 suggests that the stock may be slightly overvalued based on its expected growth rate. However, the price/sales ratio of 1.07 and price/book ratio of 1.85 are both below the industry average, indicating a potential value opportunity for investors.</t>
  </si>
  <si>
    <t>Eastman Chemical Company has a strong financial position with a low debt-to-equity ratio and a solid cash flow. The company has also been consistently increasing its dividend payout, making it an attractive option for income-seeking investors. Additionally, the recent acquisition of Taminco Corporation has expanded Eastman's product portfolio and global reach, positioning the company for future growth.</t>
  </si>
  <si>
    <t>However, the company may face challenges in the near future due to the ongoing trade tensions and potential impact on global supply chains. The Diversified Chemicals industry is also highly competitive, and any disruptions in the market could affect Eastman's profitability.</t>
  </si>
  <si>
    <t>Overall, Eastman Chemical Company has a strong financial position and growth potential, but investors should closely monitor any developments in the industry and global economy. Based on the latest financial data and market trends, the potential investment value for Eastman Chemical Company in the next month is Score: 80."</t>
  </si>
  <si>
    <t>LLY,80.0,"</t>
  </si>
  <si>
    <t>Eli Lilly and Company is a leading pharmaceutical company with a recent market cap of 559.38B and an enterprise value of 577.05B. The company has a trailing P/E ratio of 106.75 and a forward P/E ratio of 48.08, indicating a high valuation. However, its PEG ratio of 1.45 suggests that the stock may be undervalued compared to its expected growth rate. The price/sales ratio of 16.60 and price/book ratio of 49.85 also indicate a premium valuation.</t>
  </si>
  <si>
    <t>In terms of financial performance, Eli Lilly and Company has a strong enterprise value/revenue ratio of 17.99 and an enterprise value/EBITDA ratio of 71.34, indicating a healthy balance sheet and profitability.</t>
  </si>
  <si>
    <t>Recent news in the pharmaceutical industry, such as the FDA approval of new drugs and potential mergers and acquisitions, may have a positive impact on Eli Lilly and Company's stock performance. However, investors should also consider potential risks, such as patent expirations and regulatory changes.</t>
  </si>
  <si>
    <t>Overall, Eli Lilly and Company appears to be a solid investment option in the pharmaceutical industry, with a strong financial position and potential for growth. However, investors should carefully monitor market trends and company developments before making any investment decisions.</t>
  </si>
  <si>
    <t>REG,80.0,"</t>
  </si>
  <si>
    <t>Regency Centers (REG) is a real estate investment trust (REIT) that specializes in owning, operating, and developing grocery-anchored shopping centers in the United States. The company has a strong track record of delivering consistent returns to investors and has a market cap of $11.77B and an enterprise value of $16.23B.</t>
  </si>
  <si>
    <t>In the latest quarter, Regency Centers reported a trailing P/E ratio of 30.08 and a forward P/E ratio of 29.94, indicating that the stock may be slightly overvalued. However, the company's PEG ratio of 6.30 suggests that it may be undervalued relative to its expected earnings growth. Additionally, Regency Centers has a price/sales ratio of 8.65 and a price/book ratio of 1.72, which are both below the industry averages, indicating potential value for investors.</t>
  </si>
  <si>
    <t>The retail REIT industry has faced challenges in recent years due to the rise of e-commerce and changing consumer preferences. However, with the economy recovering from the pandemic and consumer spending on the rise, the industry is expected to see a rebound in the coming months. As a grocery-anchored shopping center REIT, Regency Centers is well-positioned to benefit from this recovery.</t>
  </si>
  <si>
    <t>LYV,80.0,"</t>
  </si>
  <si>
    <t>Live Nation Entertainment (NYSE: LYV) is a leading live entertainment company that produces concerts, festivals, and other live events. The company has a strong presence in the global entertainment market and has shown consistent growth in recent years.</t>
  </si>
  <si>
    <t>Live Nation's latest market cap is $19.01B, with an enterprise value of $21.48B. The company's trailing P/E ratio is 55.03, which is higher than the industry average, but its forward P/E ratio of 41.84 suggests potential growth in the future. The PEG ratio of 0.78 also indicates that the stock may be undervalued.</t>
  </si>
  <si>
    <t>In terms of valuation, Live Nation's price/sales ratio of 0.89 and price/book ratio of 85.73 are both higher than the industry average, indicating that the stock may be overvalued. However, the company's enterprise value/revenue ratio of 1.01 and enterprise value/EBITDA ratio of 12.46 are in line with the industry average.</t>
  </si>
  <si>
    <t>Overall, Live Nation's financial data suggests that the company is well-positioned in the entertainment industry and has potential for growth in the future.</t>
  </si>
  <si>
    <t>MRO,80.0,"</t>
  </si>
  <si>
    <t>Marathon Oil is a leading company in the Oil &amp; Gas Exploration &amp; Production industry with a recent market cap of 13.78B and an enterprise value of 19.33B. The firm has a trailing P/E ratio of 8.56 and a forward P/E ratio of 5.71, indicating that the stock may be undervalued. The PEG ratio of 0.95 also suggests that the stock may have growth potential. However, the price/sales ratio of 2.28 and price/book ratio of 1.23 are slightly higher than the industry average, which may indicate that the stock is currently overvalued.</t>
  </si>
  <si>
    <t>In terms of financial performance, Marathon Oil has a strong enterprise value/revenue ratio of 3.01 and an enterprise value/EBITDA ratio of 4.03, indicating that the company is generating solid revenue and earnings. However, investors should note that the company's revenue and earnings may be impacted by the recent decline in oil prices.</t>
  </si>
  <si>
    <t>Overall, Marathon Oil appears to be a solid investment option in the Oil &amp; Gas Exploration &amp; Production industry. The company has a strong financial position and potential for growth, but investors should closely monitor the impact of oil prices on the company's performance.</t>
  </si>
  <si>
    <t>NDAQ,80.0,"</t>
  </si>
  <si>
    <t>Nasdaq, Inc. is a leading financial exchange and data company with a strong market position and a solid financial track record. The latest financial data shows a market cap of $32.22B and an enterprise value of $36.73B. The trailing P/E ratio of 25.04 and forward P/E ratio of 19.42 suggest that the stock is currently trading at a reasonable valuation. However, the PEG ratio of 2.79 indicates that the stock may be slightly overvalued compared to its expected growth rate.</t>
  </si>
  <si>
    <t>In terms of profitability, Nasdaq, Inc. has a price/sales ratio of 4.61 and a price/book ratio of 4.98, which are both in line with industry averages. The company also has a strong enterprise value/revenue ratio of 6.12 and a solid enterprise value/EBITDA ratio of 19.30, indicating a healthy financial position.</t>
  </si>
  <si>
    <t>Overall, Nasdaq, Inc. appears to be a stable and well-performing company in the financial exchanges and data industry. However, investors should closely monitor any potential regulatory changes and market trends that may impact the company's performance.</t>
  </si>
  <si>
    <t>ES,80.0,"</t>
  </si>
  <si>
    <t>Eversource, a multi-utility company, has a recent market cap of 21.17B and an enterprise value of 47.19B. The company's trailing P/E ratio is 18.14 and its forward P/E ratio is 13.04, indicating a potential undervaluation. However, the PEG ratio of 2.05 suggests that the stock may be slightly overvalued based on its expected growth. Eversource's price/sales ratio of 1.73 and price/book ratio of 1.35 are both below the industry average, indicating a potential value opportunity. The company's enterprise value/revenue ratio of 3.85 and enterprise value/EBITDA ratio of 14.85 are also below the industry average, suggesting a potential undervaluation. Overall, Eversource appears to be a financially stable company with potential for growth. However, investors should closely monitor the company's performance and industry trends before making any investment decisions.</t>
  </si>
  <si>
    <t>DVA,80.0,"</t>
  </si>
  <si>
    <t>DaVita Inc. is a leading provider of kidney care services, operating over 2,900 outpatient dialysis centers in the United States. The company has a strong financial position with a recent market cap of $9.51B and an enterprise value of $20.18B. DaVita Inc. has a trailing P/E ratio of 16.17 and a forward P/E ratio of 11.81, indicating that the stock may be undervalued. The PEG ratio of 0.42 also suggests that the stock may have growth potential. However, the price/sales ratio of 0.81 and price/book ratio of 7.93 may indicate that the stock is currently overvalued. The enterprise value/revenue ratio of 1.69 and enterprise value/EBITDA ratio of 9.25 are also higher than the industry average, which may be a cause for concern.</t>
  </si>
  <si>
    <t>Recent news in the health care industry, such as the ongoing COVID-19 pandemic and potential regulatory changes, may impact DaVita Inc.'s performance in the coming months. However, the company's strong financial position and leading market position in the kidney care industry may help mitigate these risks.</t>
  </si>
  <si>
    <t>Overall, DaVita Inc. appears to be a solid investment option in the health care facilities industry. However, investors should closely monitor the company's financial performance and industry developments before making any investment decisions.</t>
  </si>
  <si>
    <t>NFLX,80.0,"</t>
  </si>
  <si>
    <t>Netflix, a leading company in the Movies &amp; Entertainment industry, has been performing well in recent months. The latest financial data shows a market cap of 195.52B and an enterprise value of 201.96B. The trailing P/E ratio is 44.58, which is higher than the industry average, indicating a premium valuation. However, the forward P/E ratio of 28.17 suggests that the company's future earnings are expected to grow, making it a potentially attractive investment.</t>
  </si>
  <si>
    <t>The PEG ratio of 1.79 also indicates that the stock may be undervalued, as it is lower than the industry average of 2. The price/sales and price/book ratios of 6.16 and 8.84, respectively, are also higher than the industry average, suggesting that the stock may be overvalued. However, the enterprise value/revenue and enterprise value/EBITDA ratios of 6.17 and 9.83, respectively, are in line with the industry average, indicating a fair valuation.</t>
  </si>
  <si>
    <t>Overall, Netflix's financial data suggests that the company is well-positioned for future growth, with a strong market presence and potential for increased earnings. However, investors should carefully consider the premium valuation and potential risks, such as competition and changing consumer preferences, before making any investment decisions.</t>
  </si>
  <si>
    <t>EFX,80.0,"</t>
  </si>
  <si>
    <t>Equifax is a leading company in the Research &amp; Consulting Services industry with a recent market cap of 27.67B and an enterprise value of 33.26B. The company has a trailing P/E ratio of 53.21 and a forward P/E ratio of 26.74, indicating a potential undervaluation of the stock. The PEG ratio of 1.80 suggests that the stock may be slightly overvalued based on its expected growth rate. However, the price/sales ratio of 5.40 and price/book ratio of 6.44 are in line with industry averages, indicating a fair valuation.</t>
  </si>
  <si>
    <t>In terms of financial performance, Equifax has a strong enterprise value/revenue ratio of 6.47 and a relatively high enterprise value/EBITDA ratio of 21.92. This suggests that the company may be slightly overvalued based on its revenue and earnings. However, the company has a solid track record of profitability and has consistently delivered strong financial results.</t>
  </si>
  <si>
    <t>Overall, Equifax appears to be a solid investment opportunity in the Research &amp; Consulting Services industry. The company has a strong market position and a history of profitability, which makes it a relatively low-risk investment option. However, investors should closely monitor any potential regulatory changes that may impact the company's operations.</t>
  </si>
  <si>
    <t>PAYX,80.0,"</t>
  </si>
  <si>
    <t>Paychex, a leading provider of human resource and employment services, has shown strong financial performance in recent years. With a market cap of $44.94B and an enterprise value of $44.12B, the company has a solid financial foundation. Its trailing P/E ratio of 28.21 and forward P/E ratio of 26.45 indicate that the stock is trading at a reasonable valuation. However, its PEG ratio of 3.27 suggests that the stock may be slightly overvalued compared to its expected earnings growth.</t>
  </si>
  <si>
    <t>In terms of profitability, Paychex has a price/sales ratio of 8.86 and a price/book ratio of 12.53, which are both higher than the industry average. This indicates that the stock may be trading at a premium compared to its peers. However, its enterprise value/revenue ratio of 8.67 and enterprise value/EBITDA ratio of 19.05 are in line with the industry average, suggesting that the company is efficiently utilizing its resources.</t>
  </si>
  <si>
    <t>Overall, Paychex has a strong financial position and is performing well in its industry. However, investors should closely monitor the company's earnings growth and valuation metrics to make informed investment decisions.</t>
  </si>
  <si>
    <t>PG,80.0,"</t>
  </si>
  <si>
    <t>Procter &amp; Gamble (P&amp;G) is a leading consumer goods company in the Personal Care Products industry. P&amp;G has a strong financial position with a recent market cap of 345.64B and an enterprise value of 372.60B. The company's trailing P/E ratio of 23.81 and forward P/E ratio of 23.04 suggest that the stock is currently trading at a reasonable valuation. However, the PEG ratio of 3.39 indicates that the stock may be slightly overvalued compared to its expected earnings growth.</t>
  </si>
  <si>
    <t>P&amp;G's latest price/sales ratio of 4.36 and price/book ratio of 7.37 are in line with industry averages, indicating that the stock is not significantly undervalued or overvalued. The company's enterprise value/revenue ratio of 4.47 and enterprise value/EBITDA ratio of 16.36 also suggest that the stock is trading at a fair valuation.</t>
  </si>
  <si>
    <t>Overall, P&amp;G's financial data indicates a stable and well-managed company with a strong market position. However, investors should closely monitor the company's future earnings growth and potential regulatory changes in the consumer goods industry.</t>
  </si>
  <si>
    <t>BIO,80.0,"</t>
  </si>
  <si>
    <t>Bio-Rad is a leading company in the Life Sciences Tools &amp; Services industry with a recent market cap of 9.05B and an enterprise value of 8.70B. The company's latest financial data shows a forward P/E ratio of 23.42 and a PEG ratio of 1.07, indicating a relatively fair valuation. However, the price/sales ratio of 3.36 and price/book ratio of 1.08 suggest that the stock may be slightly overvalued.</t>
  </si>
  <si>
    <t>Bio-Rad's enterprise value/revenue ratio of 3.20 and enterprise value/EBITDA ratio of 1.51k are in line with industry averages, indicating a stable financial position. The company has a strong track record of profitability and has consistently delivered positive earnings growth.</t>
  </si>
  <si>
    <t>In terms of recent news, Bio-Rad has been making strategic acquisitions to expand its product portfolio and strengthen its market position. The company also announced a partnership with the National Institutes of Health to develop new diagnostic tests for COVID-19.</t>
  </si>
  <si>
    <t>Overall, Bio-Rad appears to be a solid investment option in the Life Sciences Tools &amp; Services industry. However, investors should closely monitor any potential changes in the industry and the company's financial performance.</t>
  </si>
  <si>
    <t>FOX,80.0,"</t>
  </si>
  <si>
    <t>Fox Corporation (Class B) is a leading company in the Movies &amp; Entertainment industry with a recent market cap of 13.65B and an enterprise value of 18.01B. The company has a trailing P/E ratio of 13.31 and a forward P/E ratio of 8.24, indicating that the stock may be undervalued. However, the PEG ratio of 15.26 suggests that the stock may be overvalued in relation to its expected growth. The price/sales ratio of 0.94 and price/book ratio of 1.27 also indicate that the stock may be undervalued. Additionally, the enterprise value/revenue ratio of 1.21 and enterprise value/EBITDA ratio of 8.14 suggest that the company may be operating efficiently.</t>
  </si>
  <si>
    <t>Recent news in the Movies &amp; Entertainment industry, such as the increase in demand for streaming services and the reopening of movie theaters, may have a positive impact on Fox Corporation's financial performance. However, the ongoing COVID-19 pandemic and potential competition from other streaming platforms may pose risks to the company's future growth.</t>
  </si>
  <si>
    <t>Based on the current financial data and industry trends, Fox Corporation (Class B) may be a potential investment opportunity for the next month. However, investors should carefully monitor the company's performance and industry developments before making any investment decisions.</t>
  </si>
  <si>
    <t>IT,80.0,"</t>
  </si>
  <si>
    <t>Gartner, a leading IT consulting and other services company, has shown strong financial performance in recent years. With a market cap of 34.45B and an enterprise value of 36.19B, the company has a solid financial foundation. Its trailing P/E ratio of 38.01 and forward P/E ratio of 34.13 suggest that the company is currently trading at a premium, but this may be justified by its strong growth potential.</t>
  </si>
  <si>
    <t>In terms of valuation, Gartner's price/sales ratio of 6.06 and price/book ratio of 60.80 are higher than the industry average, indicating that the stock may be overvalued. However, its enterprise value/revenue ratio of 6.21 and enterprise value/EBITDA ratio of 24.57 are in line with industry standards, suggesting that the company is efficiently utilizing its resources.</t>
  </si>
  <si>
    <t>The recent news of Gartner's acquisition of Forrester's B2B research business is a positive sign for the company's growth strategy. This move will expand Gartner's market share and strengthen its position in the IT consulting and other services industry.</t>
  </si>
  <si>
    <t>Overall, Gartner's financial data and recent news suggest that the company is in a strong position for future growth. However, investors should closely monitor the stock's valuation and keep an eye on any potential regulatory changes in the tech sector.</t>
  </si>
  <si>
    <t>GIS,80.0,"</t>
  </si>
  <si>
    <t>General Mills, a leading company in the Packaged Foods &amp; Meats industry, has been performing well in the recent months. With a market cap of 38.30B and an enterprise value of 50.09B, the company has a strong financial standing. Its trailing P/E ratio of 16.07 and forward P/E ratio of 14.79 indicate that the stock is reasonably priced. However, its PEG ratio of 2.33 suggests that the stock may be slightly overvalued.</t>
  </si>
  <si>
    <t>In terms of valuation metrics, General Mills has a price/sales ratio of 1.94 and a price/book ratio of 3.73, which are both in line with industry averages. Its enterprise value/revenue ratio of 2.47 and enterprise value/EBITDA ratio of 11.49 also indicate that the company is not overleveraged.</t>
  </si>
  <si>
    <t>The recent news of falling oil prices may have a positive impact on General Mills, as it can lead to lower production costs for the company. Additionally, the increase in mortgage refinance demand due to falling interest rates may also benefit the company, as it can stimulate consumer spending.</t>
  </si>
  <si>
    <t>Overall, General Mills appears to be a stable and well-performing company in the Packaged Foods &amp; Meats industry. However, investors should closely monitor any potential changes in the industry and the company's financial performance.</t>
  </si>
  <si>
    <t>HAS,80.0,"</t>
  </si>
  <si>
    <t>Hasbro, a leading company in the Leisure Products industry, has recently reported a market cap of 6.64B and an enterprise value of 10.20B. The company's trailing P/E ratio is 35.61, while the forward P/E ratio is 11.32, indicating a potential undervaluation of the stock. The PEG ratio of 1.03 suggests that the stock may be trading at a fair value, considering its expected growth rate. Hasbro's price/sales ratio of 1.23 and price/book ratio of 3.02 are also in line with industry averages.</t>
  </si>
  <si>
    <t>In terms of financial health, Hasbro's enterprise value/revenue ratio of 1.89 and enterprise value/EBITDA ratio of 36.05 are relatively high, indicating a potential overvaluation of the stock. However, the company has a strong balance sheet with a healthy cash position and manageable debt levels.</t>
  </si>
  <si>
    <t>Recent news in the leisure products industry, such as the merger of Six Flags and Cedar Fair, may have a positive impact on Hasbro's stock. Additionally, the company's recent partnership with Disney to produce toys and games based on popular franchises like Star Wars and Marvel could drive future growth.</t>
  </si>
  <si>
    <t>Overall, Hasbro appears to be a solid investment opportunity in the leisure products industry. However, investors should closely monitor the company's financial performance and industry trends before making any investment decisions.</t>
  </si>
  <si>
    <t>PCAR,80.0,"</t>
  </si>
  <si>
    <t>Paccar, a leading company in the Construction Machinery &amp; Heavy Transportation Equipment industry, has a recent market cap of 49.55B and an enterprise value of 54.82B. The company's latest trailing P/E ratio is 12.10 and forward P/E ratio is 13.24, indicating a relatively low valuation compared to its peers in the industry. However, the PEG ratio of 5.30 suggests that the stock may be overvalued based on its expected growth rate.</t>
  </si>
  <si>
    <t>Paccar's price/sales ratio of 1.45 and price/book ratio of 3.09 are both below the industry average, indicating that the stock may be undervalued. Additionally, the company's enterprise value/revenue ratio of 1.60 and enterprise value/EBITDA ratio of 8.52 are also below the industry average, suggesting that the stock may be trading at a discount.</t>
  </si>
  <si>
    <t>Overall, Paccar's financial data suggests that the stock may be undervalued compared to its peers in the industry. However, investors should also consider the potential impact of macro-economic factors, such as interest rates and global trade tensions, on the company's performance.</t>
  </si>
  <si>
    <t>PARA,80.0,"</t>
  </si>
  <si>
    <t>Paramount Global is a leading company in the Movies &amp; Entertainment industry with a recent market cap of 10.06B and an enterprise value of 25.23B. The company's forward P/E ratio of 11.35 and PEG ratio of 0.90 suggest that the stock may be undervalued. Additionally, its price/sales ratio of 0.33 and price/book ratio of 0.45 indicate that the stock may be trading at a discount compared to its peers in the industry. However, the company's enterprise value/revenue ratio of 0.84 and enterprise value/EBITDA ratio of -208.48 raise some concerns about its financial health.</t>
  </si>
  <si>
    <t>Recent news in the Movies &amp; Entertainment industry, such as the success of streaming services and the reopening of movie theaters, may have a positive impact on Paramount Global's performance in the upcoming month. However, the ongoing COVID-19 pandemic and potential disruptions in production and distribution of films could also pose risks to the company's revenue and profitability.</t>
  </si>
  <si>
    <t>Overall, Paramount Global appears to be a promising investment opportunity in the Movies &amp; Entertainment industry, but investors should carefully consider the potential risks and monitor the company's financial performance in the coming month.</t>
  </si>
  <si>
    <t>TECH,80.0,"</t>
  </si>
  <si>
    <t>Bio-Techne is a leading company in the Life Sciences Tools &amp; Services industry with a recent market cap of 10.44B and an enterprise value of 10.84B. The company has a trailing P/E ratio of 43.43 and a forward P/E ratio of 34.60, indicating a potential for future growth. Its price/sales ratio of 9.34 and price/book ratio of 5.23 are also in line with industry averages. However, its enterprise value/revenue ratio of 9.48 and enterprise value/EBITDA ratio of 26.70 are slightly higher than the industry average, suggesting that the company may be slightly overvalued.</t>
  </si>
  <si>
    <t>Bio-Techne has a strong financial position with a solid balance sheet and consistent revenue growth. The company has also been investing in research and development, which has led to the development of innovative products and services. Additionally, Bio-Techne has a diverse portfolio of products and services, which reduces its risk exposure to any one market segment.</t>
  </si>
  <si>
    <t>The recent news in the Life Sciences Tools &amp; Services industry, such as the rise of AI and technological advancements, may present opportunities for Bio-Techne to expand its product offerings and increase its market share. However, the ongoing COVID-19 pandemic and potential regulatory changes may also pose risks to the company's operations.</t>
  </si>
  <si>
    <t>Overall, Bio-Techne appears to be a strong and stable company with potential for future growth. However, investors should closely monitor industry developments and the company's financial performance before making any investment decisions.</t>
  </si>
  <si>
    <t>TRGP,80.0,"</t>
  </si>
  <si>
    <t>Investment Report: Targa Resources in the Oil &amp; Gas Storage &amp; Transportation Industry</t>
  </si>
  <si>
    <t>Targa Resources is a leading company in the Oil &amp; Gas Storage &amp; Transportation industry with a recent market cap of $19.09B and an enterprise value of $31.91B. The company has a trailing P/E ratio of 22.48 and a forward P/E ratio of 15.15, indicating a potential undervaluation of the stock. However, the PEG ratio of 2.10 suggests that the stock may be slightly overvalued based on its expected growth rate.</t>
  </si>
  <si>
    <t>In terms of valuation metrics, Targa Resources has a price/sales ratio of 1.19 and a price/book ratio of 7.62, which are both higher than the industry average. This may indicate that the stock is currently trading at a premium compared to its peers. However, the company's enterprise value/revenue ratio of 1.95 and enterprise value/EBITDA ratio of 8.26 are in line with the industry average, suggesting that the stock may be fairly valued.</t>
  </si>
  <si>
    <t>Recent news in the oil and gas industry, such as falling oil prices and Brazil's decision to join OPEC+, may have a positive impact on Targa Resources' performance in the next month. However, the ongoing geopolitical tensions in the Middle East and potential regulatory changes in the energy sector may also pose risks to the company's operations.</t>
  </si>
  <si>
    <t>Based on the current financial data and industry trends, Targa Resources appears to be a solid investment option in the Oil &amp; Gas Storage &amp; Transportation industry. However, investors should closely monitor any developments in the industry and the company's financial performance before making any investment decisions.</t>
  </si>
  <si>
    <t>IRM,80.0,"</t>
  </si>
  <si>
    <t>Iron Mountain is a leading company in the Other Specialized REITs industry with a recent market cap of 19.27B and an enterprise value of 33.23B. The company has a trailing P/E ratio of 70.19 and a forward P/E ratio of 35.84, indicating a potential overvaluation of the stock. However, its price/sales ratio of 3.63 and price/book ratio of 73.39 suggest that the stock may be undervalued compared to its peers in the industry. Additionally, Iron Mountain has a strong enterprise value/revenue ratio of 6.22 and enterprise value/EBITDA ratio of 19.59, indicating a solid financial position.</t>
  </si>
  <si>
    <t>The recent news and events in the market, such as the increase in mortgage refinance demand and falling oil prices, may have a positive impact on Iron Mountain's business. As a company that specializes in real estate investment trusts, Iron Mountain may benefit from the current economic climate and potential growth in the housing market.</t>
  </si>
  <si>
    <t>Based on the latest financial data and market trends, Iron Mountain appears to be a promising investment opportunity in the Other Specialized REITs industry. However, investors should carefully consider the potential risks and uncertainties in the market before making any investment decisions.</t>
  </si>
  <si>
    <t>AJG,80.0,"</t>
  </si>
  <si>
    <t>Arthur J. Gallagher &amp; Co. is a leading insurance brokerage firm with a strong presence in the market. The recent financial data shows a market cap of 52.36B and an enterprise value of 58.38B. The trailing P/E ratio of 46.63 and forward P/E ratio of 23.75 indicate that the stock may be slightly overvalued. However, the price/sales ratio of 5.48 and price/book ratio of 5.00 suggest that the stock may still have room for growth.</t>
  </si>
  <si>
    <t>In terms of profitability, the company has an enterprise value/revenue ratio of 6.05 and an enterprise value/EBITDA ratio of 25.03. These ratios are in line with industry standards and indicate a healthy financial position.</t>
  </si>
  <si>
    <t>Overall, Arthur J. Gallagher &amp; Co. has a strong market presence and solid financials. However, investors should closely monitor the stock's valuation and keep an eye on any potential regulatory changes in the insurance industry.</t>
  </si>
  <si>
    <t>AVB,80.0,"</t>
  </si>
  <si>
    <t>AvalonBay Communities is a real estate investment trust (REIT) that specializes in multi-family residential properties. The company has a strong presence in major metropolitan areas across the United States, with a portfolio of over 80,000 apartment units.</t>
  </si>
  <si>
    <t>AvalonBay Communities has a market cap of $24.85B and an enterprise value of $32.44B. The company's trailing P/E ratio is 26.59, and its forward P/E ratio is 32.79. The PEG ratio, which measures the relationship between a company's P/E ratio and its expected earnings growth, is 2.66. The price/sales ratio is 9.03, and the price/book ratio is 2.11. The enterprise value/revenue ratio is 11.87, and the enterprise value/EBITDA ratio is 16.47.</t>
  </si>
  <si>
    <t>Industry Overview:</t>
  </si>
  <si>
    <t>The multi-family residential REIT industry has been performing well in recent years, driven by strong demand for rental properties and low interest rates. However, the COVID-19 pandemic has had some impact on the industry, with a temporary decline in rental rates and occupancy levels. As the economy continues to recover, the industry is expected to rebound and continue its growth trajectory.</t>
  </si>
  <si>
    <t>AvalonBay Communities has a strong track record of delivering consistent returns to investors. The company's focus on high-quality properties in prime locations, along with its strong financial position, makes it well-positioned for long-term success. However, the company's high valuation metrics, such as its P/E and PEG ratios, may be a cause for concern for some investors.</t>
  </si>
  <si>
    <t>WRB,80.0,"Investment Report:</t>
  </si>
  <si>
    <t>Berkley is a leading company in the Property &amp; Casualty Insurance industry with a recent market cap of 18.58B and an enterprise value of 19.78B. The company has a trailing P/E ratio of 14.53 and a forward P/E ratio of 12.87, indicating that the stock may be undervalued. However, the PEG ratio of 2.26 suggests that the stock may be overvalued in relation to its expected growth. The price/sales ratio of 1.67 and price/book ratio of 2.69 are both in line with industry averages. The enterprise value/revenue ratio of 1.66 also indicates that the company may be fairly valued. Overall, the recent financial data suggests that Berkley is a stable and well-performing company in the Property &amp; Casualty Insurance industry.</t>
  </si>
  <si>
    <t>TER,80.0,"</t>
  </si>
  <si>
    <t>Teradyne, a leading company in the Semiconductor Materials &amp; Equipment industry, has shown strong financial performance in recent years. With a market cap of 13.95B and an enterprise value of 13.34B, the company has a solid financial foundation. Its trailing P/E ratio of 42.43 and forward P/E ratio of 21.98 indicate that the company is currently trading at a premium, but its PEG ratio of 1.51 suggests that it may still be undervalued.</t>
  </si>
  <si>
    <t>In terms of valuation metrics, Teradyne's price/sales ratio of 9.74 and price/book ratio of 5.71 are higher than the industry average, indicating that the stock may be overvalued. However, its enterprise value/revenue ratio of 8.56 and enterprise value/EBITDA ratio of 24.98 are in line with the industry average, suggesting that the company is fairly valued.</t>
  </si>
  <si>
    <t>Overall, Teradyne's financial data suggests that it is a strong and stable company with potential for growth. However, investors should closely monitor the company's valuation metrics and industry trends before making any investment decisions.</t>
  </si>
  <si>
    <t>HST,80.0,"</t>
  </si>
  <si>
    <t>Host Hotels &amp; Resorts is a leading hotel and resort real estate investment trust (REIT) with a recent market cap of $12.41B and an enterprise value of $16.27B. The company has a trailing P/E ratio of 16.75 and a forward P/E ratio of 17.67, indicating a relatively fair valuation. The PEG ratio of 1.21 suggests that the stock may be slightly overvalued, but this is not a cause for concern. The price/sales ratio of 2.39 and price/book ratio of 1.81 are also within reasonable ranges.</t>
  </si>
  <si>
    <t>In terms of financial performance, Host Hotels &amp; Resorts has a strong enterprise value/revenue ratio of 3.10, indicating that the company is generating significant revenue relative to its enterprise value. The enterprise value/EBITDA ratio of 9.84 is also favorable, suggesting that the company is generating healthy earnings before interest, taxes, depreciation, and amortization.</t>
  </si>
  <si>
    <t>The recent news in the hotel and resort industry has been mixed, with the ongoing COVID-19 pandemic impacting travel and tourism. However, with the widespread availability of vaccines and the easing of restrictions, the industry is expected to recover in the coming months. This presents a potential opportunity for Host Hotels &amp; Resorts, as the company has a strong portfolio of properties in prime locations.</t>
  </si>
  <si>
    <t>Overall, Host Hotels &amp; Resorts appears to be a solid investment option in the hotel and resort REITs industry. The company has a strong financial position and a promising outlook as the industry recovers from the pandemic. Therefore, the score for the potential investment value of Host Hotels &amp; Resorts for the next month is 80.</t>
  </si>
  <si>
    <t>HUBB,80.0,"</t>
  </si>
  <si>
    <t>Hubbell Incorporated is a leading company in the Industrial Machinery &amp; Supplies &amp; Components industry with a recent market cap of 16.27B and an enterprise value of 17.26B. The company has a trailing P/E ratio of 23.06 and a forward P/E ratio of 19.65, indicating a relatively high valuation. However, the PEG ratio of 1.97 suggests that the stock may still have room for growth. The price/sales ratio of 3.12 and price/book ratio of 5.94 also indicate a slightly overvalued stock. The enterprise value/revenue ratio of 3.29 and enterprise value/EBITDA ratio of 15.41 are in line with industry averages.</t>
  </si>
  <si>
    <t>Recent news in the Industrial Machinery &amp; Supplies &amp; Components industry, such as the increase in demand for industrial equipment and the rise in infrastructure spending, may have a positive impact on Hubbell's business. Additionally, the company's strong financial position and diverse product portfolio make it well-positioned to capitalize on these opportunities.</t>
  </si>
  <si>
    <t>Based on the latest financial data and industry trends, Hubbell Incorporated appears to be a solid investment option for the next month. However, investors should closely monitor any potential changes in the market and the company's performance to make informed decisions.</t>
  </si>
  <si>
    <t>CCI,80.0,"</t>
  </si>
  <si>
    <t>Crown Castle (CCI) is a leading player in the Telecom Tower REITs industry with a recent market cap of $50.78B and an enterprise value of $79.39B. The company has a trailing P/E ratio of 32.71 and a forward P/E ratio of 29.24, indicating a relatively high valuation. However, the PEG ratio of 3.86 suggests that the stock may be undervalued compared to its expected growth rate. Additionally, the price/sales ratio of 7.19 and price/book ratio of 7.61 are both above the industry average, indicating a premium valuation.</t>
  </si>
  <si>
    <t>In terms of financial performance, Crown Castle has a strong enterprise value/revenue ratio of 11.23 and an enterprise value/EBITDA ratio of 19.30, indicating a healthy balance sheet and efficient use of capital. The company has also been consistently increasing its dividend payout, making it an attractive option for income investors.</t>
  </si>
  <si>
    <t>Recent news in the telecom industry, such as the proposed ban on cord-cutting fees and the increase in mortgage refinance demand, may have a positive impact on Crown Castle's business. However, the ongoing geopolitical tensions and potential regulatory changes could also create uncertainty for the company.</t>
  </si>
  <si>
    <t>Overall, Crown Castle appears to be a solid investment option in the Telecom Tower REITs industry, with a strong financial position and potential for growth. However, investors should closely monitor any developments in the industry and the broader economy that may impact the company's performance.</t>
  </si>
  <si>
    <t>ACN,80.0,"</t>
  </si>
  <si>
    <t>Accenture, a leading IT consulting and services company, has shown strong financial performance in recent years. With a market cap of 210.51B and an enterprise value of 204.61B, the company has a solid financial foundation. Its trailing P/E ratio of 31.14 and forward P/E ratio of 27.47 indicate that the stock is trading at a premium, but this is in line with the industry average. The PEG ratio of 2.74 suggests that the stock may be slightly overvalued, but this could also be due to the company's strong growth potential.</t>
  </si>
  <si>
    <t>In terms of valuation metrics, Accenture's price/sales ratio of 3.34 and price/book ratio of 8.19 are higher than the industry average, indicating that the stock may be trading at a premium. However, its enterprise value/revenue ratio of 3.19 and enterprise value/EBITDA ratio of 17.84 are in line with the industry average, suggesting that the company is not overvalued based on its revenue and earnings.</t>
  </si>
  <si>
    <t>Overall, Accenture's financial data suggests that the company is in a strong financial position and has potential for growth. However, investors should closely monitor the stock's valuation and keep an eye on any potential changes in the IT consulting and services industry.</t>
  </si>
  <si>
    <t>ZBRA,80.0,"</t>
  </si>
  <si>
    <t>Zebra Technologies is a leading company in the Electronic Equipment &amp; Instruments industry with a recent market cap of 12.03B and an enterprise value of 14.43B. The company has a trailing P/E ratio of 26.16 and a forward P/E ratio of 18.28, indicating a potential undervaluation of the stock. However, the PEG ratio of 5.70 suggests that the stock may be overvalued in comparison to its expected growth rate.</t>
  </si>
  <si>
    <t>In terms of valuation metrics, Zebra Technologies has a price/sales ratio of 2.39 and a price/book ratio of 3.99, which are both slightly above the industry average. The enterprise value/revenue ratio of 2.84 and the enterprise value/EBITDA ratio of 15.30 also indicate that the stock may be slightly overvalued.</t>
  </si>
  <si>
    <t>Recent news in the industry, such as the rise of generative AI models and the potential for increased regulation in the tech sector, may have an impact on Zebra Technologies' performance in the coming month. However, the company's strong financials and market position make it a solid investment option for long-term investors.</t>
  </si>
  <si>
    <t>ABT,80.0,"</t>
  </si>
  <si>
    <t>Abbott, a leading company in the Health Care Equipment industry, has shown strong financial performance in recent years. With a market cap of 182.18B and an enterprise value of 190.66B, the company has a solid financial foundation. Its trailing P/E ratio of 35.69 and forward P/E ratio of 22.62 indicate that the company is currently trading at a premium, but its PEG ratio of 25.16 suggests that it may be slightly overvalued.</t>
  </si>
  <si>
    <t>In terms of valuation metrics, Abbott's price/sales ratio of 4.60 and price/book ratio of 4.86 are in line with industry averages, indicating that the company is fairly valued. Its enterprise value/revenue ratio of 4.77 and enterprise value/EBITDA ratio of 18.96 also suggest that the company is not overleveraged.</t>
  </si>
  <si>
    <t>Recent news in the health care industry, such as the COVID-19 pandemic and advancements in medical technology, have created both challenges and opportunities for Abbott. The company has been able to adapt and innovate, launching new products and expanding its global reach. However, potential regulatory changes and geopolitical tensions may pose risks for the company in the future.</t>
  </si>
  <si>
    <t>Overall, Abbott appears to be a stable and well-performing company in the health care industry. Its financial data and recent news suggest that it may be a good investment option for the next month.</t>
  </si>
  <si>
    <t>ALK,80.0,"</t>
  </si>
  <si>
    <t>Investment Report: Alaska Air Group (ALK) is a passenger airline company that has recently shown resilience in the face of a slipping market. Despite the overall market decline, ALK saw a 0.28% increase in its stock price, settling at $35.67. This is a positive sign for the company, indicating that it may have strong fundamentals and potential for growth.</t>
  </si>
  <si>
    <t>In terms of financial data, ALK has a market cap of $4.57B and an enterprise value of $6.24B. Its trailing P/E ratio is 17.75, which is slightly higher than the industry average of 15. This suggests that the stock may be slightly overvalued, but the forward P/E ratio of 6.73 indicates that the company is expected to have strong earnings growth in the future.</t>
  </si>
  <si>
    <t>Additionally, ALK has a low price-to-sales ratio of 0.44 and a price-to-book ratio of 1.12, which are both below the industry averages. This could indicate that the stock is undervalued and has potential for growth. The company also has a low enterprise value/revenue ratio of 0.60 and a moderate enterprise value/EBITDA ratio of 7.13, which suggests that it may be a good investment opportunity.</t>
  </si>
  <si>
    <t>Overall, ALK has shown resilience in the market and has strong financial data, indicating potential for growth. However, investors should continue to monitor the company's performance and industry trends before making any investment decisions.</t>
  </si>
  <si>
    <t>AMZN,80.0,"Investment Report:</t>
  </si>
  <si>
    <t>Amazon, one of the largest and most influential companies in the world, has recently been in the news for its plans to expand its presence in Southern California. A leaked internal memo revealed the company's strategies to strengthen its reputation through charitable initiatives and combat any potential labor issues. Additionally, Amazon CEO Andy Jassy highlighted the company's ability to provide same-day delivery to customers, showcasing its efficient operations.</t>
  </si>
  <si>
    <t>In terms of financial data, Amazon has a market cap of 1.49 trillion and an enterprise value of 1.57 trillion. Its trailing P/E ratio is 75.66 and its forward P/E ratio is 38.17, indicating a high valuation. The PEG ratio, which takes into account future growth, is 2.38. Amazon's price/sales ratio is 2.71 and its price/book ratio is 8.16, both of which are higher than the industry average. Its enterprise value/revenue ratio is 2.83 and its enterprise value/EBITDA ratio is 21.28.</t>
  </si>
  <si>
    <t>Overall, Amazon's recent news and financial data suggest a strong and growing company with a solid reputation and efficient operations. However, its high valuation may be a concern for some investors. Therefore, the potential investment value for Amazon in the Broadline Retail industry for the next month is Score: 80."</t>
  </si>
  <si>
    <t>UDR,80.0,"</t>
  </si>
  <si>
    <t>UDR, Inc. is a real estate investment trust (REIT) that specializes in multi-family residential properties. The company has a recent market cap of $11.40B and an enterprise value of $17.39B. Its trailing P/E ratio is 25.12 and its forward P/E ratio is 70.42, indicating a potential overvaluation of the stock. UDR's price/sales ratio of 7.06 and price/book ratio of 2.78 are also higher than the industry average, suggesting a premium price for the stock.</t>
  </si>
  <si>
    <t>However, UDR's enterprise value/revenue ratio of 10.77 and enterprise value/EBITDA ratio of 12.92 are in line with the industry average, indicating a fair valuation based on its revenue and earnings. The company also has a strong balance sheet with a debt-to-equity ratio of 0.72, which is lower than the industry average.</t>
  </si>
  <si>
    <t>In terms of recent news, UDR has been performing well despite the challenges posed by the COVID-19 pandemic. The company reported strong third-quarter earnings, with a 5.3% increase in same-store net operating income and a 97.5% occupancy rate. UDR also has a diversified portfolio of properties in high-demand markets, which provides stability and potential for growth.</t>
  </si>
  <si>
    <t>Overall, UDR, Inc. appears to be a solid investment option in the multi-family residential REIT industry. While its valuation may be on the higher side, the company's strong financials and positive performance make it a promising choice for investors.</t>
  </si>
  <si>
    <t>AES,80.0,"</t>
  </si>
  <si>
    <t>AES Corporation is a leading company in the Independent Power Producers &amp; Energy Traders industry with a recent market cap of 12.01B and an enterprise value of 37.94B. The company's latest financial data shows a forward P/E ratio of 9.44 and a PEG ratio of 1.37, indicating a relatively undervalued stock. Additionally, the price/sales ratio of 0.94 and price/book ratio of 6.19 suggest that the stock may be trading at a discount compared to its peers in the industry.</t>
  </si>
  <si>
    <t>Furthermore, the company's enterprise value/revenue ratio of 2.97 and enterprise value/EBITDA ratio of 17.63 are in line with industry averages, indicating a stable financial position. However, investors should note that the company's high enterprise value may be a result of its significant debt load.</t>
  </si>
  <si>
    <t>In terms of recent news, AES Corporation has been making efforts to transition to cleaner energy sources, which could potentially benefit the company in the long run. However, the ongoing geopolitical tensions in the Middle East and the potential impact on global oil prices may pose a risk to the company's operations.</t>
  </si>
  <si>
    <t>Overall, based on the recent financial data and news, AES Corporation appears to be a stable and potentially undervalued investment option in the Independent Power Producers &amp; Energy Traders industry.</t>
  </si>
  <si>
    <t>VTRS,75.0,"</t>
  </si>
  <si>
    <t>Viatris, a pharmaceutical company with a market cap of 11.62B, has been facing some challenges in the recent months. The company's latest financial data shows a trailing P/E of 6.42 and a forward P/E of 3.41, indicating a potential undervaluation of the stock. However, the price/sales ratio of 0.76 and price/book ratio of 0.56 suggest that the stock may be overvalued. Additionally, the enterprise value/revenue ratio of 1.85 and enterprise value/EBITDA ratio of 4.72 are higher than the industry average, which could be a cause for concern.</t>
  </si>
  <si>
    <t>The pharmaceutical industry has been heavily impacted by the COVID-19 pandemic, and Viatris is no exception. However, with the recent removal of COVID-19 restrictions and the availability of vaccines, the company may see an improvement in its financial performance in the coming months.</t>
  </si>
  <si>
    <t>Considering the potential undervaluation of the stock and the positive outlook for the pharmaceutical industry, Viatris may be a good investment opportunity for the next month. However, investors should closely monitor the company's financial data and industry trends before making any investment decisions.</t>
  </si>
  <si>
    <t>Score: 75"</t>
  </si>
  <si>
    <t>ADP,75.0,"</t>
  </si>
  <si>
    <t>ADP (Automatic Data Processing) is a leading company in the Human Resource &amp; Employment Services industry with a recent market cap of 95.57B and an enterprise value of 97.45B. The company has a trailing P/E ratio of 27.60 and a forward P/E ratio of 25.38, indicating a relatively high valuation. However, the PEG ratio of 2.82 suggests that the stock may be undervalued compared to its expected growth rate.</t>
  </si>
  <si>
    <t>In terms of financial performance, ADP has a price/sales ratio of 5.53 and a price/book ratio of 27.52, which are both higher than the industry average. This may indicate that the stock is currently overvalued. However, the company's enterprise value/revenue ratio of 5.59 and enterprise value/EBITDA ratio of 18.15 are in line with the industry average, suggesting that the company is efficiently utilizing its assets and generating profits.</t>
  </si>
  <si>
    <t>Overall, ADP's latest financial data suggests that the stock may be slightly overvalued, but its strong financial performance and expected growth potential make it a solid investment option in the Human Resource &amp; Employment Services industry. Investors should closely monitor the company's future earnings reports and industry trends to make informed investment decisions.</t>
  </si>
  <si>
    <t>WBA,75.0,"</t>
  </si>
  <si>
    <t>Walgreens Boots Alliance (WBA) is a leading drug retail company with a recent market cap of $18.47B and an enterprise value of $51.26B. The company has a trailing P/E ratio of 5.98 and a forward P/E ratio of 6.40, indicating that the stock is currently undervalued. However, the PEG ratio of 6.34 suggests that the stock may be overvalued in the long term.</t>
  </si>
  <si>
    <t>In terms of valuation metrics, WBA has a low price/sales ratio of 0.13 and a price/book ratio of 0.92, indicating that the stock is trading at a discount compared to its peers in the industry. The enterprise value/revenue ratio of 0.37 also suggests that the company is undervalued.</t>
  </si>
  <si>
    <t>However, the enterprise value/EBITDA ratio of -19.85 is a cause for concern, as it indicates that the company may have a high level of debt. This could potentially impact the company's financial stability and future growth.</t>
  </si>
  <si>
    <t>Overall, WBA's financial data suggests that the stock may be undervalued, but investors should closely monitor the company's debt levels and long-term growth potential.</t>
  </si>
  <si>
    <t>WAT,75.0,"</t>
  </si>
  <si>
    <t>Waters Corporation is a leading company in the Life Sciences Tools &amp; Services industry with a recent market cap of 17.12B and an enterprise value of 19.37B. The company has a trailing P/E ratio of 26.37 and a forward P/E ratio of 23.26, indicating a relatively high valuation. However, the PEG ratio of 3.49 suggests that the stock may be overvalued compared to its expected growth rate.</t>
  </si>
  <si>
    <t>In terms of valuation multiples, Waters Corporation has a price/sales ratio of 5.74 and a price/book ratio of 18.90, both of which are higher than the industry average. This may indicate that the stock is currently trading at a premium compared to its peers. Additionally, the enterprise value/revenue and enterprise value/EBITDA ratios of 6.47 and 19.27, respectively, also suggest a relatively high valuation.</t>
  </si>
  <si>
    <t>Recent news in the Life Sciences Tools &amp; Services industry, such as the rise of AI and technological advancements, may present opportunities for Waters Corporation to expand its market share and increase profitability. However, potential regulatory changes and geopolitical tensions could also impact the company's performance.</t>
  </si>
  <si>
    <t>Overall, Waters Corporation appears to be a strong company in a growing industry, but its current valuation may be a cause for concern. Investors should carefully consider the company's financial data and industry trends before making any investment decisions.</t>
  </si>
  <si>
    <t>WELL,75.0,"</t>
  </si>
  <si>
    <t>Welltower, a leading Health Care REIT, has a recent market cap of $48.38B and an enterprise value of $62.00B. The company's trailing P/E ratio is 164.94 and its forward P/E ratio is 71.43, indicating a potential overvaluation. However, its PEG ratio of 1.78 suggests a reasonable valuation based on its expected growth. Welltower's price/sales ratio of 6.85 and price/book ratio of 2.11 are also in line with industry averages. Its enterprise value/revenue ratio of 9.68 and enterprise value/EBITDA ratio of 27.39 may indicate a slightly higher valuation compared to its peers.</t>
  </si>
  <si>
    <t>The recent news in the health care industry, including the COVID-19 pandemic and advancements in medical technology, may present both opportunities and challenges for Welltower. On one hand, the aging population and increasing demand for senior housing and health care facilities could drive growth for the company. On the other hand, potential regulatory changes and rising interest rates could impact its profitability.</t>
  </si>
  <si>
    <t>Overall, Welltower appears to be a solid company with a strong market position in the health care REIT industry. However, investors should carefully consider the potential risks and uncertainties before making any investment decisions.</t>
  </si>
  <si>
    <t>WST,75.0,"</t>
  </si>
  <si>
    <t>West Pharmaceutical Services is a leading company in the Health Care Supplies industry with a recent market cap of 25.37B and an enterprise value of 24.78B. The company has a trailing P/E ratio of 46.22 and a forward P/E ratio of 39.22, indicating a relatively high valuation. The PEG ratio, which takes into account the company's expected growth, is also on the higher side at 5.60. However, the company's price/sales and price/book ratios are in line with industry averages.</t>
  </si>
  <si>
    <t>In terms of financial performance, West Pharmaceutical Services has a strong enterprise value/revenue ratio of 8.47, indicating a healthy level of revenue generation. However, the enterprise value/EBITDA ratio of 30.96 is relatively high, suggesting that the company may have a higher level of debt compared to its earnings.</t>
  </si>
  <si>
    <t>Overall, West Pharmaceutical Services appears to be a solid company with a strong market position and healthy financials. However, the high valuation and debt levels may be a cause for concern. Investors should closely monitor the company's performance and industry trends before making any investment decisions.</t>
  </si>
  <si>
    <t>WRK,75.0,"</t>
  </si>
  <si>
    <t>WestRock is a leading company in the Paper &amp; Plastic Packaging Products &amp; Materials industry with a recent market cap of 10.45B and an enterprise value of 18.64B. The company has a trailing P/E ratio of 12.56 and a forward P/E ratio of 16.31, indicating a potential undervaluation of the stock. The PEG ratio of 1.49 suggests that the stock may be slightly overvalued in relation to its expected growth. However, the price/sales ratio of 0.51 and price/book ratio of 1.04 indicate that the stock may be undervalued in comparison to its industry peers.</t>
  </si>
  <si>
    <t>WestRock's enterprise value/revenue ratio of 0.92 is lower than the industry average, suggesting that the stock may be undervalued in relation to its revenue. However, the enterprise value/EBITDA ratio of 50.89 is higher than the industry average, indicating that the stock may be overvalued in relation to its earnings.</t>
  </si>
  <si>
    <t>Overall, WestRock's financial data suggests that the stock may be undervalued in comparison to its industry peers. However, investors should closely monitor the company's future earnings and growth potential to make informed investment decisions.</t>
  </si>
  <si>
    <t>SHW,75.0,"</t>
  </si>
  <si>
    <t>Sherwin-Williams is a leading company in the specialty chemicals industry with a recent market cap of 73.39B and an enterprise value of 84.76B. The company has a trailing P/E ratio of 30.70 and a forward P/E ratio of 25.84, indicating a positive outlook for future earnings. However, the PEG ratio of 2.69 suggests that the stock may be slightly overvalued. The price/sales ratio of 3.23 and price/book ratio of 19.41 also indicate a premium valuation for the company. The enterprise value/revenue ratio of 3.68 and enterprise value/EBITDA ratio of 20.28 suggest that the company may be slightly overvalued compared to its peers in the industry.</t>
  </si>
  <si>
    <t>Recent news in the specialty chemicals industry has been positive, with an increase in demand for products due to the global economic recovery. This could potentially benefit Sherwin-Williams as a leading player in the industry. However, investors should also consider potential risks such as rising raw material costs and potential supply chain disruptions.</t>
  </si>
  <si>
    <t>Overall, Sherwin-Williams has a strong market position and a positive outlook for future earnings. However, the current valuation may be a concern for some investors. Therefore, it is recommended to closely monitor the company's financial performance and industry trends before making any investment decisions.</t>
  </si>
  <si>
    <t>SPG,75.0,"</t>
  </si>
  <si>
    <t>Simon Property Group (SPG) is a leading retail real estate investment trust (REIT) with a strong presence in the United States and international markets. The recent financial data for the company shows a market cap of $42.98B and an enterprise value of $67.66B. The trailing P/E ratio is 19.54 and the forward P/E ratio is 22.57, indicating a relatively high valuation for the stock. The PEG ratio of 13.11 suggests that the stock may be overvalued compared to its expected growth rate. Additionally, the price/sales ratio of 7.79 and price/book ratio of 14.76 also indicate a premium valuation for the stock.</t>
  </si>
  <si>
    <t>However, despite the high valuation, Simon Property Group has a strong track record of consistent earnings and dividend growth. The company has a diversified portfolio of high-quality retail properties and a strong balance sheet, which positions it well for long-term success. The recent news of falling interest rates and increased mortgage refinance demand may also benefit the company, as it could lead to increased consumer spending and boost the retail sector.</t>
  </si>
  <si>
    <t>Overall, while the high valuation may be a concern for some investors, Simon Property Group remains a solid investment option in the retail REIT industry. The company's strong financials and market position make it a stable and potentially profitable investment for the long term.</t>
  </si>
  <si>
    <t>IEX,75.0,"</t>
  </si>
  <si>
    <t>IDEX Corporation is a leading company in the Industrial Machinery &amp; Supplies &amp; Components industry with a recent market cap of 15.47B and an enterprise value of 16.35B. The company has a trailing P/E ratio of 25.16 and a forward P/E ratio of 24.04, indicating a relatively high valuation. However, the PEG ratio of 2.19 suggests that the stock may still have room for growth.</t>
  </si>
  <si>
    <t>In terms of valuation multiples, IDEX Corporation has a price/sales ratio of 4.71 and a price/book ratio of 4.57, both of which are higher than the industry average. This may indicate that the stock is currently overvalued. However, the company's enterprise value/revenue ratio of 4.96 and enterprise value/EBITDA ratio of 16.65 are in line with the industry average, suggesting that the company is not significantly overvalued.</t>
  </si>
  <si>
    <t>Overall, IDEX Corporation appears to be a solid company with a strong market position and steady financials. However, the current valuation may be a concern for potential investors. It is important to closely monitor the company's performance and future growth prospects before making any investment decisions.</t>
  </si>
  <si>
    <t>IDXX,75.0,"</t>
  </si>
  <si>
    <t>Investment Report: Idexx Laboratories is a leading company in the Health Care Equipment industry with a recent market cap of 43.32B and an enterprise value of 44.12B. The company has a trailing P/E ratio of 53.17 and a forward P/E ratio of 51.81, indicating a relatively high valuation. The PEG ratio, which takes into account the company's expected growth, is at 5.15, suggesting that the stock may be overvalued. Additionally, the price/sales ratio of 12.20 and price/book ratio of 33.39 also indicate a high valuation.</t>
  </si>
  <si>
    <t>However, Idexx Laboratories has a strong financial position with a low debt-to-equity ratio and a high return on equity. The company also has a history of consistent revenue and earnings growth, which is expected to continue in the future. Furthermore, the recent advancements in the healthcare industry, particularly in the field of animal health, present growth opportunities for Idexx Laboratories.</t>
  </si>
  <si>
    <t>Considering the recent financial data and industry trends, Idexx Laboratories has the potential for long-term growth. However, the current valuation may be a concern for some investors. Therefore, it is recommended to closely monitor the company's financial performance and valuation metrics before making any investment decisions.</t>
  </si>
  <si>
    <t>ITW,75.0,"</t>
  </si>
  <si>
    <t>Illinois Tool Works (ITW) is a leading company in the Industrial Machinery &amp; Supplies &amp; Components industry with a recent market cap of $74.29B and an enterprise value of $81.36B. The company has a trailing P/E ratio of 23.97 and a forward P/E ratio of 23.53, indicating a relatively high valuation. However, the PEG ratio of 2.72 suggests that the stock may be undervalued compared to its expected earnings growth.</t>
  </si>
  <si>
    <t>ITW's latest financial data also shows a price/sales ratio of 4.68 and a price/book ratio of 24.74, which are both higher than the industry average. This may indicate that the stock is currently overvalued. However, the company's strong financial position is reflected in its enterprise value/revenue ratio of 5.06 and enterprise value/EBITDA ratio of 17.44, which are both lower than the industry average.</t>
  </si>
  <si>
    <t>Overall, ITW's financial data suggests that the stock may be slightly overvalued, but its strong financial position and expected earnings growth could make it a good long-term investment. However, investors should closely monitor any potential changes in the industry and the company's financial performance.</t>
  </si>
  <si>
    <t>ILMN,75.0,"</t>
  </si>
  <si>
    <t>Illumina is a leading company in the Life Sciences Tools &amp; Services industry with a recent market cap of 18.11B and an enterprise value of 19.45B. The company's latest financial data shows a forward P/E ratio of 107.53, which is higher than the industry average. However, Illumina's price/sales ratio of 4.03 and price/book ratio of 3.07 are both lower than the industry average, indicating potential undervaluation. Additionally, the company's enterprise value/revenue ratio of 4.36 is also lower than the industry average, suggesting a potential opportunity for growth.</t>
  </si>
  <si>
    <t>On the other hand, Illumina's enterprise value/EBITDA ratio of -31.31 is significantly lower than the industry average, which could be a cause for concern. This may indicate that the company is not generating enough earnings to cover its debt obligations.</t>
  </si>
  <si>
    <t>Overall, Illumina's financial data suggests a mixed outlook for the company. While there are potential opportunities for growth, there are also some concerns to consider. Investors should carefully evaluate the company's financial performance and future prospects before making any investment decisions.</t>
  </si>
  <si>
    <t>INTC,75.0,"</t>
  </si>
  <si>
    <t>Intel, a leading company in the semiconductor industry, has a recent market cap of 174.04B and an enterprise value of 197.89B. The company's forward P/E ratio is 22.83, and its PEG ratio (5 yr expected) is 1.10. With a price/sales ratio of 3.25 and a price/book ratio of 1.71, Intel's valuation appears to be reasonable. However, its enterprise value/revenue ratio of 3.74 and enterprise value/EBITDA ratio of 23.80 may indicate that the company is slightly overvalued.</t>
  </si>
  <si>
    <t>Recent news in the semiconductor industry, such as the global chip shortage and increasing demand for technology products, may present opportunities for Intel to capitalize on. Additionally, the company's recent announcement of a $20 billion investment in two new chip factories in Arizona shows its commitment to expanding its production capacity.</t>
  </si>
  <si>
    <t>However, Intel also faces competition from other major players in the industry, such as AMD and NVIDIA, and potential challenges in the supply chain due to the ongoing pandemic. The company's recent decision to outsource some of its chip production to third-party manufacturers may also impact its profitability.</t>
  </si>
  <si>
    <t>Overall, Intel appears to be in a stable financial position with potential for growth in the future. However, investors should closely monitor the company's performance and industry developments before making any investment decisions.</t>
  </si>
  <si>
    <t>INTU,75.0,"</t>
  </si>
  <si>
    <t>Intuit, a leading company in the Application Software industry, has a recent market cap of 158.54B and an enterprise value of 162.71B. The company's trailing P/E ratio is 62.03 and its forward P/E ratio is 34.60, indicating a potential for future growth. The PEG ratio, which measures the relationship between the stock's price, earnings, and growth potential, is at 1.97, suggesting a slightly overvalued stock. Intuit's price/sales ratio of 10.86 and price/book ratio of 9.33 are also higher than the industry average, indicating a premium valuation. However, the company's enterprise value/revenue ratio of 11.03 and enterprise value/EBITDA ratio of 38.04 are in line with industry standards.</t>
  </si>
  <si>
    <t>Intuit has a strong financial position, with a solid balance sheet and steady revenue growth. The company's latest financial data shows a positive trend, with increasing revenue and earnings. Intuit's focus on innovation and customer satisfaction has helped it maintain a competitive edge in the market. The recent acquisition of Credit Karma is expected to further strengthen the company's position in the financial services industry.</t>
  </si>
  <si>
    <t>Overall, Intuit has a stable financial position and a positive outlook for future growth. However, the company's premium valuation may be a concern for some investors. It is important to closely monitor the company's financial performance and market trends before making any investment decisions.</t>
  </si>
  <si>
    <t>T,75.0,"</t>
  </si>
  <si>
    <t>AT&amp;T is a leading company in the Integrated Telecommunication Services industry with a recent market cap of $121.12B and an enterprise value of $269.31B. The company's forward P/E ratio of 6.78 and PEG ratio of 10.93 suggest that it may be undervalued compared to its expected growth. Additionally, its price/sales ratio of 1.02 and price/book ratio of 1.17 indicate that the stock may be trading at a discount. However, its enterprise value/revenue ratio of 2.21 and enterprise value/EBITDA ratio of 14.28 are slightly higher than the industry average, which may be a cause for concern.</t>
  </si>
  <si>
    <t>Recent news in the telecommunications industry, such as the increase in demand for 5G technology and the potential for a merger between AT&amp;T's subsidiary WarnerMedia and Discovery, could have a positive impact on the company's future growth. However, there are also potential risks, such as increasing competition and regulatory changes.</t>
  </si>
  <si>
    <t>Overall, AT&amp;T's financial data and recent news suggest that the company may have potential for growth in the near future. However, investors should carefully monitor industry developments and the company's financial performance before making any investment decisions.</t>
  </si>
  <si>
    <t>ATO,75.0,"</t>
  </si>
  <si>
    <t>Atmos Energy is a gas utility company with a recent market cap of 17.04B and an enterprise value of 24.06B. The company has a trailing P/E ratio of 18.81 and a forward P/E ratio of 17.70, indicating a relatively fair valuation. However, the PEG ratio of 2.43 suggests that the stock may be slightly overvalued compared to its expected growth rate. The price/sales ratio of 3.90 and price/book ratio of 1.57 also indicate a slightly higher valuation compared to its industry peers.</t>
  </si>
  <si>
    <t>In terms of financial performance, Atmos Energy has a strong enterprise value/revenue ratio of 5.63, indicating a healthy level of revenue generation. However, the enterprise value/EBITDA ratio of 13.82 suggests that the company may have a higher level of debt compared to its earnings.</t>
  </si>
  <si>
    <t>Overall, Atmos Energy appears to be a stable and well-established company in the gas utilities industry. However, investors should closely monitor the company's financial performance and valuation metrics to make informed investment decisions.</t>
  </si>
  <si>
    <t>NXPI,75.0,"</t>
  </si>
  <si>
    <t>NXP Semiconductors is a leading company in the semiconductor industry with a recent market cap of 53.08B and an enterprise value of 60.43B. The company has a trailing P/E ratio of 19.10 and a forward P/E ratio of 13.95, indicating that the stock may be undervalued. However, the PEG ratio of 1.93 suggests that the stock may be slightly overvalued based on its expected growth rate.</t>
  </si>
  <si>
    <t>In terms of valuation metrics, NXP Semiconductors has a price/sales ratio of 4.09 and a price/book ratio of 6.25, which are both higher than the industry average. This may indicate that the stock is currently trading at a premium compared to its peers. Additionally, the enterprise value/revenue ratio of 4.59 and the enterprise value/EBITDA ratio of 12.15 suggest that the stock may be overvalued based on its revenue and earnings.</t>
  </si>
  <si>
    <t>Overall, NXP Semiconductors has a strong financial position and is a leader in its industry. However, the current valuation metrics suggest that the stock may be slightly overvalued. Investors should closely monitor the company's performance and future growth prospects before making any investment decisions.</t>
  </si>
  <si>
    <t>BIIB,75.0,"</t>
  </si>
  <si>
    <t>Biogen, a leading biotechnology company, has been facing some challenges in the recent months. The company's latest financial data shows a market cap of 33.88B and an enterprise value of 39.30B. The trailing P/E ratio is 23.24, while the forward P/E ratio is 14.24, indicating a potential undervaluation of the stock. However, the PEG ratio of 6.24 suggests that the stock may be overvalued in the long term.</t>
  </si>
  <si>
    <t>Biogen's price/sales ratio of 3.40 and price/book ratio of 2.34 are both below the industry average, indicating a potential buying opportunity for investors. The enterprise value/revenue ratio of 3.93 and enterprise value/EBITDA ratio of 16.99 also suggest that the stock may be undervalued.</t>
  </si>
  <si>
    <t>The biotechnology industry has been experiencing growth, and Biogen is well-positioned to benefit from this trend with its strong pipeline of drugs and treatments. However, the company is also facing competition and potential regulatory challenges, which could impact its future performance.</t>
  </si>
  <si>
    <t>Overall, Biogen's financial data suggests a potential investment opportunity, but investors should carefully consider the risks and uncertainties in the biotechnology industry before making any investment decisions.</t>
  </si>
  <si>
    <t>SYK,75.0,"</t>
  </si>
  <si>
    <t>Stryker Corporation is a leading company in the Health Care Equipment industry with a recent market cap of 109.37B and an enterprise value of 120.13B. The company has a trailing P/E ratio of 42.71 and a forward P/E ratio of 24.75, indicating a potential undervaluation of the stock. However, the PEG ratio of 2.78 suggests that the stock may be slightly overvalued in comparison to its expected growth rate. The price/sales ratio of 5.55 and price/book ratio of 6.11 are also higher than the industry average, indicating a premium valuation for the stock. The enterprise value/revenue ratio of 6.04 and enterprise value/EBITDA ratio of 25.70 are also higher than the industry average, suggesting that the stock may be overvalued.</t>
  </si>
  <si>
    <t>Recent news in the health care industry, such as the COVID-19 pandemic and advancements in medical technology, have had a positive impact on Stryker Corporation's financial performance. The company has a strong financial position and a diverse portfolio of products, which has helped it weather the challenges posed by the pandemic. Stryker Corporation also has a history of consistent dividend payments, making it an attractive option for income-seeking investors.</t>
  </si>
  <si>
    <t>Based on the recent financial data and industry trends, Stryker Corporation appears to be a stable and profitable company with potential for growth. However, the premium valuation of the stock may limit its potential for short-term gains. Investors should carefully consider their investment goals and risk tolerance before making any investment decisions.</t>
  </si>
  <si>
    <t>TTWO,75.0,"</t>
  </si>
  <si>
    <t>Take-Two Interactive is a leading company in the Interactive Home Entertainment industry with a recent market cap of 26.76B and an enterprise value of 29.47B. The company's latest financial data shows a forward P/E ratio of 22.62 and a PEG ratio of 2.26, indicating a potential overvaluation of the stock. However, the company's price/sales ratio of 4.88 and price/book ratio of 3.17 are in line with industry averages, suggesting a fair valuation. The enterprise value/revenue ratio of 5.42 and enterprise value/EBITDA ratio of 64.81 may also raise some concerns about the company's financial health.</t>
  </si>
  <si>
    <t>Overall, Take-Two Interactive has a strong market position and a solid financial standing, but investors should carefully consider the company's valuation metrics before making any investment decisions.</t>
  </si>
  <si>
    <t>FCX,75.0,"</t>
  </si>
  <si>
    <t>Investment Report: Freeport-McMoRan (FCX) is a leading copper mining company with a market cap of $51.98B and an enterprise value of $55.64B. The firm's latest trading session saw a -0.88% drop, which was larger than the general market. This may be attributed to the recent decline in copper prices and concerns about global economic growth. However, FCX has a strong financial position with a trailing P/E of 24.17 and a forward P/E of 16.92, indicating potential for future growth. The company also has a low price-to-sales ratio of 2.30 and a solid price-to-book ratio of 3.16. Its enterprise value/revenue and enterprise value/EBITDA ratios of 2.45 and 6.65 respectively, suggest that the company is undervalued compared to its peers in the copper industry.</t>
  </si>
  <si>
    <t>HCA,75.0,"</t>
  </si>
  <si>
    <t>HCA Healthcare is a leading company in the Health Care Facilities industry with a recent market cap of 67.55B and an enterprise value of 107.79B. The company has a trailing P/E ratio of 12.46 and a forward P/E ratio of 12.90, indicating a relatively low valuation compared to its peers in the industry. The PEG ratio of 1.32 suggests that the stock may be undervalued, as it is trading at a lower multiple compared to its expected earnings growth rate.</t>
  </si>
  <si>
    <t>In terms of financial health, HCA Healthcare has a price/sales ratio of 1.12 and an enterprise value/revenue ratio of 1.71, which are both below the industry average. This indicates that the stock may be undervalued based on its revenue and sales figures. However, the enterprise value/EBITDA ratio of 7.92 is slightly higher than the industry average, suggesting that the company may be less efficient in generating earnings compared to its peers.</t>
  </si>
  <si>
    <t>Overall, HCA Healthcare appears to be in a strong financial position with a relatively low valuation and solid revenue figures. However, investors should also consider the potential impact of regulatory changes and healthcare policies on the company's future earnings. Based on the recent financial data and industry trends, the potential investment value of HCA Healthcare for the next month is estimated to be around 75 out of 100.</t>
  </si>
  <si>
    <t>PEAK,75.0,"</t>
  </si>
  <si>
    <t>Healthpeak is a real estate investment trust (REIT) focused on the healthcare industry. The recent financial data for the company shows a market cap of 10.07B and an enterprise value of 16.87B. The trailing P/E ratio is 41.82 and the forward P/E ratio is 59.52, indicating a higher valuation for future earnings. The price/sales ratio is 4.66 and the price/book ratio is 1.56, which are both below the industry average. The enterprise value/revenue ratio is 7.84 and the enterprise value/EBITDA ratio is 14.04, which are also below the industry average.</t>
  </si>
  <si>
    <t>Healthpeak's financial data suggests that the company is currently trading at a higher valuation compared to its earnings and book value. However, its valuation based on revenue and EBITDA is below the industry average. This could indicate potential growth opportunities for the company in the healthcare REIT industry.</t>
  </si>
  <si>
    <t>The recent news in the healthcare industry, such as the COVID-19 pandemic and advancements in medical technology, may present both challenges and opportunities for Healthpeak. The company's focus on healthcare properties could provide stability and potential growth in the long term. However, investors should also consider potential risks, such as changes in healthcare policies and regulations.</t>
  </si>
  <si>
    <t>Based on the current financial data and industry trends, Healthpeak may have potential for growth in the future. However, investors should carefully monitor the company's performance and industry developments before making any investment decisions.</t>
  </si>
  <si>
    <t>HSY,75.0,"</t>
  </si>
  <si>
    <t>Hershey's, a leading company in the Packaged Foods &amp; Meats industry, has shown strong financial performance in recent years. With a market cap of 38.69B and an enterprise value of 43.45B, the company has a solid financial foundation. Its trailing P/E ratio of 20.39 and forward P/E ratio of 18.52 indicate that the company is currently trading at a reasonable valuation. However, its PEG ratio of 3.01 suggests that the stock may be slightly overvalued compared to its expected growth rate.</t>
  </si>
  <si>
    <t>In terms of profitability, Hershey's has a price/sales ratio of 3.49 and a price/book ratio of 9.75, which are both higher than the industry average. This indicates that the market has high expectations for the company's future earnings. Additionally, its enterprise value/revenue ratio of 3.89 and enterprise value/EBITDA ratio of 15.65 suggest that the company may be slightly overvalued compared to its revenue and earnings.</t>
  </si>
  <si>
    <t>Overall, Hershey's has a strong financial position and is well-positioned in the Packaged Foods &amp; Meats industry. However, investors should closely monitor the company's growth and profitability in the coming months to make informed investment decisions.</t>
  </si>
  <si>
    <t>HD,75.0,"</t>
  </si>
  <si>
    <t>Home Depot (The) is a leading company in the Home Improvement Retail industry with a recent market cap of 324.56B and an enterprise value of 371.76B. The company has a trailing P/E ratio of 20.90 and a forward P/E ratio of 20.37, indicating a relatively stable valuation. However, the PEG ratio of 2.00 suggests that the stock may be slightly overvalued compared to its expected growth rate.</t>
  </si>
  <si>
    <t>In terms of financial performance, Home Depot has a price/sales ratio of 2.14 and a price/book ratio of 226.97, which are both higher than the industry average. This may indicate that the stock is currently trading at a premium compared to its peers. Additionally, the enterprise value/revenue ratio of 2.42 and the enterprise value/EBITDA ratio of 14.50 suggest that the company may be slightly overvalued based on its revenue and earnings.</t>
  </si>
  <si>
    <t>Overall, Home Depot has a strong market position and a solid financial standing. However, the current valuation may be a cause for concern for potential investors. It is important to closely monitor the company's performance and future growth prospects before making any investment decisions.</t>
  </si>
  <si>
    <t>PM,75.0,"</t>
  </si>
  <si>
    <t>Philip Morris International (PM) is a leading tobacco company with a strong global presence. The recent financial data shows a market cap of $141.42B and an enterprise value of $186.12B. The trailing P/E ratio is 17.69 and the forward P/E ratio is 13.95, indicating a potential undervaluation of the stock. The PEG ratio of 2.53 suggests that the stock may be slightly overvalued based on its expected growth rate. However, the price/sales ratio of 4.13 and the enterprise value/revenue ratio of 5.43 are in line with industry averages, indicating a fair valuation.</t>
  </si>
  <si>
    <t>Philip Morris International has a strong track record of generating profits and has consistently paid dividends to its shareholders. The company has also been investing in research and development to diversify its product portfolio and reduce its reliance on traditional tobacco products. This could potentially lead to future growth opportunities.</t>
  </si>
  <si>
    <t>However, the tobacco industry is facing increasing regulatory challenges and declining smoking rates in many countries. This could impact the company's sales and profitability in the long term. Additionally, the ongoing COVID-19 pandemic may also have a negative impact on the company's sales and operations.</t>
  </si>
  <si>
    <t>Overall, Philip Morris International appears to be a stable and profitable company with a fair valuation. However, investors should carefully consider the potential risks and challenges facing the tobacco industry before making any investment decisions.</t>
  </si>
  <si>
    <t>POOL,75.0,"</t>
  </si>
  <si>
    <t>Pool Corporation (POOL) is a leading distributor of swimming pool supplies, equipment, and related leisure products. The company has a strong financial position with a recent market cap of $14.02B and an enterprise value of $15.27B. Its trailing P/E ratio of 26.12 and forward P/E ratio of 24.51 suggest that the stock may be slightly overvalued, but still within a reasonable range. Additionally, its price/sales ratio of 2.52 and price/book ratio of 9.89 indicate that the stock may be trading at a premium compared to its industry peers.</t>
  </si>
  <si>
    <t>In terms of profitability, Pool Corporation has a solid enterprise value/revenue ratio of 2.71 and enterprise value/EBITDA ratio of 18.77. This suggests that the company is generating strong revenues and earnings before interest, taxes, depreciation, and amortization (EBITDA). However, investors should note that the company's profitability may be impacted by the recent increase in raw material costs and supply chain disruptions.</t>
  </si>
  <si>
    <t>Overall, Pool Corporation has a strong financial position and is well-positioned in the swimming pool industry. However, investors should closely monitor the company's profitability and potential impacts from external factors. Based on the recent financial data and industry trends, the potential investment value for Pool Corporation in the next month is estimated to be around 75 out of 100.</t>
  </si>
  <si>
    <t>PEG,75.0,"</t>
  </si>
  <si>
    <t>Public Service Enterprise Group (PSEG) is a leading electric utility company with a strong presence in the Northeastern United States. The recent financial data for PSEG shows a market cap of $31.49B and an enterprise value of $51.34B. The trailing P/E ratio is 11.26, while the forward P/E ratio is 17.21, indicating potential growth in the future. The PEG ratio of 1.59 suggests that the stock may be undervalued compared to its expected growth rate. The price/sales ratio of 2.69 and price/book ratio of 2.08 are in line with industry averages, indicating a fair valuation. However, the enterprise value/revenue ratio of 4.36 and enterprise value/EBITDA ratio of 9.57 are slightly higher than industry averages, suggesting that the stock may be slightly overvalued.</t>
  </si>
  <si>
    <t>PSEG has been performing well in the electric utilities industry, with a strong focus on renewable energy and a commitment to reducing carbon emissions. The company has also been investing in infrastructure upgrades and modernization to improve efficiency and reliability. However, there have been concerns about potential regulatory changes that could impact the company's operations and profitability.</t>
  </si>
  <si>
    <t>PTC,75.0,"</t>
  </si>
  <si>
    <t>PTC, a leading company in the Application Software industry, has a recent market cap of 19.06B and an enterprise value of 20.66B. The firm's latest trailing P/E ratio is 77.60, while the forward P/E ratio is 32.57. The PEG ratio, which measures the relationship between the stock's price, earnings, and growth potential, is at 2.54, indicating a slightly overvalued stock. The price/sales ratio is 9.10, and the price/book ratio is 7.12, both of which are higher than the industry average. The enterprise value/revenue ratio is 9.85, and the enterprise value/EBITDA ratio is 34.49.</t>
  </si>
  <si>
    <t>Overall, PTC's financial data suggests that the company is performing well, with a strong market cap and enterprise value. However, the high P/E and PEG ratios may indicate that the stock is slightly overvalued. The price/sales and price/book ratios are also higher than the industry average, which may be a cause for concern. Investors should closely monitor the company's financial performance and industry trends before making any investment decisions.</t>
  </si>
  <si>
    <t>PSA,75.0,"</t>
  </si>
  <si>
    <t>Public Storage is a leading self-storage REIT with a recent market cap of $47.42B and an enterprise value of $60.17B. The company has a trailing P/E ratio of 24.72 and a forward P/E ratio of 25.13, indicating a relatively high valuation. However, its price/sales ratio of 10.68 and price/book ratio of 8.24 are in line with industry averages, suggesting that the stock may not be overvalued.</t>
  </si>
  <si>
    <t>In terms of financial performance, Public Storage has a strong enterprise value/revenue ratio of 13.53 and an enterprise value/EBITDA ratio of 18.74, indicating a healthy level of profitability. The company has also consistently delivered positive earnings and revenue growth over the past few years.</t>
  </si>
  <si>
    <t>In light of the recent news and macro-economic data, Public Storage may face some challenges in the self-storage REIT industry. The ongoing COVID-19 pandemic has led to economic uncertainty and potential changes in consumer behavior, which could impact the demand for self-storage units. Additionally, rising interest rates may increase borrowing costs for the company, potentially affecting its profitability.</t>
  </si>
  <si>
    <t>Overall, Public Storage appears to be a solid investment option in the self-storage REIT industry. While there may be some potential challenges in the near future, the company has a strong financial position and a track record of delivering positive results. Investors should closely monitor the company's performance and industry trends to make informed investment decisions.</t>
  </si>
  <si>
    <t>QRVO,75.0,"</t>
  </si>
  <si>
    <t>Qorvo is a leading semiconductor company with a recent market cap of 9.49B and an enterprise value of 10.84B. The company's forward P/E ratio of 13.46 and PEG ratio of 1.08 suggest that the stock may be undervalued. Qorvo's price/sales ratio of 3.12 and price/book ratio of 2.49 are also relatively low compared to industry averages, indicating potential for growth. However, the company's enterprise value/revenue ratio of 3.46 and enterprise value/EBITDA ratio of 38.23 may raise some concerns about its financial health. Overall, Qorvo's financial data suggests a mixed outlook for the company.</t>
  </si>
  <si>
    <t>DGX,75.0,"</t>
  </si>
  <si>
    <t>Quest Diagnostics is a leading company in the Health Care Services industry with a recent market cap of 15.17B and an enterprise value of 19.94B. The company has a trailing P/E ratio of 20.11 and a forward P/E ratio of 14.95, indicating a potential undervaluation of the stock. However, the PEG ratio of 3.09 suggests that the stock may be overvalued in relation to its expected growth. The price/sales ratio of 1.66 and price/book ratio of 2.36 are both below the industry average, indicating a potential value opportunity for investors.</t>
  </si>
  <si>
    <t>In terms of financial health, Quest Diagnostics has a strong enterprise value/revenue ratio of 2.14 and a relatively high enterprise value/EBITDA ratio of 12.45. This suggests that the company may be using debt to finance its operations, which could increase its financial risk.</t>
  </si>
  <si>
    <t>Overall, Quest Diagnostics appears to be a solid company with a strong market position and potential for growth. However, investors should closely monitor the company's financial performance and keep an eye on any potential changes in the industry. Based on the recent financial data, the potential investment value for Quest Diagnostics in the next month is Score: 75."</t>
  </si>
  <si>
    <t>RL,75.0,"</t>
  </si>
  <si>
    <t>Ralph Lauren Corporation is a well-established company in the Apparel, Accessories &amp; Luxury Goods industry with a recent market cap of 8.37B and an enterprise value of 9.68B. The company has a trailing P/E ratio of 16.54 and a forward P/E ratio of 12.76, indicating that the stock may be undervalued. The PEG ratio of 1.05 suggests that the stock may have growth potential in the next five years. The price/sales ratio of 1.34 and price/book ratio of 3.53 are in line with industry averages, indicating that the stock is fairly priced. However, the enterprise value/revenue ratio of 1.49 and enterprise value/EBITDA ratio of 10.36 are slightly higher than industry averages, suggesting that the stock may be slightly overvalued.</t>
  </si>
  <si>
    <t>Overall, the recent financial data of Ralph Lauren Corporation suggests that the stock may have potential for growth in the future. However, investors should closely monitor the company's performance and industry trends before making any investment decisions.</t>
  </si>
  <si>
    <t>O,75.0,"</t>
  </si>
  <si>
    <t>Realty Income is a real estate investment trust (REIT) that specializes in retail properties. The recent financial data for the company shows a strong market capitalization of $39.61 billion and an enterprise value of $60.18 billion. The trailing P/E ratio of 41.45 and forward P/E ratio of 42.02 suggest that the stock may be slightly overvalued. However, the PEG ratio of 7.06 indicates that the stock may have potential for future growth.</t>
  </si>
  <si>
    <t>The price/sales ratio of 9.42 and price/book ratio of 1.25 are both below the industry average, indicating that the stock may be undervalued. Additionally, the enterprise value/revenue ratio of 15.47 and enterprise value/EBITDA ratio of 17.61 are also below the industry average, suggesting that the stock may be a good value investment.</t>
  </si>
  <si>
    <t>Overall, the recent financial data for Realty Income shows a mixed picture, with some indicators pointing towards potential overvaluation and others suggesting undervaluation. Investors should closely monitor the company's performance and future earnings reports to make informed investment decisions.</t>
  </si>
  <si>
    <t>EL,75.0,"</t>
  </si>
  <si>
    <t>The Estée Lauder Companies (EL) is a leading player in the Personal Care Products industry with a recent market cap of $47.72B and an enterprise value of $54.76B. The company has a trailing P/E ratio of 87.16 and a forward P/E ratio of 60.98, indicating a relatively high valuation. However, its PEG ratio of 6.08 suggests that the stock may be overvalued compared to its expected earnings growth. EL's price/sales ratio of 3.10 and price/book ratio of 8.93 are also higher than the industry average, indicating a premium for the stock. Its enterprise value/revenue ratio of 3.53 and enterprise value/EBITDA ratio of 29.08 are also above the industry average, suggesting a higher valuation for the company.</t>
  </si>
  <si>
    <t>EL has a strong financial position with a solid balance sheet and consistent revenue growth. However, the company's high valuation and potential risks in the personal care industry, such as changing consumer preferences and increased competition, should be considered by investors.</t>
  </si>
  <si>
    <t>ETSY,75.0,"</t>
  </si>
  <si>
    <t>Etsy, a leading online marketplace for handmade and vintage goods, has shown strong financial performance in recent years. With a market cap of 9.53B and an enterprise value of 10.94B, the company has a solid financial foundation. Its trailing P/E ratio of 32.21 and forward P/E ratio of 21.83 indicate that the stock is currently trading at a premium, but this may be justified by its strong growth potential.</t>
  </si>
  <si>
    <t>One potential concern for investors is the company's PEG ratio of 7.28, which suggests that the stock may be overvalued compared to its expected earnings growth. However, this could also be a reflection of the company's recent investments in expanding its business and product offerings.</t>
  </si>
  <si>
    <t>Etsy's price/sales ratio of 4.03 and enterprise value/revenue ratio of 4.03 are in line with industry averages, indicating that the stock is not significantly overvalued. However, its enterprise value/EBITDA ratio of -19.15 may be a cause for concern, as it suggests that the company is not generating positive earnings before interest, taxes, depreciation, and amortization.</t>
  </si>
  <si>
    <t>Overall, Etsy's financial data suggests that the company is in a strong position to continue its growth trajectory. However, investors should closely monitor its earnings and future investments to assess the potential impact on its valuation.</t>
  </si>
  <si>
    <t>NWSA,75.0,"</t>
  </si>
  <si>
    <t>News Corp (Class A) is a global media and publishing company with a market cap of 12.61B and an enterprise value of 15.24B. The recent financial data shows a trailing P/E ratio of 90.75 and a forward P/E ratio of 27.32, indicating a potential overvaluation of the stock. However, the PEG ratio of 1.18 suggests that the stock may still have growth potential.</t>
  </si>
  <si>
    <t>In terms of valuation, the price/sales ratio of 1.27 and price/book ratio of 1.57 are relatively low compared to industry averages, indicating that the stock may be undervalued. The enterprise value/revenue ratio of 1.54 and enterprise value/EBITDA ratio of 13.53 also suggest that the stock may be undervalued.</t>
  </si>
  <si>
    <t>Recent news in the publishing industry, such as the rise of digital media and the decline of print media, may have a significant impact on News Corp's performance. However, the company has been making efforts to adapt to the changing landscape by investing in digital platforms and diversifying its revenue streams.</t>
  </si>
  <si>
    <t>Overall, the financial data and industry trends suggest that News Corp (Class A) may be a potential investment opportunity. However, investors should closely monitor the company's performance and industry developments before making any investment decisions.</t>
  </si>
  <si>
    <t>NWS,75.0,"</t>
  </si>
  <si>
    <t>News Corp (Class B) is a global media and publishing company with a market cap of 12.61B and an enterprise value of 15.24B. The company's latest financial data shows a trailing P/E ratio of 95.12 and a forward P/E ratio of 28.65, indicating a potential undervaluation of the stock. The PEG ratio of 1.23 suggests that the stock may be trading at a discount compared to its expected earnings growth.</t>
  </si>
  <si>
    <t>In terms of valuation, News Corp's price/sales ratio of 1.33 and price/book ratio of 1.65 are in line with industry averages, indicating a fair valuation. However, the enterprise value/revenue ratio of 1.54 and enterprise value/EBITDA ratio of 13.53 suggest that the stock may be slightly overvalued compared to its peers.</t>
  </si>
  <si>
    <t>Recent news in the publishing industry, such as the rise of digital media and the decline of print media, may have a significant impact on News Corp's future performance. However, the company has been making efforts to adapt to the changing landscape by investing in digital platforms and diversifying its revenue streams.</t>
  </si>
  <si>
    <t>Overall, News Corp's financial data and recent developments in the industry suggest a potential investment opportunity. However, investors should closely monitor the company's performance and industry trends before making any investment decisions.</t>
  </si>
  <si>
    <t>NKE,75.0,"</t>
  </si>
  <si>
    <t>Nike, Inc. is a leading company in the Apparel, Accessories &amp; Luxury Goods industry with a recent market cap of 176.71B and an enterprise value of 180.10B. The company has a trailing P/E ratio of 35.84 and a forward P/E ratio of 31.35, indicating a relatively high valuation. However, its PEG ratio of 2.11 suggests that the stock may still have room for growth.</t>
  </si>
  <si>
    <t>In terms of financial performance, Nike has a price/sales ratio of 3.52 and a price/book ratio of 12.65, both of which are higher than the industry average. This may indicate that the stock is currently overvalued. Additionally, its enterprise value/revenue ratio of 3.50 and enterprise value/EBITDA ratio of 26.84 are also higher than the industry average, suggesting that the stock may be trading at a premium.</t>
  </si>
  <si>
    <t>However, Nike has a strong brand presence and a loyal customer base, which could continue to drive sales and profitability in the future. The company also has a solid track record of innovation and product development, which could help it stay ahead of competitors in the ever-changing fashion industry.</t>
  </si>
  <si>
    <t>Overall, while Nike's valuation may be on the higher side, its strong brand and potential for future growth make it a solid investment option in the Apparel, Accessories &amp; Luxury Goods industry.</t>
  </si>
  <si>
    <t>NDSN,75.0,"</t>
  </si>
  <si>
    <t>Nordson Corporation is a leading company in the Industrial Machinery &amp; Supplies &amp; Components industry with a recent market cap of 13.75B and an enterprise value of 14.56B. The company has a trailing P/E ratio of 27.78 and a forward P/E ratio of 24.51, indicating a potential undervaluation of the stock. However, the PEG ratio of 2.35 suggests that the stock may be slightly overvalued based on its expected growth rate. The price/sales ratio of 5.37 and price/book ratio of 5.33 are both higher than the industry average, indicating a premium valuation for the stock. The enterprise value/revenue ratio of 5.62 and enterprise value/EBITDA ratio of 18.77 are also higher than the industry average, suggesting that the stock may be overvalued based on its revenue and earnings. Overall, the financial data suggests that Nordson Corporation may be slightly overvalued, but it is still a strong company with solid financials.</t>
  </si>
  <si>
    <t>NSC,75.0,"</t>
  </si>
  <si>
    <t>Norfolk Southern Railway (NSC) is a leading transportation company in the rail industry with a recent market cap of $51.58B and an enterprise value of $66.66B. The company has a trailing P/E ratio of 24.98 and a forward P/E ratio of 17.54, indicating a potential undervaluation of the stock. However, the PEG ratio of 4.73 suggests that the stock may be overvalued in relation to its expected growth.</t>
  </si>
  <si>
    <t>NSC's price/sales ratio of 4.23 and price/book ratio of 4.09 are both higher than the industry average, indicating a premium valuation for the stock. However, the company's enterprise value/revenue ratio of 5.41 and enterprise value/EBITDA ratio of 14.22 are in line with the industry average, suggesting that the stock may be fairly valued.</t>
  </si>
  <si>
    <t>Recent news in the rail transportation industry, such as the ongoing trade tensions and potential infrastructure investments, may impact NSC's performance in the next month. However, the company's strong financials and market position make it a stable investment option in the long term.</t>
  </si>
  <si>
    <t>NCLH,75.0,"</t>
  </si>
  <si>
    <t>Norwegian Cruise Line Holdings (NCLH) is a leading player in the Hotels, Resorts &amp; Cruise Lines industry with a recent market cap of 7.73B and an enterprise value of 20.93B. The company has a trailing P/E ratio of 3.81 and a forward P/E ratio of 12.63, indicating a potential undervaluation in the stock. However, the price-to-sales ratio of 1.01 and price-to-book ratio of 17.63 suggest that the stock may be slightly overvalued.</t>
  </si>
  <si>
    <t>In the latest financial data, NCLH has shown a strong enterprise value/revenue ratio of 2.59 and an enterprise value/EBITDA ratio of 15.35, indicating a healthy financial position. The company has also been able to maintain a low P/E ratio, which may be attractive to value investors.</t>
  </si>
  <si>
    <t>Recent news in the travel industry, such as the lifting of COVID-19 restrictions and the increasing demand for travel, may bode well for NCLH's future performance. However, there are still risks associated with the ongoing pandemic and potential geopolitical tensions that may impact the company's operations.</t>
  </si>
  <si>
    <t>Based on the current financial data and industry trends, NCLH may be a potential investment opportunity for investors looking for undervalued stocks in the travel sector. However, it is important to closely monitor the company's financial performance and any potential risks in the market.</t>
  </si>
  <si>
    <t>NRG,75.0,"</t>
  </si>
  <si>
    <t>NRG Energy is a leading company in the Independent Power Producers &amp; Energy Traders industry with a recent market cap of 10.73B and an enterprise value of 22.88B. The company's forward P/E ratio of 7.05 and PEG ratio of 3.21 suggest that the stock may be undervalued. Additionally, NRG Energy's price/sales ratio of 0.37 and price/book ratio of 3.74 indicate that the stock may be trading at a discount compared to its peers in the industry. However, the company's enterprise value/revenue ratio of 0.77 and enterprise value/EBITDA ratio of -44.08 may raise some concerns about its financial health.</t>
  </si>
  <si>
    <t>Recent news in the energy sector, such as falling oil prices and increased demand for mortgage refinancing, may have a positive impact on NRG Energy's business. However, potential regulatory changes and geopolitical tensions in the Middle East could also affect the company's operations and financial performance.</t>
  </si>
  <si>
    <t>Overall, NRG Energy appears to be in a stable financial position with potential for growth in the future. However, investors should closely monitor the company's financial data and industry developments before making any investment decisions.</t>
  </si>
  <si>
    <t>EXC,75.0,"</t>
  </si>
  <si>
    <t>Exelon, a leading company in the Multi-Utilities industry, has a recent market cap of 39.24B and an enterprise value of 82.14B. The company's trailing P/E ratio is 18.33 and its forward P/E ratio is 15.65, indicating a potential undervaluation. However, the PEG ratio of 2.33 suggests that the stock may be slightly overvalued based on its expected growth. Exelon's price/sales ratio of 1.87 and price/book ratio of 1.54 are both below the industry average, indicating a potential value opportunity. The company's enterprise value/revenue ratio of 3.91 and enterprise value/EBITDA ratio of 10.83 are also below the industry average, suggesting a potential undervaluation.</t>
  </si>
  <si>
    <t>Overall, Exelon's financial data suggests a mixed outlook for the company. While some ratios indicate potential undervaluation, others suggest a slightly overvalued stock. Investors should closely monitor the company's performance and industry trends before making any investment decisions.</t>
  </si>
  <si>
    <t>EXR,75.0,"</t>
  </si>
  <si>
    <t>Extra Space Storage is a self-storage REIT company with a recent market cap of 28.86B and an enterprise value of 39.84B. The company has a trailing P/E ratio of 25.78 and a forward P/E ratio of 25.51, indicating a relatively high valuation. The PEG ratio, which measures the relationship between the stock's price, earnings, and growth potential, is at 14.76, suggesting that the stock may be overvalued. The price/sales ratio of 9.14 and price/book ratio of 1.99 also indicate a higher valuation compared to industry peers.</t>
  </si>
  <si>
    <t>However, the company's enterprise value/revenue ratio of 17.56 and enterprise value/EBITDA ratio of 24.51 are in line with industry averages, indicating that the company's financials are in a healthy state.</t>
  </si>
  <si>
    <t>In terms of recent news, Extra Space Storage has been performing well, with strong earnings and revenue growth in the latest quarter. The company has also been expanding its portfolio through acquisitions and new developments, which could lead to future growth opportunities.</t>
  </si>
  <si>
    <t>Overall, while the company's valuation may be on the higher side, its strong financials and growth potential make it a solid investment option in the self-storage REIT industry.</t>
  </si>
  <si>
    <t>FFIV,75.0,"</t>
  </si>
  <si>
    <t>F5, Inc. is a leading company in the Communications Equipment industry with a recent market cap of 10.07B and an enterprise value of 9.54B. The firm has a trailing P/E ratio of 25.75 and a forward P/E ratio of 13.48, indicating a potential undervaluation of the stock. However, the PEG ratio of 2.01 suggests that the stock may be slightly overvalued in relation to its expected growth. The price/sales ratio of 3.61 and price/book ratio of 3.60 are both in line with industry averages, indicating a fair valuation. The enterprise value/revenue ratio of 3.39 and enterprise value/EBITDA ratio of 14.66 also suggest a fair valuation for the company.</t>
  </si>
  <si>
    <t>Recent news in the industry, such as the increase in demand for communication equipment due to remote work and the rise of 5G technology, may present growth opportunities for F5, Inc. However, there are also potential risks, such as increased competition and potential supply chain disruptions.</t>
  </si>
  <si>
    <t>Overall, F5, Inc. appears to be a solid company with a fair valuation and potential for growth. Investors should closely monitor the company's financial performance and industry trends before making any investment decisions.</t>
  </si>
  <si>
    <t>FICO,75.0,"</t>
  </si>
  <si>
    <t>Fair Isaac, a leading company in the Application Software industry, has a recent market cap of 27.47B and an enterprise value of 29.24B. The company's trailing P/E ratio is 65.66, while the forward P/E ratio is 45.05, indicating a potential for future growth. The PEG ratio, which measures the company's valuation relative to its expected earnings growth, is at 2.38, suggesting that the stock may be slightly overvalued. The price/sales ratio of 18.63 and the enterprise value/revenue ratio of 19.32 also indicate a relatively high valuation for the company. However, the enterprise value/EBITDA ratio of 44.04 is in line with the industry average, indicating that the company is generating strong earnings.</t>
  </si>
  <si>
    <t>Overall, Fair Isaac's financial data suggests that the company is performing well and has potential for future growth. However, investors should closely monitor the company's valuation and earnings growth to make informed investment decisions.</t>
  </si>
  <si>
    <t>FAST,75.0,"</t>
  </si>
  <si>
    <t>Fastenal is a leading company in the building products industry with a recent market cap of 35.51B and an enterprise value of 35.75B. The company has a trailing P/E ratio of 31.38 and a forward P/E ratio of 28.90, indicating a relatively high valuation. The PEG ratio, which measures the relationship between the stock price, earnings, and expected growth, is at 3.38, suggesting that the stock may be overvalued. Additionally, the price/sales ratio of 4.89 and price/book ratio of 10.24 also indicate a higher valuation compared to industry peers.</t>
  </si>
  <si>
    <t>However, Fastenal has a strong financial position with a low debt-to-equity ratio and a solid track record of consistent revenue and earnings growth. The company also has a strong market presence and a diverse customer base, which provides stability and potential for future growth.</t>
  </si>
  <si>
    <t>Considering the recent macro-economic news, the building products industry is expected to benefit from the increase in productivity and falling oil prices. However, potential regulatory changes and weaker job growth may pose challenges for the industry.</t>
  </si>
  <si>
    <t>Overall, Fastenal has a strong financial position and a solid market presence, but its current valuation may be a concern for investors. Therefore, it is recommended to closely monitor the company's financial performance and industry trends before making any investment decisions.</t>
  </si>
  <si>
    <t>FITB,75.0,"    Recent News:</t>
  </si>
  <si>
    <t>Fifth Third Bank is a regional bank with a market cap of 20.61B. The latest financial data shows a trailing P/E of 8.62 and a forward P/E of 9.62, indicating a relatively low valuation compared to its peers in the Regional Banks industry. The price/sales ratio of 2.41 and price/book ratio of 1.43 also suggest that the stock may be undervalued.</t>
  </si>
  <si>
    <t>In recent news, Fifth Third Bank has been making efforts to expand its digital banking capabilities and improve customer experience. The bank has also been focused on cost-cutting measures and increasing efficiency, which could lead to improved profitability in the future.</t>
  </si>
  <si>
    <t>However, there are some potential risks to consider. The ongoing COVID-19 pandemic and potential economic downturn could impact the bank's loan portfolio and overall financial performance. Additionally, the low interest rate environment may put pressure on the bank's net interest margin.</t>
  </si>
  <si>
    <t>Overall, Fifth Third Bank appears to be in a stable financial position with potential for growth. However, investors should closely monitor the impact of external factors on the bank's performance.</t>
  </si>
  <si>
    <t>MSI,75.0,"</t>
  </si>
  <si>
    <t>Motorola Solutions is a leading company in the Communications Equipment industry with a recent market cap of 53.52B and an enterprise value of 59.11B. The firm has a trailing P/E ratio of 32.61 and a forward P/E ratio of 25.00, indicating a potential undervaluation of the stock. The PEG ratio of 2.19 suggests that the stock may be slightly overvalued in relation to its expected growth. However, the price/sales ratio of 5.64 and price/book ratio of 147.84 are both higher than the industry average, indicating a premium valuation for the stock. The enterprise value/revenue ratio of 6.01 and enterprise value/EBITDA ratio of 21.78 also suggest a higher valuation for the company compared to its peers.</t>
  </si>
  <si>
    <t>Overall, Motorola Solutions has a strong financial position and is well-positioned in the market. The recent surge in demand for communication equipment due to the rise of remote work and virtual communication may provide a boost to the company's revenue and earnings. However, investors should closely monitor any potential regulatory changes and geopolitical tensions that may impact the company's operations.</t>
  </si>
  <si>
    <t>K,75.0,"</t>
  </si>
  <si>
    <t>Kellanova, a company in the Packaged Foods &amp; Meats industry, has a recent market cap of 18.40B and an enterprise value of 24.97B. The trailing P/E ratio is 22.57 and the forward P/E ratio is 13.62, indicating a potential undervaluation of the stock. The PEG ratio, which measures the stock's valuation relative to its expected growth, is at 4.22, suggesting that the stock may be overvalued. The price/sales ratio is at 1.17 and the price/book ratio is at 4.56, both of which are slightly higher than the industry average. The enterprise value/revenue ratio is at 1.57 and the enterprise value/EBITDA ratio is at 13.42, indicating that the company may be slightly overvalued compared to its peers.</t>
  </si>
  <si>
    <t>Recent news in the packaged foods and meats industry has been mixed, with some companies reporting strong earnings and others facing challenges due to supply chain disruptions and rising costs. Kellanova has a strong market position and a diverse product portfolio, which may help mitigate any potential challenges in the industry. However, investors should closely monitor the company's financial performance and any potential impacts from external factors such as inflation and supply chain disruptions.</t>
  </si>
  <si>
    <t>Overall, Kellanova appears to be a solid company with a strong market position and potential for growth. However, investors should carefully consider the current valuation and potential risks before making any investment decisions.</t>
  </si>
  <si>
    <t>KMI,75.0,"</t>
  </si>
  <si>
    <t>Kinder Morgan is a leading company in the Oil &amp; Gas Storage &amp; Transportation industry with a recent market cap of $38.97B and an enterprise value of $69.89B. The company has a trailing P/E ratio of 16.08 and a forward P/E ratio of 14.18, indicating that the stock may be undervalued. However, the PEG ratio of 3.46 suggests that the stock may be overvalued in relation to its expected growth. The price/sales ratio of 2.47 and price/book ratio of 1.29 also indicate that the stock may be undervalued.</t>
  </si>
  <si>
    <t>In terms of financial performance, Kinder Morgan has a strong enterprise value/revenue ratio of 4.40 and an enterprise value/EBITDA ratio of 10.78, indicating that the company is generating solid revenue and earnings. However, investors should note that the company's debt levels are relatively high, which could impact its financial stability.</t>
  </si>
  <si>
    <t>Overall, Kinder Morgan appears to be a solid investment opportunity in the Oil &amp; Gas Storage &amp; Transportation industry. The company has a strong market position and solid financial performance, but investors should carefully consider the potential risks associated with its high debt levels. Based on the recent financial data and industry trends, the potential investment value of Kinder Morgan for the next month is estimated to be around 75 out of 100.</t>
  </si>
  <si>
    <t>KHC,75.0,"</t>
  </si>
  <si>
    <t>Kraft Heinz is a leading company in the Packaged Foods &amp; Meats industry with a recent market cap of $44.40B and an enterprise value of $63.23B. The company has a trailing P/E ratio of 14.96 and a forward P/E ratio of 12.17, indicating that the stock may be undervalued. The PEG ratio of 0.76 also suggests that the stock may have growth potential. However, the price/sales ratio of 1.64 and price/book ratio of 0.90 are slightly higher than the industry average, which may indicate that the stock is currently overvalued.</t>
  </si>
  <si>
    <t>In terms of financial performance, Kraft Heinz has a strong enterprise value/revenue ratio of 2.33 and an enterprise value/EBITDA ratio of 11.31, indicating that the company is generating solid revenue and earnings. However, investors should note that the company's revenue has been declining in recent years, which may be a cause for concern.</t>
  </si>
  <si>
    <t>Overall, Kraft Heinz appears to be a stable company with potential for growth. However, investors should closely monitor the company's financial performance and industry trends before making any investment decisions.</t>
  </si>
  <si>
    <t>LMT,75.0,"</t>
  </si>
  <si>
    <t>Lockheed Martin is a leading aerospace and defense company with a recent market cap of $111.50B and an enterprise value of $125.34B. The company has a trailing P/E ratio of 16.45 and a forward P/E ratio of 16.78, indicating a relatively low valuation compared to its industry peers. However, its PEG ratio of 2.35 suggests that the stock may be slightly overvalued based on its expected growth rate.</t>
  </si>
  <si>
    <t>In terms of financial health, Lockheed Martin has a price/sales ratio of 1.69 and a price/book ratio of 12.02, both of which are higher than the industry average. This may indicate that the stock is currently trading at a premium. Additionally, the company's enterprise value/revenue ratio of 1.85 and enterprise value/EBITDA ratio of 11.99 are also higher than the industry average, suggesting that the stock may be overvalued.</t>
  </si>
  <si>
    <t>Recent news in the aerospace and defense industry, such as the increase in military spending and the potential for new contracts, may bode well for Lockheed Martin's future performance. However, investors should also consider potential risks, such as geopolitical tensions and potential budget cuts.</t>
  </si>
  <si>
    <t>Based on the current financial data and industry trends, the potential investment value of Lockheed Martin for the next month is estimated to be around 75 out of 100.</t>
  </si>
  <si>
    <t>DG,75.0,"</t>
  </si>
  <si>
    <t>Dollar General is a leading company in the Consumer Staples Merchandise Retail industry with a recent market cap of 29.39B and an enterprise value of 47.08B. The company has a trailing P/E ratio of 13.72 and a forward P/E ratio of 17.06, indicating a potential undervaluation of the stock. However, the PEG ratio of 6.44 suggests that the stock may be overvalued in relation to its expected growth. The price/sales ratio of 0.77 and price/book ratio of 4.67 also indicate a potential undervaluation of the stock. The enterprise value/revenue ratio of 1.21 and enterprise value/EBITDA ratio of 12.11 suggest that the company may be slightly overvalued in relation to its revenue and earnings.</t>
  </si>
  <si>
    <t>Overall, Dollar General's financial data suggests that the stock may be undervalued in some aspects and overvalued in others. However, the company has a strong market position and a solid financial track record, making it a potentially attractive investment opportunity. Investors should closely monitor the company's performance and industry trends before making any investment decisions.</t>
  </si>
  <si>
    <t>RVTY,75.0,"</t>
  </si>
  <si>
    <t>Revvity, a company in the Health Care Equipment industry, has a recent market cap of 11.19B and an enterprise value of 13.77B. The trailing P/E ratio is 53.32 and the forward P/E ratio is 18.52, indicating a potential undervaluation of the stock. However, the PEG ratio of 6.15 suggests that the stock may be overvalued in relation to its expected growth. The price/sales ratio of 4.07 and price/book ratio of 1.45 also indicate a potential undervaluation. The enterprise value/revenue ratio of 4.93 and enterprise value/EBITDA ratio of 16.85 are in line with industry averages.</t>
  </si>
  <si>
    <t>Overall, Revvity appears to be a financially stable company with a strong market position. However, investors should closely monitor the company's expected growth and potential regulatory changes in the health care industry. Based on the current financial data, Revvity may be a potential investment opportunity for the next month.</t>
  </si>
  <si>
    <t>ROK,75.0,"</t>
  </si>
  <si>
    <t>Rockwell Automation is a leading company in the Electrical Components &amp; Equipment industry with a recent market cap of 31.89B and an enterprise value of 34.15B. The company has a trailing P/E ratio of 23.27 and a forward P/E ratio of 20.83, indicating a positive outlook for future earnings. However, the PEG ratio of 2.16 suggests that the stock may be slightly overvalued compared to its expected growth rate. The price/sales ratio of 3.55 and price/book ratio of 8.95 also indicate a relatively high valuation for the company.</t>
  </si>
  <si>
    <t>In terms of financial performance, Rockwell Automation has a strong enterprise value/revenue ratio of 3.77, indicating efficient use of its assets to generate revenue. However, the enterprise value/EBITDA ratio of 17.13 suggests that the company may have a higher debt burden compared to its earnings.</t>
  </si>
  <si>
    <t>Overall, Rockwell Automation appears to be a solid company with a positive outlook for future earnings. However, the stock may be slightly overvalued at its current price. Investors should closely monitor the company's financial performance and market trends before making any investment decisions.</t>
  </si>
  <si>
    <t>WHR,75.0,"</t>
  </si>
  <si>
    <t>Whirlpool Corporation is a leading household appliances company with a recent market cap of 5.99B and an enterprise value of 13.12B. The company has a trailing P/E ratio of 12.72 and a forward P/E ratio of 7.12, indicating a relatively low valuation compared to its industry peers. Whirlpool also has a low price-to-sales ratio of 0.31 and a price-to-book ratio of 2.90, suggesting that the stock may be undervalued.</t>
  </si>
  <si>
    <t>However, the company's enterprise value to revenue ratio of 0.68 and enterprise value to EBITDA ratio of -28.39 raise some concerns. This indicates that Whirlpool may have a high level of debt and may not be generating enough revenue and earnings to cover its debt obligations.</t>
  </si>
  <si>
    <t>Overall, Whirlpool Corporation appears to be in a stable financial position with a strong market presence. However, investors should closely monitor the company's debt levels and its ability to generate revenue and earnings in the coming months.</t>
  </si>
  <si>
    <t>MMC,75.0,"</t>
  </si>
  <si>
    <t>Marsh McLennan is a leading insurance brokerage and risk management firm with a strong global presence. The recent financial data for the company shows a market cap of $96.36B and an enterprise value of $109.06B. The trailing P/E ratio is 28.16 and the forward P/E ratio is 22.78, indicating a relatively high valuation for the company. The PEG ratio of 2.15 suggests that the stock may be slightly overvalued compared to its expected growth rate.</t>
  </si>
  <si>
    <t>In terms of valuation multiples, Marsh McLennan has a price/sales ratio of 4.40 and a price/book ratio of 8.45, both of which are higher than the industry average. The enterprise value/revenue ratio of 4.91 and the enterprise value/EBITDA ratio of 18.57 also indicate a premium valuation for the company.</t>
  </si>
  <si>
    <t>Overall, the financial data suggests that Marsh McLennan may be slightly overvalued compared to its peers in the insurance brokers industry. However, the company's strong global presence and solid financial performance make it a stable and reliable investment option.</t>
  </si>
  <si>
    <t>MCHP,75.0,"</t>
  </si>
  <si>
    <t>Microchip Technology is a leading company in the semiconductor industry with a recent market cap of 45.26B and an enterprise value of 51.12B. The company has a trailing P/E ratio of 18.35 and a forward P/E ratio of 18.28, indicating a relatively stable valuation. However, the PEG ratio of 5.86 suggests that the stock may be slightly overvalued compared to its expected growth rate. The price/sales ratio of 5.17 and price/book ratio of 6.50 also indicate a higher valuation compared to its industry peers.</t>
  </si>
  <si>
    <t>In terms of financial performance, Microchip Technology has a strong enterprise value/revenue ratio of 5.71 and a relatively high enterprise value/EBITDA ratio of 11.72. This suggests that the company may be slightly overvalued based on its revenue and earnings.</t>
  </si>
  <si>
    <t>Overall, Microchip Technology has a solid financial position and is a leader in the semiconductor industry. However, the company's valuation may be slightly high compared to its peers. Investors should closely monitor the company's financial performance and industry trends before making any investment decisions.</t>
  </si>
  <si>
    <t>ROL,75.0,"</t>
  </si>
  <si>
    <t>Rollins, Inc. is a leading company in the Environmental &amp; Facilities Services industry with a recent market cap of 20.01B and an enterprise value of 20.78B. The company has a trailing P/E ratio of 49.82 and a forward P/E ratio of 38.31, indicating a potential for future growth. However, the PEG ratio of 2.71 suggests that the stock may be slightly overvalued. The price/sales ratio of 6.83 and price/book ratio of 18.15 also indicate a premium valuation for the stock.</t>
  </si>
  <si>
    <t>Rollins, Inc. has a strong financial position with a low debt-to-equity ratio and a solid cash flow. The company has a diversified portfolio of services and a strong customer base, which provides stability and potential for growth. However, the recent increase in interest rates may impact the company's borrowing costs and potentially affect its profitability.</t>
  </si>
  <si>
    <t>The Environmental &amp; Facilities Services industry is expected to see growth in the coming years, driven by increasing demand for sustainable and environmentally-friendly solutions. Rollins, Inc. is well-positioned to capitalize on this trend with its strong reputation and expertise in the industry.</t>
  </si>
  <si>
    <t>Overall, Rollins, Inc. has a solid financial standing and a positive outlook for the future. However, investors should closely monitor the company's performance and industry trends to make informed investment decisions.</t>
  </si>
  <si>
    <t>CDNS,75.0,"</t>
  </si>
  <si>
    <t>Cadence Design Systems is a leading company in the Application Software industry with a recent market cap of 70.10B and an enterprise value of 69.79B. The company has a trailing P/E ratio of 73.41 and a forward P/E ratio of 43.67, indicating a potential for future growth. However, the PEG ratio of 2.52 suggests that the stock may be slightly overvalued. The price/sales ratio of 17.93 and price/book ratio of 22.51 also indicate a premium valuation for the stock. The enterprise value/revenue ratio of 17.80 and enterprise value/EBITDA ratio of 53.32 suggest that the company may be slightly overvalued compared to its peers in the industry.</t>
  </si>
  <si>
    <t>Recent news in the industry, such as the rise of generative AI models and the potential for increased regulation in the tech sector, may have an impact on Cadence Design Systems' stock performance in the next month. Additionally, the company's financials and market trends should also be closely monitored.</t>
  </si>
  <si>
    <t>CCL,75.0,"</t>
  </si>
  <si>
    <t>Carnival, a leading company in the Hotels, Resorts &amp; Cruise Lines industry, has faced significant challenges in the recent years due to the COVID-19 pandemic. However, with the latest news of the removal of COVID-19 restrictions and the availability of vaccines, the company's prospects are looking more positive.</t>
  </si>
  <si>
    <t>In terms of financial data, Carnival has a market cap of 22.83B and an enterprise value of 52.62B. Its trailing P/E ratio is 5.99, which is significantly lower than the industry average, indicating that the stock may be undervalued. However, its forward P/E ratio of 16.81 is slightly higher, suggesting that investors may have higher expectations for the company's future earnings.</t>
  </si>
  <si>
    <t>Carnival's price/sales ratio of 1.10 and price/book ratio of 3.28 are both below the industry average, indicating that the stock may be undervalued. Its enterprise value/revenue ratio of 2.63 and enterprise value/EBITDA ratio of 19.03 are also lower than the industry average, suggesting that the company may be a good value investment.</t>
  </si>
  <si>
    <t>Overall, Carnival's financial data and recent news suggest that the company may have potential for growth in the near future. However, investors should closely monitor the company's performance and the impact of any potential geopolitical tensions or regulatory changes on the cruise industry.</t>
  </si>
  <si>
    <t>STX,75.0,"</t>
  </si>
  <si>
    <t>Seagate Technology is a leading company in the Technology Hardware, Storage &amp; Peripherals industry with a recent market cap of 16.28B and an enterprise value of 21.15B. The company's forward P/E ratio of 166.67 and PEG ratio of 1.54 suggest that the stock may be overvalued. However, its price/sales ratio of 2.37 and enterprise value/revenue ratio of 3.11 are in line with industry averages, indicating a fair valuation.</t>
  </si>
  <si>
    <t>In terms of financial performance, Seagate Technology has a strong balance sheet with a low debt-to-equity ratio of 0.76 and a healthy cash flow. However, its enterprise value/EBITDA ratio of 192.25 is higher than the industry average, which may indicate a higher risk for investors.</t>
  </si>
  <si>
    <t>Recent news in the technology sector, such as the rise of generative AI models and the potential for increased regulation, may have an impact on Seagate Technology's stock performance in the next month. Additionally, the company's recent announcement of a new high-capacity hard drive may drive sales and potentially boost its stock price.</t>
  </si>
  <si>
    <t>Overall, Seagate Technology appears to be a solid company with a fair valuation and strong financials. However, investors should closely monitor industry trends and the company's performance in the coming month to make informed investment decisions.</t>
  </si>
  <si>
    <t>CTAS,75.0,"</t>
  </si>
  <si>
    <t>Cintas is a leading company in the Diversified Support Services industry with a recent market cap of 56.11B and an enterprise value of 58.69B. The company has a trailing P/E ratio of 41.42 and a forward P/E ratio of 38.46, indicating a relatively high valuation. However, the PEG ratio of 3.72 suggests that the stock may be undervalued compared to its expected growth rate.</t>
  </si>
  <si>
    <t>In terms of valuation multiples, Cintas has a price/sales ratio of 6.34 and a price/book ratio of 13.76, both of which are higher than the industry average. This may indicate that the stock is currently overvalued. However, the company's enterprise value/revenue ratio of 6.53 and enterprise value/EBITDA ratio of 25.73 are in line with the industry average, suggesting that the company is not significantly overvalued.</t>
  </si>
  <si>
    <t>Overall, Cintas has a strong financial position and is expected to continue its growth trajectory in the Diversified Support Services industry. However, the current valuation may be a concern for some investors. It is important to closely monitor the company's financial performance and market trends before making any investment decisions.</t>
  </si>
  <si>
    <t>COO,75.0,"</t>
  </si>
  <si>
    <t>CooperCompanies is a leading company in the Health Care Supplies industry with a recent market cap of 16.97B and an enterprise value of 19.44B. The company has a trailing P/E ratio of 61.95 and a forward P/E ratio of 23.87, indicating a potential undervaluation of the stock. However, the PEG ratio of 2.33 suggests that the stock may be slightly overvalued based on its expected growth rate.</t>
  </si>
  <si>
    <t>In terms of valuation multiples, CooperCompanies has a price/sales ratio of 4.85 and a price/book ratio of 2.25, which are both in line with industry averages. The company's enterprise value/revenue ratio of 5.53 and enterprise value/EBITDA ratio of 23.02 also suggest that the stock may be slightly overvalued.</t>
  </si>
  <si>
    <t>Recent news in the Health Care Supplies industry, such as the ongoing COVID-19 pandemic and increasing demand for medical supplies, may present growth opportunities for CooperCompanies. However, investors should also consider potential risks, such as increasing competition and potential regulatory changes.</t>
  </si>
  <si>
    <t>Overall, based on the recent financial data and industry trends, CooperCompanies appears to be a solid investment option in the Health Care Supplies industry. However, investors should carefully monitor the company's performance and industry developments before making any investment decisions.</t>
  </si>
  <si>
    <t>AAL,75.0,"</t>
  </si>
  <si>
    <t>American Airlines Group (AAL) is a major player in the passenger airlines industry, with a recent market cap of 8.81B and an enterprise value of 39.43B. The company has a trailing P/E ratio of 5.64 and a forward P/E ratio of 4.69, indicating that the stock may be undervalued. Additionally, the PEG ratio of 0.05 suggests that the stock may be a good value for long-term investors.</t>
  </si>
  <si>
    <t>However, the company's price/sales ratio of 0.18 and enterprise value/revenue ratio of 0.75 are lower than the industry average, which could be a cause for concern. Furthermore, the enterprise value/EBITDA ratio of 9.26 is higher than the industry average, indicating that the company may have a higher level of debt compared to its earnings.</t>
  </si>
  <si>
    <t>In terms of recent news, American Airlines Group has been impacted by the COVID-19 pandemic, which has significantly reduced air travel demand. However, with the widespread availability of vaccines and the lifting of COVID-19 restrictions, the company may see an increase in demand for air travel in the coming months.</t>
  </si>
  <si>
    <t>Based on the current financial data and industry trends, American Airlines Group may be a good investment opportunity for long-term investors. However, the company's high debt levels and potential for continued volatility due to the pandemic should be taken into consideration.</t>
  </si>
  <si>
    <t>AWK,75.0,"</t>
  </si>
  <si>
    <t>American Water Works (AWK) is a leading water utility company with a recent market cap of $25.84B and an enterprise value of $37.47B. The company has a trailing P/E ratio of 27.42 and a forward P/E ratio of 25.77, indicating a relatively high valuation. However, the PEG ratio of 3.39 suggests that the stock may be overvalued compared to its expected growth rate.</t>
  </si>
  <si>
    <t>In terms of financial performance, AWK has a price/sales ratio of 6.08 and a price/book ratio of 2.61, which are both higher than the industry average. This may indicate that the stock is currently trading at a premium. Additionally, the enterprise value/revenue ratio of 9.07 and the enterprise value/EBITDA ratio of 16.29 also suggest a relatively high valuation.</t>
  </si>
  <si>
    <t>Despite the high valuation, AWK has a strong track record of consistent revenue and earnings growth. The company has a stable business model and a strong market position, which provides a steady stream of cash flow. Furthermore, the water utility industry is relatively recession-resistant, making AWK a defensive investment option.</t>
  </si>
  <si>
    <t>Based on the recent financial data and industry trends, AWK may be a suitable long-term investment option for investors looking for stable and consistent returns. However, the high valuation may limit short-term upside potential. Therefore, it is recommended to closely monitor the company's financial performance and industry developments before making any investment decisions.</t>
  </si>
  <si>
    <t>AME,75.0,"</t>
  </si>
  <si>
    <t>Ametek, a leading company in the Electrical Components &amp; Equipment industry, has shown strong financial performance in recent years. With a market cap of 36.12B and an enterprise value of 37.43B, the company has a solid financial foundation. Its trailing P/E ratio of 28.35 and forward P/E ratio of 23.53 indicate that the company is currently trading at a reasonable valuation. However, its PEG ratio of 2.35 suggests that the stock may be slightly overvalued compared to its expected growth rate.</t>
  </si>
  <si>
    <t>In terms of profitability, Ametek has a price/sales ratio of 5.58 and a price/book ratio of 4.33, which are both higher than the industry average. This indicates that the market has high expectations for the company's future earnings. Additionally, its enterprise value/revenue ratio of 5.77 and enterprise value/EBITDA ratio of 18.88 suggest that the company may be slightly overvalued compared to its revenue and earnings.</t>
  </si>
  <si>
    <t>Overall, Ametek has a strong financial position and has shown consistent growth in recent years. However, its current valuation may be slightly high, and investors should carefully consider their investment decisions. Based on the latest financial data, the potential investment value of Ametek in the Electrical Components &amp; Equipment industry for the next month is Score: 75."</t>
  </si>
  <si>
    <t>AAPL,75.0,"</t>
  </si>
  <si>
    <t>Apple Inc. is a leading company in the Technology Hardware, Storage &amp; Peripherals industry with a recent market cap of 2.99 trillion and an enterprise value of 3.04 trillion. The company has a strong financial position with a trailing P/E ratio of 31.38 and a forward P/E ratio of 29.15, indicating potential growth in the future. However, the PEG ratio of 2.31 suggests that the stock may be slightly overvalued. The price/sales ratio of 7.94 and price/book ratio of 48.14 also indicate a premium valuation for the stock. The enterprise value/revenue ratio of 7.94 and enterprise value/EBITDA ratio of 23.54 suggest that the company is generating strong revenues and profits.</t>
  </si>
  <si>
    <t>Recent news in the technology sector, such as the rise of generative AI models and the potential for increased regulation, may have an impact on Apple's stock performance in the next month. Additionally, the company's recent launch of new products, such as the iPhone 13 and Apple Watch Series 7, may also influence investor sentiment.</t>
  </si>
  <si>
    <t>Overall, Apple Inc. has a strong financial position and a dominant presence in the technology industry. However, the stock may be slightly overvalued and investors should closely monitor any potential regulatory changes and product launches in the coming month.</t>
  </si>
  <si>
    <t>UPS,75.0,"</t>
  </si>
  <si>
    <t>United Parcel Service (UPS) is a global leader in the air freight and logistics industry, providing a wide range of shipping and supply chain solutions to businesses and consumers. The recent financial data for UPS shows a strong market capitalization of $132.30B and an enterprise value of $150.46B. The trailing P/E ratio of 15.72 and forward P/E ratio of 15.77 suggest that the stock is currently trading at a reasonable valuation. However, the PEG ratio of 3.09 indicates that the stock may be slightly overvalued compared to its expected earnings growth.</t>
  </si>
  <si>
    <t>In terms of valuation metrics, UPS has a price/sales ratio of 1.44 and a price/book ratio of 6.90, which are both higher than the industry average. This may indicate that the stock is currently trading at a premium compared to its peers. However, the enterprise value/revenue ratio of 1.62 and enterprise value/EBITDA ratio of 9.95 suggest that the company's financials are strong and it may be undervalued in terms of its revenue and earnings.</t>
  </si>
  <si>
    <t>Overall, UPS has a strong financial position and is a market leader in its industry. However, investors should closely monitor the company's earnings growth and potential regulatory changes in the shipping industry. Based on the recent financial data, the potential investment value of UPS in the air freight and logistics industry for the next month is Score: 75."</t>
  </si>
  <si>
    <t>ZTS,75.0,"</t>
  </si>
  <si>
    <t>Zoetis is a leading pharmaceutical company in the animal health industry with a recent market cap of 83.56B and an enterprise value of 88.55B. The company has a trailing P/E ratio of 37.07 and a forward P/E ratio of 28.90, indicating a potential undervaluation of the stock. However, the PEG ratio of 3.04 suggests that the stock may be overvalued in relation to its expected growth rate.</t>
  </si>
  <si>
    <t>In terms of valuation metrics, Zoetis has a price/sales ratio of 10.09 and a price/book ratio of 16.46, both of which are higher than the industry average. This may indicate that the stock is currently trading at a premium compared to its peers. Additionally, the enterprise value/revenue ratio of 10.58 and the enterprise value/EBITDA ratio of 24.57 suggest that the stock may be overvalued based on its revenue and earnings.</t>
  </si>
  <si>
    <t>Recent news in the pharmaceutical industry, such as the FDA approval of new animal health products and the increasing demand for pet care, may have a positive impact on Zoetis' financial performance. However, investors should also consider potential risks, such as increasing competition and regulatory changes.</t>
  </si>
  <si>
    <t>Overall, Zoetis appears to be a solid company with a strong market position and potential for growth. However, the current valuation metrics suggest that the stock may be overvalued. Therefore, investors should carefully consider their investment objectives and risk tolerance before making any investment decisions.</t>
  </si>
  <si>
    <t>TDG,75.0,"</t>
  </si>
  <si>
    <t>TransDigm Group is a leading company in the Aerospace &amp; Defense industry with a recent market cap of 53.30B and an enterprise value of 69.59B. The firm has a trailing P/E ratio of 43.74 and a forward P/E ratio of 29.94, indicating a potential undervaluation of the stock. However, the PEG ratio of 4.82 suggests that the stock may be overvalued in comparison to its expected growth rate. The price/sales ratio of 8.37 and enterprise value/revenue ratio of 10.57 also indicate a potential overvaluation of the stock. Additionally, the enterprise value/EBITDA ratio of 22.11 is higher than the industry average, suggesting a higher valuation for the company.</t>
  </si>
  <si>
    <t>Recent news in the Aerospace &amp; Defense industry, such as the ongoing geopolitical tensions and technological advancements, may have an impact on TransDigm Group's performance in the next month. However, the company's strong financial position and market dominance in the industry make it a stable investment option. Investors should closely monitor the company's financial reports and industry developments to make informed investment decisions.</t>
  </si>
  <si>
    <t>USB,75.0,"         Enterprise Value  60.85B</t>
  </si>
  <si>
    <t>U.S. Bank, a leading diversified bank in the United States, has a recent market cap of $60.85B and a trailing P/E ratio of 11.67. The company's forward P/E ratio is 9.17, indicating potential growth in earnings. However, its PEG ratio of 2.66 suggests that the stock may be slightly overvalued. U.S. Bank's price/sales ratio of 2.16 and price/book ratio of 1.31 are in line with industry averages. The company's enterprise value is also at $60.85B, indicating a stable financial position.</t>
  </si>
  <si>
    <t>Overall, U.S. Bank's financial data suggests a stable and potentially undervalued stock. However, investors should also consider the recent news and events in the banking industry, such as potential regulatory changes and interest rate fluctuations, which may impact the company's performance in the short term.</t>
  </si>
  <si>
    <t>UNP,75.0,"</t>
  </si>
  <si>
    <t>Union Pacific Corporation (UNP) is a leading player in the rail transportation industry with a recent market cap of $142.02B and an enterprise value of $175.73B. The company has a trailing P/E ratio of 22.36 and a forward P/E ratio of 20.53, indicating a relatively high valuation. However, the PEG ratio of 3.95 suggests that the stock may be overvalued compared to its expected growth rate.</t>
  </si>
  <si>
    <t>In terms of valuation multiples, UNP has a price/sales ratio of 5.90 and a price/book ratio of 10.14, both of which are higher than the industry average. This may indicate that the stock is currently trading at a premium compared to its peers. However, the company's enterprise value/revenue ratio of 7.28 and enterprise value/EBITDA ratio of 14.82 are in line with the industry average, suggesting that the stock may not be significantly overvalued.</t>
  </si>
  <si>
    <t>Recent news in the rail transportation industry, such as the ongoing infrastructure bill negotiations and potential increases in freight rates, may have a positive impact on UNP's financial performance in the coming months. Additionally, the company's strong financial position and efficient operations make it well-positioned to capitalize on any potential growth opportunities.</t>
  </si>
  <si>
    <t>Overall, while UNP's valuation may be on the higher side, the company's strong fundamentals and potential for growth in the industry make it a solid investment option for the long term.</t>
  </si>
  <si>
    <t>CSGP,75.0,"</t>
  </si>
  <si>
    <t>CoStar Group, a leading provider of commercial real estate information and marketing services, has been performing well in the recent market conditions. The company's latest financial data shows a strong market cap of 34.22B and an enterprise value of 30.09B. However, the trailing P/E ratio of 84.64 and the forward P/E ratio of 68.97 may indicate that the stock is currently overvalued.</t>
  </si>
  <si>
    <t>The PEG ratio of 3.29 suggests that the stock may be overvalued compared to its expected growth rate. Additionally, the price/sales ratio of 14.26 and the price/book ratio of 4.75 also indicate a potential overvaluation of the stock.</t>
  </si>
  <si>
    <t>On the positive side, CoStar Group has a strong enterprise value/revenue ratio of 12.60, indicating a healthy revenue stream. However, the enterprise value/EBITDA ratio of 67.35 may suggest that the company's profitability is not as strong as its revenue.</t>
  </si>
  <si>
    <t>Overall, CoStar Group has a strong market position and a solid financial standing. However, the current valuation of the stock may be a cause for concern. Investors should closely monitor the company's performance and market conditions before making any investment decisions.</t>
  </si>
  <si>
    <t>CSX,75.0,"</t>
  </si>
  <si>
    <t>CSX is a leading company in the Rail Transportation industry with a recent market cap of 66.24B and an enterprise value of 83.75B. The firm has a trailing P/E ratio of 17.74 and a forward P/E ratio of 16.75, indicating a relatively fair valuation. However, the PEG ratio of 2.88 suggests that the stock may be slightly overvalued compared to its expected growth rate. The price/sales and price/book ratios of 4.65 and 5.54, respectively, also indicate a premium valuation.</t>
  </si>
  <si>
    <t>In terms of financial performance, CSX has a strong enterprise value/revenue ratio of 5.69 and a solid enterprise value/EBITDA ratio of 11.26. This suggests that the company is generating healthy revenues and has a strong operational efficiency.</t>
  </si>
  <si>
    <t>Overall, CSX appears to be a stable and well-performing company in the Rail Transportation industry. However, investors should closely monitor the stock's valuation and keep an eye on any potential changes in the industry that may impact the company's performance.</t>
  </si>
  <si>
    <t>WYNN,75.0,"</t>
  </si>
  <si>
    <t>Wynn Resorts is a leading player in the Casinos &amp; Gaming industry with a recent market cap of 9.31B and an enterprise value of 19.13B. The company has a trailing P/E ratio of 294.29 and a forward P/E ratio of 17.57, indicating a potential for future growth. The PEG ratio of 0.53 suggests that the stock may be undervalued compared to its expected earnings growth. Wynn Resorts also has a relatively low price-to-sales ratio of 1.63 and a high price-to-book ratio of 12.01, indicating a premium for its assets. However, the company's enterprise value to revenue ratio of 3.36 and enterprise value to EBITDA ratio of 13.55 suggest that it may be overvalued compared to its revenue and earnings.</t>
  </si>
  <si>
    <t>Overall, Wynn Resorts has a strong financial position and potential for growth in the Casinos &amp; Gaming industry. However, investors should closely monitor the company's earnings and revenue growth, as well as any potential regulatory changes that may impact the industry. Based on the recent financial data, the potential investment value of Wynn Resorts in the next month is Score: 75."</t>
  </si>
  <si>
    <t>ADBE,75.0,"</t>
  </si>
  <si>
    <t>Adobe Inc. is a leading company in the Application Software industry with a recent market cap of 271.22B and an enterprise value of 267.80B. The company has a trailing P/E ratio of 53.57 and a forward P/E ratio of 33.22, indicating a potential for future growth. However, the PEG ratio of 2.21 suggests that the stock may be slightly overvalued. Adobe Inc. also has a high price-to-sales ratio of 14.53 and a price-to-book ratio of 17.19, which may be a concern for value investors.</t>
  </si>
  <si>
    <t>In terms of financial performance, Adobe Inc. has a strong enterprise value/revenue ratio of 14.18, indicating efficient use of its assets to generate revenue. However, the enterprise value/EBITDA ratio of 35.77 is relatively high, suggesting that the company may have a high level of debt.</t>
  </si>
  <si>
    <t>Overall, Adobe Inc. has a strong market position and potential for future growth, but investors should carefully consider the high valuation and debt levels before making any investment decisions.</t>
  </si>
  <si>
    <t>HRL,75.0,"</t>
  </si>
  <si>
    <t>Investment Report: Hormel Foods in the Packaged Foods &amp; Meats Industry</t>
  </si>
  <si>
    <t>Hormel Foods is a leading company in the packaged foods and meats industry with a recent market cap of $17.43B and an enterprise value of $19.99B. The company has a trailing P/E ratio of 22.00 and a forward P/E ratio of 20.58, indicating that the stock may be slightly overvalued. However, the PEG ratio of 4.69 suggests that the stock may have potential for future growth.</t>
  </si>
  <si>
    <t>In terms of valuation, Hormel Foods has a price/sales ratio of 1.45 and a price/book ratio of 2.25, which are both in line with industry averages. The company's enterprise value/revenue ratio of 1.65 and enterprise value/EBITDA ratio of 14.91 also indicate that the stock is trading at a fair value.</t>
  </si>
  <si>
    <t>Recent news in the packaged foods and meats industry, such as rising commodity prices and supply chain disruptions, may have a short-term impact on Hormel Foods' financial performance. However, the company has a strong track record of consistent earnings growth and a diverse portfolio of popular brands, which may help mitigate these challenges.</t>
  </si>
  <si>
    <t>Overall, Hormel Foods appears to be a stable and well-established company in the packaged foods and meats industry. While the stock may be slightly overvalued, its potential for future growth and strong financial performance make it a solid investment option.</t>
  </si>
  <si>
    <t>MMM,70.0,"</t>
  </si>
  <si>
    <t>3M is a multinational conglomerate company that operates in various industries, including healthcare, consumer goods, and industrial products. The recent financial data for 3M shows a market cap of $56.77B and an enterprise value of $68.36B. The trailing P/E ratio is 16.99, while the forward P/E ratio is 10.72, indicating a potential undervaluation of the stock. The PEG ratio of 3.77 suggests that the stock may be slightly overvalued based on its expected growth rate.</t>
  </si>
  <si>
    <t>The price/sales ratio of 1.74 and price/book ratio of 12.15 are both higher than the industry average, indicating that the stock may be trading at a premium. However, the enterprise value/revenue ratio of 2.09 is lower than the industry average, suggesting that the stock may be undervalued based on its revenue. The enterprise value/EBITDA ratio of -9.12 is negative, which may be a cause for concern.</t>
  </si>
  <si>
    <t>Overall, the financial data for 3M is mixed, with some indicators suggesting potential undervaluation and others indicating a premium valuation. Investors should closely monitor the company's performance and future earnings reports to make informed investment decisions.</t>
  </si>
  <si>
    <t>Score: 70"</t>
  </si>
  <si>
    <t>DXCM,70.0,"</t>
  </si>
  <si>
    <t>Dexcom, a leading company in the Health Care Equipment industry, has shown strong financial performance in recent years. With a market cap of 45.01B and an enterprise value of 44.49B, the company has a solid financial foundation. However, its trailing P/E ratio of 129.60 and forward P/E ratio of 68.49 may be a cause for concern for some investors.</t>
  </si>
  <si>
    <t>The company's PEG ratio of 2.42 suggests that its stock may be overvalued, but its price/sales ratio of 14.82 and price/book ratio of 19.85 indicate that it may still have room for growth. Additionally, its enterprise value/revenue ratio of 13.07 and enterprise value/EBITDA ratio of 56.51 are relatively high compared to industry averages, which may be a sign of strong financial health.</t>
  </si>
  <si>
    <t>Overall, Dexcom's latest financial data shows a mixed picture, with some potential for growth but also some red flags. Investors should closely monitor the company's performance and industry trends before making any investment decisions.</t>
  </si>
  <si>
    <t>AXON,70.0,"</t>
  </si>
  <si>
    <t>Axon Enterprise is a leading company in the Aerospace &amp; Defense industry with a recent market cap of 17.41B and an enterprise value of 16.93B. The firm has a trailing P/E ratio of 118.54 and a forward P/E ratio of 55.87, indicating a high valuation. However, its price/sales ratio of 11.82 and price/book ratio of 11.45 are in line with industry averages. The enterprise value/revenue and enterprise value/EBITDA ratios of 11.54 and 103.67 respectively, suggest that the company may be overvalued compared to its revenue and earnings.</t>
  </si>
  <si>
    <t>Axon Enterprise has a strong financial position with a solid market cap and enterprise value. However, its high P/E ratios and relatively high enterprise value/revenue and enterprise value/EBITDA ratios may indicate a potential for a correction in the stock price. Investors should closely monitor the company's financial performance and industry trends before making any investment decisions.</t>
  </si>
  <si>
    <t>CDAY,70.0,"</t>
  </si>
  <si>
    <t>Ceridian, a leading provider of human resource and employment services, has shown strong financial performance in recent years. With a market cap of 10.36B and an enterprise value of 11.10B, the company has a solid financial foundation. However, its trailing P/E ratio of 2.21k and forward P/E ratio of 31.65 may indicate that the stock is currently overvalued.</t>
  </si>
  <si>
    <t>The company's PEG ratio of 5.36 suggests that its growth potential may not be fully reflected in its current stock price. Additionally, its price/sales ratio of 7.19 and price/book ratio of 4.57 are higher than the industry average, indicating that the stock may be trading at a premium.</t>
  </si>
  <si>
    <t>On the positive side, Ceridian's enterprise value/revenue ratio of 7.65 and enterprise value/EBITDA ratio of 54.77 are in line with industry averages, suggesting that the company is not overleveraged.</t>
  </si>
  <si>
    <t>Overall, Ceridian's financial data suggests that the stock may be overvalued, but the company has a strong financial foundation and potential for growth. Investors should closely monitor the stock and consider its long-term potential before making any investment decisions.</t>
  </si>
  <si>
    <t>ETN,70.0,"</t>
  </si>
  <si>
    <t>Eaton Corporation is a leading company in the Electrical Components &amp; Equipment industry with a recent market cap of 90.61B and an enterprise value of 98.34B. The company has a trailing P/E ratio of 30.38 and a forward P/E ratio of 22.57, indicating a potential undervaluation of the stock. However, the PEG ratio of 2.20 suggests that the stock may be slightly overvalued based on its expected growth rate.</t>
  </si>
  <si>
    <t>In terms of valuation metrics, Eaton Corporation has a price/sales ratio of 4.02 and a price/book ratio of 4.93, which are both higher than the industry average. This may indicate that the stock is currently trading at a premium compared to its peers. Additionally, the enterprise value/revenue ratio of 4.35 and the enterprise value/EBITDA ratio of 20.96 suggest that the stock may be overvalued based on its revenue and earnings.</t>
  </si>
  <si>
    <t>Overall, the recent financial data for Eaton Corporation suggests that the stock may be slightly overvalued. However, the company has a strong market position and a solid track record of financial performance, which may make it a good long-term investment option. Investors should closely monitor the company's future earnings reports and industry trends to make informed investment decisions.</t>
  </si>
  <si>
    <t>ODFL,70.0,"</t>
  </si>
  <si>
    <t>Old Dominion is a leading company in the Cargo Ground Transportation industry with a recent market cap of 40.69B and an enterprise value of 40.56B. The company has a trailing P/E ratio of 33.18 and a forward P/E ratio of 27.86, indicating a potential undervaluation of the stock. However, the PEG ratio of 3.24 suggests that the stock may be overvalued in relation to its expected growth. The price/sales ratio of 7.03 and price/book ratio of 10.01 also indicate a potential overvaluation of the stock. The enterprise value/revenue ratio of 6.92 and enterprise value/EBITDA ratio of 24.51 are in line with industry averages.</t>
  </si>
  <si>
    <t>Old Dominion has a strong financial position with a solid market cap and enterprise value. However, the company's valuation metrics suggest that the stock may be overvalued. Investors should closely monitor the company's financial performance and industry trends before making any investment decisions.</t>
  </si>
  <si>
    <t>LW,70.0,"</t>
  </si>
  <si>
    <t>Lamb Weston is a leading company in the Packaged Foods &amp; Meats industry with a recent market cap of 14.64B and an enterprise value of 17.95B. The company has a trailing P/E ratio of 14.53 and a forward P/E ratio of 18.76, indicating a potential growth in earnings. However, the PEG ratio of 5.70 suggests that the stock may be overvalued compared to its expected growth rate. The price/sales ratio of 2.50 and price/book ratio of 9.74 also indicate a relatively high valuation for the company.</t>
  </si>
  <si>
    <t>On the other hand, Lamb Weston has a strong enterprise value/revenue ratio of 3.05 and enterprise value/EBITDA ratio of 13.90, which suggests that the company is generating healthy profits and has a strong financial position.</t>
  </si>
  <si>
    <t>Overall, the recent financial data for Lamb Weston presents a mixed picture, with some indicators pointing towards potential growth and others indicating a relatively high valuation. Investors should closely monitor the company's performance and future earnings reports to make informed investment decisions.</t>
  </si>
  <si>
    <t>TSLA,70.0,"</t>
  </si>
  <si>
    <t>Tesla, Inc. is a leading company in the Automobile Manufacturers industry with a recent market cap of 761.07B and an enterprise value of 743.18B. The company has a trailing P/E ratio of 77.23 and a forward P/E ratio of 65.79, indicating a relatively high valuation. However, the PEG ratio of 2.70 suggests that the stock may still have room for growth. Tesla's price/sales ratio of 8.69 and price/book ratio of 14.23 are also higher than the industry average, indicating a premium valuation. The company's enterprise value/revenue ratio of 7.75 and enterprise value/EBITDA ratio of 45.55 are also higher than the industry average, suggesting that the stock may be overvalued.</t>
  </si>
  <si>
    <t>Tesla has been a pioneer in the electric vehicle market and has shown strong growth in recent years. However, the company has faced challenges in meeting production targets and has a history of volatility in its stock price. Additionally, the company's high valuation and potential regulatory changes in the industry may pose risks for investors.</t>
  </si>
  <si>
    <t>MKTX,70.0,"</t>
  </si>
  <si>
    <t>MarketAxess is a leading financial technology company that operates an electronic trading platform for fixed-income securities. The company has shown strong financial performance in recent years, with a market cap of 9.93B and an enterprise value of 9.57B. However, the latest financial data shows a trailing P/E ratio of 39.76 and a forward P/E ratio of 34.72, which may indicate that the stock is currently overvalued.</t>
  </si>
  <si>
    <t>The PEG ratio of 3.58 also suggests that the stock may be overpriced compared to its expected earnings growth. Additionally, the price/sales ratio of 13.44 and price/book ratio of 8.34 are higher than the industry average, further supporting the notion that the stock may be overvalued.</t>
  </si>
  <si>
    <t>On the positive side, MarketAxess has a strong position in the financial exchanges and data industry, with a dominant market share and a growing customer base. The company's electronic trading platform has seen increased adoption in recent years, and its expansion into new markets and products has the potential to drive future growth.</t>
  </si>
  <si>
    <t>Overall, while MarketAxess is a strong company with a solid financial position, the current valuation of the stock may be a cause for concern. Investors should carefully consider the company's growth potential and market conditions before making any investment decisions.</t>
  </si>
  <si>
    <t>PCG,70.0,"</t>
  </si>
  <si>
    <t>PG&amp;E Corporation is a multi-utility company with a recent market cap of $43.85B and an enterprise value of $99.22B. The company has a trailing P/E ratio of 20.05 and a forward P/E ratio of 12.77, indicating a potential undervaluation of the stock. The PEG ratio of 1.41 suggests that the stock may be slightly overvalued based on its expected growth rate. However, the price/sales ratio of 1.62 and price/book ratio of 1.82 are both below the industry average, indicating a potential value opportunity for investors.</t>
  </si>
  <si>
    <t>In terms of financial health, PG&amp;E Corporation has a relatively high enterprise value/revenue ratio of 4.36 and an enterprise value/EBITDA ratio of 15.62. This may be a cause for concern, as it suggests a high level of debt compared to its revenue and earnings. However, the company has been taking steps to improve its financial situation, including filing for bankruptcy in 2019 and implementing a wildfire mitigation plan.</t>
  </si>
  <si>
    <t>Overall, PG&amp;E Corporation has a mixed financial situation, with some potential value opportunities but also some concerns about its debt levels. Investors should closely monitor the company's progress in improving its financial health and consider the potential risks before making any investment decisions.</t>
  </si>
  <si>
    <t>GE,70.0,"</t>
  </si>
  <si>
    <t>General Electric (GE) is a multinational conglomerate company with a market cap of $130.40B and an enterprise value of $131.04B. The latest financial data shows a trailing P/E ratio of 12.47 and a forward P/E ratio of 25.77, indicating a potential increase in earnings in the future. The PEG ratio of 1.54 suggests that the stock may be undervalued compared to its expected growth rate. Additionally, the price/sales ratio of 1.57 and price/book ratio of 4.55 are both below the industry average, making GE a potentially attractive investment opportunity.</t>
  </si>
  <si>
    <t>However, it is worth noting that GE's enterprise value/revenue ratio of 1.56 and enterprise value/EBITDA ratio of 8.17 are slightly higher than the industry average, indicating a higher valuation for the company. This could be a concern for investors, as it may limit potential upside in the stock.</t>
  </si>
  <si>
    <t>Overall, GE's financial data suggests a mixed outlook for the company. While there are some positive indicators, such as a low PEG ratio and attractive price/sales and price/book ratios, there are also some concerns about the company's valuation. Investors should carefully consider these factors before making any investment decisions.</t>
  </si>
  <si>
    <t>JKHY,70.0,"</t>
  </si>
  <si>
    <t>Jack Henry &amp; Associates is a leading company in the Transaction &amp; Payment Processing Services industry with a recent market cap of 12.05B and an enterprise value of 12.26B. The company has a trailing P/E ratio of 33.41 and a forward P/E ratio of 32.79, indicating a relatively high valuation. However, the PEG ratio of 3.39 suggests that the stock may be overvalued compared to its expected growth rate.</t>
  </si>
  <si>
    <t>In terms of valuation multiples, Jack Henry &amp; Associates has a price/sales ratio of 5.70 and a price/book ratio of 7.26, both of which are higher than the industry average. The enterprise value/revenue ratio of 5.78 and the enterprise value/EBITDA ratio of 18.01 also indicate a relatively high valuation.</t>
  </si>
  <si>
    <t>Recent news in the industry, such as the increase in demand for digital payment solutions and the rise of fintech companies, may present both opportunities and challenges for Jack Henry &amp; Associates. The company's strong financial position and established reputation in the industry may give it a competitive advantage, but it will also need to adapt to changing market trends and competition.</t>
  </si>
  <si>
    <t>Overall, Jack Henry &amp; Associates appears to be a solid company with a strong market position, but its high valuation and potential challenges in the industry should be considered by investors. Based on the current financial data and industry trends, the potential investment value for the company in the next month is estimated to be around 70 out of 100.</t>
  </si>
  <si>
    <t>ISRG,70.0,"</t>
  </si>
  <si>
    <t>Intuitive Surgical is a leading company in the Health Care Equipment industry with a recent market cap of 109.23B and an enterprise value of 105.09B. The company has a trailing P/E ratio of 73.00 and a forward P/E ratio of 48.31, indicating a potential for future growth. However, the PEG ratio of 4.41 suggests that the stock may be overvalued compared to its expected earnings growth. The price/sales ratio of 16.17 and price/book ratio of 8.71 also indicate a relatively high valuation for the company. Additionally, the enterprise value/revenue ratio of 15.34 and enterprise value/EBITDA ratio of 50.19 suggest that the stock may be overvalued compared to its revenue and earnings.</t>
  </si>
  <si>
    <t>Recent news in the Health Care Equipment industry, such as the rise of AI technology and advancements in medical devices, may present opportunities for Intuitive Surgical to expand its market share and increase profitability. However, the company may also face challenges such as increasing competition and potential regulatory changes.</t>
  </si>
  <si>
    <t>Overall, while Intuitive Surgical has a strong market position and potential for growth, its current valuation may be a concern for investors. It is important to closely monitor the company's financial performance and industry developments before making any investment decisions.</t>
  </si>
  <si>
    <t>BA,70.0,"</t>
  </si>
  <si>
    <t>Boeing, a leading aerospace and defense company, has faced significant challenges in recent years, including the grounding of its 737 Max aircraft and the impact of the COVID-19 pandemic on the aviation industry. However, the latest financial data shows that the company is on a path to recovery.</t>
  </si>
  <si>
    <t>Boeing's market cap currently stands at 143.31B, with an enterprise value of 182.21B. The forward P/E ratio of 59.17 and PEG ratio of 6.53 suggest that the stock may be overvalued. However, the price/sales ratio of 1.89 and enterprise value/revenue ratio of 2.41 indicate that the stock may still have room for growth.</t>
  </si>
  <si>
    <t>One concerning factor is the high enterprise value/EBITDA ratio of 106.68, which may indicate a high level of debt. However, the company has taken steps to reduce its debt and improve its financial position.</t>
  </si>
  <si>
    <t>Overall, the recent financial data suggests that Boeing may be a risky investment, but with potential for growth. The company's success will depend on its ability to overcome past challenges and adapt to the changing landscape of the aerospace and defense industry.</t>
  </si>
  <si>
    <t>ABBV,65.0,"</t>
  </si>
  <si>
    <t>AbbVie is a leading pharmaceutical company with a recent market cap of 258.44B and an enterprise value of 305.90B. The company has a trailing P/E ratio of 40.10 and a forward P/E ratio of 13.21, indicating a potential undervaluation. However, the PEG ratio of 3.57 suggests that the stock may be overvalued in relation to its expected growth. The price/sales ratio of 4.71 and price/book ratio of 21.37 also indicate a potential overvaluation. The enterprise value/revenue ratio of 5.55 and enterprise value/EBITDA ratio of 30.98 are in line with industry averages.</t>
  </si>
  <si>
    <t>AbbVie has a strong financial position and a diverse portfolio of products, including its top-selling drug Humira. The company also has a robust pipeline of new drugs in development. However, there are concerns about the potential impact of patent expirations on its revenue in the future.</t>
  </si>
  <si>
    <t>Overall, AbbVie's financial data suggests a mixed outlook for the company. While it has a strong market position and potential for growth, there are also potential risks to consider. Investors should carefully evaluate the company's financial performance and future prospects before making any investment decisions.</t>
  </si>
  <si>
    <t>Score: 65"</t>
  </si>
  <si>
    <t>ANSS,65.0,"</t>
  </si>
  <si>
    <t>Ansys, a leading company in the Application Software industry, has a recent market cap of 24.50B and an enterprise value of 24.71B. The firm's latest trailing P/E ratio is 50.99, while the forward P/E ratio is 29.67. The PEG ratio, which measures the relationship between the stock's price, earnings, and growth, is at 3.36, indicating a potential overvaluation. The price/sales ratio is 11.41, and the price/book ratio is 4.89, both of which are higher than the industry average. The enterprise value/revenue ratio is 11.45, and the enterprise value/EBITDA ratio is 35.57, both of which are also higher than the industry average. Overall, the firm's financial data suggests a potential overvaluation and a higher risk for investors.</t>
  </si>
  <si>
    <t>APH,65.0,"</t>
  </si>
  <si>
    <t>Amphenol is a leading company in the Electronic Components industry with a recent market cap of 55.18B and an enterprise value of 57.74B. The firm has a trailing P/E ratio of 29.75 and a forward P/E ratio of 28.57, indicating a relatively high valuation. The PEG ratio, which measures the relationship between the stock's price, earnings, and growth potential, is at 5.68, suggesting that the stock may be overvalued. Additionally, the price/sales and price/book ratios are at 4.59 and 7.02 respectively, which are also relatively high compared to the industry average. However, the enterprise value/revenue and enterprise value/EBITDA ratios are at 4.63 and 19.49, respectively, which are in line with the industry average.</t>
  </si>
  <si>
    <t>Amphenol's latest financial data shows a strong financial position, with a high market cap and enterprise value. However, the high valuation metrics may indicate that the stock is currently overvalued. Investors should also consider the potential impact of the ongoing global chip shortage on the company's performance. Overall, Amphenol's financial data suggests a cautious approach to investing in the company.</t>
  </si>
  <si>
    <t>WDC,65.0,"</t>
  </si>
  <si>
    <t>Western Digital is a leading company in the Technology Hardware, Storage &amp; Peripherals industry with a recent market cap of 15.18B and an enterprise value of 20.82B. The company's price/sales ratio is 1.32 and its price/book ratio is 1.50, indicating that the stock may be undervalued. However, its enterprise value/revenue ratio of 1.84 and enterprise value/EBITDA ratio of -16.97 raise some concerns about the company's financial health.</t>
  </si>
  <si>
    <t>The latest news in the industry shows a rise in demand for storage and peripherals due to the increasing use of technology in various sectors. This could potentially benefit Western Digital as a major player in the market. However, the company has faced some challenges in the past year, including a decline in revenue and a decrease in market share.</t>
  </si>
  <si>
    <t>Overall, Western Digital's financial data and recent industry trends suggest a mixed outlook for the company. While there may be potential for growth in the future, investors should carefully consider the risks and uncertainties before making any investment decisions.</t>
  </si>
  <si>
    <t>EVRG,65.0,"</t>
  </si>
  <si>
    <t>Evergy, a leading electric utility company, has a recent market cap of 11.93B and an enterprise value of 24.65B. The company's trailing P/E ratio is 17.54 and its forward P/E ratio is 13.44, indicating a potential undervaluation. However, the PEG ratio of 2.56 suggests that the stock may be overvalued in relation to its expected growth. Evergy's price/sales ratio of 2.14 and price/book ratio of 1.22 are both below the industry average, indicating a potential buying opportunity. The company's enterprise value/revenue ratio of 4.40 and enterprise value/EBITDA ratio of 10.80 are also below the industry average, suggesting a potential undervaluation.</t>
  </si>
  <si>
    <t>Overall, Evergy's financial data suggests a mixed outlook for the company. While some ratios indicate potential undervaluation, others suggest overvaluation. Additionally, the company's recent performance has been impacted by regulatory changes and weather-related events. Investors should closely monitor the company's financial performance and industry trends before making any investment decisions.</t>
  </si>
  <si>
    <t>CLX,65.0,"</t>
  </si>
  <si>
    <t>Clorox, a leading household products company, has been facing some challenges in the recent months. The company's latest financial data shows a market cap of 17.67B and an enterprise value of 20.36B. However, its trailing P/E ratio of 206.43 and forward P/E ratio of 30.96 may be a cause for concern for investors. Additionally, the PEG ratio of 2.29 and price/sales ratio of 2.52 suggest that the stock may be overvalued.</t>
  </si>
  <si>
    <t>On the positive side, Clorox has a strong brand reputation and a diverse portfolio of products, which has helped it maintain a stable position in the market. The company has also been investing in innovation and sustainability, which can drive future growth.</t>
  </si>
  <si>
    <t>Considering the recent financial data and market trends, Clorox may face some challenges in the near future. However, its strong brand and focus on innovation may help it overcome these challenges and continue to be a leader in the household products industry.</t>
  </si>
  <si>
    <t>CHD,65.0,"</t>
  </si>
  <si>
    <t>Church &amp; Dwight is a leading company in the Household Products industry with a recent market cap of 23.04B and an enterprise value of 24.88B. The company has a trailing P/E ratio of 53.14 and a forward P/E ratio of 27.47, indicating a potential overvaluation of the stock. However, the PEG ratio of 1.92 suggests that the stock may still have growth potential. The price/sales ratio of 4.01 and price/book ratio of 5.69 are also relatively high, indicating a premium valuation for the company. The enterprise value/revenue ratio of 4.31 and enterprise value/EBITDA ratio of 28.03 are also on the higher side, suggesting that the stock may be overvalued.</t>
  </si>
  <si>
    <t>Recent news in the Household Products industry, such as the increase in demand for cleaning and personal care products due to the COVID-19 pandemic, may have a positive impact on Church &amp; Dwight's sales and earnings. However, the company may also face challenges in the form of rising raw material costs and potential supply chain disruptions.</t>
  </si>
  <si>
    <t>Overall, Church &amp; Dwight's financial data and recent industry trends suggest a mixed outlook for the company. Investors should carefully consider the company's valuation and potential risks before making any investment decisions.</t>
  </si>
  <si>
    <t>PANW,65.0,"</t>
  </si>
  <si>
    <t>Palo Alto Networks is a leading company in the Systems Software industry with a recent market cap of 90.58B and an enterprise value of 88.91B. The company has a high trailing P/E ratio of 161.40 and a forward P/E ratio of 54.35, indicating that investors are willing to pay a premium for its future earnings. However, the PEG ratio of 1.94 suggests that the stock may be overvalued compared to its expected growth rate. The price/sales ratio of 13.76 and price/book ratio of 41.73 also indicate a relatively high valuation for the company. Additionally, the enterprise value/revenue ratio of 12.34 and enterprise value/EBITDA ratio of 80.27 suggest that the company may be overvalued based on its revenue and earnings. Overall, while Palo Alto Networks is a strong company in the Systems Software industry, its high valuation metrics may make it a risky investment.</t>
  </si>
  <si>
    <t>BXP,65.0,"</t>
  </si>
  <si>
    <t>Boston Properties is a real estate investment trust (REIT) that specializes in owning and operating office buildings. The recent financial data for the company shows a market cap of $9.93B and an enterprise value of $24.60B. The trailing P/E ratio is 51.44, which is higher than the industry average, indicating that the stock may be overvalued. However, the forward P/E ratio of 26.45 suggests that the company's earnings are expected to improve in the future.</t>
  </si>
  <si>
    <t>The PEG ratio, which takes into account the company's expected growth, is 4.12, indicating that the stock may be overvalued based on its growth prospects. The price/sales ratio of 3.07 and price/book ratio of 1.72 are both below the industry average, suggesting that the stock may be undervalued in terms of its sales and book value.</t>
  </si>
  <si>
    <t>The enterprise value/revenue ratio of 7.61 and enterprise value/EBITDA ratio of 14.84 are both higher than the industry average, indicating that the stock may be overvalued based on these metrics. However, it is important to note that these ratios can vary significantly depending on the industry and the company's specific business model.</t>
  </si>
  <si>
    <t>Overall, the financial data for Boston Properties suggests that the stock may be overvalued in some areas and undervalued in others. Investors should carefully consider the company's growth prospects and industry trends before making any investment decisions.</t>
  </si>
  <si>
    <t>JBHT,65.0,"</t>
  </si>
  <si>
    <t>J.B. Hunt is a leading company in the Cargo Ground Transportation industry with a recent market cap of 19.40B and an enterprise value of 20.77B. The company has a trailing P/E ratio of 25.31 and a forward P/E ratio of 22.22, indicating a potential undervaluation of the stock. However, the PEG ratio of 5.22 suggests that the stock may be overvalued in relation to its expected growth. The price/sales ratio of 1.49 and price/book ratio of 4.83 also indicate a potential overvaluation of the stock.</t>
  </si>
  <si>
    <t>In terms of financial performance, J.B. Hunt has a strong enterprise value/revenue ratio of 1.58 and a relatively high enterprise value/EBITDA ratio of 11.62. This suggests that the company may be generating strong revenues and profits, but at a higher cost.</t>
  </si>
  <si>
    <t>Overall, J.B. Hunt's financial data presents a mixed picture, with some indicators pointing towards potential undervaluation and others suggesting overvaluation. Investors should closely monitor the company's performance and industry trends before making any investment decisions.</t>
  </si>
  <si>
    <t>HBAN,65.0,"          Enterprise Value  16.96B</t>
  </si>
  <si>
    <t>Huntington Bancshares is a regional bank with a recent market cap of 16.96B. The company has a trailing P/E ratio of 7.75 and a forward P/E ratio of 8.94, indicating that the stock may be undervalued. However, the PEG ratio of 2.79 suggests that the stock may be overvalued in relation to its expected growth. The price/sales ratio of 2.28 and price/book ratio of 1.06 also indicate that the stock may be trading at a premium. The enterprise value of 16.96B is in line with the market cap, suggesting that the company is not carrying a significant amount of debt.</t>
  </si>
  <si>
    <t>Overall, the financial data for Huntington Bancshares is mixed, with some indicators pointing towards undervaluation and others towards overvaluation. The company's recent performance and future growth potential will be key factors in determining its investment value.</t>
  </si>
  <si>
    <t>PODD,65.0,"</t>
  </si>
  <si>
    <t>Insulet is a leading company in the Health Care Equipment industry with a recent market cap of 13.22B and an enterprise value of 13.97B. The company has a high trailing P/E ratio of 110.06 and a forward P/E ratio of 81.30, indicating that investors are willing to pay a premium for its future earnings. The PEG ratio of 0.56 suggests that the stock may be undervalued, as it is trading at a lower multiple compared to its expected earnings growth. However, the price/sales ratio of 8.57 and price/book ratio of 21.76 are relatively high, indicating that the stock may be overvalued based on these metrics.</t>
  </si>
  <si>
    <t>Insulet's latest financial data also shows a strong enterprise value/revenue ratio of 8.97 and an enterprise value/EBITDA ratio of 59.78, which are higher than the industry average. This suggests that the company may be overvalued compared to its peers.</t>
  </si>
  <si>
    <t>Overall, Insulet's financial data presents a mixed picture, with some metrics indicating potential undervaluation and others suggesting overvaluation. Investors should carefully consider the company's financials and industry trends before making any investment decisions.</t>
  </si>
  <si>
    <t>VLTO,60.0,"</t>
  </si>
  <si>
    <t>Veralto, a company in the Environmental &amp; Facilities Services industry, has a recent market cap of 18.68B and an enterprise value of 20.86B. The trailing P/E ratio is 25.88 and the forward P/E ratio is 23.98, indicating a relatively high valuation. The price/sales ratio is 3.73 and the price/book ratio is 17.99, both of which are above industry averages. The enterprise value/revenue ratio is 4.18 and the enterprise value/EBITDA ratio is 17.57, suggesting that the company may be overvalued compared to its revenue and earnings.</t>
  </si>
  <si>
    <t>Overall, the financial data for Veralto shows a company with a strong market capitalization and enterprise value, but with relatively high valuation ratios. This may indicate that the stock is currently overvalued and may not be a good investment opportunity at this time.</t>
  </si>
  <si>
    <t>Score: 60"</t>
  </si>
  <si>
    <t>COR,60.0,"</t>
  </si>
  <si>
    <t>Cencora, a leading company in the Health Care Distributors industry, has a recent market cap of 40.02B and an enterprise value of 42.22B. The firm's trailing P/E ratio is 23.53 and its forward P/E ratio is 15.58, indicating a potential undervaluation. However, the PEG ratio of 3.13 suggests that the stock may be overvalued in relation to its expected growth. The price/sales ratio of 0.16 and price/book ratio of 76.67 also indicate a potential overvaluation. The enterprise value/revenue ratio of 0.16 and enterprise value/EBITDA ratio of 12.35 suggest that the company may be trading at a premium compared to its revenue and earnings. Overall, the firm's financial data presents a mixed picture, with some indicators pointing towards undervaluation and others towards overvaluation.</t>
  </si>
  <si>
    <t>SEDG,60.0,"</t>
  </si>
  <si>
    <t>SolarEdge is a leading company in the Semiconductor Materials &amp; Equipment industry with a recent market cap of 4.58B and an enterprise value of 4.29B. The company has a trailing P/E ratio of 21.80 and a forward P/E ratio of 123.46, indicating a potential overvaluation. The PEG ratio of 5.01 also suggests that the stock may be overpriced compared to its expected growth rate. However, the price/sales ratio of 1.34 and price/book ratio of 1.84 are relatively low, indicating a potential undervaluation.</t>
  </si>
  <si>
    <t>In terms of financial performance, SolarEdge has a strong enterprise value/revenue ratio of 1.21, indicating efficient use of its assets to generate revenue. However, the enterprise value/EBITDA ratio of 12.39 is relatively high, suggesting that the company may be overvalued based on its earnings.</t>
  </si>
  <si>
    <t>Overall, the recent financial data for SolarEdge presents a mixed picture, with some indicators pointing towards potential overvaluation and others suggesting undervaluation. Investors should closely monitor the company's performance and industry trends before making any investment decisions.</t>
  </si>
  <si>
    <t>AVY,60.0,"</t>
  </si>
  <si>
    <t>Avery Dennison is a leading company in the Paper &amp; Plastic Packaging Products &amp; Materials industry with a recent market cap of 15.55B and an enterprise value of 18.66B. The company has a trailing P/E ratio of 32.52 and a forward P/E ratio of 19.92, indicating a potential undervaluation of the stock. However, the PEG ratio of 3.56 suggests that the stock may be overvalued in relation to its expected growth. The price/sales ratio of 1.90 and price/book ratio of 7.54 also indicate a potential overvaluation of the stock. The enterprise value/revenue ratio of 2.25 and enterprise value/EBITDA ratio of 17.45 suggest that the company may be slightly overvalued in relation to its revenue and earnings. Overall, the recent financial data of Avery Dennison presents a mixed picture, with some indicators pointing towards undervaluation and others towards overvaluation.</t>
  </si>
  <si>
    <t>RSG,60.0,"</t>
  </si>
  <si>
    <t>Republic Services is a leading company in the Environmental &amp; Facilities Services industry with a recent market cap of 50.92B and an enterprise value of 62.94B. The company has a trailing P/E ratio of 31.37 and a forward P/E ratio of 27.78, indicating a potential undervaluation of the stock. However, the PEG ratio of 2.83 suggests that the stock may be slightly overvalued based on its expected growth rate. The price/sales ratio of 3.49 and price/book ratio of 4.93 also indicate a potential overvaluation of the stock. The enterprise value/revenue ratio of 4.29 and enterprise value/EBITDA ratio of 15.28 suggest that the company may be slightly overvalued compared to its revenue and earnings. Overall, the financial data of Republic Services presents a mixed picture, with some indicators pointing towards undervaluation and others towards overvaluation.</t>
  </si>
  <si>
    <t>FRT,60.0,"</t>
  </si>
  <si>
    <t>Federal Realty is a real estate investment trust (REIT) that specializes in retail properties. The company has a recent market cap of $8.08B and an enterprise value of $12.74B. Its trailing P/E ratio is 28.79 and its forward P/E ratio is 35.34, indicating that the stock may be slightly overvalued. The PEG ratio, which takes into account the company's expected growth, is 7.12, suggesting that the stock may be overvalued compared to its growth potential. The price/sales ratio is 7.19 and the price/book ratio is 2.97, both of which are higher than the industry average. The enterprise value/revenue ratio is 11.37 and the enterprise value/EBITDA ratio is 16.35, both of which are also higher than the industry average.</t>
  </si>
  <si>
    <t>The recent news and events in the retail industry, such as the rise of e-commerce and the impact of the COVID-19 pandemic, have had a significant impact on Federal Realty's performance. The company has been able to maintain a stable occupancy rate and collect a majority of its rent during the pandemic, which is a positive sign. However, the ongoing uncertainty in the retail sector and potential changes in consumer behavior may pose challenges for the company in the future.</t>
  </si>
  <si>
    <t>Based on the current financial data and industry trends, Federal Realty may face some challenges in the short term. However, the company has a strong portfolio of properties and a solid track record of performance, which may provide stability in the long term. Therefore, the potential investment value for Federal Realty in the next month may be moderate.</t>
  </si>
  <si>
    <t>EW,60.0,"</t>
  </si>
  <si>
    <t>Edwards Lifesciences is a leading company in the Health Care Equipment industry with a recent market cap of 42.15B and an enterprise value of 40.97B. The company has a trailing P/E ratio of 29.70 and a forward P/E ratio of 25.00, indicating a potential undervaluation of the stock. However, the PEG ratio of 4.20 suggests that the stock may be overvalued in relation to its expected growth rate.</t>
  </si>
  <si>
    <t>The latest financial data also shows a price/sales ratio of 7.30 and a price/book ratio of 6.33, which are both higher than the industry average. This may indicate that the stock is currently trading at a premium compared to its peers. Additionally, the enterprise value/revenue ratio of 7.04 and the enterprise value/EBITDA ratio of 21.68 suggest that the stock may be overvalued in relation to its revenue and earnings.</t>
  </si>
  <si>
    <t>Overall, the financial data for Edwards Lifesciences presents a mixed picture, with some indicators pointing towards potential undervaluation and others suggesting overvaluation. Investors should carefully consider the company's growth prospects and industry trends before making any investment decisions.</t>
  </si>
  <si>
    <t>CPB,60.0,"</t>
  </si>
  <si>
    <t>Campbell Soup Company is a leading player in the Packaged Foods &amp; Meats industry with a recent market cap of 12.89B and an enterprise value of 17.50B. The company has a trailing P/E ratio of 16.38 and a forward P/E ratio of 13.95, indicating that the stock may be undervalued. However, the PEG ratio of 2.46 suggests that the stock may be overvalued in relation to its expected growth. The price/sales ratio of 1.40 and price/book ratio of 3.43 also indicate that the stock may be trading at a premium. The enterprise value/revenue ratio of 1.87 and enterprise value/EBITDA ratio of 10.28 suggest that the company may be overvalued in comparison to its revenue and earnings.</t>
  </si>
  <si>
    <t>Recent news in the Packaged Foods &amp; Meats industry, such as rising commodity prices and supply chain disruptions, may have a negative impact on Campbell Soup Company's financial performance. However, the company has a strong brand and a diverse portfolio of products, which may help mitigate these challenges.</t>
  </si>
  <si>
    <t>Based on the current financial data and industry trends, the potential investment value of Campbell Soup Company for the next month is moderate. Investors should closely monitor the company's financial performance and industry developments before making any investment decisions.</t>
  </si>
  <si>
    <t>INVH,60.0,"</t>
  </si>
  <si>
    <t>Invitation Homes (INVH) is a leading single-family residential real estate investment trust (REIT) with a recent market cap of $20.17B and an enterprise value of $27.95B. The company has a trailing P/E ratio of 40.69 and a forward P/E ratio of 42.73, indicating a relatively high valuation. However, the PEG ratio of 5.68 suggests that the stock may be overvalued compared to its expected earnings growth.</t>
  </si>
  <si>
    <t>INVH has a price/sales ratio of 8.46 and a price/book ratio of 1.97, which are both below the industry average. This could indicate that the stock is undervalued compared to its peers. However, the enterprise value/revenue ratio of 11.71 and the enterprise value/EBITDA ratio of 18.91 are both higher than the industry average, suggesting that the stock may be overvalued based on these metrics.</t>
  </si>
  <si>
    <t>Overall, INVH's financial data suggests a mixed picture in terms of valuation. While some metrics indicate that the stock may be overvalued, others suggest that it may be undervalued compared to its peers. Investors should carefully consider these factors before making any investment decisions.</t>
  </si>
  <si>
    <t>KIM,60.0,"</t>
  </si>
  <si>
    <t>Kimco Realty (KIM) is a real estate investment trust (REIT) that specializes in shopping centers and retail properties. The recent financial data for the company shows a market cap of $12.51B and an enterprise value of $19.00B. The trailing P/E ratio is 28.42 and the forward P/E ratio is 27.62, indicating that the stock may be slightly overvalued. The PEG ratio of 3.92 suggests that the stock may be overvalued compared to its expected growth rate. The price/sales ratio of 7.05 and price/book ratio of 1.30 are both below the industry average, indicating that the stock may be undervalued in these metrics. However, the enterprise value/revenue ratio of 10.72 and enterprise value/EBITDA ratio of 15.04 are both above the industry average, suggesting that the stock may be overvalued in these metrics.</t>
  </si>
  <si>
    <t>Overall, the financial data for Kimco Realty is mixed, with some metrics indicating potential undervaluation and others suggesting potential overvaluation. Investors should closely monitor the company's performance and industry trends before making any investment decisions.</t>
  </si>
  <si>
    <t>TYL,60.0,"</t>
  </si>
  <si>
    <t>Tyler Technologies is a leading company in the Application Software industry with a recent market cap of 17.03B and an enterprise value of 17.67B. The firm has a trailing P/E ratio of 109.26 and a forward P/E ratio of 45.45, indicating a potential overvaluation of the stock. The PEG ratio of 3.23 suggests that the stock may be overvalued compared to its expected growth rate. Additionally, the price/sales ratio of 8.96 and price/book ratio of 5.97 also indicate a potential overvaluation of the stock.</t>
  </si>
  <si>
    <t>However, the firm's enterprise value/revenue ratio of 9.19 and enterprise value/EBITDA ratio of 45.61 are in line with industry averages, suggesting that the company may be performing well financially.</t>
  </si>
  <si>
    <t>Overall, the recent financial data for Tyler Technologies presents a mixed picture, with some indicators pointing towards overvaluation and others suggesting a strong financial performance. Investors should carefully consider these factors before making any investment decisions.</t>
  </si>
  <si>
    <t>BF.B,,"Investment Report:</t>
  </si>
  <si>
    <t>Brown-Forman is a leading company in the Distillers &amp; Vintners industry, known for its popular brands such as Jack Daniel's and Woodford Reserve. The company has a strong financial track record, with consistent revenue and profit growth over the years. However, in the absence of recent news or financial data, it is difficult to accurately assess the potential investment value of the company for the next month.</t>
  </si>
  <si>
    <t>Brown-Forman operates in a highly competitive market, with increasing competition from craft distilleries and changing consumer preferences. The company has been investing in innovation and expanding its product portfolio to stay ahead of the competition. However, without recent updates on their performance, it is challenging to determine the effectiveness of these strategies.</t>
  </si>
  <si>
    <t>Additionally, the ongoing COVID-19 pandemic has had a significant impact on the alcohol industry, with restrictions on bars and restaurants affecting sales. While the company has a strong presence in the off-premise market, the situation is constantly evolving, and it is uncertain how it will affect Brown-Forman's sales in the coming months.</t>
  </si>
  <si>
    <t>Overall, Brown-Forman has a strong brand reputation and a solid financial foundation, but without recent news or financial data, it is difficult to accurately predict the company's performance in the next month. Investors should closely monitor any updates from the company and the industry as a whole before making any investment decisions.</t>
  </si>
  <si>
    <t>The biotechnology sector has been experiencing significant growth in recent years, driven by advancements in technology and increased demand for healthcare solutions. However, there are some potential challenges on the horizon that could impact the sector's performance. The ongoing geopolitical tensions in Europe and the Middle East, as well as potential regulatory changes in the tech sector, may create uncertainty for biotech companies. Additionally, the recent surge in AI technology and its potential impact on the healthcare industry could also be a factor to consider. Overall, while the biotech sector has strong potential for growth, investors should closely monitor these external factors and their potential impact on the sector.</t>
  </si>
  <si>
    <t>The personal care products sector has shown resilience in the face of recent economic events. Despite the ongoing geopolitical tensions and potential regulatory changes, the sector has continued to perform well. The surge in productivity and falling oil prices have had a positive impact on the sector, leading to increased profitability and potential for growth. However, the weaker-than-expected private sector jobs report and potential slowdown in consumer spending may pose challenges for the sector in the future. Overall, the sector shows potential for investment, but investors should closely monitor economic data and consumer trends to make informed decisions.</t>
  </si>
  <si>
    <t>The IT services sector has been experiencing significant growth in recent years, driven by technological advancements and the increasing demand for digital solutions. However, the ongoing geopolitical tensions and potential regulatory changes in the tech industry may pose some risks for this sector. The recent surge in productivity and falling oil prices may have a positive impact on the sector, but weaker job growth and potential regulatory changes could lead to increased volatility in the stock market.</t>
  </si>
  <si>
    <t>The technology hardware, storage, and peripherals sector has seen significant advancements in the past year, with the rise of generative AI models and the increasing ubiquity of AI tools. However, there are also concerns about potential regulatory changes in the tech sector and the ongoing geopolitical tensions in Europe and the Middle East. These factors may lead to increased volatility and uncertainty in the sector, but the surge in productivity and falling oil prices could also have a positive impact on corporate profits and consumer spending.</t>
  </si>
  <si>
    <t>The professional services sector has shown resilience in the face of recent economic events. The surge in productivity and falling oil prices have had a positive impact on this sector, leading to increased profitability and potential for growth. However, concerns about weaker job growth and potential regulatory changes may lead to increased volatility in the stock market for companies in this sector. Investors should closely monitor economic data and corporate earnings reports to make informed investment decisions.</t>
  </si>
  <si>
    <t>The interactive media and services sector has seen significant growth in recent years, driven by technological advancements and the increasing demand for digital content and services. However, there are some potential risks and challenges that investors should consider. The ongoing geopolitical tensions in Europe and the Middle East, as well as the potential for increased regulation in the tech sector, could impact the sector's performance. Additionally, the recent surge in AI models and chatbot applications has reshaped the industry, offering both risks and opportunities for investors.</t>
  </si>
  <si>
    <t>The health care REIT sector has been impacted by recent macro-economic events, including the COVID-19 pandemic and geopolitical tensions. However, the sector has shown resilience and potential for growth. With the end of the pandemic and the availability of vaccines, the demand for health care facilities is expected to increase. Additionally, the aging population and advancements in medical technology are also driving the growth of this sector. However, investors should remain cautious of potential regulatory changes and geopolitical risks that may affect the sector's performance.</t>
  </si>
  <si>
    <t>The hotel and resort REIT sector has faced challenges in the past year due to the COVID-19 pandemic and ongoing geopolitical tensions. However, recent news suggests a potential for recovery and growth in the sector. The increase in mortgage refinance demand and falling oil prices can benefit the hospitality industry, leading to potential increases in occupancy rates and revenue. Additionally, the merger of two major amusement park companies and the positive outcome of the Major League Baseball World Series can also have a positive impact on the sector. However, investors should remain vigilant of potential regulatory changes and geopolitical risks that may affect the sector's performance.</t>
  </si>
  <si>
    <t>The industrial REIT sector has shown strong performance in recent years, driven by the growth of e-commerce and the increasing demand for warehouse and distribution space. However, there are some potential concerns on the horizon that could impact the sector's performance. The ongoing geopolitical tensions in Europe and the Middle East could lead to disruptions in global trade and potentially affect the demand for industrial real estate. Additionally, the rise of generative AI models and potential regulatory changes in the tech sector could also have implications for the sector. Overall, while the industrial REIT sector has potential for growth, investors should closely monitor these factors and assess the potential risks.</t>
  </si>
  <si>
    <t>The health care providers and services sector has been impacted by various macro-economic events in 2023. The removal of COVID-19 restrictions and the availability of vaccines have led to a more stable environment for the sector. However, geopolitical tensions in Europe and the Middle East, as well as technological advancements and potential regulatory changes, have created some uncertainty. The sector has also seen a surge in demand for health care services due to the pandemic, but weaker job growth and potential changes in financial regulations may affect the profitability of companies in this sector.</t>
  </si>
  <si>
    <t>The aerospace and defense sector has been impacted by various macro-economic events in 2023. The removal of COVID-19 restrictions and the availability of vaccines have led to a rebound in air travel, which is positive for the aerospace industry. However, geopolitical tensions in Europe and the Middle East, as well as potential regulatory changes, may create uncertainty for the sector. Additionally, the recent surge in oil prices may increase production costs for aerospace companies. Overall, the sector has shown resilience and potential for growth, but investors should closely monitor global events and their impact on the industry.</t>
  </si>
  <si>
    <t>The food products sector has been relatively stable in the recent economic climate. With the COVID-19 pandemic no longer a factor and the rise of generative AI models, the sector has seen steady growth. However, geopolitical tensions in Europe and the Middle East conflict may create potential disruptions to trade and energy supplies, which could impact the sector. Additionally, the recent AI Safety Summit Agreement and potential for increased regulation in the tech sector may also have implications for food product companies that utilize AI technology.</t>
  </si>
  <si>
    <t>The recent economic news for the retail REITs sector is mixed. On one hand, there has been a surge in productivity and falling oil prices, which can benefit the sector. However, there are also concerns about weaker job growth and potential regulatory changes, which may impact consumer spending and the overall economy. Additionally, the ongoing COVID-19 pandemic and geopolitical tensions in Europe and the Middle East may also have an indirect impact on the sector.</t>
  </si>
  <si>
    <t>The media sector has seen significant advancements in technology, with the rise of AI models and the increasing ubiquity of AI tools. This has led to both risks and opportunities for tech-focused investors. However, there is also the potential for increased regulation in the tech sector, which could impact companies in the media industry. Additionally, the ongoing conflicts in the Middle East and geopolitical tensions in Europe may also have implications for the media sector, particularly in terms of energy prices and global market sentiment. Overall, the outlook for the media sector is mixed, with potential for growth but also potential challenges to consider.</t>
  </si>
  <si>
    <t>The air freight and logistics sector has been impacted by a mix of positive and negative economic news. On one hand, falling oil prices and surging productivity are positive indicators for the sector, as they can lead to lower transportation costs and increased profitability. However, weaker job growth and potential regulatory changes may create uncertainty and volatility in the sector. Investors should closely monitor economic data and corporate earnings reports to make informed investment decisions.</t>
  </si>
  <si>
    <t>The water utilities sector has been relatively stable in recent years, with steady demand for water services and consistent revenue streams. However, there are some potential challenges on the horizon that could impact the sector's performance. The ongoing geopolitical tensions in Europe and the Middle East could lead to disruptions in energy supplies, which could affect the cost of water production and distribution. Additionally, the rise of generative AI models and potential for increased regulation in the tech sector could also have implications for water utilities companies. Overall, while the sector may continue to provide steady returns, investors should closely monitor these potential risks.</t>
  </si>
  <si>
    <t>The recent news about the state of the economy and stock market has mixed implications for the electrical equipment sector. On one hand, the surge in productivity and falling oil prices can benefit companies in this sector, as they may see increased demand for their products and lower production costs. However, the weaker-than-expected private sector jobs report and potential regulatory changes could lead to uncertainty and volatility in the stock market, which may impact the performance of electrical equipment companies.</t>
  </si>
  <si>
    <t>The trading companies and distributors sector has seen mixed news in recent months. On one hand, there has been a surge in productivity and falling oil prices, which can benefit businesses and consumers. However, there are also concerns about weaker job growth and potential regulatory changes that may impact the profitability of financial institutions. Overall, the sector may experience increased volatility and uncertainty in the stock market.</t>
  </si>
  <si>
    <t>The recent economic news for the multi-utilities sector is mixed. On one hand, falling oil prices and a surge in productivity are positive indicators for the sector. However, weaker job growth and potential regulatory changes may lead to increased volatility and uncertainty. Investors should closely monitor economic data and corporate earnings reports to make informed investment decisions.</t>
  </si>
  <si>
    <t>The passenger airline sector has faced significant challenges in the past year due to the COVID-19 pandemic and ongoing geopolitical tensions. However, recent news of the removal of COVID-19 restrictions and the availability of vaccines is a positive sign for the sector. Additionally, falling oil prices and increased demand for mortgage refinancing may lead to lower operating costs and increased consumer spending, which could benefit the sector. However, concerns about weaker job growth and potential regulatory changes may lead to volatility in the stock market for airline companies.</t>
  </si>
  <si>
    <t>The transportation infrastructure sector has seen mixed news in recent months. On one hand, falling oil prices and increased productivity are positive indicators for the sector. However, weaker job growth and potential regulatory changes may lead to increased volatility and uncertainty. Additionally, the ongoing geopolitical tensions in Europe and the Middle East could potentially disrupt trade and impact the sector. Investors should closely monitor economic data and corporate earnings reports to make informed decisions about investing in this sector.</t>
  </si>
  <si>
    <t>The marine transportation sector has faced challenges in recent years due to the COVID-19 pandemic and geopolitical tensions. However, with the removal of COVID-19 restrictions and the potential for improved trade relations between the U.S. and China, there may be opportunities for growth in this sector. The recent surge in productivity and falling oil prices could also benefit companies in the marine transportation industry. However, investors should remain cautious and monitor potential disruptions to trade and energy supplies, as well as any regulatory changes that may impact this sector.</t>
  </si>
  <si>
    <t>The tobacco sector has faced challenges in recent years due to increasing regulations and declining smoking rates. However, the sector has shown resilience and has adapted to changing consumer preferences by diversifying into alternative products such as e-cigarettes. The recent news of falling oil prices and lower interest rates may also benefit the sector, as it can lead to lower production costs and increased consumer spending. However, the ongoing geopolitical tensions and potential for increased regulation in the tech sector may pose risks for tobacco companies that have invested in e-cigarette technology.</t>
  </si>
  <si>
    <t>The recent economic news for the beverages sector is mixed. On one hand, there is positive news about surging productivity and falling oil prices, which can benefit companies in this sector. However, there are also concerns about weaker job growth and potential regulatory changes, which may impact consumer spending and overall economic growth. Investors should closely monitor economic data and corporate earnings reports to make informed investment decisions in this sector.</t>
  </si>
  <si>
    <t>The recent economic news for the consumer staples distribution and retail sector is mixed. On one hand, falling oil prices and a surge in productivity are positive indicators for the sector. However, weaker job growth and potential regulatory changes may lead to increased volatility and uncertainty. Investors should closely monitor economic data and corporate earnings reports to make informed investment decisions.</t>
  </si>
  <si>
    <t>The recent news and economic data suggest a mixed outlook for the Diversified Consumer Services sector. On one hand, falling oil prices and a surge in productivity can benefit companies in this sector, potentially leading to increased profits and stock prices. However, weaker job growth and potential regulatory changes may create uncertainty and volatility in the market. Investors should closely monitor economic data and corporate earnings reports to make informed investment decisions.</t>
  </si>
  <si>
    <t>The recent news about the state of the economy and stock market has mixed implications for the financial services sector. On one hand, there are positive indicators such as surging productivity and falling oil prices, which can potentially lead to increased profits for financial institutions. However, there are also concerns about weaker job growth and potential regulatory changes, which may impact the profitability and lending capabilities of these institutions. Investors should closely monitor economic data and regulatory developments to make informed decisions about investing in the financial services sector.</t>
  </si>
  <si>
    <t>The recent news and economic data suggest a mixed outlook for the capital markets sector. On one hand, there are positive indicators such as surging productivity and falling oil prices, which can potentially drive corporate earnings and lead to higher stock prices. On the other hand, there are concerns about weaker job growth and potential regulatory changes, which can impact investor sentiment and lead to increased volatility in the stock market. Additionally, the ongoing geopolitical tensions in Europe and the Middle East may also have implications for the sector, as investors should monitor potential disruptions to trade and energy supplies.</t>
  </si>
  <si>
    <t>The recent news about the state of the economy and its potential impact on the banking sector is mixed. On one hand, there is a surge in productivity and falling oil prices, which can benefit banks through increased profitability and lower operating costs. However, there are also concerns about weaker job growth and potential regulatory changes, which can have a negative impact on lending and profitability. Investors should closely monitor economic data and regulatory developments to make informed decisions about investing in the banking sector.</t>
  </si>
  <si>
    <t>The pharmaceutical sector has been impacted by various macro-economic events in 2023. The removal of COVID-19 restrictions and the availability of vaccines have led to a decrease in the demand for COVID-related treatments, potentially affecting the revenue of pharmaceutical companies. Geopolitical tensions in Europe and the Middle East may also have implications for the sector, as disruptions to trade and energy supplies can impact the production and distribution of pharmaceutical products. On the other hand, technological advancements in the AI industry have the potential to drive innovation and efficiency in the pharmaceutical sector. However, the recent AI Safety Summit Agreement and potential for increased regulation in the tech sector may also have an impact on pharmaceutical companies that utilize AI in their research and development processes.</t>
  </si>
  <si>
    <t>The recent news in the communications equipment sector has been mixed. On one hand, there has been a surge in productivity, which can lead to increased profits and economic growth. On the other hand, there are concerns about weaker job growth and potential regulatory changes, which can impact the sector's profitability. Additionally, the ongoing geopolitical tensions and conflicts in the Middle East may also have an impact on the sector, particularly for companies with exposure to the region. Overall, while there are potential opportunities for growth in the sector, investors should closely monitor economic data and regulatory developments to make informed investment decisions.</t>
  </si>
  <si>
    <t>The recent economic news for the independent power and renewable electricity producers sector is mixed. On one hand, falling oil prices and a surge in productivity are positive indicators for the sector. However, weaker job growth and potential regulatory changes may lead to increased volatility and uncertainty. Investors should closely monitor economic data and corporate earnings reports to make informed investment decisions.</t>
  </si>
  <si>
    <t>The residential REIT sector has been impacted by recent economic news, with falling interest rates leading to an increase in mortgage refinance demand. This could potentially stimulate the housing market and benefit companies in the sector. However, weaker-than-expected job growth and potential regulatory changes could also have a negative impact on the sector. Investors should closely monitor economic data and corporate earnings reports to make informed investment decisions.</t>
  </si>
  <si>
    <t>The recent news about the state of the economy and stock market has mixed implications for the Office REITs sector. On one hand, the surge in productivity and falling oil prices can benefit companies in this sector, as they may see increased demand for office space and lower operating costs. However, the weaker-than-expected private sector jobs report and potential regulatory changes could lead to uncertainty and volatility in the stock market, which may impact the performance of Office REITs.</t>
  </si>
  <si>
    <t>The recent news in the energy sector has been mixed, with falling oil prices and an increase in mortgage refinance demand being positive indicators. However, weaker-than-expected job growth and potential regulatory changes may lead to increased volatility in the stock market. Investors should closely monitor economic data and corporate earnings reports to make informed investment decisions.</t>
  </si>
  <si>
    <t>The oil, gas, and consumable fuels sector has seen mixed news in recent months. Falling oil prices have been positive for the economy, potentially boosting consumer spending and corporate profits. However, there are concerns about the ongoing conflict in the Middle East and its potential impact on global oil prices. Additionally, the announcement of Brazil joining OPEC+ may also have implications for the sector. Investors should closely monitor developments in the Middle East and global oil markets to make informed investment decisions.</t>
  </si>
  <si>
    <t>The recent economic news for the chemicals sector is mixed. On one hand, the surge in U.S. productivity and falling oil prices can benefit companies in this sector. However, weaker job growth and potential regulatory changes may lead to increased volatility and uncertainty. Investors should closely monitor economic data and corporate earnings reports to make informed investment decisions.</t>
  </si>
  <si>
    <t>The building products sector has shown mixed performance in recent months. On one hand, falling oil prices and a surge in productivity are positive indicators for the sector, as they can lead to lower production costs and increased profitability. However, weaker job growth and potential regulatory changes may create uncertainty and volatility in the sector. Additionally, the ongoing geopolitical tensions in Europe and the Middle East may impact global market sentiment and potentially affect the building products industry.</t>
  </si>
  <si>
    <t>The recent economic news for the containers and packaging sector is mixed. On one hand, there is positive news such as surging productivity and falling oil prices, which can benefit companies in this sector. However, there are also concerns about weaker job growth and potential regulatory changes, which may impact the sector's profitability. Additionally, the ongoing geopolitical tensions in Europe and the Middle East may also have implications for the global economy and trade, potentially affecting the containers and packaging industry.</t>
  </si>
  <si>
    <t>The recent economic news for the metals and mining sector is mixed. On one hand, the surge in U.S. productivity and falling oil prices can potentially benefit companies in this sector. However, the weaker-than-expected private sector jobs report and potential regulatory changes may lead to increased volatility and uncertainty. Investors should closely monitor economic data and company performance in this sector to make informed investment decisions.</t>
  </si>
  <si>
    <t>The paper and forest products sector has seen a mixed outlook in recent months. On one hand, there has been a surge in productivity, which can lead to increased profits and economic growth. However, there are also concerns about weaker job growth and potential regulatory changes, which can impact the sector's profitability. Additionally, falling oil prices may have a positive impact on the sector, as it can lower production costs. Overall, the sector's performance may be influenced by a combination of these factors, and investors should closely monitor economic data and corporate earnings reports to make informed investment decisions.</t>
  </si>
  <si>
    <t>The recent news about the state of the economy and stock market has mixed implications for the Diversified REITs sector. On one hand, falling oil prices and a surge in productivity can potentially benefit companies in this sector. However, weaker job growth and potential regulatory changes may lead to increased volatility and uncertainty. Additionally, the ongoing geopolitical tensions in Europe and the Middle East may also impact the sector, as it relies heavily on global market sentiment.</t>
  </si>
  <si>
    <t>The recent economic news for the Textiles, Apparel &amp; Luxury Goods sector is mixed. On one hand, falling oil prices and a surge in productivity can potentially benefit companies in this sector. However, weaker job growth and potential regulatory changes may lead to increased volatility and uncertainty. Additionally, the ongoing geopolitical tensions in Europe and the Middle East may also impact consumer sentiment and spending in the luxury goods market. Investors should closely monitor economic data and company earnings reports to make informed investment decisions in this sector.</t>
  </si>
  <si>
    <t>The recent economic news for the household products sector is mixed. On one hand, falling oil prices and a surge in productivity can benefit companies in this sector. However, weaker job growth and potential regulatory changes may lead to increased volatility and uncertainty. Investors should closely monitor economic data and corporate earnings reports to make informed investment decisions.</t>
  </si>
  <si>
    <t>The latest news and economic data suggest a mixed outlook for the specialty retail sector. On one hand, falling oil prices and increased mortgage refinance demand may benefit consumer spending and boost profits for companies in this sector. However, weaker job growth and potential regulatory changes could lead to increased volatility and uncertainty for investors. It is important for investors to closely monitor economic data and corporate earnings reports to make informed investment decisions.</t>
  </si>
  <si>
    <t>The recent economic news for the distributors sector is mixed. On one hand, the surge in U.S. productivity and falling oil prices can potentially benefit companies in this sector. However, the weaker-than-expected private sector jobs report and potential regulatory changes may lead to increased volatility and uncertainty. Investors should closely monitor economic data and corporate earnings reports to make informed investment decisions.</t>
  </si>
  <si>
    <t>The latest news and economic data suggest a mixed outlook for the automobile components sector. On one hand, the surge in U.S. productivity and falling oil prices can benefit the sector by reducing production costs and increasing consumer purchasing power. However, weaker job growth and potential regulatory changes may lead to increased volatility and uncertainty for the sector. Investors should closely monitor economic data and company performance to make informed investment decisions.</t>
  </si>
  <si>
    <t>The latest economic news suggests a mixed outlook for the insurance sector. On one hand, falling oil prices and surging productivity can potentially benefit insurance companies by reducing their operating costs and increasing their profitability. However, weaker job growth and potential regulatory changes may lead to increased volatility and uncertainty in the stock market, which can impact the insurance sector. Investors should closely monitor economic data and corporate earnings reports to make informed investment decisions.</t>
  </si>
  <si>
    <t>The recent news about the state of the economy and stock market has mixed implications for the consumer finance sector. On one hand, the surge in productivity and falling oil prices can potentially benefit companies in this sector. However, weaker job growth and potential regulatory changes may lead to increased volatility and uncertainty. Investors should closely monitor economic data and corporate earnings reports to make informed investment decisions in this sector.</t>
  </si>
  <si>
    <t>The recent news about the state of the economy and stock market has mixed implications for the Mortgage REIT sector. On one hand, falling interest rates and increased mortgage refinance demand can benefit these companies. However, weaker job growth and potential regulatory changes may pose challenges for the sector. Investors should closely monitor economic data and corporate earnings reports to make informed investment decisions.</t>
  </si>
  <si>
    <t>The latest economic news suggests a mixed outlook for the Electronic Equipment, Instruments &amp; Components sector. On one hand, there are positive indicators such as surging productivity and falling oil prices, which can benefit companies in this sector. However, there are also concerns about weaker job growth and potential regulatory changes, which may impact the profitability of these companies. Investors should closely monitor economic data and corporate earnings reports to make informed investment decisions in this sector.</t>
  </si>
  <si>
    <t>The construction and engineering sector has shown mixed performance in recent months. On one hand, falling oil prices and increased mortgage refinance demand have the potential to benefit companies in this sector. However, weaker-than-expected job growth and potential regulatory changes may lead to increased volatility and uncertainty. Investors should closely monitor economic data and corporate earnings reports to make informed investment decisions.</t>
  </si>
  <si>
    <t>The recent economic news for the household durables sector is mixed. On one hand, falling oil prices and a surge in productivity can potentially benefit companies in this sector. However, weaker job growth and potential regulatory changes may lead to increased volatility and uncertainty. Investors should closely monitor economic data and corporate earnings reports to make informed investment decisions.</t>
  </si>
  <si>
    <t>The latest news and economic data suggest a mixed outlook for the automobile sector. On one hand, the surge in productivity and falling oil prices can benefit the industry by reducing production costs and increasing consumer purchasing power. However, weaker job growth and potential regulatory changes may lead to increased volatility and uncertainty for the sector. Investors should closely monitor economic data and company performance to make informed investment decisions.</t>
  </si>
  <si>
    <t>The real estate management and development sector has been impacted by a mix of positive and negative economic news. On one hand, falling oil prices and a surge in productivity can potentially benefit this sector by reducing costs and increasing profitability. However, weaker job growth and potential regulatory changes may lead to uncertainty and volatility in the stock market. Additionally, the ongoing geopolitical tensions in Europe and the Middle East may also have an indirect impact on this sector. Investors should closely monitor economic data and market trends to make informed decisions regarding investments in this sector.</t>
  </si>
  <si>
    <t>The recent news in the electric utilities sector has been mixed. On one hand, there has been a surge in productivity, which can lead to increased profits for companies in this sector. However, there are also concerns about potential regulatory changes and the impact of falling oil prices on energy companies. Additionally, weaker job growth may also have an effect on consumer spending and the overall economy. Investors should closely monitor economic data and corporate earnings reports to make informed decisions about investing in this sector.</t>
  </si>
  <si>
    <t>The commercial services and supplies sector has shown mixed performance in recent months. On one hand, there has been a surge in productivity and falling oil prices, which can benefit businesses and consumers. However, there are also concerns about weaker job growth and potential regulatory changes, which can impact the sector's profitability. Investors should closely monitor economic data and corporate earnings reports to make informed investment decisions.</t>
  </si>
  <si>
    <t>The latest news and economic data suggest a mixed outlook for the machinery sector. On one hand, the surge in productivity and falling oil prices can benefit companies in this sector. However, weaker job growth and potential regulatory changes may lead to increased volatility and uncertainty. Investors should closely monitor economic data and corporate earnings reports to make informed investment decisions.</t>
  </si>
  <si>
    <t>The industrial conglomerates sector has shown mixed performance in recent months. On one hand, there has been a surge in productivity and falling oil prices, which can benefit companies in this sector. However, there are also concerns about weaker job growth and potential regulatory changes, which may impact profitability. Investors should closely monitor economic data and corporate earnings reports to make informed investment decisions in this sector.</t>
  </si>
  <si>
    <t>The recent news about the state of the economy and stock market has mixed implications for the specialized REITs sector. On one hand, falling oil prices and a surge in productivity can benefit REITs that focus on energy-related properties. However, weaker job growth and potential regulatory changes may lead to increased volatility and uncertainty for REITs in other industries. Additionally, the ongoing geopolitical tensions and conflicts in the Middle East may also impact the sector, particularly for REITs with exposure to the region.</t>
  </si>
  <si>
    <t>The construction materials sector has shown mixed performance in recent months. On one hand, falling oil prices have been positive for the sector, potentially leading to lower production costs and increased profitability for companies in this industry. However, weaker-than-expected job growth and potential regulatory changes may have a negative impact on the sector. Investors should closely monitor economic data and corporate earnings reports to make informed investment decisions.</t>
  </si>
  <si>
    <t>The recent news in the hospitality and leisure industry has been mixed. On one hand, the increase in mortgage refinance demand and falling oil prices may benefit companies in this sector. However, the weaker-than-expected private sector jobs report and potential regulatory changes could have a negative impact on consumer spending and profitability. Additionally, the ongoing geopolitical tensions and conflicts in the Middle East may also affect the tourism industry. Overall, the outlook for this sector is uncertain and investors should closely monitor economic data and company performance before making any investment decisions.</t>
  </si>
  <si>
    <t>The recent news about the state of the economy and stock market has mixed implications for the ground transportation sector. On one hand, falling oil prices and increased mortgage refinance demand may benefit companies in this sector. However, weaker job growth and potential regulatory changes could lead to increased volatility and uncertainty. Investors should closely monitor economic data and corporate earnings reports to make informed investment decisions.</t>
  </si>
  <si>
    <t>The latest news and economic data suggest a mixed outlook for the broadline retail sector. On one hand, falling oil prices and increased mortgage refinance demand may lead to higher consumer spending, which can benefit retail companies. However, weaker-than-expected job growth and potential regulatory changes may create uncertainty and volatility in the stock market, which can impact the sector's performance. Investors should closely monitor economic indicators and corporate earnings reports to make informed investment decisions.</t>
  </si>
  <si>
    <t>The leisure products sector has seen mixed news in recent months. On one hand, the merger between Six Flags and Cedar Fair could potentially lead to increased profits and growth in the leisure and tourism industry. On the other hand, the ongoing conflict in the Middle East and potential disruptions to global oil prices could have a negative impact on the sector. Additionally, the rise of generative AI models and potential for increased regulation in the tech sector may also affect companies in this sector. Overall, the outlook for the leisure products sector is uncertain and investors should closely monitor economic and geopolitical developments.</t>
  </si>
  <si>
    <t>The recent news in the telecommunications sector has been mixed. On one hand, there has been a surge in mortgage refinance demand due to falling interest rates, which can stimulate consumer spending and potentially benefit companies in the sector. On the other hand, there are concerns about potential regulatory changes and weaker job growth, which may lead to increased volatility and uncertainty for investors. Additionally, the ongoing geopolitical tensions in Europe and the Middle East may also impact the sector, as it relies heavily on global trade and energy supplies. Overall, the outlook for the diversified telecommunications services sector is uncertain, and investors should closely monitor economic data and market trends before making any investment decisions.</t>
  </si>
  <si>
    <t>The entertainment sector has seen a mix of positive and negative news in recent months. On one hand, the Texas Rangers winning the World Series and the announcement of a major amusement park merger may indicate potential growth in the industry. However, the ongoing conflict in the Middle East and the potential for increased regulation in the tech sector may have a negative impact on the sector. Additionally, the rise of generative AI models and the potential for job displacement may also be a concern for investors. Overall, the outlook for the entertainment sector is uncertain and investors should closely monitor developments in the industry.</t>
  </si>
  <si>
    <t>The recent news in the wireless telecommunication services sector has been mixed. On one hand, there has been a surge in productivity and falling oil prices, which can benefit companies in this sector. However, there are also concerns about weaker job growth and potential regulatory changes, which may impact the profitability of these companies. Overall, the outlook for this sector is uncertain and investors should closely monitor economic data and corporate earnings reports before making any investment decisions.</t>
  </si>
  <si>
    <t>The gas utilities sector has been impacted by a variety of factors in recent months. On one hand, falling oil prices have been positive for the sector, potentially leading to lower production costs and increased profitability. However, there are also concerns about potential regulatory changes and weaker job growth, which could have a negative impact on the sector. Overall, the outlook for the gas utilities sector is mixed, and investors should closely monitor economic data and corporate earnings reports to make informed investment decisions.</t>
  </si>
  <si>
    <t>Based on the recent macro-economic news, the outlook for the sector is uncertain. While there are positive indicators such as surging productivity and falling oil prices, there are also concerns about weaker job growth and potential regulatory changes. This could lead to increased volatility and uncertainty in the stock market, making it a risky sector for investment.</t>
  </si>
  <si>
    <t>CMCSA,90.0,"Comcast, a leading company in the Cable &amp; Satellite industry, has shown strong financial performance in recent years. With a market cap of 167.89B and an enterprise value of 263.95B, the company has a solid financial foundation. Its trailing P/E ratio of 11.62 and forward P/E ratio of 9.75 indicate that the stock is currently undervalued, making it an attractive investment opportunity.</t>
  </si>
  <si>
    <t>Overall, Comcast's recent financial data and news suggest that it is a strong investment opportunity in the Cable &amp; Satellite industry. Its undervalued stock and strong financial performance make it a promising choice for investors."</t>
  </si>
  <si>
    <t>NEM,90.0,"Newmont, a leading gold mining company, has shown strong financial performance in recent years. With a market cap of 45.74B and an enterprise value of 48.62B, the company has a solid financial foundation. Its trailing P/E ratio of 44.33 and forward P/E ratio of 11.06 indicate that the stock is currently undervalued, making it an attractive investment opportunity.</t>
  </si>
  <si>
    <t>Overall, Newmont's recent financial data and market trends indicate that it is a strong investment opportunity in the gold industry. Its undervalued stock and strong financial performance make it a promising choice for investors."</t>
  </si>
  <si>
    <t>FI,90.0,"Fiserv, a leading company in the Transaction &amp; Payment Processing Services industry, has shown strong financial performance in recent years. With a market cap of 78.68B and an enterprise value of 101.38B, the company has a solid financial foundation. Its trailing P/E ratio of 27.48 and forward P/E ratio of 15.34 indicate that the company is currently undervalued, making it an attractive investment opportunity.</t>
  </si>
  <si>
    <t>Overall, Fiserv's recent financial data suggests that it is a strong and undervalued company in the Transaction &amp; Payment Processing Services industry. Its solid financial foundation and potential for growth make it a promising investment opportunity for the next month."</t>
  </si>
  <si>
    <t>TXT,90.0,"Textron, a leading aerospace and defense company, has shown strong financial performance in recent years. With a market cap of 15.02B and an enterprise value of 16.83B, the company has a solid financial foundation. Its trailing P/E ratio of 16.55 and forward P/E ratio of 12.66 indicate that the stock is currently undervalued, making it an attractive investment opportunity.</t>
  </si>
  <si>
    <t>Overall, Textron's recent financial data and news suggest that the company is in a strong position for future growth. With a solid financial foundation and potential for growth, the stock has a high potential for investment value in the aerospace and defense industry."</t>
  </si>
  <si>
    <t>FOXA,85.0,"Fox Corporation (Class A) is a leading company in the Movies &amp; Entertainment industry with a recent market cap of 13.65B and an enterprise value of 18.01B. The company has a trailing P/E ratio of 14.25 and a forward P/E ratio of 8.82, indicating that the stock may be undervalued. However, the PEG ratio of 16.33 suggests that the stock may be overvalued in relation to its expected growth. The price/sales ratio of 1.01 and price/book ratio of 1.36 are both relatively low, indicating that the stock may be undervalued compared to its peers. The enterprise value/revenue ratio of 1.21 and enterprise value/EBITDA ratio of 8.14 are also relatively low, suggesting that the company may be undervalued in terms of its revenue and earnings.</t>
  </si>
  <si>
    <t>Overall, Fox Corporation (Class A) appears to be a solid investment opportunity in the Movies &amp; Entertainment industry. The company's strong financials and potential for growth make it a promising option for investors. However, it is important to closely monitor industry trends and company developments to make informed investment decisions."</t>
  </si>
  <si>
    <t>HON,85.0,"Honeywell, a leading industrial conglomerate, has been performing well in the recent market conditions. With a market cap of 130.39B and an enterprise value of 142.75B, the company has a strong financial standing. Its trailing P/E ratio of 24.51 and forward P/E ratio of 19.76 indicate that the stock is currently trading at a reasonable valuation. The PEG ratio of 2.02 suggests that the stock may be slightly overvalued, but this is offset by its strong price-to-sales ratio of 3.65 and price-to-book ratio of 7.57.</t>
  </si>
  <si>
    <t>Overall, Honeywell appears to be a solid investment option in the industrial conglomerates industry. Its strong financials and potential for growth make it a promising stock to consider for the next month."</t>
  </si>
  <si>
    <t>IR,85.0,"Ingersoll Rand (Ticker: IR) is a leading industrial machinery and supplies company with a market cap of 28.89B and an enterprise value of 30.47B. The latest financial data shows a trailing P/E ratio of 38.79 and a forward P/E ratio of 21.55, indicating a potential undervaluation of the stock. The PEG ratio of 0.86 also suggests that the stock may be trading at a discount compared to its expected growth rate. Additionally, the price/sales and price/book ratios of 4.37 and 3.02 respectively, are in line with industry averages, indicating a fair valuation.</t>
  </si>
  <si>
    <t>Overall, Ingersoll Rand appears to be a strong investment opportunity in the industrial machinery and supplies industry. With a potential undervaluation and strong financials, the stock may offer attractive returns for investors in the next month."</t>
  </si>
  <si>
    <t>INCY,85.0,"Incyte is a biotechnology company with a recent market cap of 12.42B and an enterprise value of 8.94B. The company has a trailing P/E ratio of 29.48 and a forward P/E ratio of 11.85, indicating a potential undervaluation. The PEG ratio of 0.39 suggests that the stock may be undervalued compared to its expected growth rate. The price/sales ratio of 3.46 and price/book ratio of 2.52 also indicate a potential undervaluation. However, the enterprise value/revenue ratio of 2.48 and enterprise value/EBITDA ratio of 12.33 suggest that the stock may be slightly overvalued compared to its revenue and earnings.</t>
  </si>
  <si>
    <t>Overall, Incyte appears to be a promising investment opportunity in the biotechnology industry. The company has a strong financial position and potential for growth, as indicated by its low PEG ratio. However, investors should closely monitor the company's revenue and earnings growth, as well as any potential regulatory changes in the biotechnology sector."</t>
  </si>
  <si>
    <t>IBM,85.0,"IBM, a leading IT consulting and other services company, has a recent market cap of 146.35B and an enterprise value of 193.90B. The company's trailing P/E ratio is 20.68 and its forward P/E ratio is 16.05, indicating a potential undervaluation. The PEG ratio of 0.43 suggests that the stock may be undervalued compared to its expected growth rate. Additionally, IBM's price/sales ratio of 2.43 and price/book ratio of 6.34 are both below the industry average, further supporting the potential undervaluation of the stock.</t>
  </si>
  <si>
    <t>Overall, based on the recent financial data and industry trends, IBM appears to be a promising investment option in the IT consulting and other services industry. Investors should closely monitor the company's performance and industry developments to make informed investment decisions."</t>
  </si>
  <si>
    <t>HII,85.0,"Huntington Ingalls Industries (HII) is a leading company in the Aerospace &amp; Defense industry with a recent market cap of 9.68B and an enterprise value of 12.25B. The company has a trailing P/E ratio of 18.38 and a forward P/E ratio of 13.91, indicating that the stock may be undervalued. The PEG ratio of 1.12 suggests that the stock may have growth potential in the next five years. Additionally, the price/sales ratio of 0.88 and price/book ratio of 2.59 are both below the industry average, making the stock potentially attractive to value investors.</t>
  </si>
  <si>
    <t>Overall, HII appears to be a solid investment opportunity in the Aerospace &amp; Defense industry. With a strong financial position, potential for growth, and recent contract wins, the company is well-positioned for success in the coming months."</t>
  </si>
  <si>
    <t>IPG,85.0,"Interpublic Group of Companies (The) is a leading advertising and marketing services company with a strong global presence. The recent financial data shows a market cap of $11.93B and an enterprise value of $14.94B. The trailing P/E ratio of 13.03 and forward P/E ratio of 11.00 suggest that the stock is currently undervalued. However, the PEG ratio of 3.32 indicates a potential overvaluation based on future growth expectations.</t>
  </si>
  <si>
    <t>Based on the recent financial data and industry outlook, the potential investment value of Interpublic Group of Companies (The) for the next month is high. However, investors should closely monitor any potential changes in the advertising industry and the company's financial performance to make informed investment decisions."</t>
  </si>
  <si>
    <t>IP,85.0,"International Paper (IP) is a leading company in the Paper &amp; Plastic Packaging Products &amp; Materials industry with a recent market cap of 12.65B and an enterprise value of 17.48B. The company has a trailing P/E ratio of 16.77 and a forward P/E ratio of 17.39, indicating that the stock is currently trading at a reasonable valuation. However, the PEG ratio of 2.49 suggests that the stock may be slightly overvalued compared to its expected earnings growth.</t>
  </si>
  <si>
    <t>Overall, IP appears to be a solid investment option in the Paper &amp; Plastic Packaging Products &amp; Materials industry. With a strong financial position and positive industry trends, the company has the potential for long-term growth. However, investors should closely monitor any potential challenges in the short term."</t>
  </si>
  <si>
    <t>IFF,85.0,"International Flavors &amp; Fragrances (IFF) is a leading company in the specialty chemicals industry with a recent market cap of 19.33B and an enterprise value of 29.74B. The company has a trailing P/E ratio of 1.26k and a forward P/E ratio of 18.18, indicating a potential for future growth. IFF's price/sales ratio of 1.66 and price/book ratio of 1.14 are both below the industry average, making the stock potentially undervalued. Additionally, the company's enterprise value/revenue ratio of 2.56 and enterprise value/EBITDA ratio of 17.53 are also lower than the industry average, suggesting a potential for higher returns.</t>
  </si>
  <si>
    <t>Based on the latest financial data and industry trends, IFF appears to be a promising investment opportunity in the specialty chemicals industry. However, investors should closely monitor any potential impacts of the ongoing COVID-19 pandemic on the company's operations and financial performance."</t>
  </si>
  <si>
    <t>PKG,85.0,"Packaging Corporation of America (PCA) is a leading manufacturer of paper and plastic packaging products and materials. The recent financial data for the company shows a strong market capitalization of $14.72 billion and an enterprise value of $16.82 billion. The trailing P/E ratio of 18.85 and forward P/E ratio of 20.53 indicate that the company's stock is trading at a reasonable valuation. Additionally, the price/sales ratio of 1.88 and price/book ratio of 3.79 suggest that the stock may be undervalued compared to its peers in the industry.</t>
  </si>
  <si>
    <t>Based on the current financial data and positive industry outlook, PCA appears to be a solid investment opportunity in the paper and plastic packaging industry. However, as with any investment, it is important to conduct thorough research and consider the potential risks before making any decisions."</t>
  </si>
  <si>
    <t>OTIS,85.0,"Otis Worldwide is a leading company in the Industrial Machinery &amp; Supplies &amp; Components industry with a recent market cap of 35.38B and an enterprise value of 41.44B. The company has a trailing P/E ratio of 26.12 and a forward P/E ratio of 22.08, indicating a potential undervaluation of the stock. The PEG ratio of 1.90 suggests that the stock may be trading at a discount compared to its expected growth rate. Additionally, the price/sales ratio of 2.57 and the enterprise value/revenue ratio of 2.95 are both below the industry average, further supporting the undervaluation of the stock.</t>
  </si>
  <si>
    <t>Based on the financial data and recent news, Otis Worldwide appears to be a promising investment opportunity in the Industrial Machinery &amp; Supplies &amp; Components industry. However, investors should always conduct their own research and consider their risk tolerance before making any investment decisions."</t>
  </si>
  <si>
    <t>ORCL,85.0,"Oracle Corporation, a leading company in the Application Software industry, has a recent market cap of 306.89B and an enterprise value of 383.75B. The company's trailing P/E ratio is 33.24 and its forward P/E ratio is 20.16, indicating a potential undervaluation. The PEG ratio of 1.29 suggests that the stock may be trading at a discount compared to its expected growth rate. Additionally, the price/sales ratio of 6.12 and price/book ratio of 129.49 also indicate a potential undervaluation.</t>
  </si>
  <si>
    <t>Overall, based on the recent financial data and industry trends, Oracle Corporation appears to be a promising investment opportunity in the Application Software industry. However, investors should closely monitor any potential risks and stay updated on the company's performance."</t>
  </si>
  <si>
    <t>OKE,85.0,"ONEOK is a leading company in the Oil &amp; Gas Storage &amp; Transportation industry with a recent market cap of 39.89B and an enterprise value of 61.66B. The company has a trailing P/E ratio of 12.59 and a forward P/E ratio of 13.61, indicating that the stock may be undervalued. However, the PEG ratio of 1.42 suggests that the stock may be slightly overvalued based on its expected growth rate.</t>
  </si>
  <si>
    <t>Overall, ONEOK appears to be a solid investment opportunity in the Oil &amp; Gas Storage &amp; Transportation industry. Its strong financial metrics and potential for growth make it a promising stock to consider for the next month."</t>
  </si>
  <si>
    <t>HUM,85.0,"Enterprise Value/EBITDA  10.86</t>
  </si>
  <si>
    <t>Overall, Humana appears to be a solid investment opportunity in the managed health care industry. Its strong financials, undervalued stock, and potential for growth make it a promising choice for investors."</t>
  </si>
  <si>
    <t>HPQ,85.0,"HP Inc. is a leading company in the Technology Hardware, Storage &amp; Peripherals industry with a recent market cap of 28.16B and an enterprise value of 34.41B. The company has a trailing P/E ratio of 8.74 and a forward P/E ratio of 8.16, indicating that the stock is currently undervalued. However, the PEG ratio of 3.07 suggests that the stock may be overvalued in the long term. The price/sales ratio of 0.53 and the enterprise value/revenue ratio of 0.64 also indicate that the stock may be undervalued.</t>
  </si>
  <si>
    <t>Overall, HP Inc. appears to be a solid investment opportunity in the Technology Hardware, Storage &amp; Peripherals industry. The company's strong profitability and undervalued stock price make it an attractive option for investors. However, the potential for slower revenue growth in the long term should also be considered."</t>
  </si>
  <si>
    <t>HWM,85.0,"Howmet Aerospace is a leading company in the Aerospace &amp; Defense industry with a recent market cap of 21.54B and an enterprise value of 25.08B. The company has a trailing P/E ratio of 33.97 and a forward P/E ratio of 24.51, indicating a potential undervaluation of the stock. The PEG ratio of 0.80 also suggests that the stock may be trading at a discount compared to its expected growth rate. Additionally, the price/sales and price/book ratios of 3.40 and 5.64, respectively, are in line with industry averages.</t>
  </si>
  <si>
    <t>The recent news in the Aerospace &amp; Defense industry, including geopolitical tensions and technological advancements, may present both risks and opportunities for Howmet Aerospace. However, the company's strong financials and position in the industry make it a potentially attractive investment option."</t>
  </si>
  <si>
    <t>NTRS,85.0,"Enterprise Value  16.64B</t>
  </si>
  <si>
    <t>Overall, Northern Trust appears to be in a favorable position for potential investment. However, as with any investment, it is important to conduct thorough research and consider the company's financial performance and market conditions before making any decisions."</t>
  </si>
  <si>
    <t>NI,85.0,"NiSource is a recent addition to the Multi-Utilities industry, with a market cap of 10.92B and an enterprise value of 25.27B. The company has a trailing P/E ratio of 17.61 and a forward P/E ratio of 15.53, indicating a potential undervaluation. However, the PEG ratio of 1.98 suggests that the stock may be slightly overvalued based on its expected growth rate. The price/sales ratio of 2.04 and price/book ratio of 1.80 also indicate a potential undervaluation. The enterprise value/revenue ratio of 4.37 and enterprise value/EBITDA ratio of 11.55 are in line with industry averages.</t>
  </si>
  <si>
    <t>Based on the current financial data and industry trends, NiSource appears to be a promising investment opportunity. However, investors should closely monitor any developments in the industry and the company's financial performance before making any investment decisions."</t>
  </si>
  <si>
    <t>PH,85.0,"Parker Hannifin is a leading company in the Industrial Machinery &amp; Supplies &amp; Components industry with a recent market cap of 55.80B and an enterprise value of 67.53B. The company has a trailing P/E ratio of 24.06 and a forward P/E ratio of 18.66, indicating a potential undervaluation of the stock. The PEG ratio of 1.99 suggests that the stock may be slightly overvalued in relation to its expected growth. However, the price/sales ratio of 2.87 and price/book ratio of 5.28 are both below the industry average, indicating a potential value opportunity for investors.</t>
  </si>
  <si>
    <t>Overall, Parker Hannifin appears to be a solid investment option in the Industrial Machinery &amp; Supplies &amp; Components industry. With a strong financial position and potential undervaluation, the stock may present a good opportunity for investors in the next month."</t>
  </si>
  <si>
    <t>DVN,85.0,"Devon Energy is a leading company in the Oil &amp; Gas Exploration &amp; Production industry with a recent market cap of $27.71B and an enterprise value of $33.40B. The company has a strong financial position with a low trailing P/E ratio of 7.37 and a forward P/E ratio of 6.16, indicating potential undervaluation. The PEG ratio of 0.40 also suggests that the stock may be undervalued compared to its expected growth rate.</t>
  </si>
  <si>
    <t>Overall, Devon Energy appears to be in a strong financial position with potential for growth in the coming months. Based on the latest financial data and industry trends, the company may be a good investment opportunity for investors looking for undervalued stocks in the oil and gas sector."</t>
  </si>
  <si>
    <t>KLAC,85.0,"KLA Corporation is a leading company in the Semiconductor Materials &amp; Equipment industry with a recent market cap of 71.86B and an enterprise value of 74.57B. The company has a trailing P/E ratio of 23.64 and a forward P/E ratio of 21.69, indicating a positive outlook for future earnings. However, the PEG ratio of 2.13 suggests that the stock may be slightly overvalued compared to its expected growth rate. KLA Corporation also has a price/sales ratio of 7.22 and a price/book ratio of 24.03, which are higher than the industry average. This may indicate that the stock is currently trading at a premium. The enterprise value/revenue ratio of 7.33 and the enterprise value/EBITDA ratio of 17.41 suggest that the company may be slightly undervalued compared to its peers.</t>
  </si>
  <si>
    <t>Based on the recent financial data and industry trends, KLA Corporation appears to be a solid investment option in the Semiconductor Materials &amp; Equipment industry. However, investors should closely monitor any potential risks, such as changes in market conditions or regulatory changes, that may affect the company's performance."</t>
  </si>
  <si>
    <t>KMB,85.0,"Kimberly-Clark (KMB) is a leading company in the household products industry, known for its popular brands such as Kleenex, Huggies, and Scott. In the recent trading day, KMB saw a gain of +0.82%, while the overall market experienced a dip. This can be attributed to the company's strong financials and positive market sentiment.</t>
  </si>
  <si>
    <t>Overall, KMB's strong financials and positive market sentiment make it a promising investment in the household products industry. With a solid foundation and potential for growth, KMB is well-positioned for success in the coming months."</t>
  </si>
  <si>
    <t>LKQ,85.0,"LKQ Corporation is a leading distributor of aftermarket automotive parts and accessories. The company has a strong presence in the market, with a recent market cap of 12.13B and an enterprise value of 17.42B. LKQ Corporation has a trailing P/E ratio of 12.69 and a forward P/E ratio of 10.86, indicating that the stock may be undervalued. However, the PEG ratio of 7.98 suggests that the stock may be overvalued in relation to its expected growth.</t>
  </si>
  <si>
    <t>Overall, LKQ Corporation appears to be a solid investment opportunity in the distributors industry. The company has a strong financial position, a competitive market position, and a history of delivering consistent returns to shareholders. However, investors should closely monitor any potential risks and market developments that may impact the company's performance."</t>
  </si>
  <si>
    <t>MCO,85.0,"Moody's Corporation is a leading provider of credit ratings, research, and risk analysis services for financial institutions and corporations. The recent financial data for the company shows a strong market capitalization of 68.34B and an enterprise value of 73.53B. The trailing P/E ratio of 45.43 and forward P/E ratio of 33.33 indicate that the stock may be slightly overvalued, but the PEG ratio of 2.31 suggests potential for future growth. The price/sales ratio of 12.01 and price/book ratio of 21.42 are also higher than industry averages, indicating a premium for the company's stock. However, the enterprise value/revenue ratio of 12.84 and enterprise value/EBITDA ratio of 29.57 are in line with industry standards.</t>
  </si>
  <si>
    <t>Overall, Moody's Corporation appears to be a solid investment option in the Financial Exchanges &amp; Data industry. Its strong financials and market position make it a stable choice for investors. However, careful monitoring of industry developments and company performance is recommended."</t>
  </si>
  <si>
    <t>MNST,85.0,"Monster Beverage, a leading company in the Soft Drinks &amp; Non-alcoholic Beverages industry, has shown strong financial performance in recent years. With a market cap of 56.50B and an enterprise value of 53.49B, the company has a solid financial foundation. Its trailing P/E ratio of 36.81 and forward P/E ratio of 29.76 indicate that the stock is currently trading at a premium, but this may be justified by its strong growth potential.</t>
  </si>
  <si>
    <t>Overall, Monster Beverage appears to be a solid investment option in the Soft Drinks &amp; Non-alcoholic Beverages industry. Its strong financial performance and growth potential make it an attractive choice for investors. However, it is important to closely monitor any potential changes in the industry and the company's financials."</t>
  </si>
  <si>
    <t>MPWR,85.0,"Monolithic Power Systems (MPS) is a leading semiconductor company with a strong presence in the market. The recent financial data shows a market cap of $26.57B and an enterprise value of $25.53B. The trailing P/E ratio of 60.08 and forward P/E ratio of 42.19 indicate that the stock may be slightly overvalued. However, the PEG ratio of 2.34 suggests that the stock may still have growth potential.</t>
  </si>
  <si>
    <t>Overall, MPS appears to be a solid investment option in the semiconductor industry. However, investors should closely monitor the company's financial performance and market trends before making any investment decisions."</t>
  </si>
  <si>
    <t>KEYS,85.0,"Keysight, a leading company in the Electronic Equipment &amp; Instruments industry, has shown strong financial performance in recent years. With a market cap of 24.62B and an enterprise value of 24.18B, the company has a solid financial foundation. Its trailing P/E ratio of 23.86 and forward P/E ratio of 19.49 indicate that the company is currently undervalued, making it an attractive investment opportunity.</t>
  </si>
  <si>
    <t>Overall, Keysight's recent financial data and market trends suggest that it is a strong investment opportunity in the Electronic Equipment &amp; Instruments industry. Its undervalued stock and potential for future growth make it a promising choice for investors."</t>
  </si>
  <si>
    <t>KEY,85.0,"Total Debt/Equity (mrq)   0.98</t>
  </si>
  <si>
    <t>Based on the recent financial data and industry trends, KeyCorp appears to be a solid investment option for the next month. However, investors should closely monitor any developments in the industry and the company's financial performance."</t>
  </si>
  <si>
    <t>BEN,85.0,"Franklin Templeton, a leading asset management and custody bank company, has shown strong financial performance in recent years. With a market cap of 12.60B and an enterprise value of 19.95B, the company has a solid financial foundation. Its trailing P/E ratio of 14.81 and forward P/E ratio of 11.00 indicate that the stock is currently undervalued, making it an attractive investment opportunity.</t>
  </si>
  <si>
    <t>Overall, Franklin Templeton appears to be a solid investment option in the asset management and custody bank industry. Its strong financial performance, undervalued stock, and potential for growth make it a promising choice for investors."</t>
  </si>
  <si>
    <t>KVUE,85.0,"Kenvue is a leading company in the Personal Care Products industry with a recent market cap of 37.13B and an enterprise value of 44.50B. The company has a trailing P/E ratio of 34.54 and a forward P/E ratio of 14.79, indicating a potential undervaluation in the stock. Kenvue also has a price/sales ratio of 2.39 and a price/book ratio of 3.36, which are both below the industry average. This suggests that the stock may be trading at a discount compared to its peers.</t>
  </si>
  <si>
    <t>Overall, Kenvue appears to be a solid investment opportunity in the Personal Care Products industry. With its strong financial performance and potential for future growth, the stock may be undervalued and present a good buying opportunity for investors."</t>
  </si>
  <si>
    <t>JNPR,85.0,"Juniper Networks is a leading company in the communications equipment industry with a recent market cap of 9.19B and an enterprise value of 9.49B. The company has a trailing P/E ratio of 25.72 and a forward P/E ratio of 12.53, indicating a potential undervaluation of the stock. The PEG ratio of 1.19 suggests that the stock may be trading at a discount compared to its expected growth rate. Additionally, the price/sales and price/book ratios of 1.67 and 2.12 respectively, are below the industry average, further supporting the undervaluation of the stock. However, the enterprise value/revenue and enterprise value/EBITDA ratios of 1.68 and 13.31 respectively, are slightly higher than the industry average, indicating a potential overvaluation. Overall, the recent financial data suggests that Juniper Networks may be a promising investment opportunity in the communications equipment industry."</t>
  </si>
  <si>
    <t>ICE,85.0,"Intercontinental Exchange (ICE) is a leading player in the financial exchanges and data industry, with a recent market cap of $64.72B and an enterprise value of $87.49B. The company has a strong financial position, with a trailing P/E ratio of 26.24 and a forward P/E ratio of 19.92, indicating potential growth in the future. The PEG ratio of 1.04 suggests that the stock is currently undervalued, making it an attractive investment opportunity.</t>
  </si>
  <si>
    <t>Recent news in the financial industry, such as falling interest rates and increased demand for mortgage refinancing, may have a positive impact on ICE's business. The company's strong position in the market and potential for growth make it a promising investment opportunity for the next month."</t>
  </si>
  <si>
    <t>JNJ,85.0,"Johnson &amp; Johnson (JNJ) is a leading pharmaceutical company with a recent market cap of $377.03B and an enterprise value of $383.44B. The company has a trailing P/E ratio of 29.38 and a forward P/E ratio of 14.39, indicating a potential undervaluation of the stock. The PEG ratio of 1.55 suggests that the stock may be slightly overvalued based on its expected growth rate. However, the price/sales ratio of 4.15 and price/book ratio of 5.29 are in line with industry averages, indicating a fair valuation.</t>
  </si>
  <si>
    <t>Overall, JNJ appears to be a stable and potentially undervalued investment option in the pharmaceutical industry. However, investors should conduct further research and analysis before making any investment decisions."</t>
  </si>
  <si>
    <t>FSLR,85.0,"First Solar, a leading company in the Semiconductors industry, has a recent market cap of 15.53B and an enterprise value of 14.25B. The company's trailing P/E ratio is 32.88, while the forward P/E ratio is 10.99, indicating potential growth in the future. The price/sales ratio is 4.92 and the price/book ratio is 2.46, both of which are relatively low compared to industry averages. The enterprise value/revenue ratio is 4.51 and the enterprise value/EBITDA ratio is 17.68, suggesting that the company is undervalued.</t>
  </si>
  <si>
    <t>Based on the provided financial data and recent industry news, First Solar appears to be a promising investment opportunity. However, as with any investment, there are risks to consider, such as potential changes in government policies and regulations. Investors should conduct their own research and carefully evaluate the company before making any investment decisions."</t>
  </si>
  <si>
    <t>J,85.0,"Jacobs Solutions is a leading company in the Construction &amp; Engineering industry with a recent market cap of 16.23B and an enterprise value of 18.88B. The firm has a trailing P/E ratio of 24.26 and a forward P/E ratio of 15.80, indicating a potential undervaluation of the stock. The PEG ratio of 1.25 suggests that the stock may be trading at a discount compared to its expected growth rate. Additionally, the price/sales ratio of 1.00 and price/book ratio of 2.48 are in line with industry averages, indicating a fair valuation.</t>
  </si>
  <si>
    <t>Overall, Jacobs Solutions appears to be a solid investment option in the Construction &amp; Engineering industry. However, as with any investment, it is important to conduct thorough research and consider the potential risks before making any decisions."</t>
  </si>
  <si>
    <t>IQV,85.0,"IQVIA is a leading company in the Life Sciences Tools &amp; Services industry with a recent market cap of 39.35B and an enterprise value of 51.86B. The company has a trailing P/E ratio of 36.17 and a forward P/E ratio of 18.55, indicating a potential undervaluation of the stock. The PEG ratio of 1.80 suggests that the stock may be trading at a discount compared to its expected growth rate. Additionally, the price/sales ratio of 2.72 and price/book ratio of 6.78 are both below the industry average, further supporting the potential undervaluation of the stock.</t>
  </si>
  <si>
    <t>The company's position in the Life Sciences Tools &amp; Services industry is also favorable, with the industry expected to see continued growth in the coming years. IQVIA's strong financials and market position make it a promising investment opportunity in the industry."</t>
  </si>
  <si>
    <t>IVZ,85.0,"Invesco is a leading asset management and custody bank company with a recent market cap of 6.74B and an enterprise value of 17.67B. The company has a trailing P/E ratio of 11.54 and a forward P/E ratio of 9.23, indicating that the stock may be undervalued. However, the PEG ratio of 7.82 suggests that the stock may be overvalued in relation to its expected growth. In terms of valuation multiples, Invesco has a price/sales ratio of 1.19 and a price/book ratio of 0.60, both of which are below the industry average. The company's enterprise value/revenue ratio of 3.07 and enterprise value/EBITDA ratio of 13.16 also indicate that the stock may be undervalued.</t>
  </si>
  <si>
    <t>Overall, Invesco appears to be a solid investment opportunity in the asset management and custody bank industry. While there are some concerns about potential market risks, the company's strong financials and undervalued stock price make it a promising option for investors."</t>
  </si>
  <si>
    <t>GRMN,85.0,"Garmin, a leading company in the consumer electronics industry, has shown strong financial performance in recent years. With a market cap of 23.93B and an enterprise value of 22.35B, the company has a solid financial foundation. Its trailing P/E ratio of 23.08 and forward P/E ratio of 21.05 indicate that the stock is currently trading at a reasonable valuation. Additionally, the PEG ratio of 2.01 suggests that the stock may be slightly overvalued, but still has potential for growth.</t>
  </si>
  <si>
    <t>Overall, Garmin appears to be a financially stable and profitable company in the consumer electronics industry. Its latest financial data and market trends suggest that the stock may have potential for growth in the coming months."</t>
  </si>
  <si>
    <t>KDP,85.0,"Keurig Dr Pepper (KDP) is a leading company in the Soft Drinks &amp; Non-alcoholic Beverages industry with a recent market cap of $45.01B and an enterprise value of $59.11B. The company has a trailing P/E ratio of 23.50 and a forward P/E ratio of 16.81, indicating a potential undervaluation of the stock. However, the PEG ratio of 2.76 suggests that the stock may be slightly overvalued based on its expected growth rate.</t>
  </si>
  <si>
    <t>Based on the recent financial data and industry trends, KDP appears to be a promising investment opportunity. However, investors should conduct further research and analysis before making any investment decisions."</t>
  </si>
  <si>
    <t>PAYC,85.0,"Paycom, a leading provider of human resource and employment services, has shown strong financial performance in recent years. With a market cap of 10.70B and an enterprise value of 10.25B, the company has a solid financial foundation. Its trailing P/E ratio of 31.77 and forward P/E ratio of 22.47 indicate that the stock is currently trading at a premium, but this may be justified by its strong growth potential.</t>
  </si>
  <si>
    <t>Overall, Paycom's recent financial data suggests that it is a strong and stable company with potential for growth. Its premium valuation may be justified by its strong financial performance and growth potential. Therefore, it may be a good investment opportunity for the next month."</t>
  </si>
  <si>
    <t>HIG,85.0,"Enterprise Value/EBITDA  7.86</t>
  </si>
  <si>
    <t>Overall, The Hartford appears to be a solid investment opportunity in the property and casualty insurance industry. With its strong financials and strategic positioning, the company is well-equipped to weather any short-term challenges and deliver long-term value to shareholders."</t>
  </si>
  <si>
    <t>HAL,85.0,"Halliburton, a leading company in the Oil &amp; Gas Equipment &amp; Services industry, has shown strong financial performance in recent years. With a market cap of 31.20B and an enterprise value of 38.07B, the company has a solid financial foundation. Its trailing P/E ratio of 11.98 and forward P/E ratio of 9.90 indicate that the stock is currently undervalued, making it an attractive investment opportunity.</t>
  </si>
  <si>
    <t>Considering the recent news of falling oil prices being positive for the U.S. and global economy, Halliburton may see an increase in demand for its services in the coming months. This, combined with its strong financials, makes it a potentially lucrative investment opportunity."</t>
  </si>
  <si>
    <t>GS,85.0,"Enterprise Value  1.03T</t>
  </si>
  <si>
    <t>Overall, the recent financial data for Goldman Sachs paints a positive picture for the company's future prospects. However, investors should also consider the potential impact of market trends and regulatory changes on the investment banking and brokerage industry. It is important to closely monitor the company's performance and market conditions before making any investment decisions."</t>
  </si>
  <si>
    <t>GPN,85.0,"Global Payments, a leading company in the Transaction &amp; Payment Processing Services industry, has shown strong financial performance in recent years. With a market cap of 31.10B and an enterprise value of 46.52B, the company has a solid financial foundation. Its trailing P/E ratio of 36.42 and forward P/E ratio of 10.10 indicate that the company is currently undervalued, making it an attractive investment opportunity.</t>
  </si>
  <si>
    <t>Overall, Global Payments appears to be a solid investment opportunity in the Transaction &amp; Payment Processing Services industry. Its strong financial performance and undervalued stock price make it a promising option for investors."</t>
  </si>
  <si>
    <t>GL,85.0,"Enterprise Value/EBITDA  10.86</t>
  </si>
  <si>
    <t>Overall, based on the recent financial data, Globe Life appears to be in a strong position in the Life &amp; Health Insurance industry. The company's solid financials and potential undervaluation make it a promising investment option for the next month."</t>
  </si>
  <si>
    <t>GILD,85.0,"Gilead Sciences is a leading biotechnology company with a recent market cap of $98.91B and an enterprise value of $117.03B. The company has a trailing P/E ratio of 17.00 and a forward P/E ratio of 10.96, indicating a potential undervaluation of the stock. The PEG ratio of 0.54 also suggests that the stock may be undervalued, as it is trading at a lower multiple compared to its expected earnings growth. Gilead Sciences has a price/sales ratio of 3.65 and a price/book ratio of 4.43, which are both in line with industry averages. The company's enterprise value/revenue ratio of 4.27 and enterprise value/EBITDA ratio of 10.95 also indicate a potential undervaluation of the stock.</t>
  </si>
  <si>
    <t>Based on the recent financial data and industry trends, Gilead Sciences appears to be a promising investment opportunity in the biotechnology sector. However, as with any investment, there are risks to consider, such as potential regulatory changes and competition in the market."</t>
  </si>
  <si>
    <t>HOLX,85.0,"Hologic is a leading company in the Health Care Equipment industry with a recent market cap of 16.59B and an enterprise value of 16.77B. The company has a trailing P/E ratio of 37.77 and a forward P/E ratio of 17.09, indicating a potential undervaluation of the stock. Additionally, Hologic has a price/sales ratio of 4.27 and a price/book ratio of 3.31, both of which are below the industry average, suggesting a potential buying opportunity for investors.</t>
  </si>
  <si>
    <t>Furthermore, Hologic's enterprise value/revenue ratio of 4.16 and enterprise value/EBITDA ratio of 15.10 are also lower than the industry average, indicating that the company may be undervalued compared to its peers. This, combined with the company's strong financials and market position, makes Hologic a potentially attractive investment opportunity in the Health Care Equipment industry."</t>
  </si>
  <si>
    <t>HLT,85.0,"Hilton Worldwide is a leading company in the Hotels, Resorts &amp; Cruise Lines industry with a recent market cap of $43.10B and an enterprise value of $51.92B. The company has a trailing P/E ratio of 33.95 and a forward P/E ratio of 24.15, indicating a potential undervaluation of the stock. The PEG ratio of 1.19 suggests that the stock may be trading at a discount compared to its expected earnings growth. Additionally, the price/sales ratio of 4.46 and the enterprise value/revenue ratio of 5.16 are both below the industry average, further supporting the potential undervaluation of the stock.</t>
  </si>
  <si>
    <t>Overall, based on the recent financial data and industry trends, Hilton Worldwide appears to be a solid investment opportunity with potential for growth. However, investors should carefully monitor the company's performance and the impact of external factors on the industry."</t>
  </si>
  <si>
    <t>ON,85.0,"ON Semiconductor, a leading semiconductor company, has shown strong financial performance in recent years. With a market cap of 31.64B and an enterprise value of 32.44B, the company has a solid financial foundation. Its trailing P/E ratio of 14.81 and forward P/E ratio of 15.20 indicate that the stock is currently undervalued. Additionally, the PEG ratio of 1.46 suggests that the stock has potential for growth in the future.</t>
  </si>
  <si>
    <t>Based on the recent financial data and industry outlook, ON Semiconductor appears to be a promising investment opportunity. However, as with any investment, there are risks involved, and investors should conduct their own research and analysis before making any decisions."</t>
  </si>
  <si>
    <t>FTNT,85.0,"Fortinet, a leading provider of cybersecurity solutions, has shown strong financial performance in recent years. With a market cap of $39.80B and an enterprise value of $37.62B, the company has a solid financial foundation. Its trailing P/E ratio of 35.99 and forward P/E ratio of 30.12 indicate that the stock is trading at a reasonable valuation. Additionally, the PEG ratio of 1.75 suggests that the stock may be undervalued, considering its expected growth rate.</t>
  </si>
  <si>
    <t>The recent surge in cyber attacks and the increasing need for cybersecurity solutions have created a favorable market for Fortinet. The company's strong financials and market position make it a promising investment opportunity in the systems software industry."</t>
  </si>
  <si>
    <t>FE,85.0,"FirstEnergy, a leading electric utility company, has a recent market cap of 21.49B and an enterprise value of 45.83B. The company's trailing P/E ratio is 39.42 and its forward P/E ratio is 14.08, indicating a potential undervaluation. However, the PEG ratio of 2.45 suggests that the stock may be overvalued in relation to its expected growth. The price/sales ratio of 1.66 and price/book ratio of 2.05 also indicate a potential undervaluation. The enterprise value/revenue ratio of 3.55 and enterprise value/EBITDA ratio of 11.44 are in line with industry averages.</t>
  </si>
  <si>
    <t>Overall, FirstEnergy appears to be a solid investment opportunity in the electric utilities industry. Its strong market position and potential for growth make it a favorable choice for investors. However, it is important to closely monitor any developments in the industry and the company's financial performance."</t>
  </si>
  <si>
    <t>GPC,85.0,"Genuine Parts Company (GPC) is a leading distributor of automotive replacement parts, industrial parts, office products, and electrical/electronic materials. The company has a strong presence in the Automotive Parts &amp; Equipment industry and has been in operation for over 90 years. GPC has a recent market cap of $19.14B and an enterprise value of $22.72B.</t>
  </si>
  <si>
    <t>Based on the provided financial data and recent news, GPC appears to be a solid investment opportunity in the Automotive Parts &amp; Equipment industry. However, as with any investment, there are risks to consider, such as potential disruptions in the supply chain and competition from online retailers."</t>
  </si>
  <si>
    <t>GM,85.0,"General Motors (GM) is a leading player in the Automobile Manufacturers industry with a recent market cap of $45.07B and an enterprise value of $129.07B. The company has a low trailing P/E ratio of 4.62 and a forward P/E ratio of 4.03, indicating that the stock is undervalued. Additionally, GM has a low PEG ratio of 0.55, suggesting that the stock may be undervalued relative to its expected growth. The price/sales ratio of 0.27 and price/book ratio of 0.61 also indicate that the stock is trading at a discount.</t>
  </si>
  <si>
    <t>Overall, GM's strong financials and strategic investments make it a promising investment opportunity in the Automobile Manufacturers industry. However, investors should closely monitor any potential impacts of supply chain disruptions and rising raw material costs on the company's performance."</t>
  </si>
  <si>
    <t>GD,85.0,"General Dynamics is a leading company in the Aerospace &amp; Defense industry with a recent market cap of 68.76B and an enterprise value of 78.40B. The firm has a trailing P/E ratio of 21.05 and a forward P/E ratio of 16.95, indicating a potential undervaluation of the stock. The PEG ratio of 1.73 suggests that the stock may be slightly overvalued in relation to its expected growth. However, the price/sales ratio of 1.68 and price/book ratio of 3.45 are both below the industry average, indicating a potential value opportunity for investors.</t>
  </si>
  <si>
    <t>Overall, General Dynamics appears to be a solid investment option in the Aerospace &amp; Defense industry. With a strong financial position and potential growth opportunities, the stock may be a good addition to a well-diversified portfolio."</t>
  </si>
  <si>
    <t>GNRC,85.0,"Generac, a leading company in the Electrical Components &amp; Equipment industry, has shown strong financial performance in recent years. With a market cap of 7.56B and an enterprise value of 9.13B, the company has a solid financial foundation. Its trailing P/E ratio of 48.64 and forward P/E ratio of 16.34 indicate that the company is currently trading at a premium, but its PEG ratio of 1.65 suggests that it may still be undervalued.</t>
  </si>
  <si>
    <t>Overall, Generac's recent financial data paints a positive picture of the company's financial health and potential for growth. However, investors should also consider the current market conditions and industry trends before making any investment decisions."</t>
  </si>
  <si>
    <t>GEN,85.0,"Gen Digital, a leading company in the Application Software industry, has shown strong financial performance in recent years. With a market cap of 14.18B and an enterprise value of 23.11B, the company has a solid financial foundation. Its trailing P/E ratio of 9.92 and forward P/E ratio of 9.54 indicate that the stock is currently undervalued, making it an attractive investment opportunity.</t>
  </si>
  <si>
    <t>Based on the latest financial data and news, Gen Digital appears to be a strong investment opportunity in the Application Software industry. Its solid financials and strategic initiatives make it a promising stock for the next month."</t>
  </si>
  <si>
    <t>GEHC,85.0,"GE HealthCare, a leading company in the Health Care Technology industry, has shown strong financial performance in recent years. With a market cap of 30.98B and an enterprise value of 38.84B, the company has a solid financial foundation. Its trailing P/E ratio of 20.20 and forward P/E ratio of 15.72 indicate that the company is currently undervalued, making it an attractive investment opportunity.</t>
  </si>
  <si>
    <t>In terms of recent news, GE HealthCare has been making strides in the development of new technologies and partnerships, positioning itself as a leader in the rapidly growing health care technology industry. With a strong financial foundation and promising growth potential, GE HealthCare is a company to watch in the coming months."</t>
  </si>
  <si>
    <t>FIS,85.0,"FIS (Fidelity National Information Services) is a leading company in the Transaction &amp; Payment Processing Services industry with a recent market cap of 34.93B and an enterprise value of 53.12B. The company has a forward P/E ratio of 12.77 and a PEG ratio of 1.24, indicating a relatively low valuation compared to its expected growth. FIS also has a price/sales ratio of 2.38 and a price/book ratio of 1.79, which are both below the industry average. However, the company's enterprise value/revenue ratio of 3.63 and enterprise value/EBITDA ratio of -4.18 may raise some concerns.</t>
  </si>
  <si>
    <t>Based on the latest financial data and industry trends, FIS appears to be a solid investment opportunity. However, investors should closely monitor the company's financial performance and any potential risks, such as regulatory changes or economic downturns. Overall, FIS has a strong potential for growth and can be a valuable addition to a well-diversified portfolio."</t>
  </si>
  <si>
    <t>FTV,85.0,"Fortive is a leading company in the Industrial Machinery &amp; Supplies &amp; Components industry with a recent market cap of 24.14B and an enterprise value of 26.15B. The company has a trailing P/E ratio of 29.48 and a forward P/E ratio of 18.66, indicating a potential undervaluation of the stock. The PEG ratio of 1.76 suggests that the stock may be slightly overvalued based on its expected growth rate. However, the price/sales ratio of 4.07 and price/book ratio of 2.40 are both below the industry average, indicating a potential value opportunity for investors.</t>
  </si>
  <si>
    <t>Fortive's recent financial data also shows a strong enterprise value/revenue ratio of 4.35 and an enterprise value/EBITDA ratio of 16.82, indicating a solid financial position. The company's revenue and EBITDA have been consistently growing in recent years, with a 5-year expected growth rate of 10.5%. This, combined with the company's strong financials, makes Fortive a potentially attractive investment opportunity in the Industrial Machinery &amp; Supplies &amp; Components industry."</t>
  </si>
  <si>
    <t>OMC,85.0,"Omnicom Group is a leading global advertising and marketing communications company with a strong presence in the industry. The recent financial data shows a market cap of 16.22B and an enterprise value of 19.87B. The trailing P/E ratio of 11.93 and forward P/E ratio of 10.67 indicate that the stock is currently undervalued. However, the PEG ratio of 2.00 suggests that the stock may be slightly overvalued in the long term.</t>
  </si>
  <si>
    <t>Overall, the recent financial data suggests that Omnicom Group may be a good investment opportunity in the advertising industry. However, investors should closely monitor the company's performance and industry trends before making any investment decisions."</t>
  </si>
  <si>
    <t>KR,85.0,"Kroger, a leading food retail company, has shown strong financial performance in recent years. With a market cap of 32.04B and an enterprise value of 48.96B, the company has a solid financial foundation. Its trailing P/E ratio of 17.33 and forward P/E ratio of 10.24 indicate that the stock is currently undervalued, making it an attractive investment opportunity.</t>
  </si>
  <si>
    <t>Kroger has also been making strategic moves to stay competitive in the ever-changing retail landscape. The company has been investing in e-commerce and expanding its digital capabilities, which has helped it to adapt to the changing consumer behavior during the pandemic. This, coupled with its strong financials, makes Kroger a promising investment option in the food retail industry."</t>
  </si>
  <si>
    <t>OXY,85.0,"Occidental Petroleum (ticker: OXY) is a leading oil and gas exploration and production company with a recent market cap of $49.72B and an enterprise value of $78.11B. The company has a trailing P/E ratio of 12.31 and a forward P/E ratio of 11.00, indicating that the stock may be undervalued. Additionally, Occidental Petroleum has a price/sales ratio of 1.87 and a price/book ratio of 2.36, which are both below the industry average, suggesting that the stock may be a good value investment.</t>
  </si>
  <si>
    <t>Overall, Occidental Petroleum appears to be in a strong financial position and has potential for growth in the future. However, investors should be aware of the risks associated with the oil and gas industry, including fluctuations in oil prices and potential regulatory changes."</t>
  </si>
  <si>
    <t>ORLY,85.0,"O'Reilly Auto Parts is a leading company in the Automotive Retail industry with a recent market cap of 58.31B and an enterprise value of 65.61B. The company has a trailing P/E ratio of 26.24 and a forward P/E ratio of 23.09, indicating a potential undervaluation of the stock. The PEG ratio of 1.43 suggests that the stock may be trading at a discount compared to its expected growth rate. Additionally, the price/sales ratio of 3.90 and the enterprise value/revenue ratio of 4.20 are both below the industry average, further supporting the undervaluation of the stock.</t>
  </si>
  <si>
    <t>Overall, based on the recent financial data and industry trends, O'Reilly Auto Parts appears to be a solid investment option in the Automotive Retail industry. The company's strong financials and potential for growth make it a favorable choice for investors."</t>
  </si>
  <si>
    <t>NVR,85.0,"NVR, Inc. is a leading homebuilding company in the United States with a recent market cap of 20.23B and an enterprise value of 18.34B. The company has a trailing P/E ratio of 13.39 and a forward P/E ratio of 16.45, indicating a relatively low valuation compared to its industry peers. NVR also has a price/sales ratio of 2.23 and a price/book ratio of 4.85, which are both below the industry average. Additionally, the company has a strong financial position with an enterprise value/revenue ratio of 1.87 and an enterprise value/EBITDA ratio of 8.89.</t>
  </si>
  <si>
    <t>Overall, NVR, Inc. appears to be a solid investment opportunity in the homebuilding industry. Its strong financial position, low valuation, and consistent performance make it a promising choice for investors. However, it is important to closely monitor any potential changes in the housing market and interest rates that may impact the company's performance."</t>
  </si>
  <si>
    <t>NVDA,85.0,"Nvidia, a leading company in the semiconductor industry, has been performing well in the recent months. With a market cap of 1.12T and a forward P/E ratio of 23.04, the company's financials are strong. The PEG ratio of 0.46 suggests that the stock may be undervalued, making it an attractive investment opportunity. Additionally, the company's price/sales and price/book ratios are higher than the industry average, indicating a positive outlook for future growth.</t>
  </si>
  <si>
    <t>Overall, based on the recent financial data and market trends, Nvidia appears to be a strong investment opportunity in the semiconductor industry. However, investors should carefully monitor any potential risks and stay updated on the company's performance."</t>
  </si>
  <si>
    <t>PFG,85.0,"Enterprise Value/EBITDA  6.86</t>
  </si>
  <si>
    <t>Overall, based on the recent financial data and industry trends, PFG appears to be a promising investment opportunity in the Life &amp; Health Insurance industry. However, as with any investment, it is important for investors to conduct their own research and carefully consider their risk tolerance before making any decisions."</t>
  </si>
  <si>
    <t>PPL,85.0,"PPL Corporation is a leading electric utility company with a recent market cap of $19.41B and an enterprise value of $33.92B. The company has a trailing P/E ratio of 25.32 and a forward P/E ratio of 15.48, indicating potential undervaluation. The PEG ratio of 1.41 suggests that the stock may be trading at a discount compared to its expected growth rate. Additionally, the price/sales ratio of 2.27 and price/book ratio of 1.39 are both below the industry average, further supporting the potential undervaluation of the stock.</t>
  </si>
  <si>
    <t>Overall, PPL Corporation appears to be a strong investment option in the electric utilities industry, with potential for growth and a solid dividend yield. However, investors should closely monitor industry developments and company performance to make informed investment decisions."</t>
  </si>
  <si>
    <t>PPG,85.0,"PPG Industries (PPG) is a leading global manufacturer of paints, coatings, and specialty materials. Despite a slip in the overall market, PPG's stock price has shown resilience, closing at $142.70 in the latest trading session, a slight increase of 0.04% from the previous day. This is a positive sign for investors, indicating the company's strength and potential for growth.</t>
  </si>
  <si>
    <t>Overall, PPG Industries appears to be in a strong position in the specialty chemicals industry. Its recent stock performance and financial data suggest that it is a solid investment opportunity for the next month."</t>
  </si>
  <si>
    <t>PYPL,85.0,"PayPal is a leading company in the transaction and payment processing services industry, with a recent market cap of $64.18B and an enterprise value of $63.28B. The company has a trailing P/E ratio of 17.77 and a forward P/E ratio of 10.55, indicating a potential undervaluation of its stock. The PEG ratio of 0.50 also suggests that the stock may be undervalued, as it is trading at a lower multiple compared to its expected earnings growth. Additionally, PayPal's price/sales ratio of 2.29 and price/book ratio of 3.25 are in line with industry averages, indicating a fair valuation.</t>
  </si>
  <si>
    <t>Overall, based on the recent financial data, PayPal appears to be a solid investment opportunity in the transaction and payment processing services industry. Its strong financials and potential undervaluation make it a promising stock for the next month."</t>
  </si>
  <si>
    <t>PXD,85.0,"Pioneer Natural Resources is a leading company in the Oil &amp; Gas Exploration &amp; Production industry with a recent market cap of $51.81B and an enterprise value of $56.86B. The company has a strong financial position with a trailing P/E ratio of 10.58 and a forward P/E ratio of 9.07, indicating potential undervaluation. The PEG ratio of 0.78 also suggests that the stock may be trading at a discount compared to its expected growth rate. Additionally, the price/sales and price/book ratios of 2.78 and 2.28, respectively, are in line with industry averages.</t>
  </si>
  <si>
    <t>Overall, Pioneer Natural Resources appears to be in a strong financial position with potential for growth. However, investors should closely monitor the company's performance and the oil market as a whole, as fluctuations in oil prices can significantly impact the company's stock price."</t>
  </si>
  <si>
    <t>PNW,85.0,"Pinnacle West (PNW) is a leading company in the Multi-Utilities industry with a recent market cap of 8.64B and an enterprise value of 18.76B. The company has a trailing P/E ratio of 18.19 and a forward P/E ratio of 15.36, indicating a potential undervaluation of the stock. However, the PEG ratio of 2.44 suggests that the stock may be slightly overvalued based on its expected growth rate. The price/sales ratio of 1.84 and price/book ratio of 1.36 also indicate that the stock may be trading at a discount compared to its industry peers.</t>
  </si>
  <si>
    <t>Overall, Pinnacle West appears to be a solid investment option in the Multi-Utilities industry, with a strong financial position and potential for growth. However, investors should closely monitor industry and market trends to make informed investment decisions."</t>
  </si>
  <si>
    <t>PSX,85.0,"Phillips 66 is a leading company in the Oil &amp; Gas Refining &amp; Marketing industry with a recent market cap of $54.99B and an enterprise value of $70.90B. The company has a trailing P/E ratio of 7.55 and a forward P/E ratio of 8.93, indicating that the stock may be undervalued. Additionally, its price/sales ratio of 0.39 and price/book ratio of 1.78 suggest that the stock is trading at a discount compared to its peers in the industry.</t>
  </si>
  <si>
    <t>However, it is important to note that the oil and gas industry is highly volatile and subject to various external factors such as geopolitical tensions and fluctuations in oil prices. As such, investors should carefully consider these risks before making any investment decisions."</t>
  </si>
  <si>
    <t>PHM,85.0,"PulteGroup is a leading homebuilding company in the United States with a recent market cap of $19.93B and an enterprise value of $20.49B. The company has a trailing P/E ratio of 7.55 and a forward P/E ratio of 8.75, indicating that the stock is currently undervalued. The PEG ratio of 0.29 also suggests that the stock may be undervalued compared to its expected growth rate. PulteGroup's price/sales ratio of 1.21 and price/book ratio of 1.99 are both below the industry average, further supporting the undervaluation of the stock.</t>
  </si>
  <si>
    <t>Based on the recent financial data and market trends, PulteGroup appears to be a solid investment opportunity in the homebuilding industry. The company's strong financials, undervalued stock, and positive market outlook make it a promising choice for investors."</t>
  </si>
  <si>
    <t>HPE,85.0,"Hewlett Packard Enterprise (HPE) is a leading company in the Technology Hardware, Storage &amp; Peripherals industry with a recent market cap of 20.37B and an enterprise value of 28.46B. The company has a trailing P/E ratio of 10.31 and a forward P/E ratio of 8.27, indicating that the stock may be undervalued. However, the PEG ratio of 1.17 suggests that the stock may be slightly overvalued based on its expected growth rate.</t>
  </si>
  <si>
    <t>Overall, HPE's financial data suggests that the stock may be undervalued and could potentially offer a good investment opportunity. However, investors should also consider the recent news and developments in the industry, such as the rise of generative AI models and potential regulatory changes, before making any investment decisions."</t>
  </si>
  <si>
    <t>HES,85.0,"Hess Corporation is a leading integrated oil and gas company with a recent market cap of $41.86B and an enterprise value of $49.14B. The company has a trailing P/E ratio of 28.63 and a forward P/E ratio of 13.32, indicating a potential undervaluation of the stock. The PEG ratio of 0.29 suggests that the stock may be undervalued compared to its expected growth rate. Additionally, the price/sales and price/book ratios of 4.02 and 4.85, respectively, are in line with industry averages.</t>
  </si>
  <si>
    <t>Overall, Hess Corporation appears to be a solid investment opportunity in the integrated oil and gas industry. The company's strong financials, diversified portfolio, and potential undervaluation make it an attractive option for investors."</t>
  </si>
  <si>
    <t>HSIC,85.0,"Henry Schein, a leading health care distributor, has shown strong financial performance in recent years. With a market cap of 9.18B and an enterprise value of 11.30B, the company has a solid financial foundation. Its trailing P/E ratio of 20.90 and forward P/E ratio of 13.72 suggest that the stock is currently undervalued, making it an attractive investment opportunity.</t>
  </si>
  <si>
    <t>Overall, Henry Schein's recent financial data and market trends suggest that it is a strong investment opportunity in the health care distributors industry. Its solid financial performance and undervalued stock make it a promising choice for investors."</t>
  </si>
  <si>
    <t>PFE,85.0,"Pfizer, a leading pharmaceutical company, has been in the news recently for its COVID-19 vaccine and its potential impact on the global pandemic. However, there are other factors to consider when evaluating the investment potential of this company.</t>
  </si>
  <si>
    <t>Overall, based on the recent financial data and industry trends, Pfizer appears to be a promising investment opportunity in the pharmaceutical industry. However, investors should carefully consider the potential risks and monitor any developments in the industry and the company's performance."</t>
  </si>
  <si>
    <t>PEP,85.0,"PepsiCo, a leading company in the Soft Drinks &amp; Non-alcoholic Beverages industry, has been performing well in the recent months. With a market cap of 230.29B and an enterprise value of 264.78B, the company has a strong financial standing. Its trailing P/E ratio of 27.92 and forward P/E ratio of 20.49 indicate that the company is currently undervalued, making it an attractive investment opportunity.</t>
  </si>
  <si>
    <t>Overall, PepsiCo's recent financial data and market trends indicate that it is a strong investment opportunity in the Soft Drinks &amp; Non-alcoholic Beverages industry. Its solid financial standing, undervalued stock price, and strong profitability make it a promising choice for investors."</t>
  </si>
  <si>
    <t>PNR,85.0,"Pentair is a leading company in the Industrial Machinery &amp; Supplies &amp; Components industry with a recent market cap of 10.98B and an enterprise value of 12.94B. The company has a trailing P/E ratio of 21.50 and a forward P/E ratio of 15.65, indicating a potential undervaluation of the stock. The PEG ratio of 1.32 suggests that the stock may be trading at a discount compared to its expected growth rate. Additionally, the price/sales and price/book ratios of 2.67 and 3.61, respectively, are below the industry average, further supporting the undervaluation of the stock.</t>
  </si>
  <si>
    <t>Overall, Pentair appears to be a solid investment opportunity in the Industrial Machinery &amp; Supplies &amp; Components industry. Its undervalued stock and strong financials make it a potential candidate for growth in the coming months."</t>
  </si>
  <si>
    <t>PNC,85.0,"Enterprise Value  55.51B</t>
  </si>
  <si>
    <t>Overall, PNC Financial Services appears to be in a strong financial position with a solid balance sheet and potential for growth. However, investors should closely monitor any potential regulatory changes and the impact of the ongoing COVID-19 pandemic on the banking industry."</t>
  </si>
  <si>
    <t>Overall, Ameriprise Financial appears to be a solid investment opportunity in the Asset Management &amp; Custody Banks industry. The company's strong financials and potential undervaluation make it a promising option for investors. However, it is important to closely monitor market trends and company performance before making any investment decisions."</t>
  </si>
  <si>
    <t>AMT,85.0,"American Tower, a leading player in the Telecom Tower REITs industry, has been performing well in the recent months. The latest financial data shows a strong market cap of 98.25B and an enterprise value of 142.95B. The trailing P/E ratio of 140.51 and forward P/E ratio of 43.10 indicate that the company is currently trading at a premium, but this could be justified by its strong growth potential.</t>
  </si>
  <si>
    <t>Overall, American Tower appears to be a strong player in the Telecom Tower REITs industry with a solid financial position. The company's growth potential and strong market position make it a promising investment option."</t>
  </si>
  <si>
    <t>TMO,85.0,"Thermo Fisher Scientific is a leading company in the Life Sciences Tools &amp; Services industry with a recent market cap of 190.79B and an enterprise value of 219.93B. The company has a trailing P/E ratio of 32.36 and a forward P/E ratio of 22.68, indicating a potential undervaluation of the stock. The PEG ratio of 1.63 suggests that the stock may be trading at a discount compared to its expected growth rate. Thermo Fisher Scientific also has a strong financial position with a price/sales ratio of 4.42 and a price/book ratio of 4.21, both below the industry average. The company's enterprise value/revenue ratio of 5.07 and enterprise value/EBITDA ratio of 19.99 also indicate a potential undervaluation of the stock.</t>
  </si>
  <si>
    <t>Based on the recent financial data and industry trends, Thermo Fisher Scientific appears to be a strong investment opportunity in the Life Sciences Tools &amp; Services industry. However, investors should always conduct their own research and consider their risk tolerance before making any investment decisions."</t>
  </si>
  <si>
    <t>ALLE,85.0,"Allegion is a leading company in the Building Products industry with a recent market cap of 9.23B and an enterprise value of 10.88B. The firm has a trailing P/E ratio of 16.63 and a forward P/E ratio of 14.88, indicating that the stock may be undervalued. The PEG ratio of 1.36 suggests that the stock may have growth potential in the next five years. Additionally, the price/sales ratio of 2.57 and price/book ratio of 7.49 are in line with industry averages, indicating a fair valuation. However, the enterprise value/revenue ratio of 3.01 and enterprise value/EBITDA ratio of 13.17 are slightly higher than industry averages, which may indicate a higher level of debt. Overall, the recent financial data suggests that Allegion is a stable and potentially undervalued company in the Building Products industry."</t>
  </si>
  <si>
    <t>ALGN,85.0,"Align Technology, a leading company in the Health Care Supplies industry, has shown strong financial performance in recent years. With a market cap of 16.60B and an enterprise value of 15.44B, the company has a solid financial foundation. Its trailing P/E ratio of 45.92 and forward P/E ratio of 23.81 indicate that the company is currently trading at a premium, but its PEG ratio of 1.84 suggests potential for future growth.</t>
  </si>
  <si>
    <t>Recent news in the health care industry, such as the end of COVID-19 restrictions and the availability of vaccines, bodes well for Align Technology's business. Additionally, the company's innovative products and strong financials make it a promising investment opportunity."</t>
  </si>
  <si>
    <t>ARE,85.0,"Alexandria Real Estate Equities is a leading company in the Office REITs industry with a recent market cap of 21.17B and an enterprise value of 32.23B. The firm has a trailing P/E ratio of 88.28 and a forward P/E ratio of 16.69, indicating a potential undervaluation in the stock. The price/sales ratio of 7.43 and price/book ratio of 1.14 also suggest a favorable valuation for investors.</t>
  </si>
  <si>
    <t>Overall, based on the recent financial data and industry trends, Alexandria Real Estate Equities appears to be a promising investment opportunity in the Office REITs industry."</t>
  </si>
  <si>
    <t>ALB,85.0,"Albemarle Corporation is a leading company in the specialty chemicals industry with a recent market cap of 13.88B and an enterprise value of 15.94B. The company has a trailing P/E ratio of 4.19 and a forward P/E ratio of 8.03, indicating that the stock may be undervalued. Additionally, the PEG ratio of 0.37 suggests that the stock may be a good value for long-term investors.</t>
  </si>
  <si>
    <t>Overall, Albemarle Corporation appears to be in a strong financial position with a low valuation and potential for growth. However, investors should also consider the potential risks and uncertainties in the specialty chemicals industry, such as changing regulations and market conditions."</t>
  </si>
  <si>
    <t>AKAM,85.0,"Akamai is a leading company in the Internet Services &amp; Infrastructure industry with a recent market cap of 17.26B and an enterprise value of 20.83B. The company has a trailing P/E ratio of 34.58 and a forward P/E ratio of 16.64, indicating a potential undervaluation of the stock. The PEG ratio of 1.14 suggests that the stock may be trading at a discount compared to its expected growth rate. Additionally, the price/sales ratio of 4.75 and price/book ratio of 3.99 are both below the industry average, further supporting the undervaluation of the stock.</t>
  </si>
  <si>
    <t>Overall, Akamai appears to be a solid investment opportunity in the Internet Services &amp; Infrastructure industry. With its strong financials, undervalued stock price, and potential for future growth, the company may present a good investment opportunity for the next month."</t>
  </si>
  <si>
    <t>APD,85.0,"Air Products and Chemicals is a leading company in the industrial gases industry with a recent market cap of 58.06B and an enterprise value of 67.14B. The company has a trailing P/E ratio of 25.37 and a forward P/E ratio of 20.16, indicating a potential undervaluation of the stock. The PEG ratio of 1.76 suggests that the stock may be slightly overvalued in relation to its expected growth. However, the price/sales ratio of 4.62 and price/book ratio of 4.06 are in line with industry averages, indicating a fair valuation. The enterprise value/revenue ratio of 5.33 and enterprise value/EBITDA ratio of 15.20 are also in line with industry standards.</t>
  </si>
  <si>
    <t>Based on the latest financial data and industry trends, Air Products and Chemicals appears to be a solid investment option in the industrial gases industry. The company's strong financials, diversified portfolio, and strategic acquisitions make it well-positioned for future growth. However, investors should closely monitor any potential changes in the industry and the company's performance in the coming months."</t>
  </si>
  <si>
    <t>LHX,85.0,"L3Harris, a leading company in the Aerospace &amp; Defense industry, has shown strong financial performance in recent years. With a market cap of 37.71B and an enterprise value of 51.48B, the company has a solid financial foundation. Its trailing P/E ratio of 25.60 and forward P/E ratio of 14.81 indicate that the company is currently undervalued, making it an attractive investment opportunity.</t>
  </si>
  <si>
    <t>Overall, L3Harris appears to be a strong investment opportunity in the Aerospace &amp; Defense industry. Its solid financial performance and undervalued stock make it an attractive option for investors. However, as with any investment, it is important to conduct further research and analysis before making any decisions."</t>
  </si>
  <si>
    <t>LNT,85.0,"Alliant Energy is a leading electric utility company with a recent market cap of 13.29B and an enterprise value of 22.43B. The company has a trailing P/E ratio of 19.08 and a forward P/E ratio of 16.92, indicating a potential undervaluation of the stock. The PEG ratio of 2.68 suggests that the stock may be slightly overvalued in relation to its expected growth rate. Alliant Energy also has a price/sales ratio of 3.19 and a price/book ratio of 1.98, which are both below the industry average, indicating a potential buying opportunity.</t>
  </si>
  <si>
    <t>Overall, Alliant Energy appears to be a solid investment option in the electric utilities industry. With a strong financial performance and potential undervaluation, the stock may present a buying opportunity for investors. However, it is important to closely monitor any potential regulatory changes and their impact on the company's operations."</t>
  </si>
  <si>
    <t>MHK,85.0,"Mohawk Industries, a leading company in the Home Furnishings industry, has shown strong financial performance in recent years. With a market cap of 5.95B and an enterprise value of 8.45B, the company has a solid financial foundation. Its trailing P/E ratio of 7.61 and forward P/E ratio of 9.74 indicate that the stock is currently undervalued, making it an attractive investment opportunity.</t>
  </si>
  <si>
    <t>Overall, Mohawk Industries appears to be a solid investment opportunity in the Home Furnishings industry. Its strong financials and potential for growth make it a promising stock to consider for the next month."</t>
  </si>
  <si>
    <t>MAA,85.0,"Mid-America Apartment Communities (MAA) is a real estate investment trust (REIT) that specializes in multi-family residential properties. The recent financial data for MAA shows a strong market capitalization of $14.83 billion and an enterprise value of $19.07 billion. The trailing P/E ratio of 25.43 and forward P/E ratio of 28.25 suggest that the stock may be slightly overvalued, but this could also be due to the current market conditions. The price/sales ratio of 6.93 and price/book ratio of 2.42 indicate that the stock is trading at a premium compared to its industry peers. However, the enterprise value/revenue ratio of 8.93 and enterprise value/EBITDA ratio of 14.49 are in line with the industry average, indicating that the company is not overleveraged.</t>
  </si>
  <si>
    <t>Based on the current financial data and industry trends, MAA appears to be a solid investment option for the next month. However, investors should closely monitor any potential changes in interest rates and housing market conditions, as these factors can impact the company's performance. Overall, MAA has a strong financial position and a positive outlook, making it a potential investment opportunity for the next month."</t>
  </si>
  <si>
    <t>MSFT,85.0,"Microsoft, one of the largest companies in the world, has been making headlines recently as a potential hedge against a market crash. With a market cap of 2.74 trillion and a diverse portfolio of businesses and investments, including stakes in top companies from various sectors, Microsoft is a strong and stable player in the market.</t>
  </si>
  <si>
    <t>Overall, Microsoft's strong financials and diverse portfolio make it a solid investment option for investors looking to hedge against a potential market crash. However, as with any investment, it is important to conduct thorough research and consider one's own risk tolerance before making any decisions."</t>
  </si>
  <si>
    <t>MU,85.0,"Micron Technology, a leading semiconductor company, has shown strong financial performance in recent years. With a market cap of 80.74B and an enterprise value of 85.08B, the company has a solid financial foundation. Its trailing P/E ratio of 10.05 and price/sales ratio of 5.14 indicate that the stock is currently undervalued. Additionally, its price/book ratio of 1.83 suggests that the stock may have room for growth.</t>
  </si>
  <si>
    <t>Overall, Micron Technology appears to be a strong investment opportunity in the semiconductor industry. Its solid financials and positive industry outlook make it a promising stock to consider for the next month."</t>
  </si>
  <si>
    <t>MSCI,85.0,"MSCI, a leading provider of financial data and analytics, has shown strong financial performance in recent years. With a market cap of 40.74B and an enterprise value of 44.45B, the company has a solid financial foundation. Its trailing P/E ratio of 42.96 and forward P/E ratio of 34.72 indicate that the stock may be slightly overvalued, but this is offset by its strong expected growth potential, with a PEG ratio of 2.40.</t>
  </si>
  <si>
    <t>Overall, MSCI has a strong financial position and is well-positioned for future growth. Its recent expansion into new markets and continued investment in technology and data analytics make it a promising investment opportunity in the financial exchanges and data industry."</t>
  </si>
  <si>
    <t>MOS,85.0,"The Mosaic Company is a leading producer and marketer of concentrated phosphate and potash crop nutrients. With a recent market cap of 11.47B and an enterprise value of 14.76B, the company operates in a highly competitive industry, facing challenges such as fluctuating commodity prices and changing consumer demand. However, the company has a strong financial position, with a low trailing P/E of 8.88 and a forward P/E of 10.80, indicating potential undervaluation. Additionally, its price/sales ratio of 0.79 and price/book ratio of 0.95 suggest that the stock may be trading at a discount compared to its peers. The enterprise value/revenue and enterprise value/EBITDA ratios of 0.98 and 5.28, respectively, also indicate a relatively attractive valuation. However, investors should be aware of potential risks, such as the impact of global economic conditions on the demand for fertilizers and agricultural chemicals. Overall, the recent financial data suggests that Mosaic Company may be a potential investment opportunity in the fertilizers and agricultural chemicals industry."</t>
  </si>
  <si>
    <t>MS,85.0,"Enterprise Value  1.02T</t>
  </si>
  <si>
    <t>Overall, Morgan Stanley appears to be a solid investment option in the investment banking and brokerage industry. Its strong financials and reasonable valuation make it a potential candidate for investors looking for long-term growth opportunities."</t>
  </si>
  <si>
    <t>MLM,85.0,"Martin Marietta Materials is a leading company in the construction materials industry with a recent market cap of 28.46B and an enterprise value of 32.54B. The firm has a trailing P/E ratio of 26.02 and a forward P/E ratio of 23.36, indicating a positive outlook for future earnings. The PEG ratio of 1.83 suggests that the stock may be undervalued compared to its expected growth rate. Additionally, the price/sales ratio of 4.31 and price/book ratio of 3.65 are in line with industry averages, indicating a fair valuation.</t>
  </si>
  <si>
    <t>Overall, Martin Marietta Materials appears to be a stable and well-managed company with a positive outlook for future growth. The recent news of increased infrastructure spending in the United States could also benefit the construction materials industry, potentially driving up demand for the company's products."</t>
  </si>
  <si>
    <t>AEE,85.0,"Ameren, a multi-utility company with a market cap of 20.80B, has been performing well in the recent months. Its latest financial data shows a strong enterprise value of 36.81B and a trailing P/E ratio of 17.93. The company's forward P/E ratio of 16.86 and PEG ratio of 2.32 suggest potential growth in the future. Additionally, its price/sales ratio of 2.62 and price/book ratio of 1.88 indicate that the stock may be undervalued. However, its enterprise value/revenue ratio of 4.64 and enterprise value/EBITDA ratio of 10.92 may be cause for concern. Overall, Ameren appears to be a solid investment option in the multi-utilities industry."</t>
  </si>
  <si>
    <t>VLO,85.0,"Valero Energy, a leading company in the Oil &amp; Gas Refining &amp; Marketing industry, has shown strong financial performance in recent years. With a market cap of 41.78B and an enterprise value of 47.39B, the company has a solid financial foundation. Its trailing P/E ratio of 4.19 and forward P/E ratio of 8.53 indicate that the stock is undervalued, making it an attractive investment opportunity.</t>
  </si>
  <si>
    <t>Recent news in the oil and gas industry, such as falling oil prices and increased demand for mortgage refinancing, may have a positive impact on Valero Energy's financial performance in the coming months. This, combined with the company's strong financials and undervalued stock, makes it a potentially attractive investment opportunity."</t>
  </si>
  <si>
    <t>UHS,85.0,"Universal Health Services (UHS) is a leading company in the Health Care Facilities industry with a recent market cap of 9.23B and an enterprise value of 14.53B. The company has a trailing P/E ratio of 14.20 and a forward P/E ratio of 11.67, indicating that the stock may be undervalued. UHS also has a low price-to-sales ratio of 0.68 and a price-to-book ratio of 1.52, which further supports its potential for investment.</t>
  </si>
  <si>
    <t>Overall, UHS appears to be a promising investment opportunity in the Health Care Facilities industry. With its strong financial performance and potential for growth, the company may be a good addition to a well-diversified portfolio."</t>
  </si>
  <si>
    <t>UNH,85.0,"UnitedHealth Group (UNH) is a leading company in the Managed Health Care industry with a recent market cap of $508.27B and an enterprise value of $527.55B. The company has a trailing P/E ratio of 23.85 and a forward P/E ratio of 19.57, indicating a potential undervaluation of the stock. The PEG ratio of 1.51 suggests that the stock may be trading at a discount compared to its expected growth rate.</t>
  </si>
  <si>
    <t>Overall, UNH appears to be a solid investment opportunity in the Managed Health Care industry. With its strong financials and potential undervaluation, the stock may offer attractive returns for investors in the next month."</t>
  </si>
  <si>
    <t>URI,85.0,"United Rentals is a leading company in the Trading Companies &amp; Distributors industry with a recent market cap of 32.29B and an enterprise value of 44.93B. The company has a trailing P/E ratio of 13.85 and a forward P/E ratio of 11.16, indicating that the stock may be undervalued. The PEG ratio of 1.22 suggests that the stock may have growth potential in the next five years. Additionally, the price/sales ratio of 2.37 and price/book ratio of 4.16 are in line with industry averages, indicating a fair valuation. However, the enterprise value/revenue ratio of 3.23 and enterprise value/EBITDA ratio of 6.94 are slightly higher than industry averages, suggesting that the stock may be slightly overvalued.</t>
  </si>
  <si>
    <t>Overall, United Rentals appears to be a solid investment opportunity in the Trading Companies &amp; Distributors industry. The company has a strong market position and a healthy financial outlook. However, investors should closely monitor any potential changes in the industry and the overall economy that may impact the company's performance."</t>
  </si>
  <si>
    <t>UAL,85.0,"United Airlines Holdings (UAL) is a major player in the passenger airline industry, with a recent market cap of $13.43B and an enterprise value of $31.35B. The company has a trailing P/E ratio of 4.74 and a forward P/E ratio of 4.10, indicating that the stock may be undervalued. Additionally, the PEG ratio of 0.13 suggests that the stock may have strong growth potential.</t>
  </si>
  <si>
    <t>Overall, UAL appears to be a strong investment opportunity in the passenger airline industry. With a low valuation and positive industry trends, the stock may have potential for growth in the coming months."</t>
  </si>
  <si>
    <t>V,85.0,"Visa Inc. is a leading company in the Transaction &amp; Payment Processing Services industry with a recent market cap of 522.14B and an enterprise value of 522.48B. The company has a trailing P/E ratio of 30.71 and a forward P/E ratio of 25.71, indicating a relatively high valuation. However, its PEG ratio of 1.64 suggests that the stock may still have room for growth.</t>
  </si>
  <si>
    <t>Based on the current market conditions and the company's financial data, the potential investment value of Visa Inc. in the Transaction &amp; Payment Processing Services industry for the next month is estimated to be high. However, investors should closely monitor any potential regulatory changes and the company's financial performance in the coming months."</t>
  </si>
  <si>
    <t>VICI,85.0,"Vici Properties is a real estate investment trust (REIT) that specializes in owning and operating hotel and resort properties. The recent financial data for the company shows a strong market capitalization of 31.28B and a solid enterprise value of 48.31B. The trailing P/E ratio of 12.55 and forward P/E ratio of 11.07 indicate that the company's stock is currently undervalued. Additionally, the price/sales ratio of 8.75 and price/book ratio of 1.29 suggest that the stock is trading at a discount compared to its peers in the industry.</t>
  </si>
  <si>
    <t>Overall, Vici Properties appears to be in a strong financial position with potential for growth in the hotel and resort industry. However, investors should also consider the potential impact of the ongoing COVID-19 pandemic on the hospitality sector. As travel restrictions ease and the economy recovers, Vici Properties may see an increase in demand for its properties."</t>
  </si>
  <si>
    <t>AIG,85.0,"Enterprise Value/EBITDA   7.86</t>
  </si>
  <si>
    <t>Overall, AIG appears to be a solid investment opportunity in the Property &amp; Casualty insurance industry. With a strong financial position and potential for growth, the stock may be undervalued and offer attractive returns for investors."</t>
  </si>
  <si>
    <t>AXP,85.0,"Recent News:</t>
  </si>
  <si>
    <t>Based on the recent financial data and news, American Express appears to be in a strong position for future growth. The company has a solid financial foundation and is making strategic moves to stay competitive in the consumer finance industry. However, investors should keep an eye on potential regulatory changes and any impact on the company's operations."</t>
  </si>
  <si>
    <t>ALL,85.0,"Enterprise Value/EBITDA  7.85</t>
  </si>
  <si>
    <t>Overall, Allstate appears to be a solid investment opportunity in the Property &amp; Casualty Insurance industry. With its strong financials and potential for growth, the company may be a good addition to a well-diversified portfolio."</t>
  </si>
  <si>
    <t>AMAT,85.0,"Applied Materials is a leading company in the Semiconductor Materials &amp; Equipment industry with a recent market cap of 121.05B and an enterprise value of 119.74B. The company has a trailing P/E ratio of 17.84 and a forward P/E ratio of 17.73, indicating a relatively stable valuation. The PEG ratio of 1.70 suggests that the stock may be slightly overvalued, but this is offset by the company's strong financials.</t>
  </si>
  <si>
    <t>Overall, Applied Materials appears to be in a strong financial position with stable valuation metrics. The company's recent financial data and news suggest that it is well-positioned for growth in the Semiconductor Materials &amp; Equipment industry. However, investors should closely monitor any potential changes in the industry and the company's financial performance."</t>
  </si>
  <si>
    <t>APA,85.0,"APA Corporation is a leading company in the Oil &amp; Gas Exploration &amp; Production industry with a recent market cap of 10.44B and an enterprise value of 16.03B. The firm has a trailing P/E ratio of 6.79 and a forward P/E ratio of 5.23, indicating that the stock may be undervalued. Additionally, the price/sales ratio of 1.23 and price/book ratio of 9.68 suggest that the stock may be trading at a discount compared to its peers in the industry.</t>
  </si>
  <si>
    <t>Overall, APA Corporation appears to be a solid investment opportunity in the Oil &amp; Gas Exploration &amp; Production industry. The company has a strong financial position and is trading at attractive valuation multiples. However, investors should closely monitor the impact of oil prices on the company's financial performance."</t>
  </si>
  <si>
    <t>AON,85.0,"Aon is a leading insurance brokerage firm with a recent market cap of 63.99B and an enterprise value of 67.86B. The company has a trailing P/E ratio of 24.27 and a forward P/E ratio of 19.76, indicating a potential undervaluation of the stock. The PEG ratio of 1.78 suggests that the stock may be slightly overvalued based on its expected growth rate. Aon's price/sales ratio of 5.03 and enterprise value/revenue ratio of 5.17 are in line with industry averages, while its enterprise value/EBITDA ratio of 17.01 is slightly higher than the industry average.</t>
  </si>
  <si>
    <t>Based on the latest financial data and industry trends, Aon appears to be a solid investment option in the insurance brokers industry. However, investors should closely monitor any potential regulatory changes and the impact of natural disasters on the company's financial performance."</t>
  </si>
  <si>
    <t>ADI,85.0,"Analog Devices is a leading company in the semiconductor industry with a recent market cap of 89.61B and an enterprise value of 95.67B. The company has a trailing P/E ratio of 27.57 and a forward P/E ratio of 25.13, indicating that the stock may be slightly overvalued. However, the PEG ratio of 2.72 suggests that the stock may still have growth potential. The price/sales ratio of 7.42 and price/book ratio of 2.52 are also in line with industry averages.</t>
  </si>
  <si>
    <t>Overall, Analog Devices appears to be a solid investment option in the semiconductor industry. However, investors should closely monitor industry developments and the company's financial performance to make informed decisions."</t>
  </si>
  <si>
    <t>AMGN,85.0,"Amgen, a leading biotechnology company, has a recent market cap of $144.14B and an enterprise value of $169.87B. The company's trailing P/E ratio is 19.16 and its forward P/E ratio is 13.77, indicating a potential undervaluation. However, its PEG ratio of 2.19 suggests a slightly overvalued stock. Amgen's price/sales ratio of 5.40 and price/book ratio of 18.83 are higher than the industry average, but its enterprise value/revenue and enterprise value/EBITDA ratios of 6.33 and 11.46 respectively, are in line with industry standards.</t>
  </si>
  <si>
    <t>Based on the recent financial data and industry trends, Amgen appears to be a stable and potentially undervalued investment option in the biotechnology industry. However, investors should closely monitor any developments in the industry and the company's financial performance."</t>
  </si>
  <si>
    <t>AMD,85.0,"AMD's recent product launch has generated significant buzz in the tech industry, as it represents the first real threat to Nvidia's dominance in the artificial intelligence market. This is a major development for AMD, as it has historically lagged behind Nvidia in this area. The company's new products have the potential to disrupt the market and gain a larger share of the AI market.</t>
  </si>
  <si>
    <t>Overall, AMD's recent product launch and strong financial position make it an attractive investment option in the semiconductor industry. However, investors should closely monitor the company's performance and market trends to make informed decisions."</t>
  </si>
  <si>
    <t>AMCR,85.0,"Amcor is a leading company in the Paper &amp; Plastic Packaging Products &amp; Materials industry with a recent market cap of 13.60B and an enterprise value of 20.63B. The company has a trailing P/E ratio of 14.37 and a forward P/E ratio of 13.99, indicating that the stock may be undervalued. However, the PEG ratio of 4.02 suggests that the stock may be overvalued in relation to its expected growth. Amcor's price/sales ratio of 0.96 and price/book ratio of 3.49 are both below the industry average, indicating that the stock may be undervalued in comparison to its peers. The company's enterprise value/revenue ratio of 1.43 and enterprise value/EBITDA ratio of 10.05 are also below the industry average, suggesting that the stock may be undervalued in terms of its financial performance.</t>
  </si>
  <si>
    <t>Based on the recent financial data and industry trends, Amcor appears to be a solid investment option in the Paper &amp; Plastic Packaging Products &amp; Materials industry. However, investors should closely monitor any potential impacts of rising raw material costs and potential regulatory changes on the company's financial performance."</t>
  </si>
  <si>
    <t>MO,85.0,"Altria, a leading company in the tobacco industry, has recently faced challenges due to declining smoking rates and increased regulations. However, the company has been able to maintain a strong financial position with a market cap of 73.15B and an enterprise value of 96.71B. The latest financial data shows a trailing P/E of 8.44 and a forward P/E of 8.22, indicating that the stock is currently undervalued. The PEG ratio of 6.31 suggests that the stock may have potential for long-term growth. Additionally, the price/sales ratio of 3.59 and enterprise value/revenue ratio of 4.70 are both below the industry average, making the stock attractive for value investors. However, the enterprise value/EBITDA ratio of 7.92 is slightly higher than the industry average, indicating that the stock may be slightly overvalued based on its earnings. Overall, Altria has a strong financial position and potential for long-term growth, making it a potential investment opportunity."</t>
  </si>
  <si>
    <t>GOOG,85.0,"Alphabet Inc. (Class C) is a leading company in the Interactive Media &amp; Services industry with a recent market cap of 1.64 trillion and an enterprise value of 1.54 trillion. The company has a strong financial position with a trailing P/E ratio of 25.18 and a forward P/E ratio of 19.72, indicating potential growth in the future. The PEG ratio of 1.24 suggests that the stock is currently undervalued and has room for growth. Additionally, the price/sales ratio of 5.66 and price/book ratio of 6.02 are both below the industry average, making the stock attractive for investors. However, the enterprise value/revenue ratio of 5.20 and enterprise value/EBITDA ratio of 16.54 are slightly higher than the industry average, indicating that the stock may be slightly overvalued. Overall, Alphabet Inc. (Class C) has a strong financial position and potential for growth in the Interactive Media &amp; Services industry."</t>
  </si>
  <si>
    <t>GOOGL,85.0,"Alphabet Inc. (Class A) is a leading company in the Interactive Media &amp; Services industry with a recent market cap of 1.64 trillion and an enterprise value of 1.54 trillion. The company has a strong financial position with a trailing P/E ratio of 24.91 and a forward P/E ratio of 19.49, indicating potential growth in the future. The PEG ratio of 1.22 suggests that the stock is currently undervalued and has room for growth. Additionally, the price/sales and price/book ratios of 5.60 and 5.96 respectively, are in line with industry averages, indicating a fair valuation. However, the enterprise value/revenue and enterprise value/EBITDA ratios of 5.20 and 16.54 respectively, are slightly higher than industry averages, which may indicate a potential risk for investors.</t>
  </si>
  <si>
    <t>The recent news of Alphabet's involvement in the AI arms race and its advancements in generative AI models present opportunities for growth in the tech sector. However, the potential for increased regulation in the industry is a factor to keep in mind. The company's strong financial position and potential for growth make it a favorable investment option in the Interactive Media &amp; Services industry."</t>
  </si>
  <si>
    <t>AEP,85.0,"American Electric Power (AEP) is a leading electric utility company with a recent market cap of $42.26B and an enterprise value of $84.55B. The company has a trailing P/E ratio of 18.43 and a forward P/E ratio of 14.31, indicating a potential undervaluation of the stock. However, the PEG ratio of 2.36 suggests that the stock may be slightly overvalued based on its expected growth rate.</t>
  </si>
  <si>
    <t>Based on the latest financial data and industry trends, AEP appears to be a solid investment opportunity in the electric utilities sector. However, investors should closely monitor any developments in the industry and the company's financial performance to make informed investment decisions."</t>
  </si>
  <si>
    <t>WMT,85.0,"Walmart, a leading company in the Consumer Staples Merchandise Retail industry, has been performing well in the recent months. With a market cap of 414.71B and an enterprise value of 472.30B, the company has a strong financial standing. Its trailing P/E ratio of 25.63 and forward P/E ratio of 21.83 indicate that the stock is currently trading at a reasonable valuation. However, its PEG ratio of 2.70 suggests that the stock may be slightly overvalued compared to its expected growth rate.</t>
  </si>
  <si>
    <t>Overall, Walmart appears to be in a strong financial position and has the potential for growth in the future. However, investors should closely monitor any potential changes in the consumer staples market and the company's performance in the upcoming months."</t>
  </si>
  <si>
    <t>LULU,85.0,"Lululemon Athletica, a leading athletic apparel company, has been performing well in the recent months. The company's latest financial data shows a strong market cap of 58.30B and an enterprise value of 58.39B. The trailing P/E ratio of 58.32 and forward P/E ratio of 33.33 indicate that the company's stock is currently trading at a premium, but this could be justified by its strong growth potential. The PEG ratio of 1.79 also suggests that the stock may be slightly overvalued, but not significantly.</t>
  </si>
  <si>
    <t>Overall, Lululemon Athletica is in a strong financial position and has a positive outlook for the future. The company's strong brand, loyal customer base, and potential for growth make it a promising investment opportunity in the Apparel, Accessories &amp; Luxury Goods industry."</t>
  </si>
  <si>
    <t>LOW,85.0,"Lowe's, a leading home improvement retail company, has shown strong financial performance in recent years. With a market cap of 120.03B and an enterprise value of 158.87B, the company has a solid financial foundation. Its trailing P/E ratio of 16.00 and forward P/E ratio of 15.20 indicate that the stock is reasonably priced. Additionally, the PEG ratio of 1.36 suggests that the stock may be undervalued, making it an attractive investment opportunity.</t>
  </si>
  <si>
    <t>Overall, Lowe's financial data suggests that the company is in a strong position and has the potential for growth. With a solid financial foundation and attractive valuation metrics, the stock may be a good investment opportunity for the next month."</t>
  </si>
  <si>
    <t>Based on the recent financial data and industry trends, Loews Corporation appears to be a promising investment opportunity in the multi-line insurance industry. However, as with any investment, there are risks to consider, such as potential regulatory changes and market volatility. Investors should conduct their own thorough research and consult with a financial advisor before making any investment decisions."</t>
  </si>
  <si>
    <t>NEE,85.0,"NextEra Energy is a leading company in the Multi-Utilities industry with a recent market cap of 123.51B and an enterprise value of 195.27B. The company has a trailing P/E ratio of 15.88 and a forward P/E ratio of 17.70, indicating a relatively low valuation compared to its peers in the industry. However, the PEG ratio of 2.43 suggests that the stock may be slightly overvalued based on its expected growth rate.</t>
  </si>
  <si>
    <t>Based on the latest financial data and industry trends, NextEra Energy appears to be a solid investment option in the Multi-Utilities industry. However, investors should closely monitor any potential regulatory changes and the company's earnings reports for any potential risks."</t>
  </si>
  <si>
    <t>NTAP,85.0,"NetApp, a leading provider of data storage and management solutions, has shown strong financial performance in recent years. With a market cap of 18.42B and an enterprise value of 18.46B, the company has a solid financial foundation. Its trailing P/E ratio of 27.60 and forward P/E ratio of 15.22 indicate that the stock is currently trading at a reasonable valuation.</t>
  </si>
  <si>
    <t>Overall, NetApp appears to be in a strong financial position, with a solid balance sheet and healthy financial ratios. However, investors should closely monitor the company's performance in the highly competitive technology industry."</t>
  </si>
  <si>
    <t>NUE,85.0,"Nucor is a leading steel company in the United States with a recent market cap of $39.88B and an enterprise value of $39.85B. The company has a trailing P/E ratio of 8.21 and a forward P/E ratio of 13.70, indicating a potential undervaluation in the stock. Nucor also has a low price-to-sales ratio of 1.15 and a price-to-book ratio of 1.95, which further supports its undervaluation. Additionally, the company has a strong financial position with an enterprise value/revenue ratio of 1.12 and an enterprise value/EBITDA ratio of 5.00.</t>
  </si>
  <si>
    <t>Based on the recent financial data and the company's strong position in the steel industry, Nucor has the potential for long-term growth and value creation for investors. However, investors should closely monitor any potential impacts of trade tensions and the ongoing pandemic on the steel industry."</t>
  </si>
  <si>
    <t>NOC,85.0,"Northrop Grumman, a leading defense contractor based in Falls Church, Virginia, has recently announced an increase in their stock-buyback authorization to $3.8 billion. This move signals the company's confidence in their financial position and potential for future growth. The latest financial data shows a strong market cap of $72.42 billion and an enterprise value of $85.87 billion. The trailing P/E ratio of 15.79 and forward P/E ratio of 19.42 suggest that the stock may be undervalued, making it an attractive investment opportunity. However, the PEG ratio of 13.22 indicates that the stock may be overvalued in relation to its expected growth. The price/sales ratio of 1.90 and price/book ratio of 4.55 also suggest that the stock may be trading at a premium. Overall, Northrop Grumman's strong financial position and recent stock-buyback authorization make it a promising investment option in the Aerospace &amp; Defense industry."</t>
  </si>
  <si>
    <t>LIN,85.0,"Linde plc is a leading company in the industrial gases industry with a recent market cap of 194.11B and an enterprise value of 208.22B. The company has a trailing P/E ratio of 33.11 and a forward P/E ratio of 25.91, indicating a potential undervaluation of the stock. However, the PEG ratio of 2.88 suggests that the stock may be slightly overvalued based on its expected growth rate.</t>
  </si>
  <si>
    <t>Based on the latest financial data and industry trends, Linde plc appears to be a solid investment option in the industrial gases industry. However, investors should closely monitor any potential changes in the industry and the company's financial performance."</t>
  </si>
  <si>
    <t>MGM,85.0,"MGM Resorts, a leading company in the Casinos &amp; Gaming industry, has a recent market cap of 13.45B and an enterprise value of 41.88B. The firm's trailing P/E ratio is 13.21, while the forward P/E ratio is 21.05. With a price/sales ratio of 0.95 and a price/book ratio of 3.39, MGM Resorts appears to be undervalued compared to its industry peers. Additionally, the company's enterprise value/revenue ratio of 2.72 and enterprise value/EBITDA ratio of 11.51 suggest that it may be a good investment opportunity.</t>
  </si>
  <si>
    <t>Overall, with its strong financial data and positive industry outlook, MGM Resorts appears to be a promising investment opportunity in the next month."</t>
  </si>
  <si>
    <t>LDOS,85.0,"Leidos, a company in the Diversified Support Services industry, has a recent market cap of 15.08B and an enterprise value of 19.55B. Its trailing P/E ratio is 103.49 and its forward P/E ratio is 14.39, indicating a potential undervaluation. The price/sales ratio is 0.99 and the price/book ratio is 3.64, both of which are below the industry average. However, the enterprise value/revenue ratio is 1.29 and the enterprise value/EBITDA ratio is 22.81, which may suggest a higher valuation compared to its peers.</t>
  </si>
  <si>
    <t>Overall, Leidos appears to be a solid company with a strong financial position and potential for growth. However, investors should closely monitor any potential changes in government contracts and regulations, as these could impact the company's performance."</t>
  </si>
  <si>
    <t>LVS,85.0,"Las Vegas Sands (LVS) is a leading player in the Casinos &amp; Gaming industry with a recent market cap of $33.77B and an enterprise value of $42.59B. The company has a trailing P/E ratio of 51.53 and a forward P/E ratio of 14.75, indicating a potential undervaluation of the stock. The PEG ratio of 1.08 suggests that the stock may be trading at a discount compared to its expected growth rate. Additionally, LVS has a price/sales ratio of 4.01 and a price/book ratio of 7.42, both of which are below the industry average, making the stock potentially attractive to value investors.</t>
  </si>
  <si>
    <t>Based on the latest financial data and industry trends, LVS appears to be a solid investment opportunity in the Casinos &amp; Gaming industry. However, investors should closely monitor any potential regulatory changes and geopolitical tensions that may impact the company's operations."</t>
  </si>
  <si>
    <t>LRCX,85.0,"Lam Research, a leading company in the Semiconductor Materials &amp; Equipment industry, has shown strong financial performance in recent years. With a market cap of 91.62B and an enterprise value of 91.44B, the company has a solid financial foundation. Its trailing P/E ratio of 23.58 and forward P/E ratio of 23.09 indicate that the stock is reasonably priced. However, its PEG ratio of 2.33 suggests that the stock may be slightly overvalued compared to its expected growth rate.</t>
  </si>
  <si>
    <t>Overall, Lam Research appears to be a strong and stable company with a solid financial position. Its latest financial data and news suggest that the company is well-positioned for future growth. However, investors should closely monitor any potential changes in the industry and the company's financial performance."</t>
  </si>
  <si>
    <t>MPC,85.0,"Marathon Petroleum (MPC) is a leading company in the Oil &amp; Gas Refining &amp; Marketing industry with a recent market cap of $54.37B and an enterprise value of $69.89B. The company has a trailing P/E ratio of 5.40 and a forward P/E ratio of 10.32, indicating a potential undervaluation of the stock. However, the PEG ratio of 15.65 suggests that the stock may be overvalued in the long term.</t>
  </si>
  <si>
    <t>Based on the current financial data and industry trends, Marathon Petroleum appears to be a promising investment opportunity. However, investors should closely monitor any developments in the industry and the company's financial performance before making any investment decisions."</t>
  </si>
  <si>
    <t>MTB,85.0,"Total Debt/Equity (mrq)   0.97</t>
  </si>
  <si>
    <t>Overall, M&amp;T Bank appears to be a solid investment opportunity in the regional banks industry. Its low valuation metrics and attractive dividend yield make it a potentially profitable investment. However, investors should closely monitor the company's debt levels and potential regulatory changes in the banking industry."</t>
  </si>
  <si>
    <t>LYB,85.0,"LyondellBasell (ticker: LYB) is a leading global producer of specialty chemicals, with a market cap of $29.98B and an enterprise value of $39.65B. The company's latest financial data shows a trailing P/E ratio of 13.22 and a forward P/E ratio of 9.35, indicating a potential undervaluation of the stock. Additionally, the price/sales ratio of 0.73 and price/book ratio of 2.27 suggest that the stock may be trading at a discount compared to its peers in the specialty chemicals industry.</t>
  </si>
  <si>
    <t>Furthermore, LyondellBasell's enterprise value/revenue ratio of 0.96 and enterprise value/EBITDA ratio of 8.32 are both below the industry average, indicating a potential opportunity for investors. The company's strong financial position and efficient operations make it a favorable investment option in the specialty chemicals industry."</t>
  </si>
  <si>
    <t>JPM,85.0,"Enterprise Value  1.67T</t>
  </si>
  <si>
    <t>JCI,85.0,"Johnson Controls is a leading company in the Building Products industry with a recent market cap of 37.44B and an enterprise value of 46.15B. The firm has a trailing P/E ratio of 18.47 and a forward P/E ratio of 14.01, indicating a potential undervaluation of the stock. The PEG ratio of 1.11 suggests that the stock may be trading at a discount compared to its expected growth rate. Additionally, the price/sales and price/book ratios of 1.43 and 2.29, respectively, are below the industry average, further supporting the undervaluation of the stock.</t>
  </si>
  <si>
    <t>Based on the firm's financial data and recent news, Johnson Controls appears to be a promising investment option in the Building Products industry. However, investors should conduct further research and analysis before making any investment decisions."</t>
  </si>
  <si>
    <t>LH,85.0,"LabCorp is a leading company in the Health Care Services industry with a recent market cap of 18.50B and an enterprise value of 24.10B. The company has a trailing P/E ratio of 22.44 and a forward P/E ratio of 15.13, indicating a potential undervaluation of the stock. However, the PEG ratio of 3.12 suggests that the stock may be overvalued in relation to its expected growth. The price/sales ratio of 1.28 and price/book ratio of 2.35 also indicate a potential undervaluation of the stock.</t>
  </si>
  <si>
    <t>Overall, LabCorp appears to be a solid investment option in the Health Care Services industry. Its strong financial performance and potential undervaluation make it a promising stock for the next month."</t>
  </si>
  <si>
    <t>XRAY,85.0,"Dentsply Sirona is a leading company in the Health Care Supplies industry with a recent market cap of 6.82B and an enterprise value of 8.64B. The company has a trailing P/E ratio of 126.19 and a forward P/E ratio of 15.53, indicating a potential undervaluation in the stock. However, the PEG ratio of 2.01 suggests that the stock may be slightly overvalued based on its expected growth rate.</t>
  </si>
  <si>
    <t>Overall, Dentsply Sirona appears to be a financially stable company with a strong market position in the Health Care Supplies industry. However, investors should closely monitor the company's future growth and earnings reports to make informed investment decisions."</t>
  </si>
  <si>
    <t>LEN,85.0,"Lennar Corporation (LEN) is a leading homebuilding company in the United States. The recent financial data for the company shows a strong market capitalization of $38.10B and an enterprise value of $38.45B. The trailing P/E ratio of 10.04 and forward P/E ratio of 10.27 indicate that the company's stock is currently undervalued. However, the PEG ratio of 2.91 suggests that the stock may be slightly overvalued in the long term.</t>
  </si>
  <si>
    <t>Overall, Lennar's financial data shows a stable and well-performing company in the homebuilding industry. The company's strong market position and solid financials make it a potential investment opportunity for the next month."</t>
  </si>
  <si>
    <t>MET,85.0,"MetLife is a leading company in the Life &amp; Health Insurance industry with a recent market cap of 47.03B and an enterprise value of 68.71B. The company's forward P/E ratio of 6.80 and PEG ratio of 0.25 suggest that it is currently undervalued. Additionally, its price/sales ratio of 0.77 and price/book ratio of 1.83 indicate that the stock may be trading at a discount compared to its peers in the industry.</t>
  </si>
  <si>
    <t>Overall, MetLife appears to be in a strong financial position, with a solid balance sheet and attractive valuation metrics. However, investors should also consider the potential impact of regulatory changes and market trends on the life and health insurance industry. It is important to closely monitor the company's performance and industry developments before making any investment decisions."</t>
  </si>
  <si>
    <t>META,85.0,"Meta Platforms Inc. (Meta) has recently announced plans to expand encryption on its messaging services, including Messenger, making it more similar to its sibling app WhatsApp. This move is part of Meta's efforts to improve privacy and security for its users. Additionally, Meta has also started fully encrypting personal messages on some of its apps by default, which is likely to add fuel to the ongoing debate over online privacy.</t>
  </si>
  <si>
    <t>Overall, Meta's recent focus on privacy and security, along with its strong financials, make it a promising investment opportunity in the Interactive Media &amp; Services industry. However, investors should closely monitor any potential regulatory challenges and the impact of encryption on user engagement."</t>
  </si>
  <si>
    <t>MRK,85.0,"Merck &amp; Co. is a leading pharmaceutical company with a recent market cap of 267.67B and an enterprise value of 293.75B. The company has a trailing P/E ratio of 58.68 and a forward P/E ratio of 12.36, indicating a potential undervaluation of the stock. The PEG ratio of 0.85 also suggests that the stock may be trading at a discount compared to its expected growth rate.</t>
  </si>
  <si>
    <t>Overall, Merck &amp; Co. appears to be a solid investment opportunity in the pharmaceutical industry. The company has a strong financial position and potential for growth, making it a favorable choice for long-term investors."</t>
  </si>
  <si>
    <t>MDT,85.0,"Medtronic, a leading company in the Health Care Equipment industry, has shown strong financial performance in recent years. With a market cap of 105.10B and an enterprise value of 122.44B, the company has a solid financial foundation. Its trailing P/E ratio of 25.66 and forward P/E ratio of 15.58 indicate that the company is currently undervalued, making it an attractive investment opportunity.</t>
  </si>
  <si>
    <t>Overall, Medtronic's recent financial data and market trends indicate that the company has a strong financial position and is undervalued in the market. Therefore, it may be a good investment opportunity for the next month."</t>
  </si>
  <si>
    <t>MCK,85.0,"McKesson is a leading company in the Health Care Distributors industry with a recent market cap of 60.89B and an enterprise value of 65.68B. The company has a trailing P/E ratio of 18.09 and a forward P/E ratio of 14.99, indicating that the stock may be undervalued. However, the PEG ratio of 2.03 suggests that the stock may be slightly overvalued based on its expected growth rate. McKesson also has a low price-to-sales ratio of 0.22 and a price-to-book ratio of 5.04, which may indicate a potential buying opportunity for investors.</t>
  </si>
  <si>
    <t>Overall, McKesson appears to be a solid investment option in the Health Care Distributors industry. While there may be some concerns about its valuation, the company's strong financials and market position make it a potentially attractive investment for the next month."</t>
  </si>
  <si>
    <t>MCD,85.0,"McDonald's, one of the largest fast-food chains in the world, has recently announced plans to test a new coffee shop-style restaurant concept. This move puts the company in direct competition with popular coffee chains like Starbucks. This news has sparked interest among investors, as McDonald's continues to innovate and expand its offerings.</t>
  </si>
  <si>
    <t>Overall, McDonald's appears to be in a strong financial position and is making strategic moves to expand its business. The new coffee shop-style concept could attract a new customer base and drive growth for the company. However, investors should continue to monitor the company's performance and any potential competition in the market."</t>
  </si>
  <si>
    <t>WAB,85.0,"Wabtec is a leading company in the Construction Machinery &amp; Heavy Transportation Equipment industry with a recent market cap of 21.19B and an enterprise value of 24.85B. The company has a trailing P/E ratio of 28.16 and a forward P/E ratio of 17.92, indicating a potential undervaluation of the stock. Wabtec also has a price/sales ratio of 2.25 and a price/book ratio of 2.05, which are both below the industry average. Additionally, the company has a strong financial position with an enterprise value/revenue ratio of 2.63 and an enterprise value/EBITDA ratio of 14.85.</t>
  </si>
  <si>
    <t>Overall, Wabtec appears to be in a strong position within its industry, with potential for growth in the coming months. However, investors should closely monitor economic and industry developments to make informed investment decisions."</t>
  </si>
  <si>
    <t>VMC,85.0,"Vulcan Materials Company is a leading producer of construction materials, including aggregates, asphalt, and ready-mixed concrete. The company has a strong presence in the United States and is well-positioned to benefit from the ongoing infrastructure development and construction projects in the country.</t>
  </si>
  <si>
    <t>In the past month, Vulcan Materials Company has announced strong financial results for the third quarter of 2021, with a 17% increase in total revenues compared to the same period last year. The company also raised its full-year earnings guidance, reflecting confidence in its business operations."</t>
  </si>
  <si>
    <t>ABNB,85.0,"Airbnb, a leading company in the Hotels, Resorts &amp; Cruise Lines industry, has been making headlines with its recent IPO and strong financial performance. The company's market cap currently stands at 86.72B, with an enterprise value of 78.07B. Its trailing P/E ratio of 16.46 and forward P/E ratio of 28.90 suggest that the stock may be slightly overvalued, but this could be justified by its strong growth potential.</t>
  </si>
  <si>
    <t>Overall, Airbnb's recent financial data suggests that it is a strong and growing company in the Hotels, Resorts &amp; Cruise Lines industry. While its valuation may be slightly high, its strong growth potential and unique business model make it a promising investment opportunity."</t>
  </si>
  <si>
    <t>WBD,85.0,"Warner Bros. Discovery is a recent merger between WarnerMedia and Discovery, creating a media powerhouse with a market cap of $26.63B and an enterprise value of $69.05B. The company operates in the broadcasting industry and has a forward P/E ratio of 121.95, which is higher than the industry average. However, its PEG ratio of 1.39 suggests that the stock may be undervalued compared to its expected growth rate.</t>
  </si>
  <si>
    <t>Overall, based on the recent financial data and the potential for growth and synergies, Warner Bros. Discovery appears to be a promising investment opportunity in the broadcasting industry."</t>
  </si>
  <si>
    <t>MKC,85.0,"McCormick &amp; Company is a leading player in the Packaged Foods &amp; Meats industry with a recent market cap of 18.17B and an enterprise value of 22.80B. The company has a trailing P/E ratio of 28.22 and a forward P/E ratio of 22.73, indicating a potential undervaluation of the stock. However, the PEG ratio of 2.46 suggests that the stock may be slightly overvalued based on its expected growth rate.</t>
  </si>
  <si>
    <t>Overall, McCormick &amp; Company appears to be a solid investment option in the Packaged Foods &amp; Meats industry. Its strong financials and market position, along with potential for future growth, make it a promising stock for long-term investors."</t>
  </si>
  <si>
    <t>MTCH,85.0,"Match Group, a leading provider of online dating services, has shown strong financial performance in recent years. With a market cap of 8.93B and an enterprise value of 12.06B, the company has a solid financial foundation. Its trailing P/E ratio of 18.56 and forward P/E ratio of 12.64 suggest that the stock is currently undervalued, making it an attractive investment opportunity.</t>
  </si>
  <si>
    <t>Overall, Match Group appears to be a solid investment opportunity in the Interactive Media &amp; Services industry. Its strong financial performance and undervalued stock make it a promising choice for investors. However, as with any investment, it is important to conduct thorough research and consider all factors before making a decision."</t>
  </si>
  <si>
    <t>MA,85.0,"Mastercard (MA) is a leading company in the Transaction &amp; Payment Processing Services industry with a recent market cap of $384.84B and an enterprise value of $392.92B. The company has a trailing P/E ratio of 35.78 and a forward P/E ratio of 28.82, indicating a potential undervaluation of the stock. The PEG ratio of 1.42 suggests that the stock may be slightly overvalued based on its expected growth rate. However, the price/sales ratio of 16.04 and price/book ratio of 61.00 are both higher than the industry average, indicating a premium valuation for the stock.</t>
  </si>
  <si>
    <t>Based on the recent financial data and the company's strong market position, Mastercard has a positive outlook for the next month. However, investors should closely monitor any potential regulatory changes in the payment processing industry and the impact of the ongoing COVID-19 pandemic on consumer spending."</t>
  </si>
  <si>
    <t>MAS,85.0,"Masco, a leading company in the Building Products industry, has shown strong financial performance in recent years. With a market cap of 14.24B and an enterprise value of 16.95B, the company has a solid financial foundation. Its trailing P/E ratio of 17.28 and forward P/E ratio of 16.37 indicate that the stock is reasonably priced. However, its PEG ratio of 2.23 suggests that the stock may be slightly overvalued compared to its expected growth rate.</t>
  </si>
  <si>
    <t>Overall, Masco appears to be a solid investment option in the Building Products industry. Its strong financial performance and relatively low valuation metrics make it an attractive choice for investors. However, it is important to monitor any potential changes in the industry and the company's financials in the coming months."</t>
  </si>
  <si>
    <t>VTR,85.0,"Ventas is a leading company in the Health Care REITs industry with a recent market cap of 18.53B and an enterprise value of 31.69B. The company's latest financial data shows a trailing P/E ratio of 2.30k, price/sales ratio of 4.25, and price/book ratio of 1.89. Additionally, the enterprise value/revenue ratio is 7.23 and the enterprise value/EBITDA ratio is 17.25.</t>
  </si>
  <si>
    <t>Based on the recent financial data and market trends, Ventas shows potential for growth and stability in the next month. However, investors should continue to monitor the company's financial performance and industry developments to make informed investment decisions."</t>
  </si>
  <si>
    <t>VRTX,85.0,"Vertex Pharmaceuticals is a leading biotechnology company with a recent market cap of $91.09B and an enterprise value of $79.90B. The company has a trailing P/E ratio of 26.54 and a forward P/E ratio of 22.32, indicating a positive outlook for future earnings. The PEG ratio of 0.50 suggests that the stock may be undervalued compared to its expected growth rate. Additionally, the price/sales ratio of 9.53 and price/book ratio of 5.52 are both above industry averages, indicating a premium valuation for the company. However, the enterprise value/revenue ratio of 8.28 and enterprise value/EBITDA ratio of 17.70 are in line with industry averages, suggesting that the company is not overvalued based on its revenue and earnings. Overall, Vertex Pharmaceuticals appears to be in a strong financial position with positive growth potential in the biotechnology industry."</t>
  </si>
  <si>
    <t>VZ,85.0,"Verizon, a leading company in the Integrated Telecommunication Services industry, has been performing well in the recent months. With a market cap of 161.86B and an enterprise value of 329.72B, the company has a strong financial standing. Its trailing P/E ratio of 7.75 and forward P/E ratio of 8.29 indicate that the stock is undervalued compared to its peers in the industry. However, the PEG ratio of 6.90 suggests that the stock may be overvalued in terms of its expected growth.</t>
  </si>
  <si>
    <t>Overall, Verizon's financial data suggests that the stock may be a good investment opportunity in the Integrated Telecommunication Services industry. However, investors should closely monitor the company's performance and industry trends before making any investment decisions."</t>
  </si>
  <si>
    <t>VRSK,85.0,"Verisk, a leading provider of data analytics and risk assessment services, has shown strong financial performance in recent years. With a market cap of 34.05B and an enterprise value of 36.73B, the company has a solid financial foundation. Its trailing P/E ratio of 44.06 and forward P/E ratio of 35.46 indicate that the stock may be slightly overvalued, but this is offset by its strong growth potential as seen in its PEG ratio of 2.48.</t>
  </si>
  <si>
    <t>Overall, Verisk's financial data paints a positive picture for the company's future growth potential. However, investors should closely monitor any potential changes in the industry and regulatory landscape, as well as the company's earnings reports, to make informed investment decisions."</t>
  </si>
  <si>
    <t>VRSN,85.0,"Verisign, a leading provider of domain name registry services, has shown strong financial performance in recent years. With a market cap of 22.05B and an enterprise value of 22.91B, the company has a solid financial foundation. Its trailing P/E ratio of 30.81 and forward P/E ratio of 24.94 suggest that the stock may be slightly overvalued, but its PEG ratio of 2.18 indicates potential for future growth.</t>
  </si>
  <si>
    <t>Overall, Verisign's strong financial performance and position in a growing industry make it a potentially attractive investment option. However, investors should closely monitor any potential regulatory changes or disruptions in the industry that could impact the company's operations."</t>
  </si>
  <si>
    <t>WM,85.0,"Waste Management is a leading company in the Environmental &amp; Facilities Services industry with a recent market cap of 70.06B and an enterprise value of 85.34B. The company has a trailing P/E ratio of 30.79 and a forward P/E ratio of 25.58, indicating a potential undervaluation of the stock. The PEG ratio of 2.51 suggests that the stock may be slightly overvalued based on its expected growth rate. However, the price/sales ratio of 3.53 and price/book ratio of 10.08 are both below the industry average, indicating a potential buying opportunity for investors.</t>
  </si>
  <si>
    <t>Overall, Waste Management appears to be a solid investment option in the Environmental &amp; Facilities Services industry. With a strong financial position, positive growth prospects, and a focus on sustainability, the company has the potential to deliver long-term value to investors."</t>
  </si>
  <si>
    <t>WY,85.0,"Weyerhaeuser is a leading timber REIT company with a recent market cap of 22.81B and an enterprise value of 26.66B. The company has a trailing P/E ratio of 35.91 and a forward P/E ratio of 27.55, indicating a potential undervaluation of the stock. Weyerhaeuser also has a price/sales ratio of 2.97 and a price/book ratio of 2.23, which are both below the industry average. This suggests that the stock may be trading at a discount compared to its peers.</t>
  </si>
  <si>
    <t>Overall, Weyerhaeuser appears to be a solid investment opportunity in the timber REIT industry. With a strong financial position and positive industry trends, the company has the potential for growth and may be undervalued compared to its peers."</t>
  </si>
  <si>
    <t>AIZ,85.0,"Enterprise Value/EBITDA  7.86</t>
  </si>
  <si>
    <t>Based on the current market conditions and the company's financial data, Assurant appears to be a promising investment opportunity in the multi-line insurance industry. However, as with any investment, there are risks to consider, such as potential regulatory changes and market volatility. Investors should conduct their own research and carefully evaluate their risk tolerance before making any investment decisions."</t>
  </si>
  <si>
    <t>ANET,85.0,"Arista Networks is a leading player in the Communications Equipment industry with a recent market cap of 66.39B and an enterprise value of 61.98B. The company has a trailing P/E ratio of 35.51 and a forward P/E ratio of 28.99, indicating a potential undervaluation of the stock. The PEG ratio of 1.60 suggests that the stock may be slightly overvalued, but this is offset by the strong price-to-sales ratio of 12.06 and price-to-book ratio of 10.20. The enterprise value/revenue and enterprise value/EBITDA ratios of 11.08 and 28.69 respectively, also indicate a potential undervaluation of the stock. Overall, Arista Networks appears to be in a strong financial position and may present a good investment opportunity in the Communications Equipment industry."</t>
  </si>
  <si>
    <t>CNP,85.0,"CenterPoint Energy is a leading company in the Multi-Utilities industry with a recent market cap of 18.17B and an enterprise value of 35.75B. The company has a trailing P/E ratio of 22.84 and a forward P/E ratio of 17.61, indicating a potential undervaluation of the stock. However, the PEG ratio of 2.13 suggests that the stock may be slightly overvalued based on its expected growth rate.</t>
  </si>
  <si>
    <t>Based on the recent financial data and industry trends, CenterPoint Energy appears to be a promising investment opportunity. However, investors should closely monitor any potential regulatory changes and the company's financial performance in the coming months."</t>
  </si>
  <si>
    <t>CNC,85.0,"Centene Corporation is a leading player in the Managed Health Care industry with a recent market cap of $39.74B and an enterprise value of $38.42B. The company has a trailing P/E ratio of 16.50 and a forward P/E ratio of 11.12, indicating a potential undervaluation of the stock. Additionally, the PEG ratio of 0.46 suggests that the stock may be trading at a discount compared to its expected earnings growth.</t>
  </si>
  <si>
    <t>Overall, Centene Corporation appears to be in a strong financial position with potential for growth in the Managed Health Care industry. However, investors should closely monitor any potential regulatory changes and industry developments that may impact the company's performance."</t>
  </si>
  <si>
    <t>CE,85.0,"Celanese, a leading company in the specialty chemicals industry, has shown strong financial performance in recent years. With a market cap of 15.34B and an enterprise value of 28.13B, the company has a solid financial foundation. Its trailing P/E ratio of 7.58 and forward P/E ratio of 11.60 indicate that the stock is currently undervalued, making it an attractive investment opportunity.</t>
  </si>
  <si>
    <t>Overall, Celanese appears to be a strong investment opportunity in the specialty chemicals industry. Its solid financial performance and undervalued stock make it a promising option for investors."</t>
  </si>
  <si>
    <t>CDW,85.0,"CDW is a leading technology distributor with a recent market cap of 28.08B and an enterprise value of 33.51B. The company has a trailing P/E ratio of 26.17 and a forward P/E ratio of 19.84, indicating potential growth in the future. CDW's price/sales ratio of 1.31 and price/book ratio of 15.51 are in line with industry averages, suggesting a fair valuation. Additionally, the company's enterprise value/revenue ratio of 1.54 and enterprise value/EBITDA ratio of 17.11 are also in line with industry standards.</t>
  </si>
  <si>
    <t>Overall, CDW appears to be a solid investment option in the technology distributors industry. Its strong financials, consistent growth, and position in a growing market make it a promising choice for investors."</t>
  </si>
  <si>
    <t>CBRE,85.0,"CBRE Group is a leading real estate services company with a recent market cap of 24.83B and an enterprise value of 29.34B. The firm has a trailing P/E ratio of 42.87 and a forward P/E ratio of 19.30, indicating a potential undervaluation in the stock. The PEG ratio of 2.08 suggests that the stock may be slightly overvalued based on its expected growth rate. However, the price/sales ratio of 0.82 and price/book ratio of 3.23 indicate that the stock may be undervalued compared to its industry peers.</t>
  </si>
  <si>
    <t>Overall, CBRE Group appears to be a solid investment opportunity in the real estate services industry. With a strong financial position and potential for growth, the stock may be undervalued compared to its industry peers. However, investors should closely monitor any potential regulatory changes and market trends that may impact the real estate sector."</t>
  </si>
  <si>
    <t>CBOE,85.0,"Cboe Global Markets is a leading financial exchange and data company with a strong market position and a solid financial track record. The recent financial data shows a market cap of 18.76B and an enterprise value of 19.99B. The trailing P/E ratio is 26.77, while the forward P/E ratio is 22.32, indicating a positive outlook for future earnings. The price/sales ratio is 4.96 and the price/book ratio is 4.95, both of which are in line with industry averages. The enterprise value/revenue ratio is 5.25 and the enterprise value/EBITDA ratio is 16.29, which are also in line with industry standards.</t>
  </si>
  <si>
    <t>Based on the latest financial data and the company's strong market position, Cboe Global Markets has a positive outlook for the next month. However, investors should closely monitor any potential changes in market conditions and regulatory changes that may impact the company's operations."</t>
  </si>
  <si>
    <t>Overall, Chubb Limited appears to be a solid investment opportunity in the property and casualty insurance industry. Its strong financial standing and potential undervaluation make it a promising stock to consider for the next month."</t>
  </si>
  <si>
    <t>DAL,85.0,"Delta Air Lines, one of the largest passenger airlines in the world, has faced significant challenges in the past year due to the COVID-19 pandemic. However, recent developments in the economy and the airline industry suggest potential investment opportunities for the company.</t>
  </si>
  <si>
    <t>Based on the current financial data and industry trends, Delta Air Lines appears to be a promising investment opportunity in the passenger airlines industry. However, as with any investment, there are risks to consider, such as potential disruptions to travel due to geopolitical tensions or a resurgence of COVID-19 cases."</t>
  </si>
  <si>
    <t>BRO,85.0,"Brown &amp; Brown is a leading insurance brokerage firm in the industry, with a recent market cap of 21.04B and an enterprise value of 24.15B. The company has a trailing P/E ratio of 28.11 and a forward P/E ratio of 24.45, indicating a relatively high valuation. However, its price-to-sales ratio of 5.02 and price-to-book ratio of 4.05 are in line with industry averages, suggesting a fair valuation.</t>
  </si>
  <si>
    <t>Overall, Brown &amp; Brown appears to be a solid investment option in the insurance brokerage industry. Its strong financials and fair valuation make it a potential candidate for investors looking for stable and profitable companies."</t>
  </si>
  <si>
    <t>AVGO,85.0,"Broadcom Inc. is a leading semiconductor company with a strong presence in the market. The recent financial data shows a market cap of 471.21B and an enterprise value of 498.50B. The trailing P/E ratio is 27.80, while the forward P/E ratio is 20.04, indicating a potential undervaluation of the stock. The PEG ratio of 1.44 suggests a balanced growth potential for the company. The price/sales ratio of 10.65 and price/book ratio of 21.34 are relatively high, but this can be attributed to the company's strong financial performance. The enterprise value/revenue and enterprise value/EBITDA ratios of 14.06 and 24.33, respectively, are also on the higher side, but this is expected for a company in the semiconductor industry.</t>
  </si>
  <si>
    <t>Overall, Broadcom Inc. appears to be in a strong financial position with potential for growth. The recent news in the semiconductor industry, such as the rise of AI and 5G technology, bodes well for the company's future prospects. However, investors should also consider potential risks, such as increasing competition and potential regulatory changes."</t>
  </si>
  <si>
    <t>BMY,85.0,"Bristol Myers Squibb (BMY) is a leading pharmaceutical company with a market cap of 101.49B and an enterprise value of 133.08B. The latest financial data shows a trailing P/E ratio of 12.66 and a forward P/E ratio of 6.69, indicating a potential undervaluation of the stock. The PEG ratio of 0.59 also suggests that the stock may be trading at a discount compared to its expected growth rate.</t>
  </si>
  <si>
    <t>Overall, the recent financial data and news suggest that BMY may be a promising investment opportunity in the pharmaceutical industry. However, investors should always conduct their own research and analysis before making any investment decisions."</t>
  </si>
  <si>
    <t>CTLT,85.0,"Catalent is a leading global provider of advanced delivery technologies, development, and manufacturing solutions for drugs, biologics, cell and gene therapies, and consumer health products. The company has a recent market cap of 6.84B and an enterprise value of 11.58B. Its forward P/E ratio is 45.87, and its PEG ratio (5 yr expected) is 2.48, indicating a slightly overvalued stock. However, its price/sales ratio of 1.61 and price/book ratio of 1.75 suggest a relatively undervalued stock. The enterprise value/revenue ratio of 2.71 and enterprise value/EBITDA ratio of -88.38 may raise some concerns, but it is important to note that the pharmaceutical industry typically has higher debt levels due to the high costs of research and development.</t>
  </si>
  <si>
    <t>The pharmaceutical industry is expected to continue its growth trajectory, driven by an aging population, increasing demand for personalized medicine, and advancements in technology. Catalent is well-positioned to benefit from these trends with its strong capabilities in drug delivery and development."</t>
  </si>
  <si>
    <t>CARR,85.0,"Carrier Global, a leading company in the Building Products industry, has shown strong financial performance in recent years. With a market cap of 44.48B and an enterprise value of 49.83B, the company has a solid financial foundation. Its trailing P/E ratio of 37.60 and forward P/E ratio of 17.99 indicate that the company is currently undervalued, making it an attractive investment opportunity.</t>
  </si>
  <si>
    <t>Overall, Carrier Global's recent financial data and news suggest that it is a strong and undervalued company in the Building Products industry. While there may be some potential risks and uncertainties in the market, the company's solid financial performance and potential for future growth make it a promising investment opportunity."</t>
  </si>
  <si>
    <t>KMX,85.0,"CarMax, a leading automotive retail company, has shown strong financial performance in recent years. With a market cap of 10.46B and an enterprise value of 29.42B, the company has a solid financial foundation. Its trailing P/E ratio of 23.05 and forward P/E ratio of 17.67 indicate that the stock is currently trading at a reasonable valuation. Additionally, the PEG ratio of 0.76 suggests that the stock may be undervalued, making it an attractive investment opportunity.</t>
  </si>
  <si>
    <t>Overall, CarMax appears to be a solid investment opportunity in the automotive retail industry. Its strong financial performance and potential for growth make it a promising stock to consider for the next month."</t>
  </si>
  <si>
    <t>CAH,85.0,"Cardinal Health is a leading company in the Health Care Distributors industry with a recent market cap of 26.09B and an enterprise value of 26.92B. The company has a trailing P/E ratio of 173.56 and a forward P/E ratio of 15.72, indicating a potential undervaluation of the stock. However, the PEG ratio of 2.23 suggests that the stock may be slightly overvalued based on its expected growth rate. The price/sales ratio of 0.13 and enterprise value/revenue ratio of 0.13 also indicate that the stock may be undervalued compared to its peers in the industry. However, the enterprise value/EBITDA ratio of 21.08 is relatively high, which may be a cause for concern.</t>
  </si>
  <si>
    <t>Overall, based on the recent financial data and industry trends, Cardinal Health appears to be a promising investment opportunity in the Health Care Distributors industry. However, investors should closely monitor any developments in the industry and the company's financial performance before making any investment decisions."</t>
  </si>
  <si>
    <t>CPT,85.0,"Camden Property Trust is a real estate investment trust (REIT) that specializes in multi-family residential properties. The recent financial data shows a market cap of $9.97B and an enterprise value of $13.61B. The trailing P/E ratio is 45.78 and the forward P/E ratio is 47.39, indicating a relatively high valuation. The price/sales ratio is 6.64 and the price/book ratio is 2.05, which are both in line with industry averages. The enterprise value/revenue ratio is 8.89 and the enterprise value/EBITDA ratio is 14.41, which are also in line with industry averages.</t>
  </si>
  <si>
    <t>Based on the current financial data and industry trends, Camden Property Trust appears to be a solid investment option in the multi-family residential REIT industry. However, investors should carefully consider their own risk tolerance and investment goals before making any decisions."</t>
  </si>
  <si>
    <t>VFC,85.0,"VF Corporation, a leading apparel, accessories, and luxury goods company, has shown strong financial performance in recent years. With a market cap of 7.08B and an enterprise value of 14.39B, the company has a solid financial foundation. Its trailing P/E ratio of 111.90 and forward P/E ratio of 10.36 indicate that the company is currently undervalued, making it an attractive investment opportunity.</t>
  </si>
  <si>
    <t>Overall, VF Corporation appears to be a solid investment opportunity in the apparel, accessories, and luxury goods industry. Its strong financial performance and undervalued stock make it a promising choice for investors. However, as with any investment, it is important to conduct further research and analysis before making any decisions."</t>
  </si>
  <si>
    <t>CMG,85.0,"Chipotle Mexican Grill, a leading fast-casual restaurant chain, has shown strong financial performance in recent years. With a market cap of 60.65B and an enterprise value of 63.22B, the company has a solid financial foundation. Its trailing P/E ratio of 52.43 and forward P/E ratio of 41.32 indicate that the stock may be slightly overvalued, but this is offset by its strong growth potential.</t>
  </si>
  <si>
    <t>Overall, Chipotle Mexican Grill appears to be a solid investment option in the restaurant industry. Its strong financials and growth potential make it a promising stock for the next month."</t>
  </si>
  <si>
    <t>STT,85.0,"Recent News:</t>
  </si>
  <si>
    <t>Overall, State Street Corporation has a strong financial position and is well-positioned for growth in the asset management industry. However, investors should closely monitor the company's PEG ratio and any potential regulatory changes that may impact the industry."</t>
  </si>
  <si>
    <t>SBUX,85.0,"Starbucks, a leading coffee chain in the Restaurants industry, has a recent market cap of 110.33B and an enterprise value of 130.97B. The company's trailing P/E ratio is 27.11 and its forward P/E ratio is 23.42, indicating a potential undervaluation of the stock. The PEG ratio of 1.33 suggests that the stock may be trading at a discount compared to its expected earnings growth. Additionally, the price/sales ratio of 3.11 and enterprise value/revenue ratio of 3.64 are in line with industry averages, indicating a fair valuation.</t>
  </si>
  <si>
    <t>Overall, Starbucks appears to be a solid investment opportunity in the Restaurants industry. Its strong financials, brand strength, and focus on innovation and sustainability make it a promising long-term investment. However, investors should closely monitor any potential risks and industry trends."</t>
  </si>
  <si>
    <t>SWK,85.0,"Stanley Black &amp; Decker is a leading company in the Industrial Machinery &amp; Supplies &amp; Components industry with a recent market cap of 14.21B and an enterprise value of 21.47B. The company has a forward P/E ratio of 21.32, which is slightly higher than the industry average. However, its price/sales ratio of 0.87 and price/book ratio of 1.52 suggest that the stock may be undervalued compared to its peers.</t>
  </si>
  <si>
    <t>Overall, based on the recent financial data and industry trends, Stanley Black &amp; Decker appears to be a solid investment option in the Industrial Machinery &amp; Supplies &amp; Components industry. However, investors should closely monitor the company's earnings and any potential changes in the industry landscape."</t>
  </si>
  <si>
    <t>LUV,85.0,"Southwest Airlines (ticker: LUV) is a major player in the passenger airline industry, with a recent market cap of $16.69B and an enterprise value of $14.23B. The company has a trailing P/E ratio of 34.56 and a forward P/E ratio of 10.48, indicating a potential undervaluation of the stock. Additionally, the PEG ratio of 0.36 suggests that the stock may be trading at a discount compared to its expected growth rate.</t>
  </si>
  <si>
    <t>Overall, Southwest Airlines appears to be in a strong financial position with potential for growth. However, it is important to note that the airline industry has been heavily impacted by the COVID-19 pandemic and may continue to face challenges in the near future."</t>
  </si>
  <si>
    <t>SO,85.0,"Southern Company, a leading electric utility company, has been performing well in the recent months. With a market cap of 78.81B and an enterprise value of 139.44B, the company has a strong financial standing. Its trailing P/E ratio of 26.37 and forward P/E ratio of 17.99 indicate that the company is currently undervalued in the market. Additionally, its PEG ratio of 2.71 suggests that the stock has potential for growth in the future.</t>
  </si>
  <si>
    <t>Overall, Southern Company appears to be a solid investment option in the electric utilities industry. Its strong financial standing and potential for growth make it an attractive choice for investors. However, it is important to monitor any potential regulatory changes in the industry that may impact the company's operations and profitability."</t>
  </si>
  <si>
    <t>SNA,85.0,"Snap-on is a leading company in the Industrial Machinery &amp; Supplies &amp; Components industry with a recent market cap of 14.79B and an enterprise value of 15.08B. The company has a trailing P/E ratio of 15.22 and a forward P/E ratio of 14.43, indicating that the stock may be undervalued. The PEG ratio of 1.84 suggests that the stock may have growth potential in the next five years. Additionally, the price/sales ratio of 3.23 and price/book ratio of 3.06 are in line with industry averages, indicating a fair valuation.</t>
  </si>
  <si>
    <t>Overall, Snap-on appears to be a solid investment opportunity in the Industrial Machinery &amp; Supplies &amp; Components industry. The company has a strong financial position and a fair valuation, making it a potential candidate for long-term investment."</t>
  </si>
  <si>
    <t>CFG,85.0,"Total Debt/Equity (mrq)   0.66</t>
  </si>
  <si>
    <t>Overall, Citizens Financial Group appears to be a solid investment opportunity in the regional banks industry. With its strong financials, undervalued stock, and strategic initiatives, the company has the potential for growth and could provide attractive returns for investors."</t>
  </si>
  <si>
    <t>ACGL,85.0,"Arch Capital Group is a leading reinsurance company with a strong financial position and a solid track record of profitability. The recent financial data shows a market cap of 29.84B and an enterprise value of 32.90B, indicating a healthy balance sheet. The trailing P/E ratio of 10.32 and forward P/E ratio of 10.00 suggest that the stock is currently undervalued. Additionally, the price/sales ratio of 2.42 and price/book ratio of 2.07 are both below the industry average, making the stock potentially attractive to value investors.</t>
  </si>
  <si>
    <t>Overall, Arch Capital Group appears to be a solid investment opportunity in the reinsurance industry. With a strong financial position, undervalued stock, and a track record of profitability, the company is well-positioned for potential growth in the coming months."</t>
  </si>
  <si>
    <t>APTV,85.0,"Aptiv, a leading company in the Automotive Parts &amp; Equipment industry, has shown strong financial performance in recent years. With a market cap of 22.88B and an enterprise value of 28.06B, the company has a solid financial foundation. Its trailing P/E ratio of 10.07 and forward P/E ratio of 13.59 indicate that the stock is currently undervalued, making it an attractive investment opportunity.</t>
  </si>
  <si>
    <t>Overall, Aptiv appears to be a strong investment opportunity in the Automotive Parts &amp; Equipment industry. Its solid financial performance and undervalued stock make it an attractive option for investors."</t>
  </si>
  <si>
    <t>ADSK,85.0,"Autodesk, a leading company in the Application Software industry, has a recent market cap of 46.97B and an enterprise value of 47.67B. The company's latest trailing P/E ratio is 51.79 and forward P/E ratio is 27.70, indicating a potential for future growth. The PEG ratio of 1.38 suggests that the stock may be slightly overvalued, but still has room for growth. The price/sales ratio of 8.89 and price/book ratio of 31.69 are higher than the industry average, indicating a premium for the company's stock. However, the enterprise value/revenue ratio of 8.92 and enterprise value/EBITDA ratio of 37.92 are in line with the industry average, suggesting a fair valuation.</t>
  </si>
  <si>
    <t>Overall, Autodesk has a strong financial position and is well-positioned in the market. The company's latest financial data and news suggest a potential for growth in the coming months. However, investors should closely monitor the company's performance and industry trends before making any investment decisions."</t>
  </si>
  <si>
    <t>BAC,85.0,"Recent News:</t>
  </si>
  <si>
    <t>Overall, Bank of America appears to be in a strong position for growth and value creation. With a solid financial performance and strategic initiatives in place, the company is well-positioned to capitalize on opportunities in the market."</t>
  </si>
  <si>
    <t>BALL,85.0,"Ball Corporation is a leading company in the Metal, Glass &amp; Plastic Containers industry with a recent market cap of 18.09B and an enterprise value of 26.80B. The company has a trailing P/E ratio of 29.88 and a forward P/E ratio of 17.27, indicating a potential undervaluation of the stock. However, the PEG ratio of 2.06 suggests that the stock may be slightly overvalued based on its expected growth rate. The price/sales ratio of 1.28 and price/book ratio of 4.59 also indicate a potential undervaluation of the stock. Additionally, the enterprise value/revenue ratio of 1.89 and enterprise value/EBITDA ratio of 14.63 suggest that the company may be trading at a discount compared to its peers in the industry.</t>
  </si>
  <si>
    <t>Based on the recent financial data and industry trends, Ball Corporation appears to be a promising investment opportunity in the Metal, Glass &amp; Plastic Containers industry. However, investors should closely monitor any potential risks, such as changes in consumer behavior or regulatory changes, that may impact the company's performance."</t>
  </si>
  <si>
    <t>BKR,85.0,"Baker Hughes is a leading company in the Oil &amp; Gas Equipment &amp; Services industry with a recent market cap of 32.06B and an enterprise value of 35.52B. The company has a trailing P/E ratio of 19.08 and a forward P/E ratio of 15.38, indicating a potential undervaluation of the stock. Additionally, the price/sales ratio of 1.31 and price/book ratio of 2.10 suggest that the stock may be trading at a discount compared to its peers in the industry.</t>
  </si>
  <si>
    <t>However, it is important to note that the oil and gas industry is highly volatile and subject to various external factors such as global demand and supply, geopolitical tensions, and regulatory changes. These factors can impact the company's financial performance and stock price."</t>
  </si>
  <si>
    <t>AZO,85.0,"AutoZone is a leading company in the automotive retail industry with a recent market cap of 46.96B and an enterprise value of 49.59B. The company has a trailing P/E ratio of 19.72 and a forward P/E ratio of 18.15, indicating that the stock may be slightly undervalued. The PEG ratio of 1.33 suggests that the stock may have room for growth in the next five years. Additionally, the price/sales ratio of 2.88 and the enterprise value/revenue ratio of 2.81 are in line with industry averages, indicating a fair valuation.</t>
  </si>
  <si>
    <t>Based on the recent financial data and industry outlook, AutoZone appears to be a solid investment option for the next month. However, as with any investment, there are risks to consider, such as potential changes in consumer behavior and competition from online retailers."</t>
  </si>
  <si>
    <t>BBY,85.0,"Best Buy is a leading company in the Computer &amp; Electronics Retail industry with a recent market cap of 16.17B and an enterprise value of 19.57B. The company has a trailing P/E ratio of 12.97 and a forward P/E ratio of 11.92, indicating that the stock may be undervalued. The PEG ratio of 1.68 suggests that the stock may have growth potential in the next five years. Best Buy also has a low price-to-sales ratio of 0.38 and a price-to-book ratio of 5.75, which are both below the industry average. The company's enterprise value to revenue ratio of 0.45 and enterprise value to EBITDA ratio of 7.41 are also lower than the industry average, indicating that the stock may be undervalued.</t>
  </si>
  <si>
    <t>Based on the recent financial data and the company's strong position in the market, Best Buy may be a good investment opportunity for the next month. However, investors should closely monitor any potential risks, such as changes in consumer spending or increased competition in the retail industry."</t>
  </si>
  <si>
    <t>CVX,85.0,"Chevron Corporation is a leading player in the Integrated Oil &amp; Gas industry with a recent market cap of $269.06B and an enterprise value of $283.68B. The company has a strong financial position with a trailing P/E ratio of 10.58 and a forward P/E ratio of 9.93, indicating that the stock is currently undervalued. Additionally, Chevron has a low price-to-sales ratio of 1.33 and a price-to-book ratio of 1.63, which further supports its attractive valuation.</t>
  </si>
  <si>
    <t>Overall, Chevron Corporation appears to be a solid investment opportunity in the Integrated Oil &amp; Gas industry. Its strong financial position, attractive valuation, and potential for positive market trends make it a promising stock to consider."</t>
  </si>
  <si>
    <t>CHTR,85.0,"Charter Communications, a leading company in the Cable &amp; Satellite industry, has shown strong financial performance in recent years. With a market cap of 53.54B and an enterprise value of 151.06B, the company has a solid financial foundation. Its trailing P/E ratio of 11.82 and forward P/E ratio of 9.27 indicate that the stock is currently undervalued, making it an attractive investment opportunity.</t>
  </si>
  <si>
    <t>Recent news in the Cable &amp; Satellite industry, such as the increase in demand for streaming services and the potential for mergers and acquisitions, bode well for Charter Communications. The company is well-positioned to capitalize on these trends and continue its growth trajectory."</t>
  </si>
  <si>
    <t>SCHW,85.0,"Recent News:</t>
  </si>
  <si>
    <t>Overall, the firm's financial data and recent news suggest a stable and potentially undervalued investment opportunity. However, investors should closely monitor market trends and the company's performance in the coming months."</t>
  </si>
  <si>
    <t>CRL,85.0,"Charles River Laboratories is a leading company in the Life Sciences Tools &amp; Services industry with a recent market cap of 10.29B and an enterprise value of 13.04B. The company has a trailing P/E ratio of 21.74 and a forward P/E ratio of 17.45, indicating a potential undervaluation of the stock. The PEG ratio of 1.65 suggests that the stock may be trading at a discount compared to its expected earnings growth. Additionally, the price/sales and price/book ratios of 2.45 and 3.11, respectively, are below the industry average, further supporting the undervaluation of the stock.</t>
  </si>
  <si>
    <t>Overall, based on the recent financial data and market trends, Charles River Laboratories appears to be a promising investment opportunity in the Life Sciences Tools &amp; Services industry. However, as with any investment, it is important to conduct thorough research and consider the potential risks before making any decisions."</t>
  </si>
  <si>
    <t>CF,85.0,"CF Industries is a leading company in the Fertilizers &amp; Agricultural Chemicals industry with a recent market cap of $14.20B and an enterprise value of $14.19B. The company has a trailing P/E ratio of 6.91 and a forward P/E ratio of 10.92, indicating a potential undervaluation in the stock. CF Industries also has a price/sales ratio of 1.89 and a price/book ratio of 2.48, which are both below the industry average. This suggests that the stock may be trading at a discount compared to its peers.</t>
  </si>
  <si>
    <t>Overall, CF Industries appears to be a solid investment opportunity in the Fertilizers &amp; Agricultural Chemicals industry. With its strong financials and positive industry outlook, the stock may have potential for growth in the next month."</t>
  </si>
  <si>
    <t>BBWI,85.0,"Bath &amp; Body Works, Inc. is a leading specialty store in the retail industry, offering a wide range of personal care and home fragrance products. The company has shown strong financial performance in recent years, with a market cap of 8.36B and an enterprise value of 13.65B. Its trailing P/E ratio of 11.74 and forward P/E ratio of 11.04 indicate that the stock is currently undervalued compared to its earnings. Additionally, the PEG ratio of 1.24 suggests that the stock may be undervalued in relation to its expected growth.</t>
  </si>
  <si>
    <t>Overall, Bath &amp; Body Works, Inc. appears to be a strong company with a solid financial position. Its undervalued P/E and PEG ratios suggest that the stock may have potential for growth in the future. However, the slightly higher enterprise value/EBITDA ratio may be a cause for caution. Investors should continue to monitor the company's financial performance and industry trends before making any investment decisions."</t>
  </si>
  <si>
    <t>ZION,85.0,"Enterprise Value  23.41B</t>
  </si>
  <si>
    <t>Overall, based on the recent financial data, Zions Bancorporation appears to be a promising investment opportunity in the Regional Banks industry. However, investors should carefully monitor industry and market trends before making any investment decisions."</t>
  </si>
  <si>
    <t>BDX,85.0,"Becton Dickinson (BD) is a leading company in the Health Care Equipment industry with a recent market cap of 67.80B and an enterprise value of 82.25B. The company has a trailing P/E ratio of 45.77 and a forward P/E ratio of 17.06, indicating a potential undervaluation of the stock. The PEG ratio of 1.25 suggests that the stock may be trading at a discount compared to its expected growth rate. Additionally, the price/sales ratio of 3.48 and price/book ratio of 2.63 are both below the industry average, further supporting the undervaluation of the stock.</t>
  </si>
  <si>
    <t>Based on the latest financial data and news, BD appears to be a strong investment opportunity in the Health Care Equipment industry. The company's solid financials, diversified product portfolio, and recent acquisition make it a promising stock for the next month."</t>
  </si>
  <si>
    <t>BAX,85.0,"Baxter International is a leading company in the Health Care Equipment industry with a recent market cap of 18.23B and an enterprise value of 29.37B. The company has a trailing P/E ratio of 78.11 and a forward P/E ratio of 11.64, indicating a potential undervaluation in the stock. Additionally, the price/sales ratio of 1.19 and price/book ratio of 2.25 suggest that the stock may be trading at a discount compared to its peers in the industry. However, the enterprise value/revenue ratio of 1.92 and enterprise value/EBITDA ratio of 15.25 are slightly higher than the industry average, which may indicate a higher valuation for the company.</t>
  </si>
  <si>
    <t>Overall, Baxter International appears to be a solid investment opportunity in the Health Care Equipment industry. The company has a strong financial position and potential for growth, but investors should carefully monitor industry developments and company performance."</t>
  </si>
  <si>
    <t>BSX,85.0,"Boston Scientific is a leading company in the Health Care Equipment industry with a recent market cap of 80.31B and an enterprise value of 88.66B. The company has a trailing P/E ratio of 66.85 and a forward P/E ratio of 24.45, indicating a potential undervaluation of the stock. The PEG ratio of 1.71 suggests that the stock may be slightly overvalued based on its expected growth rate. However, the price/sales ratio of 5.80 and price/book ratio of 4.25 are in line with industry averages, indicating a fair valuation.</t>
  </si>
  <si>
    <t>Overall, Boston Scientific appears to be a solid investment opportunity in the Health Care Equipment industry. Its strong financial position, steady growth, and promising future developments make it a potential candidate for investors looking for long-term growth. However, investors should closely monitor any potential regulatory changes and competitive pressures in the industry."</t>
  </si>
  <si>
    <t>BWA,85.0,"BorgWarner is a leading company in the Automotive Parts &amp; Equipment industry with a recent market cap of 7.69B and an enterprise value of 10.60B. The firm has a trailing P/E ratio of 7.98 and a forward P/E ratio of 7.92, indicating that the stock is currently undervalued. The PEG ratio of 1.41 suggests that the stock has a potential for growth in the next five years. The price/sales ratio of 0.45 and price/book ratio of 1.33 also indicate that the stock is undervalued. The enterprise value/revenue ratio of 0.62 and enterprise value/EBITDA ratio of 4.92 are also favorable for investors.</t>
  </si>
  <si>
    <t>Overall, BorgWarner appears to be a solid investment opportunity in the Automotive Parts &amp; Equipment industry. The company's strong financials and strategic moves position it well for future growth. However, investors should closely monitor any potential impact of global economic conditions and industry trends on the company's performance."</t>
  </si>
  <si>
    <t>BKNG,85.0,"Booking Holdings (BKNG) is a leading company in the Hotels, Resorts &amp; Cruise Lines industry with a recent market cap of 109.93B and an enterprise value of 110.32B. The company has a trailing P/E ratio of 22.29 and a forward P/E ratio of 18.35, indicating a potential undervaluation of the stock. The PEG ratio of 0.68 also suggests that the stock may be undervalued compared to its expected growth rate. However, the price/sales ratio of 5.71 and price/book ratio of 34.36 may indicate a slightly overvalued stock.</t>
  </si>
  <si>
    <t>Overall, Booking Holdings appears to be a solid investment option in the Hotels, Resorts &amp; Cruise Lines industry. However, investors should closely monitor market trends and company performance before making any investment decisions."</t>
  </si>
  <si>
    <t>BK,85.0,"Recent News:</t>
  </si>
  <si>
    <t>Based on the latest financial data and news, BNY Mellon appears to be a strong investment opportunity in the asset management and custody bank industry. However, as with any investment, it is important to conduct thorough research and consider individual risk tolerance before making any decisions."</t>
  </si>
  <si>
    <t>BX,85.0,"Blackstone (BX) is a leading global investment firm that specializes in alternative asset management and financial services. The recent news about avoiding Blackstone Mortgage Trust (BMXT) and instead buying two other REITs may have caused some concern among investors. However, it is important to note that Blackstone has a diverse portfolio and is not solely reliant on BMXT for its success.</t>
  </si>
  <si>
    <t>BRK.B,85.0,"Berkshire Hathaway, a multinational conglomerate holding company, has been performing well in the recent months. The latest financial data shows a strong balance sheet with a current ratio of 1.44, indicating the company's ability to meet its short-term obligations. Additionally, the company's return on equity has been consistently above the industry average, showcasing its efficient use of shareholder's funds.</t>
  </si>
  <si>
    <t>Overall, Berkshire Hathaway's strong financials and diverse portfolio make it a solid investment option in the Multi-Sector Holdings industry."</t>
  </si>
  <si>
    <t>TXN,85.0,"Texas Instruments (TXN) is a leading semiconductor company with a strong presence in the global market. The recent financial data shows a market cap of $141.72B and an enterprise value of $143.99B. The trailing P/E ratio of 20.21 and forward P/E ratio of 23.15 indicate that the stock is currently trading at a reasonable valuation. However, the PEG ratio of 4.74 suggests that the stock may be slightly overvalued compared to its expected growth rate.</t>
  </si>
  <si>
    <t>Based on the current market conditions and the company's financials and growth potential, the potential investment value of TXN in the next month is estimated to be high. However, investors should closely monitor any potential risks, such as changes in market conditions or regulatory changes, that may impact the stock's performance."</t>
  </si>
  <si>
    <t>AFL,85.0,"Enterprise Value/EBITDA  7.86</t>
  </si>
  <si>
    <t>Aflac is a leading life and health insurance company with a strong presence in the market. The recent financial data shows a market cap of 47.76B and an enterprise value of 49.22B. The trailing P/E ratio of 11.20 and forward P/E ratio of 12.79 indicate that the stock is currently undervalued. Additionally, the price/sales ratio of 2.58 and price/book ratio of 2.11 suggest that the stock may be trading at a discount compared to its peers in the industry. The enterprise value/revenue ratio of 2.55 and enterprise value/EBITDA ratio of 7.86 also indicate a potential undervaluation of the stock. Overall, Aflac appears to be in a strong financial position and may present a good investment opportunity in the life and health insurance industry."</t>
  </si>
  <si>
    <t>WMB,85.0,"Williams Companies (WMB) is a leading player in the Oil &amp; Gas Storage &amp; Transportation industry with a recent market cap of $43.60B and an enterprise value of $67.21B. The company has a trailing P/E ratio of 15.72 and a forward P/E ratio of 18.28, indicating a potential undervaluation of the stock. The PEG ratio of 1.83 suggests that the stock may be trading at a discount compared to its expected growth rate. Additionally, the price/sales and price/book ratios of 3.97 and 3.69, respectively, are below the industry average, further supporting the undervaluation of the stock.</t>
  </si>
  <si>
    <t>Based on the latest financial data and news, Williams Companies appears to be a promising investment option in the Oil &amp; Gas Storage &amp; Transportation industry. However, investors should conduct further research and analysis before making any investment decisions."</t>
  </si>
  <si>
    <t>WTW,85.0,"Willis Towers Watson (WTW) is a leading global insurance brokerage and advisory firm, providing a wide range of risk management and consulting services to clients around the world. The recent financial data for WTW shows a strong market cap of 24.94B and an enterprise value of 29.60B. The trailing P/E ratio of 25.56 and forward P/E ratio of 14.86 suggest that the stock is currently trading at a reasonable valuation. The PEG ratio of 1.19 also indicates that the stock may be undervalued, as it is lower than the industry average of 1.50. Additionally, the price/sales and price/book ratios of 2.77 and 2.65, respectively, are in line with industry averages.</t>
  </si>
  <si>
    <t>Overall, WTW appears to be in a strong financial position with potential for growth through its partnership with Microsoft. However, investors should closely monitor any potential impacts from the ongoing COVID-19 pandemic and geopolitical tensions, as these factors can affect the insurance industry as a whole."</t>
  </si>
  <si>
    <t>GWW,85.0,"W.W. Grainger, a leading industrial machinery and supplies company, has shown strong financial performance in recent years. With a market cap of 39.83B and an enterprise value of 41.96B, the company has a solid financial foundation. Its trailing P/E ratio of 22.38 and forward P/E ratio of 21.01 indicate that the stock is reasonably priced. However, its PEG ratio of 2.13 suggests that the stock may be slightly overvalued compared to its expected growth rate.</t>
  </si>
  <si>
    <t>Overall, W.W. Grainger appears to be a financially stable and well-managed company. Its recent financial data and metrics suggest that it may be a good investment opportunity for the next month. However, investors should closely monitor any potential changes in the industrial machinery and supplies industry and the overall market conditions."</t>
  </si>
  <si>
    <t>ADM,85.0,"ADM (Archer-Daniels-Midland Company) is a leading agricultural products and services company with a recent market cap of $39.04B and an enterprise value of $47.04B. The company has a trailing P/E ratio of 10.18 and a forward P/E ratio of 10.91, indicating a relatively low valuation compared to its industry peers. ADM also has a low price-to-sales ratio of 0.41 and a price-to-book ratio of 1.55, suggesting that the stock may be undervalued.</t>
  </si>
  <si>
    <t>Overall, ADM appears to be a solid investment opportunity in the agricultural products and services industry. With a strong financial position and potential for growth, the company may be well-positioned for success in the coming months."</t>
  </si>
  <si>
    <t>XEL,85.0,"Xcel Energy is a leading company in the Multi-Utilities industry with a recent market cap of $34.20B and an enterprise value of $60.73B. The company has a trailing P/E ratio of 19.61 and a forward P/E ratio of 17.30, indicating a relatively fair valuation. However, the PEG ratio of 2.81 suggests that the stock may be slightly overvalued compared to its expected growth rate. Xcel Energy also has a price/sales ratio of 2.31 and a price/book ratio of 1.98, which are both below the industry average, indicating potential undervaluation.</t>
  </si>
  <si>
    <t>Overall, Xcel Energy appears to be a solid investment option in the Multi-Utilities industry. While the stock may be slightly overvalued based on its PEG ratio, its strong financial performance and potential undervaluation based on price/sales and price/book ratios make it a promising investment for the next month."</t>
  </si>
  <si>
    <t>XYL,85.0,"Xylem Inc. is a leading company in the Industrial Machinery &amp; Supplies &amp; Components industry with a recent market cap of 25.58B and an enterprise value of 27.24B. The company has a trailing P/E ratio of 43.31 and a forward P/E ratio of 26.95, indicating a potential undervaluation of the stock. The PEG ratio of 1.66 suggests that the stock may be trading at a discount compared to its expected growth rate. Xylem Inc. also has a healthy price-to-sales ratio of 3.19 and a price-to-book ratio of 2.58, indicating a strong financial position. However, the enterprise value/revenue ratio of 4.04 and the enterprise value/EBITDA ratio of 26.68 may suggest that the stock is slightly overvalued. Overall, Xylem Inc. appears to be a solid investment opportunity in the Industrial Machinery &amp; Supplies &amp; Components industry, with potential for growth in the coming months."</t>
  </si>
  <si>
    <t>YUM,85.0,"Yum! Brands is a multinational fast-food corporation that operates popular brands such as KFC, Pizza Hut, and Taco Bell. The recent financial data for the company shows a strong market cap of 34.99B and an enterprise value of 45.85B. The trailing P/E ratio of 23.73 and forward P/E ratio of 21.32 indicate that the stock is currently trading at a reasonable valuation. The PEG ratio of 1.79 suggests that the stock may be slightly overvalued, but this is offset by the company's strong market position and potential for future growth.</t>
  </si>
  <si>
    <t>Overall, Yum! Brands appears to be a solid investment opportunity in the restaurants industry. The company has a strong market position and a diverse portfolio of popular brands. However, investors should closely monitor any potential changes in consumer behavior and the impact of rising labor and commodity costs on the company's profitability."</t>
  </si>
  <si>
    <t>AOS,85.0,"O. Smith is a leading company in the Building Products industry with a recent market cap of 11.49B and an enterprise value of 11.31B. The company has a trailing P/E ratio of 38.45 and a forward P/E ratio of 19.76, indicating a potential undervaluation of the stock. The PEG ratio of 1.98 suggests that the stock may be slightly overvalued in relation to its expected growth. However, the price/sales ratio of 3.09 and price/book ratio of 6.11 are both below the industry average, indicating a potential buying opportunity for investors.</t>
  </si>
  <si>
    <t>Overall, O. Smith appears to be a solid investment option in the Building Products industry. The company has a strong market position and financial health, and its stock may be undervalued based on its P/E and price/sales ratios. However, investors should closely monitor the company's performance and industry trends before making any investment decisions."</t>
  </si>
  <si>
    <t>MOH,85.0,"Molina Healthcare is a leading company in the Managed Health Care industry with a recent market cap of 21.15B and an enterprise value of 13.85B. The company has a trailing P/E ratio of 22.60 and a forward P/E ratio of 15.62, indicating a potential undervaluation of the stock. Additionally, Molina Healthcare has a low price-to-sales ratio of 0.64 and a price-to-book ratio of 5.45, suggesting that the stock may be trading at a discount compared to its peers in the industry.</t>
  </si>
  <si>
    <t>Furthermore, the company's enterprise value to revenue ratio of 0.42 and enterprise value to EBITDA ratio of 9.01 are both below the industry average, indicating a potential undervaluation of the company's assets. This, combined with the recent news of falling oil prices, which can positively impact the U.S. and global economy, may present a favorable investment opportunity for Molina Healthcare."</t>
  </si>
  <si>
    <t>ULTA,85.0,"Ulta Beauty is a leading specialty store in the beauty industry, offering a wide range of cosmetics, skincare, and haircare products. The company has shown strong financial performance in recent years, with a market cap of 24.01B and an enterprise value of 25.99B. Its trailing P/E ratio of 20.06 and forward P/E ratio of 18.38 indicate that the stock is currently trading at a reasonable valuation.</t>
  </si>
  <si>
    <t>Overall, Ulta Beauty appears to be a solid investment opportunity in the specialty stores industry. Its strong financial performance and brand reputation make it a promising stock for the next month."</t>
  </si>
  <si>
    <t>TSN,85.0,"Tyson Foods is a leading company in the Packaged Foods &amp; Meats industry with a recent market cap of 17.83B and an enterprise value of 26.76B. The company's latest financial data shows a forward P/E ratio of 23.58 and a PEG ratio of 16.14, indicating a relatively high valuation compared to its expected growth rate. However, its price/sales ratio of 0.34 and price/book ratio of 0.98 suggest that the stock may be undervalued.</t>
  </si>
  <si>
    <t>Overall, Tyson Foods appears to be a solid investment option in the Packaged Foods &amp; Meats industry. Its strong profitability and relatively low valuation make it a potential candidate for growth. However, investors should closely monitor any potential risks, such as changes in consumer preferences or regulatory changes in the food industry."</t>
  </si>
  <si>
    <t>TFC,85.0,"Recent News:</t>
  </si>
  <si>
    <t>Overall, Truist appears to be a solid investment opportunity in the regional banks industry. With a strong financial position and strategic initiatives in place, the company has the potential for growth in the future."</t>
  </si>
  <si>
    <t>TRMB,85.0,"Trimble Inc. is a leading company in the Electronic Equipment &amp; Instruments industry with a recent market cap of 11.50B and an enterprise value of 14.44B. The company has a trailing P/E ratio of 34.24 and a forward P/E ratio of 16.75, indicating a potential undervaluation of the stock. The PEG ratio of 1.67 suggests that the stock may be trading at a discount compared to its expected growth rate. Additionally, the price/sales and price/book ratios of 3.09 and 2.65, respectively, are below the industry average, further supporting the undervaluation of the stock.</t>
  </si>
  <si>
    <t>Based on the latest financial data and news, Trimble Inc. appears to be a promising investment opportunity in the Electronic Equipment &amp; Instruments industry. However, investors should keep an eye on potential risks such as changes in market conditions and competition. Overall, the company's strong financials and growth potential make it a favorable investment option."</t>
  </si>
  <si>
    <t>A,85.0,"Agilent Technologies, a leading company in the Health Care Equipment industry, has shown strong financial performance in recent years. With a market cap of 37.66B and an enterprise value of 38.80B, the company has a solid financial foundation. Its trailing P/E ratio of 30.77 and forward P/E ratio of 23.36 indicate that the company is currently trading at a reasonable valuation.</t>
  </si>
  <si>
    <t>Overall, Agilent Technologies appears to be in a strong financial position and is well-positioned for future growth in the Health Care Equipment industry. While there may be some concerns about its valuation, the company's strong financials and potential for growth make it a promising investment opportunity."</t>
  </si>
  <si>
    <t>TDY,85.0,"Teledyne Technologies is a leading company in the Electronic Equipment &amp; Instruments industry with a recent market cap of 19.09B and an enterprise value of 21.83B. The company has a trailing P/E ratio of 24.54 and a forward P/E ratio of 19.61, indicating a potential undervaluation of the stock. Additionally, Teledyne Technologies has a price/sales ratio of 3.44 and a price/book ratio of 2.19, both of which are below the industry average, suggesting a potential buying opportunity for investors.</t>
  </si>
  <si>
    <t>Overall, Teledyne Technologies appears to be a solid investment opportunity in the Electronic Equipment &amp; Instruments industry. With a strong financial position, potential undervaluation, and positive industry outlook, the company has the potential to deliver strong returns for investors in the next month."</t>
  </si>
  <si>
    <t>TEL,85.0,"TE Connectivity (TE) is a leading company in the Electronic Manufacturing Services industry with a recent market cap of 40.78B and an enterprise value of 43.45B. The company has a trailing P/E ratio of 21.84 and a forward P/E ratio of 17.79, indicating a potential undervaluation of the stock. The PEG ratio of 1.62 suggests that the stock may be trading at a discount compared to its expected growth rate. Additionally, TE has a price/sales ratio of 2.59 and a price/book ratio of 3.53, which are both below the industry average, further supporting the undervaluation of the stock.</t>
  </si>
  <si>
    <t>With the recent advancements in technology and the increasing demand for electronic components, TE is well-positioned to capitalize on these trends and continue its growth trajectory. The company also has a strong track record of delivering consistent earnings and dividends to its shareholders."</t>
  </si>
  <si>
    <t>TGT,85.0,"Target Corporation is a leading player in the Consumer Staples Merchandise Retail industry with a recent market cap of 61.58B and an enterprise value of 78.69B. The company has a trailing P/E ratio of 16.99 and a forward P/E ratio of 14.81, indicating that the stock may be undervalued. The PEG ratio of 1.02 suggests that the stock may have a potential for growth in the next five years. Additionally, the price/sales ratio of 0.58 and price/book ratio of 4.92 are both below the industry average, making the stock attractive for value investors.</t>
  </si>
  <si>
    <t>Overall, Target Corporation appears to be in a strong financial position and has been performing well in the recent market conditions. With a focus on digital growth and a strong product portfolio, the company has the potential for continued success in the future."</t>
  </si>
  <si>
    <t>TPR,85.0,"Tapestry, Inc. is a leading company in the Apparel, Accessories &amp; Luxury Goods industry with a recent market cap of 7.45B and an enterprise value of 10.06B. The company has a trailing P/E ratio of 8.27 and a forward P/E ratio of 7.83, indicating that the stock may be undervalued. However, the PEG ratio of 2.31 suggests that the stock may be overvalued in relation to its expected growth. The price/sales ratio of 1.16 and price/book ratio of 3.08 are both below the industry average, indicating that the stock may be undervalued in comparison to its peers.</t>
  </si>
  <si>
    <t>Overall, Tapestry, Inc. appears to be a solid investment opportunity in the Apparel, Accessories &amp; Luxury Goods industry. The company's strong financial position and potential for growth make it a promising option for investors. However, it is important to closely monitor any potential risks and market conditions that may affect the company's performance."</t>
  </si>
  <si>
    <t>TFX,85.0,"Teleflex is a leading company in the Health Care Equipment industry with a recent market cap of 10.78B and an enterprise value of 12.05B. The company has a trailing P/E ratio of 26.84 and a forward P/E ratio of 16.00, indicating a potential undervaluation of the stock. The PEG ratio of 1.63 suggests that the stock may be trading at a discount compared to its expected growth rate. Additionally, the price/sales ratio of 3.67 and price/book ratio of 2.50 are both below the industry average, further supporting the undervaluation of the stock.</t>
  </si>
  <si>
    <t>Overall, Teleflex appears to be a solid investment opportunity in the Health Care Equipment industry. The company has a strong financial position and is trading at a discount compared to its expected growth rate. However, investors should closely monitor the company's valuation metrics and financial performance in the coming months."</t>
  </si>
  <si>
    <t>TT,85.0,"Trane Technologies, a leading company in the Building Products industry, has a recent market cap of 52.45B and an enterprise value of 56.31B. The company's trailing P/E ratio is 26.89 and its forward P/E ratio is 23.04, indicating a potential undervaluation. The PEG ratio of 2.07 suggests that the stock may be slightly overvalued based on its expected growth rate. Trane Technologies also has a price/sales ratio of 3.08 and a price/book ratio of 7.85, which are both higher than the industry average. However, its enterprise value/revenue ratio of 3.25 and enterprise value/EBITDA ratio of 18.46 are in line with industry standards.</t>
  </si>
  <si>
    <t>The latest news and events in the Building Products industry, such as the increase in housing demand and the rise in construction activity, bode well for Trane Technologies. The company's strong financials and market position make it a solid investment option in the industry. However, investors should also consider potential risks, such as the impact of rising interest rates on the housing market and potential supply chain disruptions."</t>
  </si>
  <si>
    <t>TSCO,85.0,"Tractor Supply, a leading retailer in the Specialty Stores industry, has shown strong financial performance in recent years. With a market cap of 22.65B and an enterprise value of 27.20B, the company has a solid financial foundation. Its trailing P/E ratio of 20.44 and forward P/E ratio of 19.84 indicate that the stock is reasonably priced. The PEG ratio of 2.16 suggests that the stock may be slightly overvalued, but this is offset by its low price-to-sales ratio of 1.55 and price-to-book ratio of 10.73. Additionally, the company's enterprise value/revenue ratio of 1.83 and enterprise value/EBITDA ratio of 14.40 are in line with industry averages.</t>
  </si>
  <si>
    <t>Overall, Tractor Supply appears to be a solid investment option in the Specialty Stores industry. Its strong financials, resilience during the pandemic, and focus on e-commerce make it well-positioned for future growth. However, investors should keep an eye on potential risks such as increasing competition and potential supply chain disruptions."</t>
  </si>
  <si>
    <t>TJX,85.0,"The TJX Companies, a leading apparel retail company, has a recent market cap of 100.93B and an enterprise value of 109.16B. The company's trailing P/E ratio is 25.02 and its forward P/E ratio is 21.93, indicating a potential undervaluation of the stock. The PEG ratio of 1.78 suggests that the stock may be trading at a discount compared to its expected growth rate. Additionally, the price/sales ratio of 1.97 and price/book ratio of 14.77 also indicate a potential undervaluation of the stock. However, the enterprise value/revenue ratio of 2.09 and enterprise value/EBITDA ratio of 16.83 suggest that the stock may be slightly overvalued based on these metrics.</t>
  </si>
  <si>
    <t>Overall, the recent financial data for TJX Companies suggests that the stock may be undervalued and could present a potential investment opportunity. However, investors should also consider the current market conditions and industry trends before making any investment decisions."</t>
  </si>
  <si>
    <t>BLK,85.0,"BlackRock, one of the largest asset management and custody banks in the world, has been performing well in the recent market conditions. With a market cap of 110.54B and an enterprise value of 112.89B, the company has a strong financial standing. Its trailing P/E ratio of 31.89 and forward P/E ratio of 21.19 indicate that the stock is currently trading at a premium, but this can be justified by its strong growth potential.</t>
  </si>
  <si>
    <t>Overall, BlackRock appears to be a solid investment option in the asset management and custody banks industry. Its strong financials and growth potential make it a favorable choice for investors. However, it is important to closely monitor any potential changes in the market and the company's performance."</t>
  </si>
  <si>
    <t>TROW,85.0,"T. Rowe Price is a leading asset management and custody bank company with a recent market cap of $22.32B and an enterprise value of $20.05B. The company has a trailing P/E ratio of 14.23 and a forward P/E ratio of 14.64, indicating a relatively low valuation compared to its peers in the industry. T. Rowe Price also has a price/sales ratio of 3.54 and a price/book ratio of 2.37, which are both below the industry average. This suggests that the stock may be undervalued and could present a potential buying opportunity for investors.</t>
  </si>
  <si>
    <t>In the current market environment, T. Rowe Price may face some challenges due to potential regulatory changes and market volatility. However, the company's strong financials and track record of delivering consistent returns to shareholders make it a solid long-term investment option. With a diversified portfolio and a strong brand reputation, T. Rowe Price is well-positioned to weather any potential market downturns and continue to generate value for its investors."</t>
  </si>
  <si>
    <t>TMUS,85.0,"T-Mobile US, one of the leading wireless telecommunication services companies, has been performing well in the recent months. The latest financial data shows a strong market cap of 179.84B and an enterprise value of 284.89B. The trailing P/E ratio of 24.15 and forward P/E ratio of 15.20 indicate that the company is currently undervalued. Additionally, the PEG ratio of 0.28 suggests that the stock may be a good value for long-term investors.</t>
  </si>
  <si>
    <t>Overall, T-Mobile US appears to be in a strong financial position with potential for growth. The recent news of falling interest rates and increased mortgage refinance demand may also benefit the company, as it could lead to higher consumer spending and potentially boost the demand for wireless services. However, investors should closely monitor any potential regulatory changes in the telecommunication industry, as it could impact the company's profitability."</t>
  </si>
  <si>
    <t>SYY,85.0,"Sysco is a leading food distributor in the industry, with a recent market cap of $36.84B and an enterprise value of $47.97B. The company has a trailing P/E ratio of 20.58 and a forward P/E ratio of 16.72, indicating a potential undervaluation of the stock. The PEG ratio of 1.73 suggests that the stock may be slightly overvalued based on its expected growth rate. However, the price/sales ratio of 0.48 and price/book ratio of 17.33 are both below the industry average, indicating a potential buying opportunity for investors.</t>
  </si>
  <si>
    <t>Overall, Sysco appears to be a solid investment opportunity in the food distributors industry. With a strong financial position and potential for growth through technological advancements, the stock may be undervalued at its current price. However, investors should closely monitor any potential impacts of rising inflation and supply chain disruptions on the company's operations."</t>
  </si>
  <si>
    <t>SNPS,85.0,"Synopsys, a leading company in the Application Software industry, has shown strong financial performance in recent years. With a market cap of 80.21B and an enterprise value of 79.30B, the company has a solid financial foundation. Its trailing P/E ratio of 66.60 and forward P/E ratio of 36.50 indicate that the company is currently trading at a premium, but its expected PEG ratio of 2.23 suggests potential for future growth.</t>
  </si>
  <si>
    <t>Overall, Synopsys appears to be a strong and stable company with potential for future growth. Its financial data suggests that it may be trading at a premium, but its strong market position and expected growth make it a promising investment opportunity."</t>
  </si>
  <si>
    <t>SYF,85.0,"Synchrony Financial is a leading consumer finance company with a recent market cap of 14.19B. The firm has a strong financial position, with a trailing P/E ratio of 6.32 and a forward P/E ratio of 6.48, indicating a potential undervaluation in the stock. Additionally, the price/sales ratio of 1.13 and price/book ratio of 1.09 suggest that the stock may be trading at a discount compared to its peers in the consumer finance industry.</t>
  </si>
  <si>
    <t>Based on the firm's financial data and the current market conditions, Synchrony Financial appears to be a promising investment opportunity in the consumer finance industry. However, as with any investment, there are risks involved, and investors should conduct their own thorough research before making any decisions."</t>
  </si>
  <si>
    <t>STE,85.0,"Steris is a leading company in the Health Care Equipment industry with a recent market cap of 19.69B and an enterprise value of 23.11B. The firm has a trailing P/E ratio of 36.10, which is higher than the industry average, indicating a potentially overvalued stock. However, the price/sales and price/book ratios of 3.81 and 3.19 respectively, are in line with the industry average, suggesting a fair valuation. The enterprise value/revenue and enterprise value/EBITDA ratios of 4.42 and 16.94 respectively, are also in line with the industry average. Overall, the firm's financial data suggests a stable and well-performing company in the health care equipment industry.</t>
  </si>
  <si>
    <t>In the latest news, Steris announced a partnership with the U.S. Department of Defense to expand its sterilization capabilities for medical equipment. This partnership is expected to drive growth for the company and increase its market share in the industry. Additionally, the company reported strong earnings in the last quarter, beating analysts' expectations and showing a 10% increase in revenue compared to the same period last year."</t>
  </si>
  <si>
    <t>TRV,85.0,"Enterprise Value/EBITDA  10.86</t>
  </si>
  <si>
    <t>Overall, the recent financial data of The Travelers Companies shows a stable and well-performing company with potential for growth. The company's strong financial position and solid fundamentals make it an attractive investment opportunity in the property and casualty insurance industry."</t>
  </si>
  <si>
    <t>RTX,85.0,"RTX Corporation is a leading company in the Aerospace &amp; Defense industry with a recent market cap of 118.93B and an enterprise value of 150.26B. The company has a trailing P/E ratio of 38.12 and a forward P/E ratio of 15.97, indicating a potential undervaluation of the stock. The PEG ratio of 1.54 suggests that the stock may be trading at a discount compared to its expected growth rate. Additionally, the price/sales and price/book ratios of 1.81 and 1.71, respectively, are below the industry average, further supporting the undervaluation of the stock.</t>
  </si>
  <si>
    <t>Based on the latest financial data and news, RTX Corporation appears to be a promising investment opportunity in the Aerospace &amp; Defense industry. However, investors should always conduct their own research and analysis before making any investment decisions."</t>
  </si>
  <si>
    <t>RJF,85.0,"Total Debt/Equity (mrq)   0.41</t>
  </si>
  <si>
    <t>Overall, Raymond James appears to be in a strong financial position with potential for growth in the future. However, investors should closely monitor the firm's performance and market trends before making any investment decisions."</t>
  </si>
  <si>
    <t>QCOM,85.0,"Qualcomm, a leading semiconductor company, has been performing well in the recent market conditions. With a market cap of 144.66B and an enterprise value of 148.73B, the company has a strong financial standing. Its trailing P/E ratio of 19.93 and forward P/E ratio of 14.16 indicate that the stock is currently undervalued. Additionally, the PEG ratio of 1.46 suggests that the stock has good growth potential.</t>
  </si>
  <si>
    <t>Overall, based on the latest financial data and market trends, Qualcomm appears to be a solid investment option in the semiconductor industry. However, investors should closely monitor any developments in the industry and the company's performance in the coming months."</t>
  </si>
  <si>
    <t>PWR,85.0,"Quanta Services is a leading provider of specialized contracting services in the construction and engineering industry. The company has a recent market cap of $27.87B and an enterprise value of $31.82B. Its trailing P/E ratio is 40.91 and its forward P/E ratio is 22.42, indicating a potential undervaluation of the stock. The PEG ratio of 0.98 suggests that the stock may be trading at a discount compared to its expected earnings growth. Quanta Services also has a low price-to-sales ratio of 1.46 and a price-to-book ratio of 4.66, indicating a potential undervaluation of the company's assets.</t>
  </si>
  <si>
    <t>Overall, Quanta Services appears to be a strong investment opportunity in the construction and engineering industry. Its solid financials, potential undervaluation, and positive industry outlook make it a promising stock to consider for the next month."</t>
  </si>
  <si>
    <t>ESS,85.0,"Essex Property Trust (ESS)</t>
  </si>
  <si>
    <t>Based on the recent financial data and news, ESS appears to be a solid investment option in the multi-family residential REIT industry. The company's strong financial performance and positive outlook for earnings and FFO growth make it an attractive investment opportunity. However, investors should keep an eye on potential risks such as rising interest rates and potential regulatory changes in the real estate market."</t>
  </si>
  <si>
    <t>CRM,85.0,"Salesforce, a leading company in the Application Software industry, has shown strong financial performance in recent years. With a market cap of 241.16B and an enterprise value of 242.01B, the company has a solid financial foundation. Its trailing P/E ratio of 94.73 and forward P/E ratio of 26.32 indicate that the company is currently trading at a premium, but its strong growth potential justifies this valuation.</t>
  </si>
  <si>
    <t>Overall, Salesforce's recent financial data paints a positive picture of the company's financial health and growth potential. However, investors should closely monitor any potential changes in the industry and the company's performance to make informed investment decisions."</t>
  </si>
  <si>
    <t>RCL,85.0,"Royal Caribbean Group is a leading player in the Hotels, Resorts &amp; Cruise Lines industry with a recent market cap of 30.28B and an enterprise value of 50.25B. The company has a trailing P/E ratio of 36.03 and a forward P/E ratio of 12.90, indicating a potential undervaluation in the stock. Additionally, its price/sales ratio of 2.48 and price/book ratio of 6.85 suggest that the stock may be trading at a discount compared to its peers in the industry.</t>
  </si>
  <si>
    <t>Based on the recent financial data and news, Royal Caribbean Group appears to be a promising investment opportunity in the Hotels, Resorts &amp; Cruise Lines industry. Its strong financials and potential for growth make it a favorable choice for investors. However, it is important to closely monitor any potential risks and market trends that may impact the company's performance."</t>
  </si>
  <si>
    <t>ROST,85.0,"Ross Stores, a leading apparel retail company, has shown strong financial performance in recent years. With a market cap of 44.58B and an enterprise value of 45.87B, the company has a solid financial foundation. Its trailing P/E ratio of 26.28 and forward P/E ratio of 25.19 indicate that the stock is trading at a reasonable valuation. The PEG ratio of 1.92 suggests that the stock may be slightly overvalued, but this is offset by its strong price-to-sales ratio of 2.30 and price-to-book ratio of 9.73.</t>
  </si>
  <si>
    <t>Overall, Ross Stores appears to be a solid investment option in the apparel retail industry. Its strong financial performance and ability to adapt to market changes make it a promising stock for the next month."</t>
  </si>
  <si>
    <t>ROP,85.0,"Roper Technologies, a leading company in the Electronic Equipment &amp; Instruments industry, has shown strong financial performance in recent years. With a market cap of 57.19B and an enterprise value of 63.77B, the company has a solid financial foundation. Its trailing P/E ratio of 46.35 and forward P/E ratio of 29.50 indicate that the company is currently trading at a premium, but its PEG ratio of 2.17 suggests potential for future growth.</t>
  </si>
  <si>
    <t>Overall, Roper Technologies appears to be a solid investment option in the Electronic Equipment &amp; Instruments industry. Its strong financials and focus on innovation make it a promising company for potential growth. However, investors should continue to monitor market trends and company performance before making any investment decisions."</t>
  </si>
  <si>
    <t>STLD,85.0,"Steel Dynamics, a leading steel producer in the United States, has shown strong financial performance in recent years. With a market cap of 18.39B and an enterprise value of 19.22B, the company has a solid financial foundation. Its trailing P/E ratio of 7.24 and forward P/E ratio of 12.84 indicate that the stock is currently undervalued, making it an attractive investment opportunity.</t>
  </si>
  <si>
    <t>Based on the recent financial data and market trends, Steel Dynamics appears to be a promising investment opportunity in the steel industry. However, as with any investment, there are risks to consider, such as potential fluctuations in steel prices and competition from other steel producers."</t>
  </si>
  <si>
    <t>NOW,85.0,"ServiceNow, a leading company in the Systems Software industry, has shown strong financial performance in recent years. With a market cap of 140.71B and an enterprise value of 138.91B, the company has a solid financial foundation. Its trailing P/E ratio of 88.66 and forward P/E ratio of 54.35 indicate that the company is currently trading at a premium, but its strong growth potential may justify this valuation.</t>
  </si>
  <si>
    <t>Overall, ServiceNow has a strong financial position and is well-positioned for future growth. Its recent financial data and news suggest that the company has a positive outlook for the next month."</t>
  </si>
  <si>
    <t>SRE,85.0,"Sempra Energy is a leading player in the Multi-Utilities industry with a recent market cap of 45.97B and an enterprise value of 76.39B. The company has a trailing P/E ratio of 16.91 and a forward P/E ratio of 15.22, indicating a relatively attractive valuation. However, its price-to-sales ratio of 2.77 and price-to-book ratio of 1.68 are slightly higher than the industry average, suggesting that the stock may be slightly overvalued.</t>
  </si>
  <si>
    <t>Overall, Sempra Energy appears to be a solid investment option in the Multi-Utilities industry. However, investors should closely monitor any potential regulatory changes and geopolitical tensions that may impact the company's operations."</t>
  </si>
  <si>
    <t>SEE,85.0,"Sealed Air is a leading company in the Paper &amp; Plastic Packaging Products &amp; Materials industry with a recent market cap of 4.73B and an enterprise value of 9.41B. The company has a trailing P/E ratio of 15.38 and a forward P/E ratio of 10.32, indicating a potential undervaluation of the stock. However, the PEG ratio of 2.57 suggests that the stock may be slightly overvalued based on its expected growth rate.</t>
  </si>
  <si>
    <t>Overall, Sealed Air appears to be in a strong financial position with potential for growth. However, investors should closely monitor the company's performance and industry trends before making any investment decisions."</t>
  </si>
  <si>
    <t>EIX,85.0,"Edison International is a leading electric utility company with a recent market cap of $25.76B and an enterprise value of $62.06B. The company has a trailing P/E ratio of 20.92 and a forward P/E ratio of 13.04, indicating a potential undervaluation of the stock. The PEG ratio of 2.14 suggests that the stock may be slightly overvalued based on its expected growth rate. However, the price/sales ratio of 1.55 and price/book ratio of 1.88 are both below the industry average, indicating a potential value opportunity for investors.</t>
  </si>
  <si>
    <t>Overall, Edison International appears to be a solid investment option in the electric utilities industry. With a strong financial position and potential value opportunity, the stock may be worth considering for investors looking for long-term growth and income potential."</t>
  </si>
  <si>
    <t>ECL,85.0,"Ecolab, a leading company in the Specialty Chemicals industry, has been performing well in the recent months. With a market cap of 54.26B and an enterprise value of 62.41B, the company has a strong financial standing. Its trailing P/E ratio of 44.15 and forward P/E ratio of 31.55 indicate that the company is currently trading at a premium, but this is justified by its strong growth potential. The PEG ratio of 2.11 also suggests that the stock may be slightly overvalued, but this is expected in a high-growth industry.</t>
  </si>
  <si>
    <t>Overall, Ecolab's latest financial data paints a positive picture for the company. Its strong financial standing and growth potential make it a promising investment opportunity in the Specialty Chemicals industry."</t>
  </si>
  <si>
    <t>RHI,85.0,"Robert Half, a leading company in the Human Resource &amp; Employment Services industry, has shown strong financial performance in recent years. With a market cap of 8.74B and an enterprise value of 8.23B, the company has a solid financial foundation. Its trailing P/E ratio of 18.67 and forward P/E ratio of 21.93 indicate that the company is currently undervalued, making it an attractive investment opportunity.</t>
  </si>
  <si>
    <t>Overall, Robert Half appears to be a solid investment opportunity in the Human Resource &amp; Employment Services industry. Its strong financials, undervalued stock, and positive industry outlook make it a promising choice for investors."</t>
  </si>
  <si>
    <t>RMD,85.0,"ResMed, a leading company in the Health Care Equipment industry, has shown strong financial performance in recent years. With a market cap of 24.12B and an enterprise value of 25.41B, the company has a solid financial foundation. Its trailing P/E ratio of 26.67 and forward P/E ratio of 23.42 indicate that the company is currently trading at a reasonable valuation.</t>
  </si>
  <si>
    <t>Overall, ResMed appears to be a solid investment option in the Health Care Equipment industry. Its strong financials and efficient operations make it a promising choice for investors. However, it is important to closely monitor any potential changes in the industry and the company's financial performance."</t>
  </si>
  <si>
    <t>RF,85.0,"Recent News:</t>
  </si>
  <si>
    <t>Overall, RF appears to be in a strong financial position with positive earnings and plans for shareholder returns. However, investors should keep an eye on potential regulatory changes and the overall economic climate, as these factors can impact the banking industry."</t>
  </si>
  <si>
    <t>REGN,85.0,"Regeneron is a leading biotechnology company with a recent market cap of $91.08B and an enterprise value of $83.87B. The company has a trailing P/E ratio of 23.84 and a forward P/E ratio of 19.42, indicating a potential undervaluation of the stock. The PEG ratio of 1.80 suggests that the stock may be trading at a discount compared to its expected earnings growth. Additionally, the price/sales ratio of 7.26 and price/book ratio of 3.66 are both below the industry average, further supporting the potential undervaluation of the stock.</t>
  </si>
  <si>
    <t>Overall, Regeneron appears to be in a strong financial position with potential for growth. However, investors should also consider the recent news in the biotechnology industry, such as the potential impact of regulatory changes and competition from other companies. It is important to closely monitor these factors before making any investment decisions."</t>
  </si>
  <si>
    <t>SWKS,85.0,"Skyworks Solutions is a leading semiconductor company with a recent market cap of 16.05B and an enterprise value of 16.82B. The company has a trailing P/E ratio of 16.37 and a forward P/E ratio of 14.22, indicating a potential undervaluation of the stock. The PEG ratio of 1.63 suggests that the stock may be trading at a discount compared to its expected growth rate. Additionally, the price/sales and price/book ratios of 3.37 and 2.64, respectively, are in line with industry averages.</t>
  </si>
  <si>
    <t>Overall, Skyworks Solutions appears to be a solid investment opportunity in the semiconductor industry. With a strong financial position and potential for growth in the 5G market, the stock may be undervalued at its current price. However, investors should closely monitor any potential risks and market trends before making any investment decisions."</t>
  </si>
  <si>
    <t>ZBH,85.0,"Zimmer Biomet is a leading company in the Health Care Equipment industry with a recent market cap of 24.27B and an enterprise value of 29.65B. The company has a trailing P/E ratio of 51.38 and a forward P/E ratio of 14.56, indicating a potential undervaluation of the stock. The PEG ratio of 2.26 suggests that the stock may be slightly overvalued in relation to its expected growth. However, the price/sales ratio of 3.35 and price/book ratio of 1.94 are both below the industry average, indicating a potential value opportunity for investors.</t>
  </si>
  <si>
    <t>Overall, Zimmer Biomet appears to be a solid investment option in the Health Care Equipment industry. With a strong financial position, potential for growth, and attractive valuation, the company may present a good opportunity for investors."</t>
  </si>
  <si>
    <t>DE,85.0,"John Deere, a leading company in the Agricultural &amp; Farm Machinery industry, has shown strong financial performance in recent years. With a market cap of 105.28B and an enterprise value of 160.28B, the company has a solid financial foundation. Its trailing P/E ratio of 10.56 and forward P/E ratio of 12.84 indicate that the stock is currently undervalued, making it an attractive investment opportunity.</t>
  </si>
  <si>
    <t>Overall, John Deere's recent financial data suggests that it is a strong and stable company with potential for growth. Its position in the Agricultural &amp; Farm Machinery industry, combined with its solid financials, make it a promising investment option."</t>
  </si>
  <si>
    <t>DRI,85.0,"Darden Restaurants, a leading company in the restaurant industry, has shown strong financial performance in recent years. With a market cap of 19.40B and an enterprise value of 24.66B, the company has a solid financial foundation. Its trailing P/E ratio of 20.06 and forward P/E ratio of 18.38 indicate that the company is currently undervalued, making it an attractive investment opportunity.</t>
  </si>
  <si>
    <t>Overall, Darden Restaurants has a strong financial position and is currently undervalued, making it a potentially lucrative investment opportunity in the restaurant industry. However, investors should closely monitor the company's performance and industry trends before making any investment decisions."</t>
  </si>
  <si>
    <t>EG,85.0,"Everest Re is a leading reinsurance company with a strong financial position and a solid track record in the industry. The latest financial data shows a market cap of 16.94B and an enterprise value of 18.26B. The trailing P/E ratio is 7.21 and the forward P/E ratio is 6.51, indicating that the stock is undervalued compared to its earnings. The price/sales ratio of 1.12 and price/book ratio of 1.51 also suggest that the stock is currently trading at a discount.</t>
  </si>
  <si>
    <t>Overall, Everest Re appears to be in a strong financial position and has the potential for growth in the reinsurance industry. However, it is important to note that the industry is highly competitive and subject to risks such as natural disasters and economic downturns. Investors should carefully consider these factors before making any investment decisions."</t>
  </si>
  <si>
    <t>FDX,85.0,"FedEx, a leading company in the Air Freight &amp; Logistics industry, has been facing some challenges in recent months. The company's latest financial data shows a market cap of $67.18B and an enterprise value of $98.34B. The trailing P/E ratio is 16.31, while the forward P/E ratio is 14.86, indicating a potential undervaluation of the stock. However, the PEG ratio of 1.11 suggests that the stock may be slightly overvalued based on its expected growth rate.</t>
  </si>
  <si>
    <t>Overall, the financial data suggests that FedEx may be undervalued and could be a good investment opportunity for the next month. However, investors should closely monitor the company's performance and any potential changes in the industry."</t>
  </si>
  <si>
    <t>FDS,85.0,"FactSet, a leading provider of financial data and analytics, has shown strong performance in the recent months. With a market cap of 16.85B and an enterprise value of 18.23B, the company has a solid financial standing. Its trailing P/E ratio of 36.84 and forward P/E ratio of 27.55 indicate that the stock is currently trading at a premium, but this is justified by its strong growth potential. The PEG ratio of 2.32 also suggests that the stock is slightly overvalued, but this is expected for a company in the Financial Exchanges &amp; Data industry.</t>
  </si>
  <si>
    <t>Overall, FactSet has a strong financial standing and is well-positioned for growth in the Financial Exchanges &amp; Data industry. Its recent performance and potential for future growth make it a promising investment opportunity."</t>
  </si>
  <si>
    <t>XOM,85.0,"Exxon Mobil, one of the largest integrated oil and gas companies in the world, has recently received a rating upgrade due to its strong financial performance and the potential for higher oil prices. The company's earnings have remained higher for longer than expected, driven by high oil prices and OPEC's supply cuts. This has resulted in significant profits for the company's upstream segment, which is a positive sign for investors.</t>
  </si>
  <si>
    <t>Overall, Exxon Mobil's strong financial performance and potential for higher oil prices make it a promising investment in the integrated oil and gas industry. However, as with any investment, it is important for investors to conduct their own research and carefully consider their risk tolerance before making any decisions."</t>
  </si>
  <si>
    <t>F,85.0,"Ford Motor Company is a leading player in the Automobile Manufacturers industry with a recent market cap of $42.79B. The company's latest financial data shows a strong enterprise value of $146.22B, indicating a solid financial position. Ford's trailing P/E ratio of 6.99 and forward P/E ratio of 6.22 suggest that the stock is currently undervalued. Additionally, the PEG ratio of 0.64 indicates that the stock may have growth potential in the next five years.</t>
  </si>
  <si>
    <t>FMC,85.0,"FMC Corporation is a leading player in the Fertilizers &amp; Agricultural Chemicals industry with a recent market cap of 6.89B and an enterprise value of 10.68B. The company has a trailing P/E ratio of 11.75 and a forward P/E ratio of 12.55, indicating a relatively low valuation compared to its peers in the industry. FMC Corporation also has a healthy price-to-sales ratio of 1.40 and a price-to-book ratio of 2.09, suggesting that the stock may be undervalued.</t>
  </si>
  <si>
    <t>Based on the recent financial data and industry trends, FMC Corporation appears to be a promising investment opportunity in the Fertilizers &amp; Agricultural Chemicals industry. However, as with any investment, it is important to conduct thorough research and consider the potential risks before making any decisions."</t>
  </si>
  <si>
    <t>PGR,85.0,"Enterprise Value/EBITDA   11.86</t>
  </si>
  <si>
    <t>Based on the financial data and recent news, Progressive Corporation appears to be a solid investment option in the Property &amp; Casualty Insurance industry. Its undervalued stock and strong financial position make it a potential opportunity for investors. However, as with any investment, it is important to conduct further research and analysis before making any decisions."</t>
  </si>
  <si>
    <t>EQR,85.0,"Equity Residential is a real estate investment trust (REIT) that specializes in multi-family residential properties. The recent financial data for the company shows a strong market capitalization of $22.13B and an enterprise value of $29.92B. The trailing P/E ratio of 33.55 and forward P/E ratio of 36.23 indicate that the stock may be slightly overvalued. However, the PEG ratio of 2.75 suggests that the company's earnings growth potential is in line with its current valuation.</t>
  </si>
  <si>
    <t>Overall, the recent financial data for Equity Residential paints a positive picture for the company. While the stock may be slightly overvalued based on its P/E ratios, its other valuation metrics suggest that it may be undervalued compared to its industry peers. This, combined with the company's strong market position and potential for earnings growth, makes it a potentially attractive investment opportunity."</t>
  </si>
  <si>
    <t>EQIX,85.0,"Equinix, a leading data center REIT, has been performing well in the recent market conditions. With a market cap of 75.93B and an enterprise value of 90.95B, the company has a strong financial standing. Its trailing P/E ratio of 87.06 and forward P/E ratio of 71.94 indicate that the stock may be slightly overvalued, but this can be attributed to the company's growth potential in the data center industry.</t>
  </si>
  <si>
    <t>Overall, Equinix appears to be a solid investment option in the data center REITs industry. Its strong financial standing and potential for growth make it a favorable choice for investors. However, it is important to closely monitor market conditions and the company's performance in the coming months."</t>
  </si>
  <si>
    <t>EQT,85.0,"EQT, a leading company in the Oil &amp; Gas Exploration &amp; Production industry, has recently shown strong financial performance. With a market cap of 15.17B and an enterprise value of 21.02B, the company has a solid financial foundation. Its trailing P/E ratio of 5.05 and forward P/E ratio of 9.04 indicate that the company is undervalued compared to its expected future earnings. Additionally, its PEG ratio of 0.33 suggests that the stock may be undervalued in relation to its growth potential.</t>
  </si>
  <si>
    <t>Overall, EQT appears to be in a strong financial position and has the potential for future growth. However, investors should also consider the recent news in the oil and gas industry, such as falling oil prices and potential regulatory changes, which may impact the company's performance."</t>
  </si>
  <si>
    <t>EPAM,85.0,"EPAM Systems is a leading IT consulting and services company with a recent market cap of 14.93B and an enterprise value of 13.18B. The company has a trailing P/E ratio of 32.27 and a forward P/E ratio of 46.30, indicating a potential overvaluation in the stock. However, its price-to-sales ratio of 3.22 and price-to-book ratio of 4.53 are in line with industry averages, suggesting a fair valuation.</t>
  </si>
  <si>
    <t>Based on the recent financial data and industry trends, EPAM Systems appears to be a promising investment option in the IT consulting and services industry. However, investors should closely monitor any potential regulatory changes and the company's financial performance in the coming months."</t>
  </si>
  <si>
    <t>EOG,85.0,"EOG Resources is a leading oil and gas exploration and production company with a recent market cap of $69.83B and an enterprise value of $68.65B. The company has a trailing P/E ratio of 8.88 and a forward P/E ratio of 8.61, indicating that the stock is currently undervalued. However, the PEG ratio of 43.07 suggests that the stock may be overvalued in the long term.</t>
  </si>
  <si>
    <t>Based on the current financial data and industry trends, EOG Resources appears to be a solid investment option in the oil and gas exploration and production industry. However, investors should closely monitor any developments in the industry and the company's financial performance before making any investment decisions."</t>
  </si>
  <si>
    <t>ETR,85.0,"Entergy, a leading electric utility company, has shown strong financial performance in recent years. With a market cap of 21.48B and an enterprise value of 47.49B, the company has a solid financial foundation. Its trailing P/E ratio of 14.63 and forward P/E ratio of 14.06 indicate that the stock is reasonably priced. Additionally, the PEG ratio of 1.66 suggests that the stock may be undervalued, making it an attractive investment opportunity.</t>
  </si>
  <si>
    <t>Overall, Entergy appears to be a solid investment option in the electric utilities industry. Its strong financials and potential for growth make it a promising stock to consider for the next month."</t>
  </si>
  <si>
    <t>EXPD,85.0,"Expeditors International is a leading company in the Air Freight &amp; Logistics industry with a recent market cap of 17.54B and an enterprise value of 16.42B. The company has a trailing P/E ratio of 22.59 and a forward P/E ratio of 24.21, indicating a relatively high valuation. However, its price-to-sales ratio of 1.77 and price-to-book ratio of 7.04 are in line with industry averages. Additionally, its enterprise value/revenue ratio of 1.57 and enterprise value/EBITDA ratio of 13.59 suggest that the company is generating strong revenue and earnings.</t>
  </si>
  <si>
    <t>Overall, Expeditors International appears to be a solid investment option in the Air Freight &amp; Logistics industry. Its strong financials and market position make it a stable choice for investors. However, it is important to carefully monitor any potential risks and industry developments."</t>
  </si>
  <si>
    <t>EXPE,85.0,"Expedia Group is a leading player in the Hotels, Resorts &amp; Cruise Lines industry with a recent market cap of 19.30B and an enterprise value of 20.78B. The company has a trailing P/E ratio of 25.46 and a forward P/E ratio of 11.78, indicating a potential undervaluation of the stock. The PEG ratio of 0.27 also suggests that the stock may be trading at a discount compared to its expected growth rate. Additionally, the price/sales ratio of 1.70 and price/book ratio of 11.54 are both below the industry average, further supporting the undervaluation of the stock.</t>
  </si>
  <si>
    <t>Overall, based on the recent financial data and industry trends, Expedia Group appears to be a promising investment opportunity in the Hotels, Resorts &amp; Cruise Lines industry."</t>
  </si>
  <si>
    <t>PRU,85.0,"Enterprise Value/EBITDA   5.86</t>
  </si>
  <si>
    <t>Prudential Financial is a leading company in the Life &amp; Health Insurance industry with a recent market cap of $35.35B and an enterprise value of $50.36B. The company has a trailing P/E ratio of 27.66 and a forward P/E ratio of 7.56, indicating a potential undervaluation in the stock. Additionally, Prudential Financial has a low price-to-sales ratio of 0.65 and a price-to-book ratio of 1.37, further supporting its undervaluation. The company also has a strong financial position with an enterprise value/revenue ratio of 0.92 and an enterprise value/EBITDA ratio of 5.86. This suggests that Prudential Financial is generating strong revenues and profits relative to its enterprise value. Overall, the recent financial data for Prudential Financial paints a positive picture for potential investors."</t>
  </si>
  <si>
    <t>PLD,85.0,"Prologis (PLD) is a leading industrial real estate investment trust (REIT) that has shown resilience in the face of a recent market slip. Despite the overall market downturn, PLD closed the most recent trading day at $119.05, a 0.34% increase from the previous session. This is a positive sign for the company and its investors.</t>
  </si>
  <si>
    <t>Overall, Prologis (PLD) has shown strong performance and resilience in the current market conditions. With a solid financial position and potential for future growth, PLD may be a promising investment opportunity in the industrial REIT industry."</t>
  </si>
  <si>
    <t>FLT,85.0,"Fleetcor is a leading company in the Transaction &amp; Payment Processing Services industry with a recent market cap of 18.14B and an enterprise value of 24.03B. The company has a trailing P/E ratio of 19.69 and a forward P/E ratio of 13.02, indicating a potential undervaluation of the stock. The PEG ratio of 1.18 suggests that the stock may be trading at a discount compared to its expected growth rate. Additionally, Fleetcor has a price/sales ratio of 5.06 and a price/book ratio of 5.93, which are both below the industry average, further supporting the undervaluation of the stock.</t>
  </si>
  <si>
    <t>Based on the latest financial data and industry trends, Fleetcor appears to be a strong investment opportunity in the Transaction &amp; Payment Processing Services industry. However, as with any investment, it is important to conduct further research and analysis before making any decisions."</t>
  </si>
  <si>
    <t>COST,85.0,"Costco, a leading retailer in the Consumer Staples Merchandise industry, has shown strong financial performance in recent years. With a market cap of $268.90B and an enterprise value of $262.55B, the company has a solid financial foundation. Its trailing P/E ratio of 42.89 and forward P/E ratio of 39.22 indicate that the stock may be slightly overvalued, but this is offset by its low PEG ratio of 4.55, suggesting potential for future growth.</t>
  </si>
  <si>
    <t>Overall, Costco's financial data paints a positive picture for the company's future prospects. However, investors should also consider the potential impact of external factors such as consumer spending and economic conditions on the company's performance."</t>
  </si>
  <si>
    <t>CZR,85.0,"Caesars Entertainment is a leading player in the Casinos &amp; Gaming industry with a recent market cap of 9.36B and an enterprise value of 20.82B. The company has a trailing P/E ratio of 13.23 and a forward P/E ratio of 11.55, indicating that the stock may be undervalued. Additionally, its price/sales ratio of 0.81 and price/book ratio of 2.03 suggest that the stock may be trading at a discount compared to its peers in the industry.</t>
  </si>
  <si>
    <t>Overall, based on the recent financial data and industry trends, Caesars Entertainment appears to be a promising investment opportunity in the Casinos &amp; Gaming industry. However, investors should carefully consider the potential risks and monitor the company's performance closely."</t>
  </si>
  <si>
    <t>CHRW,85.0,"C.H. Robinson, a leading company in the Air Freight &amp; Logistics industry, has a recent market cap of 9.98B and an enterprise value of 11.75B. The company's trailing P/E ratio is 25.45 and its forward P/E ratio is 21.37, indicating a potential undervaluation. Additionally, its price/sales ratio of 0.55 and price/book ratio of 7.10 suggest a favorable valuation compared to its industry peers. However, its enterprise value/revenue ratio of 0.64 and enterprise value/EBITDA ratio of 17.51 may indicate a slightly higher valuation. Overall, the company's financial data suggests a stable and potentially undervalued position in the market."</t>
  </si>
  <si>
    <t>BG,85.0,"Bunge Global SA is a leading company in the Agricultural Products &amp; Services industry with a recent market cap of 15.14B and an enterprise value of 18.84B. The firm has a trailing P/E ratio of 8.07 and a forward P/E ratio of 8.70, indicating that the stock is currently undervalued. The PEG ratio of 1.71 suggests that the stock has a potential for growth in the next five years. Additionally, the price/sales ratio of 0.26 and price/book ratio of 1.48 are both below the industry average, making the stock attractive for value investors.</t>
  </si>
  <si>
    <t>Overall, Bunge Global SA appears to be a solid investment opportunity in the Agricultural Products &amp; Services industry. With a strong financial position and potential for growth, the stock has a promising outlook for the next month."</t>
  </si>
  <si>
    <t>KO,85.0,"The Coca-Cola Company (KO) is a leading player in the Soft Drinks &amp; Non-alcoholic Beverages industry with a recent market cap of 253.35B and an enterprise value of 278.09B. The company has a trailing P/E ratio of 23.72 and a forward P/E ratio of 20.92, indicating a relatively high valuation. However, its PEG ratio of 2.76 suggests that the stock may still have room for growth.</t>
  </si>
  <si>
    <t>Overall, Coca-Cola's strong brand, market position, and potential for growth make it a solid investment option in the Soft Drinks &amp; Non-alcoholic Beverages industry. However, investors should closely monitor any potential risks, such as rising costs, that may affect the company's financial performance."</t>
  </si>
  <si>
    <t>CMS,85.0,"CMS Energy, a multi-utility company with a market cap of 16.87B, has been performing well in the recent months. Its latest financial data shows a strong enterprise value of 32.41B and a trailing P/E ratio of 22.77, indicating a positive outlook for the company. The forward P/E ratio of 17.36 suggests that the company is expected to continue its growth in the future. However, the PEG ratio of 2.35 may indicate that the stock is slightly overvalued.</t>
  </si>
  <si>
    <t>Overall, CMS Energy appears to be in a strong financial position and has the potential for growth in the multi-utilities industry. However, investors should closely monitor any potential changes in the industry and the company's financial performance."</t>
  </si>
  <si>
    <t>CTVA,85.0,"Corteva, a leading company in the Fertilizers &amp; Agricultural Chemicals industry, has shown strong financial performance in recent years. With a market cap of 31.11B and an enterprise value of 34.65B, the company has a solid financial foundation. Its trailing P/E ratio of 28.12 and forward P/E ratio of 14.77 indicate that the company is currently undervalued, making it an attractive investment opportunity.</t>
  </si>
  <si>
    <t>Overall, Corteva appears to be a strong investment opportunity in the Fertilizers &amp; Agricultural Chemicals industry. Its solid financial performance and undervalued stock make it a promising choice for investors."</t>
  </si>
  <si>
    <t>GLW,85.0,"Corning Inc. is a leading company in the Electronic Components industry with a recent market cap of 24.56B and an enterprise value of 31.38B. The company has a trailing P/E ratio of 42.34 and a forward P/E ratio of 13.93, indicating a potential undervaluation of the stock. The PEG ratio of 1.27 suggests that the stock may be trading at a discount compared to its expected growth rate. Additionally, the price/sales and price/book ratios of 1.90 and 2.15, respectively, are below the industry average, further supporting the undervaluation of the stock.</t>
  </si>
  <si>
    <t>Based on the latest financial data and news, Corning Inc. appears to be a promising investment opportunity in the Electronic Components industry. However, investors should closely monitor any potential risks, such as changes in market conditions and competition, before making any investment decisions."</t>
  </si>
  <si>
    <t>CEG,85.0,"Constellation Energy, a leading company in the Multi-Utilities industry, has a recent market cap of 35.96B and an enterprise value of 42.23B. The firm's trailing P/E ratio is 21.61 and its forward P/E ratio is 18.55, indicating a relatively high valuation. However, its price/sales ratio of 1.39 and price/book ratio of 3.08 suggest that the stock may be undervalued compared to its peers in the industry. Additionally, the enterprise value/revenue ratio of 1.60 and enterprise value/EBITDA ratio of 12.23 are in line with industry averages.</t>
  </si>
  <si>
    <t>Based on the current financial data and industry trends, Constellation Energy appears to be a solid investment option in the Multi-Utilities industry. Its strong market position and potential for growth make it a favorable choice for investors. However, it is important to closely monitor any developments in the industry and the company's financial performance to make informed investment decisions."</t>
  </si>
  <si>
    <t>SLB,85.0,"Schlumberger is a leading company in the Oil &amp; Gas Equipment &amp; Services industry with a recent market cap of 70.18B and an enterprise value of 79.59B. The company has a trailing P/E ratio of 17.06 and a forward P/E ratio of 13.57, indicating that the stock may be undervalued. The PEG ratio of 0.93 also suggests that the stock may have growth potential. However, the price/sales ratio of 2.21 and price/book ratio of 3.62 are slightly higher than the industry average, which may indicate that the stock is currently overvalued.</t>
  </si>
  <si>
    <t>Overall, Schlumberger appears to be a solid investment option in the Oil &amp; Gas Equipment &amp; Services industry. However, investors should closely monitor the company's financial performance and industry developments before making any investment decisions."</t>
  </si>
  <si>
    <t>ED,85.0,"Consolidated Edison, a leading electric utility company, has shown strong financial performance in recent years. With a market cap of 31.64B and an enterprise value of 54.87B, the company has a solid financial foundation. Its trailing P/E ratio of 13.54 and forward P/E ratio of 17.18 indicate that the stock is currently undervalued, making it an attractive investment opportunity.</t>
  </si>
  <si>
    <t>Overall, Consolidated Edison appears to be a strong investment opportunity in the electric utilities industry. Its solid financials, undervalued stock, and potential for growth make it a promising choice for investors."</t>
  </si>
  <si>
    <t>COP,85.0,"ConocoPhillips is a leading company in the Oil &amp; Gas Exploration &amp; Production industry with a recent market cap of 131.23B and an enterprise value of 140.85B. The company has a trailing P/E ratio of 12.04 and a forward P/E ratio of 10.44, indicating that the stock may be undervalued. Additionally, the PEG ratio of 0.72 suggests that the stock may be a good value for investors.</t>
  </si>
  <si>
    <t>Based on the latest financial data and industry trends, ConocoPhillips appears to be a solid investment option in the Oil &amp; Gas Exploration &amp; Production industry. However, as with any investment, it is important for investors to conduct their own research and carefully consider their risk tolerance before making any decisions."</t>
  </si>
  <si>
    <t>C,85.0,"Total Debt/Equity (mrq)   1.72</t>
  </si>
  <si>
    <t>Overall, Citigroup appears to be in a strong financial position and has potential for growth in the near future. However, investors should closely monitor any potential regulatory changes and geopolitical risks that may impact the company's operations."</t>
  </si>
  <si>
    <t>CSCO,85.0,"Cisco, a leading company in the Communications Equipment industry, has a recent market cap of 193.83B and an enterprise value of 177.95B. The firm's trailing P/E ratio is 14.41 and the forward P/E ratio is 12.30, indicating a relatively low valuation compared to its peers. However, the PEG ratio of 2.93 suggests that the stock may be slightly overvalued based on its expected growth rate.</t>
  </si>
  <si>
    <t>Overall, Cisco appears to be a solid investment option in the Communications Equipment industry, with a strong financial position and potential for growth. However, investors should closely monitor industry developments and the company's performance in the coming months."</t>
  </si>
  <si>
    <t>CI,85.0,"Enterprise Value/EBITDA  10.44</t>
  </si>
  <si>
    <t>Overall, Cigna's recent financial data suggests that the company may be a good investment opportunity in the Managed Health Care industry. However, investors should carefully monitor any potential regulatory changes and the company's performance in the coming months."</t>
  </si>
  <si>
    <t>CAG,85.0,"Conagra Brands is a leading company in the Packaged Foods &amp; Meats industry with a recent market cap of 14.05B and an enterprise value of 23.23B. The company has a trailing P/E ratio of 13.07 and a forward P/E ratio of 10.85, indicating that the stock may be undervalued. Additionally, the PEG ratio of 0.65 suggests that the stock may have growth potential. Conagra Brands also has a low price-to-sales ratio of 1.15 and a price-to-book ratio of 1.58, which further supports its undervalued status.</t>
  </si>
  <si>
    <t>Overall, Conagra Brands appears to be a solid investment opportunity in the Packaged Foods &amp; Meats industry. Its undervalued stock and strong financials make it a potential candidate for long-term growth. However, investors should closely monitor any potential risks and stay updated on the latest news in the industry."</t>
  </si>
  <si>
    <t>CMA,85.0,"Total Debt/Equity (mrq)  0.00</t>
  </si>
  <si>
    <t>However, it is important to note that the banking industry is facing challenges due to the ongoing COVID-19 pandemic and potential regulatory changes. These factors may impact Comerica's performance in the short term."</t>
  </si>
  <si>
    <t>CL,85.0,"Colgate-Palmolive is a leading company in the Household Products industry with a recent market cap of 63.79B and an enterprise value of 71.56B. The company has a trailing P/E ratio of 40.56 and a forward P/E ratio of 22.42, indicating a potential undervaluation of the stock. The PEG ratio of 1.43 suggests that the stock may be slightly overvalued based on its expected growth rate. However, the price/sales ratio of 3.37 and price/book ratio of 156.16 are both higher than the industry average, indicating a premium valuation for the stock.</t>
  </si>
  <si>
    <t>Based on the recent financial data and market trends, Colgate-Palmolive appears to be a solid investment option in the Household Products industry. The company's strong financial position, stable earnings, and potential for growth make it a favorable choice for investors. However, it is important to closely monitor any changes in the industry and the company's performance in the coming months."</t>
  </si>
  <si>
    <t>CTSH,85.0,"Cognizant, a leading IT consulting and other services company, has shown strong financial performance in recent years. With a market cap of 35.16B and an enterprise value of 34.24B, the company has a solid financial foundation. Its trailing P/E ratio of 17.10 and forward P/E ratio of 15.02 indicate that the stock is reasonably priced. Additionally, the PEG ratio of 1.41 suggests that the stock may be undervalued, as it is trading at a lower multiple compared to its expected earnings growth.</t>
  </si>
  <si>
    <t>Overall, Cognizant appears to be a solid investment option in the IT consulting and other services industry. Its strong financials and potential for growth make it a promising stock to consider for the next month."</t>
  </si>
  <si>
    <t>STZ,85.0,"Constellation Brands, a leading producer and marketer of beer, wine, and spirits, has been performing well in the recent market conditions. With a market cap of 43.18B and an enterprise value of 54.80B, the company has a strong financial standing. Its trailing P/E ratio of 27.63 and forward P/E ratio of 17.04 indicate that the stock is currently trading at a reasonable valuation.</t>
  </si>
  <si>
    <t>Overall, Constellation Brands appears to be a solid investment option in the Distillers &amp; Vintners industry. Its strong financial standing and reasonable valuation make it an attractive choice for investors. However, it is important to monitor any potential changes in the industry and the company's performance in the coming months."</t>
  </si>
  <si>
    <t>SBAC,85.0,"SBA Communications is a leading cell tower REIT with a strong presence in both domestic and international markets. With a market cap of $26 billion, the company has demonstrated impressive organic growth in tower leasing and has delivered strong financial performance, with FFO and AFFO per share showing significant growth.</t>
  </si>
  <si>
    <t>Furthermore, SBA Communications has a strong enterprise value/EBITDA ratio of 24.39, indicating a healthy financial position. This, combined with the company's strong organic growth and market presence, makes it a top pick in the low-yield REIT sector."</t>
  </si>
  <si>
    <t>DD,85.0,"DuPont, a leading company in the Specialty Chemicals industry, has shown strong financial performance in recent years. With a market cap of 30.37B and an enterprise value of 37.13B, the company has a solid financial foundation. Its trailing P/E ratio of 35.85 and forward P/E ratio of 17.61 indicate that the company is currently trading at a reasonable valuation. Additionally, its price/sales ratio of 2.66 and price/book ratio of 1.26 suggest that the stock may be undervalued.</t>
  </si>
  <si>
    <t>DUK,85.0,"Duke Energy, a leading electric utility firm, has recently faced backlash from Chinese battery giant CATL over its decision to disconnect CATL's batteries. This has caused some concern among investors about the potential impact on Duke Energy's stock in the electric utilities industry.</t>
  </si>
  <si>
    <t>Overall, despite the recent news and potential concerns, Duke Energy's financial data suggests that the company is in a strong position and may present a good investment opportunity in the electric utilities industry."</t>
  </si>
  <si>
    <t>DOW,85.0,"Dow Inc. is a leading company in the Commodity Chemicals industry with a recent market cap of 35.69B and an enterprise value of 48.88B. The firm has a trailing P/E ratio of 27.66 and a forward P/E ratio of 13.48, indicating a potential undervaluation in the stock. However, the PEG ratio of 4.54 suggests that the stock may be overvalued in relation to its expected growth. The price/sales ratio of 0.79 and price/book ratio of 1.82 also indicate a potential undervaluation. The enterprise value/revenue ratio of 1.07 and enterprise value/EBITDA ratio of 9.39 are in line with industry averages.</t>
  </si>
  <si>
    <t>Overall, Dow Inc. appears to be a solid investment opportunity in the Commodity Chemicals industry, with potential for growth and a relatively low valuation. However, investors should closely monitor industry and market trends to make informed investment decisions."</t>
  </si>
  <si>
    <t>DOV,85.0,"Dover Corporation, a leading company in the Industrial Machinery &amp; Supplies &amp; Components industry, has shown strong financial performance in recent years. With a market cap of 20.03B and an enterprise value of 22.90B, the company has a solid financial foundation. Its trailing P/E ratio of 19.67 and forward P/E ratio of 14.86 indicate that the company is currently undervalued, making it an attractive investment opportunity.</t>
  </si>
  <si>
    <t>Overall, Dover Corporation appears to be a strong investment opportunity in the Industrial Machinery &amp; Supplies &amp; Components industry. Its solid financial performance and undervalued stock make it a promising choice for investors. However, as with any investment, it is important to conduct further research and analysis before making any decisions."</t>
  </si>
  <si>
    <t>ENPH,85.0,"Enphase, a leading company in the electronic components industry, has shown strong financial performance in recent years. With a market cap of 14.58B and an enterprise value of 14.09B, the company has a solid financial foundation. Its trailing P/E ratio of 26.76 and forward P/E ratio of 30.40 indicate that the stock is currently trading at a reasonable valuation.</t>
  </si>
  <si>
    <t>Overall, Enphase's recent financial data paints a positive picture for the company's future prospects. While there may be some concerns about its valuation, the company's strong financial performance and position in the electronic components industry make it a potential investment opportunity."</t>
  </si>
  <si>
    <t>EMR,85.0,"Emerson Electric is a leading company in the Electrical Components &amp; Equipment industry with a recent market cap of $50 billion and an enterprise value of $50.51 billion. The company has a trailing P/E ratio of 23.58 and a forward P/E ratio of 16.64, indicating a potential undervaluation of the stock. Additionally, its price/sales ratio of 3.34 and price/book ratio of 2.42 are also lower than the industry average, making it an attractive investment opportunity.</t>
  </si>
  <si>
    <t>Based on the provided financial data and recent news, Emerson Electric appears to be a promising investment opportunity in the Electrical Components &amp; Equipment industry. However, as with any investment, it is important to conduct further research and analysis before making any decisions."</t>
  </si>
  <si>
    <t>The recent news in the Managed Health Care industry, including the ongoing COVID-19 pandemic and potential regulatory changes, may impact the stock in the short term. However, Elevance Health has a strong track record of financial performance and a solid position in the market, making it a potentially attractive investment opportunity."</t>
  </si>
  <si>
    <t>EA,85.0,"Electronic Arts (EA) is a leading company in the Interactive Home Entertainment industry with a recent market cap of $36.90B and an enterprise value of $36.54B. The company has a trailing P/E ratio of 37.79 and a forward P/E ratio of 17.89, indicating a potential undervaluation of the stock. The PEG ratio of 0.96 suggests that the stock may be trading at a discount compared to its expected growth rate. Additionally, EA has a price/sales ratio of 4.96 and a price/book ratio of 4.87, both of which are below the industry average, further supporting the undervaluation of the stock.</t>
  </si>
  <si>
    <t>Based on the latest financial data and news, EA appears to be a promising investment opportunity in the Interactive Home Entertainment industry. However, investors should always conduct their own research and analysis before making any investment decisions."</t>
  </si>
  <si>
    <t>CTRA,85.0,"Coterra Energy, a company in the Oil &amp; Gas Exploration &amp; Production industry, has recently announced a shift towards oil production, which is expected to have a positive impact on its shares in the medium-term. Despite facing headwinds from lower natural gas prices, the company has implemented hedges to limit potential downside. Additionally, its focus on increasing oil production is expected to boost cash flow. Coterra has also committed to returning at least 50% of its capital budget to investors, which is a positive sign for shareholders.</t>
  </si>
  <si>
    <t>Enterprise Value/EBITDA: 4.47"</t>
  </si>
  <si>
    <t>D,85.0,"Dominion Energy is a leading electric utility company with a recent market cap of $39.55B and an enterprise value of $83.08B. The company has a trailing P/E ratio of 15.70 and a forward P/E ratio of 14.90, indicating that the stock may be undervalued. Additionally, Dominion Energy has a price/sales ratio of 2.21 and a price/book ratio of 1.51, which are both below the industry average. This suggests that the stock may be a good value investment.</t>
  </si>
  <si>
    <t>Overall, Dominion Energy appears to be a solid investment option in the electric utilities industry. Its strong financial performance and potential for growth make it a promising stock for the next month."</t>
  </si>
  <si>
    <t>DLTR,85.0,"Dollar Tree, a leading discount retailer in the Consumer Staples Merchandise Retail industry, has been performing well in the recent months. The company's latest financial data shows a market cap of $27.46B and an enterprise value of $37.70B. Its trailing P/E ratio of 23.92 and forward P/E ratio of 18.35 indicate that the stock is currently trading at a reasonable valuation. However, its PEG ratio of 2.19 suggests that the stock may be slightly overvalued compared to its expected earnings growth.</t>
  </si>
  <si>
    <t>Overall, Dollar Tree appears to be a solid investment option in the Consumer Staples Merchandise Retail industry. Its strong financials and stable performance make it a relatively low-risk investment. However, investors should keep an eye on any potential changes in consumer spending habits and the impact of inflation on the company's margins."</t>
  </si>
  <si>
    <t>DIS,85.0,"Disney, a leading company in the Movies &amp; Entertainment industry, has been facing challenges due to the COVID-19 pandemic. However, recent news and financial data suggest that the company is well-positioned for potential growth in the next month.</t>
  </si>
  <si>
    <t>Based on the current financial data and recent news, Disney appears to be a promising investment in the Movies &amp; Entertainment industry for the next month. However, as with any investment, it is important to conduct thorough research and consider the potential risks before making any decisions."</t>
  </si>
  <si>
    <t>DFS,85.0,"Recent News:</t>
  </si>
  <si>
    <t>Overall, Discover Financial appears to be in a strong financial position and has been performing well in the current market conditions. However, investors should closely monitor any potential changes in interest rates and consumer spending, as these factors can impact the company's profitability."</t>
  </si>
  <si>
    <t>DLR,85.0,"Digital Realty is a leading company in the Data Center REITs industry with a recent market cap of 41.03B and an enterprise value of 58.97B. The firm has a trailing P/E ratio of 46.88 and a forward P/E ratio of 100.00, indicating a potential overvaluation. However, its PEG ratio of 3.15 suggests a reasonable growth potential. The price/sales ratio of 7.80 and price/book ratio of 2.35 are also within a reasonable range. The enterprise value/revenue ratio of 11.04 and enterprise value/EBITDA ratio of 19.45 indicate a relatively high valuation compared to its peers in the industry.</t>
  </si>
  <si>
    <t>Based on the current financial data and industry trends, Digital Realty appears to be a solid investment option for the next month. However, investors should closely monitor any changes in the market and the company's performance."</t>
  </si>
  <si>
    <t>FANG,85.0,"Diamondback Energy is a leading company in the Oil &amp; Gas Exploration &amp; Production industry with a recent market cap of 26.22B and an enterprise value of 31.62B. The company has a trailing P/E ratio of 8.31 and a forward P/E ratio of 6.87, indicating that the stock may be undervalued. Additionally, Diamondback Energy has a price/sales ratio of 3.24 and a price/book ratio of 1.61, which are both below the industry average. This suggests that the stock may be a good value investment.</t>
  </si>
  <si>
    <t>Overall, Diamondback Energy appears to be in a strong financial position and may be a good investment opportunity in the Oil &amp; Gas Exploration &amp; Production industry. However, investors should closely monitor the company's performance and industry trends before making any investment decisions."</t>
  </si>
  <si>
    <t>EBAY,85.0,"eBay, a leading company in the Broadline Retail industry, has a recent market cap of 21.53B and an enterprise value of 21.03B. The company's latest trailing P/E ratio is 8.33 and forward P/E ratio is 9.35, indicating a relatively low valuation compared to its peers in the industry. eBay's price/sales ratio of 2.22 and price/book ratio of 3.65 also suggest that the stock may be undervalued. Additionally, the company's enterprise value/revenue ratio of 2.09 and enterprise value/EBITDA ratio of 5.14 are lower than the industry average, indicating a potentially attractive investment opportunity.</t>
  </si>
  <si>
    <t>Overall, eBay's financial data and market position suggest a potential investment opportunity in the Broadline Retail industry. However, investors should carefully consider the company's growth prospects and competitive landscape before making any investment decisions."</t>
  </si>
  <si>
    <t>DHI,85.0,"D.R. Horton is a leading homebuilding company in the United States with a recent market cap of $44.52B and an enterprise value of $45.79B. The company has a trailing P/E ratio of 9.67 and a forward P/E ratio of 10.20, indicating that the stock is currently undervalued. The PEG ratio of 0.58 also suggests that the stock may be a good investment opportunity, as it is trading at a discount compared to its expected growth rate.</t>
  </si>
  <si>
    <t>Overall, based on the recent financial data and news, D.R. Horton appears to be a strong investment opportunity in the homebuilding industry. The company's undervalued stock and strong financial position make it a potential candidate for investors looking for long-term growth. However, it is important to closely monitor economic data and industry trends to make informed investment decisions."</t>
  </si>
  <si>
    <t>CVS,85.0,"CVS Health is a leading company in the Health Care Services industry with a recent market cap of $94.59B and an enterprise value of $158.49B. The company has a trailing P/E ratio of 11.26 and a forward P/E ratio of 8.64, indicating that the stock may be undervalued. The PEG ratio of 0.33 also suggests that the stock may have growth potential. Additionally, the price/sales ratio of 0.27 and price/book ratio of 1.27 are both below the industry average, making the stock potentially attractive to value investors.</t>
  </si>
  <si>
    <t>Overall, CVS Health appears to be a solid investment opportunity in the Health Care Services industry. With its strong financials, potential for growth, and recent strategic moves, the company may be well-positioned for success in the coming months."</t>
  </si>
  <si>
    <t>CMI,85.0,"Cummins, a leading company in the Industrial Machinery &amp; Supplies &amp; Components industry, has shown strong financial performance in recent years. With a market cap of 32.69B and an enterprise value of 37.82B, the company has a solid financial foundation. Its trailing P/E ratio of 11.75 and forward P/E ratio of 12.14 indicate that the stock is currently undervalued, making it an attractive investment opportunity.</t>
  </si>
  <si>
    <t>Overall, Cummins has a strong financial position and is undervalued in the market, making it a potentially lucrative investment for the next month. However, investors should continue to monitor the company's financial performance and industry trends to make informed investment decisions."</t>
  </si>
  <si>
    <t>DHR,85.0,"Danaher Corporation, a leading company in the Health Care Equipment industry, has shown strong financial performance in recent years. With a market cap of 163.13B and an enterprise value of 172.91B, the company has a solid financial foundation. Its trailing P/E ratio of 27.84 and forward P/E ratio of 27.25 indicate that the stock is trading at a reasonable valuation.</t>
  </si>
  <si>
    <t>Overall, Danaher Corporation appears to be a solid investment option in the Health Care Equipment industry. Its strong financial performance and reasonable valuation metrics make it a potential candidate for investors. However, it is important to closely monitor any potential changes in the industry and the company's financials."</t>
  </si>
  <si>
    <t>SJM,80.0,"The J.M. Smucker Company (The) is a leading player in the Packaged Foods &amp; Meats industry with a recent market cap of 12.49B and an enterprise value of 16.20B. The company has a forward P/E ratio of 12.20 and a PEG ratio of 1.36, indicating a relatively undervalued stock. The price/sales ratio of 1.50 and price/book ratio of 1.76 also suggest that the stock may be trading at a discount. However, the enterprise value/revenue ratio of 1.98 and enterprise value/EBITDA ratio of 26.34 may indicate that the stock is slightly overvalued compared to its peers in the industry.</t>
  </si>
  <si>
    <t>Overall, the J.M. Smucker Company (The) appears to be in a stable financial position with potential for growth. However, investors should carefully consider the company's valuation metrics and industry trends before making any investment decisions."</t>
  </si>
  <si>
    <t>CINF,80.0,"Cincinnati Financial is a leading company in the Property &amp; Casualty Insurance industry with a recent market cap of 15.93B and an enterprise value of 15.90B. The company has a strong financial position with a trailing P/E ratio of 9.64 and a forward P/E ratio of 16.58, indicating potential growth in the future. Its price/sales ratio of 1.64 and price/book ratio of 1.50 are also in line with industry averages, suggesting a fair valuation.</t>
  </si>
  <si>
    <t>Overall, Cincinnati Financial is a well-established company with a strong financial position and potential for growth. Its solid performance in the latest quarter and fair valuation make it a potential investment opportunity in the Property &amp; Casualty Insurance industry."</t>
  </si>
  <si>
    <t>CME,80.0,"CME Group, a leading financial exchange and data company, has shown strong financial performance in recent years. With a market cap of 77.14B and an enterprise value of 78.16B, the company has a solid financial foundation. Its trailing P/E ratio of 25.57 and forward P/E ratio of 23.20 indicate that the stock is trading at a reasonable valuation. However, its PEG ratio of 4.68 suggests that the stock may be slightly overvalued compared to its expected growth rate.</t>
  </si>
  <si>
    <t>Overall, CME Group appears to be a financially stable and profitable company. However, investors should keep an eye on potential regulatory changes in the financial industry, as well as any shifts in market sentiment that could impact the stock's performance."</t>
  </si>
  <si>
    <t>CPRT,80.0,"Copart, a company in the Diversified Support Services industry, has been performing well in the recent months. With a market cap of 45.82B and an enterprise value of 43.32B, the company has a strong financial standing. Its trailing P/E ratio of 34.83 and forward P/E ratio of 32.26 indicate that the company is currently trading at a premium, but its PEG ratio of 2.96 suggests that it may still have room for growth.</t>
  </si>
  <si>
    <t>WEC,80.0,"WEC Energy Group is a leading electric utility company with a recent market cap of $26.78B and an enterprise value of $44.99B. The company has a trailing P/E ratio of 19.66 and a forward P/E ratio of 17.27, indicating a relatively fair valuation. However, the PEG ratio of 2.63 suggests that the stock may be slightly overvalued compared to its expected growth rate. WEC Energy Group also has a price/sales ratio of 2.90 and a price/book ratio of 2.28, which are both in line with industry averages.</t>
  </si>
  <si>
    <t>Overall, WEC Energy Group appears to be a solid investment option in the electric utilities industry. The company has a strong financial position and a stable dividend yield, making it a relatively low-risk investment. However, investors should closely monitor any potential regulatory changes that may impact the industry."</t>
  </si>
  <si>
    <t>WFC,80.0,"Enterprise Value/Revenue    2.05</t>
  </si>
  <si>
    <t>Wells Fargo, one of the largest diversified banks in the United States, has faced significant challenges in recent years, including a series of scandals and regulatory fines. However, the latest financial data shows that the company has been able to maintain a strong market position, with a market cap of $161.61B. Its trailing P/E ratio of 9.72 and forward P/E ratio of 8.86 suggest that the stock is currently undervalued. Additionally, its PEG ratio of 0.69 indicates that the stock may be a good value for long-term investors. However, the company's price/sales and price/book ratios are slightly higher than the industry average, which may indicate that the stock is slightly overvalued. Overall, the recent financial data suggests that Wells Fargo may be a solid investment option in the diversified banks industry."</t>
  </si>
  <si>
    <t>BR,80.0,"Broadridge Financial Solutions is a leading provider of technology and outsourcing solutions for the financial services industry. The company has a strong financial position with a recent market cap of 22.52B and an enterprise value of 26.20B. Its trailing P/E ratio of 33.93 and forward P/E ratio of 25.13 suggest that the stock may be slightly overvalued, but its PEG ratio of 2.01 indicates potential for future growth.</t>
  </si>
  <si>
    <t>Overall, Broadridge Financial Solutions appears to be a solid company with a strong financial position and potential for future growth. However, investors should closely monitor economic and industry trends to make informed investment decisions."</t>
  </si>
  <si>
    <t>COF,80.0,"Recent News:</t>
  </si>
  <si>
    <t>Overall, Capital One appears to be in a strong financial position with a solid track record of profitability and a focus on growth. However, investors should closely monitor the company's performance and any potential regulatory changes that may impact the consumer finance industry."</t>
  </si>
  <si>
    <t>CAT,80.0,"Caterpillar Inc. is a leading company in the Construction Machinery &amp; Heavy Transportation Equipment industry with a recent market cap of 130.31B and an enterprise value of 160.90B. The company has a trailing P/E ratio of 14.51 and a forward P/E ratio of 12.47, indicating that the stock may be undervalued. The PEG ratio of 1.52 suggests that the stock may have growth potential in the next five years. Additionally, the price/sales ratio of 1.99 and price/book ratio of 6.36 are in line with industry averages, indicating a fair valuation.</t>
  </si>
  <si>
    <t>Overall, Caterpillar Inc. appears to be in a stable financial position with potential for growth in the future. However, investors should closely monitor economic and industry trends to make informed investment decisions."</t>
  </si>
  <si>
    <t>SPGI,80.0,"S&amp;P Global, a leading provider of financial data and analytics, has a strong financial position with a recent market cap of 132.63B and an enterprise value of 142.99B. The company's trailing P/E ratio of 54.44 and forward P/E ratio of 29.15 suggest that the stock may be slightly overvalued. However, its PEG ratio of 2.42 indicates potential for future growth. S&amp;P Global's price/sales ratio of 10.96 and price/book ratio of 3.74 are in line with industry averages, while its enterprise value/revenue and enterprise value/EBITDA ratios of 11.64 and 28.77, respectively, suggest a strong financial position.</t>
  </si>
  <si>
    <t>The recent news in the financial industry, such as the surge in productivity and falling oil prices, may have a positive impact on S&amp;P Global's business. However, potential regulatory changes and weaker job growth could also affect the company's performance. Investors should closely monitor economic and industry trends to make informed decisions about investing in S&amp;P Global."</t>
  </si>
  <si>
    <t>MAR,80.0,"Marriott International is a leading company in the Hotels, Resorts &amp; Cruise Lines industry with a recent market cap of 60.14B and an enterprise value of 72.16B. The company has a trailing P/E ratio of 21.72 and a forward P/E ratio of 21.19, indicating a relatively stable valuation. The PEG ratio of 1.43 suggests that the stock may be slightly overvalued, but this is not a major concern. The price/sales ratio of 2.68 and enterprise value/revenue ratio of 3.07 are also within a reasonable range.</t>
  </si>
  <si>
    <t>Overall, Marriott International appears to be in a stable financial position with a strong market presence. The recent news of falling oil prices may also benefit the company, as it can lead to lower operating costs for its hotels and resorts. However, the ongoing COVID-19 pandemic and potential geopolitical tensions may pose risks to the company's operations."</t>
  </si>
  <si>
    <t>MTD,80.0,"Mettler Toledo, a leading company in the Life Sciences Tools &amp; Services industry, has shown strong financial performance in recent years. With a market cap of 23.71B and an enterprise value of 25.74B, the company has a solid financial foundation. Its trailing P/E ratio of 27.89 and forward P/E ratio of 27.70 indicate that the company is currently trading at a fair valuation. However, its PEG ratio of 3.54 suggests that the stock may be slightly overvalued compared to its expected growth rate.</t>
  </si>
  <si>
    <t>MRNA,80.0,"Moderna, a biotechnology company, has been making headlines with its recent success in developing a COVID-19 vaccine. The company's latest financial data shows a market cap of 30.74B and an enterprise value of 24.62B. Its trailing P/E ratio of 7.06 and price/sales ratio of 3.44 indicate that the stock may be undervalued compared to its peers in the biotechnology industry. Additionally, its price/book ratio of 2.28 and enterprise value/revenue ratio of 2.71 suggest that the stock may have room for growth.</t>
  </si>
  <si>
    <t>Overall, Moderna's recent financial data and developments in the biotechnology industry suggest potential for growth. However, investors should carefully consider the risks and monitor the company's progress in developing and distributing its COVID-19 vaccine."</t>
  </si>
  <si>
    <t>TAP,80.0,"Molson Coors Beverage Company is a leading player in the Brewers industry with a recent market cap of 13.36B and an enterprise value of 18.74B. The company has a trailing P/E ratio of 52.91 and a forward P/E ratio of 11.45, indicating a potential undervaluation of the stock. However, the PEG ratio of 3.09 suggests that the stock may be overvalued in the long term. The price/sales ratio of 1.16 and price/book ratio of 1.01 are both below the industry average, indicating a potential buying opportunity for investors.</t>
  </si>
  <si>
    <t>Overall, Molson Coors appears to be in a strong financial position with potential for growth in the long term. However, investors should closely monitor the company's performance and industry trends before making any investment decisions."</t>
  </si>
  <si>
    <t>MDLZ,80.0,"Mondelez International is a leading company in the Packaged Foods &amp; Meats industry with a recent market cap of $97.02B and an enterprise value of $115.86B. The company has a trailing P/E ratio of 21.34 and a forward P/E ratio of 20.00, indicating a relatively high valuation. However, the PEG ratio of 2.01 suggests that the stock may still have growth potential.</t>
  </si>
  <si>
    <t>Overall, Mondelez International appears to be a solid investment option in the Packaged Foods &amp; Meats industry. Its strong financials and market position make it a stable choice for investors. However, it is important to closely monitor industry trends and company performance in the coming months."</t>
  </si>
  <si>
    <t>DPZ,80.0,"Domino's is a leading player in the restaurant industry with a recent market cap of 13.69B and an enterprise value of 18.82B. The company has a trailing P/E ratio of 26.87 and a forward P/E ratio of 24.81, indicating a relatively high valuation. However, its PEG ratio of 2.27 suggests that the stock may be slightly overvalued compared to its expected earnings growth. Additionally, its price/sales ratio of 3.12 and enterprise value/revenue ratio of 4.21 are in line with industry averages.</t>
  </si>
  <si>
    <t>Overall, Domino's appears to be a solid player in the restaurant industry with strong financials and potential for growth. However, investors should closely monitor the impact of the pandemic on the company's operations and consumer behavior."</t>
  </si>
  <si>
    <t>DTE,80.0,"DTE Energy is a leading multi-utility company with a recent market cap of $22.14B and an enterprise value of $42.58B. The company has a trailing P/E ratio of 17.74 and a forward P/E ratio of 16.03, indicating a relatively fair valuation. However, the PEG ratio of 1.95 suggests that the stock may be slightly overvalued compared to its expected growth rate. DTE Energy also has a price/sales ratio of 1.59 and a price/book ratio of 2.04, which are both in line with industry averages.</t>
  </si>
  <si>
    <t>Overall, DTE Energy appears to be a stable and well-managed company in the multi-utilities industry. While its valuation may be slightly high, the company's strong profitability and efficient operations make it a potential investment opportunity."</t>
  </si>
  <si>
    <t>EMN,80.0,"Eastman Chemical Company is a leading player in the Diversified Chemicals industry with a recent market cap of 9.91B and an enterprise value of 14.69B. The company has a trailing P/E ratio of 16.79 and a forward P/E ratio of 10.46, indicating a potential undervaluation of the stock. The PEG ratio of 1.44 suggests that the stock may be slightly overvalued based on its expected growth rate. However, the price/sales ratio of 1.07 and price/book ratio of 1.85 are both below the industry average, indicating a potential value opportunity for investors.</t>
  </si>
  <si>
    <t>LLY,80.0,"Eli Lilly and Company is a leading pharmaceutical company with a recent market cap of 559.38B and an enterprise value of 577.05B. The company has a trailing P/E ratio of 106.75 and a forward P/E ratio of 48.08, indicating a high valuation. However, its PEG ratio of 1.45 suggests that the stock may be undervalued compared to its expected growth rate. The price/sales ratio of 16.60 and price/book ratio of 49.85 also indicate a premium valuation.</t>
  </si>
  <si>
    <t>Overall, Eli Lilly and Company appears to be a solid investment option in the pharmaceutical industry, with a strong financial position and potential for growth. However, investors should carefully monitor market trends and company developments before making any investment decisions."</t>
  </si>
  <si>
    <t>REG,80.0,"Regency Centers (REG) is a real estate investment trust (REIT) that specializes in owning, operating, and developing grocery-anchored shopping centers in the United States. The company has a strong track record of delivering consistent returns to investors and has a market cap of $11.77B and an enterprise value of $16.23B.</t>
  </si>
  <si>
    <t>The retail REIT industry has faced challenges in recent years due to the rise of e-commerce and changing consumer preferences. However, with the economy recovering from the pandemic and consumer spending on the rise, the industry is expected to see a rebound in the coming months. As a grocery-anchored shopping center REIT, Regency Centers is well-positioned to benefit from this recovery."</t>
  </si>
  <si>
    <t>LYV,80.0,"Live Nation Entertainment (NYSE: LYV) is a leading live entertainment company that produces concerts, festivals, and other live events. The company has a strong presence in the global entertainment market and has shown consistent growth in recent years.</t>
  </si>
  <si>
    <t>Overall, Live Nation's financial data suggests that the company is well-positioned in the entertainment industry and has potential for growth in the future."</t>
  </si>
  <si>
    <t>MRO,80.0,"Marathon Oil is a leading company in the Oil &amp; Gas Exploration &amp; Production industry with a recent market cap of 13.78B and an enterprise value of 19.33B. The firm has a trailing P/E ratio of 8.56 and a forward P/E ratio of 5.71, indicating that the stock may be undervalued. The PEG ratio of 0.95 also suggests that the stock may have growth potential. However, the price/sales ratio of 2.28 and price/book ratio of 1.23 are slightly higher than the industry average, which may indicate that the stock is currently overvalued.</t>
  </si>
  <si>
    <t>Overall, Marathon Oil appears to be a solid investment option in the Oil &amp; Gas Exploration &amp; Production industry. The company has a strong financial position and potential for growth, but investors should closely monitor the impact of oil prices on the company's performance."</t>
  </si>
  <si>
    <t>NDAQ,80.0,"Nasdaq, Inc. is a leading financial exchange and data company with a strong market position and a solid financial track record. The latest financial data shows a market cap of $32.22B and an enterprise value of $36.73B. The trailing P/E ratio of 25.04 and forward P/E ratio of 19.42 suggest that the stock is currently trading at a reasonable valuation. However, the PEG ratio of 2.79 indicates that the stock may be slightly overvalued compared to its expected growth rate.</t>
  </si>
  <si>
    <t>Overall, Nasdaq, Inc. appears to be a stable and well-performing company in the financial exchanges and data industry. However, investors should closely monitor any potential regulatory changes and market trends that may impact the company's performance."</t>
  </si>
  <si>
    <t>ES,80.0,"Eversource, a multi-utility company, has a recent market cap of 21.17B and an enterprise value of 47.19B. The company's trailing P/E ratio is 18.14 and its forward P/E ratio is 13.04, indicating a potential undervaluation. However, the PEG ratio of 2.05 suggests that the stock may be slightly overvalued based on its expected growth. Eversource's price/sales ratio of 1.73 and price/book ratio of 1.35 are both below the industry average, indicating a potential value opportunity. The company's enterprise value/revenue ratio of 3.85 and enterprise value/EBITDA ratio of 14.85 are also below the industry average, suggesting a potential undervaluation. Overall, Eversource appears to be a financially stable company with potential for growth. However, investors should closely monitor the company's performance and industry trends before making any investment decisions."</t>
  </si>
  <si>
    <t>DVA,80.0,"DaVita Inc. is a leading provider of kidney care services, operating over 2,900 outpatient dialysis centers in the United States. The company has a strong financial position with a recent market cap of $9.51B and an enterprise value of $20.18B. DaVita Inc. has a trailing P/E ratio of 16.17 and a forward P/E ratio of 11.81, indicating that the stock may be undervalued. The PEG ratio of 0.42 also suggests that the stock may have growth potential. However, the price/sales ratio of 0.81 and price/book ratio of 7.93 may indicate that the stock is currently overvalued. The enterprise value/revenue ratio of 1.69 and enterprise value/EBITDA ratio of 9.25 are also higher than the industry average, which may be a cause for concern.</t>
  </si>
  <si>
    <t>Overall, DaVita Inc. appears to be a solid investment option in the health care facilities industry. However, investors should closely monitor the company's financial performance and industry developments before making any investment decisions."</t>
  </si>
  <si>
    <t>NFLX,80.0,"Netflix, a leading company in the Movies &amp; Entertainment industry, has been performing well in recent months. The latest financial data shows a market cap of 195.52B and an enterprise value of 201.96B. The trailing P/E ratio is 44.58, which is higher than the industry average, indicating a premium valuation. However, the forward P/E ratio of 28.17 suggests that the company's future earnings are expected to grow, making it a potentially attractive investment.</t>
  </si>
  <si>
    <t>Overall, Netflix's financial data suggests that the company is well-positioned for future growth, with a strong market presence and potential for increased earnings. However, investors should carefully consider the premium valuation and potential risks, such as competition and changing consumer preferences, before making any investment decisions."</t>
  </si>
  <si>
    <t>EFX,80.0,"Equifax is a leading company in the Research &amp; Consulting Services industry with a recent market cap of 27.67B and an enterprise value of 33.26B. The company has a trailing P/E ratio of 53.21 and a forward P/E ratio of 26.74, indicating a potential undervaluation of the stock. The PEG ratio of 1.80 suggests that the stock may be slightly overvalued based on its expected growth rate. However, the price/sales ratio of 5.40 and price/book ratio of 6.44 are in line with industry averages, indicating a fair valuation.</t>
  </si>
  <si>
    <t>Overall, Equifax appears to be a solid investment opportunity in the Research &amp; Consulting Services industry. The company has a strong market position and a history of profitability, which makes it a relatively low-risk investment option. However, investors should closely monitor any potential regulatory changes that may impact the company's operations."</t>
  </si>
  <si>
    <t>PAYX,80.0,"Paychex, a leading provider of human resource and employment services, has shown strong financial performance in recent years. With a market cap of $44.94B and an enterprise value of $44.12B, the company has a solid financial foundation. Its trailing P/E ratio of 28.21 and forward P/E ratio of 26.45 indicate that the stock is trading at a reasonable valuation. However, its PEG ratio of 3.27 suggests that the stock may be slightly overvalued compared to its expected earnings growth.</t>
  </si>
  <si>
    <t>Overall, Paychex has a strong financial position and is performing well in its industry. However, investors should closely monitor the company's earnings growth and valuation metrics to make informed investment decisions."</t>
  </si>
  <si>
    <t>PG,80.0,"Procter &amp; Gamble (P&amp;G) is a leading consumer goods company in the Personal Care Products industry. P&amp;G has a strong financial position with a recent market cap of 345.64B and an enterprise value of 372.60B. The company's trailing P/E ratio of 23.81 and forward P/E ratio of 23.04 suggest that the stock is currently trading at a reasonable valuation. However, the PEG ratio of 3.39 indicates that the stock may be slightly overvalued compared to its expected earnings growth.</t>
  </si>
  <si>
    <t>Overall, P&amp;G's financial data indicates a stable and well-managed company with a strong market position. However, investors should closely monitor the company's future earnings growth and potential regulatory changes in the consumer goods industry."</t>
  </si>
  <si>
    <t>BIO,80.0,"Bio-Rad is a leading company in the Life Sciences Tools &amp; Services industry with a recent market cap of 9.05B and an enterprise value of 8.70B. The company's latest financial data shows a forward P/E ratio of 23.42 and a PEG ratio of 1.07, indicating a relatively fair valuation. However, the price/sales ratio of 3.36 and price/book ratio of 1.08 suggest that the stock may be slightly overvalued.</t>
  </si>
  <si>
    <t>Overall, Bio-Rad appears to be a solid investment option in the Life Sciences Tools &amp; Services industry. However, investors should closely monitor any potential changes in the industry and the company's financial performance."</t>
  </si>
  <si>
    <t>FOX,80.0,"Fox Corporation (Class B) is a leading company in the Movies &amp; Entertainment industry with a recent market cap of 13.65B and an enterprise value of 18.01B. The company has a trailing P/E ratio of 13.31 and a forward P/E ratio of 8.24, indicating that the stock may be undervalued. However, the PEG ratio of 15.26 suggests that the stock may be overvalued in relation to its expected growth. The price/sales ratio of 0.94 and price/book ratio of 1.27 also indicate that the stock may be undervalued. Additionally, the enterprise value/revenue ratio of 1.21 and enterprise value/EBITDA ratio of 8.14 suggest that the company may be operating efficiently.</t>
  </si>
  <si>
    <t>Based on the current financial data and industry trends, Fox Corporation (Class B) may be a potential investment opportunity for the next month. However, investors should carefully monitor the company's performance and industry developments before making any investment decisions."</t>
  </si>
  <si>
    <t>IT,80.0,"Gartner, a leading IT consulting and other services company, has shown strong financial performance in recent years. With a market cap of 34.45B and an enterprise value of 36.19B, the company has a solid financial foundation. Its trailing P/E ratio of 38.01 and forward P/E ratio of 34.13 suggest that the company is currently trading at a premium, but this may be justified by its strong growth potential.</t>
  </si>
  <si>
    <t>Overall, Gartner's financial data and recent news suggest that the company is in a strong position for future growth. However, investors should closely monitor the stock's valuation and keep an eye on any potential regulatory changes in the tech sector."</t>
  </si>
  <si>
    <t>GIS,80.0,"General Mills, a leading company in the Packaged Foods &amp; Meats industry, has been performing well in the recent months. With a market cap of 38.30B and an enterprise value of 50.09B, the company has a strong financial standing. Its trailing P/E ratio of 16.07 and forward P/E ratio of 14.79 indicate that the stock is reasonably priced. However, its PEG ratio of 2.33 suggests that the stock may be slightly overvalued.</t>
  </si>
  <si>
    <t>Overall, General Mills appears to be a stable and well-performing company in the Packaged Foods &amp; Meats industry. However, investors should closely monitor any potential changes in the industry and the company's financial performance."</t>
  </si>
  <si>
    <t>HAS,80.0,"Hasbro, a leading company in the Leisure Products industry, has recently reported a market cap of 6.64B and an enterprise value of 10.20B. The company's trailing P/E ratio is 35.61, while the forward P/E ratio is 11.32, indicating a potential undervaluation of the stock. The PEG ratio of 1.03 suggests that the stock may be trading at a fair value, considering its expected growth rate. Hasbro's price/sales ratio of 1.23 and price/book ratio of 3.02 are also in line with industry averages.</t>
  </si>
  <si>
    <t>Overall, Hasbro appears to be a solid investment opportunity in the leisure products industry. However, investors should closely monitor the company's financial performance and industry trends before making any investment decisions."</t>
  </si>
  <si>
    <t>PCAR,80.0,"Paccar, a leading company in the Construction Machinery &amp; Heavy Transportation Equipment industry, has a recent market cap of 49.55B and an enterprise value of 54.82B. The company's latest trailing P/E ratio is 12.10 and forward P/E ratio is 13.24, indicating a relatively low valuation compared to its peers in the industry. However, the PEG ratio of 5.30 suggests that the stock may be overvalued based on its expected growth rate.</t>
  </si>
  <si>
    <t>Overall, Paccar's financial data suggests that the stock may be undervalued compared to its peers in the industry. However, investors should also consider the potential impact of macro-economic factors, such as interest rates and global trade tensions, on the company's performance."</t>
  </si>
  <si>
    <t>PARA,80.0,"Paramount Global is a leading company in the Movies &amp; Entertainment industry with a recent market cap of 10.06B and an enterprise value of 25.23B. The company's forward P/E ratio of 11.35 and PEG ratio of 0.90 suggest that the stock may be undervalued. Additionally, its price/sales ratio of 0.33 and price/book ratio of 0.45 indicate that the stock may be trading at a discount compared to its peers in the industry. However, the company's enterprise value/revenue ratio of 0.84 and enterprise value/EBITDA ratio of -208.48 raise some concerns about its financial health.</t>
  </si>
  <si>
    <t>Overall, Paramount Global appears to be a promising investment opportunity in the Movies &amp; Entertainment industry, but investors should carefully consider the potential risks and monitor the company's financial performance in the coming month."</t>
  </si>
  <si>
    <t>TECH,80.0,"Bio-Techne is a leading company in the Life Sciences Tools &amp; Services industry with a recent market cap of 10.44B and an enterprise value of 10.84B. The company has a trailing P/E ratio of 43.43 and a forward P/E ratio of 34.60, indicating a potential for future growth. Its price/sales ratio of 9.34 and price/book ratio of 5.23 are also in line with industry averages. However, its enterprise value/revenue ratio of 9.48 and enterprise value/EBITDA ratio of 26.70 are slightly higher than the industry average, suggesting that the company may be slightly overvalued.</t>
  </si>
  <si>
    <t>Overall, Bio-Techne appears to be a strong and stable company with potential for future growth. However, investors should closely monitor industry developments and the company's financial performance before making any investment decisions."</t>
  </si>
  <si>
    <t>TRGP,80.0,"Targa Resources in the Oil &amp; Gas Storage &amp; Transportation Industry</t>
  </si>
  <si>
    <t>Based on the current financial data and industry trends, Targa Resources appears to be a solid investment option in the Oil &amp; Gas Storage &amp; Transportation industry. However, investors should closely monitor any developments in the industry and the company's financial performance before making any investment decisions."</t>
  </si>
  <si>
    <t>IRM,80.0,"Iron Mountain is a leading company in the Other Specialized REITs industry with a recent market cap of 19.27B and an enterprise value of 33.23B. The company has a trailing P/E ratio of 70.19 and a forward P/E ratio of 35.84, indicating a potential overvaluation of the stock. However, its price/sales ratio of 3.63 and price/book ratio of 73.39 suggest that the stock may be undervalued compared to its peers in the industry. Additionally, Iron Mountain has a strong enterprise value/revenue ratio of 6.22 and enterprise value/EBITDA ratio of 19.59, indicating a solid financial position.</t>
  </si>
  <si>
    <t>Based on the latest financial data and market trends, Iron Mountain appears to be a promising investment opportunity in the Other Specialized REITs industry. However, investors should carefully consider the potential risks and uncertainties in the market before making any investment decisions."</t>
  </si>
  <si>
    <t>AJG,80.0,"Arthur J. Gallagher &amp; Co. is a leading insurance brokerage firm with a strong presence in the market. The recent financial data shows a market cap of 52.36B and an enterprise value of 58.38B. The trailing P/E ratio of 46.63 and forward P/E ratio of 23.75 indicate that the stock may be slightly overvalued. However, the price/sales ratio of 5.48 and price/book ratio of 5.00 suggest that the stock may still have room for growth.</t>
  </si>
  <si>
    <t>Overall, Arthur J. Gallagher &amp; Co. has a strong market presence and solid financials. However, investors should closely monitor the stock's valuation and keep an eye on any potential regulatory changes in the insurance industry."</t>
  </si>
  <si>
    <t>AVB,80.0,"AvalonBay Communities is a real estate investment trust (REIT) that specializes in multi-family residential properties. The company has a strong presence in major metropolitan areas across the United States, with a portfolio of over 80,000 apartment units.</t>
  </si>
  <si>
    <t>AvalonBay Communities has a strong track record of delivering consistent returns to investors. The company's focus on high-quality properties in prime locations, along with its strong financial position, makes it well-positioned for long-term success. However, the company's high valuation metrics, such as its P/E and PEG ratios, may be a cause for concern for some investors."</t>
  </si>
  <si>
    <t>WRB,80.0,"Berkley is a leading company in the Property &amp; Casualty Insurance industry with a recent market cap of 18.58B and an enterprise value of 19.78B. The company has a trailing P/E ratio of 14.53 and a forward P/E ratio of 12.87, indicating that the stock may be undervalued. However, the PEG ratio of 2.26 suggests that the stock may be overvalued in relation to its expected growth. The price/sales ratio of 1.67 and price/book ratio of 2.69 are both in line with industry averages. The enterprise value/revenue ratio of 1.66 also indicates that the company may be fairly valued. Overall, the recent financial data suggests that Berkley is a stable and well-performing company in the Property &amp; Casualty Insurance industry."</t>
  </si>
  <si>
    <t>TER,80.0,"Teradyne, a leading company in the Semiconductor Materials &amp; Equipment industry, has shown strong financial performance in recent years. With a market cap of 13.95B and an enterprise value of 13.34B, the company has a solid financial foundation. Its trailing P/E ratio of 42.43 and forward P/E ratio of 21.98 indicate that the company is currently trading at a premium, but its PEG ratio of 1.51 suggests that it may still be undervalued.</t>
  </si>
  <si>
    <t>Overall, Teradyne's financial data suggests that it is a strong and stable company with potential for growth. However, investors should closely monitor the company's valuation metrics and industry trends before making any investment decisions."</t>
  </si>
  <si>
    <t>HST,80.0,"Host Hotels &amp; Resorts is a leading hotel and resort real estate investment trust (REIT) with a recent market cap of $12.41B and an enterprise value of $16.27B. The company has a trailing P/E ratio of 16.75 and a forward P/E ratio of 17.67, indicating a relatively fair valuation. The PEG ratio of 1.21 suggests that the stock may be slightly overvalued, but this is not a cause for concern. The price/sales ratio of 2.39 and price/book ratio of 1.81 are also within reasonable ranges.</t>
  </si>
  <si>
    <t>Overall, Host Hotels &amp; Resorts appears to be a solid investment option in the hotel and resort REITs industry. The company has a strong financial position and a promising outlook as the industry recovers from the pandemic. Therefore, the score for the potential investment value of Host Hotels &amp; Resorts for the next month is 80."</t>
  </si>
  <si>
    <t>HUBB,80.0,"Hubbell Incorporated is a leading company in the Industrial Machinery &amp; Supplies &amp; Components industry with a recent market cap of 16.27B and an enterprise value of 17.26B. The company has a trailing P/E ratio of 23.06 and a forward P/E ratio of 19.65, indicating a relatively high valuation. However, the PEG ratio of 1.97 suggests that the stock may still have room for growth. The price/sales ratio of 3.12 and price/book ratio of 5.94 also indicate a slightly overvalued stock. The enterprise value/revenue ratio of 3.29 and enterprise value/EBITDA ratio of 15.41 are in line with industry averages.</t>
  </si>
  <si>
    <t>Based on the latest financial data and industry trends, Hubbell Incorporated appears to be a solid investment option for the next month. However, investors should closely monitor any potential changes in the market and the company's performance to make informed decisions."</t>
  </si>
  <si>
    <t>CCI,80.0,"Crown Castle (CCI) is a leading player in the Telecom Tower REITs industry with a recent market cap of $50.78B and an enterprise value of $79.39B. The company has a trailing P/E ratio of 32.71 and a forward P/E ratio of 29.24, indicating a relatively high valuation. However, the PEG ratio of 3.86 suggests that the stock may be undervalued compared to its expected growth rate. Additionally, the price/sales ratio of 7.19 and price/book ratio of 7.61 are both above the industry average, indicating a premium valuation.</t>
  </si>
  <si>
    <t>Overall, Crown Castle appears to be a solid investment option in the Telecom Tower REITs industry, with a strong financial position and potential for growth. However, investors should closely monitor any developments in the industry and the broader economy that may impact the company's performance."</t>
  </si>
  <si>
    <t>ACN,80.0,"Accenture, a leading IT consulting and services company, has shown strong financial performance in recent years. With a market cap of 210.51B and an enterprise value of 204.61B, the company has a solid financial foundation. Its trailing P/E ratio of 31.14 and forward P/E ratio of 27.47 indicate that the stock is trading at a premium, but this is in line with the industry average. The PEG ratio of 2.74 suggests that the stock may be slightly overvalued, but this could also be due to the company's strong growth potential.</t>
  </si>
  <si>
    <t>Overall, Accenture's financial data suggests that the company is in a strong financial position and has potential for growth. However, investors should closely monitor the stock's valuation and keep an eye on any potential changes in the IT consulting and services industry."</t>
  </si>
  <si>
    <t>ZBRA,80.0,"Zebra Technologies is a leading company in the Electronic Equipment &amp; Instruments industry with a recent market cap of 12.03B and an enterprise value of 14.43B. The company has a trailing P/E ratio of 26.16 and a forward P/E ratio of 18.28, indicating a potential undervaluation of the stock. However, the PEG ratio of 5.70 suggests that the stock may be overvalued in comparison to its expected growth rate.</t>
  </si>
  <si>
    <t>Recent news in the industry, such as the rise of generative AI models and the potential for increased regulation in the tech sector, may have an impact on Zebra Technologies' performance in the coming month. However, the company's strong financials and market position make it a solid investment option for long-term investors."</t>
  </si>
  <si>
    <t>ABT,80.0,"Abbott, a leading company in the Health Care Equipment industry, has shown strong financial performance in recent years. With a market cap of 182.18B and an enterprise value of 190.66B, the company has a solid financial foundation. Its trailing P/E ratio of 35.69 and forward P/E ratio of 22.62 indicate that the company is currently trading at a premium, but its PEG ratio of 25.16 suggests that it may be slightly overvalued.</t>
  </si>
  <si>
    <t>Overall, Abbott appears to be a stable and well-performing company in the health care industry. Its financial data and recent news suggest that it may be a good investment option for the next month."</t>
  </si>
  <si>
    <t>ALK,80.0,"Alaska Air Group (ALK) is a passenger airline company that has recently shown resilience in the face of a slipping market. Despite the overall market decline, ALK saw a 0.28% increase in its stock price, settling at $35.67. This is a positive sign for the company, indicating that it may have strong fundamentals and potential for growth.</t>
  </si>
  <si>
    <t>Overall, ALK has shown resilience in the market and has strong financial data, indicating potential for growth. However, investors should continue to monitor the company's performance and industry trends before making any investment decisions."</t>
  </si>
  <si>
    <t>AMZN,80.0,"Amazon, one of the largest and most influential companies in the world, has recently been in the news for its plans to expand its presence in Southern California. A leaked internal memo revealed the company's strategies to strengthen its reputation through charitable initiatives and combat any potential labor issues. Additionally, Amazon CEO Andy Jassy highlighted the company's ability to provide same-day delivery to customers, showcasing its efficient operations.</t>
  </si>
  <si>
    <t>UDR,80.0,"UDR, Inc. is a real estate investment trust (REIT) that specializes in multi-family residential properties. The company has a recent market cap of $11.40B and an enterprise value of $17.39B. Its trailing P/E ratio is 25.12 and its forward P/E ratio is 70.42, indicating a potential overvaluation of the stock. UDR's price/sales ratio of 7.06 and price/book ratio of 2.78 are also higher than the industry average, suggesting a premium price for the stock.</t>
  </si>
  <si>
    <t>Overall, UDR, Inc. appears to be a solid investment option in the multi-family residential REIT industry. While its valuation may be on the higher side, the company's strong financials and positive performance make it a promising choice for investors."</t>
  </si>
  <si>
    <t>AES,80.0,"AES Corporation is a leading company in the Independent Power Producers &amp; Energy Traders industry with a recent market cap of 12.01B and an enterprise value of 37.94B. The company's latest financial data shows a forward P/E ratio of 9.44 and a PEG ratio of 1.37, indicating a relatively undervalued stock. Additionally, the price/sales ratio of 0.94 and price/book ratio of 6.19 suggest that the stock may be trading at a discount compared to its peers in the industry.</t>
  </si>
  <si>
    <t>Overall, based on the recent financial data and news, AES Corporation appears to be a stable and potentially undervalued investment option in the Independent Power Producers &amp; Energy Traders industry."</t>
  </si>
  <si>
    <t>VTRS,75.0,"Viatris, a pharmaceutical company with a market cap of 11.62B, has been facing some challenges in the recent months. The company's latest financial data shows a trailing P/E of 6.42 and a forward P/E of 3.41, indicating a potential undervaluation of the stock. However, the price/sales ratio of 0.76 and price/book ratio of 0.56 suggest that the stock may be overvalued. Additionally, the enterprise value/revenue ratio of 1.85 and enterprise value/EBITDA ratio of 4.72 are higher than the industry average, which could be a cause for concern.</t>
  </si>
  <si>
    <t>Considering the potential undervaluation of the stock and the positive outlook for the pharmaceutical industry, Viatris may be a good investment opportunity for the next month. However, investors should closely monitor the company's financial data and industry trends before making any investment decisions."</t>
  </si>
  <si>
    <t>ADP,75.0,"ADP (Automatic Data Processing) is a leading company in the Human Resource &amp; Employment Services industry with a recent market cap of 95.57B and an enterprise value of 97.45B. The company has a trailing P/E ratio of 27.60 and a forward P/E ratio of 25.38, indicating a relatively high valuation. However, the PEG ratio of 2.82 suggests that the stock may be undervalued compared to its expected growth rate.</t>
  </si>
  <si>
    <t>Overall, ADP's latest financial data suggests that the stock may be slightly overvalued, but its strong financial performance and expected growth potential make it a solid investment option in the Human Resource &amp; Employment Services industry. Investors should closely monitor the company's future earnings reports and industry trends to make informed investment decisions."</t>
  </si>
  <si>
    <t>WBA,75.0,"Walgreens Boots Alliance (WBA) is a leading drug retail company with a recent market cap of $18.47B and an enterprise value of $51.26B. The company has a trailing P/E ratio of 5.98 and a forward P/E ratio of 6.40, indicating that the stock is currently undervalued. However, the PEG ratio of 6.34 suggests that the stock may be overvalued in the long term.</t>
  </si>
  <si>
    <t>Overall, WBA's financial data suggests that the stock may be undervalued, but investors should closely monitor the company's debt levels and long-term growth potential."</t>
  </si>
  <si>
    <t>WAT,75.0,"Waters Corporation is a leading company in the Life Sciences Tools &amp; Services industry with a recent market cap of 17.12B and an enterprise value of 19.37B. The company has a trailing P/E ratio of 26.37 and a forward P/E ratio of 23.26, indicating a relatively high valuation. However, the PEG ratio of 3.49 suggests that the stock may be overvalued compared to its expected growth rate.</t>
  </si>
  <si>
    <t>Overall, Waters Corporation appears to be a strong company in a growing industry, but its current valuation may be a cause for concern. Investors should carefully consider the company's financial data and industry trends before making any investment decisions."</t>
  </si>
  <si>
    <t>WELL,75.0,"Welltower, a leading Health Care REIT, has a recent market cap of $48.38B and an enterprise value of $62.00B. The company's trailing P/E ratio is 164.94 and its forward P/E ratio is 71.43, indicating a potential overvaluation. However, its PEG ratio of 1.78 suggests a reasonable valuation based on its expected growth. Welltower's price/sales ratio of 6.85 and price/book ratio of 2.11 are also in line with industry averages. Its enterprise value/revenue ratio of 9.68 and enterprise value/EBITDA ratio of 27.39 may indicate a slightly higher valuation compared to its peers.</t>
  </si>
  <si>
    <t>Overall, Welltower appears to be a solid company with a strong market position in the health care REIT industry. However, investors should carefully consider the potential risks and uncertainties before making any investment decisions."</t>
  </si>
  <si>
    <t>WST,75.0,"West Pharmaceutical Services is a leading company in the Health Care Supplies industry with a recent market cap of 25.37B and an enterprise value of 24.78B. The company has a trailing P/E ratio of 46.22 and a forward P/E ratio of 39.22, indicating a relatively high valuation. The PEG ratio, which takes into account the company's expected growth, is also on the higher side at 5.60. However, the company's price/sales and price/book ratios are in line with industry averages.</t>
  </si>
  <si>
    <t>Overall, West Pharmaceutical Services appears to be a solid company with a strong market position and healthy financials. However, the high valuation and debt levels may be a cause for concern. Investors should closely monitor the company's performance and industry trends before making any investment decisions."</t>
  </si>
  <si>
    <t>WRK,75.0,"WestRock is a leading company in the Paper &amp; Plastic Packaging Products &amp; Materials industry with a recent market cap of 10.45B and an enterprise value of 18.64B. The company has a trailing P/E ratio of 12.56 and a forward P/E ratio of 16.31, indicating a potential undervaluation of the stock. The PEG ratio of 1.49 suggests that the stock may be slightly overvalued in relation to its expected growth. However, the price/sales ratio of 0.51 and price/book ratio of 1.04 indicate that the stock may be undervalued in comparison to its industry peers.</t>
  </si>
  <si>
    <t>Overall, WestRock's financial data suggests that the stock may be undervalued in comparison to its industry peers. However, investors should closely monitor the company's future earnings and growth potential to make informed investment decisions."</t>
  </si>
  <si>
    <t>SHW,75.0,"Sherwin-Williams is a leading company in the specialty chemicals industry with a recent market cap of 73.39B and an enterprise value of 84.76B. The company has a trailing P/E ratio of 30.70 and a forward P/E ratio of 25.84, indicating a positive outlook for future earnings. However, the PEG ratio of 2.69 suggests that the stock may be slightly overvalued. The price/sales ratio of 3.23 and price/book ratio of 19.41 also indicate a premium valuation for the company. The enterprise value/revenue ratio of 3.68 and enterprise value/EBITDA ratio of 20.28 suggest that the company may be slightly overvalued compared to its peers in the industry.</t>
  </si>
  <si>
    <t>Overall, Sherwin-Williams has a strong market position and a positive outlook for future earnings. However, the current valuation may be a concern for some investors. Therefore, it is recommended to closely monitor the company's financial performance and industry trends before making any investment decisions."</t>
  </si>
  <si>
    <t>SPG,75.0,"Simon Property Group (SPG) is a leading retail real estate investment trust (REIT) with a strong presence in the United States and international markets. The recent financial data for the company shows a market cap of $42.98B and an enterprise value of $67.66B. The trailing P/E ratio is 19.54 and the forward P/E ratio is 22.57, indicating a relatively high valuation for the stock. The PEG ratio of 13.11 suggests that the stock may be overvalued compared to its expected growth rate. Additionally, the price/sales ratio of 7.79 and price/book ratio of 14.76 also indicate a premium valuation for the stock.</t>
  </si>
  <si>
    <t>Overall, while the high valuation may be a concern for some investors, Simon Property Group remains a solid investment option in the retail REIT industry. The company's strong financials and market position make it a stable and potentially profitable investment for the long term."</t>
  </si>
  <si>
    <t>IEX,75.0,"IDEX Corporation is a leading company in the Industrial Machinery &amp; Supplies &amp; Components industry with a recent market cap of 15.47B and an enterprise value of 16.35B. The company has a trailing P/E ratio of 25.16 and a forward P/E ratio of 24.04, indicating a relatively high valuation. However, the PEG ratio of 2.19 suggests that the stock may still have room for growth.</t>
  </si>
  <si>
    <t>Overall, IDEX Corporation appears to be a solid company with a strong market position and steady financials. However, the current valuation may be a concern for potential investors. It is important to closely monitor the company's performance and future growth prospects before making any investment decisions."</t>
  </si>
  <si>
    <t>IDXX,75.0,"Idexx Laboratories is a leading company in the Health Care Equipment industry with a recent market cap of 43.32B and an enterprise value of 44.12B. The company has a trailing P/E ratio of 53.17 and a forward P/E ratio of 51.81, indicating a relatively high valuation. The PEG ratio, which takes into account the company's expected growth, is at 5.15, suggesting that the stock may be overvalued. Additionally, the price/sales ratio of 12.20 and price/book ratio of 33.39 also indicate a high valuation.</t>
  </si>
  <si>
    <t>Considering the recent financial data and industry trends, Idexx Laboratories has the potential for long-term growth. However, the current valuation may be a concern for some investors. Therefore, it is recommended to closely monitor the company's financial performance and valuation metrics before making any investment decisions."</t>
  </si>
  <si>
    <t>ITW,75.0,"Illinois Tool Works (ITW) is a leading company in the Industrial Machinery &amp; Supplies &amp; Components industry with a recent market cap of $74.29B and an enterprise value of $81.36B. The company has a trailing P/E ratio of 23.97 and a forward P/E ratio of 23.53, indicating a relatively high valuation. However, the PEG ratio of 2.72 suggests that the stock may be undervalued compared to its expected earnings growth.</t>
  </si>
  <si>
    <t>Overall, ITW's financial data suggests that the stock may be slightly overvalued, but its strong financial position and expected earnings growth could make it a good long-term investment. However, investors should closely monitor any potential changes in the industry and the company's financial performance."</t>
  </si>
  <si>
    <t>ILMN,75.0,"Illumina is a leading company in the Life Sciences Tools &amp; Services industry with a recent market cap of 18.11B and an enterprise value of 19.45B. The company's latest financial data shows a forward P/E ratio of 107.53, which is higher than the industry average. However, Illumina's price/sales ratio of 4.03 and price/book ratio of 3.07 are both lower than the industry average, indicating potential undervaluation. Additionally, the company's enterprise value/revenue ratio of 4.36 is also lower than the industry average, suggesting a potential opportunity for growth.</t>
  </si>
  <si>
    <t>Overall, Illumina's financial data suggests a mixed outlook for the company. While there are potential opportunities for growth, there are also some concerns to consider. Investors should carefully evaluate the company's financial performance and future prospects before making any investment decisions."</t>
  </si>
  <si>
    <t>INTC,75.0,"Intel, a leading company in the semiconductor industry, has a recent market cap of 174.04B and an enterprise value of 197.89B. The company's forward P/E ratio is 22.83, and its PEG ratio (5 yr expected) is 1.10. With a price/sales ratio of 3.25 and a price/book ratio of 1.71, Intel's valuation appears to be reasonable. However, its enterprise value/revenue ratio of 3.74 and enterprise value/EBITDA ratio of 23.80 may indicate that the company is slightly overvalued.</t>
  </si>
  <si>
    <t>Overall, Intel appears to be in a stable financial position with potential for growth in the future. However, investors should closely monitor the company's performance and industry developments before making any investment decisions."</t>
  </si>
  <si>
    <t>INTU,75.0,"Intuit, a leading company in the Application Software industry, has a recent market cap of 158.54B and an enterprise value of 162.71B. The company's trailing P/E ratio is 62.03 and its forward P/E ratio is 34.60, indicating a potential for future growth. The PEG ratio, which measures the relationship between the stock's price, earnings, and growth potential, is at 1.97, suggesting a slightly overvalued stock. Intuit's price/sales ratio of 10.86 and price/book ratio of 9.33 are also higher than the industry average, indicating a premium valuation. However, the company's enterprise value/revenue ratio of 11.03 and enterprise value/EBITDA ratio of 38.04 are in line with industry standards.</t>
  </si>
  <si>
    <t>Overall, Intuit has a stable financial position and a positive outlook for future growth. However, the company's premium valuation may be a concern for some investors. It is important to closely monitor the company's financial performance and market trends before making any investment decisions."</t>
  </si>
  <si>
    <t>T,75.0,"AT&amp;T is a leading company in the Integrated Telecommunication Services industry with a recent market cap of $121.12B and an enterprise value of $269.31B. The company's forward P/E ratio of 6.78 and PEG ratio of 10.93 suggest that it may be undervalued compared to its expected growth. Additionally, its price/sales ratio of 1.02 and price/book ratio of 1.17 indicate that the stock may be trading at a discount. However, its enterprise value/revenue ratio of 2.21 and enterprise value/EBITDA ratio of 14.28 are slightly higher than the industry average, which may be a cause for concern.</t>
  </si>
  <si>
    <t>Overall, AT&amp;T's financial data and recent news suggest that the company may have potential for growth in the near future. However, investors should carefully monitor industry developments and the company's financial performance before making any investment decisions."</t>
  </si>
  <si>
    <t>ATO,75.0,"Atmos Energy is a gas utility company with a recent market cap of 17.04B and an enterprise value of 24.06B. The company has a trailing P/E ratio of 18.81 and a forward P/E ratio of 17.70, indicating a relatively fair valuation. However, the PEG ratio of 2.43 suggests that the stock may be slightly overvalued compared to its expected growth rate. The price/sales ratio of 3.90 and price/book ratio of 1.57 also indicate a slightly higher valuation compared to its industry peers.</t>
  </si>
  <si>
    <t>Overall, Atmos Energy appears to be a stable and well-established company in the gas utilities industry. However, investors should closely monitor the company's financial performance and valuation metrics to make informed investment decisions."</t>
  </si>
  <si>
    <t>NXPI,75.0,"NXP Semiconductors is a leading company in the semiconductor industry with a recent market cap of 53.08B and an enterprise value of 60.43B. The company has a trailing P/E ratio of 19.10 and a forward P/E ratio of 13.95, indicating that the stock may be undervalued. However, the PEG ratio of 1.93 suggests that the stock may be slightly overvalued based on its expected growth rate.</t>
  </si>
  <si>
    <t>Overall, NXP Semiconductors has a strong financial position and is a leader in its industry. However, the current valuation metrics suggest that the stock may be slightly overvalued. Investors should closely monitor the company's performance and future growth prospects before making any investment decisions."</t>
  </si>
  <si>
    <t>BIIB,75.0,"Biogen, a leading biotechnology company, has been facing some challenges in the recent months. The company's latest financial data shows a market cap of 33.88B and an enterprise value of 39.30B. The trailing P/E ratio is 23.24, while the forward P/E ratio is 14.24, indicating a potential undervaluation of the stock. However, the PEG ratio of 6.24 suggests that the stock may be overvalued in the long term.</t>
  </si>
  <si>
    <t>Overall, Biogen's financial data suggests a potential investment opportunity, but investors should carefully consider the risks and uncertainties in the biotechnology industry before making any investment decisions."</t>
  </si>
  <si>
    <t>SYK,75.0,"Stryker Corporation is a leading company in the Health Care Equipment industry with a recent market cap of 109.37B and an enterprise value of 120.13B. The company has a trailing P/E ratio of 42.71 and a forward P/E ratio of 24.75, indicating a potential undervaluation of the stock. However, the PEG ratio of 2.78 suggests that the stock may be slightly overvalued in comparison to its expected growth rate. The price/sales ratio of 5.55 and price/book ratio of 6.11 are also higher than the industry average, indicating a premium valuation for the stock. The enterprise value/revenue ratio of 6.04 and enterprise value/EBITDA ratio of 25.70 are also higher than the industry average, suggesting that the stock may be overvalued.</t>
  </si>
  <si>
    <t>Based on the recent financial data and industry trends, Stryker Corporation appears to be a stable and profitable company with potential for growth. However, the premium valuation of the stock may limit its potential for short-term gains. Investors should carefully consider their investment goals and risk tolerance before making any investment decisions."</t>
  </si>
  <si>
    <t>TTWO,75.0,"Take-Two Interactive is a leading company in the Interactive Home Entertainment industry with a recent market cap of 26.76B and an enterprise value of 29.47B. The company's latest financial data shows a forward P/E ratio of 22.62 and a PEG ratio of 2.26, indicating a potential overvaluation of the stock. However, the company's price/sales ratio of 4.88 and price/book ratio of 3.17 are in line with industry averages, suggesting a fair valuation. The enterprise value/revenue ratio of 5.42 and enterprise value/EBITDA ratio of 64.81 may also raise some concerns about the company's financial health.</t>
  </si>
  <si>
    <t>Overall, Take-Two Interactive has a strong market position and a solid financial standing, but investors should carefully consider the company's valuation metrics before making any investment decisions."</t>
  </si>
  <si>
    <t>FCX,75.0,"Freeport-McMoRan (FCX) is a leading copper mining company with a market cap of $51.98B and an enterprise value of $55.64B. The firm's latest trading session saw a -0.88% drop, which was larger than the general market. This may be attributed to the recent decline in copper prices and concerns about global economic growth. However, FCX has a strong financial position with a trailing P/E of 24.17 and a forward P/E of 16.92, indicating potential for future growth. The company also has a low price-to-sales ratio of 2.30 and a solid price-to-book ratio of 3.16. Its enterprise value/revenue and enterprise value/EBITDA ratios of 2.45 and 6.65 respectively, suggest that the company is undervalued compared to its peers in the copper industry."</t>
  </si>
  <si>
    <t>HCA,75.0,"HCA Healthcare is a leading company in the Health Care Facilities industry with a recent market cap of 67.55B and an enterprise value of 107.79B. The company has a trailing P/E ratio of 12.46 and a forward P/E ratio of 12.90, indicating a relatively low valuation compared to its peers in the industry. The PEG ratio of 1.32 suggests that the stock may be undervalued, as it is trading at a lower multiple compared to its expected earnings growth rate.</t>
  </si>
  <si>
    <t>Overall, HCA Healthcare appears to be in a strong financial position with a relatively low valuation and solid revenue figures. However, investors should also consider the potential impact of regulatory changes and healthcare policies on the company's future earnings. Based on the recent financial data and industry trends, the potential investment value of HCA Healthcare for the next month is estimated to be around 75 out of 100."</t>
  </si>
  <si>
    <t>PEAK,75.0,"Healthpeak is a real estate investment trust (REIT) focused on the healthcare industry. The recent financial data for the company shows a market cap of 10.07B and an enterprise value of 16.87B. The trailing P/E ratio is 41.82 and the forward P/E ratio is 59.52, indicating a higher valuation for future earnings. The price/sales ratio is 4.66 and the price/book ratio is 1.56, which are both below the industry average. The enterprise value/revenue ratio is 7.84 and the enterprise value/EBITDA ratio is 14.04, which are also below the industry average.</t>
  </si>
  <si>
    <t>Based on the current financial data and industry trends, Healthpeak may have potential for growth in the future. However, investors should carefully monitor the company's performance and industry developments before making any investment decisions."</t>
  </si>
  <si>
    <t>HSY,75.0,"Hershey's, a leading company in the Packaged Foods &amp; Meats industry, has shown strong financial performance in recent years. With a market cap of 38.69B and an enterprise value of 43.45B, the company has a solid financial foundation. Its trailing P/E ratio of 20.39 and forward P/E ratio of 18.52 indicate that the company is currently trading at a reasonable valuation. However, its PEG ratio of 3.01 suggests that the stock may be slightly overvalued compared to its expected growth rate.</t>
  </si>
  <si>
    <t>Overall, Hershey's has a strong financial position and is well-positioned in the Packaged Foods &amp; Meats industry. However, investors should closely monitor the company's growth and profitability in the coming months to make informed investment decisions."</t>
  </si>
  <si>
    <t>HD,75.0,"Home Depot (The) is a leading company in the Home Improvement Retail industry with a recent market cap of 324.56B and an enterprise value of 371.76B. The company has a trailing P/E ratio of 20.90 and a forward P/E ratio of 20.37, indicating a relatively stable valuation. However, the PEG ratio of 2.00 suggests that the stock may be slightly overvalued compared to its expected growth rate.</t>
  </si>
  <si>
    <t>PM,75.0,"Philip Morris International (PM) is a leading tobacco company with a strong global presence. The recent financial data shows a market cap of $141.42B and an enterprise value of $186.12B. The trailing P/E ratio is 17.69 and the forward P/E ratio is 13.95, indicating a potential undervaluation of the stock. The PEG ratio of 2.53 suggests that the stock may be slightly overvalued based on its expected growth rate. However, the price/sales ratio of 4.13 and the enterprise value/revenue ratio of 5.43 are in line with industry averages, indicating a fair valuation.</t>
  </si>
  <si>
    <t>Overall, Philip Morris International appears to be a stable and profitable company with a fair valuation. However, investors should carefully consider the potential risks and challenges facing the tobacco industry before making any investment decisions."</t>
  </si>
  <si>
    <t>POOL,75.0,"Pool Corporation (POOL) is a leading distributor of swimming pool supplies, equipment, and related leisure products. The company has a strong financial position with a recent market cap of $14.02B and an enterprise value of $15.27B. Its trailing P/E ratio of 26.12 and forward P/E ratio of 24.51 suggest that the stock may be slightly overvalued, but still within a reasonable range. Additionally, its price/sales ratio of 2.52 and price/book ratio of 9.89 indicate that the stock may be trading at a premium compared to its industry peers.</t>
  </si>
  <si>
    <t>Overall, Pool Corporation has a strong financial position and is well-positioned in the swimming pool industry. However, investors should closely monitor the company's profitability and potential impacts from external factors. Based on the recent financial data and industry trends, the potential investment value for Pool Corporation in the next month is estimated to be around 75 out of 100."</t>
  </si>
  <si>
    <t>PEG,75.0,"Public Service Enterprise Group (PSEG) is a leading electric utility company with a strong presence in the Northeastern United States. The recent financial data for PSEG shows a market cap of $31.49B and an enterprise value of $51.34B. The trailing P/E ratio is 11.26, while the forward P/E ratio is 17.21, indicating potential growth in the future. The PEG ratio of 1.59 suggests that the stock may be undervalued compared to its expected growth rate. The price/sales ratio of 2.69 and price/book ratio of 2.08 are in line with industry averages, indicating a fair valuation. However, the enterprise value/revenue ratio of 4.36 and enterprise value/EBITDA ratio of 9.57 are slightly higher than industry averages, suggesting that the stock may be slightly overvalued.</t>
  </si>
  <si>
    <t>PSEG has been performing well in the electric utilities industry, with a strong focus on renewable energy and a commitment to reducing carbon emissions. The company has also been investing in infrastructure upgrades and modernization to improve efficiency and reliability. However, there have been concerns about potential regulatory changes that could impact the company's operations and profitability."</t>
  </si>
  <si>
    <t>PTC,75.0,"PTC, a leading company in the Application Software industry, has a recent market cap of 19.06B and an enterprise value of 20.66B. The firm's latest trailing P/E ratio is 77.60, while the forward P/E ratio is 32.57. The PEG ratio, which measures the relationship between the stock's price, earnings, and growth potential, is at 2.54, indicating a slightly overvalued stock. The price/sales ratio is 9.10, and the price/book ratio is 7.12, both of which are higher than the industry average. The enterprise value/revenue ratio is 9.85, and the enterprise value/EBITDA ratio is 34.49.</t>
  </si>
  <si>
    <t>Overall, PTC's financial data suggests that the company is performing well, with a strong market cap and enterprise value. However, the high P/E and PEG ratios may indicate that the stock is slightly overvalued. The price/sales and price/book ratios are also higher than the industry average, which may be a cause for concern. Investors should closely monitor the company's financial performance and industry trends before making any investment decisions."</t>
  </si>
  <si>
    <t>PSA,75.0,"Public Storage is a leading self-storage REIT with a recent market cap of $47.42B and an enterprise value of $60.17B. The company has a trailing P/E ratio of 24.72 and a forward P/E ratio of 25.13, indicating a relatively high valuation. However, its price/sales ratio of 10.68 and price/book ratio of 8.24 are in line with industry averages, suggesting that the stock may not be overvalued.</t>
  </si>
  <si>
    <t>Overall, Public Storage appears to be a solid investment option in the self-storage REIT industry. While there may be some potential challenges in the near future, the company has a strong financial position and a track record of delivering positive results. Investors should closely monitor the company's performance and industry trends to make informed investment decisions."</t>
  </si>
  <si>
    <t>QRVO,75.0,"Qorvo is a leading semiconductor company with a recent market cap of 9.49B and an enterprise value of 10.84B. The company's forward P/E ratio of 13.46 and PEG ratio of 1.08 suggest that the stock may be undervalued. Qorvo's price/sales ratio of 3.12 and price/book ratio of 2.49 are also relatively low compared to industry averages, indicating potential for growth. However, the company's enterprise value/revenue ratio of 3.46 and enterprise value/EBITDA ratio of 38.23 may raise some concerns about its financial health. Overall, Qorvo's financial data suggests a mixed outlook for the company."</t>
  </si>
  <si>
    <t>DGX,75.0,"Quest Diagnostics is a leading company in the Health Care Services industry with a recent market cap of 15.17B and an enterprise value of 19.94B. The company has a trailing P/E ratio of 20.11 and a forward P/E ratio of 14.95, indicating a potential undervaluation of the stock. However, the PEG ratio of 3.09 suggests that the stock may be overvalued in relation to its expected growth. The price/sales ratio of 1.66 and price/book ratio of 2.36 are both below the industry average, indicating a potential value opportunity for investors.</t>
  </si>
  <si>
    <t>RL,75.0,"Ralph Lauren Corporation is a well-established company in the Apparel, Accessories &amp; Luxury Goods industry with a recent market cap of 8.37B and an enterprise value of 9.68B. The company has a trailing P/E ratio of 16.54 and a forward P/E ratio of 12.76, indicating that the stock may be undervalued. The PEG ratio of 1.05 suggests that the stock may have growth potential in the next five years. The price/sales ratio of 1.34 and price/book ratio of 3.53 are in line with industry averages, indicating that the stock is fairly priced. However, the enterprise value/revenue ratio of 1.49 and enterprise value/EBITDA ratio of 10.36 are slightly higher than industry averages, suggesting that the stock may be slightly overvalued.</t>
  </si>
  <si>
    <t>Overall, the recent financial data of Ralph Lauren Corporation suggests that the stock may have potential for growth in the future. However, investors should closely monitor the company's performance and industry trends before making any investment decisions."</t>
  </si>
  <si>
    <t>O,75.0,"Realty Income is a real estate investment trust (REIT) that specializes in retail properties. The recent financial data for the company shows a strong market capitalization of $39.61 billion and an enterprise value of $60.18 billion. The trailing P/E ratio of 41.45 and forward P/E ratio of 42.02 suggest that the stock may be slightly overvalued. However, the PEG ratio of 7.06 indicates that the stock may have potential for future growth.</t>
  </si>
  <si>
    <t>Overall, the recent financial data for Realty Income shows a mixed picture, with some indicators pointing towards potential overvaluation and others suggesting undervaluation. Investors should closely monitor the company's performance and future earnings reports to make informed investment decisions."</t>
  </si>
  <si>
    <t>EL,75.0,"The Estée Lauder Companies (EL) is a leading player in the Personal Care Products industry with a recent market cap of $47.72B and an enterprise value of $54.76B. The company has a trailing P/E ratio of 87.16 and a forward P/E ratio of 60.98, indicating a relatively high valuation. However, its PEG ratio of 6.08 suggests that the stock may be overvalued compared to its expected earnings growth. EL's price/sales ratio of 3.10 and price/book ratio of 8.93 are also higher than the industry average, indicating a premium for the stock. Its enterprise value/revenue ratio of 3.53 and enterprise value/EBITDA ratio of 29.08 are also above the industry average, suggesting a higher valuation for the company.</t>
  </si>
  <si>
    <t>EL has a strong financial position with a solid balance sheet and consistent revenue growth. However, the company's high valuation and potential risks in the personal care industry, such as changing consumer preferences and increased competition, should be considered by investors."</t>
  </si>
  <si>
    <t>ETSY,75.0,"Etsy, a leading online marketplace for handmade and vintage goods, has shown strong financial performance in recent years. With a market cap of 9.53B and an enterprise value of 10.94B, the company has a solid financial foundation. Its trailing P/E ratio of 32.21 and forward P/E ratio of 21.83 indicate that the stock is currently trading at a premium, but this may be justified by its strong growth potential.</t>
  </si>
  <si>
    <t>Overall, Etsy's financial data suggests that the company is in a strong position to continue its growth trajectory. However, investors should closely monitor its earnings and future investments to assess the potential impact on its valuation."</t>
  </si>
  <si>
    <t>NWSA,75.0,"News Corp (Class A) is a global media and publishing company with a market cap of 12.61B and an enterprise value of 15.24B. The recent financial data shows a trailing P/E ratio of 90.75 and a forward P/E ratio of 27.32, indicating a potential overvaluation of the stock. However, the PEG ratio of 1.18 suggests that the stock may still have growth potential.</t>
  </si>
  <si>
    <t>Overall, the financial data and industry trends suggest that News Corp (Class A) may be a potential investment opportunity. However, investors should closely monitor the company's performance and industry developments before making any investment decisions."</t>
  </si>
  <si>
    <t>NWS,75.0,"News Corp (Class B) is a global media and publishing company with a market cap of 12.61B and an enterprise value of 15.24B. The company's latest financial data shows a trailing P/E ratio of 95.12 and a forward P/E ratio of 28.65, indicating a potential undervaluation of the stock. The PEG ratio of 1.23 suggests that the stock may be trading at a discount compared to its expected earnings growth.</t>
  </si>
  <si>
    <t>Overall, News Corp's financial data and recent developments in the industry suggest a potential investment opportunity. However, investors should closely monitor the company's performance and industry trends before making any investment decisions."</t>
  </si>
  <si>
    <t>NKE,75.0,"Nike, Inc. is a leading company in the Apparel, Accessories &amp; Luxury Goods industry with a recent market cap of 176.71B and an enterprise value of 180.10B. The company has a trailing P/E ratio of 35.84 and a forward P/E ratio of 31.35, indicating a relatively high valuation. However, its PEG ratio of 2.11 suggests that the stock may still have room for growth.</t>
  </si>
  <si>
    <t>Overall, while Nike's valuation may be on the higher side, its strong brand and potential for future growth make it a solid investment option in the Apparel, Accessories &amp; Luxury Goods industry."</t>
  </si>
  <si>
    <t>NDSN,75.0,"Nordson Corporation is a leading company in the Industrial Machinery &amp; Supplies &amp; Components industry with a recent market cap of 13.75B and an enterprise value of 14.56B. The company has a trailing P/E ratio of 27.78 and a forward P/E ratio of 24.51, indicating a potential undervaluation of the stock. However, the PEG ratio of 2.35 suggests that the stock may be slightly overvalued based on its expected growth rate. The price/sales ratio of 5.37 and price/book ratio of 5.33 are both higher than the industry average, indicating a premium valuation for the stock. The enterprise value/revenue ratio of 5.62 and enterprise value/EBITDA ratio of 18.77 are also higher than the industry average, suggesting that the stock may be overvalued based on its revenue and earnings. Overall, the financial data suggests that Nordson Corporation may be slightly overvalued, but it is still a strong company with solid financials."</t>
  </si>
  <si>
    <t>NSC,75.0,"Norfolk Southern Railway (NSC) is a leading transportation company in the rail industry with a recent market cap of $51.58B and an enterprise value of $66.66B. The company has a trailing P/E ratio of 24.98 and a forward P/E ratio of 17.54, indicating a potential undervaluation of the stock. However, the PEG ratio of 4.73 suggests that the stock may be overvalued in relation to its expected growth.</t>
  </si>
  <si>
    <t>Recent news in the rail transportation industry, such as the ongoing trade tensions and potential infrastructure investments, may impact NSC's performance in the next month. However, the company's strong financials and market position make it a stable investment option in the long term."</t>
  </si>
  <si>
    <t>NCLH,75.0,"Norwegian Cruise Line Holdings (NCLH) is a leading player in the Hotels, Resorts &amp; Cruise Lines industry with a recent market cap of 7.73B and an enterprise value of 20.93B. The company has a trailing P/E ratio of 3.81 and a forward P/E ratio of 12.63, indicating a potential undervaluation in the stock. However, the price-to-sales ratio of 1.01 and price-to-book ratio of 17.63 suggest that the stock may be slightly overvalued.</t>
  </si>
  <si>
    <t>Based on the current financial data and industry trends, NCLH may be a potential investment opportunity for investors looking for undervalued stocks in the travel sector. However, it is important to closely monitor the company's financial performance and any potential risks in the market."</t>
  </si>
  <si>
    <t>NRG,75.0,"NRG Energy is a leading company in the Independent Power Producers &amp; Energy Traders industry with a recent market cap of 10.73B and an enterprise value of 22.88B. The company's forward P/E ratio of 7.05 and PEG ratio of 3.21 suggest that the stock may be undervalued. Additionally, NRG Energy's price/sales ratio of 0.37 and price/book ratio of 3.74 indicate that the stock may be trading at a discount compared to its peers in the industry. However, the company's enterprise value/revenue ratio of 0.77 and enterprise value/EBITDA ratio of -44.08 may raise some concerns about its financial health.</t>
  </si>
  <si>
    <t>Overall, NRG Energy appears to be in a stable financial position with potential for growth in the future. However, investors should closely monitor the company's financial data and industry developments before making any investment decisions."</t>
  </si>
  <si>
    <t>EXC,75.0,"Exelon, a leading company in the Multi-Utilities industry, has a recent market cap of 39.24B and an enterprise value of 82.14B. The company's trailing P/E ratio is 18.33 and its forward P/E ratio is 15.65, indicating a potential undervaluation. However, the PEG ratio of 2.33 suggests that the stock may be slightly overvalued based on its expected growth. Exelon's price/sales ratio of 1.87 and price/book ratio of 1.54 are both below the industry average, indicating a potential value opportunity. The company's enterprise value/revenue ratio of 3.91 and enterprise value/EBITDA ratio of 10.83 are also below the industry average, suggesting a potential undervaluation.</t>
  </si>
  <si>
    <t>Overall, Exelon's financial data suggests a mixed outlook for the company. While some ratios indicate potential undervaluation, others suggest a slightly overvalued stock. Investors should closely monitor the company's performance and industry trends before making any investment decisions."</t>
  </si>
  <si>
    <t>EXR,75.0,"Extra Space Storage is a self-storage REIT company with a recent market cap of 28.86B and an enterprise value of 39.84B. The company has a trailing P/E ratio of 25.78 and a forward P/E ratio of 25.51, indicating a relatively high valuation. The PEG ratio, which measures the relationship between the stock's price, earnings, and growth potential, is at 14.76, suggesting that the stock may be overvalued. The price/sales ratio of 9.14 and price/book ratio of 1.99 also indicate a higher valuation compared to industry peers.</t>
  </si>
  <si>
    <t>Overall, while the company's valuation may be on the higher side, its strong financials and growth potential make it a solid investment option in the self-storage REIT industry."</t>
  </si>
  <si>
    <t>FFIV,75.0,"F5, Inc. is a leading company in the Communications Equipment industry with a recent market cap of 10.07B and an enterprise value of 9.54B. The firm has a trailing P/E ratio of 25.75 and a forward P/E ratio of 13.48, indicating a potential undervaluation of the stock. However, the PEG ratio of 2.01 suggests that the stock may be slightly overvalued in relation to its expected growth. The price/sales ratio of 3.61 and price/book ratio of 3.60 are both in line with industry averages, indicating a fair valuation. The enterprise value/revenue ratio of 3.39 and enterprise value/EBITDA ratio of 14.66 also suggest a fair valuation for the company.</t>
  </si>
  <si>
    <t>Overall, F5, Inc. appears to be a solid company with a fair valuation and potential for growth. Investors should closely monitor the company's financial performance and industry trends before making any investment decisions."</t>
  </si>
  <si>
    <t>FICO,75.0,"Fair Isaac, a leading company in the Application Software industry, has a recent market cap of 27.47B and an enterprise value of 29.24B. The company's trailing P/E ratio is 65.66, while the forward P/E ratio is 45.05, indicating a potential for future growth. The PEG ratio, which measures the company's valuation relative to its expected earnings growth, is at 2.38, suggesting that the stock may be slightly overvalued. The price/sales ratio of 18.63 and the enterprise value/revenue ratio of 19.32 also indicate a relatively high valuation for the company. However, the enterprise value/EBITDA ratio of 44.04 is in line with the industry average, indicating that the company is generating strong earnings.</t>
  </si>
  <si>
    <t>Overall, Fair Isaac's financial data suggests that the company is performing well and has potential for future growth. However, investors should closely monitor the company's valuation and earnings growth to make informed investment decisions."</t>
  </si>
  <si>
    <t>FAST,75.0,"Fastenal is a leading company in the building products industry with a recent market cap of 35.51B and an enterprise value of 35.75B. The company has a trailing P/E ratio of 31.38 and a forward P/E ratio of 28.90, indicating a relatively high valuation. The PEG ratio, which measures the relationship between the stock price, earnings, and expected growth, is at 3.38, suggesting that the stock may be overvalued. Additionally, the price/sales ratio of 4.89 and price/book ratio of 10.24 also indicate a higher valuation compared to industry peers.</t>
  </si>
  <si>
    <t>Overall, Fastenal has a strong financial position and a solid market presence, but its current valuation may be a concern for investors. Therefore, it is recommended to closely monitor the company's financial performance and industry trends before making any investment decisions."</t>
  </si>
  <si>
    <t>FITB,75.0,"Recent News:</t>
  </si>
  <si>
    <t>Overall, Fifth Third Bank appears to be in a stable financial position with potential for growth. However, investors should closely monitor the impact of external factors on the bank's performance."</t>
  </si>
  <si>
    <t>MSI,75.0,"Motorola Solutions is a leading company in the Communications Equipment industry with a recent market cap of 53.52B and an enterprise value of 59.11B. The firm has a trailing P/E ratio of 32.61 and a forward P/E ratio of 25.00, indicating a potential undervaluation of the stock. The PEG ratio of 2.19 suggests that the stock may be slightly overvalued in relation to its expected growth. However, the price/sales ratio of 5.64 and price/book ratio of 147.84 are both higher than the industry average, indicating a premium valuation for the stock. The enterprise value/revenue ratio of 6.01 and enterprise value/EBITDA ratio of 21.78 also suggest a higher valuation for the company compared to its peers.</t>
  </si>
  <si>
    <t>Overall, Motorola Solutions has a strong financial position and is well-positioned in the market. The recent surge in demand for communication equipment due to the rise of remote work and virtual communication may provide a boost to the company's revenue and earnings. However, investors should closely monitor any potential regulatory changes and geopolitical tensions that may impact the company's operations."</t>
  </si>
  <si>
    <t>K,75.0,"Kellanova, a company in the Packaged Foods &amp; Meats industry, has a recent market cap of 18.40B and an enterprise value of 24.97B. The trailing P/E ratio is 22.57 and the forward P/E ratio is 13.62, indicating a potential undervaluation of the stock. The PEG ratio, which measures the stock's valuation relative to its expected growth, is at 4.22, suggesting that the stock may be overvalued. The price/sales ratio is at 1.17 and the price/book ratio is at 4.56, both of which are slightly higher than the industry average. The enterprise value/revenue ratio is at 1.57 and the enterprise value/EBITDA ratio is at 13.42, indicating that the company may be slightly overvalued compared to its peers.</t>
  </si>
  <si>
    <t>Overall, Kellanova appears to be a solid company with a strong market position and potential for growth. However, investors should carefully consider the current valuation and potential risks before making any investment decisions."</t>
  </si>
  <si>
    <t>KMI,75.0,"Kinder Morgan is a leading company in the Oil &amp; Gas Storage &amp; Transportation industry with a recent market cap of $38.97B and an enterprise value of $69.89B. The company has a trailing P/E ratio of 16.08 and a forward P/E ratio of 14.18, indicating that the stock may be undervalued. However, the PEG ratio of 3.46 suggests that the stock may be overvalued in relation to its expected growth. The price/sales ratio of 2.47 and price/book ratio of 1.29 also indicate that the stock may be undervalued.</t>
  </si>
  <si>
    <t>Overall, Kinder Morgan appears to be a solid investment opportunity in the Oil &amp; Gas Storage &amp; Transportation industry. The company has a strong market position and solid financial performance, but investors should carefully consider the potential risks associated with its high debt levels. Based on the recent financial data and industry trends, the potential investment value of Kinder Morgan for the next month is estimated to be around 75 out of 100."</t>
  </si>
  <si>
    <t>KHC,75.0,"Kraft Heinz is a leading company in the Packaged Foods &amp; Meats industry with a recent market cap of $44.40B and an enterprise value of $63.23B. The company has a trailing P/E ratio of 14.96 and a forward P/E ratio of 12.17, indicating that the stock may be undervalued. The PEG ratio of 0.76 also suggests that the stock may have growth potential. However, the price/sales ratio of 1.64 and price/book ratio of 0.90 are slightly higher than the industry average, which may indicate that the stock is currently overvalued.</t>
  </si>
  <si>
    <t>Overall, Kraft Heinz appears to be a stable company with potential for growth. However, investors should closely monitor the company's financial performance and industry trends before making any investment decisions."</t>
  </si>
  <si>
    <t>LMT,75.0,"Lockheed Martin is a leading aerospace and defense company with a recent market cap of $111.50B and an enterprise value of $125.34B. The company has a trailing P/E ratio of 16.45 and a forward P/E ratio of 16.78, indicating a relatively low valuation compared to its industry peers. However, its PEG ratio of 2.35 suggests that the stock may be slightly overvalued based on its expected growth rate.</t>
  </si>
  <si>
    <t>Based on the current financial data and industry trends, the potential investment value of Lockheed Martin for the next month is estimated to be around 75 out of 100."</t>
  </si>
  <si>
    <t>DG,75.0,"Dollar General is a leading company in the Consumer Staples Merchandise Retail industry with a recent market cap of 29.39B and an enterprise value of 47.08B. The company has a trailing P/E ratio of 13.72 and a forward P/E ratio of 17.06, indicating a potential undervaluation of the stock. However, the PEG ratio of 6.44 suggests that the stock may be overvalued in relation to its expected growth. The price/sales ratio of 0.77 and price/book ratio of 4.67 also indicate a potential undervaluation of the stock. The enterprise value/revenue ratio of 1.21 and enterprise value/EBITDA ratio of 12.11 suggest that the company may be slightly overvalued in relation to its revenue and earnings.</t>
  </si>
  <si>
    <t>Overall, Dollar General's financial data suggests that the stock may be undervalued in some aspects and overvalued in others. However, the company has a strong market position and a solid financial track record, making it a potentially attractive investment opportunity. Investors should closely monitor the company's performance and industry trends before making any investment decisions."</t>
  </si>
  <si>
    <t>RVTY,75.0,"Revvity, a company in the Health Care Equipment industry, has a recent market cap of 11.19B and an enterprise value of 13.77B. The trailing P/E ratio is 53.32 and the forward P/E ratio is 18.52, indicating a potential undervaluation of the stock. However, the PEG ratio of 6.15 suggests that the stock may be overvalued in relation to its expected growth. The price/sales ratio of 4.07 and price/book ratio of 1.45 also indicate a potential undervaluation. The enterprise value/revenue ratio of 4.93 and enterprise value/EBITDA ratio of 16.85 are in line with industry averages.</t>
  </si>
  <si>
    <t>Overall, Revvity appears to be a financially stable company with a strong market position. However, investors should closely monitor the company's expected growth and potential regulatory changes in the health care industry. Based on the current financial data, Revvity may be a potential investment opportunity for the next month."</t>
  </si>
  <si>
    <t>ROK,75.0,"Rockwell Automation is a leading company in the Electrical Components &amp; Equipment industry with a recent market cap of 31.89B and an enterprise value of 34.15B. The company has a trailing P/E ratio of 23.27 and a forward P/E ratio of 20.83, indicating a positive outlook for future earnings. However, the PEG ratio of 2.16 suggests that the stock may be slightly overvalued compared to its expected growth rate. The price/sales ratio of 3.55 and price/book ratio of 8.95 also indicate a relatively high valuation for the company.</t>
  </si>
  <si>
    <t>Overall, Rockwell Automation appears to be a solid company with a positive outlook for future earnings. However, the stock may be slightly overvalued at its current price. Investors should closely monitor the company's financial performance and market trends before making any investment decisions."</t>
  </si>
  <si>
    <t>WHR,75.0,"Whirlpool Corporation is a leading household appliances company with a recent market cap of 5.99B and an enterprise value of 13.12B. The company has a trailing P/E ratio of 12.72 and a forward P/E ratio of 7.12, indicating a relatively low valuation compared to its industry peers. Whirlpool also has a low price-to-sales ratio of 0.31 and a price-to-book ratio of 2.90, suggesting that the stock may be undervalued.</t>
  </si>
  <si>
    <t>Overall, Whirlpool Corporation appears to be in a stable financial position with a strong market presence. However, investors should closely monitor the company's debt levels and its ability to generate revenue and earnings in the coming months."</t>
  </si>
  <si>
    <t>MMC,75.0,"Marsh McLennan is a leading insurance brokerage and risk management firm with a strong global presence. The recent financial data for the company shows a market cap of $96.36B and an enterprise value of $109.06B. The trailing P/E ratio is 28.16 and the forward P/E ratio is 22.78, indicating a relatively high valuation for the company. The PEG ratio of 2.15 suggests that the stock may be slightly overvalued compared to its expected growth rate.</t>
  </si>
  <si>
    <t>Overall, the financial data suggests that Marsh McLennan may be slightly overvalued compared to its peers in the insurance brokers industry. However, the company's strong global presence and solid financial performance make it a stable and reliable investment option."</t>
  </si>
  <si>
    <t>MCHP,75.0,"Microchip Technology is a leading company in the semiconductor industry with a recent market cap of 45.26B and an enterprise value of 51.12B. The company has a trailing P/E ratio of 18.35 and a forward P/E ratio of 18.28, indicating a relatively stable valuation. However, the PEG ratio of 5.86 suggests that the stock may be slightly overvalued compared to its expected growth rate. The price/sales ratio of 5.17 and price/book ratio of 6.50 also indicate a higher valuation compared to its industry peers.</t>
  </si>
  <si>
    <t>Overall, Microchip Technology has a solid financial position and is a leader in the semiconductor industry. However, the company's valuation may be slightly high compared to its peers. Investors should closely monitor the company's financial performance and industry trends before making any investment decisions."</t>
  </si>
  <si>
    <t>ROL,75.0,"Rollins, Inc. is a leading company in the Environmental &amp; Facilities Services industry with a recent market cap of 20.01B and an enterprise value of 20.78B. The company has a trailing P/E ratio of 49.82 and a forward P/E ratio of 38.31, indicating a potential for future growth. However, the PEG ratio of 2.71 suggests that the stock may be slightly overvalued. The price/sales ratio of 6.83 and price/book ratio of 18.15 also indicate a premium valuation for the stock.</t>
  </si>
  <si>
    <t>Overall, Rollins, Inc. has a solid financial standing and a positive outlook for the future. However, investors should closely monitor the company's performance and industry trends to make informed investment decisions."</t>
  </si>
  <si>
    <t>CDNS,75.0,"Cadence Design Systems is a leading company in the Application Software industry with a recent market cap of 70.10B and an enterprise value of 69.79B. The company has a trailing P/E ratio of 73.41 and a forward P/E ratio of 43.67, indicating a potential for future growth. However, the PEG ratio of 2.52 suggests that the stock may be slightly overvalued. The price/sales ratio of 17.93 and price/book ratio of 22.51 also indicate a premium valuation for the stock. The enterprise value/revenue ratio of 17.80 and enterprise value/EBITDA ratio of 53.32 suggest that the company may be slightly overvalued compared to its peers in the industry.</t>
  </si>
  <si>
    <t>Recent news in the industry, such as the rise of generative AI models and the potential for increased regulation in the tech sector, may have an impact on Cadence Design Systems' stock performance in the next month. Additionally, the company's financials and market trends should also be closely monitored."</t>
  </si>
  <si>
    <t>CCL,75.0,"Carnival, a leading company in the Hotels, Resorts &amp; Cruise Lines industry, has faced significant challenges in the recent years due to the COVID-19 pandemic. However, with the latest news of the removal of COVID-19 restrictions and the availability of vaccines, the company's prospects are looking more positive.</t>
  </si>
  <si>
    <t>Overall, Carnival's financial data and recent news suggest that the company may have potential for growth in the near future. However, investors should closely monitor the company's performance and the impact of any potential geopolitical tensions or regulatory changes on the cruise industry."</t>
  </si>
  <si>
    <t>STX,75.0,"Seagate Technology is a leading company in the Technology Hardware, Storage &amp; Peripherals industry with a recent market cap of 16.28B and an enterprise value of 21.15B. The company's forward P/E ratio of 166.67 and PEG ratio of 1.54 suggest that the stock may be overvalued. However, its price/sales ratio of 2.37 and enterprise value/revenue ratio of 3.11 are in line with industry averages, indicating a fair valuation.</t>
  </si>
  <si>
    <t>Overall, Seagate Technology appears to be a solid company with a fair valuation and strong financials. However, investors should closely monitor industry trends and the company's performance in the coming month to make informed investment decisions."</t>
  </si>
  <si>
    <t>CTAS,75.0,"Cintas is a leading company in the Diversified Support Services industry with a recent market cap of 56.11B and an enterprise value of 58.69B. The company has a trailing P/E ratio of 41.42 and a forward P/E ratio of 38.46, indicating a relatively high valuation. However, the PEG ratio of 3.72 suggests that the stock may be undervalued compared to its expected growth rate.</t>
  </si>
  <si>
    <t>Overall, Cintas has a strong financial position and is expected to continue its growth trajectory in the Diversified Support Services industry. However, the current valuation may be a concern for some investors. It is important to closely monitor the company's financial performance and market trends before making any investment decisions."</t>
  </si>
  <si>
    <t>COO,75.0,"CooperCompanies is a leading company in the Health Care Supplies industry with a recent market cap of 16.97B and an enterprise value of 19.44B. The company has a trailing P/E ratio of 61.95 and a forward P/E ratio of 23.87, indicating a potential undervaluation of the stock. However, the PEG ratio of 2.33 suggests that the stock may be slightly overvalued based on its expected growth rate.</t>
  </si>
  <si>
    <t>Overall, based on the recent financial data and industry trends, CooperCompanies appears to be a solid investment option in the Health Care Supplies industry. However, investors should carefully monitor the company's performance and industry developments before making any investment decisions."</t>
  </si>
  <si>
    <t>AAL,75.0,"American Airlines Group (AAL) is a major player in the passenger airlines industry, with a recent market cap of 8.81B and an enterprise value of 39.43B. The company has a trailing P/E ratio of 5.64 and a forward P/E ratio of 4.69, indicating that the stock may be undervalued. Additionally, the PEG ratio of 0.05 suggests that the stock may be a good value for long-term investors.</t>
  </si>
  <si>
    <t>Based on the current financial data and industry trends, American Airlines Group may be a good investment opportunity for long-term investors. However, the company's high debt levels and potential for continued volatility due to the pandemic should be taken into consideration."</t>
  </si>
  <si>
    <t>AWK,75.0,"American Water Works (AWK) is a leading water utility company with a recent market cap of $25.84B and an enterprise value of $37.47B. The company has a trailing P/E ratio of 27.42 and a forward P/E ratio of 25.77, indicating a relatively high valuation. However, the PEG ratio of 3.39 suggests that the stock may be overvalued compared to its expected growth rate.</t>
  </si>
  <si>
    <t>Based on the recent financial data and industry trends, AWK may be a suitable long-term investment option for investors looking for stable and consistent returns. However, the high valuation may limit short-term upside potential. Therefore, it is recommended to closely monitor the company's financial performance and industry developments before making any investment decisions."</t>
  </si>
  <si>
    <t>AME,75.0,"Ametek, a leading company in the Electrical Components &amp; Equipment industry, has shown strong financial performance in recent years. With a market cap of 36.12B and an enterprise value of 37.43B, the company has a solid financial foundation. Its trailing P/E ratio of 28.35 and forward P/E ratio of 23.53 indicate that the company is currently trading at a reasonable valuation. However, its PEG ratio of 2.35 suggests that the stock may be slightly overvalued compared to its expected growth rate.</t>
  </si>
  <si>
    <t>AAPL,75.0,"Apple Inc. is a leading company in the Technology Hardware, Storage &amp; Peripherals industry with a recent market cap of 2.99 trillion and an enterprise value of 3.04 trillion. The company has a strong financial position with a trailing P/E ratio of 31.38 and a forward P/E ratio of 29.15, indicating potential growth in the future. However, the PEG ratio of 2.31 suggests that the stock may be slightly overvalued. The price/sales ratio of 7.94 and price/book ratio of 48.14 also indicate a premium valuation for the stock. The enterprise value/revenue ratio of 7.94 and enterprise value/EBITDA ratio of 23.54 suggest that the company is generating strong revenues and profits.</t>
  </si>
  <si>
    <t>Overall, Apple Inc. has a strong financial position and a dominant presence in the technology industry. However, the stock may be slightly overvalued and investors should closely monitor any potential regulatory changes and product launches in the coming month."</t>
  </si>
  <si>
    <t>UPS,75.0,"United Parcel Service (UPS) is a global leader in the air freight and logistics industry, providing a wide range of shipping and supply chain solutions to businesses and consumers. The recent financial data for UPS shows a strong market capitalization of $132.30B and an enterprise value of $150.46B. The trailing P/E ratio of 15.72 and forward P/E ratio of 15.77 suggest that the stock is currently trading at a reasonable valuation. However, the PEG ratio of 3.09 indicates that the stock may be slightly overvalued compared to its expected earnings growth.</t>
  </si>
  <si>
    <t>ZTS,75.0,"Zoetis is a leading pharmaceutical company in the animal health industry with a recent market cap of 83.56B and an enterprise value of 88.55B. The company has a trailing P/E ratio of 37.07 and a forward P/E ratio of 28.90, indicating a potential undervaluation of the stock. However, the PEG ratio of 3.04 suggests that the stock may be overvalued in relation to its expected growth rate.</t>
  </si>
  <si>
    <t>Overall, Zoetis appears to be a solid company with a strong market position and potential for growth. However, the current valuation metrics suggest that the stock may be overvalued. Therefore, investors should carefully consider their investment objectives and risk tolerance before making any investment decisions."</t>
  </si>
  <si>
    <t>TDG,75.0,"TransDigm Group is a leading company in the Aerospace &amp; Defense industry with a recent market cap of 53.30B and an enterprise value of 69.59B. The firm has a trailing P/E ratio of 43.74 and a forward P/E ratio of 29.94, indicating a potential undervaluation of the stock. However, the PEG ratio of 4.82 suggests that the stock may be overvalued in comparison to its expected growth rate. The price/sales ratio of 8.37 and enterprise value/revenue ratio of 10.57 also indicate a potential overvaluation of the stock. Additionally, the enterprise value/EBITDA ratio of 22.11 is higher than the industry average, suggesting a higher valuation for the company.</t>
  </si>
  <si>
    <t>Recent news in the Aerospace &amp; Defense industry, such as the ongoing geopolitical tensions and technological advancements, may have an impact on TransDigm Group's performance in the next month. However, the company's strong financial position and market dominance in the industry make it a stable investment option. Investors should closely monitor the company's financial reports and industry developments to make informed investment decisions."</t>
  </si>
  <si>
    <t>USB,75.0,"Enterprise Value  60.85B</t>
  </si>
  <si>
    <t>Overall, U.S. Bank's financial data suggests a stable and potentially undervalued stock. However, investors should also consider the recent news and events in the banking industry, such as potential regulatory changes and interest rate fluctuations, which may impact the company's performance in the short term."</t>
  </si>
  <si>
    <t>UNP,75.0,"Union Pacific Corporation (UNP) is a leading player in the rail transportation industry with a recent market cap of $142.02B and an enterprise value of $175.73B. The company has a trailing P/E ratio of 22.36 and a forward P/E ratio of 20.53, indicating a relatively high valuation. However, the PEG ratio of 3.95 suggests that the stock may be overvalued compared to its expected growth rate.</t>
  </si>
  <si>
    <t>Overall, while UNP's valuation may be on the higher side, the company's strong fundamentals and potential for growth in the industry make it a solid investment option for the long term."</t>
  </si>
  <si>
    <t>CSGP,75.0,"CoStar Group, a leading provider of commercial real estate information and marketing services, has been performing well in the recent market conditions. The company's latest financial data shows a strong market cap of 34.22B and an enterprise value of 30.09B. However, the trailing P/E ratio of 84.64 and the forward P/E ratio of 68.97 may indicate that the stock is currently overvalued.</t>
  </si>
  <si>
    <t>Overall, CoStar Group has a strong market position and a solid financial standing. However, the current valuation of the stock may be a cause for concern. Investors should closely monitor the company's performance and market conditions before making any investment decisions."</t>
  </si>
  <si>
    <t>CSX,75.0,"CSX is a leading company in the Rail Transportation industry with a recent market cap of 66.24B and an enterprise value of 83.75B. The firm has a trailing P/E ratio of 17.74 and a forward P/E ratio of 16.75, indicating a relatively fair valuation. However, the PEG ratio of 2.88 suggests that the stock may be slightly overvalued compared to its expected growth rate. The price/sales and price/book ratios of 4.65 and 5.54, respectively, also indicate a premium valuation.</t>
  </si>
  <si>
    <t>Overall, CSX appears to be a stable and well-performing company in the Rail Transportation industry. However, investors should closely monitor the stock's valuation and keep an eye on any potential changes in the industry that may impact the company's performance."</t>
  </si>
  <si>
    <t>WYNN,75.0,"Wynn Resorts is a leading player in the Casinos &amp; Gaming industry with a recent market cap of 9.31B and an enterprise value of 19.13B. The company has a trailing P/E ratio of 294.29 and a forward P/E ratio of 17.57, indicating a potential for future growth. The PEG ratio of 0.53 suggests that the stock may be undervalued compared to its expected earnings growth. Wynn Resorts also has a relatively low price-to-sales ratio of 1.63 and a high price-to-book ratio of 12.01, indicating a premium for its assets. However, the company's enterprise value to revenue ratio of 3.36 and enterprise value to EBITDA ratio of 13.55 suggest that it may be overvalued compared to its revenue and earnings.</t>
  </si>
  <si>
    <t>ADBE,75.0,"Adobe Inc. is a leading company in the Application Software industry with a recent market cap of 271.22B and an enterprise value of 267.80B. The company has a trailing P/E ratio of 53.57 and a forward P/E ratio of 33.22, indicating a potential for future growth. However, the PEG ratio of 2.21 suggests that the stock may be slightly overvalued. Adobe Inc. also has a high price-to-sales ratio of 14.53 and a price-to-book ratio of 17.19, which may be a concern for value investors.</t>
  </si>
  <si>
    <t>Overall, Adobe Inc. has a strong market position and potential for future growth, but investors should carefully consider the high valuation and debt levels before making any investment decisions."</t>
  </si>
  <si>
    <t>HRL,75.0,"Hormel Foods in the Packaged Foods &amp; Meats Industry</t>
  </si>
  <si>
    <t>Overall, Hormel Foods appears to be a stable and well-established company in the packaged foods and meats industry. While the stock may be slightly overvalued, its potential for future growth and strong financial performance make it a solid investment option."</t>
  </si>
  <si>
    <t>MMM,70.0,"3M is a multinational conglomerate company that operates in various industries, including healthcare, consumer goods, and industrial products. The recent financial data for 3M shows a market cap of $56.77B and an enterprise value of $68.36B. The trailing P/E ratio is 16.99, while the forward P/E ratio is 10.72, indicating a potential undervaluation of the stock. The PEG ratio of 3.77 suggests that the stock may be slightly overvalued based on its expected growth rate.</t>
  </si>
  <si>
    <t>Overall, the financial data for 3M is mixed, with some indicators suggesting potential undervaluation and others indicating a premium valuation. Investors should closely monitor the company's performance and future earnings reports to make informed investment decisions."</t>
  </si>
  <si>
    <t>DXCM,70.0,"Dexcom, a leading company in the Health Care Equipment industry, has shown strong financial performance in recent years. With a market cap of 45.01B and an enterprise value of 44.49B, the company has a solid financial foundation. However, its trailing P/E ratio of 129.60 and forward P/E ratio of 68.49 may be a cause for concern for some investors.</t>
  </si>
  <si>
    <t>Overall, Dexcom's latest financial data shows a mixed picture, with some potential for growth but also some red flags. Investors should closely monitor the company's performance and industry trends before making any investment decisions."</t>
  </si>
  <si>
    <t>AXON,70.0,"Axon Enterprise is a leading company in the Aerospace &amp; Defense industry with a recent market cap of 17.41B and an enterprise value of 16.93B. The firm has a trailing P/E ratio of 118.54 and a forward P/E ratio of 55.87, indicating a high valuation. However, its price/sales ratio of 11.82 and price/book ratio of 11.45 are in line with industry averages. The enterprise value/revenue and enterprise value/EBITDA ratios of 11.54 and 103.67 respectively, suggest that the company may be overvalued compared to its revenue and earnings.</t>
  </si>
  <si>
    <t>Axon Enterprise has a strong financial position with a solid market cap and enterprise value. However, its high P/E ratios and relatively high enterprise value/revenue and enterprise value/EBITDA ratios may indicate a potential for a correction in the stock price. Investors should closely monitor the company's financial performance and industry trends before making any investment decisions."</t>
  </si>
  <si>
    <t>CDAY,70.0,"Ceridian, a leading provider of human resource and employment services, has shown strong financial performance in recent years. With a market cap of 10.36B and an enterprise value of 11.10B, the company has a solid financial foundation. However, its trailing P/E ratio of 2.21k and forward P/E ratio of 31.65 may indicate that the stock is currently overvalued.</t>
  </si>
  <si>
    <t>Overall, Ceridian's financial data suggests that the stock may be overvalued, but the company has a strong financial foundation and potential for growth. Investors should closely monitor the stock and consider its long-term potential before making any investment decisions."</t>
  </si>
  <si>
    <t>ETN,70.0,"Eaton Corporation is a leading company in the Electrical Components &amp; Equipment industry with a recent market cap of 90.61B and an enterprise value of 98.34B. The company has a trailing P/E ratio of 30.38 and a forward P/E ratio of 22.57, indicating a potential undervaluation of the stock. However, the PEG ratio of 2.20 suggests that the stock may be slightly overvalued based on its expected growth rate.</t>
  </si>
  <si>
    <t>Overall, the recent financial data for Eaton Corporation suggests that the stock may be slightly overvalued. However, the company has a strong market position and a solid track record of financial performance, which may make it a good long-term investment option. Investors should closely monitor the company's future earnings reports and industry trends to make informed investment decisions."</t>
  </si>
  <si>
    <t>ODFL,70.0,"Old Dominion is a leading company in the Cargo Ground Transportation industry with a recent market cap of 40.69B and an enterprise value of 40.56B. The company has a trailing P/E ratio of 33.18 and a forward P/E ratio of 27.86, indicating a potential undervaluation of the stock. However, the PEG ratio of 3.24 suggests that the stock may be overvalued in relation to its expected growth. The price/sales ratio of 7.03 and price/book ratio of 10.01 also indicate a potential overvaluation of the stock. The enterprise value/revenue ratio of 6.92 and enterprise value/EBITDA ratio of 24.51 are in line with industry averages.</t>
  </si>
  <si>
    <t>Old Dominion has a strong financial position with a solid market cap and enterprise value. However, the company's valuation metrics suggest that the stock may be overvalued. Investors should closely monitor the company's financial performance and industry trends before making any investment decisions."</t>
  </si>
  <si>
    <t>LW,70.0,"Lamb Weston is a leading company in the Packaged Foods &amp; Meats industry with a recent market cap of 14.64B and an enterprise value of 17.95B. The company has a trailing P/E ratio of 14.53 and a forward P/E ratio of 18.76, indicating a potential growth in earnings. However, the PEG ratio of 5.70 suggests that the stock may be overvalued compared to its expected growth rate. The price/sales ratio of 2.50 and price/book ratio of 9.74 also indicate a relatively high valuation for the company.</t>
  </si>
  <si>
    <t>Overall, the recent financial data for Lamb Weston presents a mixed picture, with some indicators pointing towards potential growth and others indicating a relatively high valuation. Investors should closely monitor the company's performance and future earnings reports to make informed investment decisions."</t>
  </si>
  <si>
    <t>TSLA,70.0,"Tesla, Inc. is a leading company in the Automobile Manufacturers industry with a recent market cap of 761.07B and an enterprise value of 743.18B. The company has a trailing P/E ratio of 77.23 and a forward P/E ratio of 65.79, indicating a relatively high valuation. However, the PEG ratio of 2.70 suggests that the stock may still have room for growth. Tesla's price/sales ratio of 8.69 and price/book ratio of 14.23 are also higher than the industry average, indicating a premium valuation. The company's enterprise value/revenue ratio of 7.75 and enterprise value/EBITDA ratio of 45.55 are also higher than the industry average, suggesting that the stock may be overvalued.</t>
  </si>
  <si>
    <t>Tesla has been a pioneer in the electric vehicle market and has shown strong growth in recent years. However, the company has faced challenges in meeting production targets and has a history of volatility in its stock price. Additionally, the company's high valuation and potential regulatory changes in the industry may pose risks for investors."</t>
  </si>
  <si>
    <t>MKTX,70.0,"MarketAxess is a leading financial technology company that operates an electronic trading platform for fixed-income securities. The company has shown strong financial performance in recent years, with a market cap of 9.93B and an enterprise value of 9.57B. However, the latest financial data shows a trailing P/E ratio of 39.76 and a forward P/E ratio of 34.72, which may indicate that the stock is currently overvalued.</t>
  </si>
  <si>
    <t>Overall, while MarketAxess is a strong company with a solid financial position, the current valuation of the stock may be a cause for concern. Investors should carefully consider the company's growth potential and market conditions before making any investment decisions."</t>
  </si>
  <si>
    <t>PCG,70.0,"PG&amp;E Corporation is a multi-utility company with a recent market cap of $43.85B and an enterprise value of $99.22B. The company has a trailing P/E ratio of 20.05 and a forward P/E ratio of 12.77, indicating a potential undervaluation of the stock. The PEG ratio of 1.41 suggests that the stock may be slightly overvalued based on its expected growth rate. However, the price/sales ratio of 1.62 and price/book ratio of 1.82 are both below the industry average, indicating a potential value opportunity for investors.</t>
  </si>
  <si>
    <t>Overall, PG&amp;E Corporation has a mixed financial situation, with some potential value opportunities but also some concerns about its debt levels. Investors should closely monitor the company's progress in improving its financial health and consider the potential risks before making any investment decisions."</t>
  </si>
  <si>
    <t>GE,70.0,"General Electric (GE) is a multinational conglomerate company with a market cap of $130.40B and an enterprise value of $131.04B. The latest financial data shows a trailing P/E ratio of 12.47 and a forward P/E ratio of 25.77, indicating a potential increase in earnings in the future. The PEG ratio of 1.54 suggests that the stock may be undervalued compared to its expected growth rate. Additionally, the price/sales ratio of 1.57 and price/book ratio of 4.55 are both below the industry average, making GE a potentially attractive investment opportunity.</t>
  </si>
  <si>
    <t>Overall, GE's financial data suggests a mixed outlook for the company. While there are some positive indicators, such as a low PEG ratio and attractive price/sales and price/book ratios, there are also some concerns about the company's valuation. Investors should carefully consider these factors before making any investment decisions."</t>
  </si>
  <si>
    <t>JKHY,70.0,"Jack Henry &amp; Associates is a leading company in the Transaction &amp; Payment Processing Services industry with a recent market cap of 12.05B and an enterprise value of 12.26B. The company has a trailing P/E ratio of 33.41 and a forward P/E ratio of 32.79, indicating a relatively high valuation. However, the PEG ratio of 3.39 suggests that the stock may be overvalued compared to its expected growth rate.</t>
  </si>
  <si>
    <t>Overall, Jack Henry &amp; Associates appears to be a solid company with a strong market position, but its high valuation and potential challenges in the industry should be considered by investors. Based on the current financial data and industry trends, the potential investment value for the company in the next month is estimated to be around 70 out of 100."</t>
  </si>
  <si>
    <t>ISRG,70.0,"Intuitive Surgical is a leading company in the Health Care Equipment industry with a recent market cap of 109.23B and an enterprise value of 105.09B. The company has a trailing P/E ratio of 73.00 and a forward P/E ratio of 48.31, indicating a potential for future growth. However, the PEG ratio of 4.41 suggests that the stock may be overvalued compared to its expected earnings growth. The price/sales ratio of 16.17 and price/book ratio of 8.71 also indicate a relatively high valuation for the company. Additionally, the enterprise value/revenue ratio of 15.34 and enterprise value/EBITDA ratio of 50.19 suggest that the stock may be overvalued compared to its revenue and earnings.</t>
  </si>
  <si>
    <t>Overall, while Intuitive Surgical has a strong market position and potential for growth, its current valuation may be a concern for investors. It is important to closely monitor the company's financial performance and industry developments before making any investment decisions."</t>
  </si>
  <si>
    <t>BA,70.0,"Boeing, a leading aerospace and defense company, has faced significant challenges in recent years, including the grounding of its 737 Max aircraft and the impact of the COVID-19 pandemic on the aviation industry. However, the latest financial data shows that the company is on a path to recovery.</t>
  </si>
  <si>
    <t>Overall, the recent financial data suggests that Boeing may be a risky investment, but with potential for growth. The company's success will depend on its ability to overcome past challenges and adapt to the changing landscape of the aerospace and defense industry."</t>
  </si>
  <si>
    <t>ABBV,65.0,"AbbVie is a leading pharmaceutical company with a recent market cap of 258.44B and an enterprise value of 305.90B. The company has a trailing P/E ratio of 40.10 and a forward P/E ratio of 13.21, indicating a potential undervaluation. However, the PEG ratio of 3.57 suggests that the stock may be overvalued in relation to its expected growth. The price/sales ratio of 4.71 and price/book ratio of 21.37 also indicate a potential overvaluation. The enterprise value/revenue ratio of 5.55 and enterprise value/EBITDA ratio of 30.98 are in line with industry averages.</t>
  </si>
  <si>
    <t>Overall, AbbVie's financial data suggests a mixed outlook for the company. While it has a strong market position and potential for growth, there are also potential risks to consider. Investors should carefully evaluate the company's financial performance and future prospects before making any investment decisions."</t>
  </si>
  <si>
    <t>ANSS,65.0,"Ansys, a leading company in the Application Software industry, has a recent market cap of 24.50B and an enterprise value of 24.71B. The firm's latest trailing P/E ratio is 50.99, while the forward P/E ratio is 29.67. The PEG ratio, which measures the relationship between the stock's price, earnings, and growth, is at 3.36, indicating a potential overvaluation. The price/sales ratio is 11.41, and the price/book ratio is 4.89, both of which are higher than the industry average. The enterprise value/revenue ratio is 11.45, and the enterprise value/EBITDA ratio is 35.57, both of which are also higher than the industry average. Overall, the firm's financial data suggests a potential overvaluation and a higher risk for investors."</t>
  </si>
  <si>
    <t>APH,65.0,"Amphenol is a leading company in the Electronic Components industry with a recent market cap of 55.18B and an enterprise value of 57.74B. The firm has a trailing P/E ratio of 29.75 and a forward P/E ratio of 28.57, indicating a relatively high valuation. The PEG ratio, which measures the relationship between the stock's price, earnings, and growth potential, is at 5.68, suggesting that the stock may be overvalued. Additionally, the price/sales and price/book ratios are at 4.59 and 7.02 respectively, which are also relatively high compared to the industry average. However, the enterprise value/revenue and enterprise value/EBITDA ratios are at 4.63 and 19.49, respectively, which are in line with the industry average.</t>
  </si>
  <si>
    <t>Amphenol's latest financial data shows a strong financial position, with a high market cap and enterprise value. However, the high valuation metrics may indicate that the stock is currently overvalued. Investors should also consider the potential impact of the ongoing global chip shortage on the company's performance. Overall, Amphenol's financial data suggests a cautious approach to investing in the company."</t>
  </si>
  <si>
    <t>WDC,65.0,"Western Digital is a leading company in the Technology Hardware, Storage &amp; Peripherals industry with a recent market cap of 15.18B and an enterprise value of 20.82B. The company's price/sales ratio is 1.32 and its price/book ratio is 1.50, indicating that the stock may be undervalued. However, its enterprise value/revenue ratio of 1.84 and enterprise value/EBITDA ratio of -16.97 raise some concerns about the company's financial health.</t>
  </si>
  <si>
    <t>Overall, Western Digital's financial data and recent industry trends suggest a mixed outlook for the company. While there may be potential for growth in the future, investors should carefully consider the risks and uncertainties before making any investment decisions."</t>
  </si>
  <si>
    <t>EVRG,65.0,"Evergy, a leading electric utility company, has a recent market cap of 11.93B and an enterprise value of 24.65B. The company's trailing P/E ratio is 17.54 and its forward P/E ratio is 13.44, indicating a potential undervaluation. However, the PEG ratio of 2.56 suggests that the stock may be overvalued in relation to its expected growth. Evergy's price/sales ratio of 2.14 and price/book ratio of 1.22 are both below the industry average, indicating a potential buying opportunity. The company's enterprise value/revenue ratio of 4.40 and enterprise value/EBITDA ratio of 10.80 are also below the industry average, suggesting a potential undervaluation.</t>
  </si>
  <si>
    <t>Overall, Evergy's financial data suggests a mixed outlook for the company. While some ratios indicate potential undervaluation, others suggest overvaluation. Additionally, the company's recent performance has been impacted by regulatory changes and weather-related events. Investors should closely monitor the company's financial performance and industry trends before making any investment decisions."</t>
  </si>
  <si>
    <t>CLX,65.0,"Clorox, a leading household products company, has been facing some challenges in the recent months. The company's latest financial data shows a market cap of 17.67B and an enterprise value of 20.36B. However, its trailing P/E ratio of 206.43 and forward P/E ratio of 30.96 may be a cause for concern for investors. Additionally, the PEG ratio of 2.29 and price/sales ratio of 2.52 suggest that the stock may be overvalued.</t>
  </si>
  <si>
    <t>Considering the recent financial data and market trends, Clorox may face some challenges in the near future. However, its strong brand and focus on innovation may help it overcome these challenges and continue to be a leader in the household products industry."</t>
  </si>
  <si>
    <t>CHD,65.0,"Church &amp; Dwight is a leading company in the Household Products industry with a recent market cap of 23.04B and an enterprise value of 24.88B. The company has a trailing P/E ratio of 53.14 and a forward P/E ratio of 27.47, indicating a potential overvaluation of the stock. However, the PEG ratio of 1.92 suggests that the stock may still have growth potential. The price/sales ratio of 4.01 and price/book ratio of 5.69 are also relatively high, indicating a premium valuation for the company. The enterprise value/revenue ratio of 4.31 and enterprise value/EBITDA ratio of 28.03 are also on the higher side, suggesting that the stock may be overvalued.</t>
  </si>
  <si>
    <t>Overall, Church &amp; Dwight's financial data and recent industry trends suggest a mixed outlook for the company. Investors should carefully consider the company's valuation and potential risks before making any investment decisions."</t>
  </si>
  <si>
    <t>PANW,65.0,"Palo Alto Networks is a leading company in the Systems Software industry with a recent market cap of 90.58B and an enterprise value of 88.91B. The company has a high trailing P/E ratio of 161.40 and a forward P/E ratio of 54.35, indicating that investors are willing to pay a premium for its future earnings. However, the PEG ratio of 1.94 suggests that the stock may be overvalued compared to its expected growth rate. The price/sales ratio of 13.76 and price/book ratio of 41.73 also indicate a relatively high valuation for the company. Additionally, the enterprise value/revenue ratio of 12.34 and enterprise value/EBITDA ratio of 80.27 suggest that the company may be overvalued based on its revenue and earnings. Overall, while Palo Alto Networks is a strong company in the Systems Software industry, its high valuation metrics may make it a risky investment."</t>
  </si>
  <si>
    <t>BXP,65.0,"Boston Properties is a real estate investment trust (REIT) that specializes in owning and operating office buildings. The recent financial data for the company shows a market cap of $9.93B and an enterprise value of $24.60B. The trailing P/E ratio is 51.44, which is higher than the industry average, indicating that the stock may be overvalued. However, the forward P/E ratio of 26.45 suggests that the company's earnings are expected to improve in the future.</t>
  </si>
  <si>
    <t>Overall, the financial data for Boston Properties suggests that the stock may be overvalued in some areas and undervalued in others. Investors should carefully consider the company's growth prospects and industry trends before making any investment decisions."</t>
  </si>
  <si>
    <t>JBHT,65.0,"J.B. Hunt is a leading company in the Cargo Ground Transportation industry with a recent market cap of 19.40B and an enterprise value of 20.77B. The company has a trailing P/E ratio of 25.31 and a forward P/E ratio of 22.22, indicating a potential undervaluation of the stock. However, the PEG ratio of 5.22 suggests that the stock may be overvalued in relation to its expected growth. The price/sales ratio of 1.49 and price/book ratio of 4.83 also indicate a potential overvaluation of the stock.</t>
  </si>
  <si>
    <t>Overall, J.B. Hunt's financial data presents a mixed picture, with some indicators pointing towards potential undervaluation and others suggesting overvaluation. Investors should closely monitor the company's performance and industry trends before making any investment decisions."</t>
  </si>
  <si>
    <t>HBAN,65.0,"Enterprise Value  16.96B</t>
  </si>
  <si>
    <t>Overall, the financial data for Huntington Bancshares is mixed, with some indicators pointing towards undervaluation and others towards overvaluation. The company's recent performance and future growth potential will be key factors in determining its investment value."</t>
  </si>
  <si>
    <t>PODD,65.0,"Insulet is a leading company in the Health Care Equipment industry with a recent market cap of 13.22B and an enterprise value of 13.97B. The company has a high trailing P/E ratio of 110.06 and a forward P/E ratio of 81.30, indicating that investors are willing to pay a premium for its future earnings. The PEG ratio of 0.56 suggests that the stock may be undervalued, as it is trading at a lower multiple compared to its expected earnings growth. However, the price/sales ratio of 8.57 and price/book ratio of 21.76 are relatively high, indicating that the stock may be overvalued based on these metrics.</t>
  </si>
  <si>
    <t>Overall, Insulet's financial data presents a mixed picture, with some metrics indicating potential undervaluation and others suggesting overvaluation. Investors should carefully consider the company's financials and industry trends before making any investment decisions."</t>
  </si>
  <si>
    <t>VLTO,60.0,"Veralto, a company in the Environmental &amp; Facilities Services industry, has a recent market cap of 18.68B and an enterprise value of 20.86B. The trailing P/E ratio is 25.88 and the forward P/E ratio is 23.98, indicating a relatively high valuation. The price/sales ratio is 3.73 and the price/book ratio is 17.99, both of which are above industry averages. The enterprise value/revenue ratio is 4.18 and the enterprise value/EBITDA ratio is 17.57, suggesting that the company may be overvalued compared to its revenue and earnings.</t>
  </si>
  <si>
    <t>Overall, the financial data for Veralto shows a company with a strong market capitalization and enterprise value, but with relatively high valuation ratios. This may indicate that the stock is currently overvalued and may not be a good investment opportunity at this time."</t>
  </si>
  <si>
    <t>COR,60.0,"Cencora, a leading company in the Health Care Distributors industry, has a recent market cap of 40.02B and an enterprise value of 42.22B. The firm's trailing P/E ratio is 23.53 and its forward P/E ratio is 15.58, indicating a potential undervaluation. However, the PEG ratio of 3.13 suggests that the stock may be overvalued in relation to its expected growth. The price/sales ratio of 0.16 and price/book ratio of 76.67 also indicate a potential overvaluation. The enterprise value/revenue ratio of 0.16 and enterprise value/EBITDA ratio of 12.35 suggest that the company may be trading at a premium compared to its revenue and earnings. Overall, the firm's financial data presents a mixed picture, with some indicators pointing towards undervaluation and others towards overvaluation."</t>
  </si>
  <si>
    <t>SEDG,60.0,"SolarEdge is a leading company in the Semiconductor Materials &amp; Equipment industry with a recent market cap of 4.58B and an enterprise value of 4.29B. The company has a trailing P/E ratio of 21.80 and a forward P/E ratio of 123.46, indicating a potential overvaluation. The PEG ratio of 5.01 also suggests that the stock may be overpriced compared to its expected growth rate. However, the price/sales ratio of 1.34 and price/book ratio of 1.84 are relatively low, indicating a potential undervaluation.</t>
  </si>
  <si>
    <t>Overall, the recent financial data for SolarEdge presents a mixed picture, with some indicators pointing towards potential overvaluation and others suggesting undervaluation. Investors should closely monitor the company's performance and industry trends before making any investment decisions."</t>
  </si>
  <si>
    <t>AVY,60.0,"Avery Dennison is a leading company in the Paper &amp; Plastic Packaging Products &amp; Materials industry with a recent market cap of 15.55B and an enterprise value of 18.66B. The company has a trailing P/E ratio of 32.52 and a forward P/E ratio of 19.92, indicating a potential undervaluation of the stock. However, the PEG ratio of 3.56 suggests that the stock may be overvalued in relation to its expected growth. The price/sales ratio of 1.90 and price/book ratio of 7.54 also indicate a potential overvaluation of the stock. The enterprise value/revenue ratio of 2.25 and enterprise value/EBITDA ratio of 17.45 suggest that the company may be slightly overvalued in relation to its revenue and earnings. Overall, the recent financial data of Avery Dennison presents a mixed picture, with some indicators pointing towards undervaluation and others towards overvaluation."</t>
  </si>
  <si>
    <t>RSG,60.0,"Republic Services is a leading company in the Environmental &amp; Facilities Services industry with a recent market cap of 50.92B and an enterprise value of 62.94B. The company has a trailing P/E ratio of 31.37 and a forward P/E ratio of 27.78, indicating a potential undervaluation of the stock. However, the PEG ratio of 2.83 suggests that the stock may be slightly overvalued based on its expected growth rate. The price/sales ratio of 3.49 and price/book ratio of 4.93 also indicate a potential overvaluation of the stock. The enterprise value/revenue ratio of 4.29 and enterprise value/EBITDA ratio of 15.28 suggest that the company may be slightly overvalued compared to its revenue and earnings. Overall, the financial data of Republic Services presents a mixed picture, with some indicators pointing towards undervaluation and others towards overvaluation."</t>
  </si>
  <si>
    <t>FRT,60.0,"Federal Realty is a real estate investment trust (REIT) that specializes in retail properties. The company has a recent market cap of $8.08B and an enterprise value of $12.74B. Its trailing P/E ratio is 28.79 and its forward P/E ratio is 35.34, indicating that the stock may be slightly overvalued. The PEG ratio, which takes into account the company's expected growth, is 7.12, suggesting that the stock may be overvalued compared to its growth potential. The price/sales ratio is 7.19 and the price/book ratio is 2.97, both of which are higher than the industry average. The enterprise value/revenue ratio is 11.37 and the enterprise value/EBITDA ratio is 16.35, both of which are also higher than the industry average.</t>
  </si>
  <si>
    <t>Based on the current financial data and industry trends, Federal Realty may face some challenges in the short term. However, the company has a strong portfolio of properties and a solid track record of performance, which may provide stability in the long term. Therefore, the potential investment value for Federal Realty in the next month may be moderate."</t>
  </si>
  <si>
    <t>EW,60.0,"Edwards Lifesciences is a leading company in the Health Care Equipment industry with a recent market cap of 42.15B and an enterprise value of 40.97B. The company has a trailing P/E ratio of 29.70 and a forward P/E ratio of 25.00, indicating a potential undervaluation of the stock. However, the PEG ratio of 4.20 suggests that the stock may be overvalued in relation to its expected growth rate.</t>
  </si>
  <si>
    <t>Overall, the financial data for Edwards Lifesciences presents a mixed picture, with some indicators pointing towards potential undervaluation and others suggesting overvaluation. Investors should carefully consider the company's growth prospects and industry trends before making any investment decisions."</t>
  </si>
  <si>
    <t>CPB,60.0,"Campbell Soup Company is a leading player in the Packaged Foods &amp; Meats industry with a recent market cap of 12.89B and an enterprise value of 17.50B. The company has a trailing P/E ratio of 16.38 and a forward P/E ratio of 13.95, indicating that the stock may be undervalued. However, the PEG ratio of 2.46 suggests that the stock may be overvalued in relation to its expected growth. The price/sales ratio of 1.40 and price/book ratio of 3.43 also indicate that the stock may be trading at a premium. The enterprise value/revenue ratio of 1.87 and enterprise value/EBITDA ratio of 10.28 suggest that the company may be overvalued in comparison to its revenue and earnings.</t>
  </si>
  <si>
    <t>Based on the current financial data and industry trends, the potential investment value of Campbell Soup Company for the next month is moderate. Investors should closely monitor the company's financial performance and industry developments before making any investment decisions."</t>
  </si>
  <si>
    <t>INVH,60.0,"Invitation Homes (INVH) is a leading single-family residential real estate investment trust (REIT) with a recent market cap of $20.17B and an enterprise value of $27.95B. The company has a trailing P/E ratio of 40.69 and a forward P/E ratio of 42.73, indicating a relatively high valuation. However, the PEG ratio of 5.68 suggests that the stock may be overvalued compared to its expected earnings growth.</t>
  </si>
  <si>
    <t>Overall, INVH's financial data suggests a mixed picture in terms of valuation. While some metrics indicate that the stock may be overvalued, others suggest that it may be undervalued compared to its peers. Investors should carefully consider these factors before making any investment decisions."</t>
  </si>
  <si>
    <t>KIM,60.0,"Kimco Realty (KIM) is a real estate investment trust (REIT) that specializes in shopping centers and retail properties. The recent financial data for the company shows a market cap of $12.51B and an enterprise value of $19.00B. The trailing P/E ratio is 28.42 and the forward P/E ratio is 27.62, indicating that the stock may be slightly overvalued. The PEG ratio of 3.92 suggests that the stock may be overvalued compared to its expected growth rate. The price/sales ratio of 7.05 and price/book ratio of 1.30 are both below the industry average, indicating that the stock may be undervalued in these metrics. However, the enterprise value/revenue ratio of 10.72 and enterprise value/EBITDA ratio of 15.04 are both above the industry average, suggesting that the stock may be overvalued in these metrics.</t>
  </si>
  <si>
    <t>Overall, the financial data for Kimco Realty is mixed, with some metrics indicating potential undervaluation and others suggesting potential overvaluation. Investors should closely monitor the company's performance and industry trends before making any investment decisions."</t>
  </si>
  <si>
    <t>TYL,60.0,"Tyler Technologies is a leading company in the Application Software industry with a recent market cap of 17.03B and an enterprise value of 17.67B. The firm has a trailing P/E ratio of 109.26 and a forward P/E ratio of 45.45, indicating a potential overvaluation of the stock. The PEG ratio of 3.23 suggests that the stock may be overvalued compared to its expected growth rate. Additionally, the price/sales ratio of 8.96 and price/book ratio of 5.97 also indicate a potential overvaluation of the stock.</t>
  </si>
  <si>
    <t>Overall, the recent financial data for Tyler Technologies presents a mixed picture, with some indicators pointing towards overvaluation and others suggesting a strong financial performance. Investors should carefully consider these factors before making any investment decisions."</t>
  </si>
  <si>
    <t>BF.B,,"Brown-Forman is a leading company in the Distillers &amp; Vintners industry, known for its popular brands such as Jack Daniel's and Woodford Reserve. The company has a strong financial track record, with consistent revenue and profit growth over the years. However, in the absence of recent news or financial data, it is difficult to accurately assess the potential investment value of the company for the next month.</t>
  </si>
  <si>
    <t>META,95,"Investment Report:</t>
  </si>
  <si>
    <t>Meta Platforms (META) has been making headlines recently with its latest moves to comply with European digital privacy regulations and its strong financial performance. The company's decision to offer ad-free subscription plans in the EU, EEA, and Switzerland shows its commitment to meeting regulatory requirements and providing users with more control over their data. This move could also potentially open up a new revenue stream for the company.</t>
  </si>
  <si>
    <t>In addition to its compliance efforts, META has also been making strategic moves to maintain its competitive advantage and drive growth. With its scale and network effects, the company has established a strong position in the interactive media and services industry. It has also identified multiple avenues for growth, including ARPU growth, WhatsApp monetization, and AI.</t>
  </si>
  <si>
    <t>Despite facing a ban on targeted advertising in the EU, META's financial performance remains strong. The company reported an increase in revenue and profits in the third quarter, and Wall Street analysts predict a 26.4% upside potential for the stock. Additionally, META's open-source approach to AI gives it a unique advantage in the market.</t>
  </si>
  <si>
    <t>Looking ahead, META's business messaging platform and its potential for becoming a trillion-dollar company make it a compelling investment opportunity. With a market cap of over $800 billion and a strong financial position, the company is well-positioned for future growth. Therefore, I am initiating a strong buy recommendation for META.</t>
  </si>
  <si>
    <t>Score: 95"</t>
  </si>
  <si>
    <t>URI,95,"</t>
  </si>
  <si>
    <t>In terms of valuation, URI has a trailing P/E ratio of 11.91 and a forward P/E ratio of 9.59, indicating that the stock may be undervalued. The PEG ratio of 1.05 also suggests that the stock may be trading at a discount compared to its expected growth. Additionally, the price/sales ratio of 2.04 and price/book ratio of 3.58 are both below the industry average, further supporting the stock's value.</t>
  </si>
  <si>
    <t>Furthermore, URI's strong cash flows and return on investment make it a compelling investment opportunity. The company has a solid track record of acquiring companies and expanding its market share, with $13.065 billion spent on M&amp;A in the last decade. This, combined with its business model of renting out equipment, generates consistent cash flows for the company. URI also returns capital to shareholders through buybacks and dividends, making it an attractive option for investors seeking steady returns.</t>
  </si>
  <si>
    <t>Overall, United Rentals (URI) appears to be a strong value stock with a solid financial position and a successful business model. With a Zacks Style Score of A for Value, the stock is worth considering for investors looking for potential growth and returns in the Trading Companies &amp; Distributors industry.</t>
  </si>
  <si>
    <t>CNC,90,"</t>
  </si>
  <si>
    <t>One of the key factors contributing to Centene's growth is its low PEG ratio of 0.43, which suggests that the stock is undervalued relative to its expected earnings growth. Additionally, its price/sales ratio of 0.25 and price/book ratio of 1.46 are also lower than the industry average, indicating that the stock is trading at a discount.</t>
  </si>
  <si>
    <t>Furthermore, Centene's strong financials are reflected in its low enterprise value/revenue ratio of 0.24 and enterprise value/EBITDA ratio of 6.14. These ratios suggest that the company is generating strong revenues and profits, making it a financially stable and attractive investment option.</t>
  </si>
  <si>
    <t>Overall, Centene Corporation is a strong growth stock with solid financials and attractive valuation metrics. With the company's continued growth and potential for future expansion, it is well-positioned for success in the Managed Health Care industry.</t>
  </si>
  <si>
    <t>AMZN,90,"</t>
  </si>
  <si>
    <t>Despite facing competition in the cloud computing market, Amazon's profitability has bounced back to pre-2022 levels, and its e-commerce business continues to thrive. CEO Andy Jassy's leadership has been instrumental in turning around the company's profitability, and its fastest-growing segments have higher margins than e-commerce.</t>
  </si>
  <si>
    <t>Furthermore, Amazon's recent financial results for the third quarter of 2023 have exceeded expectations, with strong online sales growth and stabilization in its critical cloud computing segment. The company's strong margin expansion and growth in operating cash flow have also been impressive.</t>
  </si>
  <si>
    <t>With a market cap of 1.42 trillion and an enterprise value of 1.49 trillion, Amazon's financials are strong, and its valuation metrics, such as P/E ratio and price/sales, are in line with industry averages. The company's future prospects look promising, with potential for continued growth and profitability.</t>
  </si>
  <si>
    <t>CB,90,"Investment Report:</t>
  </si>
  <si>
    <t>Chubb's strong financials are further supported by its price/sales ratio of 1.85 and price/book ratio of 1.67, both of which are below the industry average. This indicates that the stock is trading at a discount compared to its peers. Furthermore, Chubb's enterprise value/revenue ratio of 2.13 is also lower than the industry average, indicating that the stock is undervalued.</t>
  </si>
  <si>
    <t>With a solid financial foundation and strong growth potential, Chubb is a top value stock for long-term investors. The company's consistent track record of delivering market-beating returns makes it a reliable choice for investors looking for stable and profitable investments.</t>
  </si>
  <si>
    <t>COST,90,"</t>
  </si>
  <si>
    <t>In addition to its strong sales performance, Costco also boasts impressive financial data. With a market cap of $244.59 billion and an enterprise value of $238.24 billion, the company has a solid financial foundation. Its trailing P/E ratio of 39.01 and forward P/E ratio of 35.71 indicate that investors have confidence in the company's future growth potential. Furthermore, Costco's low PEG ratio of 4.14 and price/sales ratio of 1.01 suggest that the stock is currently undervalued.</t>
  </si>
  <si>
    <t>Costco's strong financials and consistent growth make it a top growth stock for the long-term. The company's ability to adapt to changing consumer behaviors and its focus on e-commerce sales position it well for continued success in the future. Additionally, the Zacks Style Scores have given Costco high ratings, further solidifying its position as a top-rated stock.</t>
  </si>
  <si>
    <t>AZO,90,"</t>
  </si>
  <si>
    <t>AutoZone's strong momentum is reflected in its Zacks Style Scores, with a top-notch overall score of A and individual scores of A for Growth, Value, and Momentum. This indicates that the company has a solid combination of growth, value, and momentum characteristics, making it a strong investment opportunity.</t>
  </si>
  <si>
    <t>The automotive retail industry is expected to see continued growth in the coming months, with the reopening of economies and increased consumer spending. AutoZone is well-positioned to benefit from this trend, with its strong brand reputation, wide product range, and efficient supply chain.</t>
  </si>
  <si>
    <t>Overall, AutoZone presents a strong investment opportunity in the automotive retail industry, with its solid financials, strong momentum, and positive industry outlook. Investors should keep an eye on this stock for potential gains in the coming months.</t>
  </si>
  <si>
    <t>HOLX,90,"</t>
  </si>
  <si>
    <t>Firm Situation:</t>
  </si>
  <si>
    <t>Hologic has been performing well in the Health Care Equipment industry, with a strong market position and financial stability. The company has a diverse portfolio of products and services, including diagnostic and surgical products, which have been in high demand due to the ongoing COVID-19 pandemic. Hologic has also been investing in research and development to expand its product offerings and maintain its competitive edge in the market.</t>
  </si>
  <si>
    <t>Overall, Hologic appears to be in a strong position for growth and has been attracting investor attention. However, as with any investment, it is important to carefully consider all factors and conduct thorough research before making any decisions.</t>
  </si>
  <si>
    <t>GS,85,"</t>
  </si>
  <si>
    <t>Investment Report: Goldman Sachs is a leading investment banking and brokerage firm with a strong reputation in the financial industry. The recent news of the firm's private equity fund applying to sell electricity contracts in the US market shows their continued efforts to diversify their business and explore new opportunities. This move could potentially provide a new stream of revenue for the firm and contribute to their overall growth.</t>
  </si>
  <si>
    <t>In terms of financial data, Goldman Sachs has a market cap of $101.26B, which reflects the company's strong financial standing. The trailing P/E ratio of 14.81 and forward P/E ratio of 8.64 suggest that the stock is currently undervalued, making it an attractive investment opportunity. The PEG ratio of 2.40 also indicates that the stock has potential for future growth.</t>
  </si>
  <si>
    <t>Furthermore, the price/sales ratio of 2.36 and price/book ratio of 0.87 are both below the industry average, indicating that the stock is currently trading at a discount. This presents an opportunity for investors to purchase the stock at a lower price and potentially see a higher return in the future.</t>
  </si>
  <si>
    <t>Overall, Goldman Sachs' recent news and financial data suggest a positive outlook for the firm in the coming months. However, as with any investment, there are always risks to consider. Investors should conduct their own research and carefully evaluate their investment decisions.</t>
  </si>
  <si>
    <t>GNRC,85,"</t>
  </si>
  <si>
    <t>Generac (GNRC) has recently reported strong financial results for the third quarter of 2023, beating profit and sales forecasts. The company's shares have seen a significant increase in value as a result, with investors responding positively to the news.</t>
  </si>
  <si>
    <t>The demand for home generators has been on the rise, leading to increased sales for Generac and a reduction in inventory backlog. This has contributed to the company's better-than-expected performance and reaffirmed its full-year guidance.</t>
  </si>
  <si>
    <t>In addition, options traders have been targeting Generac stock following the earnings report, indicating a positive sentiment towards the company's future prospects. Key metrics such as revenue and EPS have also surpassed Wall Street estimates and the previous year's numbers.</t>
  </si>
  <si>
    <t>Generac's strong financial performance has also been reflected in its stock price, with a 5.3% increase in premarket trading after the earnings report. The company's market cap and enterprise value are currently at 5.23B and 6.98B respectively, with a trailing P/E of 35.18 and a forward P/E of 11.14.</t>
  </si>
  <si>
    <t>Based on the latest financial data and news, Generac appears to be in a strong position for potential investment. However, as with any investment, it is important to conduct thorough research and consider all factors before making any decisions.</t>
  </si>
  <si>
    <t>GEHC,85,"</t>
  </si>
  <si>
    <t>Investment Report: GE HealthCare is a leading player in the Health Care Technology industry, providing innovative solutions and services to improve patient outcomes. The company's recent financial results for Q3 2023 showed a 5% increase in revenue and a 90 basis point increase in gross margin, indicating strong performance. Additionally, GE HealthCare raised the low end of its Adj EPS guidance for 2023, demonstrating confidence in its future prospects.</t>
  </si>
  <si>
    <t>Despite facing challenges in China, GE HealthCare continues to outperform its competitors in the region and gain market share. This is a testament to the company's strong brand reputation and ability to adapt to changing market conditions.</t>
  </si>
  <si>
    <t>In terms of financial data, GE HealthCare has a market cap of 31.08B and an enterprise value of 38.94B. Its trailing P/E ratio is 20.26, while its forward P/E ratio is 15.72, indicating potential for future growth. The PEG ratio of 15.71 suggests that the stock may be undervalued, making it an attractive investment opportunity. Additionally, the company's price/sales and price/book ratios are also favorable compared to industry averages.</t>
  </si>
  <si>
    <t>Overall, GE HealthCare's strong financial performance, market share gains, and attractive valuation make it a promising investment in the Health Care Technology industry.</t>
  </si>
  <si>
    <t>GRMN,85,"Investment Report:</t>
  </si>
  <si>
    <t>The company's strong financial position, with a healthy balance sheet and no debt, has also contributed to its positive performance. This has allowed Garmin to raise its annual sales forecast for the crucial holiday shopping period.</t>
  </si>
  <si>
    <t>In addition, Garmin's valuation metrics, such as its P/E ratio and PEG ratio, suggest that the stock may be undervalued compared to its expected growth. The company's price/sales and price/book ratios also indicate that the stock may be trading at a discount.</t>
  </si>
  <si>
    <t>Overall, Garmin's recent financial performance and positive outlook make it a potentially attractive investment opportunity in the Consumer Electronics industry. However, as with any investment, it is important for investors to conduct their own research and carefully consider their risk tolerance before making any decisions. Overall, Garmin's recent financial performance and positive outlook make it a potentially attractive investment opportunity in the Consumer Electronics industry. However, as with any investment, it is important for investors to conduct their own research and carefully consider their risk tolerance before making any decisions.</t>
  </si>
  <si>
    <t>FSLR,85,"</t>
  </si>
  <si>
    <t>Investment Report: First Solar (FSLR) is a leading player in the solar electrification industry, offering affordable and high-quality green investment opportunities. Despite a recent decline in share prices, the company's strong performance in the third quarter of 2023, with a 27.4% increase in sales and a 19.6% beat on earnings, indicates a promising future. With a market cap of 15.21B and a forward P/E of 11.05, FSLR shares are currently trading at an attractive price point for new investment. The company's established position in the industry and potential for future growth make it a strong contender for long-term investment.</t>
  </si>
  <si>
    <t>XOM,85,"</t>
  </si>
  <si>
    <t>Investment Report: ExxonMobil</t>
  </si>
  <si>
    <t>ExxonMobil is a leading player in the Integrated Oil &amp; Gas industry, with a strong focus on organic growth. However, recent market conditions have made acquisitions more profitable, and the company may need to consider this strategy to maintain its competitive edge.</t>
  </si>
  <si>
    <t>The latest financial data shows a market cap of $418.64B and an enterprise value of $426.95B. The trailing P/E ratio of 10.49 and forward P/E ratio of 10.32 indicate that the stock is currently undervalued. The PEG ratio of 1.69 suggests that the stock may be slightly overvalued in the long term, but this is not a major concern.</t>
  </si>
  <si>
    <t>ExxonMobil's price/sales ratio of 1.27 and price/book ratio of 2.10 are both below the industry average, indicating that the stock may be undervalued compared to its peers. The enterprise value/revenue ratio of 1.23 and enterprise value/EBITDA ratio of 5.35 also suggest that the stock is currently undervalued.</t>
  </si>
  <si>
    <t>The recent news of industry insiders buying ExxonMobil stock is a positive sign, indicating a recovery phase rather than a market top. This, coupled with the expected continuation of consolidation in the industry, bodes well for the company's future growth.</t>
  </si>
  <si>
    <t>Overall, ExxonMobil's strong financials and potential for growth make it a promising investment opportunity in the Integrated Oil &amp; Gas industry.</t>
  </si>
  <si>
    <t>EXPE,85,"</t>
  </si>
  <si>
    <t>Investment Report: Expedia Group (EXPE)</t>
  </si>
  <si>
    <t>Expedia Group (EXPE) is a leading online travel company that operates a portfolio of well-known brands, including Expedia, Hotels.com, and Vrbo. The company provides a platform for booking flights, hotels, rental cars, and other travel-related services. With the recent lifting of COVID-19 restrictions and the reopening of international borders, the travel industry is expected to see a significant rebound, which could benefit Expedia's business.</t>
  </si>
  <si>
    <t>Expedia's latest financial data shows a market cap of $13.66 billion and an enterprise value of $13.91 billion. The company's trailing P/E ratio is 16.78, while the forward P/E ratio is 8.08, indicating potential growth in earnings. The PEG ratio of 0.21 suggests that the stock may be undervalued, considering its expected earnings growth. Additionally, the price/sales ratio of 1.25 and price/book ratio of 7.77 are both below the industry average, making the stock potentially attractive for investors.</t>
  </si>
  <si>
    <t>Firm News:</t>
  </si>
  <si>
    <t>Expedia is set to release its Q3 earnings report, and analysts are expecting the company to beat revenue and earnings estimates. The stock has already seen an 8% increase this year, and with the expected positive earnings report, it may continue to trade higher. The lifting of COVID-19 restrictions and the rebound in the travel industry could also contribute to the company's growth.</t>
  </si>
  <si>
    <t>ORCL,85,"</t>
  </si>
  <si>
    <t>Oracle Corporation, a leading company in the Application Software industry, has been making headlines recently with its latest financial data and news. With a market cap of $283.25B and an enterprise value of $360.11B, Oracle is a major player in the industry. Its trailing P/E ratio of 30.68 and forward P/E ratio of 18.59 suggest that the company is currently trading at a premium, but its PEG ratio of 1.19 indicates potential for future growth.</t>
  </si>
  <si>
    <t>One of the latest news items surrounding Oracle is its inclusion in Warren Buffett's watchlist. The Oracle of Omaha has expressed his admiration for companies with pricing power, and Oracle's recent sales growth, boosted by menu price increases, aligns with this trait. This could be a positive sign for investors, as Buffett's investment strategies are highly regarded in the financial world.</t>
  </si>
  <si>
    <t>Oracle's financial data also paints a promising picture. With a price/sales ratio of 5.65 and a price/book ratio of 119.52, the company's stock may be considered overvalued by some. However, its enterprise value/revenue ratio of 7.07 and enterprise value/EBITDA ratio of 18.42 suggest that the company's valuation may be justified by its revenue and earnings.</t>
  </si>
  <si>
    <t>Overall, Oracle Corporation appears to be in a strong position in the Application Software industry. Its recent financial data and inclusion in Warren Buffett's watchlist suggest potential for growth and stability. However, investors should carefully consider their own risk tolerance and conduct further research before making any investment decisions.</t>
  </si>
  <si>
    <t>ON,85,"</t>
  </si>
  <si>
    <t>Investment Report: ON Semiconductor is a leading player in the semiconductor industry, providing innovative solutions for a wide range of applications. The recent news of a stock collapse has caught the attention of investors, but it may present a buying opportunity for those looking to invest in the company.</t>
  </si>
  <si>
    <t>The company is facing challenges in the automotive industry, including inventory issues and high interest rates. However, these challenges are not unique to ON Semiconductor and are affecting the industry as a whole. The company has also lowered its silicon carbide revenue for 2023, which may have contributed to the recent stock decline.</t>
  </si>
  <si>
    <t>Despite these challenges, ON Semiconductor's valuation has normalized, making it an attractive investment opportunity. The market has quickly priced in the challenges faced by the company, and its stock has lost most of its gains over the past year. This presents an opportunity for investors to buy into the company at a more reasonable valuation.</t>
  </si>
  <si>
    <t>In terms of financial data, ON Semiconductor has a strong market cap of 27.93B and an enterprise value of 28.73B. Its trailing P/E ratio of 13.07 and forward P/E ratio of 13.59 indicate that the stock is currently undervalued. The PEG ratio of 1.30 also suggests that the stock has growth potential.</t>
  </si>
  <si>
    <t>Furthermore, ON Semiconductor's price/sales ratio of 3.49 and price/book ratio of 3.73 are in line with industry averages, indicating that the stock is not overvalued. Its enterprise value/revenue ratio of 3.45 and enterprise value/EBITDA ratio of 8.56 also suggest that the company is financially stable.</t>
  </si>
  <si>
    <t>Overall, ON Semiconductor's recent stock decline presents a buying opportunity for investors. The company's strong financials and attractive valuation make it a promising investment in the semiconductor industry.</t>
  </si>
  <si>
    <t>OXY,85,"</t>
  </si>
  <si>
    <t>According to the latest financial data, Occidental Petroleum has a market cap of $54.68B and an enterprise value of $83.50B. The company's trailing P/E ratio is 10.44, which is lower than the industry average, indicating that the stock may be undervalued. Additionally, the forward P/E ratio of 11.53 suggests that the company's earnings are expected to grow in the future.</t>
  </si>
  <si>
    <t>Furthermore, Occidental Petroleum's price/sales ratio of 1.92 and price/book ratio of 2.67 are both below the industry average, indicating that the stock may be trading at a discount. The company's enterprise value/revenue and enterprise value/EBITDA ratios of 2.65 and 4.88, respectively, also suggest that the stock may be undervalued.</t>
  </si>
  <si>
    <t>Overall, Occidental Petroleum's financial data paints a positive picture of the company's financial health and potential for growth. While the recent news of being left out of major energy deals may have caused some concern, the company's strong financial position and potential for future growth make it a promising investment opportunity.</t>
  </si>
  <si>
    <t>NRG,85,"</t>
  </si>
  <si>
    <t>NRG Energy (NRG) is a leading independent power producer in the energy industry. The company's stock has recently surged towards a one-year high, driven by positive news and analyst upgrades. Guggenheim has turned bullish on NRG Energy, raising their rating to buy and increasing their stock price target. This comes just a day before the company is set to release its latest earnings report.</t>
  </si>
  <si>
    <t>The third-quarter earnings for NRG Energy are expected to show strong growth, thanks to high demand for energy due to extreme heat in its service territories. Additionally, the company's systematic repurchase of shares may also contribute to its earnings. These factors, along with the positive sentiment from analysts, make NRG Energy an attractive investment opportunity.</t>
  </si>
  <si>
    <t>In terms of financial data, NRG Energy has a market cap of $9.71B and an enterprise value of $22.25B. The company's forward P/E ratio is at a low 7.04, indicating potential undervaluation. The PEG ratio of 2.82 suggests that the stock may be undervalued compared to its expected growth. NRG Energy also has a low price-to-sales ratio of 0.32 and a reasonable price-to-book ratio of 3.62. However, the company's enterprise value to revenue ratio of 0.73 and enterprise value to EBITDA ratio of -20.87 may raise some concerns.</t>
  </si>
  <si>
    <t>Overall, NRG Energy appears to be in a strong position with positive news and financial data. The company's stock has the potential for growth and may be undervalued, making it a promising investment opportunity.</t>
  </si>
  <si>
    <t>QRVO,85,"</t>
  </si>
  <si>
    <t>Investment Report: Qorvo (QRVO) is a leading semiconductor company that designs and manufactures radio frequency solutions for mobile, infrastructure, and defense applications. The company recently reported strong earnings and revenue for the second quarter, surpassing analyst expectations. This is a positive sign for the company and its investors, as it demonstrates its ability to perform well in a competitive market.</t>
  </si>
  <si>
    <t>In terms of financial data, Qorvo has a market cap of $8.56 billion and an enterprise value of $9.86 billion. Its forward P/E ratio of 17.42 and PEG ratio of 1.36 suggest that the stock may be undervalued. Additionally, its price/sales ratio of 2.78 and price/book ratio of 2.25 are in line with industry averages, indicating a fair valuation. However, its enterprise value/revenue ratio of 3.10 and enterprise value/EBITDA ratio of 24.91 are slightly higher than industry averages, which may be a cause for concern.</t>
  </si>
  <si>
    <t>Overall, Qorvo's recent earnings and financial data suggest a positive outlook for the company. Its strong performance in the second quarter and its competitive position in the semiconductor industry make it a potential investment opportunity. However, investors should closely monitor the company's valuation metrics and industry trends before making any investment decisions.</t>
  </si>
  <si>
    <t>PGR,85,"  Enterprise Value/EBITDA  12.86</t>
  </si>
  <si>
    <t>Progressive Corporation (PGR) is a leading property and casualty insurance company that has been outpacing its finance peers this year. The latest financial data shows a strong market cap of $92.50B and an enterprise value of $99.71B. The company's trailing P/E ratio of 34.37 and forward P/E ratio of 21.19 indicate a positive outlook for future earnings. Additionally, the PEG ratio of 0.27 suggests that the stock may be undervalued compared to its expected growth rate.</t>
  </si>
  <si>
    <t>In terms of valuation, Progressive's price/sales ratio of 1.58 and price/book ratio of 5.32 are in line with industry averages, indicating a fair valuation. The company's enterprise value/revenue ratio of 1.70 and enterprise value/EBITDA ratio of 12.86 also suggest that the stock may be trading at a reasonable price.</t>
  </si>
  <si>
    <t>Overall, Progressive Corporation appears to be in a strong financial position and has been performing well compared to its peers in the finance sector. With a positive outlook for future earnings and a fair valuation, the stock may present a potential investment opportunity.</t>
  </si>
  <si>
    <t>PPL,85,"</t>
  </si>
  <si>
    <t>Investment Report: PPL Corporation is a leading electric utility company with a strong track record of performance and innovation. The company is set to release its third-quarter 2023 earnings, and based on recent news and financial data, there are positive indicators for potential investment value.</t>
  </si>
  <si>
    <t>PPL's use of new technology and cost-saving measures in operation and maintenance are expected to contribute to its third-quarter results. This demonstrates the company's commitment to efficiency and staying ahead of industry trends.</t>
  </si>
  <si>
    <t>In terms of financial data, PPL's market cap and enterprise value are both strong, indicating a stable financial position. The company's trailing P/E and forward P/E ratios are also favorable, suggesting potential for growth. Additionally, the PEG ratio, which measures the relationship between a company's P/E ratio and its expected earnings growth, is at a reasonable level.</t>
  </si>
  <si>
    <t>PPL's price/sales and price/book ratios are also within a healthy range, indicating that the company's stock is not overvalued. The enterprise value/revenue and enterprise value/EBITDA ratios are also favorable, further supporting the company's strong financial standing.</t>
  </si>
  <si>
    <t>Overall, based on the recent news and financial data, PPL Corporation appears to be in a good position for potential investment value in the electric utilities industry. However, as with any investment, it is important to conduct thorough research and consider all factors before making any decisions.</t>
  </si>
  <si>
    <t>PYPL,85,"</t>
  </si>
  <si>
    <t>PayPal Holdings Inc (NASDAQ:PYPL) has recently reported strong 3Q results, beating analyst estimates on both the top and bottom lines. The company's non-GAAP EPS reached $1.30, surpassing the forecasted $1.22. Additionally, PayPal has raised its full-year profit forecast above Wall Street estimates, banking on resilient consumer spending trends during the key holiday shopping season.</t>
  </si>
  <si>
    <t>The company's stock has remained under pressure this year, but analysts expect a modest year-over-year improvement in revenue and EPS for the third quarter. PayPal has also received approval from the Financial Conduct Authority to offer crypto-asset activities in the UK, which could open up new opportunities for the company.</t>
  </si>
  <si>
    <t>With a market cap of $56.88B and a forward P/E of 9.25, PayPal's stock is currently undervalued compared to its peers in the Transaction &amp; Payment Processing Services industry. Its PEG ratio of 0.44 also suggests that the stock may be undervalued, making it an attractive investment opportunity.</t>
  </si>
  <si>
    <t>Overall, PayPal's strong financial performance, positive forecast, and potential for growth in the crypto-asset market make it a promising investment option in the Transaction &amp; Payment Processing Services industry.</t>
  </si>
  <si>
    <t>EQIX,85,"</t>
  </si>
  <si>
    <t>Equinix (EQIX) is a leading global provider of data center and interconnection solutions, serving over 10,000 customers worldwide. The recent news of the company being upgraded to a Zacks Rank #2 (Buy) is a positive development for investors. This upgrade reflects growing optimism about the company's earnings prospects, which could potentially drive the stock higher in the near term.</t>
  </si>
  <si>
    <t>In terms of financial data, Equinix has a strong market cap of $68.54B and an enterprise value of $83.56B. The company's trailing P/E ratio of 78.59 and forward P/E ratio of 65.79 indicate that the stock may be slightly overvalued, but this could be justified by its strong growth potential. The PEG ratio of 3.31 also suggests that the stock may be slightly overvalued, but this could be due to the company's strong earnings growth potential.</t>
  </si>
  <si>
    <t>Equinix's price/sales ratio of 8.59 and price/book ratio of 5.77 are both higher than the industry average, indicating that the stock may be trading at a premium. However, this could be due to the company's strong financial performance and market position. The enterprise value/revenue ratio of 10.51 and enterprise value/EBITDA ratio of 25.76 also suggest that the stock may be trading at a premium, but this could be justified by the company's strong revenue and earnings growth potential.</t>
  </si>
  <si>
    <t>Overall, Equinix appears to be in a strong financial position and has a positive outlook for future earnings. The recent upgrade to a Zacks Rank #2 (Buy) further supports this positive outlook. However, investors should carefully monitor the stock's valuation and keep an eye on any potential market volatility.</t>
  </si>
  <si>
    <t>ENPH,85,"</t>
  </si>
  <si>
    <t>Enphase Energy, Inc. (ENPH) has been making headlines recently as one of the most watched stocks by investors. The company's latest financial data shows a market cap of 10.87B and an enterprise value of 10.38B. With a trailing P/E of 19.94 and a forward P/E of 22.42, Enphase Energy's valuation may seem high compared to its industry peers. However, the company's strong performance in key metrics and potential for growth make it a stock worth considering.</t>
  </si>
  <si>
    <t>Enphase Energy's recent forecast for weak fourth-quarter 2023 results has caused some concern among investors. However, the entire solar market is currently facing a downturn, and analysts do not expect a recovery until at least the middle of 2024. Despite this, Enphase Energy is holding up well in key metrics, such as its price/sales ratio of 4.26 and its price/book ratio of 10.71. These metrics suggest that the company's stock may be undervalued compared to its industry peers.</t>
  </si>
  <si>
    <t>Furthermore, Enphase Energy's strong business model and government funding benefits have helped it stand out during this down cycle. The company's enterprise value/revenue ratio of 3.83 and enterprise value/EBITDA ratio of 13.88 indicate that it is efficiently utilizing its resources and generating strong returns for investors.</t>
  </si>
  <si>
    <t>Overall, Enphase Energy's recent financial data and market performance suggest that it is a strong player in the electronic components industry. While the current market downturn may cause some short-term volatility, the company's potential for growth and strong performance in key metrics make it a stock to watch for potential investment opportunities.</t>
  </si>
  <si>
    <t>HUM,85,"  Enterprise Value/EBITDA  10.86</t>
  </si>
  <si>
    <t>Humana (HUM) is a leading health insurance company in the Managed Health Care industry. The recent Q3 earnings report for Humana showed strong performance, with earnings beating estimates and projected growth for 2023. The company's individual MA unit was a key contributor to this success. Additionally, Humana's key metrics, such as net income and revenue, also beat analyst estimates.</t>
  </si>
  <si>
    <t>In terms of financial data, Humana has a market cap of $64.89B and an enterprise value of $60.88B. Its trailing P/E ratio is 19.50 and its forward P/E ratio is 16.31, indicating potential growth in the future. The PEG ratio of 1.11 suggests that the stock may be undervalued. Humana also has a low price-to-sales ratio of 0.67 and a price-to-book ratio of 3.85, indicating potential value for investors. Its enterprise value/revenue and enterprise value/EBITDA ratios are also relatively low, at 0.62 and 10.86 respectively.</t>
  </si>
  <si>
    <t>Overall, Humana's recent performance and financial data suggest a positive outlook for the company. With projected growth and strong earnings, Humana may be a good investment opportunity in the Managed Health Care industry.</t>
  </si>
  <si>
    <t>UPS,85,"</t>
  </si>
  <si>
    <t>United Parcel Service, Inc. (UPS) is a leading player in the Air Freight &amp; Logistics industry, providing delivery and logistics services to customers worldwide. The recent news of UPS planning to hire 60,000 seasonal workers for the upcoming holiday season is a positive sign for the company's growth and potential earnings. This hiring spree, along with the starting wages of $23 an hour, reflects the company's strong financial position and its ability to invest in its workforce.</t>
  </si>
  <si>
    <t>In terms of financial data, UPS has a market cap of $119.45B and an enterprise value of $137.61B. Its trailing P/E ratio of 14.19 and forward P/E ratio of 14.16 indicate that the stock is currently undervalued. The PEG ratio of 2.78 suggests that the stock may be slightly overvalued, but this could be justified by the company's strong growth potential. Additionally, UPS has a low price-to-sales ratio of 1.55 and a healthy price-to-book ratio of 6.23, indicating that the stock is trading at a reasonable price.</t>
  </si>
  <si>
    <t>Furthermore, UPS has a strong enterprise value/revenue ratio of 1.43 and an enterprise value/EBITDA ratio of 8.08, which are both below the industry average. This suggests that the company is generating strong revenues and profits, making it an attractive investment opportunity.</t>
  </si>
  <si>
    <t>Overall, the recent news and financial data suggest that UPS is in a strong position for growth and has the potential to provide good returns for investors. However, as with any investment, it is important to conduct thorough research and consider all factors before making any decisions.</t>
  </si>
  <si>
    <t>APTV,85,"</t>
  </si>
  <si>
    <t>Aptiv (APTV) is a leading company in the Automotive Parts &amp; Equipment industry with a market cap of $24.66B and an enterprise value of $30.36B. The latest financial data shows a positive outlook for the company, with a trailing P/E of 26.42 and a forward P/E of 13.93, indicating potential growth in earnings. The PEG ratio of 0.65 also suggests that the stock may be undervalued compared to its expected growth rate.</t>
  </si>
  <si>
    <t>Furthermore, Aptiv has a strong balance sheet with a price/sales ratio of 1.23 and a price/book ratio of 2.67, indicating that the stock is trading at a reasonable valuation. The company also has a solid enterprise value/revenue ratio of 1.58 and an enterprise value/EBITDA ratio of 12.12, which are both below the industry average.</t>
  </si>
  <si>
    <t>In addition, recent earnings estimate revisions have been favorable for Aptiv, and the company has a positive Zacks Earnings ESP heading into the upcoming earnings season. This suggests that the company may surprise investors with better-than-expected earnings.</t>
  </si>
  <si>
    <t>Overall, Aptiv appears to be in a strong financial position and has the potential for growth in the near future. However, as with any investment, it is important to conduct thorough research and consider all factors before making any decisions.</t>
  </si>
  <si>
    <t>APA,85,"</t>
  </si>
  <si>
    <t>APA Corporation (APA) recently reported its third-quarter earnings, beating Wall Street estimates for profit. The company's strong performance can be attributed to a rise in production and healthy crude prices. APA's market cap stands at $12.20B, with an enterprise value of $17.74B. Its trailing P/E ratio is 8.14, while the forward P/E ratio is 5.82. The price/sales ratio is 1.37, and the price/book ratio is 17.21. The enterprise value/revenue ratio is 1.94, and the enterprise value/EBITDA ratio is 3.43.</t>
  </si>
  <si>
    <t>Overall, APA Corporation appears to be in a strong financial position, with a solid performance in the latest quarter. The company's strong production and favorable crude prices bode well for its future earnings. However, investors should closely monitor any potential changes in the oil and gas industry, as well as global economic conditions, which could impact APA's performance.</t>
  </si>
  <si>
    <t>AWK,85,"</t>
  </si>
  <si>
    <t>American Water Works (AWK) is a leading company in the water utilities industry, providing essential services to millions of customers across the United States. With a recent market cap of $22.90B and an enterprise value of $34.36B, AWK has a strong financial standing in the industry. The company has a trailing P/E ratio of 24.46 and a forward P/E ratio of 22.88, indicating a reasonable valuation for investors.</t>
  </si>
  <si>
    <t>One of the most attractive aspects of AWK for investors is its dividend yield. The company has consistently paid dividends to its shareholders and currently has a dividend yield of 1.44%. This makes AWK a great dividend stock, providing a steady stream of income for investors.</t>
  </si>
  <si>
    <t>In terms of financial performance, AWK has a PEG ratio of 3.01, which is slightly higher than the industry average. However, the company's price-to-sales ratio of 5.41 and price-to-book ratio of 2.36 are both lower than the industry average, indicating a potential undervaluation of the stock.</t>
  </si>
  <si>
    <t>Furthermore, AWK has a strong balance sheet with a low debt-to-equity ratio of 0.92. This indicates that the company has a manageable level of debt and is not heavily reliant on borrowing to finance its operations.</t>
  </si>
  <si>
    <t>Overall, American Water Works (AWK) appears to be a solid investment option in the water utilities industry. With a strong financial standing, consistent dividend payments, and a potential undervaluation, AWK has the potential to provide attractive returns for investors.</t>
  </si>
  <si>
    <t>AEE,85,"</t>
  </si>
  <si>
    <t>Investment Report: Ameren (AEE) is a leading multi-utility company with a strong financial position and a positive outlook for earnings growth. The latest financial data shows a market cap of $19.89B and an enterprise value of $35.89B. The trailing P/E ratio is 17.73 and the forward P/E ratio is 16.08, indicating a potential undervaluation of the stock. The PEG ratio of 2.24 suggests that the stock may be slightly overvalued based on its expected earnings growth. However, the price/sales ratio of 2.42 and price/book ratio of 1.86 are both below the industry average, indicating a potential value opportunity for investors.</t>
  </si>
  <si>
    <t>Ameren is expected to report strong earnings in its upcoming report, with a combination of positive market conditions and efficient operations. This could lead to a potential earnings beat and drive the stock price higher. The company's enterprise value/revenue ratio of 4.39 and enterprise value/EBITDA ratio of 10.87 are both below the industry average, indicating a potential undervaluation of the stock.</t>
  </si>
  <si>
    <t>Overall, Ameren (AEE) appears to be a solid investment opportunity in the multi-utilities industry. With a strong financial position and potential for earnings growth, the stock may be undervalued and could provide attractive returns for investors.</t>
  </si>
  <si>
    <t>AMD,85,"Investment Report:</t>
  </si>
  <si>
    <t>Advanced Micro Devices (AMD) has been making headlines recently with its optimistic outlook for AI-powered chips and its potential to catch up to market leader Nvidia. Despite lowering its guidance, the company's shares have jumped over 9% and continue to show strong growth potential.</t>
  </si>
  <si>
    <t>In the latest quarter, AMD reported a double beat on earnings and revenue, driven by solid client growth. The company's MI300 product line has been hailed as a competitor to Nvidia, further boosting investor confidence.</t>
  </si>
  <si>
    <t>Additionally, AMD's recent announcement of expected revenue of over $2 billion from its data center GPU revenue in 2024 has further fueled optimism for the company's future growth potential.</t>
  </si>
  <si>
    <t>However, there are some concerns about the company's embedded business and its weak revenue growth. The company's guidance for the fourth quarter has also added to fears about future AI opportunities.</t>
  </si>
  <si>
    <t>Despite these concerns, AMD's stock price has shown signs of support at critical levels and is currently oversold, presenting a potential buying opportunity for investors.</t>
  </si>
  <si>
    <t>Based on the recent financial data and news, I assign a score of 85 to AMD's potential investment value in the next month. The company's strong growth potential in the AI market and its competitive product line make it an attractive investment option. However, investors should closely monitor the company's performance and guidance in the coming months to make informed investment decisions.</t>
  </si>
  <si>
    <t>VZ,85,"</t>
  </si>
  <si>
    <t>Verizon Communications (VZ) recently announced the appointment of Tony Skiadas as its permanent chief financial officer, a move that is expected to bring stability and continuity to the company's financial leadership. This news comes as Verizon also upgraded its forecast for free cash flow, indicating strong financial performance and potential for future growth. Additionally, VZ offers a high dividend yield of 8%, well above the S&amp;P 500 average, making it an attractive option for income-seeking investors.</t>
  </si>
  <si>
    <t>In terms of financial data, VZ has a market cap of $148.83B and an enterprise value of $316.69B. Its trailing P/E ratio is 7.12 and its forward P/E ratio is 7.61, both of which are lower than the industry average. The PEG ratio, which measures the stock's valuation relative to its expected earnings growth, is also favorable at 6.34. VZ's price/sales and price/book ratios are 1.11 and 1.52 respectively, indicating that the stock is undervalued compared to its peers. Its enterprise value/revenue and enterprise value/EBITDA ratios are also lower than the industry average, suggesting that VZ is a financially sound company.</t>
  </si>
  <si>
    <t>Overall, the recent news and financial data suggest that Verizon is in a strong position for potential growth and offers a solid dividend yield for investors. However, as with any investment, it is important to conduct thorough research and consider one's own financial goals and risk tolerance before making any decisions.</t>
  </si>
  <si>
    <t>TJX,85,"</t>
  </si>
  <si>
    <t>TJX Companies (TJX) is a leading apparel retail company with a strong momentum in the market. The recent Zacks Style Scores have given TJX a top rating, making it an attractive investment opportunity for investors. With a market cap of 100.76B and an enterprise value of 108.78B, TJX is a well-established and financially stable company.</t>
  </si>
  <si>
    <t>In terms of valuation, TJX has a trailing P/E ratio of 25.83 and a forward P/E ratio of 22.03, indicating that the stock is currently trading at a reasonable price. The PEG ratio of 1.80 suggests that the stock may be undervalued, making it an attractive investment opportunity.</t>
  </si>
  <si>
    <t>Furthermore, TJX has a strong financial position with a price/sales ratio of 2.01 and a price/book ratio of 15.25, indicating that the stock is trading at a discount compared to its industry peers. The enterprise value/revenue ratio of 2.12 and the enterprise value/EBITDA ratio of 17.46 also suggest that the stock is undervalued.</t>
  </si>
  <si>
    <t>Overall, TJX Companies has a strong financial position, a reasonable valuation, and a top rating from Zacks Style Scores, making it a promising investment opportunity in the apparel retail industry.</t>
  </si>
  <si>
    <t>ALB,85,"</t>
  </si>
  <si>
    <t>Albemarle Corporation (ALB) is a leading global producer of specialty chemicals, with a focus on lithium, bromine, and refining catalysts. The company recently reported its Q3 earnings, which showed a strong performance compared to Wall Street estimates and the year-ago numbers.</t>
  </si>
  <si>
    <t>In terms of revenue, Albemarle reported $1.2 billion, beating Wall Street estimates of $1.1 billion and showing a 12% increase from the same period last year. The company also reported an EPS of $1.50, surpassing the estimated $1.38 and showing a 22% increase from the previous year.</t>
  </si>
  <si>
    <t>Looking at key metrics, Albemarle's market cap stands at $14.88 billion, with an enterprise value of $16.79 billion. The trailing P/E ratio is at a low 3.81, while the forward P/E ratio is at 5.50, indicating potential undervaluation. The PEG ratio, which measures the stock's valuation relative to its expected growth, is at a low 0.24. The price/sales and price/book ratios are also relatively low at 1.55 and 1.52, respectively.</t>
  </si>
  <si>
    <t>Furthermore, Albemarle's enterprise value/revenue ratio is at 1.74, and the enterprise value/EBITDA ratio is at 4.79, both of which are below the industry average. This suggests that the company's stock may be undervalued compared to its peers.</t>
  </si>
  <si>
    <t>Overall, Albemarle Corporation has shown strong financial performance and has attractive valuation metrics. With a focus on key growth areas such as lithium, the company is well-positioned for future growth. Therefore, we assign a score of 85 for the potential investment value of Albemarle Corporation in the Specialty Chemicals industry for the next month.</t>
  </si>
  <si>
    <t>AKAM,85,"</t>
  </si>
  <si>
    <t>Akamai Technologies, Inc. (AKAM) is a leading provider of content delivery network and cloud services, serving over 300,000 customers worldwide. The company has been in the news recently due to its upcoming Q3 earnings report, which is expected to be released on October 26th. Akamai's stock has seen little change since 2021, but a strong earnings beat could potentially drive the stock higher.</t>
  </si>
  <si>
    <t>According to our estimates, Akamai's revenue for the quarter is expected to be around $944 million, slightly above consensus estimates and an 8% increase compared to the same period last year. This growth can be attributed to the increasing demand for online content and cloud services, which has been accelerated by the COVID-19 pandemic.</t>
  </si>
  <si>
    <t>In terms of financial data, Akamai has a market cap of $15.68 billion and an enterprise value of $18.17 billion. The company's trailing P/E ratio is 33.88, which is higher than the industry average, but its forward P/E ratio of 16.08 suggests that the stock may be undervalued. The PEG ratio of 2.01 also indicates that the stock may have growth potential. Additionally, Akamai's price/sales ratio of 4.42 and price/book ratio of 3.65 are in line with industry averages.</t>
  </si>
  <si>
    <t>Based on the latest financial data and news, we believe that Akamai has a strong potential for growth in the internet services and infrastructure industry. Therefore, we assign a score of 85 for the company's investment value for the next month.</t>
  </si>
  <si>
    <t>EOG,85,"</t>
  </si>
  <si>
    <t>EOG Resources (EOG) is a leading oil and gas exploration and production company with a strong track record of delivering value to its shareholders. The recent macro-economic news, including the increase in job openings and the stability of interest rates, bodes well for the energy sector and EOG Resources in particular. The company's latest financial data shows a solid market cap of $73.51B and a positive Zacks Earnings ESP heading into earnings season.</t>
  </si>
  <si>
    <t>With a trailing P/E of 8.51 and a forward P/E of 9.21, EOG Resources appears to be undervalued compared to its industry peers. The PEG ratio of 2.61 also suggests that the stock may be trading at a discount. Additionally, the company's price/sales ratio of 2.95 and price/book ratio of 2.80 are both below the industry average, indicating potential for growth.</t>
  </si>
  <si>
    <t>Furthermore, EOG Resources has a strong balance sheet with an enterprise value of $72.90B and a low debt-to-equity ratio of 0.30. This provides the company with financial flexibility to weather any potential market volatility.</t>
  </si>
  <si>
    <t>Overall, EOG Resources appears to be in a strong position to deliver positive earnings results and potentially surprise investors this earnings season. Based on the recent financial data and market conditions, I assign a score of 85 to EOG Resources for potential investment value in the next month.</t>
  </si>
  <si>
    <t>AOS,85,"</t>
  </si>
  <si>
    <t>A.O. Smith (AOS) is a leading company in the Building Products industry with a recent market cap of 10.37B and an enterprise value of 10.19B. The company's latest financial data shows a trailing P/E of 34.71 and a forward P/E of 18.18, indicating a potential undervaluation of the stock. Additionally, the PEG ratio of 1.82 suggests that the stock may be trading at a discount compared to its expected earnings growth.</t>
  </si>
  <si>
    <t>Recent earnings estimate revisions for A.O. Smith have been positive, indicating potential upside for the stock in the near term. This is further supported by the company's strong financials, with a price/sales ratio of 2.79 and a price/book ratio of 5.51, both below the industry average. The enterprise value/revenue ratio of 2.68 and the enterprise value/EBITDA ratio of 25.10 also suggest that the stock may be undervalued.</t>
  </si>
  <si>
    <t>Overall, A.O. Smith appears to be in a strong financial position with potential for growth in the near future. The recent surge in earnings estimates and the company's solid financials make it a promising investment opportunity in the Building Products industry.</t>
  </si>
  <si>
    <t>WYNN,85,"</t>
  </si>
  <si>
    <t>Wynn Resorts (WYNN) is a leading player in the Casinos &amp; Gaming industry, with a market cap of $10 billion and an enterprise value of $19.81 billion. The company's latest financial data shows a trailing P/E ratio of 52.91 and a forward P/E ratio of 20.53, indicating potential growth in earnings. Additionally, Wynn's PEG ratio of 0.53 suggests that the stock may be undervalued compared to its expected earnings growth.</t>
  </si>
  <si>
    <t>The company's price-to-sales ratio of 2.02 and price-to-book ratio of 12.01 are also relatively low compared to its industry peers, indicating potential value for investors. Wynn's enterprise value/revenue ratio of 4.03 and enterprise value/EBITDA ratio of 15.17 are also in line with industry averages, suggesting a stable financial position.</t>
  </si>
  <si>
    <t>With the upcoming earnings report, Wynn is expected to beat earnings expectations, making it a potential investment opportunity. However, investors should also consider potential risks, such as the impact of the ongoing COVID-19 pandemic on the gaming industry and any potential regulatory changes.</t>
  </si>
  <si>
    <t>WMB,85,"</t>
  </si>
  <si>
    <t>The Williams Companies, Inc. (WMB) is a well-run business with a strong track record of generating free cash flow and returning value to shareholders. With a dividend yield of over 5%, WMB offers an attractive investment opportunity in the Oil &amp; Gas Storage &amp; Transportation industry. The recent market environment has seen high demand for natural gas, and projections suggest this trend will continue, making WMB a promising investment option.</t>
  </si>
  <si>
    <t>WMB's latest financial data shows a market cap of $41.84B and an enterprise value of $65.74B. The trailing P/E ratio is 15.43, and the forward P/E ratio is 18.38, indicating a potential undervaluation of the stock. The PEG ratio of 2.06 suggests that the stock may be slightly overvalued, but this is offset by the strong dividend yield and potential for future growth.</t>
  </si>
  <si>
    <t>With a price/sales ratio of 3.65 and a price/book ratio of 3.59, WMB's stock is trading at a reasonable valuation compared to its industry peers. The enterprise value/revenue ratio of 5.71 and the enterprise value/EBITDA ratio of 9.56 also indicate that the stock may be undervalued.</t>
  </si>
  <si>
    <t>Overall, the Williams Companies, Inc. presents a strong investment opportunity in the Oil &amp; Gas Storage &amp; Transportation industry. With a solid track record of generating free cash flow and a focus on returning value to shareholders, WMB has the potential to provide a strong return on investment. Based on the recent financial data and market trends, I assign a score of 85 to WMB's potential investment value for the next month.</t>
  </si>
  <si>
    <t>WDC,85,"</t>
  </si>
  <si>
    <t>Investment Report: Western Digital</t>
  </si>
  <si>
    <t>Western Digital, a leading company in the Technology Hardware, Storage &amp; Peripherals industry, has recently reported positive news regarding storage end demand and pricing. This has led us to maintain our buy rating on the company's stock.</t>
  </si>
  <si>
    <t>In the first quarter of 2024, Western Digital's results and outlook for the next quarter have confirmed our belief that storage end demand and pricing will continue to improve. This is expected to lead to a reacceleration of top-line growth in the coming year, as flash pricing recovers and cloud HDD storage spend increases.</t>
  </si>
  <si>
    <t>In terms of financial data, Western Digital currently has a market cap of $13.01B and an enterprise value of $18.65B. The company's price-to-sales ratio is at a healthy 1.13, and its price-to-book ratio is 1.29. Additionally, the enterprise value to revenue ratio is 1.65, indicating a strong valuation for the company. However, the enterprise value to EBITDA ratio is at -15.05, which may be a cause for concern.</t>
  </si>
  <si>
    <t>Overall, we believe that Western Digital is in a strong position for growth in the coming months, with positive developments in storage end demand and pricing. Therefore, we maintain our buy rating on the company's stock.</t>
  </si>
  <si>
    <t>INTC,85,"</t>
  </si>
  <si>
    <t>Intel Corporation (INTC) is a leading player in the semiconductor industry, providing innovative solutions for a wide range of computing and communication needs. The recent news of increased investor interest in the company is a testament to its strong reputation and potential for growth.</t>
  </si>
  <si>
    <t>In terms of financial data, Intel has a market cap of $157.21B and an enterprise value of $181.06B. Its forward P/E ratio of 20.79 and PEG ratio of 1.00 suggest that the stock may be undervalued, making it an attractive investment opportunity. Additionally, its price/sales ratio of 2.94 and price/book ratio of 1.54 indicate that the stock is trading at a reasonable price.</t>
  </si>
  <si>
    <t>Furthermore, Intel's enterprise value/revenue ratio of 3.43 and enterprise value/EBITDA ratio of 21.78 are in line with industry averages, indicating a stable financial position.</t>
  </si>
  <si>
    <t>Overall, Intel's strong financials and position in the semiconductor industry make it a promising investment option for the next month.</t>
  </si>
  <si>
    <t>IR,85,"</t>
  </si>
  <si>
    <t>Investment Report: Ingersoll Rand (IR) is a leading company in the Industrial Machinery &amp; Supplies &amp; Components industry with a recent market cap of $24.54B and an enterprise value of $26.13B. The company's latest financial data shows a trailing P/E ratio of 36.12 and a forward P/E ratio of 18.98, indicating a potential undervaluation of the stock. The PEG ratio of 1.27 also suggests that the stock may be trading at a discount compared to its expected growth rate.</t>
  </si>
  <si>
    <t>In terms of valuation, Ingersoll Rand's price/sales ratio of 3.84 and price/book ratio of 2.61 are both below the industry average, indicating a potential opportunity for investors. The company's enterprise value/revenue ratio of 4.05 and enterprise value/EBITDA ratio of 17.96 also suggest that the stock may be undervalued.</t>
  </si>
  <si>
    <t>In the latest quarter, Ingersoll Rand's earnings beat Wall Street estimates, indicating strong performance and potential for future growth. However, it is important to note that the company's key metrics have not yet fully recovered to pre-pandemic levels, which may present some risks for investors.</t>
  </si>
  <si>
    <t>Overall, Ingersoll Rand appears to be a promising investment opportunity in the Industrial Machinery &amp; Supplies &amp; Components industry. With a strong financial position and potential for growth, the stock may be worth considering for investors looking for long-term value.</t>
  </si>
  <si>
    <t>NI,85,"</t>
  </si>
  <si>
    <t>Investment Report: NiSource (NI) is a multi-utility company that recently reported its Q3 earnings, beating estimates with a profit of $0.19 per share. This is a significant improvement from the same period last year when the company earned $0.10 per share. The company's success can be attributed to its systematic capital investments and lower operating and maintenance expenses.</t>
  </si>
  <si>
    <t>NiSource (NI) has a market cap of $10.40B and an enterprise value of $24.02B. Its trailing P/E ratio is 17.47, and its forward P/E ratio is 15.06, indicating potential growth in the future. The PEG ratio of 2.08 suggests that the stock may be undervalued, and the price-to-sales ratio of 1.92 is lower than the industry average, making it an attractive investment opportunity.</t>
  </si>
  <si>
    <t>The company's strong financial position is reflected in its price-to-book ratio of 1.71 and its enterprise value/revenue ratio of 4.11. Additionally, its enterprise value/EBITDA ratio of 11.35 is lower than the industry average, indicating that the stock may be undervalued.</t>
  </si>
  <si>
    <t>Overall, NiSource (NI) has shown strong financial performance and has the potential for future growth. With its consistent investments and cost-saving measures, the company is well-positioned to continue its success in the multi-utilities industry.</t>
  </si>
  <si>
    <t>NFLX,85,"</t>
  </si>
  <si>
    <t>Netflix has been making headlines recently with the success of its ad-supported tier, which has attracted 15 million subscribers in just one year. This news, along with the company's strong financial data, makes it an attractive investment opportunity in the Movies &amp; Entertainment industry.</t>
  </si>
  <si>
    <t>The streaming giant's ad-supported tier has been a key factor in driving subscriber growth and revenue, as it offers a cheaper alternative to the ad-free options. This has helped Netflix maintain its position as a leader in the highly competitive streaming market. Additionally, the company's recent price hikes on its ad-free options show its confidence in its pricing power and ability to generate revenue.</t>
  </si>
  <si>
    <t>In terms of financials, Netflix has a market cap of 183.91B and an enterprise value of 190.34B. Its trailing P/E ratio of 41.94 and forward P/E ratio of 26.53 suggest that the stock may be slightly overvalued, but its PEG ratio of 1.68 indicates potential for future growth. The company also has a strong price-to-sales ratio of 5.79 and a price-to-book ratio of 8.32, indicating its strong financial health.</t>
  </si>
  <si>
    <t>Overall, Netflix's recent success with its ad-supported tier and its strong financial data make it a promising investment opportunity in the Movies &amp; Entertainment industry. However, investors should continue to monitor the company's performance and competition in the streaming market.</t>
  </si>
  <si>
    <t>MDLZ,85,"</t>
  </si>
  <si>
    <t>Mondelez International (MDLZ) is a leading global snack and food company, with a portfolio of well-known brands such as Oreo, Cadbury, and Ritz. The latest Q3 earnings report for the company showed strong performance, beating both revenue and earnings estimates.</t>
  </si>
  <si>
    <t>In terms of key metrics, Mondelez's revenue for the quarter was $7.2 billion, which was above Wall Street's estimate of $7.1 billion and a 4.5% increase from the same period last year. The company's earnings per share (EPS) also exceeded expectations, coming in at $0.82 compared to the estimated $0.78 per share.</t>
  </si>
  <si>
    <t>Mondelez's financial data also shows a strong position in the market, with a market cap of $90.07 billion and an enterprise value of $110.31 billion. The company's trailing P/E ratio of 22.00 and forward P/E ratio of 18.80 indicate a positive outlook for future earnings. Additionally, Mondelez's PEG ratio of 1.96 suggests that the stock may be undervalued compared to its expected growth.</t>
  </si>
  <si>
    <t>With a price/sales ratio of 2.67 and a price/book ratio of 3.14, Mondelez's stock is trading at a reasonable valuation. The company's enterprise value/revenue ratio of 3.23 and enterprise value/EBITDA ratio of 16.99 also indicate a strong financial position.</t>
  </si>
  <si>
    <t>Overall, Mondelez's latest earnings report and financial data suggest a positive outlook for the company. With a strong portfolio of brands and a solid financial position, Mondelez is well-positioned for future growth in the packaged foods and meats industry.</t>
  </si>
  <si>
    <t>MRNA,85,"</t>
  </si>
  <si>
    <t>Moderna (MRNA) is a biotechnology company that has been making headlines for its COVID-19 vaccine. The latest news surrounding the company suggests that it is on track to meet its sales target for 2023, which is a positive sign for investors. In this investment report, we will explore the recent analyst estimates for Moderna's Q3 earnings and evaluate projections for key metrics to gain a better understanding of the company's performance.</t>
  </si>
  <si>
    <t>According to analysts, Moderna is expected to meet the lower end of its sales target for this year. This is due to the fact that the company only needs to tap a small portion of the private market with its COVID vaccine to reach its goal. This is a promising sign for investors, as it shows that Moderna's COVID vaccine is in high demand and has the potential to generate significant revenue for the company.</t>
  </si>
  <si>
    <t>In terms of financial data, Moderna has a market cap of $28.91B and an enterprise value of $21.62B. Its trailing P/E ratio is 26.38, which is relatively high compared to the industry average. However, its price/sales ratio of 2.86 and price/book ratio of 1.71 are both lower than the industry average, indicating that the stock may be undervalued. Additionally, its enterprise value/revenue ratio of 2.05 and enterprise value/EBITDA ratio of 17.71 are also lower than the industry average, suggesting that the stock may be a good investment opportunity.</t>
  </si>
  <si>
    <t>Based on the recent news and financial data, Moderna appears to be in a strong position for the next month. The demand for its COVID vaccine is expected to continue, which could lead to strong sales and revenue growth. However, investors should closely monitor the company's Q3 earnings and key metrics to gain a better understanding of its performance and make informed investment decisions.</t>
  </si>
  <si>
    <t>MSFT,85,"</t>
  </si>
  <si>
    <t>Microsoft, a leading technology company, has been making headlines with its latest developments in the AI space. The recent launch of an AI-powered chatbot and other generative AI tools for Premium members on LinkedIn, which now boasts over 1 billion members, is a testament to the company's commitment to innovation and growth.</t>
  </si>
  <si>
    <t>In addition, Microsoft's AI Copilot, which was launched in September and is now available for Office app business subscribers, has the potential to become a major revenue driver for the company. According to reports, this AI tool could add $10 billion to Microsoft's yearly revenue by 2026, assuming just 18% of eligible users sign up.</t>
  </si>
  <si>
    <t>Looking at the firm's financial data, Microsoft has a strong market cap of 2.57 trillion and an enterprise value of 2.51 trillion. Its trailing P/E ratio of 33.53 and forward P/E ratio of 31.15 suggest that the stock may be slightly overvalued, but its PEG ratio of 2.40 indicates potential for future growth. The company also has a healthy price/sales ratio of 11.84 and price/book ratio of 11.65, indicating strong financials.</t>
  </si>
  <si>
    <t>Overall, Microsoft's recent developments in the AI space and its strong financials make it a promising investment opportunity. However, investors should closely monitor the company's progress in the AI market and its ability to generate revenue from its AI tools.</t>
  </si>
  <si>
    <t>AFL,85,"Investment Report:</t>
  </si>
  <si>
    <t>Aflac (AFL) is a leading life and health insurance company with a strong track record of financial performance. The recent Q3 earnings report showed positive results, with the company beating Wall Street estimates and surpassing its year-ago actuals. This is a promising sign for investors, as it indicates that Aflac is continuing to grow and generate profits.</t>
  </si>
  <si>
    <t>In terms of key metrics, Aflac's market cap and enterprise value are both strong, indicating a stable financial position. The trailing P/E ratio of 10.47 is lower than the industry average, suggesting that the stock may be undervalued. Additionally, the forward P/E ratio of 12.80 is also lower than the industry average, indicating potential for future growth.</t>
  </si>
  <si>
    <t>Aflac's price/sales and price/book ratios are also in line with industry averages, indicating that the stock is fairly valued. The enterprise value/revenue ratio of 2.56 is slightly higher than the industry average, but still within a reasonable range.</t>
  </si>
  <si>
    <t>Overall, Aflac appears to be a solid investment choice in the life and health insurance industry. Its strong financial performance and stable metrics suggest potential for growth and a solid dividend payout for shareholders. However, as with any investment, it is important for investors to conduct their own research and carefully consider their risk tolerance before making any decisions.</t>
  </si>
  <si>
    <t>CARR,85,"</t>
  </si>
  <si>
    <t>Investment Report: Carrier Global (CARR) is a leading company in the Building Products industry, providing innovative and sustainable solutions for heating, air conditioning, and refrigeration systems. The recent financial data for the company shows a strong market cap of $39.99B and an enterprise value of $45.34B. With a trailing P/E of 33.80 and a forward P/E of 16.45, the company's valuation appears to be reasonable. Additionally, the PEG ratio of 1.67 suggests that the stock may be undervalued, making it an attractive investment opportunity.</t>
  </si>
  <si>
    <t>Furthermore, Carrier Global's price/sales ratio of 1.84 and price/book ratio of 4.89 are both below the industry average, indicating that the stock may be undervalued compared to its peers. The company's enterprise value/revenue ratio of 2.05 and enterprise value/EBITDA ratio of 16.43 also suggest that the stock may be undervalued, making it an attractive investment opportunity.</t>
  </si>
  <si>
    <t>In addition to its strong financials, Carrier Global has a strong growth potential. The company's innovative and sustainable solutions for heating, air conditioning, and refrigeration systems make it well-positioned to capitalize on the growing demand for energy-efficient products. With a strong focus on research and development, Carrier Global is constantly evolving and adapting to meet the changing needs of its customers.</t>
  </si>
  <si>
    <t>Based on the recent financial data and the company's growth potential, Carrier Global appears to be a strong growth stock in the Building Products industry. However, as with any investment, it is important to conduct thorough research and analysis before making any investment decisions.</t>
  </si>
  <si>
    <t>CAH,85,"</t>
  </si>
  <si>
    <t>Cardinal Health (CAH) is a leading player in the Health Care Distributors industry, providing essential medical products and services to healthcare providers and pharmacies. The company's latest financial data shows a market cap of $22.42B and an enterprise value of $23.08B. With a trailing P/E ratio of 91.00 and a forward P/E ratio of 13.59, the stock appears to be undervalued compared to its industry peers. Additionally, the PEG ratio of 1.74 suggests that the stock may be trading at a discount to its expected growth rate.</t>
  </si>
  <si>
    <t>The company's first-quarter fiscal 2024 results are expected to show strong performance in the Pharmaceutical segment, which accounts for the majority of its revenue. This is a positive sign for investors, as the pharmaceutical industry has been resilient during the pandemic and is expected to continue its growth trajectory in the coming years.</t>
  </si>
  <si>
    <t>However, it is worth noting that Cardinal Health's enterprise value to EBITDA ratio of 16.22 is higher than the industry average, indicating that the stock may be slightly overvalued. This could be a concern for investors, as it may limit potential upside in the stock.</t>
  </si>
  <si>
    <t>Overall, Cardinal Health appears to be in a strong financial position and is well-positioned to benefit from the growth in the healthcare industry. However, investors should closely monitor the company's performance and keep an eye on any potential risks, such as increasing competition and regulatory changes.</t>
  </si>
  <si>
    <t>CZR,85,"</t>
  </si>
  <si>
    <t>Caesars Entertainment (CZR) has reported strong earnings and revenue growth in its latest third-quarter results, driven by solid performance in its Regional, Caesars Digital, and Las Vegas segments. This has led to a positive market response, with shares of CZR up. The company's digital segment has also shown profitability for the second consecutive quarter, highlighting its potential for growth and profitability in the online gaming market.</t>
  </si>
  <si>
    <t>In terms of financial data, CZR has a market cap of $8.58B and an enterprise value of $20.01B. Its trailing P/E ratio is 12.50 and forward P/E ratio is 10.28, indicating a relatively low valuation. The price/sales ratio of 0.75 and price/book ratio of 1.89 also suggest that the stock may be undervalued. However, the enterprise value/revenue ratio of 1.75 and enterprise value/EBITDA ratio of 6.04 may indicate that the stock is slightly overvalued compared to its peers in the Casinos &amp; Gaming industry.</t>
  </si>
  <si>
    <t>Overall, Caesars Entertainment's strong performance and potential for growth in the digital segment make it an attractive investment opportunity. However, investors should closely monitor macroeconomic risks and the company's valuation metrics before making any investment decisions.</t>
  </si>
  <si>
    <t>CHRW,85,"</t>
  </si>
  <si>
    <t>C.H. Robinson Worldwide (CHRW) has recently reported strong earnings for the third quarter, surpassing analyst estimates. The company's earnings per share of $0.84 beat the Zacks Consensus Estimate of $0.82, and were an improvement from the $1.78 per share reported a year ago. This positive earnings report is a promising sign for the company's financial performance.</t>
  </si>
  <si>
    <t>In terms of financial data, C.H. Robinson has a market cap of $9.53B and an enterprise value of $11.41B. The company's trailing P/E ratio is 18.35, which is slightly lower than the industry average of 20.86. Its forward P/E ratio of 19.01 suggests that the company's earnings are expected to continue growing in the future. Additionally, C.H. Robinson's price/sales ratio of 0.49 and price/book ratio of 6.86 indicate that the stock may be undervalued compared to its peers.</t>
  </si>
  <si>
    <t>Furthermore, C.H. Robinson's enterprise value/revenue ratio of 0.57 and enterprise value/EBITDA ratio of 13.55 are both lower than the industry averages, indicating that the company may be undervalued in terms of its revenue and earnings. This could present a potential investment opportunity for investors.</t>
  </si>
  <si>
    <t>BG,85,"</t>
  </si>
  <si>
    <t>Investment Report: Bunge Limited (BG) is a leading global agribusiness and food company, providing essential ingredients to feed and fuel the world. The company has a strong presence in the agricultural products and services industry, with a market cap of $15.40B and an enterprise value of $19.22B.</t>
  </si>
  <si>
    <t>Recent Performance: Bunge Limited (BG) has outperformed its sector, with a year-to-date return of 22.5%, compared to the sector's return of 17.3%. This is a positive sign for the company, indicating its strong performance and potential for growth.</t>
  </si>
  <si>
    <t>Financial Data: Bunge Limited (BG) has a trailing P/E ratio of 8.20 and a forward P/E ratio of 8.84, which are both lower than the industry average. This suggests that the stock may be undervalued, making it an attractive investment opportunity. The PEG ratio of 1.71 also indicates potential for growth, as it is below the industry average of 2.00.</t>
  </si>
  <si>
    <t>The company's price/sales ratio of 0.26 and price/book ratio of 1.38 are also lower than the industry average, further supporting the undervaluation of the stock. Additionally, Bunge Limited (BG) has a strong financial position, with an enterprise value/revenue ratio of 0.31 and an enterprise value/EBITDA ratio of 5.39.</t>
  </si>
  <si>
    <t>Overall, Bunge Limited (BG) appears to be in a strong financial position and has shown strong performance in the agricultural products and services industry. With its undervalued stock and potential for growth, the company may present a good investment opportunity for the next month.</t>
  </si>
  <si>
    <t>BXP,85,"</t>
  </si>
  <si>
    <t>Investment Report: Boston Properties (BXP) is a real estate investment trust (REIT) that owns and operates office properties in major cities across the United States. The recent Q3 earnings report for BXP showed strong performance, with key metrics exceeding Wall Street estimates and year-ago actuals.</t>
  </si>
  <si>
    <t>In terms of financial data, BXP has a market cap of $8.40B and an enterprise value of $22.73B. Its trailing P/E ratio of 12.66 and forward P/E ratio of 22.47 indicate that the stock may be undervalued, as the industry average for office REITs is around 30. Additionally, BXP's PEG ratio of 4.12 suggests that the stock may have room for growth.</t>
  </si>
  <si>
    <t>BXP's price/sales ratio of 2.63 and price/book ratio of 1.39 are both below the industry average, indicating that the stock may be undervalued. Its enterprise value/revenue ratio of 7.10 and enterprise value/EBITDA ratio of 10.68 are also lower than the industry average, suggesting that the stock may be a good value for investors.</t>
  </si>
  <si>
    <t>Overall, BXP's strong Q3 earnings and favorable financial metrics make it a promising investment opportunity in the office REITs industry. However, as with any investment, it is important for investors to conduct their own research and carefully consider their risk tolerance before making any decisions.</t>
  </si>
  <si>
    <t>BKNG,85,"</t>
  </si>
  <si>
    <t>Booking Holdings (BKNG) is a leading player in the Hotels, Resorts &amp; Cruise Lines industry, providing online travel and related services to customers worldwide. The recent macro-economic news, including the reopening of international borders and the global rollout of COVID-19 vaccines, bodes well for the company's business. Additionally, the company's latest financial data shows a strong market cap and a positive Zacks Earnings ESP heading into earnings season.</t>
  </si>
  <si>
    <t>BKNG's market cap stands at a robust $99.57B, with an enterprise value of $98.91B. The company's trailing P/E ratio of 24.47 and forward P/E ratio of 16.98 indicate a positive outlook for its earnings. The PEG ratio of 0.65 also suggests that the stock may be undervalued, making it an attractive investment opportunity.</t>
  </si>
  <si>
    <t>Furthermore, BKNG's price/sales ratio of 5.53 and price/book ratio of 34.36 are higher than the industry average, indicating strong investor confidence in the company's future growth potential. The enterprise value/revenue ratio of 5.44 and enterprise value/EBITDA ratio of 15.93 also suggest that the company is efficiently managing its operations and generating strong returns for its shareholders.</t>
  </si>
  <si>
    <t>Overall, the recent macro-economic developments and the company's strong financial data make BKNG a promising investment option in the Hotels, Resorts &amp; Cruise Lines industry. Investors should closely monitor the company's earnings report and outlook for any potential surprises.</t>
  </si>
  <si>
    <t>BLK,85,"</t>
  </si>
  <si>
    <t>BlackRock, one of the world's largest asset management and custody banks, has recently announced its entry into the booming sector of cryptocurrency. This move by the company's CEO, Larry Fink, shows a willingness to adapt and innovate in the ever-changing financial landscape. This decision could potentially open up new revenue streams for the company and attract a younger demographic of investors.</t>
  </si>
  <si>
    <t>In terms of financial data, BlackRock has a strong market cap of $91.75B and an enterprise value of $94.64B. Its trailing P/E ratio of 17.23 and forward P/E ratio of 17.57 suggest that the stock is currently trading at a reasonable valuation. However, its PEG ratio of 3.55 indicates that the stock may be slightly overvalued compared to its expected growth rate.</t>
  </si>
  <si>
    <t>BlackRock's price/sales ratio of 5.29 and price/book ratio of 2.40 are in line with industry averages, indicating that the stock is not significantly undervalued or overvalued. Its enterprise value/revenue ratio of 5.39 and enterprise value/EBITDA ratio of 12.97 also suggest that the company is not overleveraged and has a strong financial position.</t>
  </si>
  <si>
    <t>Overall, BlackRock's recent move into the cryptocurrency sector and its strong financial data make it a promising investment opportunity. However, investors should closely monitor the company's performance and any potential risks associated with its entry into the volatile cryptocurrency market.</t>
  </si>
  <si>
    <t>BIIB,85,"</t>
  </si>
  <si>
    <t>Investment Report: Biogen Inc. (BIIB) is a biotechnology company that is expected to release its Q3 earnings report soon. Based on recent financial data, the company has a market cap of $34.40B and an enterprise value of $34.91B. Its trailing P/E ratio is 12.95 and its forward P/E ratio is 14.10, indicating potential undervaluation. However, its PEG ratio of 8.50 suggests a higher valuation compared to its expected earnings growth. The company's price/sales ratio of 3.46 and price/book ratio of 2.38 also indicate a potential undervaluation. Its enterprise value/revenue ratio of 3.50 and enterprise value/EBITDA ratio of 9.14 are in line with industry averages.</t>
  </si>
  <si>
    <t>Based on the latest news, Biogen Inc. is expected to beat earnings estimates in its upcoming report. This, combined with its undervalued metrics, makes it a potentially attractive investment opportunity in the biotechnology industry.</t>
  </si>
  <si>
    <t>AXON,85,"</t>
  </si>
  <si>
    <t>Investment Report: Axon Enterprise (AXON) is a leading company in the Aerospace &amp; Defense industry, providing innovative solutions for law enforcement agencies and military organizations. The company has recently surpassed market returns, closing at $207.15, which is a 1.3% increase from the previous trading session. This is a positive sign for investors, indicating the company's strong performance in the market.</t>
  </si>
  <si>
    <t>Axon Enterprise has a market cap of $15.29B and an enterprise value of $14.86B. Its trailing P/E ratio is 152.60, while the forward P/E ratio is 50.00, suggesting potential growth in the future. The price/sales ratio is 11.05, and the price/book ratio is 10.58, both of which are higher than the industry average. This indicates that the company's stock may be slightly overvalued, but it also reflects the market's confidence in the company's growth potential.</t>
  </si>
  <si>
    <t>Furthermore, Axon Enterprise has a strong financial position, with an enterprise value/revenue ratio of 10.88 and an enterprise value/EBITDA ratio of 107.63. This suggests that the company is generating significant revenue and has a healthy cash flow, which is essential for long-term growth and stability.</t>
  </si>
  <si>
    <t>Overall, Axon Enterprise has a strong market position and financial performance, making it a potential investment opportunity in the Aerospace &amp; Defense industry. However, investors should carefully monitor the company's financial reports and market trends to make informed investment decisions.</t>
  </si>
  <si>
    <t>ANET,85,"</t>
  </si>
  <si>
    <t>Arista Networks (ANET) has been making headlines as a top performer during this earnings season. The recent earnings report on October 30th exceeded expectations, leading to a 14% increase in stock price and reaching a new all-time high. This strong performance was further boosted by the news of Oracle (ORCL) becoming a new customer.</t>
  </si>
  <si>
    <t>With a market cap of 62.03B and an enterprise value of 57.62B, ANET is a significant player in the Communications Equipment industry. Its trailing P/E ratio of 33.34 and forward P/E ratio of 28.90 suggest that the stock may be slightly overvalued, but its PEG ratio of 1.64 indicates potential for future growth. Additionally, its price/sales ratio of 11.33 and price/book ratio of 9.54 are higher than the industry average, but still within a reasonable range.</t>
  </si>
  <si>
    <t>ANET's strong financials and recent positive news make it a compelling investment opportunity. Its focus on cloud solutions and the potential for continued growth in this sector make it a must-own stock in the current market. Investors who are looking for a leveraged position can consider using long call options to minimize risk while still benefiting from potential gains.</t>
  </si>
  <si>
    <t>MCK,85,"</t>
  </si>
  <si>
    <t>McKesson Corp, a leading drug distributor, has recently announced strong quarterly results and raised its annual profit forecast. This is due to the high demand for specialty medicines, which has boosted the company's financial performance. The firm's latest financial data shows a market cap of $61.43B and an enterprise value of $66.22B. Its trailing P/E ratio is 16.98 and forward P/E ratio is 17.54, indicating a positive outlook for future earnings. The PEG ratio of 2.67 suggests that the stock may be undervalued compared to its expected growth. Additionally, the price/sales ratio of 0.22 and price/book ratio of 5.04 are both below the industry average, making the stock potentially attractive for investors. However, the enterprise value/revenue ratio of 0.23 and enterprise value/EBITDA ratio of 11.86 may indicate that the stock is slightly overvalued. Overall, McKesson's strong financial performance and positive outlook make it a potential investment opportunity in the Health Care Distributors industry.</t>
  </si>
  <si>
    <t>MCD,85,"</t>
  </si>
  <si>
    <t>McDonald's (MCD) has recently reported strong financial results for the third quarter of 2023, with earnings and revenues beating expectations. This showcases the company's resilience and adaptability in the fast-food industry, as it continues to implement its ""Accelerating the Arches"" strategy focused on operational excellence and digital innovation.</t>
  </si>
  <si>
    <t>In addition, McDonald's recently announced that its rebranded Crispy Chicken Sandwiches, now known as the McCrispy, have become a $1 billion global brand. This highlights the success of the company's menu innovation and marketing efforts.</t>
  </si>
  <si>
    <t>From a financial standpoint, McDonald's has a strong market cap of $190.91B and an enterprise value of $237.76B. Its trailing P/E ratio of 23.10 and forward P/E ratio of 21.10 suggest that the stock may be undervalued. The PEG ratio of 1.74 also indicates potential for future growth.</t>
  </si>
  <si>
    <t>However, it is worth noting that McDonald's has a relatively high price/sales ratio of 7.69 and enterprise value/revenue ratio of 9.51. This may suggest that the stock is currently trading at a premium compared to its peers in the restaurant industry.</t>
  </si>
  <si>
    <t>Overall, McDonald's has a strong financial position and a proven track record of success in the fast-food industry. Its recent menu innovation and marketing efforts have shown promising results, and the company's focus on operational excellence and digital innovation bodes well for its future growth. However, investors should carefully consider the stock's valuation before making any investment decisions.</t>
  </si>
  <si>
    <t>LW,85,"Investment Report:</t>
  </si>
  <si>
    <t>Lamb Weston (LW) is a leading player in the packaged foods and meats industry, with a strong track record of growth and market-beating performance. The latest financial data shows a market cap of $13.01B and an enterprise value of $16.32B, indicating a solid financial position. The company's trailing P/E ratio of 12.92 and forward P/E ratio of 17.86 suggest that the stock is currently undervalued, making it an attractive investment opportunity.</t>
  </si>
  <si>
    <t>Furthermore, Lamb Weston's PEG ratio of 0.75 and price/sales ratio of 2.22 indicate that the stock is trading at a discount compared to its expected earnings growth and sales. This presents a potential for future growth and a strong investment case for the long-term.</t>
  </si>
  <si>
    <t>In addition, the company's strong financials are supported by its impressive enterprise value/revenue ratio of 2.77 and enterprise value/EBITDA ratio of 12.64, which are both below the industry average. This indicates that the stock is currently undervalued and has the potential for future growth.</t>
  </si>
  <si>
    <t>Based on the latest news and financial data, Lamb Weston (LW) has a strong potential for growth and market-beating performance in the long-term. The consensus price target of the stock suggests a 39.8% upside potential, further supporting its investment value. Investors should keep an eye on the stock and consider adding it to their portfolio for potential gains.</t>
  </si>
  <si>
    <t>KHC,85,"</t>
  </si>
  <si>
    <t>Kraft Heinz (KHC) has recently announced its third quarter results, which exceeded expectations and showed growth across its three core pillars. The global food company also made progress in improving its balance sheet, reaching a key net leverage milestone. As a result, the stock price has jumped, and the company has raised its full-year profit forecast.</t>
  </si>
  <si>
    <t>In the third quarter of 2023, Kraft Heinz reported adjusted earnings per share (EPS) of $0.72, a 14.3% increase over the same period last year and beating estimates of $0.66. This growth was driven by higher sales in three key pillars - foodservice, emerging markets, and U.S. Retail Grow platforms. The company's efforts to improve its balance sheet have also paid off, with a reduction in net leverage.</t>
  </si>
  <si>
    <t>Based on these strong results, Kraft Heinz has raised its full-year profit outlook and is projecting lower sales on the lower end of its guidance range. This is a positive sign for investors, as it shows the company's confidence in its future performance.</t>
  </si>
  <si>
    <t>In terms of financial data, Kraft Heinz has a market cap of $38.63B and an enterprise value of $57.68B. Its trailing P/E ratio is 12.29, and its forward P/E ratio is 10.66, indicating that the stock may be undervalued. The PEG ratio of 1.37 also suggests that the stock has growth potential. Additionally, the company's price/sales ratio of 1.42 and price/book ratio of 0.78 are lower than the industry average, making it an attractive investment opportunity.</t>
  </si>
  <si>
    <t>Overall, Kraft Heinz's recent performance and financial data indicate a positive outlook for the company. With its strong brand portfolio and efforts to improve its balance sheet, the stock has the potential for growth in the coming months. Therefore, we assign a score of 85 for the potential investment value of Kraft Heinz in the Packaged Foods &amp; Meats industry for the next month.</t>
  </si>
  <si>
    <t>JPM,85,"   Enterprise Value/Revenue    2.67</t>
  </si>
  <si>
    <t>JPMorgan Chase (JPM) is a leading commercial bank with a strong financial track record and a wide economic moat. The recent financial data shows a market cap of $401.68B and a trailing P/E ratio of 8.29, indicating that the stock is currently undervalued. The forward P/E ratio of 9.12 and PEG ratio of 2.76 suggest that the stock has room for growth in the future. Additionally, the price/sales and price/book ratios of 2.67 and 1.39, respectively, are in line with industry averages, indicating a fair valuation.</t>
  </si>
  <si>
    <t>JPMorgan's diverse portfolio of financial services and its massive scale give it a competitive advantage over its peers. The company has consistently shown strong financial performance since 2008, even during challenging economic conditions. This resilience is a testament to the bank's strong management and risk management practices.</t>
  </si>
  <si>
    <t>While there are concerns about potential future expectations and a potential recession, JPMorgan is well-equipped to handle any macroeconomic challenges. The company has a strong balance sheet, with a low debt-to-equity ratio and ample liquidity. This puts the bank in a good position to weather any economic downturns and potentially even capitalize on opportunities that may arise.</t>
  </si>
  <si>
    <t>Overall, JPMorgan Chase is a solid investment option in the diversified banks industry. Its strong financial performance, diverse portfolio, and competitive advantage make it a reliable choice for investors. However, as with any investment, it is essential to monitor market conditions and the company's performance regularly.</t>
  </si>
  <si>
    <t>IQV,85,"</t>
  </si>
  <si>
    <t>Investment Report: IQVIA Holdings (IQV) is a leading provider of advanced analytics, technology solutions, and contract research services to the life sciences industry. The company recently reported its Q3 earnings, surpassing estimates with a strong performance. This is a positive sign for investors, as it indicates the company's ability to navigate the challenges posed by the COVID-19 pandemic and continue to deliver strong financial results.</t>
  </si>
  <si>
    <t>IQVIA's latest financial data also reflects a healthy financial position, with a market cap of $33.11B and an enterprise value of $45.64B. The company's trailing P/E ratio of 31.07 and forward P/E ratio of 15.20 suggest that the stock is currently undervalued, making it an attractive investment opportunity. Additionally, IQVIA's PEG ratio of 1.32 indicates that the stock has strong growth potential.</t>
  </si>
  <si>
    <t>In terms of valuation, IQVIA's price/sales ratio of 2.32 and price/book ratio of 5.76 are in line with industry averages, indicating that the stock is reasonably priced. The company's enterprise value/revenue ratio of 3.11 and enterprise value/EBITDA ratio of 15.04 also suggest that the stock is trading at a fair value.</t>
  </si>
  <si>
    <t>Overall, IQVIA's strong financial performance, healthy financial position, and reasonable valuation make it a promising investment opportunity in the Life Sciences Tools &amp; Services industry. However, as with any investment, it is important for investors to conduct their own research and carefully consider their risk tolerance before making any investment decisions.</t>
  </si>
  <si>
    <t>INTU,85,"</t>
  </si>
  <si>
    <t>Intuit, a leading provider of accounting software, has recently announced the addition of new eCommerce management features to its QuickBooks Online platform. This move is expected to benefit small businesses by providing a centralized platform to manage inventory across multiple sales channels. This innovation highlights Intuit's commitment to continuously improve its products and cater to the evolving needs of its customers.</t>
  </si>
  <si>
    <t>In terms of financial data, Intuit has a strong market capitalization of 138.73B and an enterprise value of 141.75B. Its trailing P/E ratio of 58.79 and forward P/E ratio of 30.21 suggest that the company is currently trading at a premium, indicating positive investor sentiment. The PEG ratio of 2.13 also indicates that the stock may be slightly overvalued, but this could be justified by the company's strong growth potential.</t>
  </si>
  <si>
    <t>Intuit's price/sales ratio of 9.75 and price/book ratio of 8.03 are higher than the industry averages, which could be attributed to its dominant market position and strong financial performance. The company's enterprise value/revenue ratio of 9.87 and enterprise value/EBITDA ratio of 35.06 also suggest that it may be trading at a premium compared to its peers.</t>
  </si>
  <si>
    <t>Overall, Intuit's recent innovation and strong financial data make it a promising investment opportunity in the application software industry. However, investors should carefully consider the company's valuation and potential risks before making any investment decisions.</t>
  </si>
  <si>
    <t>AIZ,85,"Investment Report:</t>
  </si>
  <si>
    <t>Assurant (AIZ) has recently reported strong third-quarter earnings, surpassing expectations and showing improvements in key business segments. The company's Connected Living and Homeowners businesses performed well, and the absence of catastrophe reinstatement premiums also contributed to the positive results.</t>
  </si>
  <si>
    <t>In terms of key metrics, Assurant's earnings were higher than Wall Street estimates and the year-ago actuals. The company's market cap and enterprise value are also strong, indicating a solid financial position. However, its trailing P/E ratio of 23.09 may be a cause for concern, as it is higher than the industry average. On the other hand, its forward P/E ratio of 10.08 suggests potential growth in the future.</t>
  </si>
  <si>
    <t>Assurant's price/sales and price/book ratios are also relatively low, indicating potential undervaluation in the market. Its enterprise value/revenue ratio of 0.82 is also lower than the industry average, further supporting this notion.</t>
  </si>
  <si>
    <t>Overall, Assurant's recent financial performance and key metrics suggest a strong and stable company with potential for growth. However, investors should closely monitor the company's P/E ratio and industry trends to make informed investment decisions.</t>
  </si>
  <si>
    <t>WMT,85,"</t>
  </si>
  <si>
    <t>Walmart (WMT) is gearing up for the highly anticipated holiday shopping season with two ""Black Friday Deals"" events and a Cyber Monday event in November. This move is expected to attract more shoppers and provide the best savings for customers. Additionally, Walmart has recently completed the remodeling of 117 stores in 30 states, with plans to remodel a total of 1400 stores for a total cost of $9 billion. This investment in store renovations shows Walmart's commitment to providing a better shopping experience for its customers.</t>
  </si>
  <si>
    <t>In terms of financial data, Walmart has a strong market cap of $439.83B and an enterprise value of $490.74B. Its trailing P/E ratio of 31.43 and forward P/E ratio of 23.15 suggest that the stock may be slightly overvalued. However, its PEG ratio of 2.02 indicates that the stock may still have room for growth. Walmart's price/sales ratio of 0.70 and price/book ratio of 5.53 are both below the industry average, indicating that the stock may be undervalued. Its enterprise value/revenue ratio of 0.78 and enterprise value/EBITDA ratio of 14.14 also suggest that the stock may be undervalued.</t>
  </si>
  <si>
    <t>Overall, Walmart's recent news and financial data suggest a positive outlook for the company. The holiday shopping events and store renovations are expected to drive sales and attract more customers, while the financial data indicates that the stock may be undervalued. However, investors should continue to monitor the company's performance and industry trends before making any investment decisions.</t>
  </si>
  <si>
    <t>VTR,85,"</t>
  </si>
  <si>
    <t>Ventas (VTR) is a leading real estate investment trust (REIT) in the health care industry. The company owns and operates a diverse portfolio of senior housing, medical office, and life science properties. With the recent macro-economic news and the company's latest financial data, we believe that Ventas has the potential for a strong performance in the next month.</t>
  </si>
  <si>
    <t>Favorable senior housing operating trends, robust demand for life-science real estate assets, and accretive investments are expected to have a positive impact on Ventas' Q3 earnings. The company's focus on high-quality properties and strategic investments has positioned it well for growth in the current market conditions.</t>
  </si>
  <si>
    <t>In terms of financials, Ventas has a market cap of $17.08B and an enterprise value of $30.50B. Its trailing P/E ratio of 193.00 and price/sales ratio of 4.01 are in line with industry averages, indicating a fair valuation. Additionally, its price/book ratio of 1.71 and enterprise value/revenue ratio of 7.14 suggest that the company is undervalued compared to its peers.</t>
  </si>
  <si>
    <t>Based on the recent news and financial data, we assign a score of 85 to Ventas in the Health Care REITs industry for the next month. This score reflects the company's strong fundamentals, positive industry trends, and potential for growth. However, as with any investment, we recommend conducting thorough research and consulting with a financial advisor before making any decisions.</t>
  </si>
  <si>
    <t>TT,85,"</t>
  </si>
  <si>
    <t>Trane Technologies (TT) has had a strong performance in the third quarter of 2023, easily exceeding revenue and earnings estimates. The company's global bookings have also reached an all-time high, driven by its commercial HVAC business. This positive news has led to a jump in the company's stock price.</t>
  </si>
  <si>
    <t>In the third quarter, Trane Technologies reported a rise in both earnings and revenues compared to the same period last year. This is a positive sign for the company's financial health and growth potential. Additionally, the company's key metrics, such as market cap, trailing P/E, and price/sales ratio, are all in line with industry averages.</t>
  </si>
  <si>
    <t>Trane Technologies has a strong financial position, with a market cap of $43.47B and an enterprise value of $47.83B. Its P/E ratio of 23.21 and forward P/E ratio of 19.61 indicate that the stock may be slightly overvalued, but its PEG ratio of 1.85 suggests that it may still have room for growth. The company's price/sales ratio of 2.63 and price/book ratio of 6.94 are also in line with industry averages.</t>
  </si>
  <si>
    <t>Overall, Trane Technologies appears to be in a strong position for growth in the building products industry. Its recent financial performance and key metrics suggest that it may be a good investment opportunity for the next month.</t>
  </si>
  <si>
    <t>EA,85,"</t>
  </si>
  <si>
    <t>Investment Report: Electronic Arts (EA) is a leading player in the interactive home entertainment industry, known for its popular video game franchises such as FIFA, Madden, and The Sims. The latest financial data and news for the company show positive signs for its future growth and profitability.</t>
  </si>
  <si>
    <t>In its recent Q2 earnings report, EA beat analysts' estimates with earnings of $1.46 per share, compared to $1.28 per share a year ago. The company also raised its full-year profit outlook, citing the success of its revamped soccer franchise, ""FC 24."" This indicates that EA's strategic efforts to revamp and innovate its popular game franchises are paying off and driving growth.</t>
  </si>
  <si>
    <t>Furthermore, EA's net bookings for the September quarter were up 4%, reaching $1.82 billion, driven by the success of its newly renamed EA Sports FC soccer game. This shows that the company's focus on expanding its offerings and catering to the growing demand for sports games is resonating with consumers.</t>
  </si>
  <si>
    <t>In terms of financial data, EA's market cap and enterprise value are both strong at $33.54 billion and $32.88 billion, respectively. The company's P/E ratio of 38.21 is slightly higher than the industry average, but its forward P/E of 18.45 suggests that investors have confidence in its future earnings potential. Additionally, EA's PEG ratio of 0.99 indicates that the stock is undervalued compared to its expected earnings growth.</t>
  </si>
  <si>
    <t>Overall, the recent financial data and news for EA paint a positive picture for the company's future performance. Its strong earnings, raised profit outlook, and successful game releases demonstrate its ability to adapt and thrive in the competitive gaming industry. Therefore, we assign a score of 85 for the potential investment value of EA in the interactive home entertainment industry for the next month.</t>
  </si>
  <si>
    <t>ETN,85,"</t>
  </si>
  <si>
    <t>Eaton Corporation, a power management firm, has recently received high praise from Jim Cramer for its strong performance in the latest quarter. This sentiment is shared by Wall Street, as the company beat analysts' estimates for profits, driven by high demand for its electrical components and equipment.</t>
  </si>
  <si>
    <t>In terms of financial data, Eaton has a market cap of 82.96B and an enterprise value of 91.41B. Its trailing P/E ratio is 30.71 and its forward P/E ratio is 21.32, indicating potential growth in the future. The PEG ratio of 2.13 suggests that the stock may be undervalued. Additionally, the price/sales ratio of 3.78 and price/book ratio of 4.62 are both below the industry average, making the stock potentially attractive to investors.</t>
  </si>
  <si>
    <t>Furthermore, Eaton's enterprise value/revenue ratio of 4.04 and enterprise value/EBITDA ratio of 24.32 are both lower than the industry average, indicating that the stock may be undervalued compared to its peers.</t>
  </si>
  <si>
    <t>Overall, Eaton Corporation appears to be in a strong financial position and has received positive recognition from both experts and the market. Based on the recent news and financial data, the potential investment value for the company in the next month is Score: 85."</t>
  </si>
  <si>
    <t>DLR,85,"</t>
  </si>
  <si>
    <t>Investment Report: Digital Realty (DLR) is a leading data center REIT with a strong financial position and a bullish outlook for options traders. The latest commentary from Schaeffer's Weekend Trader options recommendation service highlights DLR as a potential investment opportunity, with a detailed options trade recommendation provided to subscribers.</t>
  </si>
  <si>
    <t>Firm Financial Data: DLR has a market cap of $37.66B and an enterprise value of $55.61B. The trailing P/E ratio is 43.03 and the forward P/E ratio is 98.04, indicating potential growth in the future. The PEG ratio of 3.08 suggests that the stock may be undervalued. DLR also has a price/sales ratio of 7.16 and a price/book ratio of 2.16, both of which are below the industry average. The enterprise value/revenue ratio of 10.41 and the enterprise value/EBITDA ratio of 18.03 indicate a strong financial position for the company.</t>
  </si>
  <si>
    <t>DVN,85,"</t>
  </si>
  <si>
    <t>Devon Energy (DVN) is a leading player in the Oil &amp; Gas Exploration &amp; Production industry with a market cap of $29.84B. The company's latest financial data shows a strong balance sheet, with a low trailing P/E ratio of 6.36 and a forward P/E ratio of 6.48. Additionally, its PEG ratio of 0.40 suggests that the stock may be undervalued, as it is trading at a discount to its expected earnings growth.</t>
  </si>
  <si>
    <t>Devon Energy's enterprise value of $36.06B is also relatively low compared to its market cap, indicating that the company may be undervalued by investors. Its price/sales ratio of 1.77 and price/book ratio of 2.71 further support this notion.</t>
  </si>
  <si>
    <t>The company's strong financials and undervalued stock price make it an attractive investment opportunity. However, it is important to note that the oil and gas industry is highly volatile and subject to external factors such as geopolitical tensions and natural disasters. Investors should carefully consider these risks before making any investment decisions.</t>
  </si>
  <si>
    <t>XRAY,85,"</t>
  </si>
  <si>
    <t>Dentsply Sirona (XRAY) is a leading company in the Health Care Supplies industry with a market cap of 6.44B and an enterprise value of 8.39B. The company has a strong track record of beating earnings estimates and is expected to continue this trend in its upcoming quarterly report.</t>
  </si>
  <si>
    <t>In terms of financial data, Dentsply Sirona has a trailing P/E ratio of 126.19 and a forward P/E ratio of 13.57, indicating potential undervaluation. The PEG ratio of 1.76 also suggests that the stock may be undervalued compared to its expected growth rate. Additionally, the price/sales and price/book ratios of 1.66 and 1.74 respectively, are below the industry average, making the stock potentially attractive to investors.</t>
  </si>
  <si>
    <t>However, it is worth noting that Dentsply Sirona has a negative enterprise value/EBITDA ratio of -10.34, which may indicate a high level of debt. This could be a potential risk for investors to consider.</t>
  </si>
  <si>
    <t>Overall, Dentsply Sirona appears to be in a strong financial position and has the potential for growth in the Health Care Supplies industry. Based on the latest financial data and news, the stock may be a good investment opportunity for the next month.</t>
  </si>
  <si>
    <t>CVS,85,"Investment Report:</t>
  </si>
  <si>
    <t>CVS Health (CVS) is a leading pharmacy chain and healthcare services company that has recently reported its third quarter earnings for 2023. The company delivered better-than-expected revenue and earnings, driven by strong sales growth across all three operating segments. However, CVS lowered its full-year earnings outlook due to elevated utilization trends in its Medicare Advantage business and lower-than-expected script volumes.</t>
  </si>
  <si>
    <t>Despite the positive earnings results, CVS's stock dropped by 4.2% after the company revised its guidance for unadjusted earnings per share for the third straight quarter. This may be attributed to concerns about the company's ability to manage costs and maintain profitability in the face of rising medical costs.</t>
  </si>
  <si>
    <t>However, CVS's strong performance in its pharmacy operations and healthcare services business is a positive sign for the company's long-term growth potential. The recent acquisitions of new healthcare services providers have also contributed to the company's profitability.</t>
  </si>
  <si>
    <t>Based on the latest financial data and news, CVS Health appears to be a solid investment opportunity in the Health Care Services industry. The company's low P/E ratio and PEG ratio suggest that the stock may be undervalued, making it an attractive option for investors. Additionally, the company's strong market position and diversified business segments provide stability and potential for growth.</t>
  </si>
  <si>
    <t>ED,85,"</t>
  </si>
  <si>
    <t>Consolidated Edison (ED) is a leading electric utility company with a strong presence in the Northeastern United States. The latest news for the company is positive, as ED recently broke out above the 20-day moving average, indicating a short-term bullish trend. This could be a good opportunity for investors to consider adding ED to their portfolio.</t>
  </si>
  <si>
    <t>In addition, ED is seeing favorable earnings estimate revisions and has a positive Zacks Earnings ESP heading into earnings season. This suggests that the company may outperform earnings expectations, which could lead to a positive impact on the stock price.</t>
  </si>
  <si>
    <t>From a financial standpoint, ED has a market cap of $30.28B and an enterprise value of $52.16B. The company's trailing P/E ratio of 12.60 and forward P/E ratio of 16.72 indicate that the stock may be undervalued. However, the PEG ratio of 2.65 suggests that the stock may be slightly overvalued based on its expected earnings growth.</t>
  </si>
  <si>
    <t>In terms of valuation multiples, ED has a price/sales ratio of 2.00 and a price/book ratio of 1.46, which are both below the industry average. This indicates that the stock may be trading at a discount compared to its peers. Additionally, the enterprise value/revenue and enterprise value/EBITDA ratios of 3.26 and 8.60, respectively, suggest that the stock may be undervalued based on its revenue and earnings.</t>
  </si>
  <si>
    <t>Overall, the recent news and financial data for Consolidated Edison (ED) suggest that the stock may be a good investment opportunity for the next month. However, as with any investment, it is important for investors to conduct their own research and consider their risk tolerance before making any decisions.</t>
  </si>
  <si>
    <t>CAG,85,"</t>
  </si>
  <si>
    <t>Investment Report: Conagra Brands in the Packaged Foods &amp; Meats Industry</t>
  </si>
  <si>
    <t>Conagra Brands, a leading consumer staples company, has been making headlines recently due to the potential shift in consumer purchasing habits. With a market cap of 13.08B and an enterprise value of 22.26B, Conagra is a major player in the packaged foods and meats industry.</t>
  </si>
  <si>
    <t>The latest financial data for Conagra shows a trailing P/E ratio of 12.16 and a forward P/E ratio of 10.10, indicating that the company's stock may be undervalued. Additionally, the PEG ratio of 0.60 suggests that Conagra's stock may have room for growth in the future. The price/sales ratio of 1.07 and price/book ratio of 1.47 also indicate that the stock may be trading at a discount.</t>
  </si>
  <si>
    <t>Furthermore, Conagra's enterprise value/revenue ratio of 1.81 and enterprise value/EBITDA ratio of 11.24 are both below the industry average, suggesting that the company may be undervalued compared to its peers.</t>
  </si>
  <si>
    <t>With the potential shift in consumer habits towards packaged foods and meats, Conagra is well-positioned to benefit from this trend. As more people continue to work from home and cook meals at home, the demand for Conagra's products may increase, leading to potential growth in sales and earnings.</t>
  </si>
  <si>
    <t>Based on the recent financial data and potential market trends, I assign a score of 85 to Conagra Brands in the Packaged Foods &amp; Meats industry for the next month.</t>
  </si>
  <si>
    <t>CL,85,"</t>
  </si>
  <si>
    <t>Colgate-Palmolive (CL) is a leading household products company that has been gaining momentum in the market. The recent Zacks Style Scores have given CL a top rating, making it a potential pick for investors. Additionally, the stock has recently broken out above the 200-day moving average, indicating a long-term bullish trend.</t>
  </si>
  <si>
    <t>In terms of financial data, CL has a strong market cap of $61.70B and an enterprise value of $69.47B. Its trailing P/E ratio of 39.23 and forward P/E ratio of 21.79 suggest that the stock may be slightly overvalued, but its PEG ratio of 2.47 indicates potential for future growth. The price/sales ratio of 3.26 and price/book ratio of 156.16 also suggest that the stock may be slightly overvalued, but its strong enterprise value/revenue ratio of 3.63 and enterprise value/EBITDA ratio of 19.30 indicate a solid financial position.</t>
  </si>
  <si>
    <t>Overall, Colgate-Palmolive (CL) has a strong financial standing and is showing positive momentum in the market. With its recent breakout above the 200-day moving average and top rating from Zacks Style Scores, CL may be a good long-term investment option for investors.</t>
  </si>
  <si>
    <t>CRM,85,"</t>
  </si>
  <si>
    <t>Investment Report: Salesforce Inc. (CRM) is a leading company in the Application Software industry, providing cloud-based customer relationship management solutions to businesses of all sizes. The recent news and financial data suggest that the company is in a strong position, making it a potential investment opportunity for the next month.</t>
  </si>
  <si>
    <t>Salesforce has been trending among investors, with its stock price seeing significant growth in recent months. The company's latest financial data shows a market cap of $195.41B and an enterprise value of $195.81B. Its trailing P/E ratio of 125.52 and forward P/E ratio of 21.37 indicate that the stock may be slightly overvalued, but its PEG ratio of 1.07 suggests that it may still be a good investment opportunity.</t>
  </si>
  <si>
    <t>In terms of valuation, Salesforce's price/sales ratio of 6.01 and price/book ratio of 3.36 are higher than the industry average, but its enterprise value/revenue ratio of 5.92 and enterprise value/EBITDA ratio of 23.28 are in line with the industry average. This suggests that the stock may be slightly overvalued, but not significantly.</t>
  </si>
  <si>
    <t>Overall, the recent news and financial data indicate that Salesforce is a strong company with potential for growth in the Application Software industry. However, investors should carefully consider their investment strategies and risk tolerance before making any decisions.</t>
  </si>
  <si>
    <t>SRE,85,"</t>
  </si>
  <si>
    <t>Sempra Energy (SRE) is a leading player in the Multi-Utilities industry, providing essential energy services to millions of customers in the United States and Mexico. The recent news and financial data suggest a positive outlook for the company in the upcoming earnings season.</t>
  </si>
  <si>
    <t>Favorable weather patterns are expected to have a positive impact on Sempra's Q3 results, which could lead to an increase in revenue and earnings. The company's strong market position and diverse portfolio of energy assets also provide a stable foundation for future growth.</t>
  </si>
  <si>
    <t>In terms of financials, Sempra has a solid market cap of $44.07B and an enterprise value of $74.86B. Its trailing P/E ratio of 17.75 and forward P/E ratio of 14.60 indicate that the stock is reasonably priced. Additionally, its price/sales ratio of 2.61 and price/book ratio of 1.64 suggest that the stock is undervalued compared to its industry peers.</t>
  </si>
  <si>
    <t>Furthermore, Sempra's enterprise value/revenue ratio of 4.36 and enterprise value/EBITDA ratio of 14.26 are in line with industry averages, indicating a healthy financial position.</t>
  </si>
  <si>
    <t>Overall, the recent news and financial data suggest a positive outlook for Sempra Energy in the upcoming earnings season. The company's strong market position, diverse portfolio, and solid financials make it a potential investment opportunity in the Multi-Utilities industry.</t>
  </si>
  <si>
    <t>RSG,85,"</t>
  </si>
  <si>
    <t>Republic Services (RSG) is a leading player in the environmental services sector, providing waste management and recycling services to residential, commercial, and industrial customers. The company has a strong track record of consistent dividend growth, outperforming the S&amp;P 500 and exhibiting lower volatility. RSG's focus on sustainability and growth through strategic acquisitions has positioned it well for future success.</t>
  </si>
  <si>
    <t>RSG's latest financial data shows a market cap of $46.72B and an enterprise value of $58.74B. The company's trailing P/E ratio of 28.78 and forward P/E ratio of 25.45 indicate a premium valuation, but this is justified by RSG's strong financials. The PEG ratio of 2.59 suggests that the stock may be slightly overvalued, but this is offset by the company's consistent dividend hikes and recent buyback program.</t>
  </si>
  <si>
    <t>The environmental services industry is expected to see continued growth in the coming years, driven by increasing awareness and regulations around sustainability and waste management. RSG's focus on sustainability and strategic acquisitions positions it well to capitalize on this growth.</t>
  </si>
  <si>
    <t>Based on the latest financial data and industry outlook, RSG is a strong investment opportunity. The company's strong financials, consistent dividend growth, and focus on sustainability make it a compelling choice for investors. The consensus price target of $167 further supports this, indicating potential upside for the stock.</t>
  </si>
  <si>
    <t>REGN,85,"</t>
  </si>
  <si>
    <t>Investment Report: Regeneron (REGN) is a biotechnology company that has been making headlines with its innovative treatments and strong financial performance. The latest news from the company includes Wall Street's estimates for its Q3 performance, which can provide valuable insights for potential investors.</t>
  </si>
  <si>
    <t>According to Wall Street analysts, Regeneron is expected to report strong top and bottom-line results for the quarter ended September 2023. However, it is also important to look at other key metrics to gain a deeper understanding of the company's performance.</t>
  </si>
  <si>
    <t>In terms of financial data, Regeneron has a market cap of $84.66B and an enterprise value of $78.44B. Its trailing P/E ratio is 20.62, which is slightly higher than the industry average. However, its forward P/E ratio of 17.61 suggests that the company is expected to have strong earnings growth in the future.</t>
  </si>
  <si>
    <t>The PEG ratio, which takes into account the company's expected earnings growth, is at 1.68, indicating that the stock may be slightly overvalued. However, its price/sales ratio of 7.00 and price/book ratio of 3.53 are in line with the industry averages.</t>
  </si>
  <si>
    <t>One important metric to note is the enterprise value/revenue ratio, which is at 6.34 for Regeneron. This suggests that the company is generating strong revenue relative to its enterprise value. Additionally, the enterprise value/EBITDA ratio of 15.42 is also lower than the industry average, indicating that the company is generating strong earnings.</t>
  </si>
  <si>
    <t>Overall, Regeneron's financial data and Wall Street estimates suggest a positive outlook for the company. However, it is important for investors to conduct their own research and analysis before making any investment decisions.</t>
  </si>
  <si>
    <t>RTX,85,"</t>
  </si>
  <si>
    <t>RTX Corporation (RTX) is a leading company in the Aerospace &amp; Defense industry with a recent market cap of $118.12B and an enterprise value of $149.45B. The company has faced challenges in recent months due to a costly engine issue, which has caused a decline in its stock price. However, the latest third-quarter results have shown promising signs of the issue being under control and have reminded investors of the long-term potential of the company.</t>
  </si>
  <si>
    <t>In October, RTX stock was able to regain some altitude, with investors showing renewed interest in the company. This was reflected in the heavy search activity for RTX on Zacks.com, indicating that investors are closely monitoring the stock.</t>
  </si>
  <si>
    <t>The company's financial data also shows positive signs, with a trailing P/E of 37.86 and a forward P/E of 15.70, indicating potential for growth. The PEG ratio of 3.38 suggests that the stock may be undervalued, making it an attractive investment opportunity. Additionally, the price/sales and price/book ratios of 1.80 and 1.70, respectively, are also favorable for investors.</t>
  </si>
  <si>
    <t>Based on the recent news and financial data, RTX Corporation appears to be a promising investment in the Aerospace &amp; Defense industry. However, investors should continue to monitor the company's progress and any potential risks in the industry.</t>
  </si>
  <si>
    <t>RL,85,"</t>
  </si>
  <si>
    <t>Ralph Lauren Corporation (RL) is a leading luxury fashion brand with a strong history of beating earnings estimates. The company's latest earnings report showed an impressive surprise, and it is expected to continue this trend in its upcoming quarterly report. With a market cap of 7.34B and an enterprise value of 8.50B, RL is a well-established player in the Apparel, Accessories &amp; Luxury Goods industry.</t>
  </si>
  <si>
    <t>The company's financial data also reflects its strong position in the market. With a trailing P/E of 14.41 and a forward P/E of 12.48, RL's stock is currently undervalued compared to its industry peers. Its PEG ratio of 1.19 suggests that the stock has room for growth, and its price/sales and price/book ratios of 1.19 and 3.01, respectively, indicate that the stock is trading at a reasonable price.</t>
  </si>
  <si>
    <t>Furthermore, RL's enterprise value/revenue and enterprise value/EBITDA ratios of 1.32 and 8.83, respectively, are in line with industry averages, indicating a healthy financial position.</t>
  </si>
  <si>
    <t>Overall, RL's strong earnings history, undervalued stock, and healthy financials make it a promising investment opportunity in the Apparel, Accessories &amp; Luxury Goods industry.</t>
  </si>
  <si>
    <t>QCOM,85,"</t>
  </si>
  <si>
    <t>Qualcomm (QCOM) recently reported its Q4 earnings for the quarter ended September 2023, beating analysts' expectations with earnings of $2.02 per share and revenue of $8.7 billion. This marks a significant improvement from the previous year's earnings of $3.13 per share. The company's strong performance has led to a rise in its stock price, breaking a streak of post-quarterly-results losses.</t>
  </si>
  <si>
    <t>In addition to beating estimates, Qualcomm also provided strong guidance for the current quarter, with expected revenue growth compared to the same period last year. This is a positive sign for investors and reflects the company's continued success in the semiconductor industry.</t>
  </si>
  <si>
    <t>Looking at the firm's financial data, Qualcomm has a market cap of $121.64B and an enterprise value of $128.46B. Its trailing P/E ratio is 14.27 and forward P/E ratio is 11.85, indicating a potential undervaluation of the stock. The PEG ratio of 1.05 also suggests that the stock may be trading at a discount compared to its expected growth.</t>
  </si>
  <si>
    <t>With a price/sales ratio of 3.18 and price/book ratio of 5.89, Qualcomm's valuation appears to be in line with industry standards. Its enterprise value/revenue ratio of 3.33 and enterprise value/EBITDA ratio of 10.71 also indicate a relatively healthy financial position.</t>
  </si>
  <si>
    <t>Overall, Qualcomm's latest earnings report and strong guidance for the current quarter suggest a positive outlook for the company. With a solid financial position and potential for growth, Qualcomm may be a valuable investment opportunity in the semiconductor industry.</t>
  </si>
  <si>
    <t>KO,85,"</t>
  </si>
  <si>
    <t>The Coca-Cola Company (KO) has recently announced a strong quarter, leading to an increase in its 2023 outlook. This is the second time the company has raised its outlook, indicating confidence in its future performance. Despite this positive news, the stock has underperformed, creating a potential buying opportunity for investors.</t>
  </si>
  <si>
    <t>In addition, legendary investor Warren Buffett has stated that he would never sell his shares in Coca-Cola, citing the company's outstanding business and management. He also believes that brands that contribute to the future of America are worth investing in.</t>
  </si>
  <si>
    <t>Looking at the latest financial data, Coca-Cola has a market cap of $244.01B and an enterprise value of $268.75B. Its trailing P/E ratio is 22.85, and its forward P/E ratio is 20.16, indicating a potential undervaluation. The PEG ratio of 2.63 suggests that the stock may be trading at a discount compared to its expected growth. Additionally, its price/sales ratio of 5.44 and price/book ratio of 9.27 are relatively low compared to its industry peers.</t>
  </si>
  <si>
    <t>Based on the recent news and financial data, Coca-Cola appears to be a strong investment opportunity in the soft drinks and non-alcoholic beverages industry. Its strong brand, management, and positive outlook make it a promising long-term investment. Therefore, we assign a score of 85 for the potential investment value of Coca-Cola Company for the next month.</t>
  </si>
  <si>
    <t>CRL,85,"</t>
  </si>
  <si>
    <t>Charles River Laboratories (CRL) is a leading company in the Life Sciences Tools &amp; Services industry, providing essential products and services to support the research and development of new drugs and therapies. The recent news surrounding the company's upcoming Q3 earnings report suggests a potential decline in earnings, which may cause concern for investors. However, there are several factors that indicate a positive outlook for the company in the long term.</t>
  </si>
  <si>
    <t>One of the key drivers of Charles River's success is its CRADLE initiative, which focuses on providing innovative solutions for drug discovery and development. This initiative, along with the company's strong research models in North America and China, is expected to have maintained its growth momentum in the third quarter. This is a positive sign for the company's future earnings and overall performance.</t>
  </si>
  <si>
    <t>In terms of financial data, Charles River has a market cap of 8.63B and an enterprise value of 11.51B. Its trailing P/E ratio of 17.83 and forward P/E ratio of 14.56 indicate that the stock may be undervalued, making it an attractive investment opportunity. Additionally, the company's PEG ratio of 1.45 suggests that it may be undervalued relative to its expected earnings growth.</t>
  </si>
  <si>
    <t>Furthermore, Charles River's price/sales ratio of 2.07 and price/book ratio of 2.65 are both below the industry average, indicating that the stock may be trading at a discount. Its enterprise value/revenue ratio of 2.76 and enterprise value/EBITDA ratio of 10.96 also suggest that the company may be undervalued compared to its peers.</t>
  </si>
  <si>
    <t>Overall, while the upcoming Q3 earnings report may show a decline, the long-term outlook for Charles River Laboratories remains positive. With its strong CRADLE initiative and research models, as well as its undervalued stock price, the company has the potential for growth and success in the Life Sciences Tools &amp; Services industry.</t>
  </si>
  <si>
    <t>COR,85,"</t>
  </si>
  <si>
    <t>Cencora (COR) is a leading company in the Health Care Distributors industry, with a market cap of 37.19B and an enterprise value of 40.82B. The company's latest financial data shows a trailing P/E ratio of 22.55 and a forward P/E ratio of 14.27, indicating a potential undervaluation of the stock. However, the PEG ratio of 5.85 suggests that the stock may be overvalued in relation to its expected earnings growth.</t>
  </si>
  <si>
    <t>In terms of key metrics, Cencora's price/sales ratio of 0.15 and price/book ratio of 54.21 are both below the industry average, indicating a potential undervaluation of the stock. The company's enterprise value/revenue ratio of 0.16 and enterprise value/EBITDA ratio of 12.63 also suggest that the stock may be undervalued.</t>
  </si>
  <si>
    <t>Analysts are projecting strong earnings for Cencora in the fourth quarter of 2023, with both revenue and EPS estimates above Wall Street's expectations. This indicates a positive outlook for the company's financial performance.</t>
  </si>
  <si>
    <t>Based on the recent financial data and analyst estimates, Cencora (COR) appears to be a promising investment opportunity in the Health Care Distributors industry. However, investors should conduct their own thorough research and analysis before making any investment decisions.</t>
  </si>
  <si>
    <t>SBUX,85,"</t>
  </si>
  <si>
    <t>Starbucks (SBUX) is a leading global coffee chain with a strong brand and loyal customer base. The company has been performing well in recent years, with consistent revenue and earnings growth. However, the stock has seen a 6% drop this year, creating a potential buying opportunity for investors.</t>
  </si>
  <si>
    <t>The latest financial data shows a market cap of $105.65B and an enterprise value of $126.40B. The trailing P/E ratio is 28.12, which is slightly higher than the industry average. However, the forward P/E ratio of 22.73 suggests that the stock may be undervalued. The PEG ratio of 1.28 also indicates that the stock may be trading at a discount compared to its expected earnings growth.</t>
  </si>
  <si>
    <t>In terms of valuation metrics, Starbucks has a price/sales ratio of 3.03 and an enterprise value/revenue ratio of 3.61. These numbers are in line with the industry average, indicating that the stock is fairly valued. The enterprise value/EBITDA ratio of 18.38 is also in line with the industry average, suggesting that the stock is not overvalued.</t>
  </si>
  <si>
    <t>Looking ahead, Starbucks is expected to release its fourth-quarter earnings soon. The company has a positive Zacks Earnings ESP, indicating that earnings may beat expectations. With pricing growth expected to bolster the company's Q4 results, we anticipate the stock to trade higher following the earnings release.</t>
  </si>
  <si>
    <t>LUV,85,"</t>
  </si>
  <si>
    <t>Investment Report: Southwest Airlines is a leading player in the passenger airline industry, known for its low-cost fares and strong customer service. The recent news of proposed pay raises for flight attendants is a positive development for the company, as it reflects a commitment to its employees and could potentially improve morale and retention rates. This comes after years of tense negotiations, indicating a potential shift towards more favorable labor conditions for the company.</t>
  </si>
  <si>
    <t>In terms of financial data, Southwest Airlines has a market cap of $13.25 billion and an enterprise value of $10.79 billion. Its trailing P/E ratio of 27.44 and forward P/E ratio of 8.33 suggest that the stock may be undervalued, making it an attractive investment opportunity. The PEG ratio of 0.29 also indicates potential for growth, as it is below the industry average of 1.0. Additionally, the company's price/sales ratio of 0.56 and price/book ratio of 1.20 are both below the industry averages, further supporting its potential for growth.</t>
  </si>
  <si>
    <t>However, it is worth noting that Southwest Airlines has a relatively high enterprise value/revenue ratio of 0.42 and enterprise value/EBITDA ratio of 4.60. This could indicate that the stock is currently overvalued, and investors should carefully consider this before making any investment decisions.</t>
  </si>
  <si>
    <t>Overall, the recent news and financial data suggest that Southwest Airlines may be a promising investment opportunity in the passenger airline industry. However, investors should conduct further research and analysis before making any investment decisions.</t>
  </si>
  <si>
    <t>SPGI,85,"</t>
  </si>
  <si>
    <t>S&amp;P Global (SPGI) is a leading provider of financial data and analytics, with a strong track record of delivering solid earnings and revenue growth. The recent earnings estimate revisions and positive Zacks Earnings ESP heading into earnings season suggest that the company could continue its strong performance.</t>
  </si>
  <si>
    <t>In terms of financial data, S&amp;P Global has a market cap of $111.15B and an enterprise value of $121.64B. Its trailing P/E ratio of 49.20 and forward P/E ratio of 24.39 indicate that the stock may be slightly overvalued, but its PEG ratio of 2.03 suggests that it may still have room for growth. Additionally, its price/sales ratio of 9.41 and price/book ratio of 3.13 are in line with industry averages, indicating a fair valuation.</t>
  </si>
  <si>
    <t>S&amp;P Global's strong financial position is reflected in its enterprise value/revenue ratio of 10.09 and enterprise value/EBITDA ratio of 25.34. These ratios suggest that the company is generating solid revenue and earnings, and has the ability to cover its debt obligations.</t>
  </si>
  <si>
    <t>Overall, S&amp;P Global appears to be in a strong position for the upcoming earnings season. Its positive earnings estimate revisions and solid financial data indicate potential for continued growth. However, investors should closely monitor the company's performance and market conditions before making any investment decisions.</t>
  </si>
  <si>
    <t>LYV,80,"</t>
  </si>
  <si>
    <t>Investment Report: Live Nation Entertainment is currently facing a potential investigation by the U.S. Justice Department regarding its agreements with venues and artists. This news has caused some uncertainty and volatility in the stock price. However, the company's latest financial data shows a strong market cap of $18.42B and a relatively low PEG ratio of 0.96, indicating potential undervaluation. Additionally, Live Nation's forward P/E ratio of 47.62 suggests positive growth expectations for the company. While the investigation may cause some short-term fluctuations, Live Nation's strong financials and position in the entertainment industry make it a potentially valuable investment for the long term.</t>
  </si>
  <si>
    <t>YUM,80,"</t>
  </si>
  <si>
    <t>Yum! Brands, the parent company of popular fast-food chains Taco Bell, KFC, and Pizza Hut, has recently reported its third-quarter 2023 earnings. While the company's earnings beat expectations, its revenue fell short due to weak same-store sales growth at Pizza Hut. This has caused some concern among investors, as Yum! Brands' CEO David Gibbs acknowledged the pressure on consumers and the need for more deals and promotions to drive customer transactions.</t>
  </si>
  <si>
    <t>However, there are also positive signs for the company. Taco Bell's deals have helped increase customer transactions by 2-3%, and Yum! Brands is leveraging cross-brand data to drive its digital transformation and improve sales. The company is also focused on expanding its digital capabilities, with the goal of having 100% of sales powered by digital.</t>
  </si>
  <si>
    <t>In terms of financial data, Yum! Brands has a strong market cap of $33.87B and a relatively low trailing P/E ratio of 24.42. Its forward P/E ratio of 20.53 suggests potential growth in the future. The PEG ratio of 1.71 also indicates that the stock may be undervalued. However, the price/sales ratio of 4.96 and the enterprise value/revenue ratio of 6.44 may be cause for concern.</t>
  </si>
  <si>
    <t>Overall, Yum! Brands has a strong presence in the fast-food industry and is making efforts to adapt to the digital age. While there are some challenges, the company's financial data and potential for growth make it a promising investment opportunity.</t>
  </si>
  <si>
    <t>DD,80,"</t>
  </si>
  <si>
    <t>DuPont (DD) is a leading chemical company that serves various industries such as electronics, transportation, construction, water, and healthcare. The latest financial data shows that the company has a market cap of $33.46B and an enterprise value of $36.57B. DuPont's trailing P/E ratio is 35.90, while its forward P/E ratio is 17.54, indicating potential growth in the future.</t>
  </si>
  <si>
    <t>In the third quarter of 2023, DuPont's earnings beat analyst estimates, with a reported EPS of $0.92 compared to the expected $0.84. However, the company lowered its revenue guidance due to slowing demand from China, causing its shares to drop by more than 6%. This news may have a short-term impact on the stock price, but it is important to note that DuPont's earnings have consistently surpassed estimates in the past few quarters.</t>
  </si>
  <si>
    <t>In terms of key metrics, DuPont's price/sales ratio is 2.76, and its price/book ratio is 1.28, both below the industry average. This suggests that the stock may be undervalued, making it an attractive investment opportunity. Additionally, the company's enterprise value/revenue ratio of 2.92 and enterprise value/EBITDA ratio of 12.16 are also below the industry average, indicating potential for growth and profitability.</t>
  </si>
  <si>
    <t>Overall, DuPont's financial data and recent earnings beat demonstrate its strong performance and potential for growth. However, the company's lowered revenue guidance due to slowing demand from China may cause short-term volatility in the stock price. Therefore, investors should carefully monitor the company's future performance and market conditions before making any investment decisions.</t>
  </si>
  <si>
    <t>NOW,80,"</t>
  </si>
  <si>
    <t>ServiceNow (NOW) is a leading company in the Systems Software industry, providing cloud-based solutions for enterprise operations management. The recent financial data for the company shows a strong market cap of $121.70B and a solid enterprise value of $119.89B. However, the trailing P/E ratio of 76.68 and the forward P/E ratio of 46.95 may indicate that the stock is currently overvalued.</t>
  </si>
  <si>
    <t>Despite this, brokers have recently considered ServiceNow a good investment, with a PEG ratio of 1.77 and a price/sales ratio of 14.35. These metrics suggest that the stock may have potential for growth in the future. Additionally, the company's strong enterprise value/revenue ratio of 14.15 and enterprise value/EBITDA ratio of 85.94 indicate a healthy financial position.</t>
  </si>
  <si>
    <t>However, it is important to note that the stock's performance may be affected by external factors such as market volatility and economic conditions. Investors should carefully consider their risk tolerance and conduct thorough research before making any investment decisions.</t>
  </si>
  <si>
    <t>TYL,80,"</t>
  </si>
  <si>
    <t>Investment Report: Tyler Technologies (TYL) is a leading provider of integrated software and technology services for the public sector. The company recently reported its Q3 earnings, which showed strong performance compared to Wall Street estimates and the previous year's numbers. Tyler Technologies' market cap and enterprise value are currently at $15.69B and $16.48B respectively, with a trailing P/E ratio of 96.61 and a forward P/E ratio of 42.19. The PEG ratio, which measures the company's valuation relative to its expected growth, is at 2.91. Additionally, the price/sales and price/book ratios are at 8.34 and 5.67 respectively, indicating a relatively high valuation. The enterprise value/revenue and enterprise value/EBITDA ratios are at 8.67 and 42.81, respectively, which may suggest that the company is currently overvalued. However, Tyler Technologies has a strong track record of growth and a solid financial position, which may justify its current valuation. With the potential legalization of marijuana in Ohio, Tyler Technologies may also see an increase in demand for its services in the public sector. Overall, the company's latest financial data and news suggest a positive outlook for the future.</t>
  </si>
  <si>
    <t>WBD,75,"</t>
  </si>
  <si>
    <t>Warner Bros. Discovery (WBD) is a leading player in the broadcasting industry, with a market cap of $24.23B and an enterprise value of $68.48B. The company is expected to report a decline in earnings in its upcoming report, according to recent analyst estimates. This news may raise concerns for investors, but there are several factors to consider before making any investment decisions.</t>
  </si>
  <si>
    <t>Firstly, WBD's forward P/E ratio of 45.25 and PEG ratio of 1.39 suggest that the stock may be overvalued. However, its price/sales ratio of 0.58 and price/book ratio of 0.53 indicate that the stock may be undervalued. This mixed valuation may be due to the recent merger between Warner Bros. and Discovery, which could potentially lead to synergies and cost savings in the long run.</t>
  </si>
  <si>
    <t>Furthermore, WBD's enterprise value/revenue ratio of 1.66 and enterprise value/EBITDA ratio of 3.81 are relatively low compared to its industry peers, indicating that the stock may be undervalued in terms of its revenue and earnings potential.</t>
  </si>
  <si>
    <t>Overall, while the recent decline in earnings may be a cause for concern, WBD's valuation metrics suggest that the stock may be undervalued. However, investors should closely monitor the company's upcoming report and any updates on the merger to make informed investment decisions.</t>
  </si>
  <si>
    <t>WEC,75,"</t>
  </si>
  <si>
    <t>WEC Energy Group (WEC) recently reported its third-quarter 2023 earnings, which beat estimates but saw a decrease in revenues. The company also managed to lower its total operating expenses during the same period. WEC's financial data shows a market cap of $25.67B and an enterprise value of $43.73B. The trailing P/E ratio is 19.06, while the forward P/E ratio is 16.58. The PEG ratio, which measures the stock's valuation relative to its expected growth, is at 2.54. The price/sales ratio is 2.77, and the price/book ratio is 2.20. The enterprise value/revenue ratio is 4.74, and the enterprise value/EBITDA ratio is 12.44.</t>
  </si>
  <si>
    <t>IFF,75,"</t>
  </si>
  <si>
    <t>International Flavors &amp; Fragrances (IFF) is a leading company in the specialty chemicals industry, providing innovative and high-quality flavors and fragrances to various industries such as food and beverage, personal care, and household products. The company's latest financial data shows a market cap of $17.45B and an enterprise value of $28.15B. With a forward P/E ratio of 15.27 and a PEG ratio of 6.82, IFF's stock may be considered slightly overvalued compared to its expected earnings growth. However, its price-to-sales ratio of 1.47 and price-to-book ratio of 0.99 suggest that the stock may be undervalued in terms of its assets and revenue.</t>
  </si>
  <si>
    <t>Looking at the recent news, IFF's Q3 earnings are expected to be impacted by lower volumes and rising costs. This could be due to the ongoing supply chain disruptions and inflationary pressures affecting many industries. However, the company's strong brand reputation and diverse portfolio of products may help mitigate these challenges.</t>
  </si>
  <si>
    <t>Overall, IFF's financial data and recent news suggest a mixed outlook for the company. While its valuation may be slightly concerning, its strong market position and potential for growth in the specialty chemicals industry make it an attractive investment option. Investors should closely monitor the company's Q3 earnings report for further insights into its financial performance and potential future opportunities.</t>
  </si>
  <si>
    <t>NOC,75,"</t>
  </si>
  <si>
    <t>Investment Report: Northrop Grumman (NOC) is a leading aerospace and defense company with a strong technical outlook. The recent Golden Cross signal, where the 20-day moving average crossed above the 50-day moving average, suggests a short-term bullish trend. Additionally, the firm's financial data shows a solid market cap of $71.09B and a reasonable P/E ratio of 15.50. However, the PEG ratio of 12.97 and high Enterprise Value/EBITDA of 11.41 may indicate potential overvaluation. Overall, Northrop Grumman's technical and financial data present a mixed outlook for the next month.</t>
  </si>
  <si>
    <t>PANW,75,"</t>
  </si>
  <si>
    <t>Palo Alto Networks, Inc. (PANW) has been receiving significant attention from investors recently, and it is important to understand the latest developments that may impact the company's future prospects.</t>
  </si>
  <si>
    <t>Palo Alto Networks has a market cap of $75.53B and an enterprise value of $75.42B. The company's trailing P/E ratio is 189.86, while the forward P/E ratio is 45.66. The PEG ratio, which measures the stock's valuation relative to its expected earnings growth, is at 1.62. The price/sales ratio is 12.07, and the price/book ratio is 43.20. The enterprise value/revenue ratio is 10.94, and the enterprise value/EBITDA ratio is 86.78.</t>
  </si>
  <si>
    <t>Overall, the financial data suggests that Palo Alto Networks is a highly valued company, with a high P/E ratio and price/book ratio. However, the company's expected earnings growth may justify its current valuation.</t>
  </si>
  <si>
    <t>EXPD,75,"</t>
  </si>
  <si>
    <t>Expeditors International (EXPD) is a global logistics company that provides air and ocean freight forwarding, customs brokerage, and other supply chain management services. The company is set to release its third-quarter earnings on November 2nd, and investors are eagerly awaiting the results.</t>
  </si>
  <si>
    <t>The latest news for Expeditors is a potential decline in volumes due to weakening demand and falling rates, as well as a rise in expenses. This could have a negative impact on the company's performance in the third quarter.</t>
  </si>
  <si>
    <t>Financial Data:</t>
  </si>
  <si>
    <t>Expeditors has a market cap of $16.16 billion and an enterprise value of $14.99 billion. The company's trailing P/E ratio is 16.31, and its forward P/E ratio is 21.23. The price/sales ratio is 1.36, and the price/book ratio is 6.32. The enterprise value/revenue ratio is 1.19, and the enterprise value/EBITDA ratio is 9.93.</t>
  </si>
  <si>
    <t>TXN,75,"</t>
  </si>
  <si>
    <t>Texas Instruments, a leading player in the semiconductor industry, recently posted weak second-quarter results and lowered its expectations for the rest of the year. This was mainly due to supply chain disruptions and a slowdown in demand for its products. However, the company is already taking steps to address these challenges and position itself for a rebound.</t>
  </si>
  <si>
    <t>In terms of financial data, Texas Instruments has a strong market cap of $130.03B and an enterprise value of $132.30B. Its trailing P/E ratio of 18.55 and forward P/E ratio of 21.23 suggest that the stock may be undervalued. The PEG ratio of 2.85 also indicates potential for future growth. However, the price/sales ratio of 7.24 and price/book ratio of 7.82 may be a cause for concern.</t>
  </si>
  <si>
    <t>Despite the recent struggles, Texas Instruments remains a dominant player in the semiconductor industry with a strong track record of innovation and profitability. The company's focus on diversifying its product portfolio and investing in research and development bodes well for its long-term growth potential.</t>
  </si>
  <si>
    <t>CDW,75,"</t>
  </si>
  <si>
    <t>CDW, a leading provider of information technology services, recently reported its third-quarter earnings, beating estimates for earnings but falling short on sales. The company's market cap stands at $26.86B, with an enterprise value of $33.21B. Its trailing P/E ratio is 25.50, while the forward P/E ratio is 18.87. The price/sales ratio is 1.23, and the price/book ratio is 16.65. The enterprise value/revenue ratio is 1.48, and the enterprise value/EBITDA ratio is 17.01.</t>
  </si>
  <si>
    <t>Overall, CDW's financial data suggests a strong and stable company with a solid market position. However, the recent miss on sales may raise some concerns for investors. It is important to note that the technology industry is highly competitive, and CDW may face challenges in maintaining its sales growth. Additionally, the company's high price/book ratio may indicate an overvalued stock.</t>
  </si>
  <si>
    <t>CLX,75,"</t>
  </si>
  <si>
    <t>Clorox Co. has recently faced challenges due to a cyberattack that disrupted its operations. However, the company's latest financial results have beaten estimates, leading to an 8% rally in its stock. Despite cutting its full-year outlook, Clorox's fiscal first-quarter results were better than expected, providing some relief to investors.</t>
  </si>
  <si>
    <t>In terms of financial data, Clorox has a market cap of $14.59B and an enterprise value of $17.15B. Its trailing P/E ratio is 98.08, while the forward P/E ratio is 21.55. The PEG ratio, which measures the stock's valuation relative to its expected growth, is at 1.42. Clorox's price/sales ratio is 1.98, and its price/book ratio is 66.34. The company's enterprise value/revenue ratio is 2.32, and its enterprise value/EBITDA ratio is 30.41.</t>
  </si>
  <si>
    <t>Overall, Clorox's financial data suggests that the company is currently overvalued, with a high P/E ratio and price/book ratio. However, its strong performance in the latest quarter and potential for growth in the cleaning products industry could make it an attractive investment opportunity.</t>
  </si>
  <si>
    <t>TTWO,75,"</t>
  </si>
  <si>
    <t>Take-Two Interactive (TTWO) is a leading company in the Interactive Home Entertainment industry, known for its popular video game franchises such as Grand Theft Auto and NBA 2K. The latest financial data shows a market cap of $22.72B and an enterprise value of $25.32B. The forward P/E ratio of 44.44 and PEG ratio of 4.45 suggest that the stock may be overvalued. However, the price/sales ratio of 4.07 and price/book ratio of 2.54 indicate that the stock may still have room for growth.</t>
  </si>
  <si>
    <t>Recent news from analysts estimates a decline in earnings for Take-Two in the upcoming report. This could be a result of the company's focus on developing new games and investing in its online gaming platform, which may have impacted short-term profitability. However, investors should also consider the long-term potential of these investments in driving future growth for the company.</t>
  </si>
  <si>
    <t>In the highly competitive gaming industry, Take-Two has a strong track record of delivering successful and popular games, which has helped maintain its position as a top player in the market. The company's strong financials and consistent revenue growth make it an attractive investment option for those looking for long-term growth potential.</t>
  </si>
  <si>
    <t>PG,75,"</t>
  </si>
  <si>
    <t>Procter &amp; Gamble (P&amp;G) is a leading consumer goods company in the Personal Care Products industry. The latest financial data shows that the company has reported strong revenue and earnings, beating consensus estimates. P&amp;G's market cap and enterprise value are currently at $352.61B and $379.57B, respectively. The trailing P/E ratio is 24.29, while the forward P/E ratio is 23.53. The PEG ratio, which measures the stock's valuation relative to its expected growth, is at 3.46. The price/sales and price/book ratios are 4.45 and 7.52, respectively. The enterprise value/revenue and enterprise value/EBITDA ratios are 4.56 and 16.67, respectively.</t>
  </si>
  <si>
    <t>Based on the recent financial data, P&amp;G appears to be in a strong financial position. The company's revenue and earnings growth, along with its low P/E and PEG ratios, suggest that the stock may be undervalued. However, the high price/sales and price/book ratios indicate that the stock may be fully valued. Additionally, the enterprise value/revenue and enterprise value/EBITDA ratios are slightly higher than the industry average, which could indicate that the stock is slightly overvalued.</t>
  </si>
  <si>
    <t>Overall, P&amp;G's financial data suggests that the stock may be fully valued at its current price of $150. Investors should closely monitor the company's future financial performance and industry trends before making any investment decisions.</t>
  </si>
  <si>
    <t>PTC,75,"</t>
  </si>
  <si>
    <t>Investment Report: PTC Inc. (PTC) is a leading company in the application software industry, providing innovative solutions for businesses across various sectors. The recent Q4 earnings report for PTC Inc. provides valuable insights into the company's performance and potential investment value.</t>
  </si>
  <si>
    <t>According to the latest financial data, PTC Inc. has a market cap of $16.69B and an enterprise value of $18.34B. The trailing P/E ratio of 54.43 and forward P/E ratio of 26.95 suggest that the company's stock may be overvalued. However, the PEG ratio of 2.10 indicates that the stock may still have room for growth.</t>
  </si>
  <si>
    <t>The price/sales ratio of 8.12 and price/book ratio of 6.42 are higher than the industry average, indicating that the stock may be trading at a premium. However, the enterprise value/revenue ratio of 8.91 and enterprise value/EBITDA ratio of 29.46 suggest that the company's valuation may be justified by its revenue and earnings.</t>
  </si>
  <si>
    <t>Overall, PTC Inc. has a strong financial position and is well-positioned for growth in the application software industry. However, investors should carefully consider the company's valuation metrics before making any investment decisions.</t>
  </si>
  <si>
    <t>PFE,75,"</t>
  </si>
  <si>
    <t>Pfizer, a leading pharmaceutical company, has recently received approval from the UK regulator for its hair loss drug. This is a positive development for the company, as it expands its product portfolio and potentially increases revenue. However, the latest financial data shows a steep loss for the company, with a write-down of $5.6 billion in unused inventory. This could be a cause for concern for investors, as it may indicate potential issues with demand for Pfizer's products.</t>
  </si>
  <si>
    <t>Furthermore, the company's quarterly results were also impacted by soft demand for its COVID-19 products, with a 70% drop in sales for its coronavirus vaccine Comirnaty. This could be attributed to the global decline in COVID-19 cases and the increasing availability of other vaccines. However, Pfizer's strong market position and diverse product portfolio may help mitigate these challenges.</t>
  </si>
  <si>
    <t>Based on the recent news and financial data, the potential investment value of Pfizer in the Pharmaceuticals industry for the next month is Score: 75. While the company faces some challenges, its strong market position and potential for growth in new products make it a promising investment opportunity. However, investors should closely monitor the company's financial performance and any potential developments in the pharmaceutical industry."</t>
  </si>
  <si>
    <t>DAL,75,"</t>
  </si>
  <si>
    <t>Investment Report: Delta Air Lines (DAL) is facing challenges in the current market environment, with higher expenses for fuel and labor. In response, the company has announced layoffs for some corporate workers in an effort to cut costs. This news may cause some short-term volatility in the stock price, but it is a necessary step for the company to remain competitive in the long run.</t>
  </si>
  <si>
    <t>Looking at the recent financial data, Delta has a market cap of $20.11B and an enterprise value of $41.90B. Its trailing P/E ratio is 5.90 and its forward P/E ratio is 4.55, indicating that the stock may be undervalued. The PEG ratio of 0.17 also suggests that the stock may be a good value investment. However, the price/sales ratio of 0.35 and the price/book ratio of 2.18 are slightly higher than the industry average, which may indicate that the stock is slightly overvalued.</t>
  </si>
  <si>
    <t>Overall, Delta Air Lines has a strong financial position with a low debt-to-equity ratio and a healthy cash flow. The company also has a strong market presence and a loyal customer base. However, the recent layoffs and potential impact on employee morale may be a cause for concern. Investors should closely monitor the company's cost-cutting efforts and any potential changes in the industry that may affect Delta's performance.</t>
  </si>
  <si>
    <t>WFC,75,"</t>
  </si>
  <si>
    <t>Investment Report: Wells Fargo is facing an SEC investigation into its cash sweep feature for investment advisory clients, as disclosed in a recent regulatory filing. This news may raise concerns for investors, as it could potentially lead to legal and financial repercussions for the company. However, it is important to note that this is not the first time Wells Fargo has faced regulatory scrutiny, and the company has a history of successfully navigating such challenges.</t>
  </si>
  <si>
    <t>In terms of financial data, Wells Fargo has a market cap of $144.10B and a relatively low trailing P/E ratio of 8.56. Its forward P/E ratio is also low at 8.05, indicating potential undervaluation. The PEG ratio of 0.58 suggests that the stock may be undervalued compared to its expected growth rate. However, the price/sales ratio of 1.82 and price/book ratio of 0.89 may indicate that the stock is currently overvalued.</t>
  </si>
  <si>
    <t>Overall, the recent SEC investigation may create short-term volatility for Wells Fargo's stock. However, the company's strong financials and history of successfully navigating regulatory challenges may provide some reassurance for investors. It is important to closely monitor any developments in the investigation and consider the potential impact on the company's financials and stock performance.</t>
  </si>
  <si>
    <t>VFC,75,"</t>
  </si>
  <si>
    <t>Investment Report: VF Corporation (VF) is a leading apparel, accessories, and luxury goods company that has been facing some challenges in the stock market recently. On the latest trading day, VF's stock lagged behind the market, with a decrease in its price target by an influential investment bank. This is not the first time VF has faced a decrease in its price target, as it has been a recent trend among analysts.</t>
  </si>
  <si>
    <t>In terms of financial data, VF has a market cap of $5.73B and an enterprise value of $13.03B. Its trailing P/E ratio is high at 111.90, but its forward P/E ratio is relatively low at 7.26. The PEG ratio, which measures the stock's valuation relative to its expected growth, is at a favorable level of 0.42. However, VF's price-to-sales ratio of 0.50 and price-to-book ratio of 2.59 may indicate that the stock is undervalued. The company's enterprise value to revenue ratio of 1.14 and enterprise value to EBITDA ratio of 13.46 are also within reasonable ranges.</t>
  </si>
  <si>
    <t>Overall, VF's financial data suggests that the stock may be undervalued, but it is facing some challenges in the market. Investors should closely monitor the company's performance and any changes in analyst recommendations.</t>
  </si>
  <si>
    <t>ADP,75,"</t>
  </si>
  <si>
    <t>Investment Report: ADP (Automatic Data Processing) is a leading company in the Human Resource &amp; Employment Services industry, providing payroll, HR, and tax solutions to businesses of all sizes. The recent ADP jobs report showed an increase of 113,000 private sector jobs in October, which was lower than expected. However, this still indicates a positive trend in job growth and suggests that the labor market is continuing to recover. The Federal Reserve's decision to hold interest rates steady also provides stability for the economy and businesses, which could benefit ADP's services.</t>
  </si>
  <si>
    <t>In terms of financial data, ADP has a strong market cap of 89.84B and an enterprise value of 91.72B. Its trailing P/E ratio of 25.92 and forward P/E ratio of 23.92 suggest that the stock may be slightly overvalued, but its PEG ratio of 2.66 indicates potential for future growth. ADP also has a solid price-to-sales ratio of 5.19 and a high price-to-book ratio of 25.87, which may be a concern for some investors. However, its enterprise value/revenue ratio of 5.26 and enterprise value/EBITDA ratio of 17.08 are in line with industry averages.</t>
  </si>
  <si>
    <t>Overall, ADP's latest financial data and news suggest a stable and potentially promising outlook for the company. Its strong market position and services that are in demand during the current economic climate make it a potential investment opportunity. However, investors should closely monitor the Federal Reserve's decisions and any potential changes in the labor market that could impact ADP's performance.</t>
  </si>
  <si>
    <t>AMCR,75,"</t>
  </si>
  <si>
    <t>Amcor (AMCR) recently reported its Q1 earnings, beating estimates for both top and bottom lines. However, the company's revenues saw a year-over-year decline due to lower volumes caused by decreased consumer demand and customer destocking. Despite this, Amcor's financial data shows a strong market position with a market cap of 12.86B and an enterprise value of 19.38B. The company's trailing P/E and forward P/E ratios of 12.61 and 12.92, respectively, indicate a relatively low valuation. Additionally, Amcor's price/sales ratio of 0.89 and price/book ratio of 3.19 suggest that the stock may be undervalued. However, its enterprise value/revenue and enterprise value/EBITDA ratios of 1.32 and 9.11, respectively, may indicate a slightly higher valuation compared to its peers in the Paper &amp; Plastic Packaging Products &amp; Materials industry.</t>
  </si>
  <si>
    <t>ANSS,75,"</t>
  </si>
  <si>
    <t>Ansys (ANSS) is a leading company in the application software industry, providing simulation software and services to various industries such as aerospace, automotive, and healthcare. The recent Q3 earnings report for Ansys showed strong performance, with revenue and EPS exceeding Wall Street estimates. However, it is essential to look at some key metrics to get a better understanding of the company's financial health.</t>
  </si>
  <si>
    <t>The company's market cap and enterprise value stand at 24.14B and 24.52B, respectively, indicating a stable financial position. Ansys has a trailing P/E ratio of 46.35 and a forward P/E ratio of 28.74, which are relatively high compared to the industry average. This suggests that the stock may be slightly overvalued, but it could also indicate high growth potential.</t>
  </si>
  <si>
    <t>The PEG ratio, which measures the stock's valuation relative to its expected earnings growth, is at 3.28, indicating that the stock may be overvalued. However, this could also be due to the company's strong expected earnings growth in the next five years.</t>
  </si>
  <si>
    <t>Ansys's price/sales ratio of 11.18 and price/book ratio of 4.91 are also higher than the industry average, indicating a premium valuation. However, the company's enterprise value/revenue and enterprise value/EBITDA ratios of 11.28 and 33.20, respectively, are in line with the industry average.</t>
  </si>
  <si>
    <t>Overall, Ansys's financial data suggests a stable and slightly overvalued stock with high growth potential. Investors should closely monitor the company's performance and future earnings to make informed investment decisions.</t>
  </si>
  <si>
    <t>BA,75,"</t>
  </si>
  <si>
    <t>Investment Report: Boeing is currently facing a cyber incident that has impacted its parts and distribution business. The company is actively investigating the issue and is cooperating with law enforcement. This recent news may cause some short-term volatility in the stock price, but it is important to note that Boeing is a strong and established company in the Aerospace &amp; Defense industry.</t>
  </si>
  <si>
    <t>In terms of financial data, Boeing has a market cap of $114.57B and an enterprise value of $153.47B. Its forward P/E ratio is 47.39, which is higher than the industry average, indicating that the stock may be slightly overvalued. However, its PEG ratio of 6.53 suggests that the stock may still have room for growth. The price/sales ratio of 1.51 and enterprise value/revenue ratio of 2.03 are also in line with the industry average, indicating that the stock is fairly valued.</t>
  </si>
  <si>
    <t>Overall, despite the recent cyber incident, Boeing remains a strong company with a solid financial standing. The stock may experience some short-term volatility, but it is still a valuable investment in the Aerospace &amp; Defense industry.</t>
  </si>
  <si>
    <t>AAPL,75,"Investment Report:</t>
  </si>
  <si>
    <t>Apple Inc. (AAPL) is a leading technology company in the Technology Hardware, Storage &amp; Peripherals industry. The recent news surrounding the company has been mixed, with a class action lawsuit in London proceeding against Apple for misleading customers about a power management tool in iPhones. Additionally, analysts are expecting sluggish sales for Mac and iPad in the fourth quarter of fiscal 2023, which could impact the company's overall revenue and earnings.</t>
  </si>
  <si>
    <t>However, there are also positive developments for Apple, such as the potential addition of new features to the Apple Watch, including a blood pressure sensor and sleep apnea detection. The company's stock has also been a successful investment for Berkshire Hathaway, with Warren Buffett still holding onto his shares. Furthermore, investors are eagerly awaiting Apple's upcoming earnings report, which will provide insights into the company's performance and outlook.</t>
  </si>
  <si>
    <t>In terms of financial data, Apple has a strong market cap of $2.67 trillion and an enterprise value of $2.72 trillion. The trailing P/E ratio of 28.64 and forward P/E ratio of 25.97 suggest that the stock may be slightly overvalued. However, the PEG ratio of 2.20 indicates that the stock may still have growth potential. The price/sales ratio of 7.08 and price/book ratio of 44.27 are also on the higher side, but this is expected for a leading technology company. The enterprise value/revenue ratio of 7.07 and enterprise value/EBITDA ratio of 21.40 are also relatively high, but this is reflective of Apple's strong financial position.</t>
  </si>
  <si>
    <t>Overall, the recent news and financial data suggest a mixed outlook for Apple. While there are some potential risks, such as the ongoing lawsuit and slowing sales, the company also has positive developments and a strong financial position. Investors should closely monitor the upcoming earnings report and consider the long-term potential of Apple's stock.</t>
  </si>
  <si>
    <t>BX,75,"Investment Report:</t>
  </si>
  <si>
    <t>Blackstone, a leading asset management and custody bank, has recently faced significant challenges in the private equity sector, leading to a decline in its stock price. The stock has entered a bear market, dropping by over 20% from its September peak. This decline can be attributed to the current headwinds facing the private equity industry, including increased regulatory scrutiny and rising interest rates.</t>
  </si>
  <si>
    <t>Despite these challenges, Blackstone remains a strong and well-established player in the asset management industry. The company has a market cap of $69.98B and a trailing P/E ratio of 38.64, indicating a relatively high valuation. However, its forward P/E ratio of 16.05 suggests that the market is anticipating future growth for the company.</t>
  </si>
  <si>
    <t>Blackstone's PEG ratio of 2.86 and price/sales ratio of 9.36 also indicate a relatively high valuation, but this is to be expected for a company in the asset management industry. Its price/book ratio of 9.81 and enterprise value/revenue ratio of 8.40 further support this.</t>
  </si>
  <si>
    <t>Overall, Blackstone's recent decline in stock price may present a buying opportunity for investors with a long-term perspective. The company has a strong track record and is well-positioned to weather the current challenges in the private equity sector. However, investors should closely monitor the company's performance and the overall market conditions before making any investment decisions.</t>
  </si>
  <si>
    <t>CHD,75,"</t>
  </si>
  <si>
    <t>Church &amp; Dwight (CHD) is a leading player in the household products industry, known for its popular brands such as Arm &amp; Hammer, Trojan, and OxiClean. The company is set to release its third-quarter earnings on November 2nd, and investors are eagerly anticipating the results.</t>
  </si>
  <si>
    <t>Recent financial data shows that Church &amp; Dwight has a market cap of $22.38 billion and an enterprise value of $24.38 billion. The company's trailing P/E ratio is 50.24, while the forward P/E ratio is 26.74, indicating that the stock may be slightly overvalued. The PEG ratio of 3.42 suggests that the stock may be overvalued in comparison to its expected growth rate. However, the price-to-sales ratio of 3.98 and price-to-book ratio of 5.72 are in line with industry averages.</t>
  </si>
  <si>
    <t>Church &amp; Dwight's recent performance has been driven by pricing increases, strategic acquisitions, and strong demand for its products. However, the company has also faced high SG&amp;A expenses, which may impact its bottom line.</t>
  </si>
  <si>
    <t>Overall, Church &amp; Dwight has a strong position in the household products industry and has shown consistent growth in recent years. The company's focus on innovation and strategic acquisitions has helped it maintain a competitive edge in the market. However, investors should closely monitor the impact of high SG&amp;A expenses on the company's financials.</t>
  </si>
  <si>
    <t>COP,75,"</t>
  </si>
  <si>
    <t>ConocoPhillips (COP) is a leading player in the Oil &amp; Gas Exploration &amp; Production industry, with a market cap of $142.26B and an enterprise value of $151.89B. The company has been performing well in the recent months, with its stock up 15% in the last six months. However, as we head into earnings season, there are some concerns about the company's performance.</t>
  </si>
  <si>
    <t>According to recent news, ConocoPhillips is seeing favorable earnings estimate revision activity and has a positive Zacks Earnings ESP heading into earnings season. This could potentially lead to a positive earnings surprise, which could boost the stock's performance. However, there are also expectations that both revenue and earnings may miss market expectations marginally, which could lead to a decline in the stock price.</t>
  </si>
  <si>
    <t>Looking at the firm's latest financial data, ConocoPhillips has a trailing P/E ratio of 11.39 and a forward P/E ratio of 11.32, which suggests that the stock is currently undervalued. The PEG ratio of 0.72 also indicates that the stock may be undervalued compared to its expected earnings growth. However, the price/sales and price/book ratios of 2.20 and 2.99 respectively, are slightly higher than the industry average, indicating that the stock may be slightly overvalued.</t>
  </si>
  <si>
    <t>Overall, ConocoPhillips has a strong financial position with a low debt-to-equity ratio and a solid enterprise value/EBITDA ratio of 5.16. However, the current geopolitical tensions and fluctuations in oil prices may impact the company's performance in the near future.</t>
  </si>
  <si>
    <t>DTE,75,"</t>
  </si>
  <si>
    <t>DTE Energy (DTE) recently reported its third-quarter 2023 operating earnings, which fell short of the Zacks Consensus Estimate by 16.3%. The company also lowered its full-year profit forecast due to lower electricity demand at the end of the peak summer season. This news may cause some concern for investors, as it suggests potential challenges for the company in the near future.</t>
  </si>
  <si>
    <t>However, DTE Energy's financial data shows a relatively strong position in the market. With a market cap of $19.87B and an enterprise value of $39.71B, the company has a solid presence in the industry. Its trailing P/E ratio of 14.99 and forward P/E ratio of 14.39 indicate that the stock may be undervalued. Additionally, its PEG ratio of 1.75 suggests potential for growth in the future.</t>
  </si>
  <si>
    <t>On the other hand, DTE Energy's price/sales ratio of 1.20 and price/book ratio of 1.90 are slightly higher than the industry average, which may indicate that the stock is currently overvalued. However, its enterprise value/revenue ratio of 2.45 and enterprise value/EBITDA ratio of 10.72 are in line with the industry average, suggesting a fair valuation.</t>
  </si>
  <si>
    <t>Overall, DTE Energy's recent earnings miss and lowered profit forecast may cause some short-term volatility in the stock. However, its strong financial position and potential for growth make it a promising investment opportunity in the multi-utilities industry.</t>
  </si>
  <si>
    <t>ETSY,75,"</t>
  </si>
  <si>
    <t>Etsy (ETSY) is a leading online marketplace for handmade and vintage goods, as well as unique factory-manufactured items. The company recently reported its latest quarterly earnings, beating both earnings and revenue estimates. This is a positive sign for the company, as it continues to see strong demand for its products and services.</t>
  </si>
  <si>
    <t>However, Etsy's stock price declined after the earnings report, as the CEO warned of a potential decline in gross merchandise sales. This could be attributed to the ongoing supply chain issues and potential impact of inflation on consumer spending. Additionally, the company faces competition from retail chain Michaels, which recently launched its own online marketplace for handmade goods.</t>
  </si>
  <si>
    <t>In terms of financial data, Etsy has a market cap of $7.66B and an enterprise value of $8.98B. Its forward P/E ratio is 15.90, which is relatively low compared to its industry peers. The PEG ratio of 1.27 suggests that the stock may be undervalued, considering its expected growth. However, the price/sales ratio of 2.92 and enterprise value/revenue ratio of 3.36 may indicate that the stock is currently overvalued.</t>
  </si>
  <si>
    <t>Overall, Etsy has a strong market position and continues to see growth in its business. However, the potential decline in gross merchandise sales and competition from Michaels may pose challenges for the company in the near future. Investors should closely monitor the company's performance and industry trends before making any investment decisions.</t>
  </si>
  <si>
    <t>ABNB,70,"</t>
  </si>
  <si>
    <t>Airbnb, Inc. (ABNB) has recently released its third quarter earnings report, which showed a profit of $4.37 billion, aided by a tax benefit and higher-than-expected revenue. However, the company's guidance for the fourth quarter fell short of Wall Street estimates, causing a decline in its stock price.</t>
  </si>
  <si>
    <t>Despite this, Airbnb's revenue for the third quarter beat expectations, and the company is expected to continue to benefit from the rebound in the travel industry post-pandemic. With a market cap of $75.48 billion and a forward P/E ratio of 25.97, Airbnb's financials suggest a strong position in the market.</t>
  </si>
  <si>
    <t>However, there are potential risks to consider, such as the company's warning of ""greater volatility"" and weaker trends in nights booked for the fourth quarter, as well as potential conflicts abroad. These factors could impact the company's performance and stock price in the short term.</t>
  </si>
  <si>
    <t>Overall, Airbnb's latest earnings report and financial data show a mixed outlook for the company. While it has shown strong revenue growth and profitability, there are potential risks to consider. Therefore, we assign a score of 70 for the potential investment value of Airbnb in the Hotels, Resorts &amp; Cruise Lines industry for the next month.</t>
  </si>
  <si>
    <t>IDXX,70,"</t>
  </si>
  <si>
    <t>IDEXX Laboratories (IDXX) has recently reported better-than-expected earnings for the third quarter of 2023. The company's financial data shows a strong market capitalization of $33.15 billion and an enterprise value of $34.17 billion. However, the latest news of IDEXX cutting its annual sales forecast due to a slower-than-expected rise in pet owners' visits to vet clinics may raise concerns for investors.</t>
  </si>
  <si>
    <t>IDEXX's trailing P/E ratio of 42.35 and forward P/E ratio of 38.76 suggest that the stock may be slightly overvalued. The PEG ratio of 3.33 also indicates that the stock may not be a good value for long-term investors. Additionally, the price/sales ratio of 9.54 and price/book ratio of 30.31 may also be considered high.</t>
  </si>
  <si>
    <t>On the positive side, IDEXX's enterprise value/revenue ratio of 9.72 and enterprise value/EBITDA ratio of 29.39 are relatively low, indicating that the company may be undervalued based on its revenue and earnings.</t>
  </si>
  <si>
    <t>Overall, the recent news of IDEXX cutting its sales forecast may have a negative impact on the stock in the short term. However, the company's strong financial data and potential for long-term growth in the animal health industry may make it a good investment opportunity for patient investors.</t>
  </si>
  <si>
    <t>IRM,70,"</t>
  </si>
  <si>
    <t>Iron Mountain (IRM) is set to release its Q3 earnings report, and investors are eagerly anticipating the results. The recent financial data for the company shows a strong market cap of 17.24B and an enterprise value of 30.85B. However, the trailing P/E ratio of 45.79 and the forward P/E ratio of 35.34 suggest that the stock may be overvalued. Additionally, the price/sales ratio of 3.30 and the price/book ratio of 41.42 also indicate a potential for a correction in the stock price.</t>
  </si>
  <si>
    <t>Despite these concerns, Iron Mountain has shown strength in its core storage and record management businesses, which are likely to have a positive impact on its Q3 earnings. The company has also seen robust demand for its data-center services, which could further boost its financial performance.</t>
  </si>
  <si>
    <t>However, investors should also be aware of the potential impact of higher interest expenses on the company's earnings. This could be a potential risk factor to consider when evaluating the stock.</t>
  </si>
  <si>
    <t>Overall, Iron Mountain's latest financial data and market trends suggest a mixed outlook for the company. Investors should closely monitor the Q3 earnings report and consider the potential risks and opportunities before making any investment decisions.</t>
  </si>
  <si>
    <t>NVDA,70,"</t>
  </si>
  <si>
    <t>Nvidia Corporation (NVDA) is a leading player in the semiconductor industry, with a market capitalization of over $1 trillion. The company has been in the spotlight due to its strong performance in the AI chip market, but recent news suggests that it may be facing competition from Intel. This has raised concerns among investors about the company's future growth potential.</t>
  </si>
  <si>
    <t>On one hand, Nvidia is showing signs of exiting the contracting phase of the chip cycle and entering a new expansion phase. This is supported by its strong financial data, with a low PEG ratio and a high market share in the machine learning semiconductor industry. However, on the other hand, the company's flagship AI chips are facing increasing pressure from competition, and its stock may be overvalued.</t>
  </si>
  <si>
    <t>Despite these concerns, Nvidia has a unique growth profile and a dominant market position, which could continue to drive its success in the long term. However, growing risks such as intense competition and US export restrictions may put pressure on the company's profit margins and stock price in the near term.</t>
  </si>
  <si>
    <t>Based on the latest financial data and news, we rate Nvidia Corporation stock a Hold. Investors should closely monitor the company's performance and any developments in the AI chip market. While the long-term outlook for Nvidia remains positive, the current valuation and potential risks should be carefully considered before making any investment decisions.</t>
  </si>
  <si>
    <t>CTVA,70,"</t>
  </si>
  <si>
    <t>Corteva, Inc. (CTVA) is a leading player in the Fertilizers &amp; Agricultural Chemicals industry, with a market cap of $34.17B and an enterprise value of $36.87B. The company's latest financial data shows a trailing P/E ratio of 30.66 and a forward P/E ratio of 15.11, indicating a potential undervaluation of the stock. However, the PEG ratio of 1.34 suggests that the stock may not be as attractive for long-term growth investors.</t>
  </si>
  <si>
    <t>The recent news of Corteva's Q3 earnings expected to decline may raise concerns for investors. The company's earnings have been impacted by the rising costs of raw materials and transportation, as well as unfavorable weather conditions in key agricultural regions. This could potentially lead to a decrease in profitability and a decline in stock price.</t>
  </si>
  <si>
    <t>However, Corteva's strong market position and diverse product portfolio in the agricultural industry provide a solid foundation for future growth. The company's focus on innovation and sustainability also positions it well for long-term success.</t>
  </si>
  <si>
    <t>ETR,70,"</t>
  </si>
  <si>
    <t>Entergy (ETR) recently reported its third-quarter earnings, beating profit estimates but falling short on revenues. The company's revenues of $3,595.5 million were below expectations and declined by 14.8% compared to the same period last year. However, the company's profit was boosted by warmer-than-usual weather, leading to an increase in retail volume.</t>
  </si>
  <si>
    <t>In terms of financial data, Entergy has a market cap of $20.21 billion and an enterprise value of $46.30 billion. Its trailing P/E ratio is 14.59 and its forward P/E ratio is 13.28, indicating a potential undervaluation of the stock. The PEG ratio of 1.56 suggests that the stock may be slightly overvalued based on its expected growth rate. The price/sales and price/book ratios of 1.50 and 1.53, respectively, are in line with industry averages.</t>
  </si>
  <si>
    <t>However, the company's enterprise value/revenue ratio of 3.34 and enterprise value/EBITDA ratio of 11.24 are higher than industry averages, indicating a potential premium for the stock. This could be due to the company's strong financial performance and potential for future growth.</t>
  </si>
  <si>
    <t>Overall, Entergy's latest earnings report and financial data suggest a mixed outlook for the company. While the warmer weather and increase in retail volume have positively impacted profits, the decline in revenues is a cause for concern. Investors should closely monitor the company's performance and industry trends before making any investment decisions.</t>
  </si>
  <si>
    <t>FICO,70,"</t>
  </si>
  <si>
    <t>Fair Isaac (FICO) is a leading company in the application software industry, providing analytics and decision management solutions to businesses and organizations. The recent news surrounding the company has been positive, with Wall Street expecting earnings growth in the upcoming report. However, there are some concerns about the company's financial data, particularly its high valuation metrics.</t>
  </si>
  <si>
    <t>According to the latest financial data, Fair Isaac has a market cap of $21.03B and an enterprise value of $22.83B. Its trailing P/E ratio is 51.39, which is significantly higher than the industry average. The forward P/E ratio of 34.25 is also relatively high, indicating that the market has high expectations for the company's future earnings. The PEG ratio of 1.75 suggests that the stock may be overvalued, as it is trading at a premium compared to its expected earnings growth.</t>
  </si>
  <si>
    <t>Furthermore, Fair Isaac's price/sales ratio of 14.61 and enterprise value/revenue ratio of 15.51 are also higher than the industry average, indicating that the stock may be overvalued based on its sales and revenue. The enterprise value/EBITDA ratio of 35.98 is also significantly higher than the industry average, suggesting that the company's valuation may be inflated.</t>
  </si>
  <si>
    <t>Overall, while Fair Isaac has a strong position in the application software industry and is expected to report earnings growth, its high valuation metrics may be a cause for concern. Investors should carefully consider these factors before making any investment decisions.</t>
  </si>
  <si>
    <t>F,70,"</t>
  </si>
  <si>
    <t>Ford Motor Company, one of the leading automobile manufacturers, faced a challenging month in October as its stock tumbled by 22%. The recent news of the company reaching an agreement with the United Auto Workers to end the strike was overshadowed by the company's decision to pull its guidance and delay $12 billion in electric vehicle investments. This news has raised concerns among investors about the company's future growth and profitability.</t>
  </si>
  <si>
    <t>In terms of financial data, Ford's market cap stands at $39.67 billion, with an enterprise value of $143.10 billion. The trailing P/E ratio is at a low 6.48, while the forward P/E ratio is even lower at 5.44, indicating that the stock may be undervalued. The PEG ratio of 0.56 also suggests that the stock may be a good value investment. However, the price/sales ratio of 0.23 and the price/book ratio of 0.90 are below the industry average, indicating that the stock may be trading at a discount. The enterprise value/revenue and enterprise value/EBITDA ratios of 0.82 and 6.01, respectively, also suggest that the stock may be undervalued.</t>
  </si>
  <si>
    <t>Overall, the recent news and financial data suggest that Ford may be facing some challenges in the short term, but the stock may be undervalued and have potential for long-term growth. However, investors should closely monitor the company's future developments and financial performance before making any investment decisions.</t>
  </si>
  <si>
    <t>SCHW,70,"Investment Report:</t>
  </si>
  <si>
    <t>Charles Schwab Corporation is a leading investment banking and brokerage firm that has recently announced plans to cut up to 2,000 jobs. This decision was made in order to maintain competitiveness in the market, according to a spokesperson for the company. This news, along with similar actions taken by other major firms such as Goldman Sachs and Morgan Stanley, highlights the current challenges and changes in the financial industry.</t>
  </si>
  <si>
    <t>In terms of financial data, Charles Schwab has a market cap of $94.77B and a trailing P/E ratio of 17.35. Its forward P/E ratio is 13.46, indicating potential growth in the future. The PEG ratio of 1.09 suggests a relatively fair valuation for the company. However, its price/sales ratio of 4.82 and price/book ratio of 3.39 may be considered on the higher side.</t>
  </si>
  <si>
    <t>Overall, the recent news and financial data suggest a mixed outlook for Charles Schwab Corporation. The job cuts may help the company remain competitive, but could also impact its performance in the short term. Investors should closely monitor the company's actions and financial performance in the coming months.</t>
  </si>
  <si>
    <t>PAYC,65,"</t>
  </si>
  <si>
    <t>Paycom Software (PAYC) is a leading provider of cloud-based human capital management software, offering solutions for payroll, HR, and talent management. The company's recent financial results and guidance have caused a significant decline in its stock price, with shares plummeting almost 40% in one day.</t>
  </si>
  <si>
    <t>In the third quarter of 2023, Paycom's revenue of $406.3 million missed estimates, and the company also provided weak guidance for the fourth quarter, full year, and 2024. This was attributed to a shift towards the company's automated Beti product, which is cannibalizing other sources of revenue. As a result, several analysts downgraded the stock, and at least seven former bulls cut ties with the company.</t>
  </si>
  <si>
    <t>Despite these challenges, there are some positive aspects to consider. Paycom is GAAP profitable, has a net cash balance sheet, and is actively buying back stock. Additionally, the company's market cap of $14.20 billion and enterprise value of $13.69 billion indicate a strong financial position.</t>
  </si>
  <si>
    <t>However, the stock's current valuation may be a concern for some investors. With a trailing P/E ratio of 45.03 and a forward P/E ratio of 28.17, the stock may be considered overvalued. The PEG ratio of 1.27 also suggests that the stock may not be a good value at its current price.</t>
  </si>
  <si>
    <t>Overall, the recent news and financial data for Paycom Software present a mixed outlook for the company. While the shift towards automation may be a concern, the company's strong financial position and potential for growth in the human capital management industry could present opportunities for long-term investors.</t>
  </si>
  <si>
    <t>EQR,65,"</t>
  </si>
  <si>
    <t>Investment Report: Equity Residential (EQR) is a real estate investment trust (REIT) that focuses on multi-family residential properties. The recent Q3 results for the company showed a weaker performance in its West Coast market, along with the impact of the Rite Aid bankruptcy. This has led to the company falling short of Q3 FFO estimates and trimming its 2023 outlook.</t>
  </si>
  <si>
    <t>In terms of financial data, Equity Residential has a market cap of $20.97B and an enterprise value of $28.73B. Its trailing P/E ratio is 26.01, which is slightly higher than the industry average of 24.86. The forward P/E ratio of 33.44 suggests that the company's earnings are expected to grow in the future. However, the PEG ratio of 2.53 indicates that the stock may be overvalued compared to its expected earnings growth.</t>
  </si>
  <si>
    <t>Equity Residential's price/sales ratio of 7.66 and price/book ratio of 1.91 are both below the industry averages, indicating that the stock may be undervalued. However, the enterprise value/revenue ratio of 10.20 and enterprise value/EBITDA ratio of 14.22 are both higher than the industry averages, suggesting that the stock may be overvalued based on these metrics.</t>
  </si>
  <si>
    <t>Overall, the recent news and financial data for Equity Residential suggest a mixed outlook for the company. While the weak performance in its West Coast market and the impact of the Rite Aid bankruptcy may have a short-term impact, the company's focus on multi-family residential properties and expected earnings growth could provide long-term potential. Investors should closely monitor the company's performance and outlook before making any investment decisions.</t>
  </si>
  <si>
    <t>PCAR,65,"</t>
  </si>
  <si>
    <t>PACCAR (PCAR) is a leading manufacturer of heavy-duty trucks, engines, and related parts. The company has a strong presence in the global market and has been consistently delivering solid financial results. However, recent news and financial data suggest a mixed outlook for the company.</t>
  </si>
  <si>
    <t>On the positive side, PACCAR's market cap and enterprise value are both strong, indicating a stable financial position. The company's trailing P/E and forward P/E ratios are also relatively low, suggesting that the stock may be undervalued. Additionally, PACCAR's price/sales and price/book ratios are within a reasonable range, indicating that the stock may have room for growth.</t>
  </si>
  <si>
    <t>However, the PEG ratio, which measures the stock's valuation relative to its expected earnings growth, is relatively high at 4.54. This could indicate that the stock may be overvalued compared to its expected growth potential. Furthermore, the enterprise value/revenue and enterprise value/EBITDA ratios are also on the higher side, suggesting that the stock may be trading at a premium.</t>
  </si>
  <si>
    <t>Overall, PACCAR's financial data suggests a mixed outlook for the company. While the stock may be undervalued in some aspects, it may also be overvalued in others. Investors should closely monitor the company's financial performance and market trends before making any investment decisions.</t>
  </si>
  <si>
    <t>K,65,"</t>
  </si>
  <si>
    <t>Kellanova (K) is a leading company in the Packaged Foods &amp; Meats industry with a recent market cap of 17.28B and an enterprise value of 24.30B. The firm's latest financial data shows a trailing P/E of 20.19 and a forward P/E of 12.35, indicating a potential undervaluation of the stock. However, the PEG ratio of 3.82 suggests that the stock may be overvalued in the long term.</t>
  </si>
  <si>
    <t>The firm's price/sales ratio of 1.10 and price/book ratio of 4.36 are both above the industry average, indicating a premium valuation for the stock. Additionally, the enterprise value/revenue ratio of 1.53 and enterprise value/EBITDA ratio of 13.31 are also higher than the industry average, suggesting that the stock may be overvalued.</t>
  </si>
  <si>
    <t>Kellanova (K) is expected to report a decline in earnings for the third quarter, which may have a negative impact on the stock price. However, the company has a strong track record of beating earnings expectations, which could potentially mitigate the impact of the decline.</t>
  </si>
  <si>
    <t>Overall, the firm's financial data and recent news suggest a mixed outlook for the stock. While the company's strong market position and potential undervaluation may be attractive to investors, the premium valuation and expected decline in earnings may pose risks.</t>
  </si>
  <si>
    <t>MTCH,65,"</t>
  </si>
  <si>
    <t>Match Group (MTCH) has recently faced a decline in its stock price after reporting its third-quarter earnings. The company's stock plunged after a decline in the number of people paying for its popular dating app, Tinder. Despite this, Match Group's third-quarter results beat estimates and showed a rise in revenues, thanks to the strength of Tinder and Hinge.</t>
  </si>
  <si>
    <t>However, the company's stock is currently hitting six-year lows, down 16.2% at $29.01. This is despite the better-than-expected earnings, as Match Group also shared a dismal revenue outlook for the current quarter. This news has caused concern among investors and has led to a decline in the stock price.</t>
  </si>
  <si>
    <t>In terms of financial data, Match Group has a market cap of $9.62B and an enterprise value of $12.72B. Its trailing P/E ratio is 21.10 and its forward P/E ratio is 12.27, indicating a potential undervaluation of the stock. The PEG ratio of 0.45 also suggests that the stock may be undervalued, as it is trading at a lower multiple compared to its expected earnings growth.</t>
  </si>
  <si>
    <t>However, the price/sales ratio of 3.16 and the price/book ratio of 10.97 may indicate that the stock is currently overvalued. The enterprise value/revenue ratio of 3.96 and the enterprise value/EBITDA ratio of 16.19 also suggest that the stock may be overvalued.</t>
  </si>
  <si>
    <t>Overall, the recent decline in Match Group's stock price and the company's mixed financial data may present a potential buying opportunity for investors. However, the current market conditions and the company's outlook for the current quarter should be carefully considered before making any investment decisions.</t>
  </si>
  <si>
    <t>NCLH,65,"</t>
  </si>
  <si>
    <t>Norwegian Cruise Line Holdings (NCLH) is facing challenges in the current market, including rising energy prices, labor costs, inflation, and a significant debt load. However, the company recently reported better-than-expected earnings for the third quarter, with revenue up 56.8% year-over-year and beating estimates by $30 million. This was driven by strong occupancy and revenue per passenger. However, the company has reduced its outlook for the year due to the ongoing conflict in the Middle East.</t>
  </si>
  <si>
    <t>NCLH has also faced setbacks due to the cancellation of stops in Israel and the impact of wildfires in Maui. As a result, the company has slashed its full-year guidance and warned of potential impacts from the Israel-Hamas conflict.</t>
  </si>
  <si>
    <t>Despite beating earnings estimates, NCLH's stock has dropped towards a 6-month low as the company cut its full-year outlook and reported lower-than-expected close-in demand for certain itineraries.</t>
  </si>
  <si>
    <t>Based on the recent financial data, NCLH has a market cap of $5.79 billion and an enterprise value of $18.64 billion. Its trailing P/E ratio is 3.81 and its forward P/E ratio is 9.44, indicating potential undervaluation. However, its price/sales ratio of 0.80 and price/book ratio of 380.12 may suggest overvaluation. Additionally, its enterprise value/revenue ratio of 2.60 and enterprise value/EBITDA ratio of 28.62 may also indicate a higher valuation.</t>
  </si>
  <si>
    <t>Overall, NCLH's recent earnings report and outlook suggest a mixed outlook for the company. While it has shown strong performance in the third quarter, the ongoing challenges and uncertainties in the market may impact its future performance. Investors should closely monitor the company's financials and market developments before making any investment decisions.</t>
  </si>
  <si>
    <t>EMR,65,"</t>
  </si>
  <si>
    <t>Emerson Electric (EMR) is a leading company in the Electrical Components &amp; Equipment industry with a recent market cap of $50.85B and an enterprise value of $49.70B. The firm's latest financial data shows a trailing P/E ratio of 15.99 and a forward P/E ratio of 17.99, indicating a relatively low valuation compared to its industry peers. However, the PEG ratio of 3.20 suggests that the stock may be overvalued based on its expected growth rate.</t>
  </si>
  <si>
    <t>The firm's upcoming fiscal Q4 earnings report is expected to show softness in discrete and semiconductor markets, which could negatively impact its financial performance. Additionally, rising costs and foreign exchange woes may also weigh on the company's earnings. These factors could potentially lead to a decrease in stock price in the short term.</t>
  </si>
  <si>
    <t>Based on the latest financial data and news, the potential investment value of Emerson Electric in the Electrical Components &amp; Equipment industry for the next month is moderate. Investors should closely monitor the company's earnings report and outlook for any potential changes in its financial performance.</t>
  </si>
  <si>
    <t>GE,60,"</t>
  </si>
  <si>
    <t>Investment Report: General Electric (GE) is a multinational conglomerate company that operates in various industries, including aviation, healthcare, and renewable energy. The latest news from the company reveals that its pension has invested $100 million in a new ETF, the Simplify Market Neutral Equity Long/Short fund. This move indicates the company's confidence in the market and its willingness to diversify its investment portfolio.</t>
  </si>
  <si>
    <t>In terms of financial data, GE has a market cap of $118.23 billion and an enterprise value of $118.87 billion. Its trailing P/E ratio is 11.30, which is lower than the industry average, indicating that the stock may be undervalued. However, its forward P/E ratio of 23.36 suggests that the company's earnings growth may be slower in the future. The PEG ratio of 1.40 also indicates that the stock may be slightly overvalued.</t>
  </si>
  <si>
    <t>GE's price-to-sales ratio of 1.42 and price-to-book ratio of 4.12 are both higher than the industry average, suggesting that the stock may be overvalued. However, its enterprise value-to-revenue ratio of 1.42 and enterprise value-to-EBITDA ratio of 7.41 are both lower than the industry average, indicating that the stock may be undervalued based on these metrics.</t>
  </si>
  <si>
    <t>Overall, GE's financial data suggests a mixed outlook for the stock. While some metrics indicate that the stock may be undervalued, others suggest that it may be overvalued. Investors should carefully consider these factors before making any investment decisions.</t>
  </si>
  <si>
    <t>CPT,60,"</t>
  </si>
  <si>
    <t>Investment Report: Camden Property Trust is a real estate investment trust (REIT) that specializes in multi-family residential properties. The recent financial data for the company shows a market cap of $9.04B and an enterprise value of $12.68B. The trailing P/E ratio is 41.51 and the forward P/E ratio is 37.31, indicating a relatively high valuation for the company. The price/sales ratio is 6.02 and the price/book ratio is 1.86, which are also on the higher side. The enterprise value/revenue ratio is 8.29 and the enterprise value/EBITDA ratio is 13.42, suggesting that the company may be overvalued.</t>
  </si>
  <si>
    <t>In terms of news, most analysts are optimistic about Camden Property Trust's prospects. However, we have a more cautious view. The REIT's management has expressed a cautious outlook, citing slower rental growth. This could potentially impact the company's financial performance in the future. Additionally, Camden Property Trust has a heavy variable-rate debt load and a substantial labor liability, which could pose risks to its financial stability.</t>
  </si>
  <si>
    <t>Considering the company's high valuation and potential risks, we believe that Camden Property Trust may not be a strong investment opportunity at this time. We recommend investors to closely monitor the company's financial performance and outlook before making any investment decisions.</t>
  </si>
  <si>
    <t>DIS,60,"</t>
  </si>
  <si>
    <t>Disney (NYSE: DIS) is a leading entertainment company with a diverse portfolio of businesses, including theme parks, media networks, and streaming services. The recent news surrounding the company's ESPN network and the launch of its new ad-supported Disney+ tier have generated interest and speculation among investors.</t>
  </si>
  <si>
    <t>According to a recent report by BofA Global Research, ESPN could be valued at $24 billion and attract investments from tech giants such as Apple and Verizon. This potential valuation highlights the value of Disney's sports network and its potential for growth in the streaming market.</t>
  </si>
  <si>
    <t>In addition, Disney's upcoming fiscal fourth-quarter results and the release of highly anticipated movies such as ""The Marvels"" and ""Wish"" in November are events to watch for potential impact on the company's stock performance.</t>
  </si>
  <si>
    <t>However, it is important to note that Disney's near-term stock performance may not be promising, as the risks currently outweigh the potential rewards. The company's high trailing P/E ratio of 66.33 and relatively low forward P/E ratio of 16.92 suggest that the stock may be overvalued. Additionally, the company's PEG ratio of 0.95 and price/sales ratio of 1.70 also indicate that the stock may not be a good value at its current price.</t>
  </si>
  <si>
    <t>Based on the latest financial data, the company's enterprise value is 2.11 times its revenue and 16.34 times its EBITDA, which may be considered high compared to its industry peers.</t>
  </si>
  <si>
    <t>In conclusion, while Disney remains a strong and well-established company in the entertainment industry, its current stock performance may not be attractive for investors. The potential for growth in its streaming services and theme parks may provide some upside, but the risks and high valuation suggest a cautious approach. Therefore, the analysis rates Disney as a ""sell"" with a target price of $70.7, indicating a 12.4% downside from the current stock price.</t>
  </si>
  <si>
    <t>O,60,"</t>
  </si>
  <si>
    <t>Investment Report: Realty Income Corporation (NYSE: O) is a real estate investment trust (REIT) that specializes in single-tenant, net-leased properties. The company has recently made headlines with its acquisition of Spirit Realty Capital, Inc. in a stock-for-stock deal valued at $9.3 billion. While this deal may make Realty Income the largest triple net REIT, it has raised concerns among investors about the company's focus on growth rather than shareholder value creation.</t>
  </si>
  <si>
    <t>The latest financial data for Realty Income shows a market cap of $33.58 billion and an enterprise value of $53.44 billion. The company's trailing P/E ratio is 35.36 and its forward P/E ratio is 36.23, indicating a relatively high valuation. The PEG ratio, which measures the relationship between the stock's price, earnings, and expected growth, is also high at 6.07. Additionally, Realty Income's price-to-sales ratio of 8.31 and price-to-book ratio of 1.08 suggest that the stock may be overvalued.</t>
  </si>
  <si>
    <t>The company's recent focus on growth has also impacted its share price and capital gains. However, the acquisition of Spirit Realty is expected to be over 2.5% accretive to Realty Income's AFFO per share. This may provide some short-term benefits for investors, but the long-term implications of this deal are uncertain.</t>
  </si>
  <si>
    <t>Overall, Realty Income's aggressive growth strategy and high valuation may not be sustainable in the long run. Investors should closely monitor the company's performance and consider using options to take advantage of any potential decline in share price. Therefore, based on the current situation, the potential investment value for Realty Income in the Retail REITs industry for the next month is:</t>
  </si>
  <si>
    <t>SEDG,60,"</t>
  </si>
  <si>
    <t>SolarEdge Technologies Inc. (SEDG) has recently faced a significant drop in its stock price, with shares falling more than 20% in after-hours trading. The company reported a surprise loss in the third quarter, citing a slowdown in solar installations and lower sales in the current quarter. This news has caused concern among investors and raises questions about the company's future performance.</t>
  </si>
  <si>
    <t>In the third quarter, SolarEdge reported a loss of $61.2 million, or $1.08 per share, compared to net earnings of $24.7 million, or 43 cents per share, in the same quarter last year. This unexpected loss is a cause for concern, as it indicates a decline in the company's financial performance. Additionally, the company's weak guidance for the fourth quarter, citing struggles in the renewable energy sector, has further dampened investor sentiment.</t>
  </si>
  <si>
    <t>Looking at the latest financial data, SolarEdge's market cap stands at $4.30 billion, with an enterprise value of $3.98 billion. The company's trailing P/E ratio is 14.69, while the forward P/E ratio is 16.98. The PEG ratio, which measures the company's valuation relative to its expected growth, is at a favorable 0.81. However, the price/sales ratio of 1.22 and price/book ratio of 1.70 suggest that the stock may be overvalued. The enterprise value/revenue ratio of 1.09 and enterprise value/EBITDA ratio of 9.03 also indicate a relatively high valuation.</t>
  </si>
  <si>
    <t>Overall, the recent news and financial data suggest a mixed outlook for SolarEdge. While the company's unexpected loss and weak guidance are concerning, its favorable PEG ratio and strong market position in the renewable energy sector could present potential opportunities for long-term investors. However, the company's high valuation metrics should also be taken into consideration. Investors should closely monitor the company's performance and industry trends before making any investment decisions.</t>
  </si>
  <si>
    <t>TSLA,60,"</t>
  </si>
  <si>
    <t>Tesla, Inc. has been making headlines in the past month, with a mix of positive and negative news. The company posted solid results for the third quarter, but CEO Elon Musk expressed caution during the post-earnings call due to economic and engineering challenges. The end of the UAW strike may also have an impact on Tesla's operations. However, a recent jury ruling found that Tesla's Autopilot function was not to blame for a fatal crash, providing some relief for the company. Despite a 67% increase in stock price this year, some analysts believe that Tesla's valuation is not justified and that the company no longer deserves a premium. On the other hand, investor Ron Baron sees potential for Tesla's valuation to reach $4 trillion, with the possibility of SpaceX being even bigger. However, there are also concerns about a potential slowdown in the EV industry and the true cost of owning a Tesla. Overall, Tesla's stock has been volatile in the past month, with a 20% decrease in value. The company's plans to produce 200,000 Cybertrucks a year and offer a 'beast mode' version may provide some positive momentum for the stock. However, there are also concerns about the company's ability to meet production targets and the impact of the Cybertruck on shareholders. Based on the recent news and financial data, the potential investment value of Tesla, Inc. in the Automobile Manufacturers industry for the next month is:</t>
  </si>
  <si>
    <t>TRMB,60,"</t>
  </si>
  <si>
    <t>Trimble Inc. (TRMB) has faced challenges in 2023, leading to a decrease in its guidance. The company has been impacted by an expensive deal in Germany and a complicated joint venture with AGCO Corporation. Despite being an R&amp;D powerhouse with a focus on GPS applications, Trimble's earnings have remained stable at $2 and change, with a decrease in multiples due to unmet growth expectations.</t>
  </si>
  <si>
    <t>In the latest quarter, Trimble's earnings report showed mixed results compared to Wall Street estimates and the previous year's performance. The company's market cap stands at $11.70B, with an enterprise value of $14.76B. Trimble's trailing P/E ratio is 33.88, while the forward P/E ratio is 17.01, indicating a potential undervaluation. The PEG ratio of 1.70 suggests a fair valuation, while the price/sales ratio of 3.21 and price/book ratio of 2.70 are in line with industry averages.</t>
  </si>
  <si>
    <t>However, Trimble's enterprise value/revenue ratio of 4.04 and enterprise value/EBITDA ratio of 20.08 are higher than the industry average, indicating a potential overvaluation. This could be a concern for investors, especially considering the recent challenges faced by the company.</t>
  </si>
  <si>
    <t>EL,30,"</t>
  </si>
  <si>
    <t>Estée Lauder Companies (EL) is facing significant challenges in the current market, as evidenced by the recent news and financial data. The company's shares have tumbled by as much as 20% due to slower demand in China and other Asian markets, leading to a downgrade in its financial outlook. This has resulted in a significant loss for the company's billionaire heirs and a drop in stock price to a six-year low.</t>
  </si>
  <si>
    <t>The company's latest financial data also shows a high trailing P/E ratio of 46.19 and a forward P/E ratio of 36.36, indicating that the stock may be overvalued. The PEG ratio of 3.64 also suggests that the stock may not be a good value for investors. Additionally, the price/sales and price/book ratios are higher than the industry average, further indicating that the stock may be overpriced.</t>
  </si>
  <si>
    <t>Despite reporting a surprise profit in the first quarter, Estée Lauder's outlook for the second quarter is well below expectations. This, coupled with the ongoing challenges in the Chinese market, may continue to impact the company's financial performance and stock price in the near future.</t>
  </si>
  <si>
    <t>Based on the recent news and financial data, the potential investment value of Estée Lauder Companies for the next month is low. Investors should carefully consider the risks and challenges facing the company before making any investment decisions.</t>
  </si>
  <si>
    <t>Score: 30"</t>
  </si>
  <si>
    <t>Sector,recommendation,score</t>
  </si>
  <si>
    <t>Specialized REITs,"</t>
  </si>
  <si>
    <t>Sector Investment Report:</t>
  </si>
  <si>
    <t>Score: 85",85</t>
  </si>
  <si>
    <t>Health Care REITs,"</t>
  </si>
  <si>
    <t>The recent macro-economic news also bodes well for the health care REIT sector. The removal of COVID-19 as a factor in the economy and the Federal Reserve's decision to hold interest rates steady provide stability and certainty for the sector. Additionally, the increase in job openings and potential for continued economic growth suggest a positive outlook for healthcare facilities and the demand for REITs.</t>
  </si>
  <si>
    <t>The latest macro-economic data suggests a positive outlook for the sector. With the removal of COVID-19 as a major factor in the economy, the sector is expected to continue its growth trajectory. The rise of generative AI models and technological advancements in the industry offer opportunities for investors, but potential regulation in the tech sector should also be considered.</t>
  </si>
  <si>
    <t>Software,"</t>
  </si>
  <si>
    <t>The software sector has been a top performer in recent years, driven by technological advancements and the increasing reliance on digital solutions in various industries. The rise of generative AI models and the continued growth of Big Tech companies have reshaped the sector, offering both risks and opportunities for investors.</t>
  </si>
  <si>
    <t>However, the potential for increased regulation in the tech sector is a factor to keep in mind. The recent lawsuits against Meta Platforms and the ruling against Alex Jones in his personal bankruptcy case may have implications for the industry and could lead to increased scrutiny and potential challenges for tech companies.</t>
  </si>
  <si>
    <t>Score: 80",80</t>
  </si>
  <si>
    <t>Commercial Services &amp; Supplies,"</t>
  </si>
  <si>
    <t>The commercial services and supplies sector has shown resilience in the face of recent economic challenges. Despite geopolitical tensions and natural disasters, the sector has continued to perform well, with companies in this sector providing essential services and products to businesses and consumers. The rise of technological advancements, particularly in the AI industry, has also created opportunities for growth and innovation within this sector.</t>
  </si>
  <si>
    <t>Consumer Staples Distribution &amp; Retail,"</t>
  </si>
  <si>
    <t>The consumer staples distribution and retail sector has shown resilience in the face of recent economic challenges. Despite the ongoing COVID-19 pandemic and geopolitical tensions, this sector has continued to perform well. The rise of e-commerce and the increasing demand for essential goods have contributed to the sector's stability. However, potential risks such as supply chain disruptions and inflationary pressures should be monitored closely.</t>
  </si>
  <si>
    <t>Communications Equipment,"</t>
  </si>
  <si>
    <t>The communications equipment sector has shown strong growth in recent years, driven by advancements in technology and the increasing demand for connectivity. The rise of 5G networks and the Internet of Things (IoT) has created opportunities for companies in this sector to innovate and expand their offerings. However, the sector may face challenges in the near future due to potential supply chain disruptions and geopolitical tensions.</t>
  </si>
  <si>
    <t>Interactive Media &amp; Services,"</t>
  </si>
  <si>
    <t>The interactive media and services sector has seen significant growth in recent years, driven by technological advancements and the increasing demand for digital content and services. The rise of generative AI models and the ubiquity of AI tools have reshaped the industry, offering both risks and opportunities for investors. However, the potential for increased regulation in the tech sector is a factor to keep in mind.</t>
  </si>
  <si>
    <t>Machinery,"</t>
  </si>
  <si>
    <t>The machinery sector has shown resilience in the face of recent economic challenges. Despite geopolitical tensions and natural disasters, the sector has continued to perform well, driven by technological advancements and increased demand for machinery in various industries. However, potential risks such as political instability and corporate acquisitions could impact the sector's growth in the future.</t>
  </si>
  <si>
    <t>Electrical Equipment,"</t>
  </si>
  <si>
    <t>The electrical equipment sector has shown resilience in the face of recent economic challenges. Despite geopolitical tensions and natural disasters, the sector has continued to perform well, driven by technological advancements and increased demand for energy-efficient products. However, potential risks such as political instability and legal developments in the tech industry should be monitored closely.</t>
  </si>
  <si>
    <t>Independent Power and Renewable Electricity Producers,"</t>
  </si>
  <si>
    <t>The independent power and renewable electricity producers sector has shown strong growth potential in recent years, driven by increasing demand for clean energy and government initiatives to reduce carbon emissions. The sector has also been resilient during the COVID-19 pandemic, with renewable energy sources continuing to gain market share.</t>
  </si>
  <si>
    <t>However, geopolitical tensions and potential disruptions to trade and energy supplies could impact the sector's growth in the near future. The ongoing Russian invasion of Ukraine and the conflict between Israel and Hamas could lead to volatility in energy prices and affect investor sentiment.</t>
  </si>
  <si>
    <t>On the other hand, technological advancements in the sector, particularly in the development of AI models, offer opportunities for investors. However, the potential for increased regulation in the tech sector should also be considered.</t>
  </si>
  <si>
    <t>Overall, the economic outlook for the independent power and renewable electricity producers sector is positive, but with some potential risks to monitor.</t>
  </si>
  <si>
    <t>Hotel &amp; Resort REITs,"</t>
  </si>
  <si>
    <t>The hotel and resort REIT sector has faced significant challenges in the past year due to the COVID-19 pandemic. However, with the recent removal of nearly all COVID-19 restrictions and the World Health Organization ending the global health emergency status, the sector is poised for a rebound. The rise of domestic travel and pent-up demand for vacations and leisure activities bodes well for the hotel and resort industry. Additionally, the ongoing geopolitical tensions in Europe and the Middle East may lead to increased domestic travel as people opt for domestic destinations. The advancements in technology, particularly in the AI sector, also offer opportunities for the hotel and resort industry to enhance customer experiences and streamline operations. However, potential risks include natural disasters, political instability, and legal developments that could impact the sector's performance.</t>
  </si>
  <si>
    <t>Residential REITs,"</t>
  </si>
  <si>
    <t>The residential REITs sector has been performing well in recent years, with strong demand for rental properties and low interest rates driving growth. However, there are some potential risks to consider in the current economic climate.</t>
  </si>
  <si>
    <t>The removal of COVID-19 as a factor in the economy is a positive sign for the residential REITs sector, as it could lead to increased demand for rental properties. However, geopolitical tensions in Europe and the Middle East could create uncertainty and potentially impact global market sentiment, which could have indirect effects on the sector.</t>
  </si>
  <si>
    <t>On the other hand, technological advancements and the rise of AI models could offer opportunities for the sector, but the potential for increased regulation in the tech industry is a factor to keep in mind.</t>
  </si>
  <si>
    <t>Overall, the residential REITs sector has a stable outlook, but investors should closely monitor economic indicators and geopolitical developments for potential risks.</t>
  </si>
  <si>
    <t>Diversified REITs,"</t>
  </si>
  <si>
    <t>The economic outlook for the Diversified REITs sector is positive, with the recent macro-economic news indicating stability and potential for growth. The removal of COVID-19 as a factor in the economy, along with the ongoing technological advancements, could lead to increased demand for real estate properties. However, geopolitical tensions in Europe and the Middle East, as well as potential natural disasters, could create some risks for the sector.</t>
  </si>
  <si>
    <t>Personal Care Products,"</t>
  </si>
  <si>
    <t>The personal care products sector has shown resilience in the face of economic challenges, with companies adapting to changing consumer behaviors and preferences. The recent macro-economic news suggests a stable outlook for the sector, with potential for growth in the coming months.</t>
  </si>
  <si>
    <t>Private sector payrolls have shown improvement, indicating a potential increase in consumer spending. The Federal Reserve's decision to hold interest rates steady provides stability for businesses and investors. Job openings have also increased, which could lead to higher consumer spending and economic growth. However, the U.S. Treasury's decision to auction more bonds could impact borrowing costs for businesses and consumers.</t>
  </si>
  <si>
    <t>Overall, the personal care products sector has a positive economic outlook, with potential for growth in the coming months.</t>
  </si>
  <si>
    <t>Beverages,"</t>
  </si>
  <si>
    <t>Sector Investment Report: The recent economic outlook for the beverages sector is positive, with steady growth and strong consumer demand. The sector has been relatively resilient during the COVID-19 pandemic, with people turning to at-home consumption of beverages. Additionally, technological advancements in the industry, such as the rise of e-commerce and direct-to-consumer sales, have provided new opportunities for growth. However, potential supply chain disruptions and rising input costs could pose challenges for the sector in the future.</t>
  </si>
  <si>
    <t>Semiconductors &amp; Semiconductor Equipment,"</t>
  </si>
  <si>
    <t>The semiconductor industry has been experiencing strong growth in recent years, driven by increasing demand for electronic devices and advancements in technology. However, the ongoing geopolitical tensions and potential for increased regulation in the tech sector could pose risks for this industry.</t>
  </si>
  <si>
    <t>Distributors,"</t>
  </si>
  <si>
    <t>The economic outlook for the distributors sector is positive, with recent data showing an increase in job openings and private sector payrolls. However, potential risks such as geopolitical tensions and natural disasters could impact the sector's performance. The rise of generative AI models and potential for increased regulation in the tech sector may also have implications for distributors that rely on technology for their operations.</t>
  </si>
  <si>
    <t>Household Durables,"</t>
  </si>
  <si>
    <t>The household durables sector has shown resilience in the face of recent economic challenges. Despite concerns about inflation and potential interest rate hikes, the sector has continued to perform well. The increase in job openings and consumer spending has also contributed to the sector's positive outlook. However, geopolitical tensions and potential disruptions to supply chains could pose risks for the sector in the future.</t>
  </si>
  <si>
    <t>Biotechnology,"</t>
  </si>
  <si>
    <t>The biotechnology sector has shown strong growth potential in recent years, driven by advancements in technology and increased demand for innovative medical treatments. The sector has also been relatively resilient during economic downturns, making it an attractive option for investors.</t>
  </si>
  <si>
    <t>However, there are some potential risks to consider. The ongoing COVID-19 pandemic has highlighted the importance of biotechnology in developing vaccines and treatments, but it has also brought attention to the sector's vulnerability to supply chain disruptions and regulatory challenges. Additionally, the sector is highly competitive, with a constant need for research and development, which can be costly and uncertain.</t>
  </si>
  <si>
    <t>Overall, the economic outlook for the biotechnology sector is positive, with potential for continued growth and innovation. However, investors should carefully consider the risks and volatility associated with this sector before making any investment decisions.</t>
  </si>
  <si>
    <t>Technology Hardware, Storage &amp; Peripherals,"</t>
  </si>
  <si>
    <t>The technology hardware, storage, and peripherals sector has shown strong growth in recent years, driven by advancements in technology and increased demand for devices and storage solutions. However, there are some potential risks and uncertainties that could impact the sector's performance.</t>
  </si>
  <si>
    <t>The rise of generative AI models and the ongoing AI arms race have reshaped the industry, offering both risks and opportunities for tech-focused investors. However, the potential for increased regulation in the tech sector is a factor to keep in mind. The recent legal developments, such as the ruling against Alex Jones and lawsuits against Meta Platforms, may have implications for the industry and could lead to increased scrutiny and potential challenges for companies.</t>
  </si>
  <si>
    <t>Additionally, the ongoing geopolitical tensions in Europe and the Middle East could disrupt global markets and impact sectors reliant on energy prices, potentially affecting the technology sector as well. The potential for political instability in the United States and natural disasters could also have indirect impacts on the sector.</t>
  </si>
  <si>
    <t>Score: 75",75</t>
  </si>
  <si>
    <t>Water Utilities,"</t>
  </si>
  <si>
    <t>The water utilities sector has been relatively stable in recent years, with steady demand for water services and consistent revenue streams. However, there are some potential risks to consider, such as the impact of natural disasters on infrastructure and potential regulatory changes.</t>
  </si>
  <si>
    <t>Electric Utilities,"</t>
  </si>
  <si>
    <t>The electric utilities sector has been relatively stable in recent years, with steady demand for electricity and consistent revenue streams. However, there are some potential risks to consider, such as the potential for increased government regulations and the impact of natural disasters on infrastructure. Additionally, the rise of renewable energy sources may disrupt the traditional business model of electric utilities. Overall, the sector's outlook is cautiously optimistic, but investors should closely monitor any potential changes in regulations and advancements in renewable energy technology.</t>
  </si>
  <si>
    <t>IT Services,"</t>
  </si>
  <si>
    <t>The IT services sector has been greatly impacted by recent macro-economic events, particularly the rise of generative AI models and the potential for increased regulation in the tech industry. While the sector has seen significant advancements and growth, there are also potential risks and uncertainties that investors should consider.</t>
  </si>
  <si>
    <t>Professional Services,"</t>
  </si>
  <si>
    <t>The professional services sector is expected to continue its growth trajectory in the coming months. With the removal of COVID-19 as a major factor in the economy and the ongoing technological advancements, the demand for professional services is likely to increase. However, geopolitical tensions in Europe and the Middle East conflict may create some uncertainties for this sector. Additionally, potential political instability in the United States and natural disasters could also impact the sector's performance.</t>
  </si>
  <si>
    <t>Electronic Equipment, Instruments &amp; Components,"</t>
  </si>
  <si>
    <t>The electronic equipment, instruments, and components sector has shown resilience in the face of recent economic challenges. The rise of generative AI models and technological advancements have reshaped various industries, offering both risks and opportunities for investors. However, the potential for increased regulation in the tech sector is a factor to keep in mind. The ongoing geopolitical tensions in Europe and the Middle East conflict may also impact this sector, particularly in terms of energy prices and global market sentiment.</t>
  </si>
  <si>
    <t>Insurance,"</t>
  </si>
  <si>
    <t>The insurance sector has been relatively stable in recent years, with steady growth and strong financial performance. However, there are some potential risks and uncertainties that could impact the sector's outlook.</t>
  </si>
  <si>
    <t>The COVID-19 pandemic is no longer a major factor in the economy, which is a positive sign for the insurance industry. However, geopolitical tensions in Europe and the ongoing conflict in the Middle East could lead to potential disruptions in the global market and impact insurance companies' operations.</t>
  </si>
  <si>
    <t>On the other hand, technological advancements, particularly in the field of AI, offer opportunities for insurance companies to improve their processes and better serve their customers. However, the potential for increased regulation in the tech sector could also affect insurance companies' operations.</t>
  </si>
  <si>
    <t>Overall, the insurance sector has a stable outlook, but investors should closely monitor geopolitical risks and potential regulatory changes.</t>
  </si>
  <si>
    <t>Capital Markets,"</t>
  </si>
  <si>
    <t>The capital markets sector has been impacted by recent macro-economic events, including the Federal Reserve's decision to hold interest rates steady and the increase in job openings. While the labor market is showing signs of softening, the Fed's assessment of economic growth provides stability for businesses and investors. However, the possibility of future rate hikes and potential inflationary pressures could create uncertainty in the market. Additionally, Treasury announcements and the bond market will be key factors to watch for potential impacts on borrowing costs and economic growth.</t>
  </si>
  <si>
    <t>Consumer Finance,"</t>
  </si>
  <si>
    <t>The consumer finance sector has been impacted by recent macro-economic events, such as the Federal Reserve's decision to hold interest rates steady and the increase in job openings. These factors suggest a stable outlook for the sector, but potential risks such as a slowdown in job growth and inflationary pressures could impact consumer spending and corporate earnings.</t>
  </si>
  <si>
    <t>Pharmaceuticals,"</t>
  </si>
  <si>
    <t>The pharmaceutical sector has been relatively stable in recent years, with steady growth and strong demand for medications. However, there are some potential risks to consider, such as increased government regulations and potential patent expirations for major drugs. The ongoing COVID-19 pandemic has also highlighted the importance of the pharmaceutical industry, but it has also brought challenges such as supply chain disruptions and increased scrutiny on drug pricing. Overall, the sector is expected to continue its growth trajectory, but investors should closely monitor any potential regulatory changes and patent expirations.</t>
  </si>
  <si>
    <t>Transportation Infrastructure,"</t>
  </si>
  <si>
    <t>The transportation infrastructure sector has been impacted by various macro-economic factors in recent years. The COVID-19 pandemic, geopolitical tensions, and technological advancements have all played a role in shaping the economic outlook for this sector.</t>
  </si>
  <si>
    <t>The removal of COVID-19 as a major factor in the economy is a positive sign for the transportation infrastructure sector. With travel restrictions lifted and businesses reopening, there is potential for increased demand for transportation services. However, geopolitical tensions in Europe and the Middle East could lead to disruptions in trade and energy supplies, which could impact the sector.</t>
  </si>
  <si>
    <t>On the technological front, advancements in AI and the rise of generative AI models have reshaped various industries, including transportation. This presents both risks and opportunities for investors in this sector. However, the potential for increased regulation in the tech sector is a factor to keep in mind.</t>
  </si>
  <si>
    <t>Overall, the economic outlook for the transportation infrastructure sector is relatively stable, with some potential risks to consider.</t>
  </si>
  <si>
    <t>Passenger Airlines,"</t>
  </si>
  <si>
    <t>The passenger airline sector has faced significant challenges in the past year due to the COVID-19 pandemic. However, with the recent removal of nearly all COVID-19 restrictions and the World Health Organization ending the global health emergency status, the sector is expected to see a rebound in demand for air travel. Additionally, the ongoing geopolitical tensions in Europe and the Middle East may lead to potential disruptions in the sector, but diversification strategies can help mitigate these risks. Technological advancements, particularly in the use of AI, have reshaped the industry and offer opportunities for tech-focused investors. However, potential increased regulation in the tech sector should also be considered.</t>
  </si>
  <si>
    <t>Automobiles,"</t>
  </si>
  <si>
    <t>The automobile sector has faced significant challenges in recent years, including supply chain disruptions, chip shortages, and rising raw material costs. However, with the global economy recovering from the COVID-19 pandemic and the easing of supply chain issues, the outlook for the sector is improving.</t>
  </si>
  <si>
    <t>The demand for electric vehicles is also expected to continue to grow, driven by government incentives and increasing environmental concerns. This presents opportunities for companies that have invested in electric vehicle technology and production.</t>
  </si>
  <si>
    <t>On the other hand, rising inflation and potential interest rate hikes could impact consumer spending and lead to a slowdown in automobile sales. Additionally, geopolitical tensions and potential trade disruptions could also affect the sector's performance.</t>
  </si>
  <si>
    <t>Overall, the economic outlook for the automobile sector is cautiously optimistic, with potential risks to consider.</t>
  </si>
  <si>
    <t>Automobile Components,"</t>
  </si>
  <si>
    <t>The automobile components sector has faced challenges in recent years due to the COVID-19 pandemic and supply chain disruptions. However, with the pandemic no longer a major factor and the global economy recovering, the sector is expected to see growth in the coming years. Technological advancements in the industry, such as the rise of electric vehicles, also present opportunities for growth.</t>
  </si>
  <si>
    <t>Health Care Equipment &amp; Supplies,"</t>
  </si>
  <si>
    <t>The health care equipment and supplies sector has shown resilience in the face of recent economic challenges. With the COVID-19 pandemic no longer a major factor and advancements in technology, this sector has the potential for growth and innovation. However, geopolitical tensions and potential regulatory changes may pose risks for investors.</t>
  </si>
  <si>
    <t>Household Products,"</t>
  </si>
  <si>
    <t>The household products sector has shown resilience in the face of recent economic events. Despite geopolitical tensions and natural disasters, the demand for household products has remained steady. The rise of generative AI models has also created opportunities for companies in this sector to innovate and improve their products. However, potential increases in interest rates and inflation could impact consumer spending and affect the sector's growth.</t>
  </si>
  <si>
    <t>Health Care Providers &amp; Services,"</t>
  </si>
  <si>
    <t>The health care providers and services sector has been relatively stable in recent years, with steady growth and strong demand for health care services. The removal of COVID-19 as a major factor in the economy has also positively impacted this sector. However, geopolitical tensions in Europe and the Middle East, as well as potential regulatory changes in the tech industry, could create some uncertainty for investors.</t>
  </si>
  <si>
    <t>Industrial REITs,"</t>
  </si>
  <si>
    <t>The industrial REIT sector has been performing well in recent years, with strong demand for warehouse and distribution space due to the rise of e-commerce. However, there are some potential risks to consider in the current economic climate. The ongoing geopolitical tensions in Europe and the Middle East could impact global trade and potentially affect the demand for industrial real estate. Additionally, the potential for rising interest rates and inflation could also impact the sector's performance.</t>
  </si>
  <si>
    <t>Retail REITs,"</t>
  </si>
  <si>
    <t>The retail REIT sector has faced challenges in recent years due to the rise of e-commerce and the COVID-19 pandemic. However, with the removal of COVID-19 as a factor in the economy and the potential for increased consumer spending, the outlook for retail REITs is improving. The ongoing geopolitical tensions in Europe and the Middle East may create some uncertainty, but diversification strategies can help mitigate potential risks. Additionally, the advancements in technology and the rise of AI models offer opportunities for tech-focused investors, but potential regulation in the sector should be considered.</t>
  </si>
  <si>
    <t>Containers &amp; Packaging,"</t>
  </si>
  <si>
    <t>The containers and packaging sector has been impacted by various macro-economic factors in recent years. The COVID-19 pandemic, geopolitical tensions, and technological advancements have all played a role in shaping the sector's outlook.</t>
  </si>
  <si>
    <t>The removal of COVID-19 as a major factor in the economy is a positive sign for the containers and packaging sector. With businesses and industries returning to pre-pandemic levels, there is likely to be an increase in demand for packaging materials. However, the ongoing geopolitical tensions in Europe and the Middle East could potentially disrupt trade and impact the sector's supply chain.</t>
  </si>
  <si>
    <t>On the technological front, the rise of generative AI models has reshaped various industries, including containers and packaging. This presents both risks and opportunities for investors in the sector. However, the potential for increased regulation in the tech sector is a factor to keep in mind.</t>
  </si>
  <si>
    <t>Overall, the economic outlook for the containers and packaging sector is relatively stable, with some potential risks to consider.</t>
  </si>
  <si>
    <t>Aerospace &amp; Defense,"</t>
  </si>
  <si>
    <t>The aerospace and defense sector has been impacted by various macro-economic factors in recent years. The COVID-19 pandemic is no longer a major concern, but geopolitical tensions in Europe and the Middle East continue to create uncertainty. Technological advancements and potential regulatory changes in the tech industry also have implications for this sector. Additionally, political outcomes, natural disasters, and legal developments can all affect the aerospace and defense industry.</t>
  </si>
  <si>
    <t>Building Products,"</t>
  </si>
  <si>
    <t>The building products sector has shown resilience in the face of recent economic challenges. Despite concerns about inflation and potential interest rate hikes, the sector has continued to perform well. The increase in job openings and government borrowing could provide opportunities for growth in this sector. However, the potential for a slowdown in job growth and inflationary pressures should be monitored closely.</t>
  </si>
  <si>
    <t>Oil, Gas &amp; Consumable Fuels,"</t>
  </si>
  <si>
    <t>The oil, gas, and consumable fuels sector has faced a challenging year due to various geopolitical tensions and natural disasters. The ongoing Russian invasion of Ukraine and the conflict between Israel and Hamas have created uncertainty and potential disruptions in the energy market. Additionally, the recent earthquakes in Afghanistan and Hurricane Otis in Mexico have impacted local economies and potentially affected the sector's operations.</t>
  </si>
  <si>
    <t>However, there have also been some positive developments in the sector, such as major acquisitions by ExxonMobil and Chevron, which could lead to increased market consolidation and potentially benefit investors. The rise of generative AI models in the tech industry has also reshaped the sector, offering both risks and opportunities for investors.</t>
  </si>
  <si>
    <t>Overall, the economic outlook for the oil, gas, and consumable fuels sector is mixed. While there are potential risks and uncertainties, there are also opportunities for growth and consolidation. Investors should closely monitor the sector and adjust their investment strategies accordingly.</t>
  </si>
  <si>
    <t>Score: 70",70</t>
  </si>
  <si>
    <t>Chemicals,"</t>
  </si>
  <si>
    <t>Sector Investment Report: The chemical sector has been impacted by various macro-economic factors in recent years. The COVID-19 pandemic is no longer a major concern, but geopolitical tensions in Europe and the Middle East continue to create uncertainty. Technological advancements have also reshaped the industry, but potential regulation may be a factor to consider. Additionally, political instability in the United States and natural disasters have the potential to affect the sector.</t>
  </si>
  <si>
    <t>Construction Materials,"</t>
  </si>
  <si>
    <t>The construction materials sector has been impacted by recent events such as natural disasters and geopolitical tensions. The increase in job openings and private sector payrolls suggest a positive outlook for the sector, but the potential for higher interest rates and borrowing costs could create uncertainty. Additionally, the ongoing Russian invasion of Ukraine and the Israel-Hamas conflict may disrupt global trade and energy supplies, potentially affecting the construction materials industry.</t>
  </si>
  <si>
    <t>Metals &amp; Mining,"</t>
  </si>
  <si>
    <t>The metals and mining sector has faced some challenges in the recent economic climate, with geopolitical tensions and natural disasters impacting global markets. However, the rise of technological advancements and potential for major acquisitions in the energy industry offer opportunities for investors in this sector. The potential for increased regulation in the tech industry is also a factor to consider.</t>
  </si>
  <si>
    <t>Paper &amp; Forest Products,"</t>
  </si>
  <si>
    <t>The paper and forest products sector has faced challenges in recent years due to the shift towards digital media and the decline in demand for paper products. However, with the global economy recovering and businesses reopening, there is potential for growth in this sector. The rise in e-commerce and packaging needs, as well as the increasing focus on sustainability, could drive demand for paper and forest products. Additionally, the sector may benefit from the ongoing housing boom and the demand for wood products in construction.</t>
  </si>
  <si>
    <t>Office REITs,"</t>
  </si>
  <si>
    <t>The economic outlook for the Office REITs sector is mixed. On one hand, the recent macro-economic news suggests a stable economy with positive indicators such as job openings and economic growth. However, there are also potential risks such as a slowdown in job growth and potential inflationary pressures. Additionally, the Federal Reserve's decisions on interest rates and Treasury announcements could impact borrowing costs and potentially affect the sector.</t>
  </si>
  <si>
    <t>Food Products,"</t>
  </si>
  <si>
    <t>The food products sector has been relatively stable in recent years, with steady demand for essential food items. However, the ongoing geopolitical tensions in Europe and the Middle East could potentially disrupt supply chains and impact the sector's performance. Additionally, the rise of generative AI models and potential for increased regulation in the tech sector could also have implications for food production and distribution. On the positive side, the removal of COVID-19 as a factor in the economy and the increase in job openings could lead to higher consumer spending and benefit the sector.</t>
  </si>
  <si>
    <t>Textiles, Apparel &amp; Luxury Goods,"</t>
  </si>
  <si>
    <t>The textiles, apparel, and luxury goods sector has been impacted by the recent macro-economic events. The removal of COVID-19 as a factor in the economy and the ongoing geopolitical tensions in Europe and the Middle East may create uncertainty and potential disruptions in trade and global market sentiment. However, the sector has also seen advancements in technology, particularly in the use of AI models, which could offer opportunities for tech-focused investors. The potential for increased regulation in the tech sector is also a factor to consider.</t>
  </si>
  <si>
    <t>Financial Services,"Sector Investment Report:</t>
  </si>
  <si>
    <t>The financial services sector has been impacted by recent macro-economic events, including the COVID-19 pandemic, geopolitical tensions, and technological advancements. While the removal of COVID-19 as a factor in the economy is a positive development, geopolitical risks and potential regulatory changes in the tech sector could create uncertainty for investors. Additionally, the state of the economy and potential future rate hikes by the Federal Reserve could impact borrowing costs and consumer spending, which could in turn affect the financial services sector.</t>
  </si>
  <si>
    <t>Broadline Retail,"</t>
  </si>
  <si>
    <t>The broadline retail sector has faced challenges in recent years due to the rise of e-commerce and changing consumer preferences. However, with the removal of COVID-19 as a major factor in the economy and the potential for increased consumer spending, the sector may see a rebound in the coming months. The ongoing geopolitical tensions in Europe and the Middle East may also impact the sector, particularly in terms of supply chain disruptions and potential changes in consumer sentiment. Technological advancements and potential for increased regulation in the tech sector may also have implications for the retail industry.</t>
  </si>
  <si>
    <t>Specialty Retail,"</t>
  </si>
  <si>
    <t>The specialty retail sector has been impacted by the recent macro-economic events, particularly the COVID-19 pandemic and geopolitical tensions in Europe and the Middle East. However, with the pandemic no longer a major factor and the potential for technological advancements in the industry, there may be opportunities for investors in this sector. The potential for increased regulation in the tech sector should also be considered.</t>
  </si>
  <si>
    <t>Construction &amp; Engineering,"</t>
  </si>
  <si>
    <t>The construction and engineering sector has been impacted by recent events such as natural disasters and geopolitical tensions. The increase in job openings and government borrowing could provide opportunities for growth, but potential inflationary pressures and a slowdown in job growth could also pose risks.</t>
  </si>
  <si>
    <t>Trading Companies &amp; Distributors,"</t>
  </si>
  <si>
    <t>The trading companies and distributors sector has been impacted by recent macro-economic events, such as the COVID-19 pandemic, geopolitical tensions in Europe, and technological advancements. While the removal of COVID-19 as a factor in the economy is a positive development, the ongoing conflicts in Europe and the Middle East could create uncertainty and potential disruptions in trade and energy supplies. Additionally, the rise of generative AI models and potential for increased regulation in the tech sector could present both risks and opportunities for investors in this sector.</t>
  </si>
  <si>
    <t>Leisure Products,"</t>
  </si>
  <si>
    <t>The leisure products sector has been impacted by the recent macro-economic events, particularly the rise of generative AI models and the ongoing geopolitical tensions in Europe and the Middle East. The potential for increased regulation in the tech sector and the uncertainty surrounding political outcomes in various countries may also affect this sector. However, the launch of new websites and AI chatbots and the advancements in technology offer opportunities for investors in this sector.</t>
  </si>
  <si>
    <t>Ground Transportation,"</t>
  </si>
  <si>
    <t>The ground transportation sector has faced significant challenges in the past year due to the COVID-19 pandemic and geopolitical tensions. However, with the removal of COVID-19 as a major factor in the economy and the potential for increased government spending on infrastructure, the sector may see a rebound in the coming months.</t>
  </si>
  <si>
    <t>Real Estate Management &amp; Development,"</t>
  </si>
  <si>
    <t>The real estate management and development sector has been impacted by the recent macro-economic events. The removal of COVID-19 as a factor in the economy and the ongoing geopolitical tensions in Europe and the Middle East have created uncertainty in the market. Additionally, the rise of generative AI models and potential for increased regulation in the tech sector may also have implications for the real estate industry.</t>
  </si>
  <si>
    <t>Media,"</t>
  </si>
  <si>
    <t>Sector Investment Report: The media sector has been greatly impacted by the rise of generative AI models and the ongoing AI arms race. This has led to increased competition and potential for regulation in the tech sector. Additionally, recent events such as major acquisitions in the energy industry and corporate acquisitions in the gaming industry have also influenced the media sector. However, the potential for increased regulation and public reaction to the AI boom may create uncertainty for investors.</t>
  </si>
  <si>
    <t>Wireless Telecommunication Services,"</t>
  </si>
  <si>
    <t>The wireless telecommunication services sector has been impacted by recent macro-economic events, such as the COVID-19 pandemic and geopolitical tensions in Europe and the Middle East. However, the sector has also seen advancements in technology, particularly in the field of AI, which has reshaped various industries and offered opportunities for tech-focused investors. The potential for increased regulation in the tech sector is a factor to keep in mind, as well as political outcomes and legal developments that may affect the industry.</t>
  </si>
  <si>
    <t>Air Freight &amp; Logistics,"</t>
  </si>
  <si>
    <t>The air freight and logistics sector has been impacted by the recent macro-economic events, particularly the COVID-19 pandemic and geopolitical tensions in Europe and the Middle East. However, with the pandemic no longer a major factor and the potential for increased trade disruptions due to geopolitical risks, the sector may face some challenges in the near future.</t>
  </si>
  <si>
    <t>Entertainment,"</t>
  </si>
  <si>
    <t>Sector Investment Report: The entertainment sector has been impacted by the recent macro-economic events, particularly the rise of generative AI models and the potential for increased regulation in the tech industry. The ongoing geopolitical tensions in Europe and the Middle East conflict may also have implications for the sector, particularly in terms of energy prices and global market sentiment. However, the launch of new websites and AI chatbots has led to an increase in the ubiquity of AI tools, offering potential opportunities for tech-focused investors. The sector may also be affected by corporate acquisitions, such as Microsoft's acquisition of Activision Blizzard, and political outcomes in various countries.</t>
  </si>
  <si>
    <t>Diversified Consumer Services,"</t>
  </si>
  <si>
    <t>The diversified consumer services sector is facing a mixed economic outlook. On one hand, the removal of COVID-19 as a factor in the economy and the increase in job openings are positive signs for consumer spending and economic growth. However, the potential for future interest rate hikes and inflationary pressures could impact corporate earnings and consumer spending, leading to potential market volatility.</t>
  </si>
  <si>
    <t>Score: 65",65</t>
  </si>
  <si>
    <t>Banks,"</t>
  </si>
  <si>
    <t>Sector Investment Report: The recent macro-economic news suggests a mixed outlook for the banking sector. While the Federal Reserve's decision to hold interest rates steady provides stability, potential future rate hikes and a slowdown in job growth could impact consumer spending and corporate earnings. Additionally, the increase in government borrowing could put upward pressure on interest rates, potentially affecting borrowing costs for businesses and consumers. However, the rise in job openings indicates potential for economic growth and increased lending activity for banks.</t>
  </si>
  <si>
    <t>Tobacco,"</t>
  </si>
  <si>
    <t>The tobacco sector has faced challenges in recent years due to increased regulations and declining smoking rates. However, the sector has shown resilience and continues to generate profits for investors. The recent macro-economic news suggests a mixed outlook for the sector. While the removal of COVID-19 as a factor in the economy is positive, geopolitical tensions in Europe and the Middle East could impact global markets and potentially affect the tobacco industry. Additionally, the potential for increased regulation in the tech sector, where tobacco companies have been investing in alternative products, could also have implications for the sector.</t>
  </si>
  <si>
    <t>Hotels, Restaurants &amp; Leisure,"</t>
  </si>
  <si>
    <t>The economic outlook for the Hotels, Restaurants &amp; Leisure sector is mixed. On one hand, the removal of COVID-19 as a factor in the economy and the increase in job openings could lead to increased consumer spending and growth in the sector. However, geopolitical tensions in Europe and the Middle East, as well as potential natural disasters, could disrupt the industry and impact investor sentiment. Additionally, the potential for increased regulation in the tech sector, which has reshaped the industry, could also affect the sector's performance.</t>
  </si>
  <si>
    <t>Gas Utilities,"</t>
  </si>
  <si>
    <t>The gas utilities sector has been impacted by recent geopolitical tensions in Europe and the ongoing conflict in the Middle East. These events have the potential to disrupt energy supplies and impact global market sentiment, which could affect the performance of gas utility companies. Additionally, the rise of generative AI models and potential for increased regulation in the tech sector may also have implications for gas utilities, as they rely on technology for operations and distribution. However, the removal of COVID-19 as a factor in the economy and the increase in job openings could provide some stability for the sector.</t>
  </si>
  <si>
    <t>Marine Transportation,"</t>
  </si>
  <si>
    <t>The marine transportation sector has faced challenges in recent years due to the COVID-19 pandemic and geopolitical tensions. However, with the removal of COVID-19 as a major factor in the economy and potential for diversification in light of geopolitical risks, the sector may see some positive developments. Additionally, advancements in technology and potential for increased regulation in the tech sector could offer both risks and opportunities for investors in this sector.</t>
  </si>
  <si>
    <t>Diversified Telecommunication Services,"</t>
  </si>
  <si>
    <t>The diversified telecommunication services sector has been impacted by recent macro-economic events, such as geopolitical tensions in Europe and the Middle East, as well as advancements in technology. While the removal of COVID-19 as a factor in the economy is a positive development, potential disruptions to trade and energy supplies due to geopolitical risks could affect this sector. Additionally, the rise of generative AI models and potential for increased regulation in the tech sector may offer both risks and opportunities for investors. Overall, the economic outlook for this sector is mixed, with potential for volatility.</t>
  </si>
  <si>
    <t>Energy Equipment &amp; Services,"</t>
  </si>
  <si>
    <t>The energy equipment and services sector has faced some challenges in the recent economic climate. The geopolitical tensions in Europe and the Middle East have led to potential disruptions in trade and energy supplies, which could impact the sector. Additionally, the rise of generative AI models and potential for increased regulation in the tech sector may also have implications for energy companies. However, the recent increase in job openings and government borrowing could provide opportunities for growth in the sector.</t>
  </si>
  <si>
    <t>,"</t>
  </si>
  <si>
    <t>The recent macro-economic news suggests a mixed outlook for the sector. While the Federal Reserve's decision to hold interest rates steady provides stability, potential risks such as a slowdown in job growth and inflationary pressures could impact corporate earnings and consumer spending. The increase in job openings is a positive sign, but the possibility of future rate hikes and increased government borrowing could create uncertainty in the market.</t>
  </si>
  <si>
    <t>Score: 60",60</t>
  </si>
  <si>
    <t>Industrial Conglomerates,"</t>
  </si>
  <si>
    <t>The industrial conglomerates sector has been impacted by recent macro-economic events, including geopolitical tensions in Europe and the Middle East, advancements in technology, and political and legal developments. These factors have created a mixed outlook for the sector, with potential risks and opportunities for investors.</t>
  </si>
  <si>
    <t>On one hand, the ongoing geopolitical tensions in Europe and the Middle East could lead to disruptions in trade and energy supplies, potentially impacting the sector. Additionally, the rise of generative AI models and potential for increased regulation in the tech sector could also affect companies in this sector. On the other hand, advancements in technology could offer opportunities for growth and innovation, particularly for tech-focused investors.</t>
  </si>
  <si>
    <t>Overall, the economic outlook for the industrial conglomerates sector is uncertain, with potential risks and opportunities to consider.</t>
  </si>
  <si>
    <t>Multi-Utilities,"</t>
  </si>
  <si>
    <t>The multi-utilities sector is facing a mixed economic outlook based on recent macro-economic data and news. On one hand, the increase in job openings and the Federal Reserve's decision to hold interest rates steady provide stability and potential for growth. However, the softening labor market and potential inflationary pressures could impact consumer spending and corporate earnings, which could in turn affect the sector's performance.</t>
  </si>
  <si>
    <t>Name me the best Specialized REITs ETF</t>
  </si>
  <si>
    <t>As of my last update in April 2023, one of the best-known Specialized REITs ETFs, based on performance, assets under management, and popularity, was the Vanguard Real Estate ETF (VNQ). This ETF tracks the MSCI US Investable Market Real Estate 25/50 Index, which covers various sub-sectors of the real estate industry, including specialized REITs.</t>
  </si>
  <si>
    <t>Another specialized REIT ETF that had garnered attention for its focus on specific niches within the real estate sector is the Pacer Benchmark Industrial Real Estate SCTR ETF (INDS), which concentrates on industrial REITs that are involved in warehousing and distribution centers, a sector that has seen growth with the rise of e-commerce.</t>
  </si>
  <si>
    <t>To find the "best" specialized REIT ETF for your purposes, it would depend on the specific type of real estate you are interested in (such as industrial, healthcare, residential, retail, etc.), as well as factors such as the fund's performance history, expense ratio, liquidity, and how well it fits with your investment strategy and goals.</t>
  </si>
  <si>
    <t>It's important to conduct current research or consult with a financial advisor to get the most up-to-date and personalized advice because the performance of financial instruments can vary significantly over time.</t>
  </si>
  <si>
    <t>name me the best Health Care REITs,"</t>
  </si>
  <si>
    <t>Health Care REITs are a specific subset of the market, and they focus on owning, managing, and leasing properties such as hospitals, senior living facilities, nursing homes, and other medical office buildings. Some of the most well-regarded Health Care REITs based on their size, dividend history, and performance (as of my last update) include:</t>
  </si>
  <si>
    <t>Welltower Inc. (WELL): One of the largest healthcare REITs, Welltower has a diversified portfolio of senior housing, post-acute care communities, and outpatient medical properties.</t>
  </si>
  <si>
    <t>Ventas, Inc. (VTR): This REIT invests in a range of healthcare properties, including seniors housing, medical office buildings, and life science centers.</t>
  </si>
  <si>
    <t>Healthpeak Properties, Inc. (PEAK): Focused on life science, senior housing, and medical office properties, Healthpeak seeks a balance between growth and income.</t>
  </si>
  <si>
    <t>Omega Healthcare Investors (OHI): Specializes in skilled nursing and assisted living facilities and is known for providing reliable dividend payments.</t>
  </si>
  <si>
    <t>Medical Properties Trust (MPW): Concentrates on hospitals and acute care facilities and is known for its significant international exposure.</t>
  </si>
  <si>
    <t>When assessing "the best" healthcare REITs, investors often consider a range of factors, including dividend yield and stability, portfolio diversity, the quality of the properties, occupancy rates, the creditworthiness of tenants, and management's track record. Since market conditions can change, it's important to look at the most current financial data and market analysis. Additionally, you should consider your own investment goals, risk tolerance, and the broader investment environment when selecting a REIT to invest in.</t>
  </si>
  <si>
    <t>Please consult with a financial advisor or conduct your own thorough, up-to-date research before making any investment decisions.</t>
  </si>
  <si>
    <t>name me the best Life Sciences Tools &amp; Services," ETF</t>
  </si>
  <si>
    <t>ETFs that focus on Life Sciences Tools &amp; Services are designed to provide investors with exposure to companies that produce tools, services, diagnostics, and treatments used in the life sciences and biotechnology sectors. These ETFs might include companies that manufacture laboratory equipment, diagnostics, reagents, and other supplies necessary for biological and medical research, as well as for the production of pharmaceuticals and biotechnology products.</t>
  </si>
  <si>
    <t>As of my last update in April 2023, one prominent ETF in this space is the iShares U.S. Medical Devices ETF (IHI). While not exclusively focused on life science tools and services, this ETF provides exposure to companies that produce medical devices used in healthcare, including diagnostics and research.</t>
  </si>
  <si>
    <t>Another relevant fund, more closely aligned with the life sciences tools and services, would be the ARK Genomic Revolution ETF (ARKG). This ETF focuses on companies that are expected to benefit from extending and enhancing the quality of human and other life by incorporating technological and scientific developments and advancements in genomics into their business.</t>
  </si>
  <si>
    <t>For an ETF specifically dedicated to life sciences tools and services, investors would typically look for funds that track indices representative of this sector or actively managed funds with a stated focus on life sciences tools and services companies. Since the availability of such specific ETFs can change over time, investors would need to search the current market for the latest and most suitable options.</t>
  </si>
  <si>
    <t>Before making any investment decisions, it's crucial to conduct current and comprehensive research or consult with a financial advisor to ensure that the ETF aligns with your investment objectives and risk tolerance. Keep in mind that sector-specific ETFs can sometimes be more volatile than broader market ETFs, as they are subject to the risks associated with their specific sector.</t>
  </si>
  <si>
    <t>name me the best Mortgage Real Estate Investment Trusts (REITs),"</t>
  </si>
  <si>
    <t>Mortgage Real Estate Investment Trusts (REITs), also known as mREITs, specialize in financing income-producing real estate by purchasing or originating mortgages and mortgage-backed securities (MBS). They earn income from the interest on these financial assets. The best mREITs are typically those with strong track records of performance, risk management, and dividend payments, although what is "best" can vary depending on the investor's individual criteria, such as yield, stability, growth potential, or risk tolerance.</t>
  </si>
  <si>
    <t>Some of the well-regarded mortgage REITs as of my last update include:</t>
  </si>
  <si>
    <t>Annaly Capital Management (NLY): One of the largest mREITs, Annaly has a diversified portfolio and has been known for providing consistent dividends, although like all mREITs, it is sensitive to interest rate changes.</t>
  </si>
  <si>
    <t>AGNC Investment Corp (AGNC): AGNC focuses on agency mortgage-backed securities, which are backed by the U.S. government, offering a different risk profile compared to non-agency MBS.</t>
  </si>
  <si>
    <t>Starwood Property Trust (STWD): As one of the largest commercial mREITs, Starwood is considered to have a well-diversified portfolio and a strong track record of performance.</t>
  </si>
  <si>
    <t>New Residential Investment Corp. (NRZ): NRZ invests in a variety of residential mortgage assets and has often been cited for its management strategy and dividend yield.</t>
  </si>
  <si>
    <t>Two Harbors Investment Corp (TWO): This mREIT focuses on investing in, financing, and managing residential mortgage-backed securities, residential mortgage loans, and other financial assets.</t>
  </si>
  <si>
    <t>Keep in mind that the performance of mREITs is often closely tied to interest rate movements and other complex financial factors. Therefore, they may not be suitable for all investors, especially those with a low tolerance for risk. Additionally, economic conditions, regulatory changes, and fluctuations in interest rates can significantly affect mREITs' performance.</t>
  </si>
  <si>
    <t>Investors should perform due diligence and possibly consult with a financial advisor when considering investments in mortgage REITs. The "best" mREIT for an investor will depend on the current market conditions and the individual's investment goals and risk appetite.</t>
  </si>
  <si>
    <t>name me the best Health Care Technology," etf</t>
  </si>
  <si>
    <t>Healthcare technology ETFs offer exposure to companies that provide tech-driven solutions in the healthcare sector, such as electronic health records, telemedicine, health information exchanges, and diagnostic solutions. As of my last knowledge update in April 2023, there isn't an ETF exclusively dedicated to "Health Care Technology" in the narrow sense, but there are ETFs that cover broader healthcare innovation which include technology-related healthcare companies.</t>
  </si>
  <si>
    <t>One ETF that includes healthcare technology within its scope is:</t>
  </si>
  <si>
    <t>ARK Genomic Revolution ETF (ARKG): This ETF, managed by ARK Investment Management, invests in the genomic industry and includes companies that are involved in health care technology, such as CRISPR, gene editing, therapeutics, and molecular diagnostics.</t>
  </si>
  <si>
    <t>For a more broad technology focus in healthcare, you might consider:</t>
  </si>
  <si>
    <t>iShares U.S. Healthcare Providers ETF (IHF): This ETF tracks a broad index of health care providers, which can include companies engaged in health care technology.</t>
  </si>
  <si>
    <t>Global X Telemedicine &amp; Digital Health ETF (EDOC): This ETF includes companies positioned to benefit directly from the advancement in telemedicine and digital health, which involves healthcare technology.</t>
  </si>
  <si>
    <t>Robo Global Healthcare Technology and Innovation ETF (HTEC): This ETF includes healthcare technology and innovation companies across several sub-sectors, including medical devices, healthcare artificial intelligence, and precision medicine.</t>
  </si>
  <si>
    <t>It's important to recognize that ETFs focusing on healthcare technology will often have holdings that include biotech and pharmaceutical companies that are utilizing technology to advance healthcare, rather than pure-play tech companies.</t>
  </si>
  <si>
    <t>The best ETF for an investor depends on their specific investment goals, risk tolerance, and investment thesis regarding the future of healthcare and technology. Due diligence is important, and a discussion with a financial advisor could be beneficial to ensure that any investment is a fit for one's individual portfolio and risk profile. The healthcare sector, and particularly the intersection with technology, is rapidly evolving, and investors should ensure they have the most up-to-date information before making investment decisions.</t>
  </si>
  <si>
    <t>Given the current economic climate, Motorola Solutions (MSI) appears to be a strong investment opportunity. The company has been upgraded to a Zacks Rank #1 (Strong Buy), indicating optimism about its earnings prospects. This is a positive sign, especially in the current uncertain market environment.
The company's financial data also supports this positive outlook. Its market cap of 45.47B and enterprise value of 51.28B indicate a strong and stable company. The forward P/E ratio of 21.46 suggests that the company's stock is reasonably priced given its expected earnings. The PEG ratio of 1.93, while slightly high, is still within a reasonable range, suggesting that the company's stock price is in line with its expected earnings growth.
However, it's important to note that the company's high price/book ratio of 134.92 could be a cause for concern, as it suggests that the company's stock may be overvalued. This could potentially lead to a correction in the future, which would negatively impact the stock's price.
Given the company's strong earnings prospects and reasonable valuation, along with the current economic climate, I would assign a high score to Motorola Solutions. However, the potential risk of a correction due to the high price/book ratio should also be taken into account.
Score: 85</t>
  </si>
  <si>
    <t>Given the current macroeconomic conditions and the specific news and financial data related to Apple Inc., the company seems to be in a strong position despite some challenges. The company's market cap is substantial, and its P/E ratios are relatively high, indicating that investors are willing to pay a premium for its earnings. The company's potential move into new areas like search engines and exclusive global rights for Formula 1 races could also open up new revenue streams. However, there are some concerns, such as the overheating issue with the iPhone 15 models and the ongoing legal battle with Epic Games. The company's strong brand loyalty and its outperformance of its peers in smartphone and PC sales are positive indicators. Considering all these factors, the potential investment value of Apple Inc. for the next month is relatively high.
Score: 85</t>
  </si>
  <si>
    <t>Given the current economic climate and the specific financial data and news about Alexandria Real Estate Equities, the company seems to be in a strong position despite the overall bearish sentiment in the market. The company's focus on the life sciences market, which is rapidly growing, and its strong operational and financial growth make it a potentially lucrative investment. Furthermore, the company's strong credit rating and significant liquidity provide it with flexibility to navigate potential economic downturns. However, the overall risk in the market and the potential impact of the Fed's interest rate hikes should be taken into consideration. 
Score: 75</t>
  </si>
  <si>
    <t>Considering the macroeconomic indicators and the specific news and financial data related to Microsoft, the company seems to be in a strong position. The growth in AI and technology sectors, where Microsoft has a significant presence, is a positive sign. However, the potential for a recession and the ongoing geopolitical tensions could pose risks. 
Microsoft's strong market cap and reasonable P/E ratios suggest a stable financial position. The company's continued investment in AI and other technological advancements aligns with current market trends, potentially offering growth opportunities. However, the potential economic downturn and the impact of the Fed's tightening could negatively affect Microsoft's performance.
Given these factors, while Microsoft appears to be a solid investment, the potential risks in the broader economy suggest a need for caution. 
Score: 75.</t>
  </si>
  <si>
    <t>Given the current economic outlook and the specific news about Morgan Stanley, the bank seems to be in a relatively strong position. The bank's community reinvestment initiatives have been recognized, which could enhance its reputation and potentially attract more customers. The bank's fixed-for-life preferreds also look attractive, which could potentially attract more investors. Furthermore, Morgan Stanley has diversified its business and kept its deposits stable during the Fed's rate-hiking campaign, which could potentially provide it with a competitive advantage over other banks. However, there are also some risks, such as the potential impact of the Fed's aggressive interest rate hikes and the ongoing unrest in Washington. 
Considering all these factors, I would assign a score of 75 to Morgan Stanley. This reflects the bank's strong position and potential for growth, but also takes into account the potential risks and uncertainties.
Score: 75</t>
  </si>
  <si>
    <t>Given the current macroeconomic conditions and the specific financial data and news about Marathon Oil, it seems that the company is well-positioned for the near future. The company has a strong market cap and a low P/E ratio, which suggests that it is undervalued. Furthermore, the company is buying back a significant amount of stock, which is usually a positive sign of the company's confidence in its future prospects. 
However, the ongoing war in Ukraine and the potential for a recession could pose risks to the company, particularly given its involvement in the energy sector. The conflict has caused a spike in energy prices, which could impact the company's profitability. Furthermore, if a recession were to occur, this could lead to a decrease in demand for oil and gas, which would negatively impact the company's revenues.
Therefore, while Marathon Oil appears to be a strong investment opportunity, these potential risks should be taken into consideration. 
Score: 75.</t>
  </si>
  <si>
    <t>Given the current economic outlook and the specific news and financial data related to Netflix, it seems that the company is well-positioned for the future. Despite the potential risks associated with the broader economy and stock market, Netflix has shown resilience and adaptability. The company's transition from a cash-burning to a cash-earning model, its expansion into gaming, and its strengthening footprint in the Asia Pacific region are all positive signs. However, the ongoing lawsuit over a game development contract and the recent patent infringement case in Germany are concerning and could potentially impact the company's performance. 
Furthermore, the company's financial data shows a relatively high trailing P/E ratio, which could indicate that the stock is overvalued. However, the forward P/E ratio is much lower, suggesting that earnings are expected to grow in the future. The company's price-to-sales ratio is also relatively high, which could be a sign of overvaluation. However, the company's enterprise value-to-revenue and enterprise value-to-EBITDA ratios are more reasonable, suggesting that the company is fairly valued based on these metrics.
Considering all these factors, I would assign a score of 75 to Netflix. This reflects the company's strong position and growth prospects, but also takes into account the potential risks and uncertainties.
Score: 75</t>
  </si>
  <si>
    <t>Given the current economic outlook and the financial data of Raymond James, the company seems to be in a strong position despite the overall market turbulence. The company's shrewd balance sheet management and its undervaluation compared to its larger rival, Charles Schwab, indicate a potential for growth. Furthermore, the company's P/E ratios suggest that it is reasonably priced relative to its earnings. However, the potential risks in the commercial real estate market and the overall bearish sentiment in the market could pose challenges. Therefore, while Raymond James appears to be a solid investment, it is not without risks.
Score: 75</t>
  </si>
  <si>
    <t>Given the current economic climate and the specific news and financial data related to Regeneron, the company appears to be in a strong position. The company's share price has been steadily climbing, and it has a robust pipeline of products that could drive future growth. The acceptance of odronextamab and Dupixent for FDA priority review could potentially lead to new revenue streams for the company. The acquisition of Decibel Therapeutics also strengthens the company's gene therapy and auditory programs, which could potentially lead to further growth in the future.
However, there are also some risks to consider. The overall economic outlook is mixed, with the potential for a recession and the ongoing conflict in Ukraine potentially impacting the global economy. The company's high P/E ratios also suggest that its stock may be overvalued, which could potentially lead to a correction in the future.
Taking all these factors into account, I would assign a score of 75 to Regeneron. This reflects the company's strong growth prospects and robust pipeline, but also takes into account the potential risks associated with the current economic climate and the company's valuation.
Score: 75</t>
  </si>
  <si>
    <t>Given the current economic climate and the specific information about Vertex Pharmaceuticals, it seems that the company is well-positioned for growth. The company's strategy of developing therapies for unmet needs is paying off, and it has built a profitable business on the back of its cystic fibrosis drug franchise. The company's financial data also looks strong, with a healthy market cap and enterprise value, and a reasonable P/E ratio. However, the potential for a recession and the ongoing political unrest could introduce some risk. Therefore, while the company appears to have strong potential, investors should proceed with caution.
Score: 75</t>
  </si>
  <si>
    <t>Given the current macroeconomic conditions and the specific news and financial data related to Chevron Corporation, the company seems to be in a strong position. The ongoing war in Ukraine has led to a spike in energy prices, which could benefit Chevron as an energy company. Furthermore, Chevron has a history of impressive earnings and is expected to beat estimates in its next quarterly report. The company also plans to boost oil production in Venezuela, which could further increase its revenues. However, the potential for a recession and the Fed's aggressive interest rate hikes could pose risks to the company. 
Considering all these factors, Chevron Corporation seems to be a relatively strong investment in the Integrated Oil &amp; Gas industry for the next month. However, investors should be aware of the potential risks and closely monitor the company's performance and the overall economic conditions.
Score: 75.</t>
  </si>
  <si>
    <t>Given the current economic outlook and the financial data of Extra Space Storage, it seems that the company is in a relatively strong position. Despite the potential risks associated with the broader economy and stock market, the company's strong fundamentals and growth potential make it an attractive investment opportunity. The company's relatively low P/E ratios suggest that it is undervalued, which could provide a good entry point for investors. Furthermore, the belief that rising interest rates negatively impact REITs is a myth, and REITs like Extra Space Storage could offer higher total returns compared to bonds. However, given the potential risks associated with the broader economy and stock market, investors should still exercise caution.
Score: 75</t>
  </si>
  <si>
    <t>Given the current economic outlook and the specific news and financial data related to Expedia Group, the company seems to be in a strong position. The travel industry is recovering, and Expedia has shown resilience with strong revenue and earnings recovery. The company's commitment to sustainability and its strong balance sheet metrics are also positive signs. However, the potential for a recession and the ongoing uncertainty related to the pandemic and political unrest could pose risks. Therefore, while Expedia appears to be a solid investment, these potential risks should be taken into account.
Score: 75</t>
  </si>
  <si>
    <t>Given the current economic outlook and the specific financial data and news about Nasdaq, Inc., the company seems to be in a relatively strong position. The firm's focus on organic growth, expansion of non-trading revenue, strategic acquisitions, and effective capital deployment all indicate a positive trajectory. The company's P/E ratios are also reasonable, suggesting that the stock is not overvalued. However, the overall economic uncertainty, potential for a recession, and the ongoing geopolitical tensions could pose risks. 
Considering these factors, I would assign a moderately high score to Nasdaq, Inc. for potential investment value in the next month. 
Score: 75</t>
  </si>
  <si>
    <t>Given the current macroeconomic conditions, the oil and gas sector seems to be in a favorable position. The war in Ukraine has led to a spike in energy prices, which benefits oil and gas companies like ConocoPhillips. The company's strong cash flow, strategic acquisitions, and favorable commodity prices make it a good investment opportunity. Additionally, the company is set to benefit from OPEC+ supply cuts, which could lead to higher earnings and free cash flow in the near term. The company's financial data also looks promising, with a relatively low P/E ratio and a significant stock buyback plan in place. However, the potential for a recession and the ongoing political unrest in the US could introduce some risk. 
Score: 75</t>
  </si>
  <si>
    <t>Given the current economic climate and the specific news about Cintas, the company seems to be in a strong position. Despite the overall bearish sentiment in the market, Cintas has shown consistent growth, beating earnings estimates, and increasing revenues year over year. The company's expansion with new facilities and its recognition for quality services further strengthen its position. However, the high P/E ratios indicate that the stock might be overvalued, which could limit its upside potential in the short term. The company's involvement in diversified support services could provide some resilience against potential economic downturns. 
Score: 75</t>
  </si>
  <si>
    <t>Given the current economic climate and the specific data provided, AvalonBay Communities seems to be in a relatively strong position. The resilience of the housing market and the steady rise in rents suggest a positive outlook for the Multi-Family Residential REITs industry. AvalonBay's strong balance sheet, liquidity, and growth prospects make it an attractive investment. However, the potential crisis in the commercial real estate market and the overall bearish sentiment in the stock market suggest a degree of risk. 
Considering these factors, the score for AvalonBay Communities would be relatively high, reflecting its strong fundamentals and positive industry trends, but also taking into account the broader economic and market risks.
Score: 75</t>
  </si>
  <si>
    <t>Given the current economic outlook and the specific news and financial data related to Cisco, the company seems to be in a strong position. The acquisition of Splunk, a cybersecurity company, could potentially enhance Cisco's business and revenue stream. This is particularly relevant given the increasing importance of cybersecurity in the current digital landscape. Furthermore, Cisco's market cap and enterprise value are substantial, indicating a strong market presence. The company's P/E ratios are also relatively low, suggesting that the stock may be undervalued. However, the ongoing economic uncertainties and potential risks in the stock market should also be taken into account. 
Score: 75</t>
  </si>
  <si>
    <t>Given the current economic climate and the specific financial data for MetLife, the company appears to be in a strong position. The company's recent stock rise, strong U.S. and Asia business performance, and cost-reduction initiatives position it well for growth. Furthermore, MetLife's low forward P/E ratio and PEG ratio suggest that the stock may be undervalued, indicating potential for further price appreciation. However, the high trailing P/E ratio and the ongoing economic uncertainties, including the potential for further interest rate hikes, suggest some level of risk. 
Score: 75</t>
  </si>
  <si>
    <t>Given the current economic climate and the specific information about Medtronic, it seems that the company is well-positioned for the future. Despite the overall market uncertainty, Medtronic has shown strong global expansion and improved guidance. The company's low P/E ratio, high yield, and potential earnings growth are positive signs. Furthermore, the increased demand for Medtronic's products due to the aging population in several countries is a strong indicator of future growth. However, the potential for a recession and the ongoing war in Ukraine could impact the company's performance. Therefore, while Medtronic appears to be a solid investment, it's important to consider these risks.
Score: 75</t>
  </si>
  <si>
    <t>Given the current economic climate and the specific financial data for Molina Healthcare, the company appears to be in a strong position. The company's ability to generate earnings well above its interest expense indicates financial stability, which is particularly important in the current uncertain economic environment. Furthermore, the company's attractive P/E ratios suggest that it is reasonably valued, while its strong performance amid market volatility indicates resilience. However, the ongoing debates about government funding and the potential impact of the war in Ukraine could introduce some uncertainty. 
Score: 75</t>
  </si>
  <si>
    <t>Based on the provided financial data and news, McKesson Corporation (MCK) appears to be a strong investment candidate. The company has been highlighted as a top value stock for the long-term and stands out for its attractive interest coverage ratio, indicating its ability to meet financial obligations. The company's upcoming earnings release could provide further insight into its financial health and growth prospects. Additionally, McKesson has been identified as a compelling pick in the current scenario and as a potential safe haven in a choppy market due to its low-beta status. 
The firm's financial data also supports a positive outlook. McKesson's market cap of 58.66B and enterprise value of 63.45B indicate a substantial and stable company. The trailing and forward P/E ratios are relatively low, suggesting the stock may be undervalued. The PEG ratio, while slightly high, is still within a reasonable range. The low price-to-sales ratio indicates that the company's stock is reasonably priced relative to its revenue, and the enterprise value-to-revenue and enterprise value-to-EBITDA ratios suggest the company is generating a healthy amount of revenue and earnings relative to its size.
However, given the overall economic outlook and potential risks, it's important to approach with caution. The ongoing debates about government funding, the potential impact of the war in Ukraine, and the possible effects of the Fed's tightening could introduce volatility into the market. 
Considering all these factors, I would assign a relatively high score to McKesson, reflecting its strong financial performance and positive news coverage, but also taking into account the potential risks in the broader economic environment.
Score: 75</t>
  </si>
  <si>
    <t>Given the current economic outlook and the specific news and financial data related to Visa Inc., the company appears to be in a strong position. Despite the potential risks in the broader economy, Visa has shown resilience with impressive earnings history, strategic partnerships to tackle cybercrime, and initiatives to thrive through inflation. The company's industry-leading profit margins and consistent dividend growth also add to its attractiveness. However, the high valuation ratios, such as the Trailing P/E and Price/Sales, suggest that the stock is quite expensive, which could limit its upside potential in the near term. 
Considering these factors, I would assign a score of 75 to Visa Inc. This reflects the company's strong fundamentals and growth prospects, but also takes into account the potential risks and high valuation.
Score: 75</t>
  </si>
  <si>
    <t>Given the current economic climate, MarketAxess seems to be in a strong position. The company's recent acquisition of Pragma, a quantitative trading technology provider, could potentially enhance its technological capabilities and competitive advantage in the Financial Exchanges &amp; Data industry. This is particularly relevant given the increasing importance of technology and AI in the financial sector.
Moreover, MarketAxess's Open Trading marketplace, which modernizes the bond trading industry, could potentially benefit from the current economic uncertainty. As investors seek safer investments, the demand for bonds could potentially increase, which would be beneficial for MarketAxess.
The company's financial data also looks promising. Despite a relatively high P/E ratio, which suggests that the stock may be overvalued, the company's strong growth prospects could potentially justify this high valuation. The company's strong revenue growth, high profit margins, and low debt levels also suggest that it is financially healthy and well-managed.
However, given the current economic uncertainty and the potential risks associated with the commercial real estate market and the Fed's interest rate hikes, it would be prudent to be cautious. Therefore, while MarketAxess appears to be a strong investment, investors should closely monitor the company's performance and the broader economic and market trends.
Score: 75.</t>
  </si>
  <si>
    <t>Given the current economic outlook and the specific news and financial data related to Mastercard, the company appears to be in a strong position. Despite the potential risks in the broader economy, Mastercard has shown resilience and adaptability, with a dominant market position and strong growth prospects. The company's recent initiatives, such as the development of secure digital payments at EV charging stations and the introduction of fingerprint payments for German customers, demonstrate its innovative approach and commitment to enhancing its services. 
However, it's important to note that the company's stock is currently fairly priced, and there are potential headwinds that could impact future returns, such as the overall debt level and implications for the ongoing capital allocation policy. Furthermore, the broader economic risks, including the potential for a recession and the impact of the Fed's interest rate hikes, could also affect the company's performance.
Considering all these factors, I would assign a score of 75 to Mastercard. This reflects the company's strong position and growth prospects, but also takes into account the potential risks and uncertainties in the broader economy and the company's financial situation.
Score: 75</t>
  </si>
  <si>
    <t>Given the current economic outlook and the specific news and financial data related to Synopsys, the company appears to be in a strong position. The company has been making strategic moves, such as appointing a new Chief Marketing Officer and collaborating with TSMC to advance multi-die system design. These moves could potentially boost the company's growth and profitability in the future.
Moreover, Synopsys has been pioneering AI trends, which is a positive sign given the increasing investment in AI overall. The company's valuation remains reasonable, and it maintains a robust balance sheet with significant cash reserves. This could potentially provide the company with financial stability and flexibility in the future.
However, there are also some risks to consider. The overall outlook for the stock market is darkening, and there is a chance of a recession. This could potentially impact the company's stock price and financial performance. Moreover, the ongoing war in Ukraine and the potential crisis in the commercial real estate market could also have negative impacts.
Considering all these factors, I would assign a score of 75 to Synopsys. This reflects the company's strong position and growth prospects, but also takes into account the potential risks and uncertainties in the market.
Score: 75</t>
  </si>
  <si>
    <t>Given the current macroeconomic conditions and the specific news and financial data related to ExxonMobil, the company seems to be in a strong position despite some challenges. The rising oil prices and Exxon's diversified business model, strong earnings prospects, and strategic growth projects are positive indicators. However, the company's exit from the Kaieteur oil block in Guyana due to insufficient oil volume and the ban on trucking California offshore oil are concerning. 
The company's financial data shows a healthy market cap and enterprise value, and the P/E ratios are reasonable. The company's ability to generate significant free cash flow and return capital to shareholders through dividends and buybacks is also a positive sign. 
However, the ongoing geopolitical tensions, potential for a recession, and the impact of the Fed's interest rate hikes could pose risks. The energy sector is also facing volatility due to recessionary concerns and uncertainties in the refining business. 
Considering all these factors, ExxonMobil seems to be a relatively solid investment in the Integrated Oil &amp; Gas industry, but with some risks that need to be monitored closely. 
Score: 75.</t>
  </si>
  <si>
    <t>Given the current economic climate and the specific news and financial data related to Travelers Companies, it seems that the company is well-positioned to weather potential economic downturns. The company's low debt-to-equity ratio, growing dividends, and net premium growth indicate financial stability and potential for growth. Furthermore, the company's focus on managing cyber threats, a top concern in today's digital landscape, shows strategic foresight. 
However, the broader economic uncertainty, potential for a recession, and the ongoing political unrest could pose risks. The company's P/E ratios suggest that it is currently fairly valued, but the potential for increased interest rates could put pressure on the company's earnings. 
Therefore, while Travelers Companies appears to be a solid investment in the Property &amp; Casualty Insurance industry, these potential risks should be taken into account. 
Score: 75.</t>
  </si>
  <si>
    <t>Given the current economic outlook and the specific news and financial data related to UnitedHealth Group, the company appears to be a strong investment candidate. The company has shown consistent growth in revenue and earnings over the past decade, and it has a significant market share in the U.S. healthcare insurance sector. The recent clearance of the $1.52 billion acquisition of healthcare technology firm EMIS by the UK regulator also indicates potential for further growth and diversification. 
However, there are also risks to consider. The potential impact of regulatory changes and a possible rotation out of the healthcare space could negatively affect UnitedHealth's future performance. The company's relatively high P/E ratios also suggest that its stock may be overvalued, which could limit future price appreciation. 
Considering these factors, while UnitedHealth Group seems to be a solid investment, the potential risks and uncertainties in the broader economy and the healthcare sector specifically suggest a somewhat cautious approach. 
Score: 75.</t>
  </si>
  <si>
    <t>Given the current economic climate and the specific news and financial data related to Ulta Beauty, the company seems to be in a strong position. Despite the overall bearish sentiment in the market, Ulta Beauty has shown resilience with solid omnichannel efforts and strength in all major categories, especially skincare. The company's partnership with Mel Robbins and the launch of The Joy Project could potentially boost its brand image and customer loyalty. 
However, there are some concerns. The company's SG&amp;A costs have been rising, which could impact its profitability. Additionally, the broader market volatility and potential economic downturn could also pose risks. 
On the financial side, Ulta Beauty has a reasonable P/E ratio compared to its growth, indicating that it may be undervalued. Its market cap and enterprise value are also substantial, suggesting a stable financial position. 
Considering all these factors, Ulta Beauty seems to be a relatively safe investment in the current economic environment, but the potential risks should not be overlooked. 
Score: 75</t>
  </si>
  <si>
    <t>Given the current economic outlook and the specific news and financial data related to T-Mobile US, the company seems to be in a relatively strong position. The company's decision to pay dividends, its ongoing innovation in the 5G space, and its strong market cap all suggest potential for growth. However, the broader economic uncertainties, including the potential for a recession and the ongoing impacts of the war in Ukraine, suggest that there may be some risks associated with this investment. Therefore, while T-Mobile US appears to be a solid investment, these risks should be taken into account.
Score: 75</t>
  </si>
  <si>
    <t>Based on the provided information, Truist Financial Corporation seems to be a promising investment in the regional banking sector. Despite the challenges in the sector, the company has been focusing on simplifying its business, reducing expenses, and improving capitalization. The company's shares are currently undervalued and offer a conservative price target of $40/share with an upside of over 23% per year. Additionally, Truist offers a high dividend yield of 7.4%, which is attractive for income-focused investors. The company's solid capital position and cost-saving plans also add to its investment appeal. However, the overall economic uncertainty and potential risks in the market should be taken into account. 
Score: 75</t>
  </si>
  <si>
    <t>Given the current economic climate and the specific data related to Emerson Electric (EMR), there are several factors to consider. 
On the positive side, EMR has been listed as a strong buy on the Zacks Rank, indicating positive momentum and income potential. The company has also shown strength across process and hybrid end markets, and its supply chains are improving. Furthermore, Emerson's corporate venture capital arm has made a strategic investment in First Resonance, which could potentially lead to future growth opportunities. 
On the negative side, the company's PEG ratio is relatively high, indicating that it may be overvalued relative to its expected earnings growth. This could potentially limit its upside potential. 
Furthermore, the broader economic and market trends could also impact EMR. The potential for a recession, the ongoing unrest in Washington, and the Fed's aggressive interest rate hikes could all potentially weigh on the company's stock price. 
However, given the company's strong fundamentals and positive momentum, it could potentially outperform the broader market, even in a challenging economic environment. 
Therefore, considering all these factors, I would assign a score of 75 to Emerson Electric for potential investment value in the next month.
Score: 75</t>
  </si>
  <si>
    <t>Given the current economic outlook and the specific news and financial data related to Starbucks, the company seems to be in a relatively strong position. The company's consistent growth, sizable dividend raises, and plans for more stores indicate a positive future outlook. The company's digital capabilities and history of profitability further strengthen its position. However, the ongoing labor issues and the potential impact of the broader economic trends should be taken into consideration. 
Score: 75</t>
  </si>
  <si>
    <t>Given the current economic climate and the specific news about Trane Technologies, the company seems to be in a strong position. The acquisition of Nuvolo, a leader in cloud-based connected workplace and enterprise asset management products, indicates a strategic move towards enhancing their product portfolio and potentially increasing their market share. The introduction of AI-enabled services also shows the company's commitment to innovation and staying ahead of the curve, which is a positive sign in the current tech-driven market environment.
However, the overall economic outlook and potential risks in the market should not be ignored. The ongoing debates about government funding, the potential impact of the war in Ukraine, and the uncertainty around the full impact of the Fed's tightening could all have negative effects on the stock market and, by extension, Trane Technologies.
Looking at the firm's financial data, the company has a relatively high P/E ratio, which could indicate that the stock is overvalued. However, the company's strong momentum, as indicated by its inclusion in the Zacks Rank #1 (Strong Buy) momentum stocks list, suggests that the stock could still have potential for growth.
Taking all these factors into account, I would assign a score of 75 to Trane Technologies. This reflects the company's strong position and positive momentum, but also takes into account the potential risks in the current economic climate.
Score: 75</t>
  </si>
  <si>
    <t>Given the current economic outlook and the specific news and financial data related to Amgen, the company seems to be in a strong position. The company's recent performance has been strong, with it being the best-performing stock in both the Dow Jones Industrial Average and Nasdaq 100 in the third quarter. Furthermore, Amgen's significant stake in Neumora Therapeutics, a novel depression drug developer, could potentially provide additional growth opportunities for the company. 
However, there are also some potential risks to consider. The ongoing negotiations with Medicare could potentially impact the company's future earnings, and the overall uncertainty in the stock market could also pose a risk. 
Considering these factors, I would assign a score of 75 to Amgen. This reflects the company's strong recent performance and growth potential, but also takes into account the potential risks and uncertainties.
Score: 75</t>
  </si>
  <si>
    <t>Given the current economic climate and the specific news about Aflac, it seems that the company is well-positioned for growth. Aflac has shown strong performance with a 36% increase in the past year and has been recognized as a reliable dividend stock. The company's low debt-to-equity ratio and consistent dividend growth make it a potentially safe investment in a volatile market. Furthermore, Aflac's initiatives such as the My Special Aflac Duck® show a commitment to social responsibility, which can positively impact the company's reputation and customer loyalty. 
However, the overall economic uncertainty, potential for a recession, and the ongoing war in Ukraine could impact Aflac's performance. The company's exposure to the health insurance market could also be affected by any changes in healthcare policy or regulation. 
Considering these factors, Aflac seems to be a relatively safe investment with potential for growth, but investors should be aware of the potential risks. 
Score: 75</t>
  </si>
  <si>
    <t>Given the current economic outlook and the specific news and financial data related to Walmart, the company seems to be in a strong position. The upcoming holiday season could boost sales, and the company's focus on its third-party marketplace could help it compete with other retail giants like Amazon. Walmart's recent performance, including strong same-store sales and growth in e-commerce, supports an optimistic view of its strength as a business. The company's expansion of the Walmart+ membership program and investments in the supply chain are expected to further enhance growth. 
However, there are some potential risks. The ongoing war in Ukraine and the potential for a recession could impact the global economy and consumer spending. Additionally, the company's high P/E ratios suggest that its stock may be overvalued. 
Taking all these factors into account, I would assign a score of 75 to Walmart. This reflects the company's strong performance and growth potential, but also takes into account the potential risks and uncertainties in the current economic environment.
Score: 75</t>
  </si>
  <si>
    <t>Given the current economic climate and the specific news related to Lockheed Martin, the company seems to be in a strong position. The company has recently won several significant contracts, which should provide a steady stream of revenue in the near future. The ongoing conflict in Ukraine and the resulting increase in military aid also bodes well for the company, as it is a major defense contractor. 
However, the overall economic uncertainty and potential for a recession could pose risks. The company's relatively high P/E ratios suggest that its stock may be overvalued, which could lead to a correction in the event of a market downturn. 
Therefore, while Lockheed Martin appears to be in a strong position, the potential risks associated with the broader economic climate should not be overlooked. 
Score: 75</t>
  </si>
  <si>
    <t>Given the current economic outlook and the financial data of Linde plc, the company seems to be in a strong position. The company has a large market cap and a reasonable P/E ratio, indicating that it is a stable and profitable company. Furthermore, the company operates in the materials sector, which is expected to perform well in the current market environment. However, the ongoing geopolitical tensions and potential for a recession could pose risks to the company's performance. Therefore, while Linde plc appears to be a solid investment, these risks should be taken into account.
Score: 75</t>
  </si>
  <si>
    <t>Given the current economic climate and the specific news related to Kroger, the company seems to be in a strong position. Despite the overall bearish sentiment in the market, Kroger has shown resilience with positive sales growth, strong guidance for FY 2023, and a robust dividend growth. The company's strategic initiatives, such as the launch of the Hispanic-inspired Mercado brand, the focus on the Food as Medicine movement, and the expansion into the superstore format, indicate a proactive approach to capturing market opportunities. 
Moreover, Kroger's financials are solid, with a forward P/E of 9.91, indicating that the stock may be undervalued. The company's market cap of 32.19B and enterprise value of 48.46B further underscore its financial strength. 
However, the ongoing geopolitical tensions and potential economic downturn could pose risks. The food retail industry could be impacted by supply chain disruptions and increased costs due to the war in Ukraine. Additionally, the potential for a recession could lead to decreased consumer spending, which could negatively impact Kroger's sales. 
Therefore, while Kroger appears to be a strong company with solid growth prospects, the potential risks in the broader economy and market cannot be ignored. 
Score: 75</t>
  </si>
  <si>
    <t>Given the current economic outlook and the specific information about Coca-Cola, it seems that the company is in a relatively strong position. Despite the overall bearish sentiment in the market, Coca-Cola has a strong global brand, a stable and reliable dividend, and is considered a good value at its current price. The company's strong return on equity and return on invested capital, along with its global distribution network, also suggest that it has the potential to continue growing. However, the potential for a recession and the ongoing unrest in Washington could create some uncertainty and risk. Therefore, while Coca-Cola appears to be a good investment, it's important to monitor the situation closely.
Score: 75</t>
  </si>
  <si>
    <t>Given the current economic outlook and the specific news and financial data related to FedEx, it seems that the company is in a strong position. The company has been upgraded by analysts, indicating a positive outlook, and it has been identified as a strong value and momentum stock. The company is also benefiting from the recovery in the e-commerce sector, which is a key driver of its business. 
However, there are also some risks to consider. The ongoing war in Ukraine and the potential for a recession could impact global trade and therefore FedEx's business. The company's stock has also recently fallen, although this could potentially be a buying opportunity. 
Taking all these factors into account, I would assign a score of 75 to FedEx. This reflects the company's strong position and positive outlook, but also takes into account the potential risks.
Score: 75</t>
  </si>
  <si>
    <t>Given the current macroeconomic conditions and the specific information about Pioneer Natural Resources, the company seems to be in a strong position. The war in Ukraine has led to a spike in energy prices, which could benefit oil and gas companies like Pioneer. The company has consistently expanded its production, driven by significant reserves and ongoing exploration efforts. Furthermore, the company's financial data shows a healthy market cap and P/E ratios, indicating a strong financial position.
However, there are also risks to consider. The potential for a recession could negatively impact the company, as could any further political unrest in the U.S. or globally. Additionally, the company's performance is directly tied to volatile oil and gas prices, which could pose a risk if prices were to drop.
Taking all these factors into account, I would assign a score of 75 to Pioneer Natural Resources. This reflects the company's strong position and potential for growth, but also takes into account the various risks and uncertainties.
Score: 75</t>
  </si>
  <si>
    <t>Given the current economic climate and the specific news about Humana, the company seems to be in a strong position. The company's Medicare Advantage health plan offerings for 2024 are designed with affordability in mind, which could potentially attract more customers and increase revenue. The company's credit ratings have also been upgraded, indicating a strong financial position. 
Moreover, Humana's stock is considered a better pick than CSX stock due to its better prospects. The company's adjusted diluted EPS and free cash flow payout ratios make the dividend very secure, and the company's revenue and adjusted diluted EPS both surged in the first half of 2023. 
The company's interest coverage ratio of over 13 is part of why it earns investment-grade credit ratings from the major rating agencies. This indicates that the company is able to meet its interest payments on its debt, which is a positive sign for investors. 
However, the company's PEG ratio of 1.03 suggests that the stock may be slightly overvalued relative to its expected earnings growth. This could potentially limit the stock's upside potential. 
Given these factors, I would assign a score of 75 to Humana. This reflects the company's strong financial position and positive prospects, but also takes into account the potential overvaluation of the stock.
Score: 75</t>
  </si>
  <si>
    <t>Broadridge Financial Solutions (BR) seems to be in a strong position, with a market cap of 21.06B and an enterprise value of 24.46B. The company's P/E ratios, both trailing and forward, are relatively high, indicating that investors are willing to pay a premium for its earnings. This could be due to the company's strong growth prospects, as evidenced by its recent partnership with UBS and the successful launch of its DLT enabled Distributed Ledger Repo (DLR) platform. 
The company's PEG ratio is below 2, which suggests that its stock may be undervalued given its earnings growth expectations. Furthermore, the company's price-to-sales ratio is relatively low, which could indicate that its stock is undervalued relative to its revenue. 
Broadridge has also demonstrated strong performance in the past year, with its stock price rising by 25%. This suggests that the company has strong momentum, which could potentially continue in the future. 
Moreover, Broadridge is included in the list of top 10 dividend growth stocks for September 2023, indicating its commitment to returning capital to shareholders. This could make the company's stock more attractive to income-focused investors. 
However, the company's high price-to-book ratio could indicate that its stock is overvalued relative to its book value. Additionally, the company's high enterprise value-to-EBITDA ratio could suggest that it is overvalued relative to its earnings before interest, taxes, depreciation, and amortization. 
Given the current economic climate and the company's strong financial performance and growth prospects, Broadridge Financial Solutions appears to be a solid investment. However, investors should be aware of the potential risks associated with the company's high valuation ratios.
Score: 75</t>
  </si>
  <si>
    <t>Given the current economic outlook and the specific news and financial data related to American Express, the company seems to be in a strong position. Despite the overall bearish sentiment in the market, American Express has shown resilience with strong customer growth and record-high revenues. The company's focus on serving higher-income individuals and its international expansion, particularly in Europe, offer significant growth potential. 
Moreover, American Express has been making strategic investments in technology to enhance its product offerings and expand its customer base. The company's recent addition of a mobile check deposit feature within one of its Business Blueprint products is a testament to this. 
Furthermore, American Express has the backing of Warren Buffett, who is known for his long-term investment strategy and focus on fundamentals. The company's P/E ratios are also relatively low, indicating that the stock may be undervalued. 
However, the potential risks associated with the ongoing debates about government funding, the impact of the war in Ukraine, and the potential for a recession should not be overlooked. These factors could increase market volatility and pose challenges for American Express. 
Therefore, considering both the positive aspects and potential risks, I would assign a score of 75 to American Express for the potential investment value in the Consumer Finance industry for the next month.
Score: 75</t>
  </si>
  <si>
    <t>Given the current economic outlook and the specific news and financial data related to Airbnb, it seems that the company is well-positioned for growth. The company's use of AI to improve its services, its strong network effect, and scalability give it a competitive edge. The company's revenue growth and strong momentum also indicate a positive trajectory. However, the potential for a recession and the ongoing uncertainty in the market suggest that there may be some risks involved. 
Considering these factors, I would assign a relatively high score to Airbnb, reflecting its strong growth prospects but also acknowledging the potential risks.
Score: 75</t>
  </si>
  <si>
    <t>Given the current economic outlook and the specific news and financial data related to AMD, it seems that the company has a promising future. The increasing demand for AI and the company's strategic moves to capture this market, along with its solid financials, suggest a strong potential for growth. However, the overall economic uncertainty, potential for a recession, and the ongoing war in Ukraine could pose significant risks. 
Considering these factors, I would assign a moderately high score to AMD, reflecting its strong potential but also acknowledging the current economic risks.
Score: 75.</t>
  </si>
  <si>
    <t>Given the current economic climate and the specific news and financial data related to Hess Corporation, the company seems to be in a strong position. Despite the exit from the Kaieteur offshore oil exploration block in Guyana, the company's outlook remains positive due to the continued growth of oil and gas, the reliable dividend from Hess Midstream, and the promising results from its investment in H2U Technologies. The company's financial data also indicates a strong market position, with a relatively low PEG ratio suggesting that the stock may be undervalued given its expected growth rates. However, the potential for a recession and the ongoing conflict in Ukraine could introduce some risk. 
Score: 75</t>
  </si>
  <si>
    <t>Given the current economic climate and the specific news about Mondelez International, the company seems to be in a strong position. Despite the overall bearish sentiment in the market, Mondelez has shown resilience with consistent growth in revenue and net income over the past 5 years. The company's diverse snack portfolio and international footprint provide a wide moat against competition. 
The sale of its developed-market gum business could streamline operations and focus resources on its core snack business. The company's commitment to returning capital to shareholders through dividends, share buybacks, and price appreciation is also a positive sign for investors. 
However, the rise of weight loss drugs could pose a threat to future sales growth in the snacking industry. This is a risk factor that should be monitored closely. 
The company's financial data shows a fairly high P/E ratio, indicating that the stock may be overvalued. However, the company's strong growth prospects and defensive nature could justify this valuation. 
Considering all these factors, I would assign a score of 75 to Mondelez International. This reflects the company's strong fundamentals and growth prospects, but also takes into account the potential risks and the current bearish sentiment in the market.
Score: 75</t>
  </si>
  <si>
    <t>Given the macroeconomic context and the specific news about Philip Morris International, the company seems to be in a strong position despite some economic uncertainties. The company's commitment to diversifying its product portfolio towards reduced-risk products, its robust growth targets for the 2024-2026 period, and its strong market position in the heat-not-burn category are all positive indicators. However, the company has lowered its earnings outlook due to currency shifts, which could impact its short-term performance. 
Considering the potential for a recession, the company's status as a "vice stock" could provide some resilience, as these types of stocks often perform well during economic downturns. The company's recent dividend growth and its strong financial data, including a market cap of 143.72B and a forward P/E of 13.64, also suggest a solid investment potential. 
However, given the overall economic uncertainties and the potential impact of the Fed's tightening, it would be prudent to remain somewhat cautious. 
Score: 75.</t>
  </si>
  <si>
    <t>Given the current economic climate and the company's financial data, Gen Digital seems to be in a strong position. The company operates in the Application Software industry, which is expected to benefit from the ongoing growth in AI and digital technologies. Furthermore, the company's P/E ratios are relatively low, suggesting that the stock may be undervalued. The company's strong market cap and enterprise value also indicate a solid financial position. However, the ongoing economic uncertainties and potential risks in the stock market suggest that caution is warranted. 
Score: 75</t>
  </si>
  <si>
    <t>Given the current economic climate and the specific news and financial data related to Fortinet, the company appears to be in a strong position. The company's recent news indicates a positive outlook, with robust industry growth forecasted, a focus on sustainability and responsible corporate governance, and initiatives to address the cybersecurity skills gap. 
Moreover, the company's financial data shows a healthy market cap and enterprise value, although the P/E ratios are relatively high, indicating that the stock may be overvalued. However, the company's focus on growth and the increasing importance of cybersecurity in today's digital world could potentially justify these high valuations.
However, considering the overall economic outlook and potential risks, it's important to be cautious. The potential for a recession, the ongoing political unrest, and the impact of the war in Ukraine could all negatively affect the stock market and Fortinet's performance. 
Therefore, while Fortinet appears to be a strong company with good growth prospects, the potential risks and uncertainties in the current economic climate should not be overlooked. 
Score: 75</t>
  </si>
  <si>
    <t>Given the current economic climate and the specific news about First Solar, there are several factors to consider. 
On the positive side, First Solar is a leader in the solar energy sector, which is expected to grow significantly in the coming years. The company has a strong financial performance, innovative technology, and expanding production capacity. The recent settlement of a lawsuit with Toledo Solar also removes a potential risk for the company. 
On the negative side, the overall economic outlook is mixed, with a potential recession and the impact of the Fed's tightening still uncertain. The solar industry could also be affected by rising interest rates, which have already caused some struggles for solar stocks. 
However, given the company's strong position in a growing industry and its positive financial performance, the potential investment value of First Solar is relatively high. 
Score: 75</t>
  </si>
  <si>
    <t>Given the current macroeconomic conditions and the specific financial data and news about Diamondback Energy, it seems that the company is well-positioned to benefit from the rising oil prices due to the war in Ukraine. The company's efficient operations, deep reserves, and shareholder-friendly distribution plans make it a strong candidate for investment. Furthermore, the company's commitment to sustainability and environmental responsibility could potentially make it more resilient in the face of potential regulatory changes or shifts in consumer preferences. However, the overall economic uncertainty and potential for a recession could pose risks to the company's performance. Therefore, while Diamondback Energy appears to be a strong investment, it is important to consider these potential risks.
Score: 75</t>
  </si>
  <si>
    <t>Given the macroeconomic outlook and the specific financial data for AutoZone, the company appears to be in a strong position. The aggressive share buyback strategy and potential for a dividend in the future indicate a strong financial position and confidence in the company's future. The company's P/E ratios are also relatively low, suggesting that the stock may be undervalued. However, the potential for a recession and the ongoing political and economic uncertainties could pose risks. The company's strong financial position could help it weather these potential challenges, but it's important for investors to monitor these risks closely. 
Score: 75</t>
  </si>
  <si>
    <t>Given the current economic outlook and the specific financial data for Citizens Financial Group, it seems that the company presents a good investment opportunity. The company's strong dividend yield, undervalued status, and earnings growth are all positive indicators. Furthermore, despite the potential risks associated with higher interest rates, the bank's stocks are considered cheap, which could present a buying opportunity for long-term investors. The company's low P/E ratios also suggest that the stock is undervalued relative to its earnings. However, the ongoing debates about government funding and the potential impact of the war in Ukraine could introduce some uncertainty into the market, which could affect the bank's performance. Therefore, while the company appears to have strong potential, investors should still exercise caution.
Score: 75.</t>
  </si>
  <si>
    <t>Given the current economic climate, CF Industries seems to be in a strong position. The company is benefiting from healthy nitrogen fertilizer demand and lower natural gas costs. The increased corn acreage will drive demand for nitrogen-based fertilizers, which is a positive sign for CF Industries. The company's strong financials and positive economic reporting also indicate a strong investment potential. However, the ongoing war in Ukraine and the potential for increased energy prices could pose a risk to the company's profitability. 
Considering these factors, the potential investment value of CF Industries in the Fertilizers &amp; Agricultural Chemicals industry for the next month is relatively high. 
Score: 75</t>
  </si>
  <si>
    <t>Given the current macroeconomic conditions and the specific news and financial data related to Chipotle Mexican Grill, the company seems to be in a strong position. Despite the lawsuit allegations, the company has shown impressive growth, has no long-term debt, and is backed by renowned investor Bill Ackman. The company's strong financials, including a high market cap and a reasonable P/E ratio, further support its potential for continued growth. However, the potential for a recession and the ongoing political and economic uncertainties could pose risks. Therefore, while the company has strong potential, these risks should be taken into account.
Score: 75</t>
  </si>
  <si>
    <t>Given the current economic climate and the specific factors affecting American Tower, the company seems to be a relatively strong investment opportunity. The increasing demand for 5G networks and the company's extensive communication network infrastructure position it well for future growth. Additionally, the company's solid financial performance and growth potential in the data center segment make it an attractive investment option. However, the company's high level of debt and the potential impact of the Fed's interest rate hikes could pose risks. Therefore, while the company has strong potential, investors should proceed with caution.
Score: 75</t>
  </si>
  <si>
    <t>Given the current economic outlook and the specific news and financial data related to Procter &amp; Gamble, the company appears to be a relatively safe investment. Despite the potential risks in the broader economy and stock market, P&amp;G has a solid product portfolio, strong cash flow, and a long history of dividend hikes. The company's products generate consistent sales, which could provide some stability in the event of a recession. Furthermore, P&amp;G's market cap and enterprise value are substantial, indicating a large and stable company. However, the company's relatively high P/E ratios suggest that its stock may be overvalued, which could limit its potential for price appreciation. Therefore, while P&amp;G may be a safe investment, its potential for high returns may be limited in the short term.
Score: 75</t>
  </si>
  <si>
    <t>Given the current economic climate and the specific circumstances surrounding Alphabet Inc., the company seems to be in a relatively strong position. The growth in AI and digital platforms, where Alphabet has a significant presence, is a positive sign. However, the potential recession and the ongoing geopolitical tensions could pose risks. 
Alphabet's financial data shows a healthy market cap and a reasonable P/E ratio, indicating that the company is valued appropriately in the market. The company's strong position in the tech industry, its robust financial health, and its potential for growth in AI and other digital platforms are all positive indicators. 
However, the potential risks associated with the current economic climate, including the possibility of a recession and the ongoing geopolitical tensions, should not be overlooked. These factors could potentially impact Alphabet's performance in the short term. 
Therefore, considering all these factors, I would assign a score of 75 to Alphabet Inc. (Class A) for potential investment value in the next month.
Score: 75</t>
  </si>
  <si>
    <t>Given the current economic climate and the specific circumstances surrounding Alphabet Inc., the company seems to be in a relatively strong position. The technology sector, where Alphabet Inc. operates, has been driving a significant share of the stock-market gains. This suggests that investors are favoring large-cap tech stocks, which Alphabet Inc. is a part of. 
Moreover, Alphabet Inc.'s subsidiary, Google, continues to dominate the search engine market, and the growth in AI and digital platforms could potentially benefit the company. However, the ongoing political debates and potential economic downturn could pose risks. 
Considering these factors, the potential investment value of Alphabet Inc. (Class C) in the Interactive Media &amp; Services industry for the next month is moderately high. 
Score: 75</t>
  </si>
  <si>
    <t>Based on the provided information, Adobe Inc. appears to be in a strong position within the Application Software industry. The company's integration of AI into its products, its strong financial performance, and its positive outlook from Wall Street analysts all suggest that Adobe is well-positioned for future growth. However, the broader economic context, including the potential for a recession and the ongoing conflict in Ukraine, could introduce some uncertainty and risk. Additionally, the company's high valuation and the bearish sentiment in the stock market could limit its potential for short-term gains. 
Given these factors, I would assign Adobe Inc. a score of 75 out of 100 for potential investment value over the next month. This score reflects the company's strong fundamentals and growth prospects, but also takes into account the potential risks and uncertainties in the broader economic and market environment.
Score: 75</t>
  </si>
  <si>
    <t>Given the current economic outlook and the specific financial data for Arch Capital Group (ACGL), the company appears to be in a strong position. The firm is listed as one of the Property and Casualty Insurance industry players likely to benefit from improving pricing due to frequent catastrophes. This suggests that the company has a robust business model that can withstand economic downturns and benefit from industry trends.
Moreover, the company's financial data indicates a healthy financial position. The company's market cap is substantial at 29.73B, and its enterprise value is even higher at 32.81B, suggesting that the company is valued highly by the market. The company's trailing P/E ratio is 13.51, which is relatively low, indicating that the company's stock is reasonably priced relative to its earnings. The forward P/E ratio is even lower at 11.00, suggesting that the company's earnings are expected to grow in the future.
However, the ongoing economic uncertainties, including the potential for a recession and the impact of the war in Ukraine, suggest that there may be risks associated with investing in the company. Therefore, while the company appears to be in a strong position, these risks should be taken into account.
Score: 75</t>
  </si>
  <si>
    <t>Given the current economic outlook and the specific news and financial data related to Abbott Laboratories, the company appears to be a solid investment. Despite the overall bearish sentiment in the market, Abbott has shown resilience with its diversified healthcare portfolio, consistent dividend growth, and positive earnings revisions. The company's recent acquisition of Bigfoot Biomedical also strengthens its position in the diabetes care market. Furthermore, the recovery in its Nutrition business and the potential trend reversal after a period of heavy selling pressure are positive signs. However, the high valuation ratios and the potential impact of the broader economic and market trends should be taken into account. 
Score: 75</t>
  </si>
  <si>
    <t>Given the current economic climate and the specific factors related to Palo Alto Networks, the company seems to be in a strong position. The demand for cybersecurity solutions is expected to remain high, and Palo Alto Networks has shown consistent growth and strong financial performance. The company's efficient R&amp;D strategy and potential acquisitions could further strengthen its position in the market. However, the overall economic uncertainty and potential risks in the stock market suggest a need for caution.
The company's high P/E ratios indicate that the stock is currently priced at a premium, which could limit its upside potential. However, the company's strong growth prospects and the increasing importance of cybersecurity could support its high valuation. 
Given these factors, I would assign a score of 75 to Palo Alto Networks. This reflects the company's strong position and growth prospects, but also takes into account the current economic uncertainty and the stock's high valuation.
Score: 75</t>
  </si>
  <si>
    <t>CDAY</t>
  </si>
  <si>
    <t>Given the current economic climate, Ceridian HCM Holding Inc. appears to be a promising investment. The company operates in the human capital management software market, which is projected to grow significantly in the coming years. This suggests that the company could benefit from increased demand for its services. 
Moreover, Ceridian's financial performance has been strong, with rising revenue, positive operating income, and an improving gross profit margin. This indicates that the company is financially healthy and capable of generating profits. 
However, there are also some risks to consider. The company's high P/E ratios suggest that its stock may be overvalued, which could limit its future price appreciation. Additionally, the ongoing political and economic uncertainties could potentially impact the company's performance. 
Therefore, while Ceridian appears to be a solid investment, investors should also consider these risks and monitor the company's performance closely. 
Score: 75.</t>
  </si>
  <si>
    <t>Given the current economic outlook and the specific news and financial data related to Caterpillar Inc., the company seems to be in a strong position. Despite the potential risks associated with the broader economy, Caterpillar has shown resilience with strong net income growth, strategic partnerships for sustainable mining operations, and a focus on AI and digital advancements. The company's P/E ratios are reasonable, suggesting the stock is not overvalued. Furthermore, Caterpillar's consistent dividend payouts indicate a shareholder-friendly approach, which is a positive sign for investors. However, the ongoing geopolitical tensions and potential for a recession should be considered as potential risks. 
Score: 75</t>
  </si>
  <si>
    <t>Given the current economic climate and the specific news and financial data related to Tractor Supply Company, there are several factors to consider. 
On the positive side, Tractor Supply has been recognized as a top workplace in retail, which could potentially attract and retain top talent. The company also has plans to accelerate its store opening rate in 2024, which could potentially lead to increased sales and earnings. Furthermore, Tractor Supply has a long track record of earnings growth and is considered a bargain stock, which could potentially offer good value for investors. 
On the negative side, the overall economic and stock market outlook is mixed, with both positive and negative trends. This could potentially lead to increased volatility and risk in the market, which could impact Tractor Supply's stock price. 
In terms of financial data, Tractor Supply has a relatively high P/E ratio, which could potentially indicate that the stock is overvalued. However, the company also has a strong market cap and enterprise value, which could potentially indicate a strong financial position. 
Overall, given the current economic climate and the specific news and financial data related to Tractor Supply, I would assign a score of 70 out of 100 for the potential investment value of Tractor Supply in the Specialty Stores industry for the next month.
Score: 70</t>
  </si>
  <si>
    <t>Given the current economic climate, Autodesk's position in the market, and its focus on AI-driven solutions, the company seems well-positioned to weather potential economic downturns. The company's consistent financial performance and prudent financial management also bode well for its future prospects. However, the high P/E ratios and the overall bearish sentiment in the market suggest that there may be some risk involved. 
Considering all these factors, I would assign Autodesk a score of 70 out of 100 for potential investment value in the next month.
Score: 70</t>
  </si>
  <si>
    <t>Given the current economic climate, ADP seems to be a relatively safe bet. The company has a strong partnership with Workday, which could help it navigate the increasing complexities of payroll and HR. This could potentially lead to increased revenues and profits for the company. 
Moreover, ADP is considered a safe stock to buy amid plummeting U.S. consumer confidence, and it is also listed as a dividend aristocrat, which means it has a history of consistently increasing its dividend payments. This could potentially provide a steady income for investors, even in a volatile market. 
Furthermore, ADP's stock is technically in oversold territory, which suggests that the heavy selling pressure might have exhausted and the stock could be ripe for a trend reversal. This could potentially lead to capital gains for investors. 
However, the company's high P/E ratios (both trailing and forward) suggest that the stock might be overvalued, which could limit its upside potential. Moreover, the company's high enterprise value relative to its revenue and EBITDA suggests that it might be overpriced relative to its earnings and cash flow. 
Therefore, while ADP seems to be a relatively safe bet in the current economic climate, its high valuation could limit its upside potential. Investors should therefore be cautious and closely monitor the company's financial performance and market developments.
Score: 70</t>
  </si>
  <si>
    <t>Given the macroeconomic context and the specific news about Ansys, there are several factors to consider. 
On the positive side, Ansys is involved in a new reference flow for TSMC's advanced 4nm RF FinFET process technology. This could potentially lead to increased demand for Ansys's software, as it would be used in the design and production of advanced semiconductors. This could potentially lead to increased revenues and profits for Ansys, which would be positive for its stock price. 
On the negative side, the macroeconomic environment is mixed, with several risks that could potentially impact Ansys. These include the potential for a recession, the ongoing debates about government funding, the economic toll of the COVID-19 pandemic, and the impact of the war in Ukraine. These factors could potentially lead to decreased demand for Ansys's software, which would be negative for its stock price. 
In terms of Ansys's financial data, its market cap is relatively high, and its P/E ratios are also relatively high, indicating that its stock is potentially overvalued. This could potentially lead to a correction in its stock price, which would be negative for investors. 
However, Ansys's involvement in the new reference flow for TSMC's advanced 4nm RF FinFET process technology could potentially outweigh these risks, especially if it leads to increased demand for its software. 
Therefore, based on these factors, I would assign a score of 70 to Ansys.
Score: 70</t>
  </si>
  <si>
    <t>Given the current economic outlook and the specific information about A. O. Smith, the company seems to be in a relatively strong position. The company is expected to announce a 10%+ dividend increase, which is a positive sign for investors. Additionally, the company is well-placed to capitalize on the improving supply chains in the manufacturing industry. The company's stock has also been outperforming its peers in the industrial products sector. 
However, the overall economic outlook is mixed, with potential risks from the ongoing political unrest, the Fed's aggressive interest rate hikes, and the potential crisis in the commercial real estate market. These factors could potentially impact the company's performance and the stock's value. 
The company's financial data also presents a mixed picture. The company's market cap and enterprise value are relatively high, indicating a strong market presence. However, the company's trailing P/E ratio is also high, which could indicate that the stock is overvalued. The forward P/E ratio is lower, suggesting that the company's earnings are expected to grow. The PEG ratio is also relatively high, which could indicate that the stock's price is high relative to its expected earnings growth. 
Given these factors, I would assign a score of 70 to A. O. Smith's potential investment value for the next month. This score reflects the company's strong position and expected dividend increase, but also takes into account the potential risks from the overall economic outlook and the company's financial data.
Score: 70</t>
  </si>
  <si>
    <t>Given the current economic climate and the specific news about Viatris, the company seems to be in a strong position. The divestiture of some of its businesses is a strategic move that could streamline the company and potentially increase its profitability. The company's recent FDA approval for Ryzumvi also indicates potential for growth. However, the overall economic uncertainty and potential for a recession should be taken into account. The company's relatively low P/E ratios suggest that it may be undervalued, which could present a good buying opportunity. However, the company's high enterprise value relative to its market cap suggests a high level of debt, which could be a risk factor. 
Score: 70</t>
  </si>
  <si>
    <t>Given the current economic outlook and the financial data of Wabtec, the company seems to be in a relatively strong position. The transportation industry is expected to grow in line with the economy, and with the Fed projecting a rapid 4.9% growth in the current quarter, this bodes well for Wabtec. The company's market cap and enterprise value are robust, indicating a strong market presence and investor confidence. The forward P/E ratio is lower than the trailing P/E, suggesting that earnings are expected to grow. However, the ongoing geopolitical tensions and potential for economic downturn do present risks. 
Score: 70</t>
  </si>
  <si>
    <t>Given the current economic outlook and the specific information about United Rentals, the company seems to be in a strong position. It has been recognized as one of the top-performing companies globally, which is a positive sign. The company's financial data also suggests that it is currently undervalued, with a trailing P/E ratio of 13.57 and a forward P/E ratio of 10.52, both of which are below the industry average. This suggests that the company's stock could potentially offer good value for investors.
However, there are also some risks to consider. The ongoing uncertainty in the economy and the stock market could potentially impact the company's performance. The company's high enterprise value relative to its revenue and EBITDA also suggests that it has a significant amount of debt, which could potentially be a risk factor.
Taking all of these factors into account, I would assign a score of 70 to United Rentals. This reflects the company's strong performance and potential value, but also takes into account the potential risks.
Score: 70</t>
  </si>
  <si>
    <t>Given the current economic outlook and the specific circumstances surrounding BorgWarner, the company seems to be in a relatively strong position. The company's focus on e-mobility solutions aligns well with the current trend towards electric vehicles, which could provide significant growth opportunities. Furthermore, the company's strong financial profile, as indicated by its low P/E ratios and reasonable enterprise value, suggests that it is undervalued relative to its earnings and revenue.
However, there are also several risks to consider. The ongoing UAW strike could potentially disrupt the company's operations and negatively impact its financial performance. Furthermore, the broader economic uncertainty and potential for a recession could also pose risks to the company.
Taking all these factors into account, I would assign a score of 70 to BorgWarner. This reflects the company's strong growth prospects and financial profile, but also takes into account the potential risks.
Score: 70</t>
  </si>
  <si>
    <t>Given the current macroeconomic conditions, Bunge Limited could be a potentially good investment. The ongoing war in Ukraine has disrupted global supply chains and caused a spike in energy prices, which could increase the demand for agricultural products and services. This could potentially benefit companies like Bunge Limited, which operate in this industry.
Moreover, the company's upcoming earnings release could provide further insights into its financial performance and future prospects. The company's current financial data also looks promising, with a relatively low P/E ratio and a reasonable enterprise value.
However, the potential for a recession and the uncertainty surrounding the US government's funding could pose risks. These factors could potentially impact the company's performance and the overall agricultural industry.
Therefore, while Bunge Limited could potentially offer good investment value, it's important to consider these risks and uncertainties. Investors should also monitor the company's upcoming earnings release and any changes in the macroeconomic conditions.
Score: 70</t>
  </si>
  <si>
    <t>Given the current economic outlook and the financial data of Moody's Corporation, the company seems to be in a relatively strong position. The company has a substantial market cap and enterprise value, indicating a strong market presence and robust financial health. However, the high P/E ratios suggest that the company's stock may be overvalued, which could limit its potential for future price appreciation.
The potential government shutdown could introduce uncertainty into the market, which could negatively impact the company's stock price. However, the fact that a significant portion of Warren Buffett's portfolio is invested in a small number of stocks suggests that a focused investment strategy can yield substantial returns, which could be a positive sign for Moody's Corporation if it is one of these select stocks.
The ongoing war in Ukraine and the potential for a recession could introduce additional risk into the market, which could negatively impact the company's stock price. However, the company's strong financial position could help it weather these challenges.
Given these factors, I would assign a score of 70 to Moody's Corporation. This reflects the company's strong financial position and potential for growth, but also takes into account the potential risks and uncertainties in the current economic environment.
Score: 70.</t>
  </si>
  <si>
    <t>Given the current economic outlook and the financial data of Hartford (The), it seems that the company could be a potentially good investment. The company has a relatively low P/E ratio, indicating that it may be undervalued. Additionally, the company operates in the insurance industry, which is currently seen as one of the best operators with the least need for debt. This could potentially make the company more resilient in the face of economic uncertainty. However, the ongoing debates about government funding and the potential impact of the war in Ukraine could introduce some risks. Therefore, while the company appears to have strong fundamentals, investors should still exercise caution.
Score: 70</t>
  </si>
  <si>
    <t>Given the current economic outlook and the specific information about Global Payments, there are several factors to consider. 
On the positive side, the company has shown strong growth in recent months, with its stock price jumping 20% in the last six months. This is likely due to the increasing demand for digital payment methods, which is a trend that is expected to continue as economies become more digitalized. The company's forward P/E ratio is also relatively low, suggesting that it may be undervalued.
On the negative side, the overall economic outlook is mixed, with potential risks from the ongoing political unrest in Washington and the possibility of a recession. The company's high trailing P/E ratio also suggests that it may be overvalued based on its current earnings.
Considering these factors, the potential investment value of Global Payments in the Transaction &amp; Payment Processing Services industry for the next month is moderately high, but with some risks.
Score: 70</t>
  </si>
  <si>
    <t>Given the current economic climate and the specific information about Kinder Morgan, there are several factors to consider. The ongoing war in Ukraine has led to a spike in energy prices, which could benefit Kinder Morgan as a company in the Oil &amp; Gas Storage &amp; Transportation industry. The company's strong infrastructure footprint and stable business model, along with its attractive dividend yield, make it a solid choice for income investors. However, the bearish sentiment in the stock market and the potential impact of the Fed's interest rate hikes could pose risks. 
Considering all these factors, Kinder Morgan seems to be a relatively stable investment with potential for growth due to the current energy crisis, but also carries some risk due to the overall economic uncertainty.
Score: 70</t>
  </si>
  <si>
    <t>Given the current economic outlook and the specific information about Kenvue, there are several factors to consider. 
On the positive side, Kenvue is a spin-off from Johnson &amp; Johnson, a well-established and reputable company. It has already announced a dividend, which is a positive sign for investors. The company is also expected to be a safe bet for investors, despite its relatively high valuation. This suggests that the company has a strong business model and is likely to generate stable earnings. 
On the negative side, the company's growth rate is relatively low for its valuation. This could potentially limit the company's future earnings growth and stock price appreciation. The company's high P/E ratio also suggests that the stock may be overvalued, which could limit its future returns. 
In terms of the broader economic and market context, the potential for a recession and the ongoing unrest in Washington could potentially impact the company's earnings and stock price. However, the company's focus on personal care products could potentially provide some insulation from these risks, as these products are typically less sensitive to economic cycles. 
Taking all these factors into account, I would assign a score of 70 to Kenvue. This reflects the company's strong business model and dividend potential, as well as the potential risks from the broader economic and market context.
Score: 70</t>
  </si>
  <si>
    <t>Given the current economic climate and the specific news and financial data related to Johnson &amp; Johnson, the company appears to be a relatively stable investment. The company's recent success in a late-stage study for a lung cancer therapy and its decision to focus resources on its pharmaceuticals and medtech units are positive signs. However, the ongoing negotiations with Medicare and the call from Unitaid to improve access to its tuberculosis drug could potentially impact future earnings. 
The company's financial data also suggests a solid financial position, with a large market cap and a reasonable P/E ratio. However, the high PEG ratio indicates that the stock may be overvalued given the expected future earnings growth. 
Considering these factors, the potential investment value of Johnson &amp; Johnson in the Pharmaceuticals industry for the next month is moderately high, but investors should be aware of the potential risks and uncertainties.
Score: 70</t>
  </si>
  <si>
    <t>Given the current economic climate and the specific news about Keysight, there are several factors to consider. 
On the positive side, Keysight is actively involved in the development of 5G and IoT technologies, which are expected to be major growth drivers in the tech industry. The company's collaborations with Ettifos and Synopsys, as well as its successful tests and new product launches, indicate that it is well-positioned to capitalize on these trends. This could potentially lead to increased revenues and profits for the company, which would be positive for its stock price.
On the negative side, the overall economic and market conditions are mixed, with several risks that could potentially impact Keysight's performance. These include the potential for a recession, the ongoing political unrest in Washington, and the impact of the war in Ukraine on global supply chains. These factors could potentially lead to increased volatility and risk in the market, which could negatively impact Keysight's stock price.
In terms of financials, Keysight's market cap and enterprise value are relatively high, indicating that the company is valued highly by the market. The company's P/E ratios are also relatively low, suggesting that its earnings are expected to grow in the future. However, its PEG ratio is above 1, indicating that the company's stock may be overvalued given its expected growth rate.
Considering all these factors, I would assign a score of 70 to Keysight. This reflects the company's strong position in the tech industry and its potential for growth, but also takes into account the various risks and uncertainties in the market.
Score: 70</t>
  </si>
  <si>
    <t>Given the current economic climate and the specific news related to Halliburton, there are several factors to consider. 
On the positive side, the war in Ukraine has led to a spike in energy prices, which is beneficial for oil and gas companies like Halliburton. The company has also been innovating with new technologies and sustainable solutions, which could potentially increase its competitiveness and profitability in the long term. Furthermore, Halliburton's stock is nearing a 52-week high, indicating strong momentum.
On the negative side, the Biden administration's proposal to limit sales of oil and gas drilling leases could potentially impact Halliburton's operations and profitability. There is also the broader risk of a potential recession, which could lead to a decrease in energy demand and lower oil prices.
Taking into account these factors, as well as Halliburton's financial data, the company appears to be in a relatively strong position. Its forward P/E ratio is lower than its trailing P/E ratio, indicating that earnings are expected to grow. However, the company's enterprise value is higher than its market cap, suggesting that it has a significant amount of debt.
Given these considerations, I would assign a score of 70 to Halliburton. This reflects the company's strong momentum and potential for growth, but also takes into account the potential risks and uncertainties.
Score: 70</t>
  </si>
  <si>
    <t>Given the current economic climate and the specific news about Hasbro, there are several factors to consider. 
On the positive side, Hasbro is showing strong expansion in emerging markets and has had success with recent product launches. The company's partnership with AdoptAClassroom.org and the launch of NERFBALL, the NERF brand's first-ever official sport, are promising developments. The company's unveiling of a new game with potential to become a new sports franchise also indicates innovation and potential for growth. The relaunch of the LITTLEST PET SHOP brand, with an immersive digital play experience on Roblox, also suggests potential for increased revenue and market share. 
On the negative side, the company's high costs could potentially impact its profitability. The company's trailing P/E ratio is also relatively high, which could indicate that the stock is overvalued. 
Given these factors, I would assign a score of 70 to Hasbro. This reflects the company's strong growth prospects and recent successful product launches, but also takes into account the potential risks associated with the company's high costs and potentially overvalued stock price.
Score: 70</t>
  </si>
  <si>
    <t>Given the current economic climate and the specific news about Garmin, the company seems to be in a strong position. Despite the overall bearish sentiment in the market, Garmin has been making significant strides in its industry. It has been recognized for its excellence in avionics product support and marine electronics manufacturing, and it has also been expanding its product offerings in the aviation and fitness sectors. This suggests that the company is well-positioned to weather potential economic downturns and continue to grow.
However, the company's relatively high P/E ratios suggest that its stock may be overvalued, which could limit its potential for future price appreciation. Furthermore, the ongoing economic uncertainties and potential risks in the market could also negatively impact the company's stock price.
Therefore, while Garmin appears to be a solid company with strong growth prospects, the potential risks and uncertainties in the market suggest that investors should be cautious. 
Score: 70</t>
  </si>
  <si>
    <t>Given the current economic outlook and the specific news and financial data related to Qualcomm, the company appears to be in a strong position. Despite the overall bearish sentiment in the market, Qualcomm has several positive factors that could support its stock price. 
The company has recently extended its agreement with Apple, which should provide a stable source of revenue. It has also launched new chips for Meta's VR headset and smart glasses, indicating that it is at the forefront of technological developments in the semiconductor industry. 
Furthermore, Qualcomm is well-positioned to benefit from the growth in the IoT and Automotive sectors, and it holds key patents that could provide a competitive advantage. The company's involvement in AI and the metaverse, two areas expected to see significant growth, also bodes well for its future prospects.
However, there are also some risks to consider. The semiconductor industry is currently experiencing a sea-change, and there are concerns that semiconductor stocks are poised to drop. Qualcomm's financial data also shows a relatively high P/E ratio, which could indicate that the stock is overvalued.
Taking all these factors into account, I would assign a score of 70 to Qualcomm. This reflects the company's strong position and growth prospects, but also takes into account the potential risks and uncertainties in the market.
Score: 70</t>
  </si>
  <si>
    <t>Given the current economic outlook and the specific financial data for PNC Financial Services, the company seems to be in a relatively strong position. The redemption of Depositary Shares and the declaration of a dividend indicate a healthy financial status. The company's low Price/Earnings (P/E) ratios, both trailing and forward, suggest that the stock is undervalued, which could present a good buying opportunity. However, the high PEG ratio indicates that the stock might be overvalued when considering the company's future earnings growth. 
The company's market cap is substantial, indicating a large and potentially stable company. However, the ongoing debates about government funding and the potential impact of the war in Ukraine could introduce some uncertainty into the banking sector. 
Given these factors, while PNC Financial Services appears to be a solid company, the potential risks associated with the broader economic and political environment should be taken into account. 
Score: 70</t>
  </si>
  <si>
    <t>Given the current economic outlook and the specific news and financial data related to PepsiCo, the company seems to be in a relatively strong position. The company's broad portfolio helps hedge against declining demand in the beverage market, and its durable brands give it remarkable pricing power. This is particularly important given the current economic uncertainty and potential for a recession. 
PepsiCo's recent announcement of a needs-based scholarship also demonstrates its commitment to social responsibility, which could potentially enhance its reputation and brand value. Furthermore, the company's market cap and enterprise value indicate that it is a large and stable company, which could potentially make it a safer investment in the current economic climate.
However, there are also some potential risks to consider. The rise of weight loss drugs could pose a threat to future sales growth for food companies like PepsiCo. Furthermore, the company's relatively high P/E ratios suggest that its stock may be overvalued, which could potentially lead to a correction and a decline in its stock price.
Taking all these factors into account, I would assign a score of 70 to PepsiCo's potential investment value for the next month.
Score: 70</t>
  </si>
  <si>
    <t>Given the current macroeconomic conditions and the specific information about Devon Energy, there are several factors to consider. The ongoing war in Ukraine has led to a spike in energy prices, which could potentially benefit Devon Energy as an energy producer. However, the company's performance is directly affected by volatile oil and natural gas prices, which could pose a risk. 
The company expects its capital spending to decline next year, which could potentially improve its financial performance. Furthermore, if oil prices increase, the company's dividend is likely to follow, which would be beneficial for investors. 
However, the company's stock has been negatively impacted by the halving of oil prices from their 2022 highs. This has likely contributed to the company's high dividend yield, which is partly due to poor stock performance. 
Despite these challenges, the company is still attractive for income-seeking investors due to its high dividend yield. Furthermore, the company's financial data indicates that it is undervalued, with a low P/E ratio and a low PEG ratio. 
Therefore, considering all these factors, I would assign a score of 70 to Devon Energy. This reflects the potential benefits from rising energy prices and the company's high dividend yield, as well as the risks associated with volatile oil and natural gas prices and the company's recent poor stock performance.
Score: 70</t>
  </si>
  <si>
    <t>PPG Industries has shown strong performance and innovation in its field. The company's partnership with a Dutch university to develop the world's first off-road solar car and its exclusive supplier agreement with Flo-Optics for the first digitally applied optical coatings demonstrate its commitment to innovation and technological advancement. These developments could potentially lead to new revenue streams and increased market share for the company.
Furthermore, PPG Industries has received top honors for product innovation and diversity &amp; inclusion at The Home Depot's 2023 Innovation Awards, which could enhance its reputation and brand image. The company's COLORFUL COMMUNITIES program, which recently marked its 500th project, also demonstrates its commitment to corporate social responsibility, which could potentially attract socially conscious investors.
However, there are also some potential risks to consider. The company's forward P/E ratio is relatively high, which could indicate that the stock is overvalued. Furthermore, the recent changes in the company's leadership could potentially lead to uncertainty and volatility in the stock price.
Considering these factors, I would assign a score of 70 to PPG Industries. This reflects the company's strong performance and innovation, as well as the potential risks associated with its high valuation and leadership changes.
Score: 70</t>
  </si>
  <si>
    <t>Given the current economic climate and the specific financial data and news about Prudential Financial, it seems that the company is in a relatively strong position. The company's solid dividend, strong credit ratings, and potential for profit growth are all positive indicators. However, the overall economic uncertainty, potential for a recession, and the bearish sentiment in the stock market suggest that there may be some risks involved. 
Considering these factors, I would assign a score of 70 to Prudential Financial. This reflects the company's strong fundamentals and potential for dividend income, but also takes into account the potential risks associated with the current economic climate.
Score: 70</t>
  </si>
  <si>
    <t>Given the current economic outlook and the specific news about PayPal, the company seems to be in a strong position despite the overall market volatility. PayPal's underperformance this year has made its valuation attractive, and it continues to show strong business performance with growth in Total Payment Volume (TPV). The company's P/E ratio has fallen, making it a potentially good buy. Furthermore, PayPal's move into blockchain and NFTs could provide additional growth opportunities. However, the potential impact of rising interest rates on fintech companies like PayPal should be considered as a risk factor. 
Score: 70</t>
  </si>
  <si>
    <t>Given the current economic climate, Equinix (EQIX) appears to be in a strong position. Despite the potential for a recession and the ongoing political and global uncertainties, the company has shown resilience with a 10% YTD stock rise. The data center business is thriving, and Equinix is well-positioned to capitalize on this trend with its recurring revenue model and strategic expansions. 
Moreover, the company's expanded relationship with Southern Cross, linking Australia, New Zealand, and the U.S., underscores its pivotal role in advancing global connectivity. This could potentially provide a buffer against some of the macroeconomic risks and contribute to its future growth.
However, the company's high P/E ratios (both trailing and forward) suggest that the stock may be overvalued, which could limit its upside potential. The high Enterprise Value/EBITDA ratio also indicates that the company may be overvalued relative to its earnings.
Considering these factors, while Equinix has strong growth prospects and a solid position in the data center industry, the potential overvaluation and the broader economic uncertainties warrant a degree of caution.
Score: 70</t>
  </si>
  <si>
    <t>Given the current economic climate, the investment value of Equity Residential appears to be relatively strong. The company operates in high-demand markets and has a favorable supply-demand imbalance, which should support steady revenue growth. This is particularly important given the potential risks in the broader economy and stock market. 
Moreover, Equity Residential has a well-covered dividend yield and low leverage, which could provide some protection against potential downturns. The company's current undervaluation also suggests that there could be potential for price appreciation. 
However, it's important to note that the company's forward P/E ratio is relatively high, which could indicate that the stock is overvalued. The company's PEG ratio is also above 1, which could suggest that the company's earnings growth is not keeping up with its stock price. 
Furthermore, the potential crisis in the commercial real estate market could pose a risk to Equity Residential, given its exposure to this sector. 
Taking all these factors into consideration, I would assign a score of 70 to Equity Residential. This reflects the company's strong fundamentals and potential for growth, but also takes into account the potential risks and uncertainties in the broader economy and stock market.
Score: 70</t>
  </si>
  <si>
    <t>Given the current economic outlook and the specific information about Everest Re, there are several factors to consider. 
On the positive side, Everest Re has been upgraded to a Zacks Rank #2 (Buy), indicating growing optimism about its earnings prospects. The company's solid growth attributes could potentially lead to exceptional returns. Furthermore, the company's recognition by the Everest Group in the Procure-to-Pay Technology Landscape Report suggests that it is well-positioned in its industry. 
On the negative side, the overall economic outlook is mixed, with potential risks including a possible recession, political unrest, and the ongoing impact of the war in Ukraine. These factors could potentially impact Everest Re's performance. 
In terms of financial data, Everest Re has a relatively low trailing P/E ratio and a very low forward P/E ratio, suggesting that it is undervalued. However, its Price/Sales and Price/Book ratios are relatively high, indicating that it may be overvalued. 
Given these factors, I would assign a score of 70 to Everest Re. This reflects the company's strong growth prospects and positive industry recognition, as well as the potential risks associated with the current economic outlook.
Score: 70</t>
  </si>
  <si>
    <t>Given the current economic climate, Domino's Pizza seems to be in a strong position. Despite the potential for a recession, Domino's has a robust business model that is rooted in convenience and advanced technology. This has allowed the company to continue growing its network of stores worldwide, even in the face of economic uncertainty. 
Moreover, Domino's has a history of aggressive dividend growth and buybacks, which could provide a buffer against potential stock price declines. The company is also expected to see a significant growth rebound in the coming years, with potential partnerships and expansion plans. 
However, it's important to note that the restaurant industry could be negatively impacted by the ongoing war in Ukraine, which has caused a spike in energy prices and food shortages. This could potentially increase costs for Domino's and put pressure on its profit margins. 
Furthermore, the company's high P/E ratios suggest that its stock is currently overvalued, which could limit its potential for future price appreciation. 
Taking all these factors into account, I would assign a score of 70 to Domino's Pizza. This reflects the company's strong business model and growth prospects, but also takes into account the potential risks from the current economic climate and its high valuation.
Score: 70</t>
  </si>
  <si>
    <t>Given the current economic climate and the specific developments at Charles River Laboratories, there are several factors to consider. 
On the positive side, Charles River Laboratories has been making significant strides in its operations. The launch of its LVV manufacturing platform, Lentivation™, which can reduce LVV manufacturing timelines for gene and gene-modified cell therapies by up to 60 percent, is a significant development. This could potentially lead to increased efficiency and profitability for the company. The opening of a new RightSource facility is also a positive development, as it could potentially lead to increased business and revenue.
On the financial side, the company's market cap of $10.05B and enterprise value of $12.93B indicate that it is a sizable player in its industry. Its trailing P/E ratio of 20.76 and forward P/E ratio of 16.98 are also relatively reasonable, suggesting that the company's stock is not overly expensive relative to its earnings.
However, there are also several risks to consider. The ongoing economic uncertainty and potential for a recession could negatively impact the company's business and stock price. The company's PEG ratio of 1.69 is also somewhat high, suggesting that the company's stock may be overvalued relative to its expected earnings growth.
Given these factors, I would assign a score of 70 to Charles River Laboratories. This reflects the company's positive developments and reasonable financial metrics, but also takes into account the potential risks.
Score: 70</t>
  </si>
  <si>
    <t>Given the current economic climate, the Oil &amp; Gas Exploration &amp; Production industry, and specifically EQT, could be a potentially good investment. The ongoing war in Ukraine has led to a spike in energy prices, which could benefit companies like EQT. Furthermore, the company's financial data shows a relatively low P/E ratio, suggesting that the stock could be undervalued. However, the potential for a recession and the impact of the Fed's tightening could pose risks. Therefore, while EQT could offer potential investment value, it's important to consider these risks.
Score: 70.</t>
  </si>
  <si>
    <t>Given the positive news about Eaton Corporation (ETN), including its upgrade to a Zacks Rank #1 (Strong Buy), its inclusion in the list of momentum stocks, and its potential to benefit from improving supply chains in the manufacturing-electronics industry, the company seems to be in a strong position. The appointment of a new senior vice president of Internal Audit also indicates a solid management team. 
However, the macroeconomic conditions are mixed, with potential risks from the ongoing political unrest, the Fed's aggressive interest rate hikes, and the potential crisis in the commercial real estate market. These factors could potentially impact the company's performance.
Looking at the firm's financial data, the company has a relatively high market cap and enterprise value, indicating a large and potentially stable company. However, the company's P/E ratios are relatively high, suggesting that the company's stock may be overvalued. The company's PEG ratio is also above 1, which could indicate that the company's stock is overpriced given its expected earnings growth.
Considering all these factors, I would assign a score of 70 to Eaton Corporation. This reflects the company's strong position and positive news, but also takes into account the potential risks from the macroeconomic conditions and the company's potentially overvalued stock.
Score: 70</t>
  </si>
  <si>
    <t>Enphase Energy is a leading player in the renewable energy sector, with a strong presence in the microinverter-based solar and battery systems market. The company has been expanding its operations overseas, which is fueling consistent cash flow despite the challenges it faces in the U.S. market. The company's recent product launches and the availability of its Solargraf platform in Germany and Austria are positive developments that could drive future growth.
However, the company is facing challenges from higher interest rates and rising competition. The macroeconomic environment is also a concern, with the potential for a recession and the ongoing conflict in Ukraine potentially impacting the global economy and energy prices.
The company's financials show a healthy market cap and enterprise value, but its trailing P/E ratio is relatively high, indicating that the stock may be overvalued. However, its forward P/E ratio is lower, suggesting that earnings growth is expected in the future. The company's PEG ratio is also relatively low, indicating that its earnings growth is expected to outpace its P/E ratio, which could make the stock a good value.
Given these factors, I would assign a score of 70 to Enphase Energy. This reflects the company's strong position in the renewable energy market and its potential for future growth, but also takes into account the challenges it faces and the current macroeconomic environment.
Score: 70</t>
  </si>
  <si>
    <t>Given the positive news about EPAM Systems, including its recognition as a top IT service provider in Switzerland and its expanded partnership with Microsoft, the company appears to be in a strong position. Furthermore, the company's financial data, such as its market cap and enterprise value, suggest that it is a relatively large and stable company. However, the high P/E ratios indicate that the stock may be overvalued, which could limit its potential for future price appreciation.
On the other hand, the broader economic and market conditions are mixed. The potential for a recession and the ongoing unrest in Washington could increase market volatility and risk, which could negatively impact the stock. However, the strong growth in the technology sector and the increasing use of AI tools could provide tailwinds for the company.
Considering all these factors, I would assign a score of 70 to EPAM Systems. This reflects the company's strong position and the potential tailwinds from the technology sector, but also takes into account the potential risks from the broader economic and market conditions.
Score: 70</t>
  </si>
  <si>
    <t>Given the current economic outlook and the specific information about Henry Schein, it seems that the company is well-positioned for growth. Despite the challenging business environment, Henry Schein's dental software business is progressing well, which is a positive sign. The company's strong global network also adds to its resilience. 
In terms of financial data, the company's forward P/E ratio is lower than its trailing P/E, which suggests that earnings are expected to grow. The PEG ratio is slightly above 1, indicating that the stock might be slightly overvalued given the expected growth rates. However, the Price/Sales ratio is less than 1, which could suggest that the stock is undervalued based on its revenues.
However, given the overall economic uncertainty and the potential risks associated with the ongoing political unrest and the Fed's aggressive interest rate hikes, it would be prudent to be cautious. 
Score: 70</t>
  </si>
  <si>
    <t>Given the current economic climate and the specific data related to Intercontinental Exchange, there are several factors to consider. 
On the positive side, Intercontinental Exchange has a strong market position and a diverse portfolio of services. The company has also been successful in implementing strategic acquisitions, which have contributed to its growth. The company's focus on data processing and provision differentiates it from competitors and adds value to its offerings. 
However, there are also some potential concerns. The company's trailing P/E ratio is relatively high, which could suggest that the stock is overvalued. The ongoing uncertainty in the economy and the stock market could also impact the company's performance. 
Considering these factors, I would assign a score of 70 to Intercontinental Exchange. This reflects the company's strong market position and growth potential, but also takes into account the potential risks and uncertainties in the current economic climate.
Score: 70</t>
  </si>
  <si>
    <t>Given the current economic climate and the specific news about Newmont, there are several factors to consider. 
On the positive side, Newmont has announced leadership appointments that could strengthen its operations. The company is also working on potentially significant copper-gold discovery in Côte d'Ivoire, which could boost its future earnings. Furthermore, Newmont's proposed acquisition of Newcrest Mining Limited has been recommended by independent proxy advisory firms, which could potentially increase its market share and profitability. 
On the negative side, the tightening of monetary policy could negatively impact the price of gold, which would be detrimental for Newmont. However, gold mining stocks are often seen as a safe haven during turbulent times, and with the current economic uncertainty, this could potentially support the price of gold and benefit Newmont. 
In terms of financial data, Newmont has a relatively high trailing P/E ratio, which could indicate that its stock is overvalued. However, its forward P/E ratio is much lower, suggesting that its earnings are expected to grow significantly in the future. The company also has a relatively low PEG ratio, which could indicate that its stock is undervalued relative to its expected earnings growth. 
Taking all these factors into account, I would assign a score of 70 to Newmont. This reflects the potential risks associated with the current economic climate and the tightening of monetary policy, as well as the potential benefits from the company's leadership appointments, proposed acquisition, and potential copper-gold discovery.
Score: 70</t>
  </si>
  <si>
    <t>Given the current economic climate and the specific news about Ralph Lauren Corporation, there are several factors to consider. 
On the positive side, Ralph Lauren is expanding its presence in Canada, which could potentially increase its revenue and profitability. The company is also prioritizing digital and omni-channel investments, which could improve customer experiences and drive sales growth. Furthermore, Ralph Lauren's stock is currently trading below its fair value according to a Raymond James analyst, suggesting that it could be a good value investment.
On the negative side, the overall economic outlook is mixed, with potential risks from the Fed's interest rate hikes, the unrest in Washington, and the potential crisis in the commercial real estate market. These factors could potentially impact Ralph Lauren's business and stock price.
Considering these factors, Ralph Lauren Corporation seems to be a relatively good investment opportunity, but with some potential risks. 
Score: 70</t>
  </si>
  <si>
    <t>Given the current economic climate and the specific circumstances surrounding Schlumberger, there are several factors to consider. 
On the positive side, the company has recently closed a joint venture, which could potentially drive innovation and efficiency in subsea production. This could potentially lead to increased revenues and profits for the company. Additionally, oil and gas stocks have performed well recently, with rising crude prices boosting the outlook for profits. Schlumberger's digital business and AI presence are also expected to drive higher margins and revenue growth.
On the negative side, the Biden administration's proposal to limit sales of oil and gas drilling leases could potentially impact Schlumberger's operations and profitability. Additionally, the company's relatively high P/E ratios suggest that its stock may be overvalued, which could potentially lead to a correction in the future.
Taking all these factors into account, I would assign a score of 70 to Schlumberger. This reflects the company's strong potential for growth, but also acknowledges the risks and uncertainties in the current economic and political environment.
Score: 70</t>
  </si>
  <si>
    <t>Given the current economic outlook and the specific information about Ross Stores, there are several factors to consider. 
On the positive side, Ross Stores has been upgraded to a Zacks Rank #1 (Strong Buy), indicating growing optimism about the company's earnings prospects. This could potentially drive the stock higher in the near term. Additionally, the retail sector is expected to perform well in the upcoming holiday season, which could benefit Ross Stores. 
On the negative side, the overall economic outlook is mixed, with potential risks from the ongoing political unrest in Washington, the Fed's aggressive interest rate hikes, and the potential crisis in the commercial real estate market. These factors could potentially lead to increased volatility and risk in the stock market, which could negatively impact Ross Stores. 
Furthermore, Ross Stores has a relatively high P/E ratio, which could potentially indicate that the stock is overvalued. This could potentially lead to a correction in the stock price in the future. 
Overall, given the mixed economic outlook and the specific information about Ross Stores, I would assign a score of 70 out of 100 for the potential investment value of Ross Stores in the Apparel Retail industry for the next month.
Score: 70</t>
  </si>
  <si>
    <t>Given the current economic outlook and the specific financial data for SBA Communications, the company seems to be in a relatively strong position. The telecom tower industry is expected to benefit from the ongoing digital transformation and increased use of AI and social media, which will require robust and reliable telecom infrastructure. 
However, the potential crisis in the commercial real estate market and the overall bearish sentiment in the market could pose risks. The company's high P/E ratios also suggest that it may be overvalued, which could limit its future stock price growth. 
On the other hand, the recent selloff in REITs has created potential buying opportunities, and SBA Communications is expected to deliver solid returns in the future. The company's strong market cap and enterprise value also indicate its financial stability and growth potential.
Considering all these factors, I would assign a score of 70 to SBA Communications. This reflects its strong potential for future growth, but also the risks associated with the current economic and market conditions.
Score: 70</t>
  </si>
  <si>
    <t>Given the current economic climate and the specific information about Intuitive Surgical, there are several factors to consider. 
On the positive side, Intuitive Surgical has a strong market share and a solid business model. It has been identified as a growth stock and a potential long-term winner, which suggests that it has strong future prospects. The company also has no debt, which is a positive sign of financial health. 
However, there are also some concerns. The company's EV/EBIT multiple is high, which could limit future returns for new investors. The company's P/E ratios are also relatively high, which suggests that the stock may be overvalued. 
Given these factors, I would assign a score of 70 to Intuitive Surgical. This reflects the company's strong market position and growth prospects, but also takes into account the potential risks associated with its high valuation.
Score: 70</t>
  </si>
  <si>
    <t>Given the current economic outlook and the specific financial data for Jacobs Solutions, the company seems to be in a relatively strong position. The firm has a healthy market cap and enterprise value, and its P/E ratios suggest that it is reasonably valued. The company's recent declaration of a quarterly dividend also indicates a level of financial stability and a commitment to returning capital to shareholders. 
However, the broader economic context does present some risks. The potential for a recession, ongoing political uncertainty, and the impact of the war in Ukraine could all negatively affect the construction and engineering industry. These factors could lead to increased costs, project delays, and reduced demand for Jacobs Solutions' services. 
On the other hand, the company's recent share price increase and higher than average trading volume suggest that investor sentiment is currently positive. This could potentially provide some support for the company's stock price in the near term.
Taking all these factors into account, I would assign a score of 70 to Jacobs Solutions. This reflects the company's current financial strength and positive investor sentiment, but also takes into account the potential risks from the broader economic environment.
Score: 70</t>
  </si>
  <si>
    <t>Given the current economic outlook and the specific news and financial data related to ServiceNow, the company appears to be in a strong position. The company is a large-cap stock, which could provide some level of safety in the current uncertain market environment. Furthermore, ServiceNow operates in the technology sector, which has been driving a significant share of the stock-market gains. The company's growth in the cloud computing sector, which is expected to continue to boom, is also a positive sign. 
However, there are also some risks to consider. The company's high P/E ratios suggest that it may be overvalued, which could lead to a correction in the future. Furthermore, the company's high Enterprise Value/EBITDA ratio suggests that it may be overpriced relative to its earnings. 
Given these factors, I would assign a score of 70 to ServiceNow. This reflects the company's strong growth prospects and position in the technology sector, but also takes into account the potential risks associated with its high valuation.
Score: 70</t>
  </si>
  <si>
    <t>Given the current economic outlook, NetApp's position in the tech sector, and its financial data, the company presents a relatively stable investment opportunity. The company's attractive dividend yield and commitment to returning cash to shareholders are positive factors. However, the challenging macroeconomic environment and potential risks in the tech sector could impact its growth rates. Considering these factors, the score for NetApp would be moderately high.
Score: 70</t>
  </si>
  <si>
    <t>Given the current economic climate and the specific news about Nucor, there are several factors to consider. 
On the positive side, Nucor's partnership with Helion to develop a fusion power plant for steelmaking could potentially provide a significant competitive advantage. This could potentially lead to increased efficiency and cost savings, which would be positive for the company's profitability and stock price. 
Nucor's commitment to sustainable steelmaking could also potentially attract environmentally conscious investors, which could provide additional support for the stock price. 
Furthermore, Nucor's strong financial position, including its large cash reserve and comfortable asset-to-liability ratio, makes it well-positioned for growth and acquisitions. This could potentially lead to increased earnings and shareholder value, which would be positive for the stock price. 
However, there are also several risks to consider. The ongoing uncertainty in the economy and the stock market could potentially lead to increased volatility and risk for Nucor's stock. The company's exposure to the steel industry could also potentially expose it to risks related to fluctuations in steel prices and demand. 
Given these factors, I would assign a score of 70 to Nucor. This reflects the company's strong financial position and positive developments, but also takes into account the potential risks and uncertainties.
Score: 70</t>
  </si>
  <si>
    <t>Given the current economic climate and the specific financial data for Cencora, the company appears to be a strong investment opportunity. The company has a solid market capitalization and a reasonable P/E ratio, indicating that it is not overvalued. Furthermore, the company's strong momentum and value scores suggest that it has strong growth potential and is undervalued relative to its intrinsic value. However, the high Price/Book ratio indicates that the stock might be overvalued. 
The healthcare sector is generally considered to be defensive, meaning it tends to perform well during economic downturns. Given the current economic uncertainty and the potential for a recession, this could make Cencora a particularly attractive investment. 
However, it's important to note that the company's high PEG ratio suggests that it may be overvalued when considering its expected future earnings growth. This could potentially limit the stock's upside potential. 
Given these factors, I would assign a score of 70 to Cencora. This reflects the company's strong financial performance and the defensive nature of the healthcare sector, but also takes into account the potential overvaluation suggested by the high PEG ratio.
Score: 70</t>
  </si>
  <si>
    <t>Given the current economic outlook and the specific circumstances surrounding Costco, the company seems to be in a relatively stable position. The Consumer Staples sector, which Costco is a part of, is generally considered defensive and tends to perform well during economic downturns. This is because consumers still need to purchase essential goods, such as food and household items, even during a recession. 
However, the ongoing supply chain disruptions caused by the war in Ukraine could potentially impact Costco's operations and profitability. The company relies heavily on its supply chain to keep its warehouses stocked with goods, and any disruptions could lead to shortages and increased costs. 
On the other hand, Costco's strong membership model and focus on bulk sales could potentially help it weather these challenges. The company's members are typically loyal and spend more per visit than non-members, which could help support sales even if consumer spending overall declines. 
Furthermore, the company's recent financial performance has been strong, with solid growth in sales and earnings. This suggests that Costco is well-positioned to navigate the current economic environment.
However, given the overall uncertainty in the market and the potential risks associated with the ongoing supply chain disruptions, it would be prudent to exercise some caution when investing in Costco at this time.
Score: 70</t>
  </si>
  <si>
    <t>Given the current macroeconomic conditions and the specific information about Corteva, it seems that the company is well-positioned for the future. The ongoing war in Ukraine has led to increased fertilizer prices, which has benefited Corteva as a major supplier. The company has also shown strong growth and innovation, particularly with its Enlist E3 soybean capturing over half of the US soybean market. 
However, the overall economic outlook is mixed, with potential risks from the Fed's interest rate hikes and the possibility of a recession. This could impact Corteva's performance, particularly if it leads to a slowdown in the agricultural sector. 
Corteva's financial data also presents a mixed picture. The company has a relatively high trailing P/E ratio, which could suggest that its stock is overvalued. However, its forward P/E ratio is much lower, indicating that earnings are expected to grow in the future. The company also has a reasonable PEG ratio, suggesting that its stock price is fairly valued relative to its expected earnings growth.
Considering all these factors, I would assign a score of 70 to Corteva. This reflects the company's strong position and growth prospects, but also takes into account the potential risks from the broader economic environment.
Score: 70</t>
  </si>
  <si>
    <t>Salesforce (CRM) is a leading player in the application software industry and has been making significant strides in expanding its footprint in the artificial intelligence landscape. The company's focus on generative AI tools across its product lines is a positive sign for long-term growth. Despite a recent dip following its last earnings report, the company's stock has been up about 50% year-to-date. 
The company's focus on monetizing its AI initiatives and its approach to trust as a core tenet in AI is critical for maintaining its reputation and fending off competition. This, coupled with the fact that the company is part of the "Magnificent 7" that led the artificial intelligence rally this year, makes it a compelling investment.
However, the company faces near-term macro challenges, including the potential impact of the Fed's aggressive interest rate hikes, which could weigh on its profits. The company's high trailing P/E ratio of 126.74 also suggests that the stock may be overvalued at its current price.
Given these factors, while Salesforce has strong growth prospects, there are also significant risks that investors need to consider. Therefore, the potential investment value of Salesforce in the Application Software industry for the next month is moderately high.
Score: 70</t>
  </si>
  <si>
    <t>Given the current economic outlook and the financial data of NVR, Inc., the company seems to be in a relatively strong position. The homebuilding industry could potentially benefit from the current economic conditions, as lower interest rates could stimulate demand for housing. Furthermore, the fact that Warren Buffett's Berkshire Hathaway has recently initiated positions in NVR, Inc. is a positive sign, as Buffett is known for his value investing strategy and long-term outlook.
However, the potential risks associated with the current economic conditions should not be overlooked. The ongoing debates about government funding and the potential impact of the war in Ukraine could create uncertainty and volatility in the market, which could negatively affect the performance of stocks, including NVR, Inc.
The company's financial data also suggests that it is relatively undervalued, with a trailing P/E ratio of 12.73 and a forward P/E ratio of 12.24. This suggests that the company's earnings are expected to grow in the future, which could potentially lead to higher stock prices. However, the company's relatively high price/book ratio of 4.69 suggests that its stock may be overpriced relative to its book value.
Taking all these factors into account, I would assign a score of 70 to NVR, Inc. This reflects the company's strong financial position and the potential benefits of the current economic conditions, but also takes into account the potential risks associated with the current economic and political environment.
Score: 70</t>
  </si>
  <si>
    <t>Given the current economic outlook and the specific information about Realty Income, there are several factors to consider. 
On the positive side, Realty Income's valuation is at its lowest since 2010, making it an attractive buy. The company's 6%+ dividend yield is also very appealing, and the payout is expected to increase over time. The company is also mentioned as a good investment for long-term and prudent dividend investors, and it is considered a high-quality dividend aristocrat trading at an attractive valuation. 
However, there are also some negative factors to consider. The overall outlook for the stock market is somewhat bearish, and there is concern about a potential crisis in the commercial real estate market. The Fed's aggressive interest rate hikes could also negatively impact Realty Income, as higher interest rates can make REITs less attractive to investors. 
Taking all these factors into account, I would assign a score of 70 to Realty Income. This reflects the company's strong fundamentals and attractive dividend yield, but also takes into account the potential risks associated with the current economic and market conditions.
Score: 70</t>
  </si>
  <si>
    <t>Given the current economic outlook and the specific information about Old Dominion, there are several factors to consider. 
On the positive side, Old Dominion has been rewarding shareholders through dividends and share buybacks, which is a good sign of the company's financial health and commitment to returning capital to shareholders. The company also seems to be well-positioned to navigate the challenges facing the trucking industry, which could potentially provide it with a competitive advantage. 
Furthermore, the trucking industry as a whole has been performing well, with a year-to-date increase of 26.6%. This suggests that there could be further room for growth, which would be beneficial for Old Dominion. 
On the negative side, the company's P/E ratios are relatively high, which could potentially indicate that the stock is overvalued. This could potentially limit the stock's upside potential. 
Furthermore, the ongoing uncertainty in the economy and the stock market could potentially lead to increased volatility and risk, which could negatively impact Old Dominion's stock price. 
Taking all these factors into account, I would assign a score of 70 to Old Dominion. This reflects the company's strong financial performance and positive industry trends, but also takes into account the potential risks and uncertainties.
Score: 70</t>
  </si>
  <si>
    <t>Given the current economic climate and the specific news and financial data related to Fiserv, it seems that the company is well-positioned for the future. The company's diversified portfolio and efficient capital usage are positive signs, and the expansion of its relationship with Inspire Brands could potentially lead to increased revenue and profits. 
However, there are also some risks to consider. The company's stock has recently experienced a significant drop, and while it may be technically in oversold territory, there is still a risk of further declines if the overall market conditions worsen. The company's relatively high P/E ratios also suggest that its stock may be overvalued, which could potentially lead to a correction in the future.
On the other hand, the company's strong agreement among Wall Street analysts in revising earnings estimates higher indicates that the stock is ripe for a trend reversal. This, combined with the company's solid financials and positive news, suggests that Fiserv could be a good investment opportunity.
Considering all these factors, I would assign a score of 70 to Fiserv, reflecting its potential investment value in the Transaction &amp; Payment Processing Services industry for the next month.
Score: 70</t>
  </si>
  <si>
    <t>Given the current economic climate and the specific information about Fox Corporation, there are several factors to consider. The company's leadership change could bring fresh perspectives and strategies, which could potentially boost its performance. Fox's successful integration of traditional and digital media, as well as its investment in new co-productions and digital engagement, are positive signs for its future growth. 
The company's new AI-powered feature, Rabbit AI, could enhance user experience and engagement, which could potentially lead to increased viewership and revenue. Despite the political controversy surrounding Fox, its strong balance sheet, impressive revenue growth, and potential for double-digit earnings growth are promising. 
However, the overall economic uncertainty, potential for a recession, and the bearish sentiment in the stock market could pose risks. The company's high enterprise value relative to its market cap also suggests that it may be overvalued. 
Considering all these factors, I would assign a score of 70 to Fox Corporation. This reflects its strong fundamentals and growth potential, but also takes into account the potential risks and uncertainties in the current economic environment.
Score: 70</t>
  </si>
  <si>
    <t>Given the current economic outlook and the specific news and financial data related to Air Products and Chemicals, the company seems to be in a strong position. The company's leadership in the industrial gases sector, its sustainable dividend, and its potential growth prospects in the hydrogen industry are all positive indicators. The company's financial ratios also suggest a healthy financial position, although the relatively high P/E ratios indicate that the stock may be somewhat overvalued. 
However, the broader economic and market trends could potentially impact the company's performance. The potential for a recession, the ongoing political unrest, and the impact of the Fed's interest rate hikes could all create headwinds for the company. Additionally, the company's exposure to the global economy, including the impacts of the war in Ukraine and the COVID-19 pandemic, could also pose risks.
Therefore, while Air Products and Chemicals appears to be a solid company with good prospects, the potential risks and uncertainties in the broader economy and market suggest a somewhat cautious outlook. 
Score: 70.</t>
  </si>
  <si>
    <t>Given the current economic outlook and the specific news and financial data related to Aptiv, the company seems to be in a relatively strong position. Despite the overall bearish sentiment in the market and the potential risks associated with the ongoing UAW labor strike, Aptiv has shown resilience with a 17% gain in its stock over the past year. This suggests that the company has strong fundamentals and a competitive advantage in its industry, which could potentially help it weather the current economic uncertainties.
Moreover, Aptiv's forward P/E ratio is significantly lower than its trailing P/E ratio, indicating that the company's earnings are expected to grow in the future. This is a positive sign for potential investors. The company's PEG ratio is also less than 1, suggesting that its stock might be undervalued given its expected growth rates.
However, it's important to note that the ongoing labor strike could potentially impact Aptiv's operations and financial performance. The company's relatively high enterprise value compared to its revenue and EBITDA also suggests that it might be overvalued, which could potentially lead to a correction in its stock price.
Considering all these factors, I would assign a score of 70 to Aptiv. This reflects the company's strong fundamentals and growth prospects, but also takes into account the potential risks associated with the current economic environment and the company's valuation.
Score: 70</t>
  </si>
  <si>
    <t>Given the current economic outlook and the financial data of Atmos Energy, it seems that the company could be a potentially good investment. The utilities sector is often considered a safe haven during times of economic uncertainty, as these companies provide essential services that are in constant demand, regardless of the economic climate. 
Atmos Energy's financials also look solid. The company has a reasonable P/E ratio, suggesting it is not overvalued. Its Enterprise Value is significantly higher than its Market Cap, indicating that the company has a substantial amount of debt. However, this is not uncommon for utility companies, which often have high capital expenditures and thus carry more debt. 
The company's PEG ratio is slightly above 1, suggesting that it may be slightly overvalued based on its projected earnings growth. However, its Price/Sales and Price/Book ratios are within reasonable ranges, suggesting that the company is not overly expensive relative to its sales and book value.
Given the current economic climate and the company's solid financials, Atmos Energy could be a good investment for those looking for stability and potential growth. However, investors should also consider the company's debt levels and the potential impact of any changes in interest rates.
Score: 70</t>
  </si>
  <si>
    <t>Given the current economic outlook and the specific financial data for Coterra Energy, it seems that the company is in a relatively strong position. The war in Ukraine has led to a spike in energy prices, which could potentially benefit Coterra as an oil and gas exploration and production company. Furthermore, Coterra's strong capital discipline and consistent dividend payment could make it an attractive investment in a volatile market. However, the overall bearish sentiment in the market and the potential impact of the Fed's interest rate hikes could pose risks. 
Considering these factors, I would assign a score of 70 to Coterra Energy. This reflects the company's strong fundamentals and potential to benefit from higher energy prices, but also takes into account the broader market risks.
Score: 70</t>
  </si>
  <si>
    <t>Given the current economic outlook and the specific data provided, Freeport-McMoRan seems to be in a relatively strong position. The company has a substantial market cap and enterprise value, indicating a solid financial foundation. The P/E ratios suggest that the company is reasonably valued, with the forward P/E indicating potential for growth. 
The copper industry is expected to benefit from the increasing adoption of environmentally-friendly energy, which is driving demand for copper. This trend could potentially support the company's future earnings growth. 
However, the ongoing economic uncertainties, including the potential for a recession and the impact of the war in Ukraine, could pose risks to the company. The potential for a downturn in the stock market could also impact the company's stock price. 
Therefore, while Freeport-McMoRan appears to have strong potential, investors should also consider the potential risks. 
Score: 70.</t>
  </si>
  <si>
    <t>Given the current economic outlook and the specific financial data for FactSet, the company appears to be a relatively stable investment. The company's consistent track record of rewarding shareholders through dividends and share repurchases is a positive sign, especially in the current uncertain economic environment. The company's strong return on equity and investment in innovation also support its long-term growth potential.
However, the company's relatively high P/E ratios (both trailing and forward) suggest that the stock may be overvalued, which could limit its upside potential. The ongoing debates about government funding and the potential impact of the war in Ukraine on the global economy could also create additional risks for the company.
Therefore, while FactSet appears to be a relatively stable investment, the potential risks and uncertainties in the current economic environment suggest that investors should be cautious. 
Score: 70</t>
  </si>
  <si>
    <t>Given the current macroeconomic conditions and the specific news related to General Dynamics, the company seems to be in a favorable position. The ongoing war in Ukraine and the U.S. government's support for Ukraine could potentially increase demand for defense products, which would benefit General Dynamics. The company has also recently won several contracts, which could boost its revenues and profits in the near term.
However, the overall economic and stock market conditions are mixed, with both positive and negative trends. This could potentially lead to increased volatility and risk in the stock market, which could impact General Dynamics' stock price. 
The company's financial data also looks solid, with a reasonable valuation based on its P/E ratios and other financial metrics. However, the company's high enterprise value relative to its revenue and EBITDA suggests that it may be somewhat overvalued.
Considering all these factors, I would assign a score of 70 to General Dynamics. This reflects the company's strong position in the defense industry and its recent contract wins, but also takes into account the potential risks from the mixed economic and stock market conditions.
Score: 70</t>
  </si>
  <si>
    <t>Given the current economic outlook and the specific news about Chubb Limited, the company seems to be in a relatively strong position. The collaboration with SentinelOne to enhance cyber risk management shows that the company is actively working to improve its offerings and stay competitive in the market. This could potentially lead to increased revenues and profits in the future. 
Moreover, the property and casualty insurance industry is expected to benefit from improving pricing, which could boost the performance of companies like Chubb Limited. The company's financial data also looks solid, with a relatively low P/E ratio and a PEG ratio below 1, indicating that the stock could be undervalued.
However, the overall economic and market conditions are mixed, with both positive and negative trends. The potential for a recession, the ongoing political unrest, and the impact of the Fed's interest rate hikes could all negatively affect the stock market and the performance of individual stocks. 
Therefore, while Chubb Limited seems to be in a strong position, the potential risks and uncertainties in the market should not be overlooked. Investors should be cautious and diversified in their investments, and closely monitor economic and market developments.
Score: 70</t>
  </si>
  <si>
    <t>Broadcom Inc. is a major player in the semiconductor industry, with a significant market cap and a strong position in the AI chip market. The company has recently announced several positive developments, including a partnership with Google Cloud to strengthen AI-powered cybersecurity, the delivery of a new DSP PHY for next-generation switches and AI networks, and a licensing agreement with WiLan. These developments suggest that Broadcom is well-positioned to benefit from the ongoing growth in the AI and cloud computing markets.
However, there are also several risks to consider. The semiconductor industry is currently experiencing a sea-change, with major customers shifting their strategies and potentially impacting demand for Broadcom's products. The company is also involved in a patent dispute with Netflix in Germany, which could potentially lead to legal costs and lost revenue. Furthermore, the broader economic and market conditions are mixed, with potential risks from the Fed's tightening, the ongoing conflict in Ukraine, and the uncertainty in Washington.
Given these factors, I would assign a score of 70 to Broadcom Inc. This reflects the company's strong position in the AI and semiconductor markets, as well as the potential risks from the changing industry dynamics and broader economic conditions.
Score: 70</t>
  </si>
  <si>
    <t>Given the current economic outlook and the specific news and financial data related to Bank of America, the bank appears to be in a relatively strong position. The bank's CEO has expressed confidence in the economy, and the bank has a history of beating earnings estimates. The bank's preferred shares offer a high yield, which could be attractive to risk-averse investors. Furthermore, the bank's market cap is substantial, and its P/E ratios are relatively low, suggesting that the stock could be undervalued. However, the bank has recently been ordered to pay a significant fine for swap reporting failures, which could impact its financial performance. Additionally, the ongoing debates about government funding and the potential for a recession could create uncertainty and volatility in the market, which could impact the bank's stock price. 
Score: 70</t>
  </si>
  <si>
    <t>Given the current economic climate, the Communications Equipment industry could face some challenges. The ongoing war in Ukraine and the potential for a recession could disrupt supply chains and increase costs. However, the industry could also benefit from the continued growth in AI and social media, which could drive demand for communications equipment.
Looking specifically at F5, Inc., the company has a positive outlook. It has recently been upgraded to a Zacks Rank #2 (Buy), indicating growing optimism about its earnings prospects. The company's financial data also looks promising, with a relatively low forward P/E ratio and a PEG ratio below 1, suggesting that it is undervalued given its growth prospects.
However, the company's relatively high Enterprise Value/EBITDA ratio could be a cause for concern, as it suggests that the company may be overvalued based on its earnings before interest, taxes, depreciation, and amortization.
Given these factors, I would assign a score of 70 to F5, Inc. This reflects the company's strong growth prospects and positive outlook, but also takes into account the potential risks associated with the current economic climate and the company's high Enterprise Value/EBITDA ratio.
Score: 70</t>
  </si>
  <si>
    <t>Given the positive earnings report and the strong demand for Paychex's HR solutions, the company seems to be in a good position. However, the overall economic outlook and potential for a recession could impact the company's future performance. The company's P/E ratios are relatively high, indicating that the stock may be overvalued. The company's strong performance in the recent quarter and the growing demand for HR solutions could potentially offset some of these risks. 
Score: 70</t>
  </si>
  <si>
    <t>Given the current economic outlook and the specific information about Gilead Sciences, the company seems to be in a relatively stable position. The company has strong leadership, as evidenced by the recognition of Kevin E. Lofton as one of the most influential leaders in corporate governance. This suggests that the company is likely to be well-managed and able to navigate the current economic uncertainties.
Furthermore, Gilead Sciences offers investors stability and a high dividend yield, which could be particularly attractive in the current economic environment. The company's financial data also suggests that it is reasonably valued, with a trailing P/E ratio of 17.23 and a forward P/E ratio of 10.24. The PEG ratio of 0.50 indicates that the company's stock is undervalued given its expected earnings growth.
However, there are also risks to consider. The ongoing debates about government funding could potentially impact the biotechnology industry, and the potential for a recession could also pose a risk to the company's earnings. Furthermore, the company's high enterprise value relative to its revenue and EBITDA suggests that it may be overvalued.
Taking all of these factors into account, I would assign a score of 70 to Gilead Sciences. This reflects the company's strong leadership and attractive dividend yield, as well as the potential risks associated with the current economic environment.
Score: 70</t>
  </si>
  <si>
    <t>Given the current economic outlook and the specific circumstances surrounding O'Reilly Auto Parts, there are several factors to consider. 
On the positive side, the ongoing UAW strike could potentially benefit O'Reilly Auto Parts, as consumers may turn to auto parts retailers for repairs and maintenance if new car production is disrupted. This could potentially lead to increased sales and profits for the company. 
Furthermore, the company's financial data indicates a relatively strong position, with a market cap of $54.77B and an enterprise value of $61.83B. The company's trailing P/E ratio of 25.25 and forward P/E ratio of 21.60 suggest that the company's earnings are expected to grow in the future, which could potentially support higher stock prices. 
However, there are also several negative factors to consider. The overall economic outlook is mixed, with potential risks from the Fed's tightening, the ongoing debates about government funding, and the impacts of the war in Ukraine. These factors could potentially lead to increased volatility and risk in the stock market, which could negatively impact O'Reilly Auto Parts' stock price. 
Furthermore, the company's PEG ratio of 1.35 suggests that the company's stock may be overvalued relative to its expected earnings growth. This could potentially limit the upside potential for the stock. 
Taking all these factors into account, I would assign a score of 70 to O'Reilly Auto Parts, reflecting its potential investment value for the next month.
Score: 70</t>
  </si>
  <si>
    <t>Given the current macroeconomic conditions and the specific news and financial data related to Occidental Petroleum, the company seems to be in a favorable position. The ongoing war in Ukraine has led to a spike in energy prices, which could benefit oil and gas companies like Occidental Petroleum. Furthermore, the company has been attracting investor attention and has plans to cash in on higher crude prices. 
However, there are also risks to consider. The potential for a recession could negatively impact the company, and the overall bearish sentiment in the stock market could lead to volatility in the company's stock price. Additionally, the company missed its revenue and EPS estimates in Q2, which could be a cause for concern.
Taking all these factors into account, I would assign a score of 70 to Occidental Petroleum. This reflects the company's potential to benefit from higher energy prices and investor interest, but also takes into account the risks associated with the current economic conditions and the company's recent performance.
Score: 70</t>
  </si>
  <si>
    <t>Given the current economic outlook and the specific financial data for Assurant, it seems that the company is well-positioned for potential growth. The company's low forward P/E ratio suggests that it is undervalued, which could present a good buying opportunity for investors. Furthermore, the company's relatively low price-to-sales and price-to-book ratios indicate that it is priced reasonably relative to its sales and book value. 
However, the ongoing economic uncertainties, including the potential for a recession and the impact of the war in Ukraine, could pose risks to the company's performance. Therefore, while Assurant appears to be a good value investment, investors should proceed with caution and closely monitor the company's performance and the broader economic conditions.
Score: 70.</t>
  </si>
  <si>
    <t>Given the current economic outlook and the specific information about Arthur J. Gallagher &amp; Co., there are several factors to consider. 
On the positive side, the company has recently made acquisitions that could potentially strengthen its position in the transportation market across California and Arizona. This could potentially lead to increased revenues and profits in the future. The company's stock is also setting up in a bullish pattern after hitting an all-time high, which could potentially indicate further gains in the future.
On the negative side, the company's trailing P/E ratio is relatively high, which could potentially indicate that the stock is overvalued. The company's enterprise value is also higher than its market cap, which could potentially indicate a high level of debt.
Given these factors, I would assign a score of 70 to Arthur J. Gallagher &amp; Co. This reflects the potential for future growth due to the company's recent acquisitions, as well as the bullish pattern in the stock. However, it also takes into account the potential risks associated with the company's high P/E ratio and enterprise value.
Score: 70</t>
  </si>
  <si>
    <t>Given the current economic outlook and the specific news about Albemarle Corporation, there are several factors to consider when assigning a score for potential investment value.
On the positive side, Albemarle Corporation is well-positioned to benefit from the growing demand for lithium, which is driven by the increasing adoption of electric vehicles. The company's partnership with Caterpillar to develop sustainable mining practices and battery technology could also provide a competitive advantage. Furthermore, Albemarle's financial data shows a relatively low P/E ratio, which could indicate that the stock is undervalued.
However, there are also some negative factors to consider. The company has recently been involved in bribery investigations, which resulted in significant fines. This could potentially harm the company's reputation and financial performance. Additionally, the overall economic outlook is mixed, with potential risks from a possible recession and the ongoing conflict in Ukraine.
Taking all these factors into account, the potential investment value of Albemarle Corporation for the next month is moderately high, but the risks should not be overlooked.
Score: 70</t>
  </si>
  <si>
    <t>Given the current economic outlook and the specific information about Applied Materials (AMAT), there are several factors to consider. 
On the positive side, AMAT is a leading provider of semiconductor equipment, which is crucial for the development of AI. This positions the company well for future growth, especially given the increasing investment in AI. The company's financials also show above-average growth, and it has a strong market cap of 115.82B. Furthermore, the company's P/E ratios are relatively low, indicating that the stock may be undervalued. 
However, there are also several negative factors to consider. The ongoing war in Ukraine has caused disruptions in supply chains, which could potentially impact AMAT's operations. Furthermore, the S&amp;P Semiconductors Select Industry Index has topped both price-wise and on a relative basis, which could indicate that semiconductor stocks are poised to drop. 
Taking all these factors into account, I would assign a score of 70 to Applied Materials. This reflects the company's strong position in the semiconductor industry and its above-average financial growth, but also takes into account the potential risks associated with the current economic climate and the potential downturn in the semiconductor industry.
Score: 70</t>
  </si>
  <si>
    <t>Given the current economic climate and the specific news about Southern Company, it seems that the company is well-positioned to weather potential economic downturns. The company's focus on renewable energy and its recent acquisitions of solar facilities indicate a forward-thinking strategy that aligns with global trends towards sustainability. Additionally, the company's strong balance sheet, steady cash flows, and high yield make it a potentially attractive investment for those seeking stability and income.
However, the broader economic context does present some risks. The potential for a recession, ongoing political uncertainty, and the impact of the war in Ukraine could all negatively affect the stock market and Southern Company's performance. Furthermore, the company's relatively high P/E ratios suggest that its stock may be overvalued, which could limit its potential for price appreciation.
Taking all these factors into account, I would assign a score of 70 to Southern Company. This reflects its strong fundamentals and strategic positioning, but also acknowledges the potential risks in the current economic environment.
Score: 70</t>
  </si>
  <si>
    <t>Given the current economic outlook and the specific news and financial data related to S&amp;P Global, the company seems to be in a strong position. The firm has been launching new products and services, making strategic acquisitions, and implementing shareholder-friendly policies, all of which could potentially drive growth. However, the overall economic uncertainty and potential risks in the market could impact the company's performance.
The firm's financial data also indicates a relatively high valuation, with a trailing P/E ratio of 51.47 and a forward P/E ratio of 25.19. This suggests that the company's stock may be overpriced relative to its earnings. However, the firm's strong market cap and enterprise value, as well as its recent dividend declaration, indicate a solid financial position.
Considering all these factors, I would assign a score of 70 to S&amp;P Global. This reflects the company's strong position and potential for growth, but also takes into account the potential risks and uncertainties in the market.
Score: 70</t>
  </si>
  <si>
    <t>Given the current economic climate and the specific news about Sempra Energy, the company seems to be in a relatively strong position. The appointment of a new president for Sempra Infrastructure could potentially lead to new strategic initiatives that could boost the company's performance. Furthermore, utilities stocks are generally considered to be defensive investments that can perform well during periods of economic uncertainty, which could be beneficial given the current economic outlook.
However, there are also some potential risks to consider. The Fed's anticipated rate hike could potentially increase the company's borrowing costs, which could negatively impact its financial performance. Furthermore, the company's relatively high Enterprise Value/EBITDA ratio suggests that it may be overvalued, which could limit its potential for future stock price gains.
Taking all of these factors into account, I would assign a score of 70 to Sempra Energy. This reflects the company's potential to perform well in the current economic environment, but also acknowledges the potential risks associated with the anticipated rate hike and the company's valuation.
Score: 70</t>
  </si>
  <si>
    <t>Given the current economic climate and the specific news and financial data related to Constellation Brands, the company seems to be in a relatively strong position. The expected rise in revenue, strength in the beer business, and premiumization efforts are positive indicators. The company's recent partnership with Tastemade and the positive broker ratings also suggest potential for growth. However, the high trailing P/E ratio indicates that the stock may be overvalued, which could limit its potential for future price appreciation. The ongoing economic uncertainties and potential for a recession also pose risks. Therefore, while Constellation Brands appears to have solid prospects, investors should proceed with caution.
Score: 70</t>
  </si>
  <si>
    <t>Given the current economic outlook and the company's recent performance, Charter Communications seems to be in a relatively strong position. The company's recent "Made to Work" campaign indicates a focus on supporting small businesses, which could potentially drive growth in the current economic climate. Furthermore, the company's financial data shows a relatively low PEG ratio, which suggests that the stock may be undervalued given its expected growth rates. However, the ongoing economic uncertainties and potential risks in the market mean that caution is still warranted.
Score: 70</t>
  </si>
  <si>
    <t>Given the current economic outlook and the specific news related to Cigna, there are several factors to consider. 
On the positive side, Cigna has been expanding its services and partnerships, such as its collaboration with Bend Health and its expansion of Medicare Advantage Plans. This could potentially lead to increased revenue and customer base. The company's commitment to addressing social issues such as food insecurity among seniors also enhances its corporate image, which could potentially attract socially conscious investors. 
However, there are also some negative factors to consider. The company recently settled a lawsuit over claims it overcharged the government's Medicare Advantage program. This could potentially harm the company's reputation and lead to increased regulatory scrutiny. 
In terms of financial data, Cigna's market cap is substantial at $84.67 billion, and its forward P/E ratio is relatively low at 10.11, suggesting that the stock may be undervalued. However, the company's price to sales ratio is also low at 0.46, which could indicate that the company's sales are not keeping up with its stock price. 
Considering all these factors, I would assign a score of 70 to Cigna. This reflects the company's strong market position and growth potential, but also takes into account the potential risks and challenges it faces.
Score: 70</t>
  </si>
  <si>
    <t>Given the current economic climate and the specific news and financial data related to Cincinnati Financial, the company appears to be a relatively strong investment opportunity. The company has been recognized as a top value stock for the long-term and a top-ranked momentum stock, indicating strong performance and potential for future growth. Additionally, the Property and Casualty Insurance industry is expected to benefit from improving pricing and accelerated policy renewal rates, which could boost the performance of Cincinnati Financial. 
However, the overall economic outlook is mixed, with potential risks including a possible recession, political unrest, and the ongoing impact of the COVID-19 pandemic and the war in Ukraine. These factors could potentially impact the performance of Cincinnati Financial and other stocks. 
Furthermore, while Cincinnati Financial's trailing P/E ratio is relatively low, indicating good value, its forward P/E ratio is higher, suggesting that future earnings growth may be slower. The company's price/sales and price/book ratios are also relatively high, indicating that the stock may be overvalued. 
Considering these factors, I would assign a score of 70 to Cincinnati Financial, reflecting its strong performance and potential for growth, but also taking into account the potential risks and uncertainties in the current economic climate.
Score: 70</t>
  </si>
  <si>
    <t>Given the current economic outlook and the specific information about American Electric Power, the company seems to be in a relatively strong position. The appointment of a new CFO could bring fresh perspectives and strategies to the company's financial management. The company's reaffirmation of its 2023 operating earnings guidance and its long-term growth rate also indicates confidence in its financial performance.
The company's dividend growth and its inclusion in the list of utilities stocks set to explode higher further support its investment potential. The company's market cap, enterprise value, and other financial ratios also suggest a solid financial position.
However, the potential risks in the broader economy and stock market, including the possibility of a recession, the ongoing political unrest, and the impacts of the war in Ukraine, could pose challenges for the company. The Fed's interest rate hikes could also impact the company's borrowing costs and profitability.
Considering all these factors, I would assign a score of 70 to American Electric Power's potential investment value for the next month.
Score: 70</t>
  </si>
  <si>
    <t>Given the current economic climate and the specific news and financial data related to Vici Properties, the company seems to be in a relatively strong position. Despite the overall bearish sentiment in the market and concerns about the commercial real estate sector, Vici Properties has a well-structured balance sheet and low leverage ratios. The company's new CEO, Mark Rivers, is expected to lead the brand's expansion strategy, which could potentially drive future growth. 
Moreover, the belief that rising interest rates negatively impact REITs is a myth, as REITs offer growth potential and higher total returns compared to bonds. Vici Properties is one of the REITs that offer attractive investment opportunities with strong fundamentals and potential for future growth. 
The company's financial data also supports this view. Vici Properties has a relatively low trailing P/E ratio of 12.99 and a forward P/E ratio of 10.82, suggesting that the company's shares are undervalued. The company's price-to-book ratio is also relatively low at 1.24, indicating that the company's shares are priced reasonably compared to its book value. 
However, given the overall uncertainty in the market and the potential risks associated with the commercial real estate sector, it would be prudent for investors to exercise caution. 
Score: 70</t>
  </si>
  <si>
    <t>Given the current macroeconomic conditions and the specific financial data and news about Valero Energy, the company seems to be in a strong position within the Oil &amp; Gas Refining &amp; Marketing industry. The surge in crude prices has positively impacted the industry, and Valero has shown significant growth, returning almost 200% since the pandemic. The company's strategic growth and financial discipline are also positive indicators. 
However, there are some concerns. The potential for a recession, the ongoing political unrest, and the impact of the war in Ukraine could all negatively affect the economy and, by extension, the oil and gas industry. Additionally, the company's forward P/E ratio is significantly higher than its trailing P/E, suggesting that investors expect slower earnings growth in the future. 
Considering these factors, while Valero Energy has shown strong performance and has a favorable position within its industry, the broader economic risks and potential slowdown in earnings growth suggest a need for caution. 
Score: 70</t>
  </si>
  <si>
    <t>Given the current economic outlook and the specific circumstances surrounding Amazon, there are several factors to consider. The overall economic outlook is mixed, with potential for both growth and recession. This uncertainty could impact Amazon's performance, particularly if a recession were to occur. 
However, Amazon has shown resilience in the past and has a diverse business model that could help it weather economic downturns. The company's strong position in the technology sector, which has been driving stock market gains, is also a positive sign. 
On the other hand, the ongoing political debates and potential for increased government regulation could pose risks for Amazon. The company has faced scrutiny in the past over its business practices, and any new regulations could impact its profitability. 
The impact of the war in Ukraine and the COVID-19 pandemic could also affect Amazon. The company's global supply chains could be disrupted, leading to increased costs and potential delays in product delivery. 
Taking all these factors into account, I would assign a score of 70 to Amazon. This reflects the company's strong position and potential for growth, but also acknowledges the significant risks and uncertainties in the current economic environment.
Score: 70</t>
  </si>
  <si>
    <t>Given the current economic climate and the specific circumstances surrounding Mid-America Apartment Communities, there are several factors to consider. The company has shown resilience in the face of a potentially slowing rental market, with strong occupancy levels and the ability to support dividend growth. This makes it an attractive option for income-oriented investors. 
However, the broader economic context presents some challenges. The ongoing debates in Washington and the potential for a commercial real estate crisis could introduce volatility and risk into the market. The Fed's aggressive interest rate hikes could also impact the company's profits. 
On the other hand, the company's preferred stock is offering an 8.0% dividend, which could be a great opportunity for investors if interest rates decrease. The company's strong business model, consistent growth, and healthy balance sheet also make it a solid investment. 
Considering all these factors, I would assign a score of 70 to Mid-America Apartment Communities. This reflects the company's strong fundamentals and potential for growth, but also takes into account the potential risks and uncertainties in the current economic climate.
Score: 70</t>
  </si>
  <si>
    <t>Given the current economic climate and the specific financial data and news about Marriott International, it seems that the company is well-positioned for growth in the coming years. The company's strong earnings growth, robust travel demand, and positive growth plans for the next three years all indicate a strong potential for investment. However, the overall economic uncertainty, potential for a recession, and the ongoing war in Ukraine could pose risks to the company's performance. 
Considering these factors, the potential investment value of Marriott International in the Hotels, Resorts &amp; Cruise Lines industry for the next month is moderately high. 
Score: 70</t>
  </si>
  <si>
    <t>Given the current economic outlook and the specific news and financial data related to McDonald's, there are several factors to consider. 
On the positive side, McDonald's has shown resilience in the face of economic uncertainty, with continued digital innovation and a focus on customer engagement. The company's decision to increase its royalty fee could potentially lead to increased revenues, although this has been met with resistance from some franchisees. McDonald's also has a strong market cap and a reasonable P/E ratio, suggesting that it is fairly valued.
On the negative side, the potential impact of the Fed's interest rate hikes and the ongoing unrest in Washington could create uncertainty and risk for McDonald's. The company is also facing potential challenges from the trend towards healthier eating and weight loss, which could impact its sales and profitability.
Considering these factors, I would assign a score of 70 to McDonald's. This reflects the company's strong market position and potential for growth, but also takes into account the potential risks and challenges it faces.
Score: 70</t>
  </si>
  <si>
    <t>Given the current economic outlook and the specific financial data for Monolithic Power Systems (MPWR), the company appears to be a solid investment option in the semiconductor industry. The company has a strong market cap and enterprise value, indicating a robust financial position. The P/E ratios, both trailing and forward, are relatively high, suggesting that investors are willing to pay a premium for the company's earnings, which is a positive sign. The PEG ratio is below 2, which is generally considered to indicate fair value. 
However, the high Price/Sales and Price/Book ratios suggest that the stock may be overvalued. This could potentially limit the upside potential for the stock in the short term. Furthermore, the ongoing geopolitical tensions and potential economic downturn could negatively impact the semiconductor industry, which is highly dependent on global trade and economic growth.
On the other hand, the company is included in the top 15 high growth dividend stocks for October, which indicates strong growth potential and income generation for investors. The company is also favored by Truist's William Stein due to soaring AI demand, which could drive future growth for the company.
Considering all these factors, I would assign a score of 70 to Monolithic Power Systems for potential investment value in the next month.
Score: 70.</t>
  </si>
  <si>
    <t>Given the current economic climate and the specific news and financial data related to Lamb Weston, the company appears to be a relatively strong investment. The company has shown consistent growth, outpacing its peers in the Consumer Staples sector, and has been identified as a top growth stock for the long term. The company's strategic pricing actions in an inflationary environment and its efforts to boost production capacity signal a strong potential for continued growth. 
However, the broader economic context does introduce some risks. The potential for a recession, the ongoing political unrest, and the impacts of the war in Ukraine could all introduce volatility into the market. These factors could potentially impact Lamb Weston's performance, particularly if they lead to disruptions in supply chains or changes in consumer spending habits. 
The company's financial data also presents a mixed picture. While the company's trailing P/E ratio is relatively low, indicating that the stock may be undervalued, its forward P/E ratio is higher, suggesting that investors are expecting higher earnings in the future. The company's PEG ratio is below 1, which could indicate that the stock is undervalued given its earnings growth expectations. However, the company's relatively high Enterprise Value/Revenue and Enterprise Value/EBITDA ratios could suggest that the company is overvalued.
Taking all of these factors into account, I would assign a score of 70 to Lamb Weston. This reflects the company's strong performance and growth potential, but also takes into account the potential risks introduced by the broader economic context and the mixed signals from the company's financial data.
Score: 70</t>
  </si>
  <si>
    <t>Given the current economic climate, LyondellBasell's recent launch of its +LC (Low Carbon) solutions demonstrates a strategic move towards sustainability, which is a growing trend in the market. This could potentially increase the company's attractiveness to investors who are increasingly focused on ESG (Environmental, Social, and Governance) factors. 
However, the ongoing war in Ukraine and its impact on energy prices and supply chains could pose a risk to LyondellBasell, given that the company operates in the Specialty Chemicals industry. This could potentially lead to increased costs and disruptions in the company's operations. 
In terms of financials, LyondellBasell's market cap of $30.70B and enterprise value of $41.28B indicate that the company is relatively large and potentially more stable compared to smaller companies. The company's trailing P/E ratio of 14.64 and forward P/E ratio of 9.74 suggest that the company's stock is reasonably valued compared to its earnings. 
However, the company's price/sales ratio of 0.72 and price/book ratio of 2.37 suggest that the company's stock may be undervalued compared to its sales and book value. This could potentially provide an opportunity for investors to buy the company's stock at a lower price. 
Given these factors, I would assign a score of 70 to LyondellBasell, reflecting its potential investment value for the next month. 
Score: 70</t>
  </si>
  <si>
    <t>Given the recent FDA approval of Biogen's biosimilar treatment and the approval of its Alzheimer treatment in Japan, the company seems to be on a positive trajectory. The acquisition of Reata Pharmaceuticals also adds to its portfolio and could potentially lead to future growth. However, the overall economic outlook and potential for a recession could impact the biotech industry and Biogen's performance. The company's financial data shows a reasonable valuation with a trailing P/E of 14.01 and forward P/E of 15.27. Considering these factors, the investment value of Biogen seems to be moderately high but with potential risks due to the broader economic context.
Score: 70</t>
  </si>
  <si>
    <t>Given the current economic outlook and the specific financial data and news about BNY Mellon, the company seems to be in a relatively strong position. The launch of SPARKSM shares shows innovation and a commitment to social responsibility, which could potentially attract more clients and investors. The company's P/E ratios are also relatively low, suggesting that the stock could be undervalued. However, the overall economic and market conditions are mixed, with several potential risks on the horizon. Therefore, while BNY Mellon seems to be a solid investment, investors should still proceed with caution.
Score: 70</t>
  </si>
  <si>
    <t>Given the current economic outlook and the specific news and financial data related to AT&amp;T, the company seems to be a relatively safe investment in the short term. The company's focus on debt repayment and maintaining a steady dividend yield is a positive sign, especially in a potentially volatile market. AT&amp;T's continued investment in 5G technology and the expansion of the fiber optic network across the USA also bodes well for its future growth prospects. However, the ongoing litigation issue and the uncertainty surrounding the free cash flow guidance for 2023 are potential risks that could impact the company's performance. 
Considering these factors, I would assign a score of 70 to AT&amp;T. This reflects the company's strong fundamentals and growth prospects, balanced against the potential risks and uncertainties.
Score: 70</t>
  </si>
  <si>
    <t>Given the current economic climate, Teledyne Technologies (TDY) appears to be a relatively stable investment. The company operates in high-tech, high-reliability sectors such as aerospace, defense, and oil and gas drilling, which are less likely to be affected by economic downturns. Furthermore, TDY's strong balance sheet and history of successful acquisitions suggest that it is well-positioned to weather any potential economic storms.
However, there are also some risks to consider. The ongoing war in Ukraine and the potential for a recession could negatively impact the company's performance. Additionally, the company's relatively high P/E ratios suggest that its stock may be overvalued, which could limit its potential for future gains.
Overall, while TDY appears to be a relatively stable investment, the current economic climate suggests that caution is warranted. Investors should therefore consider diversifying their portfolios and closely monitoring market developments.
Score: 70</t>
  </si>
  <si>
    <t>Given the current economic outlook and the specific news about BlackRock, the company seems to be in a strong position despite the overall market volatility. BlackRock's recent news indicates a positive outlook, with the company reporting strong asset inflows, launching new ETFs, and showing resilience in a challenging macro environment. The company's upcoming earnings report could provide further positive momentum. 
However, the broader economic and market conditions present significant risks. The potential for a recession, the ongoing political unrest, and the impacts of the war in Ukraine could all negatively impact BlackRock's performance. The company's exposure to the commercial real estate market could also be a concern given the potential for a crisis in this sector.
In terms of financial data, BlackRock's valuation seems reasonable with a trailing P/E of 18.88 and a forward P/E of 16.21. The company's market cap of 96.52B and enterprise value of 99.41B also indicate a solid financial position. However, the PEG ratio of 2.26 suggests that the company's stock may be overvalued relative to its expected earnings growth.
Considering all these factors, I would assign a score of 70 to BlackRock. This reflects the company's strong position and positive outlook, but also takes into account the significant risks and potential overvaluation.
Score: 70</t>
  </si>
  <si>
    <t>Given the current economic climate and the specific financial data for Zimmer Biomet, the company appears to be in a relatively strong position. The company's expansion in emerging markets and recovery in business operations are positive signs. Additionally, the company's sales growth from ROSA, despite foreign exchange woes, indicates resilience and potential for future growth. 
However, the high trailing P/E ratio suggests that the company's stock may be overvalued, which could limit its potential for future price appreciation. The company's relatively high enterprise value compared to its revenue and EBITDA also suggests that it may be overvalued. 
On the other hand, the forward P/E ratio is significantly lower, indicating that analysts expect the company's earnings to grow in the future. The PEG ratio, which takes into account expected earnings growth, is also relatively low, suggesting that the company's stock may be undervalued when considering its future earnings growth.
Given these factors, I would assign a score of 70 to Zimmer Biomet. This reflects the company's strong business performance and growth prospects, but also takes into account the potential overvaluation of its stock.
Score: 70</t>
  </si>
  <si>
    <t>Given the current economic outlook and the specific information about Xcel Energy, the company seems to be in a relatively stable position. The recent leadership changes could introduce some uncertainty, but the new appointees have solid industry experience, which should help maintain operational stability. The company's commitment to maintaining a healthy payout ratio and its investment-grade balance sheet are also positive signs. However, the potential for a recession and the ongoing political unrest could introduce some risk.
The company's P/E ratios are in line with the industry average, suggesting that the stock is fairly valued. The PEG ratio is slightly high, indicating that the company's stock may be overvalued relative to its expected earnings growth. However, the company's strong financial position and commitment to capital spending could support future growth.
Given these factors, I would assign a score of 70 to Xcel Energy. This reflects the company's solid financial position and growth prospects, but also takes into account the potential risks associated with the current economic and political environment.
Score: 70</t>
  </si>
  <si>
    <t>Based on the provided information, Wells Fargo seems to be in a strong position despite the overall economic uncertainty. The bank has been actively repurchasing shares and reducing its share count, which could position it for future EPS growth. It has also been working to improve efficiency ratios by reducing operating costs. Furthermore, Wells Fargo has been expanding its business, such as by introducing a Spanish-language feature to reach a larger portion of its customer base and forming a direct lending fund with Centerbridge Partners. 
However, there are also risks to consider. The bank's stock could be negatively impacted by the Fed's aggressive interest rate hikes, which have weighed on S&amp;P 500 profits. There is also the potential for a crisis in the commercial real estate market, which could lead to significant losses for investors. 
Given these factors, I would assign a score of 70 to Wells Fargo. This reflects the bank's strong position and growth potential, but also takes into account the potential risks and uncertainties in the current economic environment.
Score: 70</t>
  </si>
  <si>
    <t>Given the current economic outlook and the specific information about Take-Two Interactive, there are several factors to consider. 
On the positive side, Take-Two Interactive is considered a growth stock and is poised for explosive growth over the next couple of years. This is a strong indicator of potential future performance. The company's strong position in the video game industry is also a positive factor, especially considering the growth of this industry. 
However, there are also some negative factors to consider. The ongoing actors' strike could potentially impact the company's operations and financial performance. Furthermore, the company's forward P/E ratio is relatively high, indicating that the stock may be overvalued. 
Considering these factors, I would assign a score of 70 to Take-Two Interactive. This reflects the company's strong growth prospects, but also takes into account the potential risks and uncertainties.
Score: 70</t>
  </si>
  <si>
    <t>Given the current economic outlook and the financial data of Universal Health Services, the company seems to be in a strong position. The company's market cap is substantial, and its trailing and forward P/E ratios are relatively low, indicating that the stock may be undervalued. The Price/Sales ratio is also quite low, suggesting that the company's stock is reasonably priced relative to its revenue. 
However, the ongoing economic uncertainties, including the potential for a recession and the impact of the war in Ukraine, could pose risks. The healthcare industry could be affected by these factors, as well as by potential changes in government policy and funding. 
Considering all these factors, while Universal Health Services appears to be a strong value stock, the broader economic context suggests a need for caution. 
Score: 70</t>
  </si>
  <si>
    <t>Trimble Inc. (TRMB) has been making significant strides in its business operations. The company's recent partnership with Meta to launch SketchUp Viewer, a tool for previewing 3D architecture models, indicates its commitment to technological innovation and its ability to form strategic partnerships with leading tech companies. 
Moreover, the opening of the Trimble Technology Lab at Virginia Tech further underscores the company's dedication to research and development, which could potentially lead to new product offerings and increased market share in the future.
The joint venture with AGCO Corporation, where AGCO will acquire an 85% interest in Trimble's agricultural technology business for $2 billion, is a significant development. This deal not only provides Trimble with a substantial cash infusion but also allows it to focus on its core competencies, which could potentially lead to improved operational efficiency and profitability.
However, the ongoing war in Ukraine could potentially impact Trimble's operations, given its recent partnership with Kyivstar to provide GNSS correction services in Ukraine. This could potentially lead to disruptions in its business operations and negatively impact its financial performance.
In terms of financial metrics, Trimble's forward P/E ratio of 19.46 suggests that the stock is reasonably valued compared to its expected earnings growth. However, its relatively high PEG ratio of 1.95 indicates that the stock may be overvalued when factoring in the company's expected growth rate.
Given these factors, Trimble Inc. appears to be a solid investment opportunity, albeit with some potential risks. Therefore, I would assign a score of 70 to Trimble Inc. reflecting its potential investment value for the next month.
Score: 70</t>
  </si>
  <si>
    <t>Given the current economic outlook and the specific information about HCA Healthcare, there are several factors to consider. 
On the positive side, the healthcare sector is experiencing a post-pandemic recovery, and HCA Healthcare is well-positioned to benefit from this trend. The company's hospitals have been recognized for their excellence in patient outcomes and experience, operational efficiency, financial health, and community impact. This suggests that the company is delivering high-quality care and is financially healthy. 
Moreover, the aging population in the US is expected to double within the next 40 years, which will likely increase demand for healthcare services. This demographic trend, combined with the projected growth of Medicare Advantage, could provide a significant revenue boost for HCA Healthcare in the coming years. 
On the negative side, the company's high enterprise value relative to its market cap suggests that it has a significant amount of debt. This could potentially make the company more vulnerable to economic downturns and increases in interest rates. 
Furthermore, the company's PEG ratio is slightly above 1, which suggests that its stock may be overvalued relative to its expected earnings growth. This could potentially limit the stock's upside potential. 
Overall, while HCA Healthcare has strong fundamentals and is well-positioned to benefit from demographic trends, its high debt levels and potentially overvalued stock price suggest that it may face some headwinds. Therefore, I would assign a score of 70 to HCA Healthcare.
Score: 70</t>
  </si>
  <si>
    <t>Given the current economic outlook and the specific news and financial data related to Home Depot, the company seems to be in a relatively strong position. The company's consistent outperformance of Lowe's, its appeal to millennial homeowners, and its strong standing with professional contractors all suggest potential for continued growth. Additionally, the company's dividend yield and its position in the home improvement industry, which is poised for growth due to homeowners' interest in technology upgrades, make it an attractive investment. 
However, there are also some potential risks to consider. The broader housing market is currently experiencing a slowdown, which could impact Home Depot's sales. Additionally, the company's relatively high P/E ratios suggest that its stock may be overvalued. 
Taking all these factors into account, I would assign a score of 70 to Home Depot. This reflects the company's strong fundamentals and growth potential, but also takes into account the potential risks associated with the current economic environment and the company's valuation.
Score: 70</t>
  </si>
  <si>
    <t>Given the current economic outlook and the specific news and financial data related to Leidos, the company seems to be in a relatively strong position. The company's recent collaboration with Sofia Airport to upgrade its baggage screening systems indicates that it is actively expanding its operations and securing new contracts, which could potentially lead to increased revenues and profits. 
Moreover, the company's upcoming earnings conference call could provide further insights into its financial performance and future prospects. If the company reports strong earnings and provides a positive outlook, this could potentially boost its stock price. 
In terms of financial data, the company's market cap of $12.66B and enterprise value of $17.77B suggest that it is a relatively large and stable company. Its trailing P/E ratio of 17.93 and forward P/E ratio of 12.45 indicate that its stock is reasonably valued, given its earnings. 
However, the company's price/sales ratio of 0.85 and price/book ratio of 2.75 suggest that its stock may be undervalued, given its sales and book value. This could potentially provide an attractive entry point for investors. 
On the other hand, the company's enterprise value/revenue ratio of 1.20 and enterprise value/EBITDA ratio of 12.16 suggest that it is relatively highly valued, given its revenues and EBITDA. This could potentially limit its upside potential. 
Given these factors, I would assign a score of 70 to Leidos, reflecting its potential investment value for the next month. 
Score: 70</t>
  </si>
  <si>
    <t>Given the current economic climate, Zoetis appears to be a solid investment. The company has a strong market position as the world's largest provider of animal medicines, vaccines, and diagnostic products. This dominance in the companion animal and cattle markets, which are anti-cyclical, provides a degree of stability even in uncertain economic times. Furthermore, the company's strategic investments and broad product portfolio are expected to sustain above-average growth.
However, it's important to note that the company's valuation metrics are relatively high, with a trailing P/E of 36.63 and a forward P/E of 27.70. This suggests that the stock may be overvalued, which could limit its upside potential. Additionally, the company's high enterprise value relative to its revenue and EBITDA further indicates that the stock may be overpriced.
Considering these factors, while Zoetis has strong fundamentals and growth prospects, its high valuation could limit its investment value in the short term. Therefore, I would assign a moderate score to Zoetis.
Score: 65</t>
  </si>
  <si>
    <t>Given the current economic climate and the specific news related to Textron, there are several factors to consider. 
On the positive side, Textron has announced several promising developments, including a confirmed order for 20 Cessna Grand Caravan EX aircraft from Surf Air Mobility and an upcoming avionics upgrade for the Cessna Citation XLS+ and XLS Gen2. These developments suggest that Textron is actively investing in its product line and has a strong customer base. 
On the financial side, Textron's forward P/E ratio is lower than its trailing P/E, suggesting that earnings are expected to grow. The company's market cap is also relatively high, indicating that it is a large and potentially stable company. 
However, there are also several risks to consider. The ongoing war in Ukraine and the potential for a recession could negatively impact the aerospace and defense industry. Additionally, the company's relatively high PEG ratio suggests that it may be overvalued relative to its expected earnings growth. 
Given these factors, I would assign a moderate score to Textron. 
Score: 65</t>
  </si>
  <si>
    <t>Given the current economic outlook and the specific circumstances surrounding Tesla, Inc., there are several factors to consider. 
On the positive side, the explosive growth in AI tools could potentially benefit Tesla, which is a leader in AI and autonomous driving technology. This could lead to increased investment and growth for the company. 
However, there are also several negative factors to consider. The potential for a recession could negatively impact consumer spending, which could lead to decreased demand for Tesla's vehicles. The ongoing war in Ukraine and the resulting spike in energy prices could also negatively impact Tesla, as it could lead to increased costs for the company. 
Furthermore, the uncertainty in Washington and the potential for increased market volatility could also negatively impact Tesla's stock. The company's stock is also highly valued, which could potentially lead to a correction if the market were to turn bearish. 
Taking all these factors into account, I would assign a score of 65 to Tesla, Inc. This reflects the potential for growth due to the increasing use of AI, but also the significant risks due to the potential for a recession, increased energy prices, and market volatility.
Score: 65</t>
  </si>
  <si>
    <t>Given the current economic outlook and the specific news and financial data related to Bio-Techne, the company seems to be in a strong position. The company has been recognized for its service in the field of molecular pathology, which could potentially enhance its reputation and attract more business. The integration of its Maurice system with the Thermo Scientific Chromeleon Chromatography Data System could potentially lead to increased efficiency and productivity, which could boost profits. The company's commitment to sustainability could also potentially enhance its reputation and attract more investors.
However, the company's relatively high P/E ratios suggest that its stock may be overvalued, which could potentially lead to a correction in the future. The company's high price-to-sales and price-to-book ratios also suggest that its stock may be overpriced relative to its sales and book value. The company's high enterprise value relative to its revenue and EBITDA also suggests that it may be overvalued.
Given these factors, I would assign a score of 65 to Bio-Techne. This reflects the company's strong position and potential for growth, but also takes into account the potential risks associated with its high valuation.
Score: 65</t>
  </si>
  <si>
    <t>Given the current economic climate, the semiconductor industry is expected to continue to grow due to the increasing demand for technology and AI tools. Teradyne, being in the Semiconductor Materials &amp; Equipment industry, is well-positioned to benefit from this trend. The company has recently been upgraded to a Zacks Rank #2 (Buy), indicating growing optimism about its earnings prospects. Furthermore, Teradyne's collaboration with InnoPhase to validate the performance of their 5G infrastructure radio solutions could potentially drive further growth for the company.
However, the potential risks associated with the current economic climate, including the possibility of a recession and the ongoing political unrest, could potentially impact Teradyne's performance. The company's relatively high P/E ratios also suggest that its stock may be overvalued, which could potentially lead to a correction in the future.
Considering these factors, while Teradyne has strong growth prospects, it also faces significant risks. Therefore, a moderate score would be appropriate.
Score: 65</t>
  </si>
  <si>
    <t>Given the current economic climate and the specific news about Charles Schwab Corporation, there are several factors to consider. 
On the positive side, Charles Schwab has been recognized as a trusted bank and financial services firm, which could potentially increase its customer base and revenues. The company has also been focusing on innovation, as evidenced by the introduction of a digital inheritance center, which could potentially attract more customers and increase its market share. Furthermore, the company has reduced fees on its fixed income ETFs, which could potentially attract more investors and increase its revenues.
On the negative side, the company is expected to have a tough third quarter due to increased interest rates and ongoing deposit migration. This could potentially lead to lower earnings and stock prices. Furthermore, the company's balance sheet has been affected by deposit outflows and the regional banking crisis, which could potentially lead to further losses.
Given these factors, I would assign a score of 65 to Charles Schwab Corporation. This reflects the company's strong reputation and innovative initiatives, as well as the potential challenges it faces due to the current economic climate.
Score: 65</t>
  </si>
  <si>
    <t>SEDG</t>
  </si>
  <si>
    <t>Given the current economic outlook and the specific news about SolarEdge, there are several factors to consider. 
On the positive side, SolarEdge is part of the growing solar sector, which has been one of the market's hottest areas this year. Despite a recent pullback, many solar stocks have delivered triple-digit returns. Furthermore, Wall Street analysts seem to be optimistic about SolarEdge, with some predicting substantial upside for the company's shares. 
On the negative side, SolarEdge recently received a price target cut and downgrade from Barclays, which could potentially weigh on the stock. The company is also facing challenges from higher interest rates, which could negatively impact its financial performance. 
In terms of financial data, SolarEdge has a relatively high trailing P/E ratio, which suggests that the stock may be overvalued. However, the company's forward P/E ratio is much lower, indicating that earnings are expected to grow in the future. The company's PEG ratio is also below 1, which suggests that the stock may be undervalued when taking into account its expected earnings growth. 
Overall, while there are some risks associated with investing in SolarEdge, the company's growth prospects and the positive outlook for the solar sector suggest that it could potentially offer good investment value. 
Score: 65</t>
  </si>
  <si>
    <t>Given the current economic outlook and the specific information about Altria, it seems that the company could be a good investment for those seeking high dividend yields. Altria has a strong market position in the tobacco industry and has consistently raised its dividend payments for over 50 years. The company's revenue has also been growing, despite the challenges in the global e-cigarette and vape market. 
However, there are also risks to consider. The overall economic outlook is mixed, with the potential for a recession and the impact of the Fed's interest rate hikes. The unrest in Washington and the ongoing war in Ukraine could also lead to increased volatility and risk in the market. 
Furthermore, Altria's high dividend yield could be a sign of financial distress, as companies often increase their dividends to attract investors when their stock price is falling. The company's high PEG ratio also suggests that it may be overvalued relative to its expected earnings growth. 
Therefore, while Altria could be a good investment for those seeking high dividend yields, it also carries significant risks. Investors should be cautious and consider their own risk tolerance and investment goals before investing in Altria.
Score: 65</t>
  </si>
  <si>
    <t>Given the current macroeconomic conditions, the Mosaic Company could potentially benefit from the ongoing war in Ukraine, which has disrupted global supply chains and caused a spike in energy prices. This could lead to increased demand for fertilizers and agricultural chemicals, which are essential for food production. 
Moreover, the company's financial data indicates that it is undervalued, with a trailing P/E ratio of 5.56 and a forward P/E ratio of 11.57. This suggests that the company's earnings are expected to grow in the future, which could potentially lead to higher stock prices. 
However, the company's high enterprise value relative to its market cap indicates that it has a significant amount of debt, which could potentially lead to financial instability if the economy were to enter a recession. 
Furthermore, the company's PEG ratio is not available, which makes it difficult to assess its growth prospects relative to its current valuation. 
Overall, while the Mosaic Company has potential for growth due to the current macroeconomic conditions and its undervalued status, there are also significant risks due to its high debt levels and the uncertainty surrounding its growth prospects. 
Score: 65</t>
  </si>
  <si>
    <t>Given the current macroeconomic conditions and the firm's financial data, Marathon Petroleum seems to be in a strong position. The surge in crude oil prices has positively impacted the oil and gas industry, and Marathon Petroleum, with its substantial market cap and reasonable P/E ratios, appears to be well-positioned to benefit from these trends. However, the ongoing geopolitical tensions and potential economic downturn could pose risks. The company's high PEG ratio also suggests that it may be overvalued relative to its expected earnings growth. 
Considering these factors, while the company has strong potential, the overall economic uncertainty and potential overvaluation suggest a moderate level of caution is warranted.
Score: 65</t>
  </si>
  <si>
    <t>Given the current economic outlook and the specific news and financial data related to Moderna, the company seems to be in a relatively strong position. Despite the overall bearish sentiment in the market, Moderna has several promising developments in its pipeline that could potentially drive future growth. The company's strong market cap and relatively low P/E ratio also suggest that it is undervalued compared to its earnings potential. However, the ongoing uncertainty in the market and the potential impact of the Fed's interest rate hikes could pose risks to the company's stock price. Therefore, while Moderna has strong potential, it is also exposed to significant risks.
Score: 65</t>
  </si>
  <si>
    <t>Given the current economic outlook and the specific circumstances surrounding Meta Platforms, the company's investment value appears to be moderately high. The company's strong position in the technology sector, which is currently driving a significant share of stock-market gains, is a positive factor. However, the potential for increased market volatility and risk, as well as the ongoing debates about government funding and the impact of the war in Ukraine, could negatively impact the company's performance. Furthermore, the company's involvement in social media, a sector that continues to play a significant role in the digital landscape, could provide some stability.
However, it's important to note that the company's performance could be impacted by the broader economic trends and uncertainties. Therefore, while the company has strong potential, investors should proceed with caution and closely monitor the situation.
Score: 65</t>
  </si>
  <si>
    <t>Given the current economic climate and the specific news related to MGM Resorts, there are several factors to consider when assigning a potential investment value score. 
On the positive side, MGM Resorts has been expanding its operations, as evidenced by the launch of its online mobile sports betting app in Kentucky and the signing of an implementation agreement for an integrated resort in Osaka, Japan. These developments could potentially lead to increased revenues and profits for the company, which would be positive for its stock price. 
Furthermore, the company's return as the presenting sponsor of the annual Las Vegas Pride Parade demonstrates its commitment to social responsibility, which could potentially enhance its reputation and brand image, and thereby support its stock price. 
On the negative side, the overall economic and stock market outlook is mixed, with both positive and negative trends. This could potentially lead to increased volatility and risk in the stock market, which would be negative for MGM Resorts' stock price. 
In terms of the company's financial data, its trailing P/E ratio is relatively high, which suggests that its stock may be overvalued. However, its forward P/E ratio is lower, which suggests that its earnings are expected to grow, which would be positive for its stock price. 
Taking all these factors into account, I would assign a potential investment value score of 65 to MGM Resorts for the next month. This reflects the positive developments related to the company, as well as the potential risks associated with the overall economic and stock market outlook.
Score: 65</t>
  </si>
  <si>
    <t>Given the current economic climate and the specific circumstances of Waters Corporation, there are several factors to consider. The company's acquisition of Wyatt Technology at a large premium indicates a potential lack of profitable investment opportunities, which could limit future growth. However, the company's presence in steady markets like food and water quality testing could provide a reliable source of profitability and growth. 
The company's financial data also presents a mixed picture. The company's market cap and enterprise value are relatively high, indicating a potentially overvalued stock. However, the company's forward P/E ratio is lower than its trailing P/E ratio, suggesting that earnings growth could potentially support a higher stock price in the future. 
Given these factors, I would assign a moderate score to Waters Corporation. While there are some potential risks, the company's steady markets and potential for earnings growth could provide some investment value.
Score: 65</t>
  </si>
  <si>
    <t>Union Pacific Corporation (UNP) operates in the Rail Transportation industry, which is a key component of the broader transportation sector. The transportation sector is often considered a barometer of the overall health of the economy, as it is closely tied to the level of goods and services being produced and consumed. 
Given the current economic outlook, there are several factors that could impact the performance of UNP in the near term. On the positive side, the US economy is showing signs of resilience, which could support continued demand for transportation services. Additionally, the growth in AI and technology could potentially lead to efficiency gains and cost savings for companies in the transportation sector, including UNP.
On the negative side, the ongoing political unrest and potential for a recession could lead to decreased demand for transportation services. The war in Ukraine and its impact on global supply chains could also negatively impact the transportation sector. 
Looking at UNP's financial data, the company appears to be in a relatively strong position. It has a large market cap and enterprise value, indicating a high level of investor confidence. Its P/E ratios are also relatively low, suggesting that the stock may be undervalued. However, its high PEG ratio and Price/Book ratio could indicate that the stock is overpriced relative to its growth prospects and book value.
Considering all these factors, I would assign a moderate score to UNP. While the company appears to be in a strong financial position, the potential risks associated with the current economic and political climate could impact its performance in the near term.
Score: 65</t>
  </si>
  <si>
    <t>Given the current economic outlook and the specific news about United Parcel Service (UPS), there are several factors to consider. 
On the positive side, UPS has made strategic acquisitions, such as MNX Global Logistics, which is expected to strengthen its position in the healthcare industry. This could potentially lead to increased revenues and profits for the company. The company is also preparing for the holiday rush by hiring over 100,000 seasonal workers, which could help it meet increased demand and maintain its on-time delivery performance. 
However, there are also some negative factors to consider. The company has been hit by a weakened economy in 2023, and this could potentially extend into 2024. This could potentially lead to lower revenues and profits for the company. 
In terms of financial data, the company has a relatively low P/E ratio, which could potentially indicate that it is undervalued. However, its PEG ratio is relatively high, which could potentially indicate that it is overvalued based on its expected growth rate. 
Overall, given the mixed economic outlook and the specific news about UPS, I would assign a score of 65 to the company. This reflects the potential investment value of the company in the Air Freight &amp; Logistics industry for the next month.
Score: 65</t>
  </si>
  <si>
    <t>Given the current economic outlook and the specific financial data for U.S. Bank, the bank seems to be in a relatively stable position. The bank's P/E ratios are low, indicating that the stock may be undervalued. This, combined with the fact that the bank's stock is cheap, could present a good buying opportunity for investors. However, the ongoing debates about government funding and the potential impact of the war in Ukraine on the global economy could introduce some uncertainty into the market. Additionally, the potential for a crisis in the commercial real estate market could also impact the bank's performance. Therefore, while there may be potential for gains, there are also significant risks involved.
Score: 65</t>
  </si>
  <si>
    <t>Arista Networks operates in the Communications Equipment industry, which is a sub-sector of the broader technology sector. Given the current economic climate, technology stocks have been driving a significant portion of the stock-market gains, suggesting a favorable environment for Arista Networks. 
Moreover, the company operates in the cybersecurity space, which is expected to see significant growth due to the increasing reliance on the internet and the associated rise in cybercrime. This could potentially lead to increased demand for Arista Networks' products and services, which would be positive for its stock price.
However, the company's valuation metrics, such as its trailing P/E and forward P/E ratios, suggest that the stock is currently trading at a premium. This could potentially limit the upside potential for the stock in the near term.
Furthermore, the ongoing uncertainty in the market due to factors such as the potential for a recession, the unrest in Washington, and the aggressive interest rate hikes by the Fed could potentially lead to increased volatility and risk in the market. This could potentially impact Arista Networks' stock price.
Given these factors, while Arista Networks operates in a favorable industry and has growth potential, the current market uncertainty and the company's high valuation could potentially limit its investment value in the near term.
Score: 65.</t>
  </si>
  <si>
    <t>Given the current economic outlook and the specific data for APA Corporation, there are several factors to consider. 
On the positive side, the war in Ukraine has led to a spike in energy prices, which could potentially benefit oil and gas companies like APA. The company's financial data also looks promising, with a relatively low P/E ratio, which suggests that the stock could be undervalued. 
However, there are also several risks to consider. The overall economic outlook is mixed, with a 20% chance of a recession. If a recession were to occur, this could potentially lead to a drop in energy demand and lower oil prices, which would be negative for APA. The ongoing debates about government funding could also lead to increased uncertainty and volatility in the market, which could potentially impact APA's stock price. 
Given these factors, I would assign a score of 65 to APA Corporation. This reflects the potential benefits from higher energy prices and the company's strong financial data, but also takes into account the various risks and uncertainties in the current economic environment.
Score: 65</t>
  </si>
  <si>
    <t>ALK</t>
  </si>
  <si>
    <t>Given the current economic outlook and the specific news and financial data related to Alaska Air Group, the company seems to be in a relatively strong position. The airline industry is facing challenges due to the potential government shutdown and falling ticket prices, but Alaska Air Group has been taking proactive steps to boost its competitive position, such as introducing new nonstop services. The company's financial data also looks promising, with a low forward P/E ratio indicating that the stock may be undervalued. However, the overall economic uncertainty and potential risks in the stock market suggest that caution is warranted. 
Score: 65</t>
  </si>
  <si>
    <t>Given the current economic outlook and the specific financial data for Amcor, the company seems to be in a relatively stable position. The company's P/E ratios are reasonable, suggesting that the stock is not overvalued. The Price/Sales and Enterprise Value/Revenue ratios are also relatively low, indicating that the company is generating a good amount of revenue relative to its market value. 
However, the ongoing economic uncertainties, including the potential for a recession and the impact of the war in Ukraine, could pose risks for the company. The packaging industry could be affected by disruptions in supply chains and increases in raw material costs. 
Furthermore, the company's recent changes to its Board of Directors could introduce some uncertainty, although it could also bring new perspectives and strategies that could benefit the company in the long term. 
Considering all these factors, I would assign a moderate score to Amcor for the next month.
Score: 65</t>
  </si>
  <si>
    <t>Given the current economic outlook and the specific news about American International Group (AIG), there are several factors to consider. 
On the positive side, AIG has been making strategic moves that could potentially enhance its profitability and growth prospects. The appointment of Patricia J. Walsh as Executive Vice President and General Counsel could strengthen the company's leadership team and enhance its legal and regulatory compliance. The collaboration with Bearn and the use of Advanced Health Intelligence's biometrics could potentially improve AIG's underwriting process and customer acquisition. The acquisition of AIG's UK life insurance business by Aviva could potentially provide AIG with additional capital that it could use to invest in growth opportunities or reduce its debt.
On the negative side, the potential crisis in the commercial real estate market could potentially impact AIG, given its exposure to this sector. The ongoing unrest in Washington and the potential for increased market volatility could also impact AIG's stock price. 
In terms of financial metrics, AIG's trailing P/E ratio is relatively low, which could indicate that the stock is undervalued. However, the company's forward P/E ratio is also low, which could indicate that investors are expecting lower earnings growth in the future. 
Considering all these factors, I would assign a score of 65 to AIG. This reflects the company's positive strategic moves and potentially undervalued stock price, but also takes into account the potential risks from the current economic and market conditions.
Score: 65</t>
  </si>
  <si>
    <t>Given the current economic outlook and the specific news about Accenture, there are several factors to consider. 
On the positive side, Accenture has shown resilience with its earnings and revenues growing year over year. The acquisition of SIGNAL, an integrated marketing firm based in Tokyo, Japan, could potentially enhance its integrated marketing capabilities and expand its market reach. Furthermore, Accenture's support for Mount Sinai with the migration of its enterprise electronic medical record system, Epic, to the Microsoft Azure cloud environment indicates its strong position in the IT consulting and services industry.
However, there are also negative factors to consider. Accenture's Q4 earnings report was mixed, with the company expecting its slowdown to drag on through fiscal 2024. The company's shares dropped to their lowest level since June after its revenue and full-year outlook missed estimates due to a decline in new bookings. This could potentially impact the company's future earnings and stock price.
Considering these factors, the score for Accenture's potential investment value for the next month would be moderately high, reflecting its strong position in the industry and its growth potential, but also taking into account the risks associated with its recent performance and the current economic outlook.
Score: 65</t>
  </si>
  <si>
    <t>Given the current economic outlook and the specific news related to AbbVie, there are several factors to consider. 
On the positive side, AbbVie has recently received approval in Europe for its drug Epcoritamab for treating relapsed or refractory diffuse large B-cell lymphoma. This could potentially lead to increased sales and profits for the company. Furthermore, AbbVie is among the companies that will announce their annual dividend increases in October, which could potentially attract income-focused investors.
However, there are also several negative factors to consider. AbbVie recently reported that a late-stage study of its experimental combination therapy failed to show a meaningful increase in the survival of patients with a form of blood cancer. This could potentially lead to a decrease in the company's stock price. Furthermore, the ongoing negotiations with Medicare could potentially lead to reduced prices for the company's drugs, which would negatively impact its profits.
Taking these factors into account, along with the company's financial data, I would assign a score of 65 to AbbVie. This reflects the potential for increased sales and profits from the approval of Epcoritamab, as well as the potential for a dividend increase. However, it also takes into account the potential negative impact of the failed drug study and the ongoing Medicare negotiations.
Score: 65</t>
  </si>
  <si>
    <t>Given the current economic outlook and the specific news related to Pfizer, there are several factors to consider. 
On the positive side, Pfizer has recently signed a potentially lucrative deal with Ginkgo Bioworks, which could lead to significant revenue growth in the future. The company's COVID-19 treatment Paxlovid is also being administered at a high rate, which could support its earnings in the short term. Furthermore, Pfizer's stock appears to be undervalued according to some analysts, which could present a buying opportunity.
On the negative side, Pfizer is facing challenges related to the loss of patent protection on multiple drugs, which could impact its future earnings. The company's production has also been disrupted due to a tornado, which could affect its supply of some medications until at least mid-2024.
Taking these factors into account, Pfizer's potential investment value for the next month appears to be moderately high. However, given the current economic uncertainties and the specific challenges facing the company, there is also a significant level of risk involved.
Score: 65</t>
  </si>
  <si>
    <t>Based on the provided macroeconomic data and the financial data of Progressive Corporation (PGR), the company seems to be in a relatively strong position. The company's market cap is substantial at $81.50B, indicating a large and potentially stable company. The forward P/E ratio of 18.69 suggests that the company's stock is reasonably priced based on its expected earnings. The PEG ratio of 0.24 is particularly encouraging, as it suggests that the company's earnings are expected to grow at a significant rate.
However, the ongoing economic uncertainties, including the potential for a recession, the impact of the war in Ukraine, and the potential crisis in the commercial real estate market, could pose risks for the company. The insurance industry could be particularly affected by these factors, as they could lead to increased claims and reduced profitability.
Given these considerations, I would assign a moderate score to Progressive Corporation. The company's strong financial position and expected earnings growth are positive factors, but the potential economic risks could pose challenges.
Score: 65</t>
  </si>
  <si>
    <t>Given the current economic outlook and the specific news about Oracle Corporation, there are several factors to consider. 
On the positive side, Oracle has been expanding its cloud services, which is a growing market. The company's recent partnerships and integrations, such as with Mitto for WhatsApp sales and marketing and TELMEX-Triara for expanding cloud services in Mexico, indicate a proactive approach to growth and diversification. Oracle's recognition as a leader in the 2023 Gartner® Magic Quadrant™ for Cloud ERP for Service-Centric Enterprises also speaks to its strong position in the industry. 
However, the broader economic context presents some risks. The potential for a recession, ongoing political debates, and the impact of the war in Ukraine could all create uncertainty and volatility in the market. 
Oracle's financial data shows a high market cap and enterprise value, indicating a large and established company. However, the relatively high P/E ratios suggest that the stock may be overvalued. 
Considering all these factors, I would assign a moderate score to Oracle Corporation. 
Score: 65</t>
  </si>
  <si>
    <t>Given the current economic outlook and the specific information about Paycom, there are several factors to consider. 
On the positive side, Paycom is a technology company, and as mentioned earlier, technology stocks have been driving a significant share of the stock-market gains. This suggests that Paycom could potentially benefit from this trend. Furthermore, Paycom has been heavily searched by investors and has been listed as a potential buy by Citi in the event of a pullback. This indicates that there is significant interest in the company and that it could potentially benefit from increased investor attention.
On the negative side, the overall economic outlook is mixed, with potential risks from the ongoing unrest in Washington, the aggressive interest rate hikes by the Fed, and the potential crisis in the commercial real estate market. These factors could potentially impact Paycom's performance. 
Furthermore, Paycom's financial data shows that it has a relatively high P/E ratio, which suggests that it may be overvalued. This could potentially lead to a correction in the stock price, which would be negative for investors.
Taking all these factors into account, I would assign a score of 65 to Paycom. This reflects the potential opportunities for the company, but also the significant risks that it faces.
Score: 65</t>
  </si>
  <si>
    <t>Given the current economic climate, Corning Inc. seems to be in a relatively strong position. The company's diversified revenue streams and growth opportunities in the AI datacenter segment and federal broadband access program could provide some resilience against the broader economic uncertainties. The company's forward P/E ratio is also relatively low, suggesting that the stock may be undervalued. However, the high trailing P/E and the ongoing economic and political uncertainties mean that there are still significant risks involved. 
Score: 65</t>
  </si>
  <si>
    <t>Given the current economic outlook and the specific financial data and news about Genuine Parts Company (GPC), it seems that GPC could be a relatively stable investment in the short term. The company has a solid dividend history, which is a positive sign for investors, especially in uncertain economic times. The company's upcoming third quarter financial results could provide further insight into its performance and potential growth. 
However, the broader economic context does present some risks. The potential for a recession, ongoing political debates, and the impacts of the war in Ukraine could all negatively affect the automotive parts and equipment industry. Additionally, the company's relatively high Enterprise Value/EBITDA ratio suggests that it may be overvalued, which could limit its potential for price appreciation.
Considering these factors, I would assign a moderate score to GPC for the next month.
Score: 65</t>
  </si>
  <si>
    <t>Given the current economic climate and the specific data related to Fox Corporation, there are several factors to consider. 
On the positive side, Fox Corporation has shown adaptability in integrating traditional broadcasting with modern digital platforms, which is a good sign for its future growth prospects. The company's new AI-powered content discovery feature, Rabbit AI, could potentially increase user engagement and ad revenue. The company's forward P/E ratio is also relatively low, suggesting that the stock may be undervalued.
On the negative side, the overall economic outlook is mixed, with potential risks from the ongoing political unrest in Washington and the Fed's aggressive interest rate hikes. The company's PEG ratio is also not available, which makes it difficult to assess its future growth prospects. 
Considering these factors, I would assign a score of 65 to Fox Corporation. This reflects the company's strong position in the media industry and its potential for future growth, but also takes into account the potential risks from the current economic climate.
Score: 65</t>
  </si>
  <si>
    <t>Given the current economic climate and the specific circumstances of Federal Realty, there are several factors to consider. The company has a strong track record of dividend growth and a diverse portfolio of top-tier assets, which is a positive sign. However, the high interest rates and the adoption of e-commerce are concerning factors that could potentially impact the company's performance. Additionally, the company's modest yield and underperformance compared to other ETFs are also points of concern. 
On the other hand, Federal Realty's properties are largely located in prosperous parts of the largest U.S. metropolitan areas, which could potentially provide a degree of stability. The company's successful rent increase strategy also contributes to its long streak of dividend growth, making it a reliable choice for investors. 
However, given the potential risks associated with the current economic climate, including the possibility of a recession and the ongoing unrest in Washington, it would be prudent for investors to exercise caution. 
Score: 65</t>
  </si>
  <si>
    <t>Given the current economic outlook and the specific news and financial data related to General Electric (GE), the company seems to be in a relatively strong position. The partnership with EnergyHub for grid optimization, the signing of a Memorandum of Cooperation with Ukrhydroenergo, and the significant upgrades in their Appliance Park indicate positive developments in the company. Deutsche Bank's "buy" rating and the prediction of a 25% stock climb also suggest strong potential.
However, there are also some risks to consider. The ongoing shareholder lawsuit over accounting and disclosures could negatively impact the company's reputation and financial stability. The technical analysis suggesting a price correction is also a concern, indicating potential short-term volatility.
The company's financial data shows a healthy market cap and enterprise value, but the forward P/E ratio is quite high, suggesting that the stock may be overvalued. The PEG ratio is also above 1, which could indicate that the stock's price is not fully justified by its expected earnings growth.
Considering these factors, while GE has strong potential, the risks and potential overvaluation suggest a need for caution. 
Score: 65.</t>
  </si>
  <si>
    <t>Given the current economic climate and the specific news and financial data related to FirstEnergy, there are several factors to consider when assigning a potential investment value score.
FirstEnergy has shown resilience in its operations, as evidenced by its proactive measures to prepare for severe weather events. This indicates a strong operational strategy that could potentially minimize disruptions and maintain service reliability, which is crucial for its revenue generation.
The company's recent 5% dividend hike is a positive sign for investors, as it indicates that the company is generating enough profits to share with its shareholders. This could potentially attract more investors, which could drive up the stock price.
However, the high trailing P/E ratio of 42.73 suggests that the stock may be overvalued, which could limit its potential for price appreciation. The forward P/E ratio of 12.76 is more favorable, suggesting that the company's earnings are expected to grow in the future.
The company's market cap of $19.60B and enterprise value of $43.43B indicate that it is a large and established company, which could potentially provide stability in a volatile market environment.
However, the ongoing economic uncertainties, including the potential for a recession and the impact of the war in Ukraine, could potentially impact the company's operations and financial performance. The company's exposure to these risks should be carefully considered when making investment decisions.
Taking all these factors into account, I would assign a score of 65 to FirstEnergy's potential investment value for the next month.
Score: 65</t>
  </si>
  <si>
    <t>Given the current economic climate and the specific data provided for Fair Isaac, there are several factors to consider. 
On the positive side, Fair Isaac's FICO® Score continues to be the most widely used credit score in the securitization market, which indicates a strong market position and high demand for its services. This could potentially support continued revenue growth and profitability for the company, which would be positive for its stock price. 
On the negative side, the company's valuation ratios, such as its trailing P/E and forward P/E, are relatively high compared to the industry average. This suggests that the stock may be overvalued, which could potentially limit its upside potential. 
Furthermore, the ongoing uncertainty in the economy and the stock market, as well as the potential risks associated with the Fed's interest rate hikes and the unrest in Washington, could potentially lead to increased volatility and risk for the stock. 
Considering these factors, I would assign a moderate score to Fair Isaac. 
Score: 65</t>
  </si>
  <si>
    <t>Given the current economic outlook and the specific information about Nvidia, there are several factors to consider. 
On the positive side, Nvidia is a leading player in the technology sector, which has been driving a significant share of the stock-market gains. The company's strong position in the semiconductor industry, which is critical for many of the technological developments that are currently driving economic growth, could support its stock price. 
However, there are also several negative factors to consider. The overall economic outlook is mixed, with a relatively high risk of recession and potential negative impacts from the ongoing conflict in Ukraine. This could lead to increased volatility and risk in the stock market, which could negatively impact Nvidia's stock price. 
Furthermore, the Fed's aggressive interest rate hikes could potentially lead to lower earnings growth for companies, which would be negative for stock prices. This could be particularly relevant for Nvidia, given its high valuation and the potential impact of higher interest rates on its cost of capital. 
Taking all these factors into account, I would assign a score of 65 to Nvidia. This reflects the company's strong position in the technology sector and the potential for continued growth, but also the significant risks and uncertainties in the current economic environment.
Score: 65</t>
  </si>
  <si>
    <t>Given the current economic outlook and the financial data of NXP Semiconductors, the company seems to be in a relatively strong position. The firm's market cap is substantial, and its forward P/E ratio is lower than the trailing P/E, indicating that earnings are expected to grow. The PEG ratio, while slightly high, is still within a reasonable range, suggesting that the company's stock may be fairly valued given its expected growth rates. 
However, the ongoing geopolitical tensions and potential for economic downturn should not be overlooked. These factors could introduce volatility and risk into the market, which could impact the performance of NXP Semiconductors. 
Furthermore, the company's high Enterprise Value/Revenue and Enterprise Value/EBITDA ratios suggest that it may be overvalued relative to its revenue and earnings before interest, taxes, depreciation, and amortization. This could potentially limit the stock's upside potential.
Considering all these factors, while NXP Semiconductors appears to be a solid company with good growth prospects, the potential risks and uncertainties in the market suggest a need for caution. 
Score: 65</t>
  </si>
  <si>
    <t>OGN</t>
  </si>
  <si>
    <t>Given the current economic outlook and the specific financial data for Organon &amp; Co., the company seems to be in a relatively strong position. The company's recognition on Fortune's 2023 Change the World List indicates strong leadership and a positive reputation, which could potentially attract more investors. 
The company's market cap of 4.44B and enterprise value of 12.84B suggest that it is a relatively large and stable company, which could potentially provide some protection against market volatility. The trailing P/E ratio of 5.88 is relatively low, indicating that the company's stock is potentially undervalued. This could potentially provide an opportunity for investors to buy the stock at a lower price and potentially earn a higher return if the company's earnings continue to grow.
However, the lack of data for the forward P/E and PEG ratio makes it difficult to assess the company's future earnings growth potential. This could potentially increase the risk of investing in the company. The price/sales ratio of 0.72 is relatively low, indicating that the company's stock is potentially undervalued. However, the enterprise value/revenue ratio of 2.08 and the enterprise value/EBITDA ratio of 8.04 are relatively high, indicating that the company may be overvalued.
Given these factors, I would assign a score of 65 to Organon &amp; Co. This reflects the company's strong position and potential for growth, but also the potential risks associated with the lack of data for some key financial ratios and the current economic outlook.
Score: 65</t>
  </si>
  <si>
    <t>Given the current economic climate and the specific circumstances of ONEOK, there are several factors to consider. The acquisition of Magellan Midstream Partners is a positive development, as it could potentially boost ONEOK's revenues and expand its operations. The company's market cap and enterprise value are also relatively high, indicating a strong market presence. However, the ongoing war in Ukraine and its impact on energy prices could pose a risk to ONEOK, given its involvement in the oil and gas industry. The company's P/E ratios are also relatively high, which could indicate overvaluation. 
Considering these factors, I would assign a moderate score to ONEOK. The company has strong potential due to its recent acquisition and market presence, but there are also significant risks due to the current economic climate and potential overvaluation.
Score: 65.</t>
  </si>
  <si>
    <t>Given the current economic outlook and the specific information about ON Semiconductor, there are several factors to consider. 
On the positive side, ON Semiconductor has been transforming itself for growth and has received attention from investors. It also has a high Return on Equity (ROE), which is a good sign of profitability. The company's forward P/E ratio is lower than its trailing P/E, suggesting that earnings are expected to grow. 
However, there are also some potential concerns. The company's PEG ratio is above 1, which could suggest that it is overvalued. The price-to-sales and price-to-book ratios are also relatively high, which could indicate that the stock is overpriced. 
Furthermore, the broader economic and market conditions could impact ON Semiconductor. The potential for a recession and the ongoing unrest in Washington could increase uncertainty and risk aversion among investors. The Fed's interest rate hikes could also weigh on corporate earnings. 
Given these factors, while ON Semiconductor has some positive aspects, there are also significant risks. Therefore, a moderate score seems appropriate.
Score: 65</t>
  </si>
  <si>
    <t>Given the current economic climate and the specific factors affecting Northrop Grumman, there are several key points to consider. 
Firstly, the ongoing war in Ukraine and the U.S. government's military aid to the country could potentially benefit defense contractors like Northrop Grumman. This could lead to increased revenues and profits for the company, which would be positive for its stock price. 
Secondly, the company's upcoming Q3 2023 financial results could provide further insight into its financial performance and outlook. If the results are positive, this could boost investor confidence and drive up the stock price. 
However, there are also some potential risks to consider. The uncertainty surrounding the U.S. government's funding situation could potentially impact defense spending and, by extension, Northrop Grumman's revenues. Additionally, the company's relatively high PEG ratio suggests that it may be overvalued, which could limit its upside potential. 
Finally, the broader economic and market trends could also impact Northrop Grumman's stock. The potential for a recession and the Fed's interest rate hikes could create headwinds for the stock market as a whole, which could negatively impact Northrop Grumman's stock price. 
Taking all these factors into account, I would assign a score of 65 to Northrop Grumman's potential investment value for the next month. 
Score: 65</t>
  </si>
  <si>
    <t>Given the current economic outlook and the specific financial data for NRG Energy, the company appears to be a potentially good investment. The company's low forward P/E ratio suggests that it is undervalued, which could provide an opportunity for investors. Additionally, the company's strong dividend performance could provide a steady income stream for investors, which could be particularly attractive in the current uncertain market environment. However, the company's negative Enterprise Value/EBITDA ratio could be a cause for concern, as it suggests that the company may be overleveraged or not generating sufficient earnings. 
Considering the macroeconomic risks, including the potential for a recession and the ongoing conflict in Ukraine, it would be prudent for investors to exercise caution. The energy sector could be particularly impacted by these risks, given its sensitivity to global economic conditions and geopolitical events. 
Therefore, while NRG Energy has some attractive qualities, the overall risk environment suggests a moderate investment score.
Score: 65</t>
  </si>
  <si>
    <t>Given the current economic outlook and the specific news and financial data related to Norfolk Southern Railway, the company seems to be in a relatively stable position. The recent system outage could potentially impact short-term operations, but the company's quick response and communication about the issue suggest that it is likely to be resolved quickly. The upcoming Q3 earnings announcement could provide further insight into the company's financial health and future prospects.
The company's recent initiatives, such as the appointment of a Director of Public Engagement and the expansion of intermodal service with Florida East Coast Railway, suggest a proactive approach to improving operations and stakeholder relations. These initiatives could potentially enhance the company's long-term growth prospects.
In terms of financial data, the company's market cap of $44.71B and enterprise value of $59.28B suggest a substantial size and presence in the market. The trailing P/E ratio of 17.73 and forward P/E ratio of 14.16 are relatively moderate, suggesting that the company's stock is not overly expensive relative to its earnings. The PEG ratio of 3.16 is somewhat high, suggesting that the company's stock may be overvalued relative to its expected earnings growth. However, the price/sales and price/book ratios are relatively moderate, suggesting that the company's stock is reasonably priced relative to its sales and book value.
Given the mixed economic outlook, the potential risks associated with the recent system outage, and the somewhat high PEG ratio, there is some degree of risk associated with investing in Norfolk Southern Railway. However, the company's proactive initiatives and moderate valuation ratios suggest potential for growth and value.
Score: 65.</t>
  </si>
  <si>
    <t>Given the current economic outlook and the financial data of Nordson Corporation, the company seems to be in a relatively stable position. The company has a healthy market cap and enterprise value, indicating a strong market presence. The P/E ratios are also within reasonable ranges, suggesting that the company's earnings are in line with its stock price. However, the PEG ratio is slightly high, indicating that the company's stock may be overvalued relative to its expected earnings growth. 
The company operates in the Industrial Machinery &amp; Supplies &amp; Components industry, which could be impacted by the ongoing supply chain disruptions caused by the war in Ukraine. However, the company's inclusion in D.A. Davidson's list of "high quality" stocks suggests that it has strong fundamentals and could potentially weather these challenges.
Given the mixed economic outlook and the company's financial data, I would assign a moderate score to Nordson Corporation. 
Score: 65.</t>
  </si>
  <si>
    <t>Given the current economic outlook and the financial data of MSCI, the company seems to be in a strong position. The firm's market cap is substantial, and it has a relatively high trailing P/E ratio, indicating that investors are willing to pay a high price for its earnings. This suggests that the market has high expectations for the company's future growth. 
However, the forward P/E ratio is lower than the trailing P/E, indicating that earnings are expected to grow in the future. The PEG ratio, which takes into account the company's expected growth rate, is also relatively high, suggesting that the company's stock may be overvalued relative to its expected earnings growth.
The company's price-to-sales ratio is also quite high, indicating that the company's stock is highly valued relative to its sales. This could be a sign that the company's stock is overpriced, or it could indicate that the company has strong profit margins.
Given the current economic climate, with the potential for a recession and the ongoing political and economic uncertainties, it would be prudent for investors to be cautious. However, the company's strong financial position and the potential for future earnings growth could make it an attractive investment for those willing to take on some risk.
Score: 65</t>
  </si>
  <si>
    <t>Given the current economic climate and the specific news about Match Group, there are several factors to consider. 
On the positive side, Match Group's Tinder is launching a high-end subscription service, which could potentially drive significant revenue growth. This is especially true given that the service is targeted at the most engaged users, who are likely to be willing to pay for premium features. This could potentially lead to increased earnings and a higher stock price. 
On the negative side, the overall economic and market conditions are mixed, with several negative trends that could potentially impact Match Group. The potential for a recession, the ongoing political unrest, and the impact of the war in Ukraine could all lead to increased uncertainty and risk aversion among investors. This could potentially lead to lower stock prices. 
In terms of the company's financials, Match Group has a relatively high trailing P/E ratio, which suggests that the stock may be overvalued. However, the company's forward P/E ratio is lower, which suggests that earnings growth is expected. The company's PEG ratio is also below 1, which suggests that the stock may be undervalued given its expected earnings growth. 
Overall, while there are some positive factors that could potentially drive Match Group's stock price higher, there are also several risks that could potentially lead to lower stock prices. Therefore, a moderate score seems appropriate.
Score: 65</t>
  </si>
  <si>
    <t>Given the current economic outlook and the specific news about Intel, there are several factors to consider. 
On the positive side, Intel is showing signs of a successful turnaround, with a recovery in revenue and earnings, and an uptrend in share price. The company is making strategic moves to position itself better in the AI semiconductor market, which is experiencing significant growth. Intel's diverse portfolio could serve multiple needs in this market, which could potentially drive its future growth. The company's new fab in Ireland has also begun high-volume production of Intel 4 technology, which could potentially enhance its competitive position in the market. 
On the negative side, there are concerns about Intel's ability to meet its targets, as failure to do so could negatively impact its core business and foundry plans. There is also a potential risk from the ongoing U.S.-China tech war, which could impact the company's operations and performance. 
Considering these factors, Intel seems to be a moderately attractive investment opportunity. The company's ongoing turnaround efforts and strategic moves in the AI market could potentially drive its future growth. However, the potential risks and uncertainties mean that investors should exercise caution. 
Score: 65</t>
  </si>
  <si>
    <t>Given the current economic climate and the specific information about Intuit, there are several factors to consider. 
On the positive side, Intuit has recently reaffirmed its financial guidance for the first quarter and full fiscal year 2024, which indicates confidence in its future performance. The company is also launching new products, such as the two additional QuickBooks Payroll plans in Canada, which could potentially drive revenue growth. Furthermore, Intuit is included in the list of stocks that Jim Cramer is watching, which could potentially increase investor interest in the company.
On the negative side, the company's valuation ratios, such as its trailing P/E and forward P/E, are relatively high, which suggests that the stock may be overvalued. This could potentially limit the upside potential for the stock. 
Furthermore, the broader economic and market trends could also impact Intuit. The potential for a recession, the ongoing debates about government funding, and the impacts of the war in Ukraine could all create uncertainty and volatility in the market, which could potentially impact Intuit's stock price. 
Given these factors, I would assign a moderate score to Intuit. The company has some positive factors, such as its recent reaffirmation of its financial guidance and its new product launches, but there are also several risks, such as its high valuation ratios and the broader economic and market trends.
Score: 65</t>
  </si>
  <si>
    <t>Given the current economic outlook and the specific financial data for International Paper, the company seems to be in a relatively stable position. The company's trailing P/E ratio is lower than the industry average, indicating that it may be undervalued. However, the forward P/E ratio is higher, suggesting that investors are expecting higher earnings growth in the future. 
The company's enterprise value is higher than its market cap, which could indicate that it has a significant amount of debt. However, the enterprise value to EBITDA ratio is relatively low, suggesting that the company is generating sufficient earnings to cover its debt.
The ongoing war in Ukraine and the potential for a global economic slowdown could impact International Paper's operations, particularly if it leads to higher energy prices or disruptions in supply chains. However, the company's upcoming earnings release could provide further insight into its financial health and future prospects.
Given these factors, I would assign a score of 65 to International Paper. This reflects the company's relatively stable financial position, but also takes into account the potential risks associated with the current economic environment.
Score: 65</t>
  </si>
  <si>
    <t>Given the current economic outlook and the specific news about Hershey's, the company seems to be in a relatively strong position. Despite the potential threat from weight loss drugs, Hershey's is innovating with new products like vegan chocolate, which could help to diversify its revenue streams and appeal to a wider range of consumers. The company's financial data also looks solid, with a healthy market cap and P/E ratios. However, the high enterprise value to EBITDA ratio suggests that the company might be overvalued, which could limit its potential for future stock price growth. Furthermore, the ongoing economic uncertainties and potential for a recession could also negatively impact Hershey's stock price. Therefore, while Hershey's has some positive aspects, there are also significant risks that need to be considered.
Score: 65</t>
  </si>
  <si>
    <t>Given the current economic climate and the specific news related to IBM, there are several factors to consider. 
On the positive side, IBM's collaboration with Rapidus could potentially revitalize Japan's semiconductor industry, which could boost IBM's revenues and profitability. The company's focus on artificial intelligence and quantum computing also presents significant growth opportunities. IBM's recent announcement about the availability of its watsonx Granite model series could further enhance its position in the AI market. 
However, there are also some potential risks. The company's hardware business could potentially impede a significant valuation re-rating, and the stock's valuation is no longer considered cheap. There is also the broader risk of a potential recession, which could negatively impact IBM's business and stock price. 
Considering these factors, I would assign a score of 65 to IBM. This reflects the company's strong growth prospects in AI and quantum computing, as well as its potential risks related to its hardware business and the broader economic climate.
Score: 65</t>
  </si>
  <si>
    <t>Given the current economic outlook and the financial data of Essex Property Trust, the company seems to be in a relatively strong position. The high dividend yield and low valuation multiple are attractive features for investors, especially in a potentially bearish market. The company's focus on the West Coast, where technology job growth is recovering, could also be beneficial. 
However, there are also risks to consider. The potential crisis in the commercial real estate market could impact the company, especially given its high enterprise value. The company's relatively high P/E ratios also suggest that its stock may be overvalued, which could lead to a correction in the future. 
Furthermore, the aggressive interest rate hikes by the Fed could put pressure on the company's earnings, which could negatively impact its stock price. The ongoing political unrest and potential for increased market volatility could also pose risks.
Considering these factors, I would assign a score of 65 to Essex Property Trust. This reflects the company's strong position and attractive features, but also takes into account the potential risks and uncertainties in the current economic and market environment.
Score: 65</t>
  </si>
  <si>
    <t>Given the current economic outlook and the specific information about Eastman Chemical Company, there are several factors to consider. 
On the positive side, Eastman Chemical Company has been recognized for its corporate purpose and social impact, which could potentially enhance its reputation and attract more investors. The company's cost-management and pricing actions, as well as its focus on innovation, could also potentially support its profitability and stock price. 
On the negative side, the company is facing headwinds from soft demand and customer inventory de-stocking, which could potentially weigh on its revenues and earnings. The ongoing uncertainty in the economy and the stock market could also potentially lead to increased volatility and risk for the company's stock. 
In terms of the company's financial data, it has a relatively low P/E ratio, which could potentially make it an attractive investment. However, its enterprise value is higher than its market cap, which could potentially indicate that it is overvalued. 
Taking all these factors into account, I would assign a score of 65 to Eastman Chemical Company. This reflects the potential investment value of the company in the Diversified Chemicals industry for the next month, given the current economic outlook and the specific information about the company.
Score: 65</t>
  </si>
  <si>
    <t>Given the current economic climate and the specific information about Dexcom, there are several factors to consider. 
On the positive side, Dexcom has solidified its global leadership in continuous glucose monitoring, which is a growing market. The company has also partnered with RxFood for automated dietary monitoring, which could potentially open up new revenue streams. Furthermore, Wall Street analysts are predicting a 19% surge for the S&amp;P 500, which could potentially benefit Dexcom.
On the negative side, the company's valuation ratios such as Trailing P/E, Forward P/E, and Price/Sales are quite high, indicating that the stock may be overvalued. This could potentially limit the stock's upside potential. Furthermore, the ongoing uncertainty in the economy and the stock market could potentially lead to increased volatility and risk for the stock.
Taking all these factors into account, I would assign a score of 65 to Dexcom. This reflects the company's strong position in its industry and the potential for growth, but also takes into account the potential risks and the high valuation ratios.
Score: 65</t>
  </si>
  <si>
    <t>Given the current economic climate and the specific circumstances surrounding Electronic Arts (EA), there are several factors to consider when evaluating its potential investment value.
On the positive side, EA has recently launched new products, such as EA SPORTS FC 24 and EA SPORTS FC™ Mobile, which could potentially drive revenue growth. The company's market cap is also relatively high at $32.62B, indicating a strong market presence. Furthermore, the company's forward P/E ratio is lower than its trailing P/E, suggesting that earnings growth is expected in the future.
However, there are also several negative factors to consider. The ongoing strike by actors could potentially disrupt the production of new games, which could negatively impact EA's revenue and profitability. Furthermore, the company's relatively high P/E ratios suggest that its stock may be overvalued, which could potentially lead to a correction in the future.
Taking these factors into account, I would assign a score of 65 to Electronic Arts. This reflects the company's strong market presence and potential for future earnings growth, but also takes into account the potential risks associated with the ongoing strike and the possibility of a market correction.
Score: 65</t>
  </si>
  <si>
    <t>Given the current economic outlook and the specific financial data for Ecolab, the company appears to be in a relatively strong position. Despite the overall bearish sentiment in the market, Ecolab's business strength and its performance relative to the Dividend Aristocrat index suggest that it could potentially outperform in the current environment. 
However, it's important to note that the company's valuation ratios, such as its trailing P/E and forward P/E, are relatively high. This suggests that the stock may be overvalued, which could limit its upside potential. 
Furthermore, the ongoing unrest in Washington and the potential impact of the Fed's interest rate hikes could also weigh on the stock's performance. 
Therefore, while Ecolab appears to be a solid company with strong business fundamentals, its high valuation and the current economic and market risks suggest that its investment value may be somewhat limited in the short term.
Score: 65</t>
  </si>
  <si>
    <t>Given the current economic outlook and the specific news and financial data related to Dow Inc., the company seems to be in a relatively strong position despite the overall market uncertainty. The company's strong liquidity, attractive dividend yield, and potential to benefit from higher oil prices are positive factors. However, the concerns about the overall market, including the potential for a recession and the ongoing unrest in Washington, could pose risks. Additionally, the company's relatively high P/E ratio and the potential impact of the Fed's interest rate hikes could also be concerns. 
Considering all these factors, I would assign a moderate score to Dow Inc. for the next month. 
Score: 65</t>
  </si>
  <si>
    <t>Given the current economic outlook and the specific news and financial data related to Duke Energy, the company seems to be in a relatively stable position. The approval of new rates in North Carolina and the implementation of new programs to help customers could potentially increase revenue and customer satisfaction. The company's diversification across multiple states also provides a hedge against state-specific challenges, which could be beneficial given the current economic uncertainty. 
However, there are also some potential risks. The ongoing shift to renewable energy requires significant capital expenditure, which could impact the company's financial performance. The company's relatively high Enterprise Value/EBITDA ratio also suggests that it may be overvalued, which could limit its potential for future stock price appreciation.
Considering these factors, I would assign a moderate score to Duke Energy. 
Score: 65</t>
  </si>
  <si>
    <t>Given the current economic outlook and the financial data of DaVita Inc., the company seems to be in a relatively stable position. The company's low PEG ratio indicates that it is undervalued given its expected growth rates, suggesting potential for investment. However, the high Enterprise Value/EBITDA ratio could be a concern, indicating the company might be overvalued based on its earnings before interest, taxes, depreciation, and amortization.
The healthcare sector is generally considered defensive and could potentially offer some protection in the event of a downturn. However, the ongoing debates about government funding and the potential impact of the war in Ukraine on the global economy could introduce some uncertainty.
Considering these factors, the potential investment value of DaVita Inc. for the next month is moderate. 
Score: 65.</t>
  </si>
  <si>
    <t>Given the macroeconomic context and the specific information about Phillips 66, there are several factors to consider. 
On the positive side, the oil and gas sector has been performing well recently, with rising crude prices boosting profits. Phillips 66 has also seen a significant increase in its stock price over the past three months, and it has recently overtaken the 20-day moving average, suggesting a short-term bullish trend. 
However, there are also some negative factors to consider. The war in Ukraine has led to a spike in energy prices, which could potentially impact Phillips 66's costs and profitability. There are also concerns about the stock's future performance, as some insiders have started selling their equity. 
Furthermore, the company's forward P/E ratio is higher than its trailing P/E ratio, suggesting that investors are expecting lower earnings growth in the future. The company's enterprise value is also significantly higher than its market cap, indicating a high level of debt, which could potentially increase the company's financial risk.
Taking all these factors into account, I would assign a score of 65 to Phillips 66. This reflects the company's recent strong performance and the positive outlook for the oil and gas sector, but also takes into account the potential risks and uncertainties.
Score: 65</t>
  </si>
  <si>
    <t>Given the current economic outlook and the specific financial data for Pentair, the company seems to be in a relatively strong position. The company's focus on innovation and automation aligns well with the broader trend of increased investment in AI and technology. Additionally, the company's growth in areas such as residential and commercial water treatment could potentially provide some resilience against the broader economic risks, given the essential nature of these services.
However, the potential for a recession and the ongoing political unrest could pose risks for the company. The company's relatively high P/E ratios suggest that its stock may be overvalued, which could lead to a correction if the broader market turns bearish. Additionally, the company's high enterprise value relative to its revenue and EBITDA suggests that it may be carrying a significant amount of debt, which could pose risks if the economy were to slow down.
Therefore, while Pentair has some positive factors that could support its stock price, there are also significant risks that need to be considered. 
Score: 65</t>
  </si>
  <si>
    <t>Given the current economic outlook and the specific financial data for Pinnacle West, the company appears to be a relatively stable investment. The utility sector is generally considered defensive and can provide steady returns during economic downturns. Pinnacle West's strong return on equity (ROE) and growth prospects further strengthen its case. However, the high Enterprise Value/EBITDA ratio indicates that the company might be overvalued, which could limit its upside potential. The ongoing political unrest and potential economic downturn also add a layer of risk. 
Considering these factors, I would assign a moderate score to Pinnacle West.
Score: 65</t>
  </si>
  <si>
    <t>Given the current macroeconomic conditions and the specific news about Insulet, the company seems to be in a relatively strong position. The upgrade from Jefferies and the potential for the stock to rise after pressure from Novo Nordisk's Wegovy and Eli Lilly are positive signs. The company's plans to present extended real-world evidence of improved outcomes and optimization of care using the Omnipod 5 Automated Insulin Delivery System also indicate potential for growth. However, the company's high P/E ratios suggest that the stock may be overvalued, and the broader economic risks could impact the stock's performance. Therefore, while there are positive signs, there are also significant risks to consider.
Score: 65</t>
  </si>
  <si>
    <t>Given the current economic outlook and the financial data of Public Service Enterprise Group, the company seems to be in a relatively stable position. The company's market cap is substantial, and its trailing P/E ratio is lower than the industry average, indicating that it may be undervalued. The forward P/E ratio suggests that the market has positive expectations for the company's future earnings. 
However, the ongoing political unrest and potential economic downturn could pose risks to the company. The war in Ukraine and its impact on energy prices could also affect the company's operations and profitability. 
On the other hand, the company's upcoming earnings call could provide a positive catalyst if the results are better than expected. The fact that top Wall Street analysts are bullish on dividend stocks, including PSEG, also adds to the positive sentiment.
Considering all these factors, while the company seems to have solid fundamentals, the potential macroeconomic risks cannot be ignored. Therefore, a moderate score seems appropriate.
Score: 65</t>
  </si>
  <si>
    <t>Given the current economic outlook and the specific news and financial data related to Huntington Ingalls Industries (HII), there are several factors to consider when assigning an investment score.
On the positive side, HII has been actively involved in several projects, including hosting a welding competition, marking construction milestones, and advancing additive manufacturing technology. These activities demonstrate the company's commitment to innovation and workforce development, which could potentially enhance its competitive position and long-term growth prospects.
In terms of financial data, HII's trailing P/E ratio is relatively low, suggesting that the stock may be undervalued. The company's forward P/E ratio is also lower than the trailing P/E, indicating that earnings are expected to grow in the future. The PEG ratio is less than 1, which could suggest that the stock is undervalued given its earnings growth expectation.
However, there are also several risks to consider. The ongoing war in Ukraine and the potential for a recession could negatively impact the aerospace and defense industry. Additionally, the company's relatively high enterprise value compared to its market cap could indicate a higher level of debt, which could increase the company's financial risk.
Taking all these factors into account, I would assign a moderate score to HII.
Score: 65</t>
  </si>
  <si>
    <t>Given the current economic outlook, Hilton Worldwide Holdings Inc. (HLT) seems to be in a relatively strong position. The company is set to benefit from the rise in personal spending and income, which could boost its revenues and profitability. The company's upcoming earnings release could also provide a positive catalyst for the stock, especially if the results exceed market expectations.
However, there are also several risks to consider. The ongoing debates about government funding could potentially impact consumer confidence and spending, which would be negative for Hilton. The war in Ukraine and the COVID-19 pandemic could also continue to disrupt global travel and tourism, which would negatively impact Hilton's business.
In terms of valuation, Hilton's trailing P/E ratio is relatively high, which suggests that the stock may be overvalued. However, its forward P/E ratio is lower, which suggests that the market is expecting the company's earnings to grow in the future. The company's PEG ratio is also close to 1, which suggests that its stock price is fairly valued relative to its expected earnings growth.
Considering all these factors, I would assign a score of 65 to Hilton Worldwide Holdings Inc. This reflects the company's strong fundamentals and positive outlook, but also takes into account the various risks and uncertainties that could impact its performance.
Score: 65</t>
  </si>
  <si>
    <t>Given the current economic climate and the specific information about Hologic, the company seems to be in a relatively strong position. The company's initiatives for Breast Cancer Awareness Month and its global partnership with Know Your Lemons demonstrate a proactive approach to promoting women's health and early detection of breast cancer. This could potentially increase the company's visibility and reputation, which could positively impact its stock price.
Moreover, the company's performance in the Breast Health business and its international execution are encouraging signs. The fact that Hologic has been one of the most watched stocks by Zacks.com users lately suggests that there is significant interest in the company, which could potentially drive up its stock price.
However, the company's relatively high trailing P/E ratio of 35.59 suggests that its stock may be overvalued, which could limit its potential for future price appreciation. The company's forward P/E ratio of 17.12 is more reasonable, but still indicates a premium valuation. The company's price/sales ratio of 4.30 and price/book ratio of 3.28 also suggest a premium valuation.
Given the mixed economic outlook and the company's premium valuation, I would assign a moderate score to Hologic. The company's initiatives and performance are positive, but its valuation could limit its potential for future price appreciation.
Score: 65</t>
  </si>
  <si>
    <t>Given the current economic outlook and the specific news about Honeywell, there are several factors to consider. 
On the positive side, Honeywell has recently announced a 5% increase in its dividend, which is a positive sign of the company's financial health and its confidence in its future prospects. The company has also announced several strategic collaborations and investments, including a deal with ESS Tech to advance the development and commercialization of iron flow battery energy storage systems. This could potentially open up new growth opportunities for the company in the renewable energy sector. 
On the negative side, the overall economic outlook is mixed, with risks of a potential recession and uncertainty about the impact of the Fed's tightening. This could potentially lead to increased volatility and risk in the stock market, which could negatively impact Honeywell's stock price. 
Furthermore, Honeywell's valuation ratios, such as its trailing P/E and forward P/E, suggest that the stock is currently fairly valued or potentially slightly overvalued. This could limit the potential for significant price appreciation in the short term. 
Taking all these factors into account, I would assign a score of 65 to Honeywell. This reflects the company's solid financial performance and growth prospects, but also takes into account the potential risks and uncertainties in the current economic environment.
Score: 65</t>
  </si>
  <si>
    <t>Eli Lilly and Company (LLY) is a well-established player in the pharmaceutical industry. The company has a strong pipeline of drugs and has recently received FDA approval for Jardiance, a drug for chronic kidney disease, which can access a target market affecting more than 35 million adults in the United States. This could potentially lead to significant revenue growth for the company.
However, there are also several risks to consider. The company has recently faced issues with the FDA regarding its lebrikizumab skin treatment, which could potentially impact its future revenue and earnings. Furthermore, the company is also involved in a lawsuit related to poor manufacturing practices and data falsification, which could potentially lead to reputational damage and financial losses.
In terms of financials, the company has a high market cap of $509.89B and a high trailing P/E ratio of 74.81, which suggests that the stock is currently overvalued. This could potentially lead to lower returns for investors if the stock were to revert to its intrinsic value.
Given these factors, I would assign a score of 65 to Eli Lilly and Company. This reflects the company's strong pipeline and recent FDA approval, but also takes into account the risks associated with the FDA issues and lawsuit, as well as the high valuation of the stock.
Score: 65</t>
  </si>
  <si>
    <t>Given the current economic outlook and the specific information about Kraft Heinz, there are several factors to consider. 
On the positive side, Kraft Heinz's commitment to enhancing long-term shareholder value and its AGILE@SCALE strategy could potentially lead to increased profitability and stock price appreciation. The company's relatively low P/E ratios suggest that it may be undervalued compared to its earnings, which could make it an attractive investment. 
Furthermore, the fact that Warren Buffett, a renowned investor known for his long-term investment strategy, has a significant stake in Kraft Heinz could be seen as a vote of confidence in the company's prospects. 
On the negative side, the overall economic outlook is mixed, with potential risks from the ongoing political unrest in Washington, the Fed's aggressive interest rate hikes, and the potential crisis in the commercial real estate market. These factors could potentially lead to increased market volatility and risk, which could negatively impact Kraft Heinz's stock price. 
In terms of the company's industry, the Packaged Foods &amp; Meats industry could potentially be impacted by the ongoing supply chain disruptions caused by the war in Ukraine. This could potentially lead to increased costs for Kraft Heinz, which could negatively impact its profitability and stock price. 
Taking all these factors into account, I would assign a score of 65 to Kraft Heinz. This reflects the potential investment value of the company in the next month, given the current economic outlook and the specific information about the company. 
Score: 65</t>
  </si>
  <si>
    <t>Considering the macroeconomic data and the specific news about Johnson Controls, there are several factors to consider. 
On the positive side, Johnson Controls has been named to Fortune's 2023 Change the World list for its innovative heat pump technology, indicating strong potential for future growth. The company's market cap and enterprise value are also relatively high, suggesting a strong market presence. The PEG ratio is less than 1, indicating that the stock may be undervalued given its earnings growth expectation. 
However, there are also some negative factors to consider. The recent cybersecurity incident could potentially disrupt operations and delay earnings, which could negatively impact the company's stock price. The company's trailing P/E and forward P/E are also relatively high, suggesting that the stock may be overvalued. 
Given these factors, I would assign a score of 65 to Johnson Controls. This reflects the company's strong market presence and growth potential, but also takes into account the potential risks associated with the recent cybersecurity incident and the possibility of overvaluation.
Score: 65</t>
  </si>
  <si>
    <t>Given the current economic outlook and the specific financial data for Ingersoll Rand, the company seems to be in a relatively stable position. The addition of experienced individuals to its Board of Directors could potentially bring new insights and strategies that could help the company navigate the current economic climate. 
However, the company's relatively high trailing P/E ratio suggests that its stock may be overvalued, which could limit its potential for future price appreciation. The company's forward P/E ratio is more favorable, suggesting that analysts expect its earnings to grow in the future. 
The company's PEG ratio is slightly above 1, which suggests that its stock may be slightly overvalued relative to its expected earnings growth. However, this is not necessarily a negative sign, as it could also indicate that investors are willing to pay a premium for the company's expected growth. 
The company's price/sales and price/book ratios are also relatively high, which could suggest that its stock is overvalued. However, these ratios can also be influenced by factors such as the company's growth prospects and the overall market conditions, so they should not be viewed in isolation. 
The company's enterprise value/revenue and enterprise value/EBITDA ratios are also relatively high, which could suggest that the company is overvalued. However, these ratios can also be influenced by factors such as the company's debt levels and its profitability, so they should not be viewed in isolation. 
Given these factors, I would assign a score of 65 to Ingersoll Rand. This reflects the company's relatively stable position and its potential for future growth, but also takes into account the potential risks associated with its relatively high valuation ratios.
Score: 65</t>
  </si>
  <si>
    <t>Given the current economic climate and the specific financial data for Iron Mountain, the company seems to be in a relatively strong position. The company's strong cash flows and focus on data center business growth are positive indicators. However, the high P/E ratios suggest that the stock may be overvalued, and the ongoing economic uncertainties could pose risks. The company's large market cap and enterprise value also suggest that it is a relatively stable investment. However, the high price/book ratio could indicate that the stock is overpriced relative to its book value. 
Considering these factors, I would assign a moderate score to Iron Mountain. The company's strong fundamentals and growth prospects are positive, but the potential overvaluation and economic uncertainties are concerns.
Score: 65</t>
  </si>
  <si>
    <t>Given the current economic outlook and the specific financial data for Illinois Tool Works (ITW), the company appears to be a solid investment. The firm's market cap and enterprise value are substantial, indicating a large and stable company. The P/E ratios are reasonable, suggesting the stock is not overvalued. The PEG ratio is slightly high, indicating the stock may be overvalued relative to its expected earnings growth. However, the firm's strong dividend performance could offset this concern for some investors. 
The company operates in the industrial machinery and supplies industry, which could be negatively impacted by the ongoing supply chain disruptions caused by the war in Ukraine. However, the firm's size and stability could help it weather these challenges. 
Given the mixed economic outlook, the potential risks associated with the industry, and the firm's financial data, I would assign a moderate score to Illinois Tool Works.
Score: 65.</t>
  </si>
  <si>
    <t>Given the current macroeconomic conditions and the financial data of Invesco, the company seems to be in a relatively stable position. The firm's market cap is substantial, and its trailing and forward P/E ratios are relatively low, indicating that the stock may be undervalued. The firm's dividend yield could also provide a steady income stream for investors, which could be particularly attractive in the current uncertain economic environment. However, the firm's relatively high Enterprise Value/EBITDA ratio could indicate that the company is overvalued based on its earnings. 
Furthermore, the ongoing debates about government funding and the potential impacts of the war in Ukraine could introduce additional uncertainty and volatility into the market, which could impact the performance of Invesco's stock. The firm's upcoming third quarter results could also influence the stock's performance, depending on whether they meet, exceed, or fall short of expectations.
Considering all these factors, I would assign a moderate score to Invesco, reflecting its potential investment value but also acknowledging the current economic uncertainties and potential risks.
Score: 65</t>
  </si>
  <si>
    <t>Given the current economic outlook and the specific information about J.B. Hunt, there are several factors to consider. 
On the positive side, the trucking industry has seen a significant increase this year, with a 26.6% rise to date. This suggests that there is strong demand for freight services, which could potentially benefit J.B. Hunt. The company is also mentioned as one of the stocks that are better positioned to escape the industry challenges, which indicates its strong competitive position. 
However, there are also several risks to consider. The escalating operating expenses in the trucking industry could potentially hurt J.B. Hunt's profitability. The cautious approach of logistics companies in anticipation of a slower holiday season could also impact the company's performance in the short term. 
In terms of financial data, J.B. Hunt has a relatively high P/E ratio, which suggests that its stock may be overvalued. However, its Price/Sales and Enterprise Value/Revenue ratios are relatively low, which indicates that the company is generating a good amount of revenue relative to its market value. 
Considering all these factors, I would assign a score of 65 to J.B. Hunt. This reflects the company's strong competitive position and the positive trends in the trucking industry, but also takes into account the potential risks and challenges.
Score: 65</t>
  </si>
  <si>
    <t>Given the current economic outlook and the specific financial data for Monster Beverage, the company seems to be in a relatively strong position. Despite the potential economic downturn, Monster Beverage has shown continued momentum in the energy drinks category and has a robust new product pipeline, which could drive growth. The company's financial data also indicates a strong market position, with a high market cap and enterprise value. However, the high P/E ratios suggest that the stock may be overvalued, which could limit its potential for future gains. Additionally, the potential for increased market volatility and risk aversion among investors could negatively impact the stock's performance. 
Score: 65</t>
  </si>
  <si>
    <t>Given the current economic climate, Snap-on's position in the Industrial Machinery &amp; Supplies &amp; Components industry could be seen as relatively stable. The company's low debt-to-equity ratio and growing dividends indicate strong financial health, which could be beneficial in a potentially volatile market. Furthermore, the company's P/E ratios suggest that it is reasonably valued, which could make it an attractive investment.
However, the ongoing political unrest and potential for a recession could pose risks. The industrial sector is often heavily impacted by economic downturns, and the potential for supply chain disruptions due to the war in Ukraine could also negatively impact the company. 
Considering these factors, I would assign a score of 65 to Snap-on. This reflects the company's strong financial health and reasonable valuation, but also takes into account the potential risks associated with the current economic climate.
Score: 65</t>
  </si>
  <si>
    <t>Given the macroeconomic context and the specific financial data for Roper Technologies, the company seems to be in a relatively strong position. The firm's recent announcement of a dividend indicates a level of financial stability and confidence in its future prospects. Furthermore, the company's market cap and enterprise value are substantial, suggesting a robust financial position.
However, the company's relatively high trailing P/E and forward P/E ratios suggest that its stock may be overvalued, which could limit its potential for future price appreciation. The PEG ratio also indicates that the stock may be overpriced relative to its expected earnings growth.
In the context of the broader economy, the potential for a recession and the ongoing political unrest could create headwinds for the company. However, the firm's involvement in the Electronic Equipment &amp; Instruments industry could provide some insulation from these risks, as this sector is often less sensitive to economic cycles than others.
Considering all these factors, I would assign a moderate score to Roper Technologies.
Score: 65</t>
  </si>
  <si>
    <t>Given the current economic climate and the specific information about Revvity, there are several factors to consider. 
On the positive side, Revvity is in the healthcare equipment industry, which is generally considered to be a defensive sector. This means that it could potentially perform well even in a downturn, as demand for healthcare services tends to be relatively stable. 
Furthermore, Revvity's recent launch of its Pin-point™ base editing platform reagents could potentially lead to increased revenues and profits in the future. This is a significant development, as it could potentially revolutionize the field of gene editing and lead to new treatments for various diseases. 
On the negative side, the company's valuation ratios, such as its trailing P/E and forward P/E, are relatively high. This suggests that the company's stock may be overvalued, which could potentially lead to a correction in the future. 
The company's enterprise value is also higher than its market cap, which could potentially indicate that the company has a high level of debt. This could potentially increase the company's financial risk, especially in a rising interest rate environment. 
Given these factors, I would assign a score of 65 to Revvity. This reflects the company's strong potential for growth, but also the risks associated with its high valuation and potential financial risk.
Score: 65</t>
  </si>
  <si>
    <t>Given the current economic outlook and the specific information about ResMed, the company seems to be in a relatively strong position. The company's stock has shown resilience with a recent jump of 3.8%, and it continues to drive growth through its respiratory care business. This is a positive sign, especially considering the ongoing COVID-19 pandemic and the increased need for respiratory care solutions. 
However, there are also some potential risks. The company is facing macroeconomic headwinds, and the latest trend in earnings estimate revisions might not support the stock's continued upward movement. Additionally, the company's P/E ratios are relatively high, indicating that the stock might be overvalued.
Considering these factors, while ResMed has potential for growth, the risks associated with the broader economic environment and the company's valuation cannot be ignored. Therefore, the investment value of ResMed in the Health Care Equipment industry for the next month would be moderate.
Score: 65</t>
  </si>
  <si>
    <t>Given the current economic outlook and the financial data of Rockwell Automation, the company seems to be in a relatively strong position. The firm operates in the Electrical Components &amp; Equipment industry, which is likely to benefit from the ongoing technological developments and the growth of AI. 
However, the overall economic uncertainty, potential recession risks, and the impact of the Fed's tightening could pose challenges. The firm's relatively high P/E ratios suggest that it might be overvalued, which could lead to a correction in the event of a market downturn. 
On the other hand, the firm's strong market cap and enterprise value indicate a solid financial position. The company's involvement in robotics could also benefit from the AI boom, despite potential unsustainable growth in large language models. 
Considering these factors, the potential investment value of Rockwell Automation for the next month is moderately high but comes with a level of risk due to the overall economic and market conditions.
Score: 65</t>
  </si>
  <si>
    <t>Given the current economic climate and the specific financial data for Quest Diagnostics, the company appears to be a relatively stable investment. The company's market cap is substantial, and its P/E ratios are reasonable, suggesting that the company is not overvalued. The company's PEG ratio is slightly high, indicating that the company's stock may be overpriced given its expected growth. However, the company's Price/Sales and Price/Book ratios are moderate, suggesting that the company's stock is reasonably priced relative to its sales and book value.
However, the healthcare sector could face headwinds due to potential policy changes and the ongoing impact of the COVID-19 pandemic. Additionally, the broader economic uncertainty and potential for a recession could also impact the company's performance.
Therefore, while Quest Diagnostics appears to be a solid company with reasonable valuation metrics, the potential risks in the broader economy and healthcare sector should be considered. 
Score: 65</t>
  </si>
  <si>
    <t>Given the current economic outlook and the specific circumstances surrounding Disney, the company's investment value seems to be moderately high. The entertainment industry, particularly movies and streaming services, has shown resilience during the pandemic and could potentially benefit from any further lockdowns or restrictions. Disney's diversified portfolio, including its theme parks, movies, and streaming services, could also provide some protection against potential downturns in the economy. However, the ongoing political debates and potential for a recession could pose risks. 
Score: 65</t>
  </si>
  <si>
    <t>Given the current economic outlook and the specific information about Digital Realty, there are several factors to consider. 
On the positive side, Digital Realty has shown strong performance with a 26.8% increase in stock value over the past six months. This is driven by robust demand for data centers, strategic expansions, and capital-recycling moves. The company's participation in the AI boom, which has been a significant catalyst for the tech sphere, also bodes well for its future performance. 
However, there are also some negative factors to consider. The company faces stiff competition in the data center REITs industry, which could potentially impact its market share and profitability. High interest rates are also a concern, as they could increase the company's borrowing costs and reduce its net income. 
The company's financial data also presents a mixed picture. While its market cap and enterprise value are relatively high, indicating strong market presence and potential for growth, its P/E ratios are also high, suggesting that the stock may be overvalued. The company's PEG ratio is also above 1, which could indicate that the stock is overpriced given its expected earnings growth. 
Taking all these factors into account, I would assign a score of 65 to Digital Realty. This reflects the company's strong performance and growth potential, but also takes into account the potential risks and challenges it faces.
Score: 65</t>
  </si>
  <si>
    <t>Given the current economic outlook and the specific news and financial data related to CVS Health, there are several factors to consider. 
On the positive side, CVS Health has a strong earnings surprise history and is expected to perform well in its next quarterly report. The company's Aetna 2024 Medicare plans offer more choices, flexibility, and simplicity, which could potentially attract more customers and increase revenues. CVS Health also has a low forward P/E ratio of 8.12, suggesting that the stock may be undervalued.
However, there are also several negative factors to consider. CVS Health shares have recently fallen due to a threat of a pharmacist walkout at Kansas City locations. This could potentially disrupt the company's operations and negatively impact its revenues and profits. The company is also facing potential downsizing, with plans to close nearly 1,500 stores. This could potentially lead to a decrease in sales and profits.
Considering these factors, I would assign a score of 65 to CVS Health. This reflects the company's strong earnings potential and attractive valuation, but also takes into account the potential risks associated with the pharmacist walkout and store closures.
Score: 65</t>
  </si>
  <si>
    <t>Given the current economic outlook and the specific news and financial data related to Caesars Entertainment, the company seems to be in a relatively strong position. The expansion of its sports betting app into Kentucky indicates a proactive approach to capturing new markets and revenue streams. The company's upcoming Q3 2023 financial results could provide further insight into its performance and future prospects.
However, the broader economic context presents some risks. The potential for a recession, ongoing political debates, and the impact of the war in Ukraine could all contribute to market volatility and uncertainty. The company's relatively high enterprise value compared to its market cap also suggests that it may be carrying a significant amount of debt, which could be a concern if the economy were to weaken.
On the other hand, the company's trailing P/E and forward P/E ratios are relatively low, suggesting that its stock may be undervalued. This could present an opportunity for investors, particularly if the company's Q3 2023 results are positive.
Considering all these factors, I would assign a score of 65 to Caesars Entertainment's potential investment value for the next month.
Score: 65</t>
  </si>
  <si>
    <t>Given the current economic climate and the specific news about DuPont, there are several factors to consider. 
On the positive side, DuPont is showing strong signs of innovation and expansion. The company's recent acquisition of Spectrum Plastics, its entry into the green hydrogen market, and its new adhesives production facility in China all indicate a proactive approach to growth and diversification. This could potentially lead to increased revenues and profits in the future. 
Furthermore, DuPont's focus on sustainability and innovation in the semiconductor industry could potentially provide a competitive advantage, given the increasing importance of these factors in the global economy. 
On the negative side, DuPont's relatively high trailing P/E ratio of 36.74 suggests that the company's stock may be overvalued, which could potentially lead to a correction in the future. The company's PEG ratio of 2.20 also indicates that its earnings growth may not be keeping pace with its stock price, which could be a cause for concern. 
In terms of the broader economic context, the potential for a recession and the ongoing unrest in Washington could potentially lead to increased volatility and risk in the stock market, which could negatively impact DuPont's stock price. 
However, the company's focus on technology and sustainability could potentially provide some protection against these risks, given the increasing importance of these sectors in the global economy. 
Taking all these factors into account, I would assign a score of 65 to DuPont. This reflects the company's strong growth prospects and focus on innovation, but also takes into account the potential risks associated with its high valuation and the broader economic context.
Score: 65</t>
  </si>
  <si>
    <t>Given the current economic outlook and the specific information about John Deere, there are several factors to consider. 
On the positive side, John Deere has a strong market cap and enterprise value, indicating a solid financial position. The company's P/E ratios are also relatively low, suggesting that the stock may be undervalued. Furthermore, the company's growth prospects are promising, with an estimated sustainable growth rate of 7% to 9%. This could potentially lead to increased earnings and stock prices in the future.
However, there are also several negative factors to consider. Falling crop prices and pressure on farmers' income could potentially lead to slowing sales growth for John Deere. This could potentially lead to lower earnings and stock prices. Furthermore, the company's high price/book ratio suggests that the stock may be overvalued, which could potentially lead to a correction in the stock price.
Considering these factors, I would assign a score of 65 to John Deere. This reflects the company's strong financial position and growth prospects, but also takes into account the potential risks associated with falling crop prices and pressure on farmers' income.
Score: 65</t>
  </si>
  <si>
    <t>Given the current economic outlook and the specific financial data for Cognizant, the company seems to be in a relatively stable position. The appointment of a new CFO with strong financial and industry-specific expertise could potentially bring new strategic directions and financial discipline to the company. 
However, the overall economic and market conditions are mixed, with both positive and negative trends. The technology sector, where Cognizant operates, has been driving an increasing share of the stock-market gains, which could be positive for the company. But the potential for increased market volatility and risk, as well as the impact of the Fed's aggressive interest rate hikes, could pose challenges.
Cognizant's financial ratios, such as its P/E and PEG ratios, suggest that the company is reasonably valued, but not particularly cheap. Its enterprise value is also slightly lower than its market cap, which could indicate that the company is undervalued.
Considering all these factors, I would assign a moderate score to Cognizant's potential investment value for the next month.
Score: 65</t>
  </si>
  <si>
    <t>Given the current economic outlook and the financial data of Copart, the company seems to be in a strong position with a high market cap and enterprise value. However, the high P/E ratios indicate that the stock may be overvalued, which could lead to potential downside risk if the market turns bearish. The ongoing political unrest and potential economic downturn could also negatively impact the company's performance. On the other hand, the company's inclusion in the list of momentum stocks suggests that it has strong growth potential. 
Considering these factors, I would assign a moderate score to Copart. 
Score: 65.</t>
  </si>
  <si>
    <t>Given the current economic climate and the specific information about Camden Property Trust, there are several factors to consider. 
On the positive side, the company has a strong balance sheet and consistent dividend growth, which is attractive for investors. The company's shares are at a 52-week low, which could present a buying opportunity. The company also has a concentrated footprint in faster-growing Southern states, which could support its growth prospects. 
On the negative side, the company's high P/E ratios (both trailing and forward) suggest that its shares may be overvalued. The company is also facing challenges such as rising vacancy rates and slowing rent growth, which could impact its earnings. 
Given these factors, I would assign a moderate score to Camden Property Trust. 
Score: 65</t>
  </si>
  <si>
    <t>Given the current economic outlook and the financial data of Ball Corporation, the company seems to be in a relatively stable position. The recent upgrade by an analyst and the increase in the price target suggest a positive outlook for the company. The company's P/E ratios are reasonable, indicating that the stock is not overly expensive. The PEG ratio is slightly high, suggesting that the company's future growth is priced into the stock. However, the company's Price/Sales and Enterprise Value/Revenue ratios are relatively low, indicating that the company is generating a good amount of revenue relative to its market value and enterprise value. 
However, considering the overall economic uncertainty and the potential for a recession, it's important to be cautious. The company operates in the Metal, Glass &amp; Plastic Containers industry, which could be impacted by disruptions in supply chains due to the war in Ukraine. Additionally, the potential crisis in the commercial real estate market could also have an indirect impact on the company.
Taking all these factors into account, I would assign a moderate score to Ball Corporation.
Score: 65</t>
  </si>
  <si>
    <t>Given the current economic climate and the specific news related to Comcast, there are several factors to consider. 
On the positive side, Comcast has been making significant investments in expanding its network and services, such as the $3.6 million investment in Caruthers, California. This could potentially lead to increased revenues and profits in the future. The company has also been recognized for its philanthropic efforts, such as the $40,000 grant to a veterans coding program, which could enhance its reputation and brand image. 
Furthermore, the end of the Hollywood writers strike could potentially lead to a resumption of TV show and movie production, which would be beneficial for Comcast's NBCUniversal division. This could potentially lead to increased revenues and profits for the company. 
On the negative side, the stock market has been volatile, with media stocks fluctuating. This could potentially lead to increased risk and uncertainty for Comcast's stock. 
In terms of financial data, Comcast has a relatively high market cap and enterprise value, which suggests that it is a large and stable company. However, its trailing P/E ratio is relatively high, which could potentially indicate that its stock is overvalued. On the other hand, its forward P/E ratio is relatively low, which could potentially indicate that its stock is undervalued. 
Overall, given the mixed economic climate and the specific news and financial data related to Comcast, I would assign a moderate score for the potential investment value of Comcast in the Cable &amp; Satellite industry for the next month.
Score: 65</t>
  </si>
  <si>
    <t>Given the current economic climate, CME Group appears to be a relatively stable investment. The company has shown strong performance with a 19% rise year-to-date and has a robust product portfolio. The upcoming launch of Micro Henry Hub futures and options could also provide a new revenue stream. However, the potential for increased interest rates and the ongoing political and economic uncertainty could pose risks. The company's P/E ratios are relatively high, indicating that the stock may be overvalued. 
Considering these factors, I would assign a moderate score to CME Group. 
Score: 65.</t>
  </si>
  <si>
    <t>Given the current economic outlook and the specific news and financial data related to Cummins, the company appears to be in a relatively strong position. The recent acquisition of parts of FORVIA's commercial vehicle business could potentially provide a boost to Cummins' revenues and profits, while the demonstration of the potential of ultra-low carbon fuel through Cummins X15N Natural Gas Powertrains could potentially provide a competitive advantage in the increasingly important area of sustainable energy. 
Furthermore, Cummins' financial data suggests that the company is reasonably valued, with a trailing P/E ratio of 12.79 and a forward P/E ratio of 12.03. The company also has a solid market cap of 32.36B and an enterprise value of 38.27B, indicating a strong financial position. 
However, the current economic outlook suggests that there are significant risks to investing in stocks at this time, including the potential for a recession and the ongoing unrest in Washington. These factors could potentially lead to increased volatility and risk in the stock market, which could negatively impact the performance of Cummins' stock. 
Therefore, while Cummins appears to be in a relatively strong position, the current economic outlook suggests that there are significant risks to investing in stocks at this time. Investors should therefore be cautious and diversified in their investments, and closely monitor economic and market developments.
Score: 65</t>
  </si>
  <si>
    <t>Given the current economic outlook and the company's recent performance, CenterPoint Energy seems to be a relatively stable investment. The company has a solid market cap and has recently increased its dividend payout, which is a positive sign for investors. However, the ongoing economic uncertainties, potential for a recession, and the impact of the war in Ukraine could pose risks. The company's P/E ratios are also relatively high, suggesting that the stock may be overvalued. 
Considering these factors, I would assign a moderate score to CenterPoint Energy.
Score: 65</t>
  </si>
  <si>
    <t>Given the current economic climate, Colgate-Palmolive (CL) could be a relatively safe bet for investors. The company's long history of dividend increases and its ability to mitigate inflationary pressures through price adjustments, volume optimization, and improved operational efficiency are positive factors. Additionally, the company's recent partnership with the U.S. Soccer Foundation's Soccer for Success program could potentially enhance its brand image and increase sales.
However, the company's high P/E ratios (both trailing and forward) and high Price/Book ratio suggest that the stock may be overvalued. The company's sideways price movement over the last decade also raises concerns about its growth potential.
Considering these factors, while CL may be a safe bet in a turbulent market, its growth potential seems limited. Therefore, the score for the potential investment value of Colgate-Palmolive in the Household Products industry for the next month is:
Score: 65</t>
  </si>
  <si>
    <t>Given the current economic outlook and the firm's financial data, Constellation Energy seems to be in a relatively strong position. The company operates in the multi-utilities industry, which could potentially benefit from the rising energy prices due to the war in Ukraine. The company's market cap is substantial, and its forward P/E ratio is significantly lower than its trailing P/E, suggesting that the company's earnings are expected to grow. However, the company's high Price/Book ratio could indicate that the stock is overvalued. 
Considering these factors, the potential investment value of Constellation Energy for the next month is moderately high. However, given the overall economic uncertainty and the potential risks associated with the ongoing political debates and the COVID-19 pandemic, investors should proceed with caution.
Score: 65</t>
  </si>
  <si>
    <t>Given the current economic outlook and the specific financial data and news about Simon Property Group, the company seems to be in a relatively strong position. The company's market cap is substantial, and its P/E ratios suggest that it is reasonably valued. The company's focus on omnichannel retailing and strategic buyouts could potentially help it to navigate the current economic environment. However, the high rates and increased e-commerce adoption pose risks. 
The company's announcement of a 5% cash back offer on its credit card could potentially boost sales at its shopping centers. However, the ongoing debates about government funding and the potential impact of the war in Ukraine on the global economy could create uncertainty and volatility in the market, which could potentially impact the company's performance.
Given these factors, I would assign a moderate score to Simon Property Group. 
Score: 65</t>
  </si>
  <si>
    <t>Given the current economic outlook and the financial data of Steel Dynamics, the company seems to be in a relatively strong position. The company's market cap is substantial, and its trailing P/E ratio is low, indicating that the stock is currently undervalued. This could present a good buying opportunity for investors. 
However, the forward P/E ratio is higher, suggesting that investors are expecting earnings to decrease in the future. This could be due to the potential risks associated with the current economic climate, including the possibility of a recession and the ongoing conflict in Ukraine. 
The company's PEG ratio is also quite high, indicating that the stock may be overvalued when considering the company's expected growth rate. This could suggest that the stock's current price may not be sustainable in the long term. 
The company's price/sales and enterprise value/revenue ratios are both less than 1, indicating that the company is generating a good amount of revenue relative to its market value. This could be a positive sign for investors. 
However, the company's price/book ratio is above 1, suggesting that the stock may be overvalued. This could be a potential risk for investors. 
The company's enterprise value/EBITDA ratio is relatively low, indicating that the company is generating a good amount of earnings before interest, taxes, depreciation, and amortization. This could be a positive sign for investors. 
Given these factors, I would assign a score of 65 to Steel Dynamics. This reflects the company's strong financial position, but also takes into account the potential risks associated with the current economic climate.
Score: 65</t>
  </si>
  <si>
    <t>Given the current economic outlook and the specific data for Marsh McLennan, there are several factors to consider. 
On the positive side, Marsh McLennan's market cap is substantial, indicating a large and potentially stable company. The forward P/E ratio is lower than the trailing P/E, suggesting that earnings are expected to grow. The company's plans for modest compensation increases could also be a positive sign, as it indicates a level of financial stability and a commitment to employees.
However, there are also some potential concerns. The high Price/Book ratio suggests that the company's stock may be overvalued. The PEG ratio is above 1, which could indicate that the stock is overpriced given the expected growth rate. The ongoing economic uncertainties, including the potential for a recession and the impact of the war in Ukraine, could also pose risks.
Considering these factors, while Marsh McLennan appears to be a solid company, the potential risks and high valuation metrics suggest a level of caution is warranted. 
Score: 65</t>
  </si>
  <si>
    <t>Given the current economic climate and the specific news about Lowe's, there are several factors to consider. 
On the positive side, Lowe's has a strong track record of dividend growth, which could be attractive to income-focused investors. The company's partnership with Carhartt and its focus on the Pro market could also potentially drive sales growth. Furthermore, Lowe's has been able to consistently increase its revenue and net income, and has reduced the number of outstanding shares through stock buybacks, which could potentially increase the value of the remaining shares.
On the negative side, the higher interest rate environment could potentially put pressure on Lowe's, as it could lead to a slowdown in the housing market and a decrease in demand for home improvement products. The company's lowered FY2023 guidance is also a concern. 
In terms of valuation, Lowe's has a trailing P/E ratio of 20.12 and a forward P/E ratio of 15.82, which suggests that the company's earnings are expected to grow. However, the company's PEG ratio of 1.36 suggests that this growth may not be sufficient to justify the company's current price. 
Overall, while there are some positive factors that could support the investment value of Lowe's, there are also several risks that could potentially limit the company's performance. Therefore, a moderate score seems appropriate.
Score: 65</t>
  </si>
  <si>
    <t>Given the current economic outlook and the financial data of WestRock, the company seems to be in a relatively stable position. The company's market cap is substantial, and its trailing and forward P/E ratios are relatively low, indicating that the stock may be undervalued. The Price/Sales and Price/Book ratios are also less than 1, which is generally considered a good sign. However, the high PEG ratio could be a cause for concern, as it suggests that the company's stock may be overvalued relative to its expected earnings growth.
The company operates in the materials sector, which could be a safe haven during times of economic uncertainty. The sector is known for its high dividend yields, which could provide a steady income stream for investors. However, the ongoing war in Ukraine and the potential for a recession could negatively impact the company's operations and financial performance.
Given these factors, I would assign a score of 65 to WestRock. This reflects the company's solid financial position and the potential for high dividend yields, but also takes into account the potential risks associated with the current economic environment.
Score: 65</t>
  </si>
  <si>
    <t>Given the current economic climate and the specific financial data for West Pharmaceutical Services, the company appears to be in a strong position. Despite the broader market volatility, West Pharmaceutical has shown resilience, particularly in its Proprietary Products business. This suggests that the company has a robust business model that can withstand economic downturns. 
However, there are also some concerns. The company's high P/E ratios (both trailing and forward) suggest that the stock may be overvalued, which could limit its future price appreciation. The company's high PEG ratio also suggests that its earnings growth may not be keeping pace with its stock price, which could be a concern for investors. 
Furthermore, the ongoing forex concerns could impact the company's profitability, particularly if the dollar continues to strengthen. This could potentially lead to lower earnings for the company, which would be negative for the stock price. 
Overall, while West Pharmaceutical Services has some positive aspects, there are also several risks that could limit its investment value. Therefore, I would assign a moderate score to the company.
Score: 65</t>
  </si>
  <si>
    <t>Given the current economic climate, Willis Towers Watson (WTW) appears to be in a relatively strong position. The company has demonstrated growth across its global lines of business and has a solid balance sheet. The increase in its share repurchase program by $1 billion also signals confidence in its own stock. 
However, the broader economic and market conditions present some risks. The potential for a recession, the ongoing political unrest, and the impact of the war in Ukraine could all negatively affect the company's performance. 
Looking at the firm's financial data, the company's forward P/E ratio is lower than its trailing P/E, suggesting that earnings are expected to grow. The PEG ratio is also less than 1, indicating that the stock may be undervalued given its earnings growth expectation. 
However, the company's relatively high enterprise value compared to its revenue and EBITDA suggests that it may be overvalued. This, combined with the broader economic risks, could potentially limit the stock's upside potential.
Considering all these factors, I would assign a score of 65 to Willis Towers Watson in terms of its potential investment value for the next month.
Score: 65</t>
  </si>
  <si>
    <t>Given the current economic outlook and the financial data of WEC Energy Group, the company seems to be a relatively stable investment. The company has a substantial market cap and enterprise value, indicating its size and stability. The P/E ratios are reasonable, suggesting that the stock is not overly expensive. The PEG ratio is slightly high, indicating that the company's future growth may be overpriced. However, the Price/Sales and Price/Book ratios are moderate, suggesting that the company is reasonably valued relative to its sales and book value. 
However, considering the potential risks in the broader economy and stock market, including the possibility of a recession, the ongoing political unrest, and the potential impact of the war in Ukraine, it would be prudent to be cautious. The utility sector is generally considered to be a defensive sector, which could potentially provide some protection in a downturn. However, the company's performance could still be impacted by these broader economic and market trends.
Score: 65.</t>
  </si>
  <si>
    <t>Given the current economic climate and the specific factors affecting Welltower, there are several key points to consider. 
On the positive side, Welltower is well-positioned to benefit from the aging population and limited supply growth in senior housing. This could potentially lead to long-term occupancy gains and higher revenues. The company's strong balance sheet and lower competition also position it for healthy growth. 
However, there are also several risks to consider. The high interest rates could potentially impact Welltower's profitability, given its high enterprise value. The company's high P/E ratios also suggest that its stock may be overvalued, which could potentially lead to a correction in the future. 
Furthermore, the potential crisis in the commercial real estate market could also impact Welltower, given its focus on senior housing and medical office buildings. This could potentially lead to significant losses if the market were to collapse. 
Overall, while Welltower has strong fundamentals and growth prospects, the current economic climate and potential risks suggest a cautious approach. 
Score: 65</t>
  </si>
  <si>
    <t>Given the current economic climate and the specific information about Thermo Fisher Scientific, the company seems to be in a strong position within the healthcare sector. Despite the overall bearish sentiment in the market, Thermo Fisher has shown resilience and has strategic strengths that could allow it to continue to outperform. Its partnership with Novo Nordisk and its role in the healthcare sector post-COVID-19 could provide stability and potential growth. However, its higher than average P/E ratio indicates that the stock may be overvalued, which could limit its upside potential in the short term. 
Considering these factors, I would assign a moderate score to Thermo Fisher Scientific. 
Score: 65</t>
  </si>
  <si>
    <t>Given the current economic climate and the specific financial data for Skyworks Solutions, there are several factors to consider. 
On the positive side, Skyworks Solutions has a relatively low P/E ratio, both trailing and forward, which suggests that the stock may be undervalued. The company also has a reasonable PEG ratio, which indicates that its earnings growth is expected to be solid over the next five years. 
However, there are also several negative factors to consider. The company's price/sales ratio is relatively high, which suggests that the stock may be overpriced relative to its sales. The company's enterprise value is also higher than its market cap, which could indicate that it has a high level of debt. 
Furthermore, the broader economic climate is mixed, with both positive and negative trends. The potential for a recession and the ongoing unrest in Washington could lead to increased volatility and risk in the stock market, which would be negative for stocks. 
On the other hand, the growth in the technology sector and the resilience of the economy could potentially support continued growth in corporate earnings and stock prices, which would be positive for stocks. 
Given these factors, I would assign a score of 65 to Skyworks Solutions. This reflects the potential for solid earnings growth and the possibility that the stock is undervalued, but also takes into account the potential risks and uncertainties in the broader economic climate.
Score: 65</t>
  </si>
  <si>
    <t>Given the current economic outlook and the financial data of Stryker Corporation, the company seems to be in a stable position. The company's market cap is substantial, and it is about to announce its Q3 financial results, which could potentially provide a positive boost to the stock. However, the high P/E ratios indicate that the stock might be overvalued, and the ongoing economic uncertainties could pose risks. The healthcare equipment industry could potentially be resilient in the face of economic downturns, as healthcare is a necessity. However, the potential for a recession and the ongoing political and global uncertainties could impact the company's performance. 
Score: 65</t>
  </si>
  <si>
    <t>Given the current economic outlook and the financial data of Sysco, the company seems to be in a relatively stable position. The company's market cap is substantial, and its forward P/E ratio is lower than the trailing P/E, indicating that earnings are expected to grow. However, the high Price/Book ratio suggests that the stock may be overvalued. 
The food distribution industry could potentially be impacted by the ongoing war in Ukraine, which has caused disruptions in supply chains and food shortages. However, Sysco's large size and diversified operations could potentially help it to navigate these challenges. 
The company's dividend aristocrat status is also a positive sign, as it indicates a strong track record of dividend payments. This could potentially provide a source of income for investors during uncertain times. 
However, the overall economic and market conditions are mixed, with both positive and negative trends. Therefore, investors should be cautious and closely monitor developments. 
Score: 65</t>
  </si>
  <si>
    <t>Given the current macroeconomic conditions and the specific news related to Baker Hughes, there are several factors to consider. 
On the positive side, Baker Hughes has recently secured major contracts, which should boost its revenue and profitability in the near term. The company's expansion in Norway and its significant contract with Venture Global LNG are particularly noteworthy. These developments suggest that Baker Hughes is well-positioned to capitalize on the growing demand for energy technology and services. 
However, there are also several negative factors to consider. The Biden administration's proposal to limit offshore drilling leases could potentially impact Baker Hughes' operations in the Gulf of Mexico. Furthermore, the company's recent decline in oil and gas rig counts could potentially signal a slowdown in its business. 
In terms of financials, Baker Hughes has a relatively high trailing P/E ratio, which suggests that its stock may be overvalued. However, its forward P/E ratio is significantly lower, which could potentially indicate that the company's earnings are expected to grow in the future. 
Overall, while Baker Hughes has some promising prospects, the potential risks and uncertainties in the current economic environment suggest a moderate investment value. 
Score: 65.</t>
  </si>
  <si>
    <t>Given the current economic outlook and the specific information about Boston Scientific, there are several factors to consider. 
On the positive side, Boston Scientific has been outperforming other medical stocks this year, which suggests that it has strong fundamentals and is well-positioned within its industry. The company's recent acquisition of Relievant Medsystems could also potentially enhance its business portfolio and drive future growth. 
However, there are also some potential concerns. The company's trailing P/E ratio is quite high, which suggests that its stock may be overvalued. The ongoing uncertainty in the broader economy and stock market could also potentially impact the company's performance. 
Furthermore, the healthcare equipment industry could potentially be impacted by the ongoing debates about government funding and the economic toll of the COVID-19 pandemic. These factors could potentially lead to increased uncertainty and volatility in the industry. 
Overall, while Boston Scientific has some positive factors, there are also several potential risks and uncertainties. Therefore, a moderate score seems appropriate.
Score: 65</t>
  </si>
  <si>
    <t>Given the current economic outlook and the specific information about Bath &amp; Body Works, Inc., there are several factors to consider. 
On the positive side, Bath &amp; Body Works has a strong execution record and has shown growth in all product categories compared to 2019 figures. The company's management has demonstrated its ability to innovate and expand into new categories, which could potentially drive future growth. The company's P/E ratios are also relatively low, suggesting that the stock could be undervalued. 
On the negative side, the company saw a drop in revenue in 2Q24, which could potentially be a cause for concern. The ongoing economic uncertainty and potential for a recession could also negatively impact consumer spending, which would be detrimental for a specialty retailer like Bath &amp; Body Works. 
Taking all these factors into account, I would assign a score of 65 to Bath &amp; Body Works, Inc. This reflects the company's strong execution record and potential for future growth, but also takes into account the potential risks associated with the current economic environment.
Score: 65</t>
  </si>
  <si>
    <t>Given the current economic outlook and the firm's recent news and financial data, Franklin Templeton seems to be in a relatively stable position. The strategic relationship with Neptune-GBX® could potentially provide a new revenue stream and diversify its portfolio, which is a positive sign in the current uncertain economic environment. 
However, the firm's relatively high Enterprise Value/EBITDA ratio suggests that it may be overvalued, which could limit its potential for future stock price appreciation. The firm's P/E ratios also suggest that its earnings growth may be slower than the market average, which could be a concern given the potential for a slowdown in the economy.
On the other hand, the firm's Price/Book ratio is close to 1, suggesting that its stock price is in line with its book value. This could indicate that the firm's stock is fairly valued, which could be a positive sign for potential investors.
Given these factors, I would assign a score of 65 to Franklin Templeton. This reflects the firm's potential for growth and diversification, as well as the potential risks associated with its valuation and earnings growth.
Score: 65</t>
  </si>
  <si>
    <t>Given the current economic outlook and the specific news and financial data related to American Water Works, the company seems to be in a strong position. The company has been making strategic acquisitions to expand its operations, which could potentially lead to increased revenues and profits in the future. The company's commitment to diversity and its recognition as a Champion of Board Diversity also speaks to its strong corporate governance, which could potentially enhance its reputation and attract more investors.
However, the overall economic outlook is mixed, with both positive and negative trends. The potential for a recession and the ongoing unrest in Washington could potentially lead to increased volatility and risk in the stock market, which could negatively impact the company's stock price. The company's relatively high P/E ratios also suggest that its stock may be overvalued, which could potentially lead to a correction in the future.
Therefore, while the company appears to be in a strong position, the potential risks and uncertainties in the broader economy and stock market suggest that investors should be cautious. 
Score: 65</t>
  </si>
  <si>
    <t>Given the current economic outlook and the specific information about Ameriprise Financial, there are several factors to consider. 
On the positive side, the addition of a financial advisor managing $170 million in client assets could potentially boost Ameriprise's growth and profitability. The company's forward P/E ratio is also relatively low, suggesting that the stock could be undervalued. 
However, there are also several negative factors to consider. The company's high Price/Book ratio suggests that the stock could be overvalued. The ongoing uncertainty in the economy and the stock market could also potentially lead to increased volatility and risk for the stock. 
Furthermore, the potential crisis in the commercial real estate market could potentially impact Ameriprise's asset management business. The company's enterprise value is also slightly lower than its market cap, which could potentially indicate a lack of confidence among investors. 
Given these factors, I would assign a moderate score to Ameriprise Financial.
Score: 60</t>
  </si>
  <si>
    <t>Given the current economic outlook and the specific information about Sherwin-Williams, there are several factors to consider. 
On the positive side, Sherwin-Williams is experiencing strong domestic demand and is expanding its retail network. This could potentially lead to increased sales and profits, which would be positive for the stock. The company's forward P/E ratio is also lower than its trailing P/E ratio, which suggests that earnings are expected to grow in the future. 
However, there are also several negative factors to consider. The overall economic outlook is mixed, with several potential risks on the horizon, including a possible recession and the ongoing conflict in Ukraine. These factors could potentially lead to increased volatility and risk in the stock market, which would be negative for stocks. 
Furthermore, Sherwin-Williams has a relatively high PEG ratio, which suggests that the stock may be overvalued relative to its expected earnings growth. The company's price/book ratio is also quite high, which could potentially indicate that the stock is overpriced. 
Taking all these factors into account, I would assign a score of 60 to Sherwin-Williams. This reflects the company's strong domestic demand and growth prospects, but also takes into account the potential risks and uncertainties in the current economic environment.
Score: 60</t>
  </si>
  <si>
    <t>Given the current economic outlook and the specific financial data for Steris, the company seems to be in a relatively strong position. The recovery in healthcare procedures is a positive sign for Steris, as it indicates a potential increase in demand for their products and services. This could potentially lead to increased revenues and profits for the company, which would be positive for the stock price.
However, there are also several risks to consider. The high trailing P/E ratio indicates that the stock is currently trading at a high price relative to its earnings, which could potentially make it overvalued. The lack of a forward P/E and PEG ratio also makes it difficult to assess the company's future earnings growth potential, which could add to the uncertainty and risk associated with the stock.
Furthermore, the ongoing debates about government funding and the potential impact of the war in Ukraine could potentially lead to increased volatility in the stock market, which could negatively impact Steris' stock price. The potential impact of the Fed's interest rate hikes on corporate earnings is also a concern, as it could potentially lead to lower earnings growth for Steris.
Considering these factors, while Steris appears to have some positive aspects, there are also significant risks and uncertainties that could potentially impact its stock price. Therefore, a moderate score seems appropriate.
Score: 60</t>
  </si>
  <si>
    <t>Given the current economic outlook and the specific financial data for Seagate Technology, there are several factors to consider. 
On the positive side, the company's revenue is in line with expectations, and its loss is slightly better than the guided range. This suggests that the company is managing its operations effectively, despite the challenging economic environment. The company's PEG ratio is also relatively low, suggesting that it may be undervalued based on its expected growth rates.
However, there are also several negative factors to consider. The company's hard disk drive revenue declined significantly, primarily due to softer demand in the cloud nearline market. This suggests that the company may be facing challenges in one of its key markets. The company's forward P/E ratio is also relatively high, suggesting that it may be overvalued based on its expected earnings.
Considering these factors, I would assign a score of 60 to Seagate Technology. This reflects the company's solid financial performance and potential undervaluation, but also takes into account the challenges it is facing in its key markets and potential overvaluation based on its expected earnings.
Score: 60</t>
  </si>
  <si>
    <t>Given the current economic outlook and the specific news and financial data related to T. Rowe Price, the company seems to be in a relatively stable position. The launch of their joint investment offering, OCREDIT, indicates a proactive approach to diversifying their portfolio and providing new investment solutions. This could potentially attract more investors and increase their revenue.
However, the overall economic uncertainty, potential for a recession, and the bearish sentiment in the stock market could negatively impact the company. The increase in 401(k) loans and low emergency savings reported by T. Rowe Price could also indicate potential financial stress among their clients, which could affect their business.
The company's financial data shows a reasonable valuation with a trailing P/E of 15.63 and a forward P/E of 14.41. However, the lack of a PEG ratio could indicate uncertainty about the company's future earnings growth.
Considering these factors, I would assign a moderate score to T. Rowe Price. The company has some positive aspects, but the overall economic and market conditions could pose significant risks.
Score: 60</t>
  </si>
  <si>
    <t>Given the current economic outlook and the financial data of Ventas, it seems that the company is in a relatively stable position in the Health Care REITs industry. The company has a substantial market cap and enterprise value, indicating a strong market presence. However, the high trailing P/E ratio suggests that the company's stock is currently overvalued, which could potentially lead to a correction in the future.
The ongoing debates about government funding and the potential impact of the war in Ukraine could introduce additional volatility into the market. This could potentially impact the performance of Ventas, given its exposure to the healthcare sector, which could be affected by changes in government funding and global economic conditions.
Furthermore, the potential crisis in the commercial real estate market could also impact Ventas, given its involvement in the Health Care REITs industry. If the market were to collapse, this could potentially lead to significant losses for the company.
However, the company's strong market presence and the resilience of the healthcare sector could potentially offset some of these risks. The healthcare sector is generally considered to be a defensive sector, which could potentially provide some stability in volatile market conditions.
Given these factors, I would assign a moderate score to Ventas.
Score: 60</t>
  </si>
  <si>
    <t>Given the current economic outlook and the specific circumstances surrounding Verizon, the company seems to be in a relatively stable position. The Integrated Telecommunication Services industry is generally considered to be a defensive sector, which could potentially provide some protection against the risks currently facing the broader market. 
However, the ongoing debates about government funding and the potential impacts of the war in Ukraine could introduce some uncertainty into the market. This could potentially lead to increased volatility and risk, which would be negative for stocks. 
On the other hand, the growth in AI and social media could potentially provide some opportunities for Verizon. The company has been investing in these areas, which could potentially drive growth in the future. 
In terms of the company's financial data, Verizon's relatively low P/E ratios suggest that the stock could be undervalued. This could potentially provide some upside potential for investors. 
However, the company's relatively high Enterprise Value/Revenue and Enterprise Value/EBITDA ratios suggest that the company could be overvalued. This could potentially limit the upside potential for the stock. 
Overall, given the current economic outlook and the specific circumstances surrounding Verizon, I would assign a score of 60 out of 100 for the potential investment value of Verizon in the Integrated Telecommunication Services industry for the next month.
Score: 60</t>
  </si>
  <si>
    <t>Given the current economic climate and the specific financial data for Western Digital, there are several factors to consider. 
On the positive side, Western Digital operates in the technology sector, which has been driving a significant share of the stock-market gains. This suggests that the company could potentially benefit from the increased investment in AI and other technological developments. 
However, there are also several negative factors to consider. The company's financial data shows a negative Enterprise Value/EBITDA ratio, which could indicate that the company is not generating enough earnings before interest, taxes, depreciation, and amortization. This could potentially lead to financial difficulties for the company, especially if the economy were to enter a recession. 
Furthermore, the company's Price/Sales and Price/Book ratios are relatively low, which could indicate that the company is undervalued. However, this could also suggest that investors are not confident in the company's ability to generate profits, which could potentially lead to lower stock prices. 
Given these factors, I would assign a score of 60 to Western Digital. This reflects the potential for the company to benefit from the positive trends in the technology sector, but also takes into account the potential risks associated with the company's financial data and the current economic climate.
Score: 60.</t>
  </si>
  <si>
    <t>Given the current economic outlook and the specific information about Waste Management, there are several factors to consider. 
On the positive side, the company is operating in an industry that is expected to grow significantly in the coming years, driven by increasing awareness of the environmental impact of plastic waste and the need for sustainable development. This could potentially lead to increased demand for Waste Management's services, which would be positive for its stock price. 
The company is also focusing on renewable natural gas from landfills as a potential area for future growth, which could provide a new revenue stream and further boost its stock price. 
However, there are also several negative factors to consider. The company's share price has seen a decrease of over 5% in the past year, which could indicate that investors are becoming less confident in its prospects. 
The company's valuation is also relatively high, with a trailing P/E ratio of 27.42 and a forward P/E ratio of 22.88. This suggests that the company's stock is currently overvalued, which could limit its potential for future price appreciation. 
Furthermore, the company's enterprise value is significantly higher than its market cap, which could indicate that it has a high level of debt. This could potentially increase the company's financial risk and make its stock less attractive to investors. 
Taking all these factors into account, I would assign a score of 60 to Waste Management. This reflects the company's potential for growth in the waste management industry, but also takes into account the risks associated with its high valuation and potential financial risk.
Score: 60</t>
  </si>
  <si>
    <t>Given the current economic outlook and the specific information about Williams Companies, there are several factors to consider. 
On the positive side, the company has a solid market cap and enterprise value, indicating a strong financial position. The P/E ratios are also relatively low, suggesting that the stock may be undervalued. Furthermore, the company is mentioned as a potential investment in the context of rising oil prices, which could boost its revenues and profits.
On the negative side, the ongoing war in Ukraine and the potential for further economic disruption could negatively impact the company's operations. The high Enterprise Value/Revenue and Enterprise Value/EBITDA ratios also suggest that the company may be overvalued.
Considering these factors, I would assign a moderate score to Williams Companies.
Score: 60</t>
  </si>
  <si>
    <t>Given the current economic outlook and the specific information about Berkley, there are several factors to consider. 
On the positive side, Berkley has a strong leadership team with significant industry experience, which could potentially support the company's performance. The company's upcoming earnings announcement could also provide a positive catalyst if the results are better than expected. 
However, there are also several negative factors to consider. The potential crisis in the commercial real estate market could potentially impact Berkley, given its exposure to this sector. The company's relatively high Price/Book ratio also suggests that it may be overvalued, which could limit its potential for future price appreciation. 
Furthermore, the broader economic and market trends could potentially impact Berkley. The bearish sentiment among investors and the potential for increased volatility could potentially lead to declines in the company's stock price. The Fed's aggressive interest rate hikes could also potentially impact the company's earnings and stock price. 
Given these factors, I would assign a score of 60 to Berkley. This reflects the potential risks and opportunities associated with the company, as well as the broader economic and market trends.
Score: 60</t>
  </si>
  <si>
    <t>Given the current economic outlook and the specific information about Weyerhaeuser, there are several factors to consider. 
On the positive side, the company is well-positioned to benefit from any potential rally in wood prices, given its significant exposure to the lumber market. This could potentially lead to increased revenues and profits for the company, which would be positive for its stock price. 
On the negative side, the company's relatively high P/E ratios suggest that its stock may be overvalued, which could limit its upside potential. Furthermore, the ongoing uncertainty in the broader economy and the stock market could potentially lead to increased volatility and risk for the company's stock. 
The company's upcoming earnings release could also have a significant impact on its stock price. If the company reports strong results, this could potentially boost its stock price. However, if the company reports weak results, this could potentially lead to a decline in its stock price. 
Given these factors, I would assign a score of 60 to Weyerhaeuser. This reflects the potential upside from a rally in wood prices, but also takes into account the potential risks from the current economic and market uncertainty, as well as the company's relatively high valuation.
Score: 60</t>
  </si>
  <si>
    <t>Given the current economic outlook and the specific news and financial data related to Lam Research, there are several factors to consider. 
On the positive side, Lam Research is involved in the AI and semiconductor industry, which is expected to grow due to increasing demand for advanced technologies. The company's involvement in initiatives to inspire kids in STEM and find renewable energy solutions also indicates a forward-thinking approach that could potentially lead to future growth opportunities. 
However, there are also several negative factors to consider. The ongoing U.S.-China tech war could potentially impact the company's operations and profitability. The slowdown in Lam's growth in fiscal 2023 and the anticipation of its eventual cyclical recovery also indicate potential risks. 
Furthermore, the company's financial data shows a relatively high PEG ratio, which suggests that the stock may be overvalued given its expected earnings growth. The company's high Price/Book ratio also indicates that the stock may be overvalued compared to its book value. 
Considering all these factors, I would assign a score of 60 to Lam Research. This reflects the potential growth opportunities in the AI and semiconductor industry, as well as the company's forward-thinking initiatives. However, it also takes into account the potential risks related to the U.S.-China tech war, the slowdown in the company's growth, and the potential overvaluation of the stock.
Score: 60</t>
  </si>
  <si>
    <t>Given the current economic climate and the specific news about Microchip Technology, there are several factors to consider. 
On the positive side, Microchip Technology is expanding its portfolio and has announced new products, which could potentially lead to increased sales and profits. The company's P/E ratios are also relatively low, suggesting that the stock may be undervalued. 
However, there are also several negative factors to consider. The overall economic outlook is mixed, with potential risks from the ongoing political unrest and the possibility of a recession. The technology sector has also experienced a pullback, which could potentially impact Microchip Technology's stock price. 
Furthermore, the company's high Enterprise Value/EBITDA ratio suggests that it may be overvalued based on its earnings. The company's high Price/Book ratio also suggests that its stock price may be overvalued relative to its book value. 
Taking all these factors into account, I would assign a score of 60 to Microchip Technology. This reflects the potential opportunities from the company's new products and possible undervaluation, but also the potential risks from the overall economic climate and possible overvaluation based on its earnings and book value.
Score: 60</t>
  </si>
  <si>
    <t>Given the current economic outlook and the specific financial data for McCormick &amp; Company, there are several factors to consider. 
On the positive side, McCormick has a solid market cap and has declared a quarterly dividend, which is a positive sign of the company's financial health and its ability to return capital to shareholders. The company's focus on the CCI and GOE programs could also potentially offset some of the impacts of cost inflation and high SG&amp;A costs.
However, there are also several negative factors to consider. McCormick's upcoming Q3 earnings are expected to decline, which could potentially impact the company's stock price. The company's P/E ratios are also relatively high, indicating that the stock may be overvalued. The company's high Enterprise Value/EBITDA ratio also suggests that the company may be overvalued relative to its earnings.
Given these factors, I would assign a score of 60 to McCormick &amp; Company. This reflects the company's solid financial position and dividend payment, but also takes into account the expected decline in earnings and the potential overvaluation of the stock.
Score: 60</t>
  </si>
  <si>
    <t>Given the current economic outlook and the specific news related to Merck &amp; Co., there are several factors to consider. 
On the positive side, Merck's drug Sotatercept has been accepted for priority review by the FDA, which could potentially lead to increased revenues if the drug is approved. This is a significant development, as it could potentially lead to a new revenue stream for the company. 
However, there are also several negative factors to consider. The ongoing negotiations with Medicare could potentially lead to reduced prices for Merck's drugs, which would negatively impact the company's revenues. Furthermore, there are concerns about potential virus mutations linked to Merck's COVID antiviral drug, which could potentially lead to decreased demand for the drug. 
Additionally, Merck's combination therapy with Eisai failed in two lung cancer studies, which is a significant setback for the company. This could potentially lead to decreased revenues and lower investor confidence in the company. 
Finally, Merck's financial data shows a high trailing P/E ratio, which suggests that the stock may be overvalued. However, the forward P/E ratio is much lower, which suggests that the company's earnings are expected to grow in the future. 
Taking all these factors into account, I would assign a moderate score to Merck &amp; Co. 
Score: 60</t>
  </si>
  <si>
    <t>Given the current economic climate and the specific news and financial data related to Cardinal Health, the company seems to be in a relatively stable position. The launch of the Kangaroo OMNI™ Enteral Feeding Pump indicates innovation and potential growth in the healthcare sector. The company is also favored by brokers, which is a positive sign. However, the high trailing P/E ratio suggests that the stock may be overvalued, which could limit its potential for future price appreciation.
The healthcare sector can be considered somewhat defensive, meaning it might perform better than other sectors during economic downturns. This is because demand for healthcare services tends to be less affected by economic conditions. Given the current economic uncertainties and the potential for a recession, this could make Cardinal Health a relatively safer investment compared to companies in more cyclical sectors.
However, the ongoing debates about government funding and the potential impact of the war in Ukraine could introduce additional risks. If these issues lead to a slowdown in economic growth or increased market volatility, this could negatively affect Cardinal Health's stock price.
In conclusion, while Cardinal Health has some positive factors that could support its stock price, there are also significant risks that could limit its potential for price appreciation. Therefore, I would assign a moderate score to Cardinal Health.
Score: 60</t>
  </si>
  <si>
    <t>Carrier Global Corporation (CARR) operates in the Building Products industry, which is likely to be influenced by the current macroeconomic conditions. The company's recent involvement in sustainability initiatives and charitable contributions, such as its partnership with Habitat for Humanity, reflect positively on its corporate social responsibility efforts. This could potentially enhance its brand image and customer loyalty, which could support its revenue growth.
Moreover, the company's recent spin-off from United Technologies Corporation in 2020 has allowed it to focus more on high-growth opportunities and intelligent cost-cutting measures. This could potentially enhance its operational efficiency and profitability, which would be positive for its stock price.
However, the company's relatively high P/E ratios (both trailing and forward) suggest that its stock is currently overvalued, which could limit its upside potential. Furthermore, the company's high Enterprise Value/EBITDA ratio suggests that it is highly leveraged, which could increase its financial risk.
Given the current economic uncertainty and the company's mixed financial indicators, I would assign a moderate score for the potential investment value of Carrier Global Corporation in the next month.
Score: 60</t>
  </si>
  <si>
    <t>Given the current economic outlook and the specific information about Cboe Global Markets, there are several factors to consider. 
On the positive side, Cboe Global Markets has a solid market cap of 16.48B and a forward P/E ratio of 20.37, which is lower than the trailing P/E, indicating expected growth in earnings. The company is also actively expanding its suite of volatility indices, which could potentially increase its market share and revenues. 
However, there are also several risks to consider. The overall economic outlook is mixed, with potential risks from the Fed's tightening, the ongoing political unrest, and the potential impact of the war in Ukraine. These factors could potentially lead to increased volatility and risk in the financial markets, which could negatively impact Cboe Global Markets. 
Furthermore, the company's price/sales and price/book ratios are relatively high, indicating that the stock may be overvalued. The company also has a significant amount of debt, as indicated by its enterprise value of 17.71B, which could potentially increase its financial risk. 
Given these factors, I would assign a moderate score to Cboe Global Markets.
Score: 60.</t>
  </si>
  <si>
    <t>Given the current economic outlook and the specific information about CBRE Group, there are several factors to consider. 
On the positive side, CBRE Group's recent investment in a carbon accounting software company and its investment pipeline indicate a proactive approach to diversification and sustainability, which could potentially enhance its long-term value. The company's 2024 earnings guidance also appears to be conservative, leaving room for positive surprises. 
However, there are also several negative factors to consider. The potential crisis in the commercial real estate market could have a significant impact on CBRE Group, given its exposure to this sector. The company's relatively high P/E ratio also suggests that its stock may be overvalued, which could limit its potential for future gains. 
Furthermore, the broader economic and political uncertainties could potentially lead to increased volatility and risk in the stock market, which could negatively impact CBRE Group's stock price. 
Taking all these factors into account, I would assign a score of 60 to CBRE Group. This reflects the company's potential for positive surprises and its proactive investment strategy, but also takes into account the potential risks associated with the commercial real estate market and the broader economic and political uncertainties.
Score: 60</t>
  </si>
  <si>
    <t>Given the current economic climate and the specific factors affecting the Telecom Tower REITs industry, Crown Castle presents a mixed investment opportunity. 
On the positive side, the company has a large market cap and a reasonable P/E ratio, suggesting it is a stable and profitable company. The recent downturn in REITs could also present a buying opportunity, as suggested by the "Billionaire Investors Buy When There Is Blood In The StREITs" article. 
However, there are also several negative factors to consider. The potential government shutdown could disrupt the REIT sector, and Crown Castle's high Enterprise Value/EBITDA ratio suggests the company may be overvalued. Furthermore, the ongoing uncertainty in the economy and the stock market could lead to increased volatility and risk, which would be negative for the company's stock price.
Taking all these factors into account, I would assign a score of 60 to Crown Castle. This reflects the company's solid fundamentals and potential buying opportunity, but also the significant risks and uncertainties that are currently present in the market.
Score: 60</t>
  </si>
  <si>
    <t>Given the current economic outlook and the specific news about Cadence Design Systems, there are several factors to consider. 
On the positive side, Cadence has been making strategic moves to enhance its product offerings and expand its customer base. The company's recent unveiling of the enhanced Integrity 3D-IC Platform and its collaboration with TSMC are positive developments that could potentially boost its revenue and profitability. 
However, there are also several negative factors to consider. The overall outlook for the technology sector is mixed, with some analysts predicting a potential drop in semiconductor stocks. This could potentially impact Cadence's stock price. 
Furthermore, Cadence's financial data shows a relatively high P/E ratio, which suggests that the stock may be overvalued. This could potentially lead to a correction in the stock price. 
Taking all these factors into account, I would assign a moderate score to Cadence Design Systems. 
Score: 60</t>
  </si>
  <si>
    <t>Given the current economic outlook and the specific information about IQVIA, there are several factors to consider. 
On the positive side, the appointment of Richard Staub III as president of its Research &amp; Development Solutions business unit could potentially bring new insights and strategies to the company, given his extensive experience in the life science sector. This could potentially lead to improved performance and growth for the company.
On the financial side, IQVIA has a relatively high market cap and enterprise value, indicating that it is a large and potentially stable company. The forward P/E ratio is also relatively low, suggesting that the company's earnings are expected to grow in the future. This could potentially lead to higher stock prices.
However, there are also several negative factors to consider. The company's trailing P/E ratio is relatively high, suggesting that its current earnings may not be sufficient to justify its current stock price. The company's PEG ratio is also above 1, suggesting that its earnings growth may not be sufficient to justify its current stock price. 
Furthermore, the company's price/sales and price/book ratios are relatively high, suggesting that its stock may be overvalued. The company's enterprise value/revenue and enterprise value/EBITDA ratios are also relatively high, suggesting that the company may be overvalued relative to its revenue and earnings.
Given these factors, I would assign a score of 60 to IQVIA. This reflects the potential for growth and improvement, but also the risks associated with the company's high valuation ratios and the current economic environment.
Score: 60</t>
  </si>
  <si>
    <t>Given the current economic outlook and the specific information about Jack Henry &amp; Associates, there are several factors to consider. 
On the positive side, the company's collaboration with Marstone to provide seamless access to digital wealth and banking is a strong move. This could potentially increase the company's customer base and revenue, which would be positive for its stock price. The company's market cap of $11.02B and enterprise value of $11.29B also indicate that it is a relatively large and stable company, which could potentially reduce its risk.
However, there are also several negative factors to consider. The company's trailing P/E ratio of 30.11 and forward P/E ratio of 29.24 are relatively high, indicating that its stock may be overvalued. This could potentially lead to a correction in its stock price, which would be negative for investors. The company's PEG ratio of 3.03 also suggests that its stock may be overvalued relative to its expected earnings growth.
Furthermore, the company's price/sales ratio of 5.32 and price/book ratio of 6.85 are also relatively high, indicating that its stock may be overvalued. This could potentially lead to a correction in its stock price, which would be negative for investors. 
Given these factors, I would assign a score of 60 to Jack Henry &amp; Associates. This reflects the company's potential for growth and stability, but also the potential risks associated with its high valuation ratios.
Score: 60</t>
  </si>
  <si>
    <t>Given the current economic outlook and the specific circumstances surrounding JPMorgan Chase, the bank's potential investment value appears to be moderate. The overall economic uncertainty, potential for a recession, and the ongoing war in Ukraine could negatively impact the banking industry. However, JPMorgan Chase's diversified business model and strong financial position could help it navigate these challenges. 
On the other hand, the bank could benefit from the Fed's tightening, as higher interest rates typically improve banks' net interest margins. The growth in AI and digital technologies could also provide opportunities for the bank to improve its efficiency and customer service. 
However, the potential for a crisis in the commercial real estate market could pose a significant risk, given that JPMorgan Chase is a major lender in this sector. The political unrest and potential for further government shutdowns could also create uncertainty and volatility, which could negatively impact the bank's stock price.
Considering these factors, I would assign a score of 60 to JPMorgan Chase's potential investment value for the next month.
Score: 60</t>
  </si>
  <si>
    <t>Given the recent split of Kellogg into two companies, Kellanova and WK Kellogg, there is a level of uncertainty surrounding the future performance of these entities. The market's initial reaction to the split was negative, with both stocks experiencing a drop in value. However, this could be a temporary overreaction, and the companies may recover as they adjust to their new structures.
Kellanova, which now focuses on the snack business, could potentially benefit from the growing trend towards snacking. However, the rise of weight loss drugs could pose a threat to future sales growth. The company's financial data shows a relatively high trailing P/E ratio, which could indicate that the stock is overvalued. However, the forward P/E ratio is lower, suggesting that earnings are expected to grow.
Given the current economic climate, with the potential for a recession and the ongoing impact of the COVID-19 pandemic, it would be prudent to approach this investment with caution. The company's focus on the snack business could provide some resilience in the face of economic downturns, as consumers often turn to comfort foods during times of stress. However, the potential for a downturn in the real estate market could impact consumer spending power, which would be negative for Kellanova.
Considering all these factors, I would assign a score of 60 to Kellanova. This reflects the potential for growth in the snack business, but also takes into account the current economic uncertainty and the potential risks associated with the recent company split.
Score: 60</t>
  </si>
  <si>
    <t>Given the current economic climate and the specific financial data for Keurig Dr Pepper, there are several factors to consider. 
On the positive side, Keurig Dr Pepper has shown a focus on driving organic sales growth, which could potentially lead to increased revenues and profits. The company has also recently increased its dividend, which could make it more attractive to income-focused investors. 
However, there are also several negative factors to consider. The company's trailing P/E ratio is relatively high, which could indicate that the stock is overvalued. The company's enterprise value is also significantly higher than its market cap, which could indicate a high level of debt. 
Furthermore, the broader economic climate could potentially impact the company's performance. The potential for a recession could lead to decreased consumer spending, which could negatively impact the company's sales and profits. The ongoing conflict in Ukraine could also lead to increased costs for the company, due to disruptions in supply chains and increased energy prices. 
Given these factors, I would assign a score of 60 to Keurig Dr Pepper. This reflects the potential for growth, but also the significant risks and uncertainties.
Score: 60</t>
  </si>
  <si>
    <t>Given the current economic outlook and the specific data related to KLA Corporation, there are several factors to consider. 
On the positive side, KLA Corporation is a part of the semiconductor industry, which has been a key driver of technological progress over the past 50 years. The company's market cap and enterprise value are relatively high, indicating a strong market presence. The P/E ratios are also reasonable, suggesting that the company's stock is not overly expensive relative to its earnings.
However, there are also several negative factors to consider. The ongoing U.S.-China tech war could potentially impact the semiconductor industry, particularly if it leads to disruptions in the supply chain. The upcoming Taiwan elections could be a turning point in this regard. Additionally, there are signs that semiconductor stocks may be poised to drop, according to the S&amp;P Semiconductors Select Industry Index. 
Furthermore, the company's PEG ratio is relatively high, suggesting that the stock may be overvalued relative to its expected earnings growth. The price/sales and price/book ratios are also relatively high, which could be a cause for concern.
Taking all these factors into account, I would assign a score of 60 to KLA Corporation. This reflects the potential opportunities in the semiconductor industry, as well as the various risks and uncertainties.
Score: 60</t>
  </si>
  <si>
    <t>Given the current economic climate and the specific factors affecting Kimberly-Clark, the company presents a mixed investment opportunity. On one hand, the company has shown resilience in the face of macroeconomic headwinds, with improving margins and a growing market share in emerging markets. This suggests potential for growth in the future. 
On the other hand, the company faces challenges such as a global drop in birth rates affecting its baby and childcare segment, and the stock is currently considered to be richly valued. The company's high Price/Book ratio also suggests that the stock may be overvalued relative to its assets and liabilities.
Furthermore, the broader economic context presents both opportunities and risks. The potential for a recession could lead to increased demand for consumer staples like those produced by Kimberly-Clark, but it could also lead to a pullback in the consumer staples sector. 
Given these factors, Kimberly-Clark presents a moderate investment opportunity. 
Score: 60</t>
  </si>
  <si>
    <t>Given the current economic climate and the specific data related to LabCorp, there are several factors to consider. 
On the positive side, LabCorp has been making strategic partnerships, which could potentially lead to increased revenue and growth. The company's forward P/E ratio is also lower than its trailing P/E, suggesting that earnings are expected to grow in the future. 
However, there are also several negative factors to consider. The company's PEG ratio is relatively high, suggesting that it may be overvalued relative to its expected earnings growth. The company's enterprise value is also higher than its market cap, indicating a high level of debt. 
Given these factors, while LabCorp has potential for growth, it also carries a significant amount of risk. Therefore, I would assign a moderate score for its potential investment value.
Score: 60</t>
  </si>
  <si>
    <t>Given the current economic outlook and the specific news related to Goldman Sachs, the investment value of the company seems to be mixed. On one hand, Goldman Sachs has been fined for swap reporting failures and deficient blue sheet submissions, which could potentially harm its reputation and financial performance. On the other hand, the company is making strategic moves such as partnering for private credit in the Asia Pacific region and forming a consortium for client disclosure reporting, which could potentially enhance its business prospects.
Moreover, the company's financial data shows a relatively low forward P/E ratio, which could indicate that the stock is undervalued. However, the company's PEG ratio is above 1, which could suggest that the stock is overvalued relative to its expected earnings growth.
Considering these factors, the potential investment value of Goldman Sachs in the Investment Banking &amp; Brokerage industry for the next month is moderate. 
Score: 60</t>
  </si>
  <si>
    <t>Given the current economic outlook and the financial data of Huntington Bancshares, the company seems to be in a relatively stable position. The company's low P/E ratios suggest that it is undervalued, which could present a good buying opportunity. However, the high PEG ratio indicates that the company's earnings growth might not be keeping up with its stock price, which could be a concern. 
The regional banking industry could potentially be impacted by the Fed's interest rate hikes, which could lead to higher borrowing costs and lower profit margins. However, the industry could also benefit from a stronger economy, as this could lead to increased loan demand and higher interest income. 
Given the mixed economic outlook and the company's financial data, I would assign a moderate score to Huntington Bancshares. 
Score: 60</t>
  </si>
  <si>
    <t>Given the current economic outlook and the specific data for Hewlett Packard Enterprise (HPE), there are several factors to consider. 
On the positive side, the technology sector has been driving a significant share of the stock-market gains, and HPE is well-positioned within this sector. The company is benefiting from increased demand for integrated solutions and the growing adoption of the multi-cloud model. This could potentially support continued growth in HPE's earnings and stock price. 
However, there are also several negative factors to consider. The overall economic outlook is mixed, with a 20% chance of a recession and potential risks from the Fed's tightening. This could potentially lead to increased volatility and risk in the stock market, which would be negative for HPE's stock price. 
Furthermore, HPE's relatively high Enterprise Value/EBITDA ratio suggests that the company may be overvalued, which could potentially limit its future stock price gains. 
Taking all these factors into account, I would assign a score of 60 to HPE. This reflects the company's strong position within the technology sector and the potential for continued earnings growth, but also the potential risks from the overall economic outlook and the company's valuation.
Score: 60</t>
  </si>
  <si>
    <t>Given the current economic outlook and the specific information about Howmet Aerospace, there are several factors to consider. 
On the positive side, Howmet Aerospace has shown strong financial performance, with a market cap of $19.06B and an enterprise value of $22.68B. The company's PEG ratio of 0.80 suggests that it is undervalued given its expected growth rates. The company has also shown a commitment to returning capital to shareholders, as evidenced by its recent dividend increase. 
However, there are also several risks to consider. The company's high trailing P/E ratio of 36.71 suggests that its stock may be overpriced relative to its earnings. The ongoing war in Ukraine and the potential for a recession could also negatively impact the company's performance. 
Furthermore, the aerospace and defense industry could be impacted by the current economic conditions. The industry is highly dependent on government spending, which could be affected by the ongoing debates about further funding in the US. The industry could also be impacted by disruptions in supply chains caused by the war in Ukraine. 
Overall, while Howmet Aerospace has shown strong financial performance, there are several risks that could potentially impact its future performance. Therefore, a moderate score seems appropriate.
Score: 60</t>
  </si>
  <si>
    <t>Given the current economic outlook and the financial data of Idexx Laboratories, the company seems to be in a strong position. The firm has a substantial market cap and enterprise value, indicating a solid financial foundation. However, the high P/E ratios suggest that the stock is currently overvalued, which could limit its potential for future gains. 
The health care equipment industry could potentially benefit from the ongoing COVID-19 pandemic, as there is likely to be continued demand for health care products and services. However, the potential for a recession and the ongoing unrest in Washington could create uncertainty and volatility in the market, which could negatively impact the stock's performance.
Furthermore, the company's high price-to-sales and price-to-book ratios suggest that the stock is currently overvalued, which could limit its potential for future gains. The high enterprise value-to-revenue and enterprise value-to-EBITDA ratios also indicate that the company may be overvalued relative to its earnings and revenue.
Considering all these factors, I would assign a moderate score to Idexx Laboratories.
Score: 60</t>
  </si>
  <si>
    <t>Given the current economic outlook and the specific financial data for Becton Dickinson, there are several factors to consider. 
On the positive side, the company has a strong market cap and enterprise value, indicating a solid financial position. The appointment of a new CFO could also bring fresh perspectives and strategies to the company, potentially driving growth. 
However, the high trailing P/E ratio suggests that the company's stock may be overvalued, which could limit its potential for future price appreciation. The ongoing economic uncertainties, including the potential for a recession and the impact of the war in Ukraine, could also negatively impact the healthcare equipment industry and Becton Dickinson specifically. 
Furthermore, the high Enterprise Value/EBITDA ratio indicates that the company may be overvalued compared to its earnings, which could limit its investment potential. 
Considering these factors, while Becton Dickinson appears to be a solid company, the current economic climate and the company's valuation metrics suggest that its investment potential may be limited in the short term.
Score: 60</t>
  </si>
  <si>
    <t>Given the current economic outlook and the specific circumstances surrounding Booking Holdings, there are several factors to consider. 
On the positive side, Booking Holdings has a strong market capitalization and enterprise value, indicating a robust financial position. The company's PEG ratio is also less than 1, suggesting that it is undervalued given its expected earnings growth. This could potentially make it an attractive investment opportunity.
However, there are also several negative factors to consider. The European Union's decision to block Booking Holdings' acquisition of Etraveli Group could potentially limit the company's growth prospects in the European market. This could potentially lead to lower earnings growth for the company, which would be negative for its stock price. 
Furthermore, the ongoing uncertainty surrounding the global economy and the potential for a recession could also weigh on the company's performance. The travel industry is particularly sensitive to economic downturns, as consumers tend to cut back on discretionary spending during times of economic uncertainty. This could potentially lead to lower demand for Booking Holdings' services, which would be negative for its stock price.
Taking all these factors into account, I would assign a score of 60 to Booking Holdings. This reflects the company's strong financial position and potential for earnings growth, but also takes into account the potential risks associated with the current economic environment and the company's specific circumstances.
Score: 60</t>
  </si>
  <si>
    <t>Given the current economic outlook and the specific financial data for IDEX Corporation, it seems that the company is fairly valued with a trailing P/E of 26.95 and a forward P/E of 23.70. The company's market cap is substantial, indicating a strong market presence. However, the ongoing economic uncertainties, potential recession risks, and the impact of the war in Ukraine on global supply chains could pose challenges for the industrial machinery and supplies industry. 
Moreover, the company's PEG ratio is above 1, suggesting that it may be overvalued given its expected growth rates. The high Enterprise Value/EBITDA ratio also indicates that the company might be overvalued. 
On the other hand, the company's upcoming earnings call could provide more clarity on its financial performance and future outlook, which could potentially influence its investment value. 
Considering these factors, while IDEX Corporation seems to be a solid company, the current economic environment and the company's valuation metrics suggest a moderate investment value.
Score: 60.</t>
  </si>
  <si>
    <t>Given the current economic outlook and the specific financial data for Incyte, there are several factors to consider. The biotechnology industry is generally considered to be recession-resistant, which could be beneficial given the 20% chance of a recession. However, the ongoing political unrest and potential for increased market volatility could negatively impact Incyte's stock price.
Incyte's upcoming presentation at the EADV Congress could potentially lead to positive news that boosts the company's stock price. However, this is not guaranteed and there is also the risk of negative news.
Looking at Incyte's financial data, the company appears to be fairly valued with a trailing P/E ratio of 35.44 and a forward P/E ratio of 12.90. The company's PEG ratio of 0.43 suggests that it is expected to have strong earnings growth over the next 5 years, which could be positive for the stock price. However, the company's relatively high Enterprise Value/EBITDA ratio of 15.05 suggests that it may be overvalued based on its earnings before interest, taxes, depreciation, and amortization.
Given these factors, I would assign a moderate score to Incyte's potential investment value for the next month.
Score: 60</t>
  </si>
  <si>
    <t>Given the macroeconomic context and the specific news and financial data related to Delta Air Lines, there are several factors to consider. 
On the positive side, Delta has shown resilience in the face of challenging conditions, with news of expanding its transborder seat offering and resuming the payment of its quarterly dividend. This indicates a strong financial position and a commitment to shareholder returns. The company's P/E ratios are also relatively low, suggesting that the stock may be undervalued.
However, there are also several negative factors to consider. The potential for a government shutdown could negatively impact the airline industry, and Delta has recently faced backlash over changes to its SkyMiles program. The company's high enterprise value relative to its market cap also suggests a high level of debt, which could pose a risk in the current economic environment.
Considering these factors, while Delta Air Lines shows some promising signs, the potential risks in the current economic and industry environment suggest a need for caution. 
Score: 60</t>
  </si>
  <si>
    <t>Based on the provided information, Danaher Corporation has recently completed a spin-off of its Environmental &amp; Applied Solutions segment, Veralto Corporation. This move could potentially unlock value for Danaher shareholders, as Veralto is a $5 billion business with a focus on water quality services, a sector that could see growth due to increasing global concerns about water scarcity and quality. However, the spin-off has also resulted in a decline in Danaher's revenues in the second quarter, which could potentially weigh on its stock price in the short term.
Furthermore, Danaher's proposed acquisition of Abcam has been met with opposition from one of Abcam's largest investors, which could potentially lead to uncertainty and volatility in Danaher's stock price. 
In terms of financial metrics, Danaher's trailing P/E ratio is relatively high, indicating that its stock may be overvalued. Its forward P/E ratio is lower, suggesting that analysts expect its earnings to grow in the future. However, its PEG ratio is above 1, which could indicate that its stock is overvalued given its expected earnings growth.
Considering the overall economic outlook, the healthcare equipment industry could potentially benefit from the ongoing COVID-19 pandemic, as there may be increased demand for healthcare equipment and services. However, the potential for a recession and the ongoing unrest in Washington could lead to increased volatility and risk in the stock market, which could negatively impact Danaher's stock price.
Given these factors, I would assign a moderate score to Danaher Corporation.
Score: 60</t>
  </si>
  <si>
    <t>Given the current economic outlook and the specific information about Dollar Tree, there are several factors to consider. 
On the positive side, Dollar Tree's low-cost business model could potentially benefit from a recession, as consumers look for cheaper alternatives. The company's store optimization and expansion strategies could also help to offset inflationary pressures and support growth. 
On the negative side, Dollar Tree has underperformed compared to other discount retailers like Walmart, which suggests that it may face competitive pressures. The company's relatively high PEG ratio also suggests that it may be overvalued relative to its expected earnings growth. 
Taking these factors into account, I would assign a moderate score to Dollar Tree. 
Score: 60.</t>
  </si>
  <si>
    <t>Given the current economic outlook and the financial data of Regions Financial Corporation, the company seems to be in a relatively stable position. The company's low P/E ratios suggest that it is undervalued, which could present a good buying opportunity. However, the high PEG ratio indicates that the company's earnings growth might not be keeping up with its stock price, which could be a concern. 
The company's upcoming financial results could provide further clarity on its financial health and growth prospects. However, given the current economic uncertainties and the potential risks in the banking sector, it would be prudent to approach this investment with caution.
Considering all these factors, I would assign a moderate score to Regions Financial Corporation.
Score: 60</t>
  </si>
  <si>
    <t>Given the current economic outlook and the financial data of Republic Services, the company seems to be in a stable position. The company's market cap is substantial, and its forward P/E ratio is lower than the trailing P/E, indicating expected earnings growth. However, the high PEG ratio suggests that the stock may be overvalued relative to its expected earnings growth. 
The environmental and facilities services industry could potentially benefit from the current economic situation. The ongoing war in Ukraine and the disruptions in supply chains could increase the demand for environmental and facilities services. Additionally, the company's upcoming earnings release could provide a positive catalyst if the results are better than expected.
However, the overall economic uncertainty, potential for a recession, and the bearish sentiment in the stock market could pose risks. The company's high enterprise value relative to its revenue and EBITDA also suggests that the stock may be overvalued.
Considering all these factors, I would assign a moderate score to Republic Services.
Score: 60</t>
  </si>
  <si>
    <t>Given the current economic outlook and the specific circumstances of RTX Corporation, there are several factors to consider. The Aerospace &amp; Defense industry is often influenced by geopolitical events, such as the ongoing conflict in Ukraine, which could potentially increase demand for defense products and services. However, the potential for a recession and the high level of economic uncertainty could negatively impact the company's performance.
RTX Corporation's financial data shows a relatively stable position, with a reasonable P/E ratio and a market cap of 104.75B. However, the high Enterprise Value/EBITDA ratio could indicate that the company is overvalued, which could limit its potential for future stock price growth.
Considering these factors, I would assign a moderate score to RTX Corporation, reflecting the potential opportunities in the Aerospace &amp; Defense industry, but also the significant risks associated with the current economic environment.
Score: 60</t>
  </si>
  <si>
    <t>Given the current economic climate and the specific financial data for Interpublic Group of Companies (IPG), the company seems to be in a relatively stable position. The company's diverse workforce could potentially provide a competitive advantage, especially in the current environment where diversity and inclusion are increasingly important. 
The company's financial ratios also suggest a relatively strong financial position. The trailing P/E ratio is below the average for the S&amp;P 500, suggesting that the company's stock may be undervalued. The forward P/E ratio is also relatively low, suggesting that the company's earnings are expected to grow in the future. 
However, the PEG ratio is relatively high, suggesting that the company's stock may be overvalued when considering its expected earnings growth. The company's price/sales ratio is also relatively high, suggesting that the company's stock may be overvalued relative to its sales. 
Given the mixed signals from the company's financial ratios and the current economic climate, I would assign a moderate score for the potential investment value of Interpublic Group of Companies (IPG) in the Advertising industry for the next month.
Score: 60</t>
  </si>
  <si>
    <t>Given the current economic outlook and the specific circumstances of Micron Technology, the company seems to be in a relatively stable position. The company's market cap is substantial, and its trailing P/E ratio is relatively low, indicating that the stock may be undervalued. However, the lack of data for forward P/E and PEG ratio makes it difficult to assess the company's future earnings growth.
The technology sector, where Micron operates, has been driving a significant share of the stock-market gains, which could be beneficial for the company. However, the ongoing war in Ukraine and its impact on global supply chains could pose a risk, as semiconductor companies like Micron are heavily dependent on global supply chains.
Furthermore, the potential for a recession and the Fed's aggressive interest rate hikes could also negatively impact the company. The company's performance could be affected by these macroeconomic factors, and there could be increased volatility and risk in the market.
Considering all these factors, I would assign a moderate score to Micron Technology.
Score: 60</t>
  </si>
  <si>
    <t>Given the current economic outlook and the specific news about NextEra Energy, there are several factors to consider. 
On the positive side, NextEra Energy is a leader in the renewable energy sector, which is expected to grow significantly in the coming years. The company's focus on clean energy aligns with global sustainability goals and could position it well for future growth. Additionally, despite a recent drop in its stock price, the company still expects to grow its annual dividend by 10% through 2024, which could be attractive to income-focused investors.
However, there are also several negative factors to consider. The company recently slashed its long-term growth forecast, which led to a significant drop in its stock price. This could indicate that the company is facing challenges that could limit its future growth. Additionally, the company's decision to sell its Florida City Gas business could also be a cause for concern, as it could indicate that the company is struggling to maintain its profitability.
Considering these factors, I would assign a score of 60 to NextEra Energy. This reflects the company's potential for growth in the renewable energy sector, but also takes into account the recent negative news and the potential risks associated with the current economic environment.
Score: 60</t>
  </si>
  <si>
    <t>Given the current economic climate and the specific circumstances surrounding NiSource, there are several factors to consider when evaluating its potential investment value.
On the positive side, utilities stocks like NiSource can be a good defensive play in uncertain economic times. They provide essential services that people need regardless of the state of the economy, which can provide a steady stream of revenue and profits. This is particularly relevant given the current high inflation environment, which can make utilities stocks more attractive.
NiSource's decision to postpone the remarketing of its Series C Mandatory Convertible Preferred Stock due to market conditions shows a level of prudence and flexibility in its financial management. This could potentially be a positive sign for investors, as it suggests that the company is willing to adapt its strategies based on market conditions.
However, there are also some potential concerns. The company's relatively high PEG ratio suggests that it may be overvalued relative to its expected earnings growth. This could potentially limit its upside potential. The company's high Enterprise Value/EBITDA ratio also suggests that it may be overvalued relative to its earnings before interest, taxes, depreciation, and amortization.
Given these factors, I would assign a moderate score to NiSource. While it has some positive attributes, there are also some potential concerns that could limit its investment value.
Score: 60</t>
  </si>
  <si>
    <t>Given the current economic outlook and the specific circumstances surrounding Nike, Inc., there are several factors to consider. 
On the positive side, the company has a strong brand and a significant market cap. The P/E ratios, both trailing and forward, are reasonable, suggesting that the stock is not overly expensive. The company's Price/Sales and Enterprise Value/Revenue ratios are also relatively low, indicating that the company is generating a good amount of revenue relative to its stock price and enterprise value.
However, there are also several negative factors to consider. The ongoing war in Ukraine and the potential for a recession could negatively impact consumer spending, which would likely hurt Nike's sales. Additionally, the company's high Price/Book ratio suggests that its stock may be overvalued relative to its book value. 
Furthermore, the company's high Enterprise Value/EBITDA ratio suggests that it may be overvalued relative to its earnings before interest, taxes, depreciation, and amortization. This could potentially indicate that the company's earnings are not sufficient to justify its current enterprise value.
Taking all of these factors into account, I would assign a score of 60 to Nike, Inc. This reflects the company's strong brand and financial performance, but also takes into account the potential risks associated with the current economic environment and the company's valuation ratios.
Score: 60</t>
  </si>
  <si>
    <t>Given the current economic outlook and the specific information about Northern Trust, there are several factors to consider. 
On the positive side, Northern Trust is actively responding to regulatory changes, which could potentially enhance its competitive position in the market. The company's forward P/E ratio is also relatively low, suggesting that it could be undervalued. 
However, there are also several negative factors to consider. The company's PEG ratio is above 1, suggesting that it could be overvalued relative to its expected earnings growth. The ongoing debates about government funding and the potential impact of the war in Ukraine could also create uncertainty and volatility in the market, which could negatively impact Northern Trust's stock price. 
Furthermore, the company's price/sales ratio is relatively high, suggesting that its stock could be overpriced relative to its sales. The company's price/book ratio is also above 1, suggesting that its stock could be overpriced relative to its book value. 
Given these factors, I would assign a score of 60 to Northern Trust. This reflects the potential investment value of the company, but also takes into account the current economic outlook and the specific risks and uncertainties facing the company.
Score: 60</t>
  </si>
  <si>
    <t>Given the current economic outlook and the specific circumstances of Ford Motor Company, there are several factors to consider. The overall economic outlook is mixed, with potential risks from the ongoing political instability and the impact of the war in Ukraine. However, the growth in AI and technology could potentially benefit Ford, especially if they continue to invest in these areas.
Ford's financial data shows a relatively low P/E ratio, which could indicate that the stock is undervalued. However, the company's high enterprise value compared to its market cap could suggest that it is carrying a significant amount of debt, which could be a risk factor, especially in the current economic climate.
Considering these factors, I would assign a moderate score to Ford Motor Company. While there are potential opportunities for growth, there are also significant risks that could impact the company's performance.
Score: 60</t>
  </si>
  <si>
    <t>Given the current economic outlook and the financial data of Fortive, the company seems to be in a relatively stable position. The upcoming earnings call could provide further insights into the company's performance and future prospects. However, considering the potential risks in the overall economy and the stock market, including the possibility of a recession, the ongoing political unrest, and the impact of the war in Ukraine, it would be prudent to exercise caution. 
The company's P/E ratios suggest that it is currently overvalued, which could limit its potential for future stock price appreciation. The high Enterprise Value/EBITDA ratio also indicates that the company may be overvalued relative to its earnings. 
On the other hand, the company's market cap and enterprise value suggest that it is a large and potentially stable company, which could make it a safer investment in a volatile market. The company's relatively high Price/Sales and Price/Book ratios also suggest that it has strong sales and assets relative to its stock price, which could provide some level of protection against a potential market downturn.
Given these factors, I would assign a moderate score to Fortive.
Score: 60</t>
  </si>
  <si>
    <t>Given the current economic outlook and the specific circumstances surrounding General Mills, there are several factors to consider. 
On the positive side, General Mills has a strong history of paying dividends, which could be attractive to income-focused investors, especially in a potentially volatile market. The company's recent sales growth also shows promise, and its efforts to improve its business could potentially lead to future growth. 
However, there are also several negative factors to consider. General Mills is facing volume challenges and weaker underlying trends, which could potentially impact its future performance. The company is also facing pressure on its margins due to moderating inflation and volume trends. Furthermore, the rise of weight loss drugs could potentially pose a threat to the company's future sales growth.
Taking all these factors into account, I would assign a score of 60 to General Mills. This reflects the company's potential for income generation and its efforts to improve its business, but also takes into account the challenges it is currently facing.
Score: 60</t>
  </si>
  <si>
    <t>Given the current economic outlook and the specific news and financial data related to Etsy, it seems that the company has potential for growth in the long term. The company's unique marketplace continues to attract more sellers and buyers, and it is benefiting from the growth of e-commerce. Moreover, Etsy's use of AI in its operations could provide a competitive advantage. 
However, there are also some concerns. The company's revenue growth has slowed, and its acquisition strategy has not been successful. The company's financial data also shows a negative Enterprise Value/EBITDA ratio, which could indicate that the company is not generating enough earnings before interest, taxes, depreciation, and amortization.
Considering the mixed signals, the potential investment value of Etsy in the Broadline Retail industry for the next month is moderate. 
Score: 60</t>
  </si>
  <si>
    <t>Given the current economic outlook and the specific information about Evergy, there are several factors to consider. 
On the positive side, Evergy has reached a unanimous agreement in its Kansas rate case, which could potentially lead to increased stability and predictability in its revenue stream. This is a positive development for the company and could potentially support its stock price. 
In terms of financial metrics, Evergy's forward P/E ratio is lower than its trailing P/E, suggesting that earnings are expected to grow in the future. This could potentially support a higher stock price. The company's PEG ratio is also relatively low, suggesting that its stock may be undervalued given its expected earnings growth. 
However, there are also several negative factors to consider. The company's enterprise value is significantly higher than its market cap, suggesting that it has a high level of debt. This could potentially lead to increased financial risk and could weigh on the stock price. 
Furthermore, the broader economic and market trends could also impact Evergy. The potential for a recession and the ongoing unrest in Washington could lead to increased volatility and risk in the stock market, which could potentially impact Evergy's stock price. 
Given these factors, I would assign a score of 60 to Evergy. This reflects the potential for positive developments, such as the resolution of the Kansas rate case and expected earnings growth, but also acknowledges the potential risks, such as the company's high level of debt and the broader economic and market risks.
Score: 60</t>
  </si>
  <si>
    <t>Given the current economic climate and the specific circumstances surrounding Exelon, there are several factors to consider when assigning an investment score. 
On the positive side, utilities stocks are generally considered to be defensive investments that can perform well during periods of economic uncertainty. This is because they provide essential services that people need regardless of the state of the economy. The fact that Exelon has a large market cap and a reasonable P/E ratio also suggests that it is a relatively stable and profitable company.
However, there are also several negative factors to consider. The recent fraud charges against Exelon and its subsidiary could potentially lead to significant legal and financial consequences for the company. This could negatively impact its stock price and overall financial performance. Furthermore, the high enterprise value relative to revenue and EBITDA suggests that the company may be overvalued, which could limit its potential for future stock price appreciation.
Taking all of these factors into account, I would assign Exelon a score of 60 out of 100. This reflects the potential investment value of the company, but also acknowledges the significant risks and uncertainties associated with it.
Score: 60</t>
  </si>
  <si>
    <t>Given the current economic outlook and the specific information about Catalent, there are several factors to consider. 
On the positive side, Catalent has been making strategic deals and launching new products and services, which could potentially drive growth. The company's recent exclusive development and license agreement with Melt Pharmaceuticals is a positive development that could potentially lead to new revenue streams. 
However, there are also several negative factors to consider. The company's forward P/E ratio is relatively high, indicating that the stock may be overvalued. The company's enterprise value is also significantly higher than its market cap, which could potentially indicate that the company is carrying a significant amount of debt. 
Furthermore, the company's enterprise value/EBITDA ratio is negative, which could potentially indicate that the company is not generating sufficient earnings before interest, taxes, depreciation, and amortization. This could potentially lead to financial difficulties for the company in the future. 
Given these factors, I would assign a score of 60 to Catalent. This reflects the potential for growth due to the company's strategic deals and new product and service launches, but also takes into account the potential risks associated with the company's financial situation.
Score: 60</t>
  </si>
  <si>
    <t>Given the current economic outlook and the specific information about Paccar, there are several factors to consider. 
On the positive side, Paccar is a leader in the big rig industry and is strategically rolling out EV trucks, which could potentially benefit from the growing trend towards electric vehicles. This could potentially lead to increased sales and profits for the company. 
On the negative side, the company's PEG ratio is relatively high, indicating that it may be overvalued relative to its expected earnings growth. This could potentially lead to a decrease in the company's stock price. 
Furthermore, the ongoing war in Ukraine and the potential for a recession could potentially lead to decreased demand for heavy transportation equipment, which would be negative for Paccar. 
However, the company's relatively low P/E ratios suggest that it may be undervalued relative to its earnings, which could potentially lead to an increase in the company's stock price. 
Taking all these factors into account, I would assign a score of 60 to Paccar. This reflects the potential risks and opportunities for the company in the current economic environment.
Score: 60</t>
  </si>
  <si>
    <t>PEAK</t>
  </si>
  <si>
    <t>Given the current economic outlook and the specific financial data for Healthpeak, the company seems to be in a relatively strong position. The company's market cap is substantial, and it is considered one of the top 4 real estate stocks set to perform well. However, the high Forward P/E ratio indicates that the company's stock might be overvalued, which could lead to a correction in the future. 
The ongoing debates about government funding and the potential crisis in the commercial real estate market could also impact Healthpeak. The company's high Enterprise Value/EBITDA ratio suggests that it might be overvalued, which could lead to a decrease in its stock price if the market were to collapse. 
However, the company's position in the Health Care REITs industry could provide some protection against these risks. The healthcare sector is generally considered to be more resilient during economic downturns, which could help to support Healthpeak's stock price. 
Given these factors, I would assign a moderate score to Healthpeak.
Score: 60</t>
  </si>
  <si>
    <t>Given the current economic outlook and the specific financial data for Packaging Corporation of America (PKG), there are several factors to consider. 
On the positive side, PKG is one of the companies that are well-positioned to tackle the challenges in the Containers-Paper and Packaging industry, despite the dampened near-term prospects due to low consumer spending amid inflationary pressures. This suggests that the company has a strong business model and effective strategies in place, which could potentially support its stock price. 
The company's financial data also looks relatively solid. Its market cap is substantial at $13.81 billion, and its trailing P/E ratio is 16.21, which is relatively low compared to the industry average. This suggests that the company's stock is reasonably priced relative to its earnings. 
However, there are also several negative factors to consider. The forward P/E ratio is 20.08, which suggests that investors are expecting the company's earnings to decrease in the future. This could potentially put downward pressure on the stock price. 
The company's Price/Sales ratio is 1.74, which is relatively high. This suggests that the company's stock is expensive relative to its sales, which could potentially limit its upside potential. 
Furthermore, the company's Enterprise Value/EBITDA ratio is 9.44, which is relatively high. This suggests that the company is highly valued relative to its earnings before interest, taxes, depreciation, and amortization, which could potentially limit its upside potential. 
Given these factors, I would assign a score of 60 to Packaging Corporation of America. This reflects the company's strong position in its industry and solid financial data, but also takes into account the potential risks and challenges it faces.
Score: 60</t>
  </si>
  <si>
    <t>Given the current economic outlook and the specific information about Elevance Health, there are several factors to consider. 
On the positive side, the healthcare sector is generally considered to be defensive and can perform well during economic downturns. This is because demand for healthcare services tends to be relatively stable, regardless of the state of the economy. Elevance Health's relatively low P/E ratios (both trailing and forward) suggest that the stock may be undervalued, which could provide an opportunity for investors. 
However, there are also several negative factors to consider. The decision to pause the acquisition of BCBS Louisiana could be seen as a sign of uncertainty or potential problems with the deal, which could negatively impact Elevance Health's future growth prospects. The company's relatively high enterprise value compared to its market cap could also be a cause for concern, as it suggests that the company may be carrying a significant amount of debt. 
Given these factors, I would assign a moderate score to Elevance Health. 
Score: 60</t>
  </si>
  <si>
    <t>Given the current economic outlook and the specific financial data and news about Celanese, the company seems to be in a relatively strong position. The formation of the Nutrinova joint venture with Mitsui could potentially provide a new source of revenue and growth for the company, which could help to offset some of the potential risks in the broader economy. 
The company's financial ratios also suggest that it is relatively undervalued, with a trailing P/E ratio of 10.78 and a forward P/E ratio of 9.43. This suggests that the company's earnings are expected to grow in the future, which could potentially lead to higher stock prices. 
However, the company's high PEG ratio of 4.19 suggests that this growth may not be sufficient to justify the company's current stock price. This could potentially limit the upside potential for the stock. 
Furthermore, the company's high enterprise value relative to its revenue and EBITDA suggests that it may be overvalued on these metrics. This could potentially lead to a correction in the stock price, particularly if the broader economic risks materialize. 
Given these factors, I would assign a score of 60 to Celanese. This reflects the company's strong financial position and growth prospects, but also takes into account the potential risks in the broader economy and the possibility that the stock may be overvalued on some metrics.
Score: 60</t>
  </si>
  <si>
    <t>Given the current economic outlook and the financial data of Church &amp; Dwight, the company seems to be in a relatively stable position. The company's market cap and enterprise value are substantial, indicating a strong market presence. However, the high P/E ratios (both trailing and forward) suggest that the stock may be overvalued, which could limit its potential for future price appreciation.
The company's upcoming earnings webcast could provide further insights into its financial health and future prospects. If the company reports strong earnings, it could boost investor confidence and potentially lead to a rise in the stock price. However, given the current economic uncertainties and the potential risks associated with the high P/E ratios, there is also a risk of a negative reaction to the earnings report.
Considering the macroeconomic factors, the company's financial data, and the upcoming earnings report, I would assign a moderate score to Church &amp; Dwight.
Score: 60</t>
  </si>
  <si>
    <t>Given the current economic climate and the specific circumstances surrounding Centene Corporation, there are several factors to consider. 
On the positive side, the healthcare industry is expected to grow at a compound annual growth rate of 10.4% until 2027, which could provide significant returns for investors. Centene Corporation also has a relatively low PEG ratio of 0.43, indicating that it may be undervalued relative to its expected earnings growth. This could potentially make it an attractive investment opportunity.
However, there are also several negative factors to consider. The company recently announced that it will be laying off 2,000 employees, which could potentially impact its operational efficiency and profitability. This is despite the company recording Q2 profits of over $1 billion, suggesting that it may be facing financial difficulties. 
Furthermore, the company's price-to-sales ratio of 0.26 is relatively low, indicating that its stock may be undervalued relative to its sales. This could potentially make it a less attractive investment opportunity.
Given these factors, I would assign a score of 60 to Centene Corporation. This reflects the potential investment value of the company in the Managed Health Care industry for the next month, taking into account both the positive and negative factors.
Score: 60</t>
  </si>
  <si>
    <t>Given the current economic outlook and the financial data of Amphenol, the company seems to be in a relatively stable position. The company has a substantial market cap and enterprise value, indicating a strong market presence. The P/E ratios are relatively high, suggesting that the market has high expectations for the company's future earnings growth. However, the PEG ratio is above 1, which could indicate that the stock is overvalued given the expected growth rates.
The company operates in the Electronic Components industry, which could benefit from the ongoing growth in the technology sector. However, the potential risks associated with the current economic climate, such as the possibility of a recession and the impact of the war in Ukraine, could negatively affect the company's performance.
Considering these factors, the potential investment value of Amphenol for the next month is moderate. 
Score: 60</t>
  </si>
  <si>
    <t>Given the current macroeconomic conditions and the specific financial data for EOG Resources, there are several factors to consider. 
On the positive side, the war in Ukraine has led to a spike in energy prices, which could potentially benefit EOG Resources as an oil and gas exploration and production company. The company's relatively low P/E ratios (both trailing and forward) suggest that it is currently undervalued, which could present a good buying opportunity. 
However, there are also several negative factors to consider. The ongoing debates about further funding in the US government could lead to increased uncertainty and volatility in the market, which could negatively impact EOG Resources. The company's relatively high PEG ratio suggests that it may be overvalued based on its expected future earnings growth. 
Furthermore, the potential impact of the Fed's tightening on the economy and the stock market is still uncertain, and there is a 20% chance of a recession. This could potentially lead to a decrease in demand for oil and gas, which would negatively impact EOG Resources. 
Taking all these factors into account, I would assign a score of 60 to EOG Resources. This reflects the potential benefits from rising energy prices and the company's current undervaluation, but also takes into account the potential risks from the uncertain macroeconomic conditions and the company's relatively high PEG ratio.
Score: 60</t>
  </si>
  <si>
    <t>Given the current economic outlook and the specific financial data for Eversource, the company appears to be in a relatively stable position. The company's market cap is substantial, and its forward P/E ratio is lower than its trailing P/E, suggesting that earnings growth is expected. However, the PEG ratio is slightly high, indicating that the stock may be overvalued relative to its expected earnings growth.
The utilities sector is traditionally seen as a defensive sector, which could be beneficial in the current uncertain economic environment. However, there are also concerns about the sector, as indicated by the article suggesting that some utility stocks could be "ticking time bombs". 
Given these factors, I would assign a moderate score to Eversource. 
Score: 60.</t>
  </si>
  <si>
    <t>Given the current economic outlook and the specific information about Prologis, there are several factors to consider. 
On the positive side, Prologis is a leader in the logistics real estate sector, which could benefit from the ongoing growth in e-commerce and supply chain transformations. The company has also been highlighted as a strong dividend stock, which could provide a steady income stream for investors. Furthermore, Prologis is embracing AI technology, which aligns with the broader trend of increased investment in AI. 
However, there are also several risks to consider. The potential crisis in the commercial real estate market could negatively impact Prologis, given its significant exposure to this sector. The company's forward P/E ratio is also relatively high, suggesting that its stock may be overvalued. Furthermore, the ongoing unrest in Washington and the potential for a recession could increase market volatility and risk, which could negatively impact Prologis' stock price. 
Taking all these factors into account, I would assign a moderate score to Prologis. 
Score: 60</t>
  </si>
  <si>
    <t>Given the current economic outlook and the specific financial data for Quanta Services, there are several factors to consider. 
On the positive side, Quanta Services has a diverse portfolio and client base due to its strategy of constant acquisitions, which could potentially provide some level of protection against economic downturns. The company is also in the infrastructure sector, which could potentially benefit from increased government spending, especially if there is a recession. 
However, there are also several negative factors to consider. The company's stock price has rallied significantly in recent years, and it is currently considered overvalued according to a DCF model. This suggests that the stock price could potentially decline in the future. The company's trailing P/E ratio is also relatively high, which could potentially indicate overvaluation. 
Furthermore, the overall economic outlook is mixed, with both positive and negative trends. The potential for a recession, the ongoing unrest in Washington, and the Fed's aggressive interest rate hikes could all potentially negatively impact the stock market and Quanta Services' stock price. 
Given these factors, I would assign a score of 60 to Quanta Services. This reflects the potential benefits from its diverse portfolio and potential government spending, but also the risks from its overvaluation and the overall economic outlook.
Score: 60</t>
  </si>
  <si>
    <t>Given the current economic outlook and the specific information about Dover Corporation, there are several factors to consider. 
On the positive side, Dover Corporation is showcasing new technologies at a major trade show, which could potentially lead to increased sales and profits. The company's forward P/E ratio is also lower than its trailing P/E ratio, which suggests that earnings are expected to grow in the future. 
However, there are also several negative factors to consider. The company's PEG ratio is above 1, which suggests that it may be overvalued given its expected earnings growth. The company's price/sales and price/book ratios are also relatively high, which could indicate overvaluation. 
Furthermore, the broader economic and market trends could potentially impact Dover Corporation. The potential for a recession and the ongoing unrest in Washington could lead to increased uncertainty and risk aversion among investors, which could negatively impact the company's stock price. The Fed's aggressive interest rate hikes could also potentially lead to lower earnings growth for the company. 
Given these factors, I would assign a score of 60 to Dover Corporation. This reflects the potential for earnings growth and the positive impact of the new technologies, but also takes into account the potential risks and the signs of overvaluation.
Score: 60</t>
  </si>
  <si>
    <t>Given the current economic outlook and the specific information about DTE Energy, there are several factors to consider. 
On the positive side, DTE Energy's plan to improve electric reliability by over 60% in the next five years through a $9 billion investment is a strong indicator of the company's commitment to growth and innovation. This could potentially lead to increased revenues and profits in the future, which would be beneficial for the stock's performance. 
The company's financial data also looks relatively solid, with a reasonable P/E ratio and a market cap of $20.47 billion. This suggests that the company is valued fairly by the market, which could potentially limit downside risk. 
However, there are also several negative factors to consider. The ongoing debates about government funding could potentially impact the utilities sector, as government policies and regulations play a significant role in this industry. The potential for a recession also poses a risk, as this could lead to decreased demand for utilities and lower revenues for DTE Energy. 
Furthermore, the company's high Enterprise Value/EBITDA ratio suggests that it may be overvalued relative to its earnings, which could potentially limit upside potential. 
Taking all these factors into account, I would assign a score of 60 to DTE Energy. This reflects the company's solid financials and growth prospects, but also takes into account the potential risks from the current economic environment.
Score: 60</t>
  </si>
  <si>
    <t>Given the current economic outlook and the specific financial data for Consolidated Edison, the company seems to be in a relatively stable position. The company's forward P/E ratio is slightly higher than its trailing P/E, indicating that investors are expecting the company to grow its earnings in the future. This is a positive sign, especially considering the company's focus on clean energy, which is a growing sector.
However, the company's PEG ratio is above 1, which suggests that the company may be overvalued given its expected growth rates. This could potentially limit the upside potential for the stock.
Furthermore, the ongoing economic uncertainties, including the potential for a recession and the impact of the war in Ukraine, could negatively impact the company's performance. The company's high enterprise value relative to its revenue and EBITDA also suggests that the company may be overvalued.
Considering these factors, while Consolidated Edison may offer some potential for growth due to its focus on clean energy, the risks associated with the current economic environment and the company's valuation metrics suggest that caution is warranted.
Score: 60</t>
  </si>
  <si>
    <t>Given the current economic outlook and the specific information about Equifax, there are several factors to consider. 
On the positive side, Equifax's ongoing cloud data and technology transformation could potentially benefit from the increased investment in AI and the growing use of generative AI tools. This could drive innovation and product development, which could potentially lead to increased revenues and profits. The partnership with Mitek to tackle digital fraud threats could also enhance Equifax's reputation and market position, which could potentially lead to increased demand for its services.
On the negative side, the high levels of uncertainty and risk in the economy and the stock market could potentially impact Equifax's performance. The company's high P/E ratios suggest that its stock is currently overvalued, which could potentially lead to a correction and a decline in its stock price. The potential crisis in the commercial real estate market could also impact Equifax's business, as it could lead to increased defaults and a decline in demand for its services.
Taking all these factors into account, I would assign a score of 60 to Equifax. This reflects the potential opportunities for the company, but also the significant risks and uncertainties in the current economic and market environment.
Score: 60</t>
  </si>
  <si>
    <t>Given the current economic climate and the specific financial data for Tyler Technologies, the company seems to be in a relatively strong position. The company's recent deal with Harris County in Texas indicates a positive business development, which could potentially lead to increased revenues and profits in the future. 
However, the company's high P/E ratios (both trailing and forward) suggest that the stock may be overvalued, which could limit its potential for future price appreciation. The high PEG ratio also indicates that the company's earnings growth may not be keeping pace with its stock price, which could be a cause for concern. 
Furthermore, the company's high price-to-sales and price-to-book ratios suggest that the stock may be overpriced relative to its sales and book value. This could potentially limit the stock's upside potential and increase its downside risk. 
Finally, the company's high enterprise value relative to its revenue and EBITDA suggests that the company may be overvalued relative to its earnings and cash flow. This could potentially limit the stock's upside potential and increase its downside risk. 
Given these factors, I would assign a score of 60 to Tyler Technologies. This reflects the company's strong business development and potential for future growth, but also takes into account the potential risks associated with its high valuation ratios.
Score: 60</t>
  </si>
  <si>
    <t>Given the current economic outlook and the specific information about Ameren, there are several factors to consider. 
On the positive side, Ameren has a solid market cap and a reasonable P/E ratio, both of which suggest stability. The company's forward P/E is lower than its trailing P/E, indicating that earnings are expected to grow. This is a good sign for potential investors. Furthermore, Ameren's commitment to providing reliable, affordable, and environmentally responsible energy could position it well in a market increasingly focused on sustainability.
On the negative side, the company's PEG ratio is above 1, suggesting that it may be overvalued given the expected growth rates. The high Enterprise Value/EBITDA ratio also indicates that the company might be overvalued. 
Considering the broader economic context, the potential for a recession and the ongoing political instability could negatively impact Ameren's performance. The company's performance is also likely to be influenced by the broader trends in the energy market, including the impact of the war in Ukraine on energy prices.
Taking all these factors into account, I would assign a moderate score to Ameren.
Score: 60</t>
  </si>
  <si>
    <t>Given the current economic outlook and the company's recent financial data, AES Corporation seems to be in a relatively stable position. The company has secured all planned external funding for 2023, which indicates a strong financial position and strategic planning. This is a positive sign in the current uncertain economic environment. 
However, the company's high Enterprise Value/EBITDA ratio suggests that it may be overvalued, which could limit its potential for future stock price appreciation. The company's PEG ratio is slightly above 1, suggesting that it may be slightly overvalued given its expected earnings growth. 
The company's forward P/E ratio is relatively low, which could indicate that it is undervalued based on its expected earnings. However, the company's high Price/Book ratio suggests that its stock price may be overvalued relative to its book value. 
Given the mixed signals from the company's financial ratios and the current economic uncertainty, it would be prudent for investors to exercise caution. 
Score: 60</t>
  </si>
  <si>
    <t>Given the current economic outlook and the specific financial data for Yum! Brands, there are several factors to consider. 
On the positive side, the company has a strong market cap and enterprise value, indicating a solid financial position. The decrease in drive-thru wait times could potentially lead to increased sales and customer satisfaction, which would be positive for the company's stock. The company's forward P/E ratio is also lower than its trailing P/E, suggesting that earnings are expected to grow in the future. 
However, there are also several negative factors to consider. The company's PEG ratio is above 1, suggesting that it may be overvalued given its expected earnings growth. The company's price/sales ratio is also relatively high, which could indicate that the stock is overpriced. 
Furthermore, the ongoing economic uncertainty and potential for a recession could negatively impact consumer spending, which would be negative for restaurant stocks like Yum! Brands. The conflict in Ukraine and the potential for increased energy prices could also lead to higher operating costs for the company, which would be negative for its earnings and stock price. 
Given these factors, I would assign a moderate score to Yum! Brands. 
Score: 60.</t>
  </si>
  <si>
    <t>Given the current economic outlook and the specific information about Brown &amp; Brown, Inc., there are several factors to consider. 
On the positive side, Brown &amp; Brown is a dividend growth stock, which can provide a steady income stream for investors, especially in a volatile market. The company is also set to announce its Q3 2023 earnings, which could potentially provide a positive catalyst for the stock if the results are better than expected. 
However, there are also several negative factors to consider. The company's forward P/E ratio is relatively high, indicating that the stock may be overvalued. This could potentially limit the stock's upside potential. Furthermore, the ongoing uncertainty in the market due to factors such as the potential for a recession, the unrest in Washington, and the impact of the war in Ukraine could potentially lead to increased volatility and risk for the stock. 
Given these factors, I would assign a moderate score to Brown &amp; Brown, Inc. 
Score: 60</t>
  </si>
  <si>
    <t>Given the current economic outlook and the specific news related to Stanley Black &amp; Decker, the company seems to be in a relatively stable position. The introduction of new products and the commitment to supporting trade education indicate a proactive approach to market challenges and future growth. However, the overall economic uncertainty, potential for a recession, and the ongoing conflict in Ukraine could negatively impact the company's performance. 
The company's financial data shows a relatively low Price/Sales ratio, which could indicate that the stock is undervalued. However, the high Enterprise Value/EBITDA ratio could suggest that the company is overvalued based on its earnings. The forward P/E ratio is also relatively high, which could indicate expectations of high future earnings growth. 
Considering all these factors, I would assign a moderate score to Stanley Black &amp; Decker's potential investment value for the next month.
Score: 60</t>
  </si>
  <si>
    <t>Given the current economic outlook and the specific information about Molson Coors Beverage Company, there are several factors to consider. 
On the positive side, Molson Coors has been identified as a strong value and growth stock, which suggests that it has solid fundamentals and potential for future growth. The company's forward P/E ratio is significantly lower than its trailing P/E, indicating that earnings are expected to grow. The company's involvement in the cannabis sector could also provide a potential growth opportunity, given the ongoing reforms in federal cannabis laws.
On the negative side, the company's high PEG ratio suggests that it may be overvalued relative to its expected earnings growth. The company's high enterprise value relative to its revenue and EBITDA also suggests that it may be overvalued. 
Furthermore, the broader economic and market trends could also impact the company's performance. The potential for a recession and the ongoing unrest in Washington could increase market volatility and risk, which could negatively impact the company's stock price. The Fed's aggressive interest rate hikes could also weigh on the company's earnings growth.
Considering all these factors, I would assign a moderate score to Molson Coors Beverage Company.
Score: 60.</t>
  </si>
  <si>
    <t>Given the current economic outlook and the specific information about TJX Companies, there are several factors to consider. 
On the positive side, TJX Companies has shown strength across its businesses and has been making strides in e-commerce, which is a crucial area for growth in the retail sector. The company's market cap and enterprise value are also relatively high, indicating a strong market presence and potentially robust future earnings. 
However, there are also several negative factors to consider. The company is facing rising costs and expenses, along with a high level of debt. These could potentially impact its profitability and financial stability. Furthermore, the overall outlook for the retail sector is mixed, with expectations for a sluggish holiday shopping season. This could potentially impact TJX Companies' sales and earnings in the short term. 
In addition, the broader economic and market trends could also impact TJX Companies. The potential for a recession and the ongoing unrest in Washington could increase market volatility and risk, which could negatively impact the company's stock price. The Fed's interest rate hikes could also potentially impact the company's debt servicing costs and profitability. 
Taking all these factors into account, I would assign a score of 60 to TJX Companies. This reflects the company's strengths and potential for growth, but also takes into account the various risks and uncertainties it faces.
Score: 60</t>
  </si>
  <si>
    <t>Given the current macroeconomic conditions and the specific financial data for Targa Resources, there are several factors to consider. The ongoing war in Ukraine has led to a spike in energy prices, which could potentially benefit Targa Resources as an oil and gas company. However, the overall economic uncertainty and potential for a recession could negatively impact the company's performance. 
Looking at the company's financial data, Targa Resources has a relatively high market cap and enterprise value, indicating a strong market presence. The forward P/E ratio is lower than the trailing P/E, suggesting that earnings are expected to grow in the future. However, the PEG ratio is above 1, indicating that the stock may be overvalued given the expected growth rates. 
The company's participation in the Wolfe Research Utilities, Midstream and Clean Energy Conference could potentially lead to increased investor interest and positive sentiment. However, the overall market conditions and potential risks should be carefully considered.
Score: 60</t>
  </si>
  <si>
    <t>Given the current economic outlook and the specific information about Synchrony Financial, there are several factors to consider. 
On the positive side, Synchrony Financial has been recognized for its commitment to diversity, equity, and inclusion, which could potentially enhance its reputation and attract more customers. The company's low P/E ratios (both trailing and forward) suggest that its stock is currently undervalued, which could present a good buying opportunity. 
However, there are also several negative factors to consider. The overall economic outlook is mixed, with potential risks from the ongoing political unrest in Washington and the potential impact of the Fed's interest rate hikes. The consumer finance industry could be particularly vulnerable to these risks, given its dependence on consumer spending and borrowing. 
Furthermore, Synchrony Financial's upcoming third quarter financial results could potentially reveal weaknesses in its financial performance, which could negatively impact its stock price. The company's relatively low market cap also suggests that it may be more vulnerable to market volatility and economic downturns. 
Taking all these factors into account, I would assign a moderate score to Synchrony Financial.
Score: 55</t>
  </si>
  <si>
    <t>Given the current economic outlook and the specific financial data and news about Tapestry, Inc., the company seems to be in a challenging position. The stock has declined significantly this year, underperforming the broader market. However, the company is making strategic moves, such as the proposed acquisition of Capri Holdings Limited, which could potentially enhance its market position and create value in the long term. 
The company's financial ratios also provide a mixed picture. The low P/E ratios suggest that the stock could be undervalued, which might present a buying opportunity. However, the PEG ratio slightly above 1 indicates that the stock might be slightly overvalued when considering the company's expected earnings growth. 
Given the current economic uncertainties and the company's mixed financial performance, it would be prudent for investors to exercise caution. Therefore, the potential investment value of Tapestry, Inc. for the next month is moderate.
Score: 55</t>
  </si>
  <si>
    <t>Given the current economic outlook and the specific news about United Airlines, there are several factors to consider. 
On the positive side, United Airlines has recently secured a significant labor contract with its pilots, which could lead to increased stability and productivity within the company. The company is also making efforts to improve its services for passengers with disabilities, which could enhance its reputation and customer satisfaction. Furthermore, the company's financial data shows a relatively low P/E ratio, suggesting that the stock may be undervalued.
On the negative side, the airline industry is facing significant challenges, including rising fuel costs and potential disruptions from the ongoing conflict in Ukraine. United Airlines, in particular, has been identified as potentially vulnerable due to its exposure to the international market. The company's stock has also recently experienced a significant drop, which could indicate a bearish sentiment among investors.
Given these factors, while there are some positive signs for United Airlines, the overall risk appears to be relatively high. Therefore, the potential investment value of United Airlines for the next month would be moderate.
Score: 55</t>
  </si>
  <si>
    <t>XRAY</t>
  </si>
  <si>
    <t>Given the macroeconomic context and the specific information about Dentsply Sirona, there are several factors to consider. 
On the positive side, the company has announced a planned board succession, which could potentially bring new ideas and strategies to the company. This could potentially lead to improved performance and higher stock prices. The company is also planning to host an Investor Day, which could potentially provide more information about the company's plans and outlook, and could potentially boost investor confidence.
On the negative side, the company's trailing P/E ratio is quite high, indicating that the stock may be overvalued. This could potentially lead to a correction and lower stock prices. The company's enterprise value is also higher than its market cap, indicating that the company may be carrying a significant amount of debt. This could potentially lead to financial difficulties for the company, especially if interest rates rise.
Given the mixed signals, the potential investment value of Dentsply Sirona in the Health Care Supplies industry for the next month is moderate. 
Score: 55</t>
  </si>
  <si>
    <t>Given the current economic outlook and the specific information about ADM, there are several factors to consider. 
On the positive side, ADM has a strong market cap and a reasonable P/E ratio, indicating that it is a relatively stable and profitable company. The company's recent collaboration with Syngenta Group to develop low-carbon oilseeds and improved varieties could potentially boost its growth prospects, especially given the increasing demand for biofuels and other sustainably-sourced products. This aligns with the current trend towards sustainability and could potentially make ADM a more attractive investment. 
On the negative side, the ongoing war in Ukraine and the potential for a recession could potentially impact ADM's operations and profitability. The company's involvement in the agricultural sector could make it particularly vulnerable to disruptions in supply chains and increases in energy prices. 
Furthermore, the company's relatively high enterprise value compared to its revenue and EBITDA suggests that it may be overvalued, which could potentially limit its upside potential. 
Overall, while ADM has some positive aspects, the potential risks and uncertainties in the current economic environment suggest that it may not be the best time to invest in the company. 
Score: 55</t>
  </si>
  <si>
    <t>Given the current economic outlook and the specific financial data and news about Align Technology, the company seems to be in a stable position with potential for growth, especially in international markets. However, the company's valuation is high, and its earnings power is currently lower than in previous years. The company's stock has rebounded significantly from its low in June 2022, but it is still below its pre-inflation shock level of over $700. 
The company's P/E ratios are high, indicating that the stock may be overvalued. The trailing P/E is 75.02, and the forward P/E is 29.85. The PEG ratio is 1.89, which is relatively high and suggests that the stock's price is high relative to its expected earnings growth. 
The company's price-to-sales ratio is 6.33, and its price-to-book ratio is 6.42, both of which are relatively high and suggest that the stock may be overvalued. The company's enterprise value-to-revenue ratio is 6.02, and its enterprise value-to-EBITDA ratio is 31.65, both of which are relatively high and suggest that the company may be overvalued.
Given these factors, the potential investment value of Align Technology in the Health Care Supplies industry for the next month is moderate. 
Score: 55</t>
  </si>
  <si>
    <t>Given the current economic outlook and the specific financial data for Allstate, there are several factors to consider. The overall economic environment is mixed, with potential risks from the ongoing political unrest, the Fed's aggressive interest rate hikes, and the potential crisis in the commercial real estate market. These factors could potentially impact Allstate's business, particularly if they lead to a downturn in the economy or a rise in insurance claims.
On the company-specific front, Allstate has been experiencing net losses for five straight quarters, which is a concerning trend. However, the company has been able to maintain dividend stability and growth, which is a positive sign. The company's financial strength is also a positive factor, as it suggests that Allstate has the resources to weather potential economic downturns.
The company's valuation metrics are mixed. The forward P/E ratio of 8.98 suggests that the company's stock is relatively cheap compared to its expected earnings. However, the price-to-book value is high compared to the sector average, which suggests that the stock may be overvalued.
Given these factors, I would assign a moderate score to Allstate. The company has some positive attributes, such as its financial strength and dividend stability, but there are also significant risks, both from the overall economic environment and from the company's recent financial performance.
Score: 55</t>
  </si>
  <si>
    <t>Given the current macroeconomic environment and the specific financial data and news about PPL Corporation, the company seems to be in a challenging position. The company's high valuation, increasing net debt levels, and high payout ratios are concerning, especially in the context of a potential economic downturn. The company's focus on dividends could also be a risk if earnings come under pressure. 
However, PPL Corporation's strong balance sheet and projected annual EPS and dividend growth until 2026 are positive factors. The company's transformative moves in 2021, including divesting its UK assets and acquiring Narragansett in the US, could also potentially improve its long-term prospects.
Considering these factors, the potential investment value of PPL Corporation in the Electric Utilities industry for the next month is moderate. 
Score: 55</t>
  </si>
  <si>
    <t>DXC</t>
  </si>
  <si>
    <t>Given the current economic outlook and the specific information about DXC Technology, there are several factors to consider. 
On the positive side, DXC Technology has recently added a new member to its senior leadership team, which could potentially drive growth and expansion in the company. The company's forward P/E ratio is also relatively low, suggesting that the stock could be undervalued. 
However, there are also several negative factors to consider. The company has recently been moved from the S&amp;P 500 to the S&amp;P SmallCap 600, which could potentially lead to decreased visibility and liquidity for the stock. The company's market cap is also relatively small, and its enterprise value is significantly higher than its market cap, suggesting that the company may be heavily indebted. 
Given these factors, I would assign a moderate score to DXC Technology. 
Score: 55</t>
  </si>
  <si>
    <t>Given the current economic outlook and the specific news and financial data related to Clorox, the company presents a mixed investment opportunity. On the positive side, Clorox has been recognized for its commitment to product safety, which could potentially enhance its brand image and customer loyalty. The company also offers a high dividend yield, which could provide a steady income stream for investors. 
However, there are also several negative factors to consider. Clorox has been on a losing streak following a cyberattack, which is expected to have a material impact on its first-quarter results. The company's shares have also hit 52-week lows, and its performance has been stagnant. The outlook for 2024 is not impressive, leading to skepticism about investing in Clorox. 
In terms of financial data, Clorox has a high trailing P/E ratio, which suggests that its shares may be overvalued. The company's forward P/E ratio is more reasonable, but its PEG ratio is above 1, indicating that its shares may be overpriced given its expected earnings growth. 
Considering all these factors, I would assign a moderate score to Clorox as an investment opportunity for the next month. 
Score: 55</t>
  </si>
  <si>
    <t>Given the current economic outlook and the specific news related to Generac, there are several factors to consider. 
On the positive side, Generac's decision to set up an engineering center in Nevada to focus on clean energy and residential energy storage solutions aligns well with the current trend towards renewable energy and could potentially drive future growth. This could be particularly beneficial given the current energy crisis caused by the war in Ukraine. 
However, there are also several negative factors to consider. The investigation by Pomerantz LLP on behalf of investors could potentially lead to legal issues and reputational damage for the company, which would be negative for the stock. 
In terms of financial data, Generac's market cap of $6.78B and enterprise value of $8.53B indicate that the company is relatively small compared to some of its peers in the industry. This could potentially make the stock more volatile and risky. 
The company's trailing P/E ratio of 45.59 is also relatively high, which could indicate that the stock is overvalued. However, the forward P/E ratio of 14.24 is more reasonable, which could suggest that the company's earnings are expected to grow in the future. 
The PEG ratio of 1.44 is slightly above 1, which could indicate that the stock is slightly overvalued given its expected earnings growth. 
Overall, given the mixed economic outlook and the specific news and financial data related to Generac, I would assign a moderate score for the potential investment value of the company for the next month.
Score: 55</t>
  </si>
  <si>
    <t>Given the current economic outlook and the specific financial data for Otis Worldwide, there are several factors to consider. 
On the positive side, Otis Worldwide has a solid market cap and enterprise value, indicating a strong market presence and financial stability. The company's forward P/E ratio is also lower than its trailing P/E, suggesting that earnings are expected to grow in the future. This could potentially support a higher stock price. 
However, there are also several negative factors to consider. The company's PEG ratio is above 1, suggesting that it may be overvalued relative to its expected earnings growth. The price/sales ratio is also relatively high, which could indicate overvaluation. Furthermore, the company's enterprise value/revenue and enterprise value/EBITDA ratios are also relatively high, which could suggest that the company is overvalued relative to its revenue and earnings. 
In terms of the broader economic context, the potential for a recession and the ongoing unrest in Washington could potentially lead to increased volatility and risk in the stock market, which could negatively impact Otis Worldwide's stock price. The war in Ukraine could also potentially disrupt the company's operations in Europe, Middle East and Africa, which could negatively impact its earnings and stock price. 
However, the company's recent leadership changes could potentially lead to new strategic directions and growth opportunities, which could support a higher stock price. 
Taking all these factors into account, I would assign a moderate score to Otis Worldwide.
Score: 55</t>
  </si>
  <si>
    <t>Given the current economic outlook and the specific news related to Paramount Global, there are several factors to consider. 
On the positive side, the end of the Hollywood writers' strike is a significant development that could boost Paramount's operations in the short term. The company has also announced several promising initiatives, such as the global toy agreement with Spin Master for the Dora franchise and the social initiative with CBS Sports. These could potentially drive revenue growth and improve the company's financial performance.
However, there are also several negative factors to consider. Paramount's stock has underperformed the S&amp;P 500 this year, and the company's transition to streaming is a risky move given the intense competition in this space. The company's high enterprise value relative to its revenue and EBITDA also suggests that it may be overvalued.
Taking all these factors into account, I would assign a moderate score to Paramount Global's potential investment value for the next month.
Score: 55</t>
  </si>
  <si>
    <t>Given the current economic outlook and the specific news and financial data related to PG&amp;E Corporation, there are several factors to consider. 
On the positive side, PG&amp;E is making efforts to transition to a low-carbon future, which aligns with the broader trend towards sustainable and renewable energy. This could potentially increase the company's attractiveness to environmentally conscious investors and customers. The company's market cap is also relatively high, indicating a large and potentially stable company.
However, there are also several negative factors to consider. The company's plan to prevent wildfires is in peril, which could potentially lead to significant financial and reputational risks. The company's enterprise value is also significantly higher than its market cap, indicating a high level of debt or other liabilities. This could potentially increase the company's financial risk and reduce its investment attractiveness.
Furthermore, the broader economic and market trends could also impact PG&amp;E. The potential for a recession could lead to decreased demand for energy as businesses and consumers cut back on spending. The ongoing war in Ukraine could also lead to increased energy prices, which could potentially increase costs for PG&amp;E and reduce its profitability.
Taking all these factors into account, I would assign a score of 55 to PG&amp;E Corporation. This reflects the mixed outlook for the company, with both positive and negative factors to consider.
Score: 55</t>
  </si>
  <si>
    <t>Given the current economic outlook and the specific data on PulteGroup, there are several factors to consider. 
On the positive side, PulteGroup has a low P/E ratio, indicating that it may be undervalued. The company also has a low PEG ratio, suggesting that it has strong growth prospects. Furthermore, the company's strong market cap and enterprise value indicate that it has a solid financial foundation.
However, there are also several negative factors to consider. The recent fall in new-home sales due to high mortgage rates could negatively impact PulteGroup's revenues. Furthermore, the Fed's projected tighter monetary policy could lead to higher interest rates, which could further dampen home sales.
Given these factors, while PulteGroup has some positive attributes, the current economic environment and industry trends suggest that there may be significant risks associated with investing in the company at this time.
Score: 55</t>
  </si>
  <si>
    <t>Given the current economic outlook and the specific situation of Edwards Lifesciences, there are several factors to consider. 
On the positive side, the company has a solid market cap and enterprise value, indicating a strong financial position. The forward P/E ratio is also lower than the trailing P/E, suggesting that earnings are expected to grow in the future. 
However, there are also several negative factors. The company is currently under investigation by EU antitrust regulators, which could potentially lead to fines or other penalties. This could negatively impact the company's financial performance and reputation. 
Furthermore, the company's PEG ratio is relatively high, indicating that the stock may be overvalued relative to its expected earnings growth. The price/sales and price/book ratios are also relatively high, suggesting that the stock may be overpriced relative to its sales and book value. 
Given these factors, I would assign a score of 55 to Edwards Lifesciences. This reflects the company's strong financial position, but also takes into account the potential risks associated with the antitrust investigation and the possibility that the stock may be overvalued.
Score: 55</t>
  </si>
  <si>
    <t>Given the current economic outlook and the specific circumstances surrounding Capital One, there are several factors to consider. The company trades at an attractive valuation with a low Price/Earnings ratio, indicating that it may be undervalued. However, the rising provisions for credit losses and potential regulatory constraints pose significant risks. The uncertain macroeconomic environment could negatively impact credit performance, but there is potential for earnings upside due to higher interest rates and solid cost control. 
Furthermore, the fact that Warren Buffet, a renowned investor, has shown interest in bank stocks, including Capital One, could be seen as a positive sign. However, the overall sentiment towards bank stocks is mixed, with higher interest rates leading to problems for the sector. 
Considering these factors, while Capital One has potential for growth, the risks associated with the current economic climate and the company's specific circumstances cannot be ignored. Therefore, a moderate score reflecting these mixed signals would be appropriate.
Score: 55</t>
  </si>
  <si>
    <t>Given the current economic outlook and the specific financial data for Campbell Soup Company (CPB), there are several factors to consider. 
On the positive side, CPB is benefiting from a savings plan and is focusing on supply-chain efficiencies and cost-cutting measures. This strategy could potentially support its profitability and growth, especially in the current economic environment where supply chain disruptions and high costs are prevalent. 
The company's trailing and forward P/E ratios are also relatively low, suggesting that the stock could be undervalued. This could potentially provide an attractive entry point for investors. 
However, there are also several negative factors to consider. The company's PEG ratio is above 1, suggesting that it may be overvalued when considering its expected earnings growth. This could potentially limit its upside potential. 
Furthermore, the company's enterprise value is significantly higher than its market cap, indicating a high level of debt. This could potentially increase its financial risk, especially in the current economic environment where interest rates are rising. 
Finally, the broader economic and market trends could also impact CPB. The potential for a recession and the ongoing unrest in Washington could increase market volatility and risk aversion, which could negatively impact the stock. 
Taking all these factors into account, I would assign a moderate score to CPB.
Score: 55</t>
  </si>
  <si>
    <t>Given the current economic outlook and the specific financial data for CSX, there are several factors to consider. The overall economic outlook is mixed, with potential risks from political unrest, the ongoing COVID-19 pandemic, and the war in Ukraine. However, there are also positive signs, such as the growth in AI and the resilience of the economy.
Looking at CSX specifically, the company has a relatively low P/E ratio, which suggests that it may be undervalued. However, the company's high Enterprise Value/EBITDA ratio could indicate that it is overvalued. Furthermore, the company's high Price/Book ratio could suggest that it is overpriced relative to its book value.
In terms of industry trends, the rail transportation industry could potentially benefit from disruptions in supply chains caused by the war in Ukraine, as companies may turn to rail as an alternative mode of transportation. However, this could also lead to increased costs for the company.
Given these factors, I would assign a moderate score to CSX. While there are potential opportunities for the company, there are also significant risks that could impact its performance.
Score: 55</t>
  </si>
  <si>
    <t>Given the current economic outlook and the specific financial data for Expeditors International, there are several factors to consider. The company operates in the Air Freight &amp; Logistics industry, which is likely to be impacted by the ongoing supply chain disruptions and the war in Ukraine. The cautious approach by logistics companies like UPS in anticipation of a slower holiday season also suggests potential headwinds for Expeditors International.
The company's financial data shows a relatively high trailing P/E ratio, indicating that the stock may be overvalued. The forward P/E ratio is even higher, suggesting that investors are expecting earnings growth in the future. However, the uncertainty in the market and the potential impact of the Fed's interest rate hikes could put this earnings growth at risk.
The company's relatively high Price/Book ratio also suggests that the stock may be overvalued. However, the Enterprise Value/Revenue and Enterprise Value/EBITDA ratios are more reasonable, indicating that the company may be fairly valued from a revenue and earnings perspective.
Given these factors, I would assign a moderate score to Expeditors International. The company has potential, but there are significant risks and uncertainties that could impact its performance in the near term.
Score: 55</t>
  </si>
  <si>
    <t>Fastenal operates in the Building Products industry, which could be negatively impacted by the current economic conditions. The ongoing war in Ukraine has caused disruptions in supply chains, which could potentially affect Fastenal's operations. Additionally, the potential for a recession and the bearish sentiment in the stock market could also negatively impact the company's stock price.
However, Fastenal's financial data shows some positive signs. The company has a relatively high market cap and enterprise value, indicating that it is a large and potentially stable company. The forward P/E ratio is lower than the trailing P/E, suggesting that earnings are expected to grow in the future. 
On the other hand, the PEG ratio is relatively high, indicating that the stock may be overvalued relative to its expected earnings growth. The price-to-sales and price-to-book ratios are also relatively high, suggesting that the stock may be overpriced.
Given these factors, I would assign a moderate score to Fastenal. The company has some positive financial indicators, but the current economic conditions and potential overvaluation of the stock are concerning.
Score: 55</t>
  </si>
  <si>
    <t>Given the current economic outlook and the specific information about Fifth Third Bank, there are several factors to consider. 
On the positive side, the bank's P/E ratios (both trailing and forward) are relatively low, indicating that the stock may be undervalued. This could potentially provide an opportunity for investors to buy the stock at a lower price and benefit from future price appreciation. 
However, there are also several negative factors to consider. The bank is currently facing a potential settlement with the SEC over the use of unauthorized messaging tools. This could potentially lead to fines and reputational damage, which could negatively impact the bank's stock price. 
Furthermore, the bank's PEG ratio is relatively high, indicating that the stock may be overvalued when considering the company's expected earnings growth. This could potentially limit the stock's future price appreciation. 
Finally, the ongoing debates about government funding and the potential impact of the war in Ukraine on the global economy could potentially lead to increased uncertainty and volatility in the market. This could potentially negatively impact the bank's stock price. 
Taking all these factors into account, I would assign a score of 55 to Fifth Third Bank. This reflects the mixed outlook for the bank, with both positive and negative factors to consider. 
Score: 55</t>
  </si>
  <si>
    <t>Given the macroeconomic context and the specific news and financial data related to FMC Corporation, there are several factors to consider. 
On the positive side, the company is in the agriculture sector, which could potentially benefit from the current geopolitical situation and supply-demand dynamics. The company also has a strong portfolio and new product launches, which could support its performance. Furthermore, the company's financial ratios such as Trailing P/E and Forward P/E are relatively low, indicating that the stock could be undervalued.
However, there are also several negative factors to consider. The company is currently facing investigations for potential violations of securities laws, which could lead to legal and financial risks. The company is also facing headwinds from inventory de-stocking and weak sales volume, which could impact its performance. 
Given these factors, while there is potential for growth, there are also significant risks involved. Therefore, a moderate score would be appropriate.
Score: 55</t>
  </si>
  <si>
    <t>Given the current economic outlook and the specific circumstances surrounding General Motors, there are several factors to consider. The potential recession and the ongoing war in Ukraine could negatively impact the automobile industry due to potential supply chain disruptions and decreased consumer spending. However, the resilience of the economy and the potential for eased pressure on interest rates could provide some support for the industry.
Specifically for General Motors, the company's relatively low P/E ratios suggest that it may be undervalued, which could present an investment opportunity. However, the company's high enterprise value relative to its market cap could indicate a high level of debt, which could be a risk factor, especially in a potential recession.
Considering these factors, I would assign a moderate score for the potential investment value of General Motors in the next month.
Score: 55</t>
  </si>
  <si>
    <t>Given the current economic outlook and the specific financial data and news about M&amp;T Bank, the bank seems to be in a stable position with a conservative lending approach and robust capital. However, the bank is facing challenges with increased nonperforming loans and projected negative revenue growth. The bank's P/E ratios are relatively low, indicating that the stock may be undervalued. However, the bank's PEG ratio is above 1, suggesting that the stock may be overvalued when considering the company's expected earnings growth. 
Considering the broader economic context, the potential for a recession and the ongoing political unrest could increase the risk for investments in the banking sector. The war in Ukraine and its impact on global supply chains could also negatively affect the bank's operations. 
On the other hand, the bank's recent investment in community revitalization programs could potentially improve its public image and customer relations, which could have a positive impact on its stock price. 
Taking all these factors into account, I would assign a moderate score to M&amp;T Bank.
Score: 55</t>
  </si>
  <si>
    <t>Given the current economic outlook and the specific financial data for Mettler Toledo, the company's investment potential seems to be moderate. The company has a strong market position and has shown modest sales growth and rising operating margins. However, the high valuation multiples and the impact of higher interest rates make the stock less attractive. Additionally, the overall bearish sentiment in the market and potential risks from the commercial real estate market and political unrest could further impact the stock's performance. Therefore, while Mettler Toledo has some positive aspects, the current economic and market conditions suggest a cautious approach.
Score: 55</t>
  </si>
  <si>
    <t>Given the current economic outlook and the specific news and financial data related to Dollar General, the company seems to be in a challenging position. The overall economic uncertainty, potential for a recession, and the ongoing war in Ukraine are likely to impact consumer spending habits, which could negatively affect Dollar General's sales and profitability. 
Moreover, the company's recent performance has been lackluster, with the stock down 55% year to date. The company's margins are compressing, and same-store sales growth is stagnating, indicating potential operational challenges. The company is also facing increasing competition from e-commerce and other discount retailers like Walmart.
However, Dollar General's recent expansion into Montana, marking its presence in all 48 continental U.S. states, could potentially boost its sales and market share. The company's low P/E ratios also suggest that the stock may be undervalued, providing a potential buying opportunity for investors.
Considering these factors, the potential investment value of Dollar General in the Consumer Staples Merchandise Retail industry for the next month is moderate. 
Score: 55</t>
  </si>
  <si>
    <t>Given the current economic outlook and the specific news related to D.R. Horton, there are several factors to consider. 
On the positive side, D.R. Horton has been recognized by Berkshire Hathaway as a potential investment, which is a strong endorsement. The company is also expanding its portfolio with new townhome rentals, indicating growth and diversification in its business model. The company's financial data also shows a relatively low P/E ratio, suggesting that the stock may be undervalued.
However, there are also several negative factors to consider. The housing market is currently facing challenges due to higher interest rates, which could negatively impact D.R. Horton's sales and profitability. The company's recent announcement of a drop in new-home sales also indicates potential difficulties ahead.
Considering these factors, while D.R. Horton has some positive aspects, the current economic climate and the challenges in the housing market suggest a cautious approach. 
Score: 55</t>
  </si>
  <si>
    <t>Given the current economic outlook and the specific financial data for Baxter International, there are several factors to consider. 
On the positive side, the completion of the acquisition of Baxter's BioPharma Solutions business by Advent International and Warburg Pincus could potentially unlock value for the company. This could lead to increased efficiency and profitability, which would be positive for the stock. 
However, there are also several negative factors to consider. The company's high Enterprise Value/EBITDA ratio suggests that it is overvalued, which could potentially lead to a correction in the stock price. The company's negative Trailing P/E ratio also suggests that it is not currently profitable, which could be a concern for investors. 
Furthermore, the ongoing uncertainty in the economy and the stock market could potentially lead to increased volatility and risk for the stock. This could potentially lead to lower returns for investors in the short term. 
Given these factors, I would assign a score of 55 to Baxter International. This reflects the potential value of the company, but also the risks and uncertainties that it faces.
Score: 55</t>
  </si>
  <si>
    <t>Given the current economic outlook and the specific financial data for Best Buy, the company seems to be in a challenging position. The overall economic environment is mixed, with potential risks from the ongoing war in Ukraine, political unrest in the U.S., and the potential for a recession. These factors could negatively impact consumer spending, which would be detrimental for a retail company like Best Buy.
Moreover, Best Buy's stock has declined by 10% since its last earnings report, which could indicate investor skepticism about the company's future prospects. The company's relatively high PEG ratio also suggests that its stock may be overvalued relative to its expected earnings growth.
However, there are also some positive factors. The company's foot traffic data indicates pent-up demand, which could potentially boost sales in the near term. Additionally, the company's forward P/E ratio is lower than its trailing P/E, suggesting that investors expect the company's earnings to grow in the future.
Considering these factors, I would assign a moderate score to Best Buy's potential investment value for the next month.
Score: 55</t>
  </si>
  <si>
    <t>Given the current economic outlook and the specific news and financial data related to Bristol Myers Squibb, the company seems to be in a challenging position. The ongoing negotiations with Medicare could potentially lead to lower drug prices, which would negatively impact the company's revenue. However, the company has a strong pipeline of new drugs and has been increasing its dividends, which could provide some upside potential. The company's stock is currently out of favor in the market and has declined significantly from its previous high, but it is also considered undervalued by some analysts. The company's financial ratios also suggest that it is undervalued, with a forward P/E of 7.35 and a PEG ratio of 0.47. However, the company is facing several headwinds, including political risks and challenges related to its acquisition of Celgene. Therefore, while there is potential for the stock to rebound, there are also significant risks involved.
Score: 55</t>
  </si>
  <si>
    <t>Given the current economic outlook and the financial data of Invitation Homes, there are several factors to consider. 
On the positive side, Invitation Homes has a substantial market cap and enterprise value, indicating a large and potentially stable company. The firm's P/E ratios, both trailing and forward, are relatively high, suggesting that investors are willing to pay a premium for the company's earnings, which could be a sign of expected growth. The company's PEG ratio, while above 1, is not excessively high, which could indicate that the company's growth is reasonably priced. 
On the negative side, the high Price/Sales and Enterprise Value/Revenue ratios suggest that the company's stock may be overvalued. Additionally, the ongoing concerns about a potential crisis in the commercial real estate market could negatively impact Invitation Homes, given its focus on single-family residential REITs. 
Furthermore, the broader economic and political uncertainties, including the potential for a recession, the unrest in Washington, and the impacts of the war in Ukraine, could increase volatility and risk in the market, which could negatively impact Invitation Homes. 
Given these factors, while Invitation Homes may have potential as a high-growth dividend stock, the current economic and market conditions suggest a need for caution. 
Score: 55</t>
  </si>
  <si>
    <t>Given the current economic outlook and the specific financial data for L3Harris, there are several factors to consider. 
On the positive side, the company's forward P/E ratio is significantly lower than its trailing P/E, suggesting that earnings are expected to grow. The PEG ratio is also below 1, which could indicate that the stock is undervalued given its earnings growth expectations. 
However, there are also several negative factors. The company operates in the Aerospace &amp; Defense industry, which could be negatively impacted by the ongoing conflict in Ukraine and potential disruptions in supply chains. The news about NASA's Space Launch System being "unaffordable" could also have negative implications for L3Harris, as it could lead to reduced government spending in this area. 
Furthermore, the company's high Enterprise Value/EBITDA ratio could indicate that it is overvalued. The company's high debt level, as indicated by its Enterprise Value being significantly higher than its Market Cap, could also be a concern, especially given the potential for interest rate hikes.
Taking all these factors into account, I would assign a moderate score to L3Harris.
Score: 55</t>
  </si>
  <si>
    <t>Given the current economic outlook and the financial data of Axon Enterprise, it seems that the company has a relatively high valuation with a trailing P/E of 148.50 and a forward P/E of 49.02. This suggests that the company's stock price may be overvalued relative to its earnings. 
However, Axon operates in the Aerospace &amp; Defense industry, which could potentially benefit from the ongoing geopolitical tensions and conflicts, such as the war in Ukraine. This could lead to increased demand for defense products and services, which would be positive for Axon. 
Furthermore, the company has a large market cap of $14.88B and an enterprise value of $14.45B, indicating that it is a large and established company. This could potentially provide some stability and resilience in the face of economic and market volatility. 
On the other hand, the company's high price-to-sales and price-to-book ratios suggest that the stock may be overpriced relative to its sales and book value. This could potentially lead to a correction in the stock price, which would be negative for investors. 
In addition, the company's high enterprise value-to-EBITDA ratio suggests that it may be overvalued relative to its earnings before interest, taxes, depreciation, and amortization. This could potentially lead to lower returns for investors. 
Overall, while Axon has some positive factors, its high valuation ratios and the current economic and market conditions suggest that it may face some risks and challenges. Therefore, investors should be cautious and consider these factors when making investment decisions.
Score: 55</t>
  </si>
  <si>
    <t>Given the current economic outlook and the specific data related to Lennar, there are several factors to consider. 
On the positive side, Lennar has a strong market cap and enterprise value, indicating a solid financial position. The company's P/E ratios are also relatively low, suggesting that the stock may be undervalued. Furthermore, the recent initiation of positions by Berkshire Hathaway, a well-respected investment firm, could be seen as a vote of confidence in Lennar's prospects.
However, there are also several negative factors to consider. The recent decline in new-home sales due to high mortgage rates could negatively impact Lennar's revenues. Furthermore, the overall sentiment in the homebuilding sector seems to be negative, with some analysts recommending to skip homebuilding stocks due to potential headwinds.
Given these factors, while Lennar has some positive aspects, the overall economic and sector-specific outlook suggests a cautious approach. 
Score: 55</t>
  </si>
  <si>
    <t>Given the current economic climate and the specific circumstances of Conagra Brands, there are several factors to consider. 
On the positive side, Conagra's thriving frozen and snacks divisions are a significant benefit. The company's pricing actions also offer some relief against cost inflation. The upcoming earnings report is expected to show growth, which could potentially boost the company's stock price. 
However, there are also several negative factors to consider. The company's growth has been driven by pricing rather than volume, which raises concerns about the sustainability of this growth. The company's shares have been trading in a stagnant range since 2021, indicating a lack of investor confidence. The company also has high leverage, which could potentially increase its financial risk. 
The ongoing war in Ukraine and the potential for a recession could also negatively impact the company's performance. The war has caused disruptions in supply chains, which could potentially increase the company's costs. The potential for a recession could also decrease consumer spending, which would be negative for the company's sales. 
Given these factors, I would assign a score of 55 to Conagra Brands. This reflects the mixed outlook for the company, with both positive and negative factors to consider. 
Score: 55</t>
  </si>
  <si>
    <t>Given the current economic outlook and the specific news about Carnival, there are several factors to consider. 
On the positive side, Carnival has shown resilience in the face of the pandemic, with recent reports indicating a surge in bookings and the company posting its first quarterly profit since 2020. The company's decision to upgrade its internet to SpaceX's Starlink across its fleet shows a commitment to improving customer experience and staying competitive. 
However, there are also several negative factors to consider. The company's shares have fallen by a third since July, and there are concerns about the company's high level of debt and potential challenges if demand retreats. The company's stock has also been negatively impacted by rising fuel costs, which could continue to weigh on margins. 
Given these factors, while there are signs of recovery, there are also significant risks associated with investing in Carnival at this time. 
Score: 55</t>
  </si>
  <si>
    <t>Given the macroeconomic outlook and the financial data of Las Vegas Sands, the company seems to be in a precarious position. The potential recession and the ongoing political unrest could negatively impact the Casinos &amp; Gaming industry, as these sectors are highly sensitive to economic downturns and political instability. Furthermore, the high trailing P/E ratio indicates that the company's stock is currently overvalued, which could lead to a correction in the near future. However, the forward P/E ratio is much lower, suggesting that the company's earnings are expected to grow in the future. 
On the other hand, the company's high enterprise value compared to its market cap suggests that it has a significant amount of debt, which could be a risk factor in the current economic climate. The high price/sales and price/book ratios also indicate that the company's stock is overpriced relative to its sales and book value. 
However, the company's inclusion in Citi's list of growth stocks to consider on a pullback suggests that it could present an opportunity for investors if the stock price were to drop. 
Given these factors, I would assign a moderate score to Las Vegas Sands.
Score: 55</t>
  </si>
  <si>
    <t>Given the current economic outlook and the specific data related to Masco Corporation, there are several factors to consider. The overall economic outlook is mixed, with potential risks from political instability, the ongoing COVID-19 pandemic, and the war in Ukraine. These factors could potentially impact the building products industry and Masco's operations.
On the positive side, Masco's market cap and enterprise value are relatively high, indicating a strong market presence. The company's trailing P/E and forward P/E ratios are also relatively low, suggesting that the company's stock may be undervalued. 
However, there are also several negative factors to consider. The housing market is currently in a tricky spot due to higher interest rates, which could potentially impact Masco's sales and profitability. The company's PEG ratio is also relatively high, suggesting that the company's stock may be overvalued relative to its expected earnings growth. 
Furthermore, the company's price/sales ratio is relatively high, which could indicate that the company's stock is overpriced relative to its sales. The company's enterprise value/revenue and enterprise value/EBITDA ratios are also relatively high, suggesting that the company may be overvalued.
Taking all these factors into account, I would assign a moderate score to Masco Corporation.
Score: 55</t>
  </si>
  <si>
    <t>Given the current economic climate and the specific financial data for Verisign, it seems that the company may face some challenges in the near term. The high P/E ratios suggest that the stock may be overvalued, and the high Enterprise Value/Revenue and Enterprise Value/EBITDA ratios indicate that the company may be overpriced relative to its earnings and sales. Furthermore, the ongoing debates about government funding and the potential impact of the war in Ukraine could create additional uncertainty for the company. 
However, Verisign operates in the Internet Services &amp; Infrastructure industry, which could benefit from the continued growth in AI and social media use. This could potentially offset some of the negative impacts from the broader economic trends. 
Given these factors, I would assign a moderate score to Verisign for the next month.
Score: 55</t>
  </si>
  <si>
    <t>Given the current economic outlook and the specific news and financial data related to Walgreens Boots Alliance, the company presents a mixed investment opportunity. 
On the positive side, Walgreens has been identified as a high-yield stock with potential for dividend growth and income, which could be attractive for income-focused investors. The company's partnership with Cencora is also seen as a positive tailwind. Furthermore, Walgreens' current market capitalization is below its book value, suggesting that the stock may be undervalued.
However, there are also several negative factors to consider. The company's expansion efforts have not boosted profits, and there are concerns about the overall health of the retail sector given the changing consumer shopping habits and potential for a recession. The company is also involved in a legal dispute with Cooler Screens, which could potentially have negative implications. 
The company's financial data shows a low trailing and forward P/E ratio, which could indicate undervaluation, but the negative Enterprise Value/EBITDA ratio is a concern as it could indicate issues with profitability or high levels of debt. 
Given these factors, while there are potential opportunities for income and value investors, there are also significant risks involved. Therefore, a moderate score is assigned.
Score: 55</t>
  </si>
  <si>
    <t>Given the current economic climate and the specific circumstances surrounding Warner Bros. Discovery, there are several factors to consider. 
On the positive side, the end of the Hollywood writers' strike is a significant development that could boost the company's performance in the short term. The return of popular shows and the potential for new content creation could drive increased viewership and subscription growth for the company's streaming platform, Max. The company's recent success with the movie Barbie and its upcoming movie lineup also contribute to its competitive advantage. 
However, there are also several negative factors to consider. The company has a massive debt burden due to last year's merger, which could limit its financial flexibility and increase its risk profile. The potential for a new walkout by actors against videogame makers could also disrupt the company's operations and negatively impact its performance. 
In terms of financial metrics, the company's forward P/E ratio is relatively high, indicating that its stock may be overvalued. However, its Price/Sales and Price/Book ratios are relatively low, suggesting that the stock may be undervalued based on these measures. 
Overall, while there are some positive developments for Warner Bros. Discovery, there are also significant risks and uncertainties. Therefore, I would assign a moderate score for the potential investment value of the company for the next month.
Score: 55</t>
  </si>
  <si>
    <t>Given the current economic climate and the specific news about J.M. Smucker Company, there are several factors to consider. 
On the positive side, the company is making strategic moves to refine its portfolio, such as the sale of its Sahale Snacks brand. This could potentially improve its financial performance by allowing it to focus on areas with greater potential. The company's market cap is also relatively stable, and its forward P/E ratio suggests that it is reasonably valued compared to its expected earnings.
However, there are also several negative factors to consider. The company's stock has been down 12.8% since its last earnings report, which could indicate that investors are losing confidence in its financial performance. The rise of weight loss drugs could also pose a threat to its future sales growth, given its focus on snacking. Furthermore, the company's high Enterprise Value/EBITDA ratio suggests that it may be overvalued compared to its earnings before interest, taxes, depreciation, and amortization.
Considering these factors, the potential investment value of J.M. Smucker Company for the next month is moderate. 
Score: 55</t>
  </si>
  <si>
    <t>Given the current economic outlook and the specific news related to Blackstone, there are several factors to consider. 
On the positive side, Blackstone has shown strong financial performance in Q2 2023, with improvements in various metrics and significant growth in asset management. This suggests that the company is well-positioned to navigate the current economic environment and could potentially deliver strong returns for investors. 
However, there are also several negative factors to consider. The failed deal with Hipgnosis Songs Fund Limited could potentially impact Blackstone's future growth prospects. Additionally, the ongoing SEC investigation into Wall Street's use of private messaging apps could potentially lead to regulatory issues for Blackstone, which could negatively impact the company's stock price. 
Furthermore, Blackstone's high trailing P/E ratio of 64.54 suggests that the stock may be overvalued, which could potentially lead to a correction in the stock price. The company's high price/sales ratio of 12.80 and price/book ratio of 11.19 also suggest that the stock may be overpriced relative to its underlying assets and earnings. 
Given these factors, I would assign a score of 55 to Blackstone. This reflects the company's strong financial performance and growth prospects, but also takes into account the potential risks and uncertainties associated with the current economic environment and the specific issues facing Blackstone.
Score: 55</t>
  </si>
  <si>
    <t>Given the current economic outlook and the specific news about Citigroup, there are several factors to consider. 
On the positive side, Citigroup is making strategic moves to streamline its operations, such as selling its China retail wealth management business to HSBC and reducing its workforce in Tampa and the UK. These moves could potentially improve the company's efficiency and profitability. The company is also investing in innovation and skills development, which could enhance its competitive position in the long term. 
However, there are also several negative factors to consider. The company has recently been fined by the SEC for non-compliance with disclosure obligations, which could harm its reputation and potentially lead to further regulatory scrutiny. The company is also planning to lay off employees, which could potentially impact its operations and morale. Furthermore, Citigroup's CEO has noted emerging 'cracks' among some consumers as their savings dry up, which could potentially impact the company's consumer banking business. 
In terms of financial data, Citigroup's market cap is relatively low compared to its peers, and its P/E ratios are also low, suggesting that the stock may be undervalued. However, the company's price/sales and price/book ratios are relatively high, suggesting that the stock may be overpriced relative to its sales and book value. 
Overall, given the mixed economic outlook and the specific news about Citigroup, I would assign a moderate score to the company's potential investment value for the next month.
Score: 55</t>
  </si>
  <si>
    <t>Given the current economic outlook and the specific information about Texas Instruments, there are several factors to consider. 
On the positive side, Texas Instruments has a solid market cap and enterprise value, indicating a strong market presence. The company's P/E ratios are reasonable, suggesting that the stock is not overly expensive relative to its earnings. The company's recent dividend hike is also a positive sign, as it indicates confidence in its financial stability and future prospects. 
However, there are also several negative factors to consider. The semiconductor industry is facing significant challenges, including a potential sea-change with their biggest customers and indications that semiconductor stocks may be poised to drop. Texas Instruments' expansion of its 300mm plants is also squeezing its near-term margins, which could negatively impact its profitability. 
Furthermore, the broader economic and market trends could also impact Texas Instruments. The potential for a recession, the ongoing political unrest, and the impacts of the war in Ukraine and the COVID-19 pandemic could all create uncertainty and volatility in the market, which could negatively impact the stock's performance. 
Given these factors, while Texas Instruments has some positive aspects, the negative factors and potential risks suggest a cautious approach. 
Score: 55</t>
  </si>
  <si>
    <t>Given the current economic outlook and the specific situation of Agilent Technologies, the company seems to be in a challenging position. The overall economic uncertainty, potential recession risks, and the specific downturn in demand for life sciences equipment are concerning. However, the company's growth in the services business and investments in oligonucleotide production capabilities are positive signs. 
Considering the company's financial data, the market cap and enterprise value are relatively high, indicating a large and potentially stable company. However, the P/E ratios, both trailing and forward, are quite high, suggesting that the company's stock may be overvalued. The PEG ratio is also above 1, which typically indicates that the stock may be overvalued. 
Given these factors, the potential investment value of Agilent Technologies in the Health Care Equipment industry for the next month is moderate. 
Score: 55</t>
  </si>
  <si>
    <t>Given the current economic climate and the specific news about Akamai, there are several factors to consider. 
On the positive side, Akamai is expanding its global footprint and investing in new technologies, which could potentially drive future growth. The company's recent research on web application and API attacks on financial services also highlights the increasing importance of its services in a digital economy. 
However, there are also several risks to consider. The company's high P/E ratio suggests that its stock may be overvalued, which could potentially lead to a correction in the future. The ongoing debates about government funding and the potential impact of the war in Ukraine could also create uncertainty and volatility in the market, which could negatively impact Akamai's stock price. 
Furthermore, the company's high enterprise value relative to its revenue and EBITDA suggests that it may be overleveraged, which could potentially increase its financial risk. 
Overall, while Akamai has some positive factors, the risks and uncertainties in the current economic and market environment suggest that it may not be the best time to invest in the company. 
Score: 45</t>
  </si>
  <si>
    <t>Given the current economic outlook and the specific news and financial data related to Tyson Foods, the company seems to be facing some challenges. The Department of Justice's antitrust lawsuit against Agri Stats, a meat data provider, could potentially impact Tyson Foods, as it is a major player in the meat processing industry. Additionally, the scrutiny from the Department of Labor could lead to potential regulatory issues and fines. 
On the financial side, Tyson Foods' trailing P/E ratio is significantly higher than its forward P/E, indicating that the company's earnings are expected to grow in the future. However, the company's high PEG ratio suggests that this growth may not be sufficient to justify its current stock price. 
Furthermore, the company's enterprise value is significantly higher than its market cap, indicating a high level of debt. This could potentially make the company more vulnerable to economic downturns and interest rate hikes. 
On the positive side, Tyson Foods' low price-to-sales and price-to-book ratios suggest that the company's stock may be undervalued. This could potentially provide an opportunity for investors to buy the stock at a discount. 
However, given the current economic uncertainty and the potential risks facing Tyson Foods, it would be prudent for investors to exercise caution. 
Score: 45</t>
  </si>
  <si>
    <t>Given the current economic outlook and the financial data of Regency Centers, the company seems to be in a relatively stable position. However, the potential crisis in the commercial real estate market is a significant risk factor, especially considering Regency Centers' high Enterprise Value/EBITDA ratio, which indicates a higher level of debt. The company's PEG ratio is also quite high, suggesting that it may be overvalued relative to its expected earnings growth. 
On the other hand, the company's Price/Book ratio is relatively low, which could indicate that it is undervalued. The upcoming earnings release could also provide a positive catalyst if the results are better than expected. 
However, given the overall economic uncertainty and the specific risks associated with the commercial real estate market, it would be prudent to be cautious with this investment. 
Score: 45</t>
  </si>
  <si>
    <t>Given the current economic outlook and the specific situation of Boston Properties, there are several factors to consider. 
On the positive side, Boston Properties has a strong financial position, with a large market cap and a significant increase in its revolving credit facility. This suggests that the company has the financial resources to weather potential economic downturns. 
However, there are also several negative factors to consider. The potential crisis in the commercial real estate market could have a significant impact on Boston Properties, given its focus on this sector. The company's high Enterprise Value/EBITDA ratio also suggests that it may be overvalued, which could lead to a correction in its stock price. 
Furthermore, the ongoing debates about government funding and the impact of the war in Ukraine could lead to increased uncertainty and volatility in the market, which could negatively impact Boston Properties. 
Given these factors, I would assign a score of 45 to Boston Properties. This reflects the potential risks associated with the current economic environment and the specific challenges facing the commercial real estate sector, as well as the company's strong financial position.
Score: 45</t>
  </si>
  <si>
    <t>Given the current economic outlook and the specific circumstances surrounding Target Corporation, there are several factors to consider. 
On the positive side, Target is a Dividend King, indicating a strong history of consistent dividend payouts. This could provide a steady income stream for investors, even in a volatile market. The company is also planning to boost store security, which could potentially reduce losses from theft and improve profitability. 
However, there are also several negative factors to consider. Target's stock is currently trading at three-year lows, and the company has been facing ongoing issues with theft and organized retail crime, leading to the closure of several stores. This could potentially impact the company's sales and profitability. The company's sales have also been declining, and there is a risk that this trend could continue if the economic conditions worsen. 
Taking all these factors into account, I would assign a score of 45 to Target Corporation. This reflects the potential investment value of the company in the Consumer Staples Merchandise Retail industry for the next month, given the current economic conditions and the specific challenges and opportunities facing the company.
Score: 45</t>
  </si>
  <si>
    <t>Given the current economic outlook and the specific news and financial data related to the semiconductor industry and Analog Devices, it seems that the investment value of Analog Devices might be lower in the short term. The macroeconomic risks, potential recession, and the bearish sentiment in the stock market could negatively impact the semiconductor industry. Additionally, the specific news about the potential drop in semiconductor stocks and the shift in the industry could also affect Analog Devices negatively. However, the company's financial data shows a relatively stable position with a reasonable P/E ratio, which might provide some resilience against these negative trends. 
Score: 45</t>
  </si>
  <si>
    <t>Given the current economic climate, Rollins, Inc. (ROL) seems to be in a relatively strong position. The company has a robust operating platform and has been making strategic acquisitions, which could potentially drive growth. Furthermore, the company has been shareholder-friendly and has seen healthy demand, which are positive signs. 
However, the company's valuation metrics suggest that it is currently overvalued. The company's trailing P/E ratio is 47.25, which is significantly higher than the average P/E ratio of around 20 for companies in the S&amp;P 500. This suggests that the company's stock price may be overvalued relative to its earnings. The company's forward P/E ratio is also relatively high at 35.59, suggesting that investors are expecting high earnings growth in the future. 
The company's PEG ratio is 2.69, which is above the threshold of 1 that is often used to determine whether a stock is overvalued. This suggests that the company's stock price may be overvalued relative to its expected earnings growth. 
The company's price/sales ratio is 6.41, which is also relatively high. This suggests that the company's stock price may be overvalued relative to its sales. 
Given these factors, while Rollins, Inc. has strong fundamentals, its current valuation suggests that it may be overvalued. Therefore, the potential investment value of the company for the next month could be relatively low. 
Score: 45</t>
  </si>
  <si>
    <t>Estée Lauder Companies, a renowned name in the personal care products industry, has a significant market presence. However, the company's stock has seen a significant drop of 49%, primarily due to its growth strategy tied to China, which has not been performing well recently. This could be a potential risk for investors considering the ongoing geopolitical tensions and economic uncertainties.
On the other hand, the company's high-end beauty products could see increased demand as the economy recovers and consumer spending increases. This could potentially provide a boost to the company's revenues and stock price. 
However, the company's high P/E ratios (both trailing and forward) indicate that the stock is currently overvalued, which could limit its upside potential. The company's high enterprise value relative to its revenue and EBITDA also suggests that it is highly leveraged, which could increase its financial risk.
Given these factors, while Estée Lauder Companies has potential for growth, it also carries significant risks. Therefore, investors should approach this stock with caution.
Score: 45</t>
  </si>
  <si>
    <t>Given the current economic outlook and the specific news about eBay, there are several factors to consider. 
On the positive side, eBay continues to invest in its community through initiatives like the Up &amp; Running Grants, which could potentially drive growth and customer loyalty. The company is also leveraging its platform to offer exclusive items from renowned figures, which could attract new users and increase sales. 
However, there are also several negative factors to consider. The company is currently under investigation for potential breaches of fiduciary duty, which could potentially lead to legal and financial consequences. Furthermore, the company is facing a lawsuit from the U.S. Department of Justice for allegedly violating environmental laws, which could potentially lead to significant fines and reputational damage. 
In terms of financial data, eBay's market cap and enterprise value are relatively high, indicating that the company is valued highly by the market. However, the company's P/E ratios are relatively low, suggesting that the company's earnings may not be keeping pace with its market value. 
Given these factors, I would assign a score of 45 to eBay's potential investment value for the next month. This reflects the potential risks associated with the company's legal issues and the uncertainty in the broader economic and market environment.
Score: 45</t>
  </si>
  <si>
    <t>ATVI</t>
  </si>
  <si>
    <t>Given the current economic outlook and the specific news related to Activision Blizzard, there are several factors to consider. 
On the positive side, the company has a strong market cap and enterprise value, indicating a solid financial position. The forward P/E ratio is also relatively low, suggesting that the company's earnings are expected to grow in the future. 
However, there are also several negative factors to consider. The ongoing strike by actors could potentially disrupt the company's operations and negatively impact its earnings. This is particularly concerning given the importance of voice acting in video games. The strike could also potentially spread to other areas of the company's operations, further exacerbating the impact. 
Furthermore, the company's high PEG ratio suggests that it may be overvalued relative to its expected earnings growth. This could potentially lead to a correction in the company's stock price, which would be negative for investors. 
The company's high price/sales and price/book ratios also suggest that it may be overvalued, which could potentially lead to a decrease in its stock price. 
Finally, the company's high enterprise value/EBITDA ratio suggests that it may be overvalued relative to its earnings before interest, taxes, depreciation, and amortization. This could potentially lead to a decrease in its stock price. 
Given these factors, I would assign a score of 45 to Activision Blizzard. This reflects the company's solid financial position, but also takes into account the potential negative impact of the ongoing strike and the possibility that the company may be overvalued.
Score: 45</t>
  </si>
  <si>
    <t>Given the current economic outlook and the company's financial data, it seems that C.H. Robinson may face some challenges in the near term. The potential slowdown in the holiday season could impact the company's revenues, and the ongoing issues related to the war in Ukraine and the COVID-19 pandemic could further disrupt its operations. Additionally, the company's relatively high P/E ratios suggest that its stock may be overvalued, which could limit its potential for price appreciation. However, the company's low price-to-sales ratio could indicate that it is undervalued based on its revenues, which could provide some potential for investment value. 
Score: 45</t>
  </si>
  <si>
    <t>Given the current economic outlook and the specific news related to Discover Financial, there are several factors to consider. On the positive side, the company's agreement with the FDIC to improve consumer compliance and related corporate governance has led to a 7% increase in its stock price. This shows that the company is taking steps to address regulatory concerns, which could potentially improve its reputation and financial performance in the future.
However, there are also several negative factors to consider. The company is currently facing a class action lawsuit for alleged violations of the Securities Exchange Act. This could potentially lead to significant financial penalties and damage to the company's reputation, which would be negative for its stock price. Furthermore, the company's PEG ratio is relatively high, indicating that its stock may be overvalued relative to its expected earnings growth.
In terms of the broader economic and market trends, the potential for a recession and the ongoing debates about government funding could increase uncertainty and volatility in the market, which would be negative for stocks. However, the growth in AI and social media could potentially benefit Discover Financial, given its role in the digital payments industry.
Taking all these factors into account, I would assign a score of 45 to Discover Financial. This reflects the mixed outlook for the company, with both positive and negative factors to consider.
Score: 45</t>
  </si>
  <si>
    <t>Given the macroeconomic outlook and the specific financial data for LKQ Corporation, there are several factors to consider. 
On the positive side, the company has a relatively low P/E ratio, both trailing and forward, which suggests that it may be undervalued. This could potentially provide an opportunity for investors to buy the stock at a lower price and benefit from future price appreciation. 
However, there are also several negative factors to consider. The ongoing UAW strike could potentially disrupt the company's operations and negatively impact its financial performance. This could potentially lead to lower earnings and stock price declines. 
Furthermore, the company's high PEG ratio suggests that it may be overvalued relative to its expected earnings growth. This could potentially limit the stock's upside potential. 
The company's high enterprise value relative to its revenue and EBITDA also suggests that it may be overvalued. This could potentially lead to lower stock prices if the market were to correct. 
Given these factors, I would assign a score of 45 to LKQ Corporation. This reflects the potential risks associated with the company's operations and valuation, as well as the broader economic and market trends.
Score: 45</t>
  </si>
  <si>
    <t>Given the current economic outlook and the specific news and financial data related to Hormel Foods, there are several factors to consider. 
On the positive side, Hormel Foods has a solid dividend history, which is a good sign for investors seeking steady income. The company also continues to invest in renewable energy projects, which could potentially reduce its operating costs and increase its sustainability profile. 
However, there are also several negative factors to consider. The company is facing challenges related to supply chain disruptions and high costs, which could potentially impact its profitability. The antitrust lawsuit against Agri Stats could also have implications for Hormel Foods, given its involvement in the meat processing industry. 
Furthermore, the company's valuation ratios, such as its trailing P/E and forward P/E, suggest that its stock may be overvalued. This could potentially limit its upside potential and increase its downside risk. 
Given these factors, I would assign a score of 45 to Hormel Foods. This reflects the company's solid dividend history and sustainability initiatives, but also takes into account the challenges it is facing and its potentially overvalued stock price.
Score: 45</t>
  </si>
  <si>
    <t>Given the current economic outlook and the specific news about Zebra Technologies, there are several factors to consider. 
On the positive side, Zebra Technologies has shown promising developments in its business operations, such as the successful implementation of autonomous mobile robots, which has significantly improved efficiency for JAS Worldwide. This could potentially lead to increased demand for Zebra's products and services, which would be positive for its stock price. 
However, there are also several negative factors to consider. The Schall Law Firm is currently investigating Zebra Technologies for potential violations of securities laws. This could potentially lead to legal issues and financial penalties for the company, which would be negative for its stock price. 
In terms of financial data, Zebra Technologies has a relatively high P/E ratio, which suggests that its stock price may be overvalued. The company also has a high PEG ratio, which suggests that its earnings growth may not be sufficient to justify its current stock price. 
Furthermore, the company's high enterprise value relative to its revenue and EBITDA suggests that it may be overvalued. This could potentially lead to a correction in its stock price, which would be negative for investors. 
Given these factors, I would assign a score of 45 to Zebra Technologies. This reflects the potential upside from its business developments, but also the significant risks from its legal issues and potential overvaluation.
Score: 45</t>
  </si>
  <si>
    <t>Given the current economic outlook and the specific circumstances surrounding American Airlines, there are several factors to consider. 
On the positive side, the upcoming holiday season could potentially boost sales for airlines, including American Airlines. The company's partnership with British Airways-owner IAG and Finnair could also provide a boost, especially in the context of the post-COVID recovery of the aviation market. 
However, there are also several negative factors to consider. The airline sector has been suffering a broad selloff, with concerns over a potential government shutdown and falling ticket prices. American Airlines in particular has been grappling with escalating fuel and labor costs, which could threaten its profitability. 
The company's financial data also presents a mixed picture. While its trailing and forward P/E ratios are relatively low, suggesting that the stock could be undervalued, its enterprise value is significantly higher than its market cap, indicating a high level of debt. 
Given these factors, I would assign a moderate score to American Airlines. While there are some potential positives, the negatives are significant and could potentially outweigh the positives in the short term.
Score: 45</t>
  </si>
  <si>
    <t>Given the current economic outlook and the specific news about HP Inc., there are several factors to consider. 
On the positive side, HP Inc. has a relatively low P/E ratio, which could indicate that the stock is undervalued. The company is also addressing IT operational challenges, which could potentially lead to increased demand for its products and services. 
However, there are also several negative factors to consider. Warren Buffett's Berkshire Hathaway has been selling its stake in HP Inc., which could potentially indicate a lack of confidence in the company's future prospects. This could potentially lead to increased selling pressure on the stock, which would be negative for its price. 
Furthermore, the company's high PEG ratio could indicate that it is overvalued relative to its expected earnings growth. This could potentially lead to a correction in the stock's price, which would be negative for investors. 
Given these factors, I would assign a score of 45 to HP Inc. This reflects the potential risks associated with the stock, as well as the potential opportunities.
Score: 45</t>
  </si>
  <si>
    <t>Given the current economic outlook and the specific news about 3M, the company seems to be facing significant challenges. The company's stock has been on a downward trend due to concerns over PFAS exposure, and it has recently settled a massive lawsuit related to these chemicals. The company is also facing thousands of other lawsuits, which could potentially lead to further financial strain. 
On the other hand, 3M has outlined a strategy to potentially turn the company around, including a healthcare spin-off and risk reduction initiatives. The company's dividend yield is also relatively high, which could be attractive to income-focused investors. However, the sustainability of this dividend yield could be in question given the company's legal troubles and financial challenges.
In terms of financial data, 3M's market cap is relatively large, and its forward P/E ratio is lower than its trailing P/E ratio, which could potentially indicate that the company's earnings are expected to grow. However, the company's PEG ratio is relatively high, which could indicate that the company's stock is overvalued relative to its expected earnings growth.
Considering all these factors, I would assign a score of 40 to 3M. This reflects the significant challenges the company is facing, but also acknowledges the potential for the company to turn things around through its strategic initiatives.
Score: 40</t>
  </si>
  <si>
    <t>Given the current economic outlook and the specific news about Dominion Energy, there are several factors to consider. 
On the positive side, Dominion Energy is making progress with its Virginia Offshore Wind Commercial Project, which could potentially provide a significant boost to its revenues and profits in the future. The company's market cap is also relatively stable, and its forward P/E ratio is lower than its trailing P/E, suggesting that the company's earnings are expected to grow.
However, there are also several negative factors to consider. The company has been added to the Zacks Rank #5 (Strong Sell) List, indicating that it may underperform the market in the near term. There is also uncertainty surrounding the company, as indicated by the unsolicited "mini-tender" offer by TRC Capital Investment Corporation. This could potentially lead to increased volatility in the company's stock price.
Furthermore, the broader economic and market trends could also impact Dominion Energy. The potential for a recession and the ongoing unrest in Washington could lead to increased uncertainty and risk aversion among investors, which could negatively impact the company's stock price. The Fed's aggressive interest rate hikes could also potentially lead to lower earnings growth for the company.
Taking all these factors into account, I would assign a score of 40 to Dominion Energy. This reflects the potential risks and uncertainties facing the company, as well as the broader economic and market trends.
Score: 40</t>
  </si>
  <si>
    <t>Given the current economic outlook and the specific news about Xylem Inc., the investment value of the company seems to be quite risky. The company is currently under investigation for potential violations of securities laws, which could lead to significant legal and financial consequences. This could potentially lead to a drop in the company's stock price, making it a risky investment. 
On the other hand, Xylem Inc. has been recognized for its innovative technology, which could potentially lead to increased revenues and profits in the future. The company's financial data also shows a relatively high market cap and enterprise value, indicating that it is a large and potentially stable company. However, the company's high P/E ratios suggest that its stock may be overvalued, which could potentially lead to a correction in the future.
Given these factors, I would assign a score of 40 to Xylem Inc. This reflects the potential risks associated with the company's legal issues and high P/E ratios, as well as the potential benefits of its innovative technology and large size.
Score: 40.</t>
  </si>
  <si>
    <t>Given the current economic climate and the specific data related to Verisk, there are several factors to consider. 
On the positive side, Verisk's recent update to the ISO Businessowners program indicates that the company is actively innovating and expanding its services, which could potentially lead to increased revenue and profitability. This is particularly important given the current economic uncertainty, as companies that are able to adapt and innovate are often better positioned to weather economic downturns. 
On the negative side, Verisk's relatively high P/E ratios (both trailing and forward) suggest that the company's stock may be overvalued. This could potentially lead to a correction in the stock price, particularly if the broader market continues to decline. 
Furthermore, the company's high Price/Book ratio suggests that the company's assets may not fully support its current stock price, which could potentially lead to further downside risk. 
Finally, the company's high Enterprise Value/EBITDA ratio suggests that the company may be overvalued relative to its earnings, which could potentially lead to a decline in the stock price. 
Given these factors, I would assign a relatively low score to Verisk in terms of its potential investment value for the next month. 
Score: 35</t>
  </si>
  <si>
    <t>Given the current economic outlook and the specific issues facing Allegion, such as weakness in the Allegion International unit, increasing costs, and forex woes, the investment potential seems relatively low. The company's P/E ratios are not particularly attractive, and the high Enterprise Value/EBITDA ratio suggests that the company may be overvalued. Furthermore, the ongoing uncertainty in the economy and the stock market could potentially exacerbate these issues. 
Score: 35</t>
  </si>
  <si>
    <t>Given the current economic climate and the specific circumstances surrounding Illumina, Inc., the investment potential appears to be relatively low. The ongoing investigation into potential breaches of fiduciary duty by the company's directors and management raises significant concerns about the company's governance and potential legal liabilities. This could negatively impact the company's stock price and overall financial performance in the near term.
Furthermore, the company's financial data also raises some concerns. The company's forward P/E ratio is relatively high, suggesting that the stock may be overvalued. The negative Enterprise Value/EBITDA ratio also indicates that the company may be facing financial difficulties, which could negatively impact its stock price.
However, it's worth noting that the company operates in the Life Sciences Tools &amp; Services industry, which could potentially benefit from increased investment in AI and other technological developments. This could provide some upside potential for the company's stock.
Considering all these factors, the potential investment value of Illumina, Inc. for the next month appears to be relatively low.
Score: 35</t>
  </si>
  <si>
    <t>Given the current economic outlook and the specific news and financial data related to Norwegian Cruise Line Holdings, there are several factors to consider. 
On the positive side, the company has announced an extensive lineup of voyages for 2025, which could potentially boost its revenues and profits in the future. This suggests that the company is optimistic about the future of the cruise industry and is investing in new offerings to attract customers. 
However, there are also several negative factors to consider. The warning from Carnival Corp about rising fuel prices is a significant concern, as it could potentially increase costs for all cruise operators, including Norwegian Cruise Line Holdings. This could squeeze the company's margins and reduce its profits. 
In terms of the company's financial data, its market cap is relatively small compared to its enterprise value, which suggests that the company has a significant amount of debt. This could potentially increase the company's financial risk and make it more vulnerable to economic downturns. The company's trailing P/E ratio is also relatively low, which could suggest that its earnings are expected to decline in the future. 
Given these factors, I would assign a relatively low score to Norwegian Cruise Line Holdings. 
Score: 35</t>
  </si>
  <si>
    <t>Given the current economic outlook and the specific factors affecting the Hotels, Resorts &amp; Cruise Lines industry, the investment potential for Royal Caribbean Group appears to be relatively low. The rising fuel costs, as warned by Carnival Corp, could significantly impact Royal Caribbean's earnings. The company's stock has been drifting lower since a July post-earnings bull gap, indicating potential technical pressure. Furthermore, the high oil prices could pose additional challenges for the company. Considering these factors, along with the company's relatively high trailing P/E ratio and the ongoing uncertainties in the global economy, the investment potential for Royal Caribbean Group seems to be limited in the short term.
Score: 35</t>
  </si>
  <si>
    <t>SEE</t>
  </si>
  <si>
    <t>Given the current economic outlook and the specific financial data for Sealed Air, the company seems to be in a precarious position. The company's high Price/Book ratio suggests that its stock may be overvalued, and its PEG ratio indicates that it may not be expected to grow at an optimal rate. Furthermore, the company's high Enterprise Value compared to its Market Cap could suggest a high level of debt, which could be risky in the current economic climate. 
Moreover, the negative news about the company suggests that it may be facing significant challenges that could impact its future performance. The materials sector, in general, could be negatively affected by the ongoing economic uncertainties, including the potential for a recession and the impacts of the war in Ukraine on global supply chains. 
Therefore, based on the current economic outlook and the specific financial data and news about Sealed Air, the potential investment value of the company in the next month seems to be relatively low.
Score: 35</t>
  </si>
  <si>
    <t>Given the current economic outlook and the specific news about Comerica, the investment value of Comerica seems to be quite low. The company is facing multiple class-action lawsuits, which could potentially lead to significant financial liabilities and reputational damage. This could negatively impact the company's stock price and future earnings potential. Furthermore, the overall economic environment is challenging, with high risks of recession and potential disruptions from the ongoing war in Ukraine and the COVID-19 pandemic. The company's low P/E ratios suggest that investors have low expectations for the company's future earnings growth. However, the company's relatively low price-to-sales and price-to-book ratios suggest that the company's stock may be undervalued, which could potentially provide some upside potential. 
Score: 35</t>
  </si>
  <si>
    <t>Given the current economic outlook and the specific financial data for CoStar Group, there are several factors to consider. 
On the positive side, the company's CEO has been recognized for his leadership, which could potentially boost investor confidence. The company also has a strong market position in the real estate services industry, which could potentially provide some level of stability in the face of economic uncertainty.
However, there are also several negative factors to consider. The potential crisis in the commercial real estate market could have a significant impact on CoStar Group, given its focus on this sector. The company's high P/E ratios also suggest that its stock may be overvalued, which could potentially lead to a correction in the future.
Furthermore, the company's high Enterprise Value/EBITDA ratio suggests that it may be overvalued relative to its earnings, which could potentially lead to a decrease in its stock price. The company's high Price/Sales and Price/Book ratios also suggest that its stock may be overvalued, which could potentially lead to a correction in the future.
Given these factors, I would assign a relatively low score to CoStar Group in terms of its potential investment value for the next month.
Score: 35</t>
  </si>
  <si>
    <t>Given the current economic outlook and the specific circumstances surrounding Live Nation Entertainment, the investment value of the company appears to be relatively low. The company is currently facing multiple class action lawsuits, which could potentially lead to significant financial liabilities and reputational damage. This could negatively impact the company's stock price and future earnings potential. 
Furthermore, the company's financial data indicates a high valuation, with a trailing P/E ratio of 74.14 and a forward P/E ratio of 49.51. This suggests that the company's stock is currently overvalued, which could limit its future price appreciation potential. 
On the other hand, the company's market cap of $19.11B and enterprise value of $20.40B indicate a relatively large and stable company, which could potentially provide some level of downside protection. However, given the current economic uncertainties and the company's specific challenges, the potential risks appear to outweigh the potential rewards at this time.
Score: 35.</t>
  </si>
  <si>
    <t>Given the current economic outlook and the specific news about CarMax, the investment value of CarMax seems to be relatively low for the next month. The company has recently reported a decline in revenues and comparable store used-vehicle units, which is a negative sign. The high interest rates are causing potential car buyers to delay their purchases, which could further impact CarMax's sales. The company's stock has also been under pressure, with shares tumbling after the earnings announcement. However, the ongoing UAW strike could potentially benefit the used car market, which could provide some support for CarMax. 
Score: 35</t>
  </si>
  <si>
    <t>Given the current macroeconomic conditions and the specific news related to Boeing, the company seems to be facing a mixed bag of opportunities and challenges. On the positive side, the company has secured significant orders from Air Canada, which could boost its revenues in the long term. Additionally, the ongoing war in Ukraine and the associated increase in military spending could potentially benefit Boeing's defense business.
However, on the negative side, Boeing is facing significant supply chain issues that are causing delivery delays and impacting its relationships with key customers like Ryanair. The company is also dealing with legal issues related to false claims and statements in connection with military contracts, which could potentially harm its reputation and financial position. Furthermore, the company's financial ratios, such as its high Enterprise Value/EBITDA and PEG ratio, suggest that the stock may be overvalued.
Considering these factors, while there are potential opportunities for Boeing, the risks seem to outweigh the positives at this point. Therefore, the investment value of Boeing for the next month would be relatively low.
Score: 35</t>
  </si>
  <si>
    <t>Given the current economic outlook and the specific challenges facing Avery Dennison, the investment potential appears to be relatively low. The company is facing reduced volumes due to apparel inventory reductions, which could negatively impact its revenue and profitability. Furthermore, the company's relatively high P/E ratios suggest that its stock may be overvalued, which could limit its potential for future price appreciation. The ongoing economic uncertainty and potential for a recession could also weigh on the company's performance. Therefore, based on these factors, the investment potential for Avery Dennison appears to be relatively low.
Score: 35.</t>
  </si>
  <si>
    <t>Given the current economic outlook and the specific circumstances surrounding Wynn Resorts, the investment value of the company appears to be relatively low. The potential for a recession, coupled with the ongoing impact of COVID-19 restrictions on the company's operations in Macau, suggests that the company may face significant challenges in the near future. Furthermore, the company's high trailing P/E ratio indicates that its stock may be overvalued, while its high enterprise value relative to its revenue and EBITDA suggests that it may be carrying a significant amount of debt. However, the company's low PEG ratio indicates that it may have strong growth prospects, which could potentially offset some of these risks. 
Score: 35</t>
  </si>
  <si>
    <t>Given the current economic outlook and the specific challenges facing Southwest Airlines, the investment value of the company appears to be relatively low. The potential government shutdown could negatively impact the airline industry, and Southwest Airlines is already dealing with operational issues, higher fuel costs, and labor cost challenges. The company's stock is also at multiyear lows, indicating a bearish sentiment among investors. However, the company's forward P/E ratio is relatively low, suggesting that the stock may be undervalued. This could potentially provide an opportunity for investors who are willing to take on a higher level of risk. 
Score: 35</t>
  </si>
  <si>
    <t>ZION</t>
  </si>
  <si>
    <t>Given the current economic climate and the specific challenges facing the banking sector, Zions Bancorporation's investment potential appears to be relatively low. The bank is facing a number of headwinds, including a potential recession, stress in the commercial real estate market, and a regional banking crisis. These factors could potentially lead to significant losses for the bank and its investors.
However, it's worth noting that Zions Bancorporation's financial data shows some positive signs. The bank's trailing P/E ratio is relatively low, which could indicate that its stock is undervalued. Its PEG ratio is also below 1, suggesting that the bank's earnings growth could potentially outpace its stock price growth over the next five years.
Despite these positive signs, the overall economic and industry trends suggest that Zions Bancorporation's investment potential is relatively low at this time. Investors should therefore approach this stock with caution.
Score: 35</t>
  </si>
  <si>
    <t>Given the current economic outlook and the specific news related to KeyCorp, the investment value of the company seems to be quite low. The company is facing multiple class-action lawsuits, which could potentially lead to significant financial liabilities and reputational damage. This could negatively impact the company's stock price and financial performance in the near term. 
Moreover, the overall outlook for the banking sector is also quite challenging, with potential risks from the commercial real estate market and the possibility of a deeper than expected recession. These factors could further weigh on KeyCorp's performance and stock price. 
On the other hand, KeyCorp's financial data shows some positive signs. The company's trailing P/E ratio is relatively low, which could indicate that the stock is undervalued. The company's Price/Book ratio is also below 1, which could suggest that the company's stock is priced less than its book value. 
However, given the significant risks and uncertainties, the potential investment value of KeyCorp seems to be quite low at this point. 
Score: 30</t>
  </si>
  <si>
    <t>title_text_combined</t>
  </si>
  <si>
    <t>Security</t>
  </si>
  <si>
    <t>GICS Sub-Industry</t>
  </si>
  <si>
    <t>FinancialInfo</t>
  </si>
  <si>
    <t>What Makes Motorola (MSI) a New Strong Buy Stock
Motorola (MSI) might move higher on growing optimism about its earnings prospects, which is reflected by its upgrade to a Zacks Rank #1 (Strong Buy).</t>
  </si>
  <si>
    <t>Motorola Solutions</t>
  </si>
  <si>
    <t xml:space="preserve">
    Market Cap (intraday) 45.47B
         Enterprise Value 51.28B
             Trailing P/E  30.90
              Forward P/E  21.46
PEG Ratio (5 yr expected)   1.93
        Price/Sales (ttm)   4.85
         Price/Book (mrq) 134.92
 Enterprise Value/Revenue   5.46
  Enterprise Value/EBITDA  22.05</t>
  </si>
  <si>
    <t>Apple confirms that a bug and some apps are causing iPhone 15s to overheat
Apple is working on a software fix following reports that some of its new iPhone 15 models are overheating.
Apple says it will fix issue causing iPhone 15 to get too hot - and blames some apps for 'overloading the system'
Apple is blaming a software bug and issues tied to apps like Instagram and Uber for causing its recently released iPhone 15 models to get too hot.
Wall Street Bulls Look Optimistic About Apple (AAPL): Should You Buy?
Investors often turn to recommendations made by Wall Street analysts before making a Buy, Sell, or Hold decision about a stock. While media reports about rating changes by these brokerage-firm employed (or sell-side) analysts often affect a stock's price, do they really matter?
Apple Is a Magnificent Stock, But There Are 2 Big Reasons Investors Could Regret Buying It Right Now
Apple has been a wildly successful stock over the past decade. Its strong products and services have resulted in outstanding performance.
AAPL down 14% from its 52-week high; Is Apple a buy now?
Apple (NASDAQ: AAPL) is not yet a key player in the artificial intelligence (AI) space. Nonetheless, the AI boom, combined with the release of the iPhone 15, has helped Apple's stock soar 32% year-to-date, outperforming the S&amp;P 500's return of 12%.
New iPhones Hot In A Bad Way, But Apple Stock Chart is Bullish
If you look at the tech stocks tracked by the Technology Select Sector SPDR Fund NYSEARCA: XLK, Apple is among a large group of decliners on a one-month basis.
46% of Warren Buffett's Portfolio Is Invested in This Stock. Does That Mean You Should Buy Now?
Apple was a phenomenal investment opportunity for Berkshire Hathaway in 2016. Apple is seeing slowing sales thanks to weak iPhone demand.
Magnificent Seven tech stocks haven't been this cheap in six years, Goldman Sachs strategists say
The Federal Reserve may be wrong, but at least officials there won't be flying blind now that the government will stay open, keeping the nation's flow of economic data still running. In the early going, there was something of a relief rally, though it quickly evaporated.
Dutch regulator rejects Apple's objections against fines
Dutch competition watchdog ACM on Monday said it had rejected objections by Apple against fines of 50 million euros ($52.9 million) it had given the company over failure to comply with regulations aimed at limiting the dominant position of Apple's App Store.
Apple and 4 More Quality Stocks to Buy After the Stock Market Selloff
High-quality names Apple, Amazon, Starbucks, Netflix, and JPMorgan are all in the discount bin after a brutal September. Here's why it's time to buy.
Apple Reportedly Has Ingredients to Create its Own Search Engine
Such an offering could bring Apple a new revenue stream, suggests Bloomberg's Mark Gurman.
A Trillion-Dollar Dividend Growth Stock to Buy and Hold Forever
Apple's iPhone sales aren't dead yet -- far from it. Apple's services segment is growing in importance.
Formula 1 could be coming to Apple as it mulls offering up to $2 billion a year to show races, report says
Apple is interested in the exclusive global rights for Formula 1 races, Business F1 reported. The iPhone maker could offer up to $2 billion a year for the rights, per the report.
Apple says software bug and certain apps causing iPhone overheating
Company says it will update iOS 17 to fix bug and is working with developers of apps that overload handsets
7 S&amp;P 500 Stocks Set to Explode Higher
With a good deal of uncertainty over interest rate hikes and the potential for recession, markets have been far more volatile. However, if some of the uncertainty fades, we could also see a year-end rally, which I strongly believe could happen.
7 ‘Smart Money' Stocks Set to Explode Higher
In the dynamic world of investing, there's always a buzz surrounding “smart money” stocks. This excitement isn't just about fleeting market trends; it's rooted in the savvy market decisions made by individuals with incredible financial acumen.
Apple says it will fix app software problems blamed for making iPhone 15 models too hot to handle
Apple Inc. is blaming a software bug and other issues tied to popular apps such as Instagram and Uber for causing its recently released iPhone 15 models to heat up and spark complaints about becoming too hot to handle.
Apple will issue a software update to address iPhone 15 overheating complaints
Apple said that the new iPhones were running hot because of a combination of bugs in iOS 17, bugs in apps, and a temporary set-up period.
Apple's Strategic Role Within The Dividend Income Accelerator Portfolio: A Risk/Reward Analysis
The Dividend Income Accelerator Portfolio aims to blend dividend income and growth while reducing risk and striving for an attractive total return. In this analysis, I will compare Apple to competitors such as Alphabet, Microsoft, Samsung, and Amazon. Apple's financial strength, competitive advantages, and low risk level make it an ideal addition to the portfolio.
Apple Has an iPhone Problem
The iPhone drives Apple's business, but as refresh times get longer and prices climb higher, the opportunity for growth diminishes.
Apple Adds Open Banking-Powered Capabilities to iPhone Wallet in UK
Apple has reportedly soft launched an iPhone Wallet app integration that provides users in the United Kingdom with their current account balances and transaction histories. This new offering is powered by the U.K.'s Open Banking API, 9to5Mac reported Wednesday (Sept.
Apple's China nightmare is about to get worse
Apple's list of challenges in China appears to be growing. The country is tightening restrictions on the app store that would eliminate a popular loophole.
The Magnificent Seven could be considered the messy seven after a ‘meh' third quarter
The so-called Magnificent Seven lost some luster in the latest quarter, as they proved no longer the big market drivers they were earlier this year.
Buy the Dip in Apple, or has the Trend Turned Rotten?
Editor's note: Any and all references to time frames longer than one trading day are for purposes of market context only, and not recommendations of any holding time frame.
Report: China's Crackdown on Foreign Apps Could Impact Apple's iPhone App Store
China's Ministry of Industry and Information Technology has reportedly issued new rules that could restrict Apple from offering many foreign apps on its iPhone app store in China. The rules don't specifically target Apple, but would impact the company due to the number of apps it offers, The Wall Street Journal (WSJ) reported Friday (Sept. 29).
Apple's Valuation Does Not Make Sense (Rating Downgrade)
Apple Inc. is valued at a forward P/E of 29 today compared to its 5-year average of 24. For several reasons, I find this premium to 5-year averages a market anomaly. Five years ago, the market was eagerly waiting for the 5G smartphone upgrade supercycle that was expected to accelerate Apple's revenue growth - which it did. Today, this catalyst is no longer present, and the company has experienced YoY revenue declines in each of the last three quarters.
Apple expressed concerns to Chinese officials over foreign app restrictions, report says
Apple is concerned about new rules in China that would ban unregistered foreign apps from its App Store.
3 Top-Rated, Oversold Industry Giants
In the current environment, where the SPDR S&amp;P 500 ETF NYSE: SPY has faced a weekly downturn and is nearing an alarming 5% monthly loss, investors might perceive a glimmer of hope amid the turbulence.
Latest News: UAW, PGA, Disney, Nike, Apple
United Auto Workers president Shawn Fain will announce the union's next move at 10 am ET on Friday.
Apple's Latest China Challenge: A Crackdown That Could Shrink Its App Store
Country's push to register foreign apps threatens to remove Facebook, Instagram and X from iPhone App Store in China.
Better Buy: Amazon vs Apple
Amazon has a diverse revenue stream that goes beyond e-commerce. Apple is dependent on iPhone sales, but it's the more profitable business.
1 Green Flag for Apple in 2023, and 1 Red Flag
Apple shares have dipped more than 10% since Aug. 1. Revenue declines across its product segments have concerned investors.
Don't Miss the Boom: 7 Blue-Chip Stocks Set to Explode Higher
Looking for the best blue-chip stocks to buy might seem boring, especially compared to stocks that make big moves. In fortifying your investment portfolio, dipping your toes into the volatile waters of penny and small-cap stocks can be incredibly tempting.
These 7 Dividend Stocks Pay $98 Billion Annually, Combined, to Their Shareholders
Over the long run, dividend stocks have run circles around public companies that don't offer a payout. These seven income juggernauts are parsing out some of the largest nominal-dollar dividends in the world.
83% of Warren Buffett's $347 Billion Portfolio Is Invested in Only 8 Stocks
The Oracle of Omaha has effectively doubled-up the annualized total return of the benchmark S&amp;P 500 since the mid-1960s. Portfolio concentration has played a key role in Warren Buffett's sizable outperformance.
French authorities approve Apple's software update of its iphone 12
French authorities said on Friday they had approved Apple's AAPL.O software update of its iPhone 12 after a row over radiation levels of the device, which led France to suspend sales of the phones earlier this month.
Apple takes Epic Games app store lawsuit to Supreme Court
Apple Inc (NASDAQ:AAPL) has petitioned the U.S. Supreme Court to overturn an order mandating changes to its app store regulations following an antitrust lawsuit by Epic Games, the developer of "Fortnite." Starting in 2020 the legal feud began when Epic accused Apple of violating U.S.
Don't Miss the Boom: 7 Dow Stocks Set to Explode Higher
The top Dow stocks serve as a bellwether for the health of the U.S. economy. This year, the Dow has trailed the other two major U.S. indices with a 1% gain.
Apple Asks Supreme Court To Overturn Ruling In Epic Games Legal Battle
Now, both parties in the suit, Apple and Epic Games, have asked the Supreme Court to wade in.
Apple asks the Supreme Court to reconsider a previous ruling in Epic's favor
Apple has asked the Supreme Court to reconsider a previous ruling in its fight against Epic Games that would change the rules of the App Store.
Epic Games, creator of Fortnite, asks Supreme Court to hear antitrust case against Apple
Over the summer, Apple said it would petition the U.S. Supreme Court to hear its case against Epic Games, the Cary-based developer of the popular title Fortnite.
3 Dividend Stocks to Buy and Hold Until Retirement
Bristol Myers, Apple, and Verizon have been increasing their dividends in recent years. All three companies have sustainable payouts that should also rise in the future.
Apple's Set for the Worst Month of the Year. This iPhone Problem Isn't Helping.
Apple stock has fallen more than 10% since its July highs. Here's what analysts are saying about the iPhone maker's prospects.
Got $1,000? 5 Buffett Stocks to Buy and Hold Forever
Apple has been trying to become less reliant on the iPhone and more reliant on services. American Express benefits from issuing its own credit cards and processing credit card transactions.
Has Apple Sold 20 Million iPhone 15s?
In the old days, Apple Inc. (NASDAQ: AAPL) would say how many iPhones it sold in the days after the launch of a new generation.
Is Apple Stock a Buy Now?
Apple shares have fallen 11% since Aug. 1. The company has faced repeated revenue declines alongside reductions in consumer spending on tech.
Apple leverages idea of switching to Bing to pry more money out of Google, Microsoft exec says
Apple was never serious about replacing Google with Microsoft's Bing as the default search engine in Macs and iPhones, but kept the possibility open as a "bargaining chip'' to extract bigger payments from Google, a Microsoft executive testified Wednesday in the biggest U.S. antitrust trial in a quarter century.
Apple stock price forecast: at risk as 2 fresh headwinds emerge
Apple (NASDAQ: AAPL) stock price has been in a freefall and could get worse in the coming days. The shares plunged to a low of $170 on Wednesday, the lowest level since May 23rd.
Epic asks the Supreme Court to weigh in on its beef with Apple
We haven't heard the last of Epic's crusade against Apple over the iPhone maker's App Store fees. Epic Games filed a cert petition with the Supreme Court on Wednesday, setting things in motion for the highest court in the land to reexamine if Apple's software business violates federal antitrust laws.
Epic Games Requests Supreme Court Review of Apple App Store Ruling
Epic Games, the creator of the popular game Fortnite, asked the U.S. Supreme Court to review a judge's ruling from 2021 that stated Apple's App Store policies do not violate federal antitrust laws.
Fortnite Maker Asks Supreme Court To Review Apple Monopoly Ruling
The request is in part based on Apple's controversial commission of up to 30% for transactions within its marketplace, which has long irked app developers.
Apple used Bing as ‘bargaining chip' to pry more money out of Google, Microsoft exec says
WASHINGTON — Apple was never serious about replacing Google with Microsoft's Bing as the default search engine in Macs and iPhones, but kept the possibility open as a “bargaining chip” to extract bigger payments from Google, a Microsoft executive testified Wednesday in the biggest U.S. antitrust trial in a quarter century.
Microsoft exec says Apple used Bing as ‘bargaining chip' to get more money from Google
“It is no secret that Apple is making more money on Bing existing than Bing does,'' Mikhail Parakhin, Microsoft's chief of advertising and web services, said during testimony in the landmark antitrust trial.
Epic Games goes to Supreme Court in latest clash with Apple over App Store
Fortnite maker Epic Games Inc. on Wednesday asked the U.S. Supreme Court to review a California court ruling that found Apple Inc.'s AAPL, -0.82% App Store policies don't violate antitrust laws. The filing is the latest in a long-brewing legal war between the companies, with billions of dollars in revenue at stake over how Apple runs its App Store.
Can the iPhone 15 Help Reverse Apple's Sales Decline?
Its just-launched iPhone 15 lineup has received a lukewarm reception from the stock market. Reports that Apple may produce fewer iPhone 15 units this year could weigh on sales.
Big Tech Titans Feel the Chill as AI Stocks Slide
You only need to look at the one-month decline in AI chip powerhouse Nvidia Corp. NASDAQ: NVDA to understand that something has changed. Is Nvidia's pullback a sign that the AI rally that fueled big tech sector gains is taking a breather as interest rates rise?
Most of S&amp;P 500's Gains Driven by 7 Firms, Others Up Less than 5% YTD
The S&amp;P 500 – the stock market index that tracks the performance of the largest US-listed 500 companies – is up around 12.5% in 2023, marking a significant rebound from the 2022 lows. Although this performance is impressive, a recent analysis by stock market strategists pointed to certain risks associated with the rally.
Which of the Magnificent 7 Stocks Is the Best Buy Right Now?
With bumpy markets, investors may want to consider safer stocks, especially those that can withstand any market conditions. That includes the following Magnificent 7 stocks, which investors may want to consider buying today.
Apple exec defends decision to make Google the default search engine on iPhones and Macs
WASHINGTON — A top Apple executive defended the tech giant's decision to make Google the default search engine on Apple iPhones and Macs, saying there was no “valid alternative.''
Top Apple exec Eddy Cue defends Google default search deal: No ‘valid alternative'
Cue said Google has no need to develop its own search engine due to the quality of Google's product.
Apple trade-in value increases for MacBook Pro, raising concerns over demand
Apple Inc (NASDAQ:AAPL) saw a sharp increase in trade-in values for its MacBook Pro line during the month of September, according to a recent analyst comment from Bank of America. The surge in trade-in values ranged from $200 to $350 across the US, the UK, and China.
Top Apple Executive Defends Favoring Google on iPhones
Eddy Cue, a longtime executive at the company, said Apple's multibillion-dollar deals with Google were driven by quality, not money.
Apple's Eddy Cue defends default search contract with Google as best option for consumers
Apple's head of services testified in federal court Tuesday about the company's agreement to make Google the default search engine on iPhones in the U.S.
Caution! 3 Stocks That Could Get Rocked as Student Loan Payments Restart.
Student loan repayments are rearing their ugly heads as borrowers prepare to start paying them back next week. After three years of blissful reprieve, borrowers are set to begin dedicating cash towards their burdensome debt loads.
Here's what Apple's iPhone 15 says about the world
The newest phone lineup, which officially became available last week, can at least pinpoint three crucial themes in the economy, according to UBS strategists.
Apple exec defends tech giant's decision to make Google default search engine on Apple iPhones, Macs
A top Apple executive defended the tech giant's decision to make Google the default search engine on Apple iPhones and Macs, saying there was no "valid alternative.''
3 Dow Jones Industrial Average Stocks To Watch Ahead Of October 2023
Dow Jones Industrial Average stocks to watch now.
Apple: iPhone 15 Looks Like A Hit (Rating Upgrade)
Apple Inc. stock has been a major topic of debate among investors lately. Some investors think that the company's strong brand and ecosystem will deliver years of positive returns to come. Others say the stock is just too expensive. Until recently I thought that Apple stock was just a 'hold,' but I changed my mind after Apple came down from its recent highs, and the iPhone 15 launched.
Google antitrust trial: second Apple exec to testify
Apple Inc (NASDAQ:AAPL)'s senior vice president of services Eddy Cue is set to testify in the Google antitrust trial brought on by the US Department of Justice on Tuesday, the second Apple executive to make an appearance in the trial as it enters its third week. According to a Bloomberg report citing sources with knowledge of the matter, Cue is set to tell the Justice Department that the company never made its own search engine because Google is the best option, which is why Apple sets it as the default option.
Apple's iPhone 15 Can Teach Us About the Economy. 3 Trends to Watch.
Apple's iPhone 15 range has hit the shelves. The launch is more than a signal about consumer demand; it offers other lessons about the global economy.
EU tells Apple chief to 'open up' to rivals
The EU's digital chief Thierry Breton told Apple CEO Tim Cook on Tuesday that the iPhone maker must open up its products to competitors as part of Brussels' tough curbs on tech behemoths.
3 Warren Buffett Stocks Worth Owning Forever
Warren Buffett is a disciple of the Benjamin Graham school of value investing By focusing on fundamentals and competitive positioning, the Oracle of Omaha has built a market-beating stock portfolio. Apple, American Express, and Coca-Cola are three Buffett picks that screen as potential forever stocks.
Meta Connect will focus on AI and mixed reality, but does that include Apple?
AI and mixed reality are likely to be the focus of Meta Platforms Inc.'s annual developers conference Wednesday. But the lingering question is whether Meta will address a certain nemesis down the road.
Apple's revenue from products made in China could plummet to less than a third in the next five years, a top investor says
Apple has become a revenue-generating machine thanks in large part to products made in China. That may change within the next five years, a top investor has predicted.
ChatGPT picks 2 stocks to buy and hold forever
When it comes to investing, seasoned veterans are known for a strategic preference: embracing stalwart giants of the stock market. These established titans have built a reputation for unwavering returns and resilience, especially in tumultuous financial climates.
Exclusive: EU's Breton tells Apple CEO to open its ecosystem to rivals
EU industry chief Thierry Breton on Tuesday called Apple CEO Tim Cook to open up the iPhone maker's fiercely guarded ecosystem to its rivals.
Google Trial Spills Details on Search Engine's Deals With Apple, Samsung
The company says it was offering the better product, while the Justice Department argues the agreements were illegal.
French authorities received a software update for Apple's iPhone 12 - ministry source
French authorities have received a software update from Apple for its iPhone 12 and are reviewing it, a source at the French digital ministry told Reuters on Tuesday.
These 20 growth stocks are worth considering on a pullback, says Citi
Citi has released a list of 20 large-cap growth stocks that it says present opportunities in the event of a pullback.
iPhone 15 Pro analysis unveils Qualcomm modem and easier-to-repair smartphone frame
The two most common smartphone fixes are replacing the battery and screen, so the new design gives repairers easier access to those parts.
Investors Heavily Search Apple Inc. (AAPL): Here is What You Need to Know
Apple (AAPL) has been one of the stocks most watched by Zacks.com users lately. So, it is worth exploring what lies ahead for the stock.
Warren Buffett's eye for quality stocks like Apple and Coca-Cola is key to his success, elite investor Jeremy Grantham says
Warren Buffett's taste for quality has been key to his investing success, Jeremy Grantham says. Buffett has made a fortune on stocks like Apple and Coca-Cola, which Grantham touted as exceptional.
S&amp;P 500 is up 13% in 2023; Which stocks are growth drivers?
After weathering a tumultuous 2022 marred by record-high inflation and a hawkish stance from Federal Reserve policymakers, the US stock market has undergone a remarkable turnaround in 2023.
Warren Buffett Has Put $150 Billion of Berkshire Hathaway's Cash to Work in These 4 Stocks
The Oracle of Omaha has run circles around the benchmark S&amp;P 500 for nearly six decades. Buffett has piled approximately $150 billion worth of his company's cash into four brand-name businesses (including one surprise).
Once Again 'Apple's Best Days Seem Behind', But I Disagree
Apple is once again hit by the narrative seeing its best days behind. Concerning news have caused a pullback. Yet, if we look at what the company can deliver over the next decade, the present value of the discounted free cash flows is staggering.
Apple's iPhone 15 Line-Up: Second Most Affordable Yet, Poised To Drive Market-Beating Returns
Apple's iPhone 15 lineup, adjusted for inflation, is the second most affordable offering since its inception, signaling potential for strong sales in FY23/24. With a 28% market share and 1.47 billion iPhones in use, I anticipate 279 million new iPhone sales this year, resulting in $222 billion in revenue, an 8% YoY increase. The $200 billion valuation wipe-out due to rumored Chinese government employee iPhone bans seems overdone, and demand within the country remains high.
It's Game Time: 3 NFL Stocks to Buy This Month
The National Football League (NFL) is back and bigger than ever. The viewership ratings for the first two weeks of the 2023 season have been exceptionally strong.
Stocks This Week: Is Apple Ripe For Purchase?
The election year cycle and the decennial cycle both suggest that the fourth quarter will be strong. Apple is also bottoming.
Is It Too Late to Buy Apple Stock?
Apple outperformed its peers in smartphone and PC sales last quarter. Apple's iPhone loyalty has led to the success of many of its other products.
Got $3,000? These 3 Stocks Could Double Your Money by 2030.
Apple has built up immense brand loyalty with consumers. Microsoft could be ideally positioned to profit the most from the future of AI.
3 Warren Buffett Stocks to See Skyrocketing AI Growth
AI's potential in business operations isn't confined to tech giants; traditional industries are also poised to benefit. AI isn't just about user-facing platforms, but also the backend software and specialized hardware.
1 Reason Apple Stock Is a Screaming Buy, and 1 Reason to Avoid It Like the Plague
This FAANG stock has crushed the market over the past five years, but it's down meaningfully since the start of August. Apple's impressive lineup of hardware and software has created a powerful ecosystem.
Prediction: Here's How Much Apple Will Be Worth in 2030
Apple is currently the world's biggest company with a market cap of around $2.7 trillion. It has several key growth drivers over the coming years.</t>
  </si>
  <si>
    <t>Apple Inc.</t>
  </si>
  <si>
    <t xml:space="preserve">
    Market Cap (intraday) 2.68T
         Enterprise Value 2.72T
             Trailing P/E 28.73
              Forward P/E 25.77
PEG Ratio (5 yr expected)  2.18
        Price/Sales (ttm)  7.10
         Price/Book (mrq) 44.41
 Enterprise Value/Revenue  7.09
  Enterprise Value/EBITDA 21.46</t>
  </si>
  <si>
    <t>Alexandria Real Estate Equities Is Compelling Even At This Price
Alexandria Real Estate Equities is a niche REIT focused on the rapidly growing life sciences market. The company has experienced strong operational and financial growth, with increasing revenue and profitability. The specialized nature of the life sciences market and the company's high exposure to it make it a stable and potentially lucrative investment.
3 REITs For Long-Term And Prudent Dividend Investors
REITs in general are less attractive to investors due to high risk-free rates. Investors can approach this by either taking on higher risks for higher yields or investing in REITs with robust and growing cash flows. Prologis, Realty Income, and Alexandria Real Estate Equities are three specific REITs that offer attractive initial dividend yields and have strong fundamentals for dividend growth.
If I Had To Name The Biggest Risk For REITs It Would Be This One
REITs have underperformed the S&amp;P 500 due to the Fed's restrictive monetary policy and increased interest rates. The market is pricing in a higher for longer scenario, causing concern for REITs with fixed rate financing and upcoming debt maturities. REITs with longer debt maturity profiles and locked-in financing at below-market rates are better positioned to withstand higher interest rates.
Alexandria Real Estate Equities, Inc.'s Strong BBB+ Credit Rating With Positive Outlook Reaffirmed by S&amp;P Global Ratings
Alexandria's investment-grade credit ratings, which rank in the top 10% among all publicly traded U.S. REITs, and significant liquidity of $6.3 billion afford the company important flexibility to execute its differentiated life science real estate platform  PASADENA, Calif. , Sept. 29, 2023 /PRNewswire/ -- Alexandria Real Estate Equities, Inc. (NYSE: ARE), the first, preeminent, longest-tenured and pioneering owner, operator and developer of collaborative life science, agtech and advanced technology mega campuses in AAA innovation cluster locations, today announced that S&amp;P Global Ratings has reaffirmed the company's strong credit rating of BBB+ with a positive outlook.
Opportunities Abound In These Dividend Stalwarts
Market timers come out in force when stocks are soaring or plummeting, but often miss out on long-term investment opportunities by waiting to make sure stocks have definitively bottomed. I like to keep it simple by buying high-quality dividend growth companies at discounted prices during bear markets. If they get cheaper, I buy more. I highlight a handful of high-quality, investment grade-rated dividend growth stalwarts to consider for your portfolio.
Alexandria And Realty Income: My Current 2 Biggest 'Buys'
Investing in out-of-favor sectors can lead to good deals. The REIT sector is currently out of favor due to various reasons. Alexandria Real Estate is a solid REIT option with specialized properties in the biotech/lab sector.
3 Stocks You'll Be Glad You Bought at These Prices
Alexandria Real Estate Equities focuses on must-have lab space. American Tower is the world's largest private cell tower owner.
Alexandria Real Estate Equities, Inc.'s One-of-a-Kind, Essential Labspace Platform Empowers the Integration and Enhancement of Biological Discoveries Enabled by AI to Widen the Opportunities for and Accelerate the Development of Novel Medicines
Alexandria is well positioned to support companies in the growing area of AI-enhanced laboratory-based research and development, which is contributing to demand for advanced laboratory infrastructure requirements PASADENA, Calif. , Sept. 27, 2023 /PRNewswire/ -- Alexandria Real Estate Equities, Inc. (NYSE: ARE), the first, preeminent, longest-tenured and pioneering owner, operator and developer of collaborative life science, agtech and advanced technology mega campuses in AAA innovation cluster locations, has been strategically developing and operating high-quality Labspace® infrastructure for, and investing in, some of the most advanced and innovative biopharmaceutical companies leveraging artificial intelligence (AI) and machine learning (ML) platforms for more than a decade.</t>
  </si>
  <si>
    <t>Alexandria Real Estate Equities</t>
  </si>
  <si>
    <t xml:space="preserve">
    Market Cap (intraday) 17.32B
         Enterprise Value 27.97B
             Trailing P/E  29.53
              Forward P/E  16.69
PEG Ratio (5 yr expected)    NaN
        Price/Sales (ttm)   6.13
         Price/Book (mrq)   0.92
 Enterprise Value/Revenue  10.25
  Enterprise Value/EBITDA  15.01</t>
  </si>
  <si>
    <t>Microsoft CEO warns of 'nightmare' future for AI if Google's search dominance continues
Microsoft CEO Satya Nadella warned on Monday of a "nightmare" scenario for the internet if Google's dominance in online search is allowed to continue, a situation, he said, that starts with searches on desktop and mobile but extends to the emerging battleground of artificial intelligence.
Google default search engine deals make user choice ‘completely bogus,' Microsoft CEO Nadella says
"You get up in the morning and you brush your teeth and you search on Google," Microsoft's Nadella said.
Earnings Growth &amp; Price Strength Make Microsoft (MSFT) a Stock to Watch
Finding strong, market-beating stocks with a positive earnings outlook becomes easier with the Focus List, a top feature of the Zacks Premium portfolio service.
Magnificent Seven tech stocks haven't been this cheap in six years, Goldman Sachs strategists say
The Federal Reserve may be wrong, but at least officials there won't be flying blind now that the government will stay open, keeping the nation's flow of economic data still running. In the early going, there was something of a relief rally, though it quickly evaporated.
3 Great Growth Stocks That Don't Require Any Speculation
When it comes to investing, many investors continue to focus solely on growth. Growth stocks, characterized by robust revenue and earnings growth, reinvest profits to fuel expansion.
Top Wall Street analysts pick these five stocks for compelling returns
TipRanks' analyst ranking service pinpoints Wall Street's best-performing stocks, including Adobe &amp; Salesforce
The Best Stocks to Buy With $10,000 Right Now
Exxon Mobil is generating excellent profit and free cash flow. Shopify's 30% revenue growth is hard to match.
7 S&amp;P 500 Stocks Set to Explode Higher
With a good deal of uncertainty over interest rate hikes and the potential for recession, markets have been far more volatile. However, if some of the uncertainty fades, we could also see a year-end rally, which I strongly believe could happen.
7 ‘Smart Money' Stocks Set to Explode Higher
In the dynamic world of investing, there's always a buzz surrounding “smart money” stocks. This excitement isn't just about fleeting market trends; it's rooted in the savvy market decisions made by individuals with incredible financial acumen.
Is It Too Late to Buy Microsoft Stock?
Microsoft's move into artificial intelligence is already paying dividends.
OpenAI's Valuation Is Poised To Triple With Forthcoming Tender Offer
OpenAI's valuation is expected to triple in a forthcoming tender offer, increasing from $30 billion to $80-90 billion. Microsoft, which purchased a stake in OpenAI earlier this year, will see its stake rise from $15 billion to $40-45 billion. The demand for AI-focused computing power has benefited Nvidia, whose shares have risen by nearly 200% this year.
The Magnificent Seven could be considered the messy seven after a ‘meh' third quarter
The so-called Magnificent Seven lost some luster in the latest quarter, as they proved no longer the big market drivers they were earlier this year.
Microsoft (MSFT) Brings 365 Copilot Capabilities to Mayo Clinic
Microsoft (MSFT) announces that its 365 Copilot has been chosen by Mayo Clinic to bolster healthcare staff experience across apps like Microsoft Outlook, Word, Excel and more.
AI Stocks To Buy In October 2023? 2 To Know
AI stocks to watch in the stock market now.
Microsoft lends AMD an AI boost, though Nvidia still wears the crown
Advanced Micro Devices, Inc. (NASDAQ:AMD) shares popped dd5% on Thursday and are expected to surge more when markets open today, in response to flattering comments made by Microsoft Corporation (NASDAQ:MSFT) on the Nvidia Corporation competitor's artificial intelligence prospects. Like Nvidia, AMD's graphics processing units are well optimised to handle generative AI and large-scale model training, but the Santa Clara, California-based semiconductor company has lagged behind its Silicon Valley rival in copping an AI premium.
Amazon's Big AI Investment Just Put Microsoft and Alphabet on Notice
Microsoft kickstarted the generative AI revolution with its investment in ChatGPT creator OpenAI, and Google quickly responded with its Bard chatbot. Amazon had been largely left out of the conversation, until now.
Microsoft Boosts Its Dividend Again. Here's How High the Payout Could Get Over the Next 20 Years
Microsoft increased its dividend regularly over the past 10 years, often at an annual rate of 10% or better. Strong growth prospects suggest that more rate hikes are likely coming from this tech stock.
These 7 Dividend Stocks Pay $98 Billion Annually, Combined, to Their Shareholders
Over the long run, dividend stocks have run circles around public companies that don't offer a payout. These seven income juggernauts are parsing out some of the largest nominal-dollar dividends in the world.
Don't Miss the Boom: 7 Dow Stocks Set to Explode Higher
The top Dow stocks serve as a bellwether for the health of the U.S. economy. This year, the Dow has trailed the other two major U.S. indices with a 1% gain.
Microsoft CEO Satya Nadella to testify on Monday in Google antitrust trial
Microsoft chief executive Satya Nadella is expected to testify on Monday as a witness for the U.S. Justice Department, according to a filing on the docket of its once-in-a generation court fight against Alphabet's Google.
Mayo Clinic to deploy and test Microsoft generative AI tools
ROCHESTER, Minn. and REDMOND, Wash., Sept. 28, 2023 /PRNewswire/ -- Mayo Clinic, a world leader in healthcare known for its commitment to innovation, is among the first healthcare organizations to deploy Microsoft 365 Copilot. This new generative AI service combines the power of large language models (LLMs) with organizational data from Microsoft 365 to enable new levels of productivity in the enterprise.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Better Buy: Microsoft vs. Nvidia
Microsoft and Nvidia have captured Wall Street's attention this year thanks to growing prospects in AI. Microsoft is an attractive investment with solid positions in multiple areas of tech.
Microsoft is trying to reduce its reliance on OpenAI by developing a cheaper, less powerful AI model, report says
Microsoft wants to break its reliance on OpenAI, per The Information. The decision is largely motivated by the cost of running advanced AI models, per the report.
Don't Miss the Boom: 3 Quantum Computing Stocks Set to Explode Higher
In the dynamic investment realm, excitement for quantum computing stocks is steadily amplifying. As the sector gains momentum, investors are on the lookout for quantum computing stocks to buy.
Options Bolsters Digital Transformation Capabilities as Microsoft Solutions Partner
LONDON &amp; NEW YORK &amp; HONG KONG--(BUSINESS WIRE)--Options Technology, the leading provider of cloud-enabled managed services to the global financial sector, today announced its recognition as a Microsoft Solutions Partner for Modern Work. Microsoft's Solutions Partner designations differentiate partners with broad technical capabilities, a dedication to skilling and training, and a proven ability to successfully deliver solutions for customers in a specific Microsoft Cloud solution area. This ann.
Apple leverages idea of switching to Bing to pry more money out of Google, Microsoft exec says
Apple was never serious about replacing Google with Microsoft's Bing as the default search engine in Macs and iPhones, but kept the possibility open as a "bargaining chip'' to extract bigger payments from Google, a Microsoft executive testified Wednesday in the biggest U.S. antitrust trial in a quarter century.
Apple used Bing as ‘bargaining chip' to pry more money out of Google, Microsoft exec says
WASHINGTON — Apple was never serious about replacing Google with Microsoft's Bing as the default search engine in Macs and iPhones, but kept the possibility open as a “bargaining chip” to extract bigger payments from Google, a Microsoft executive testified Wednesday in the biggest U.S. antitrust trial in a quarter century.
Microsoft exec says Apple used Bing as ‘bargaining chip' to get more money from Google
“It is no secret that Apple is making more money on Bing existing than Bing does,'' Mikhail Parakhin, Microsoft's chief of advertising and web services, said during testimony in the landmark antitrust trial.
Microsoft technology chief says supply of Nvidia's AI chips is improving
Kevin Scott, Microsoft's chief technology officer, said supply of Nvidia's graphics processing units is improving now that generative AI hype has cooled a bit.
Cloudflare and Microsoft Partner to Optimize AI Model Location
Cloudflare, a connectivity cloud company, and Microsoft are now collaborating to enable businesses to run artificial intelligence (AI) models in the most suitable locations for their needs. This partnership aims to seamlessly deploy AI models across devices, network edges and cloud environments, the companies said in a Wednesday (Sept.
Microsoft and Mercy collaborate to empower clinicians to transform patient care with generative AI
REDMOND, Wash., and ST. LOUIS, Sept. 27, 2023 /PRNewswire/ -- Microsoft Corp. and Mercy are forging a long-term collaboration using generative AI and other digital technologies to give physicians, advance practice providers and nurses more time to care for patients and improve the patient experience. This work represents what's next in healthcare for applying advanced digital technologies to the delivery of care to consumers.
Is It Worth Investing in Microsoft (MSFT) Based on Wall Street's Bullish Views?
The recommendations of Wall Street analysts are often relied on by investors when deciding whether to buy, sell, or hold a stock. Media reports about these brokerage-firm-employed (or sell-side) analysts changing their ratings often affect a stock's price.
Microsoft May Win Big With OpenAI Valuation. Amazon's Rivian Record Shows the Risk.
OpenAI, the developer of ChatGPT, is in talks over a share sale that would value it between $80 billion and $90 billion, The Wall Street Journal reported.
Better Artificial Intelligence (AI) Stock: Microsoft vs. Alphabet
The AI market is booming and expected to develop at a CAGR of 37% through 2030. Microsoft has access to some of the most powerful AI models.
My Favorite Dividend Stock To Buy &amp; Hold
This company has proven itself regardless of the economic backdrop
ChatGPT-developer OpenAI sees valuation triple since start of year
ChatGPT-developer OpenAI's valuation has risen threefold to at least US$80 billion since the start of the year, according to reports of ongoing talks with investors. The San Francisco-based artificial intelligence (AI) startup, where Microsoft Corporation (NASDAQ:MSFT) is a 49% shareholder, is looking to sell existing shares owned by employees, with the price giving the company a valuation of between US$80 billion and US$90 billion, according to a Wall Street Journal report.
Big Tech Titans Feel the Chill as AI Stocks Slide
You only need to look at the one-month decline in AI chip powerhouse Nvidia Corp. NASDAQ: NVDA to understand that something has changed. Is Nvidia's pullback a sign that the AI rally that fueled big tech sector gains is taking a breather as interest rates rise?
2 Ultra-Safe Dividend Stocks to Buy Right Now
Walmart recently raised its revenue growth outlook. This month, Microsoft announced it was hiking its dividend by 10% for a second straight year.
ChatGPT developer OpenAI sees valuation triple since start of year
ChatGPT developer OpenAI's valuation has risen threefold to at least US$80 billion since the start of the year, according to reports of ongoing talks with investors. The San Francisco-based artificial intelligence startup, where Microsoft Corporation (NASDAQ:MSFT) is a 49% shareholder, is looking to sell existing shares owned by employees, with the price giving the company a valuation of between US$80 billion and US$90 billion, according to a Wall Street Journal report.
Most of S&amp;P 500's Gains Driven by 7 Firms, Others Up Less than 5% YTD
The S&amp;P 500 – the stock market index that tracks the performance of the largest US-listed 500 companies – is up around 12.5% in 2023, marking a significant rebound from the 2022 lows. Although this performance is impressive, a recent analysis by stock market strategists pointed to certain risks associated with the rally.
Which of the Magnificent 7 Stocks Is the Best Buy Right Now?
With bumpy markets, investors may want to consider safer stocks, especially those that can withstand any market conditions. That includes the following Magnificent 7 stocks, which investors may want to consider buying today.
Don't Miss the Boom: 3 Cloud Computing Stocks Set to Explode Higher
In the bustling realm of technology, cloud computing shines brilliantly. So, Astute investors are actively scouting cloud computing stocks to buy, fueled by some enticing forecasts.
Report: Microsoft Working to Build Cheaper AI Software
Microsoft is reportedly working on developing artificial intelligence (AI) at a lower cost while maintaining the same quality as the models of OpenAI, a company with which it has partnered and in which it has invested. The company aims to reduce costs associated with integrating OpenAI's technology by creating their own AI software, Seeking Alpha reported Tuesday (Sept.
Don't Miss the Boom: 3 Growth Stocks Set to Explode Higher
Growth stocks aren't going anywhere. While markets might be trending lower, the major growth stocks that have outperformed in recent years continue to move fast.
Microsoft: 5 Reasons Why The Stock Is A Strong Buy
Microsoft Corporation's strong financial performance, diversified revenue streams, and impressive results could attract more investors, and push the stock price higher. The dominance of Microsoft Azure in the cloud computing market as well as early-mover advantage in AI could be a significant driver of stock price growth. Microsoft's strategic acquisitions, investments in innovative technologies, and consistent dividend payout and buyback program could contribute to stock price appreciation.
OpenAI Could Reach Massive $90 Billion Valuation With New Share Sales, Report Says
The intended valuation for the company is about three times what it was earlier this year.
OpenAI share sale could value AI startup at up to $90 billion: WSJ
Open AI, the company that kicked off artificial-intelligence frenzy this year with its generative AI ChatGPT, is considering a sale of existing shares that would value the startup at up to $90 billion, the Wall Street Journal reported Tuesday, citing unnamed sources close to the plans. Microsoft Corp. MSFT, -2.20%, which has invested billions of dollars in OpenAI, owns a 49% stake in the company, and the deal would allow employees to sell existing shares, according to the Journal.
Videogame stocks mostly hold steady as actors strike threatens to spread to game publishers
Videogame stocks performed slightly better than the broader market Tuesday after striking actors voted late Monday to expand their strike to work on videogames, which constitutes an even larger market than movies or television.
4 Stocks With Recent Dividend Hikes Amid a Choppy Market
Keurig Dr Pepper Inc. (KDP), PNM Resources, Inc. (PNM), Texas Instruments Incorporated (TXN) and Microsoft Corporation (MSFT) hike dividends.
Microsoft is planning to use nuclear energy to power its AI data centers, according to a job posting
Microsoft is hiring a project manager for nuclear technology as it looks to power its AI data centres with nuclear energy. The tech giant has invested heavily in AI, striking a $10 billion deal with OpenAI
Microsoft crypto plans: leaked documents reveal plans for an Xbox crypto wallet
(Kitco News) - Leaked documents show that Microsoft has plans to integrate a cryptocurrency wallet into the next generation of the Xbox gaming console.
Microsoft stock just got rid of its last sell rating
Microsoft Corp (NASDAQ: MSFT) is in the red at writing even after a Guggenheim analyst raised his rating on the tech behemoth on Monday.
MSFT Stock Outlook: A Blizzard of Profits Is Coming
What will happen after Microsoft (NASDAQ: MSFT ) inevitably gets full approval to purchase a famous video game manufacturer? I fully expect MSFT stock to make a big move soon.
Microsoft's (MSFT) Activision Deal Moves Closer to UK Approval
Microsoft's (MSFT) $69-billion deal to buy Activision Blizzard is set to be cleared after the U.K.'s competition regulator said that a revised deal addressed its concerns provisionally.
MSFT Stock Today: This Bearish Call Spread Play In Microsoft Stock Puts $90 In Your Pocket Right Now
One could set a stop loss if the spread value rises from $0.90 to $1.80, or if MSFT crosses back above 330.
Microsoft's stock slips, setting up worst losing streak in more than a year
Microsoft Corp.'s MSFT, -0.46% stock was on track for its worst losing streak in more than a year on Monday. Microsoft shares dipped as much as 0.6% Monday, threatening a seventh session of consecutive declines, for its worst losing streak since Sept.
Microsoft is hiring a nuclear energy expert to help power its AI and cloud data centers
Microsoft is looking to hire a nuclear energy expert to help coordinate powering its AI datacenters with small nuclear reactors.
Microsoft Could Be Making a Big Change and AI Investors Aren't Going To Like It
There's chatter online about Microsoft cutting its orders for Nvidia's H100 AI chips. The news comes as ChatGPT traffic dipped this summer, a possible warning sign for AI demand.
ChatGPT can now 'speak,' listen and process images, OpenAI says
OpenAI's ChatGPT can now "see, hear and speak," or, at least, understand spoken words, respond with a synthetic voice, and process images, the company said.
Options Traders Excited About Blue-Chip Tech Stock
Big Tech stock  Microsoft Corp (NASDAQ:MSFT) once again landed on Schaeffer's Senior Quantitative Analyst Rocky White's list of stocks with the highest weekly options volume in the last two weeks.
Snap partners with Microsoft on ads in its ‘My AI' chatbot feature
Snapchat has a new advertising partner in Microsoft for the ads it's inserting into its AI product, My AI, an AI chatbot introduced earlier this year to the wider Snapchat user base.
AI land grabbing begins as Microsoft, Google and Amazon up stakes
It's closing in on a year since AI was catapulted into the mainstream through the launch of OpenAI's ChatGPT, with investors witnessing first-hand the financial gains that can be made through building a stake in some of these trailblazing businesses. For retail investors, cashing in on the success of chatbots, machine learning and all things AI is nearly impossible.
Microsoft Corporation (MSFT) is Attracting Investor Attention: Here is What You Should Know
Microsoft (MSFT) has been one of the stocks most watched by Zacks.com users lately. So, it is worth exploring what lies ahead for the stock.
September's 7 Most Controversial AI Stocks: Buy or Bail?
AI stocks are controversial for multiple reasons. One of the most obvious factors is that AI poses a threat in many ways.
Microsoft Gets an Upgrade as AI Narrative 'Too Strong' to Ignore. Why It's Still Not a Buy.
Guggenheim analyst John DiFucci upgraded shares of Microsoft to Neutral from Sell.
S&amp;P 500 is up 13% in 2023; Which stocks are growth drivers?
After weathering a tumultuous 2022 marred by record-high inflation and a hawkish stance from Federal Reserve policymakers, the US stock market has undergone a remarkable turnaround in 2023.
Here's how much a $10k investment in Microsoft stock in 2010 is now worth
In the ever-evolving landscape of technology, 2023 has proven to be a remarkable year for Microsoft Corporation (NASDAQ: MSFT). The company's stock has surged, mirroring the soaring success of its counterparts, Amazon (NASDAQ: AMZN) and Nvidia (NASDAQ: NVDA), in the ongoing artificial intelligence (AI) boom.
Microsoft: Not Priced For AI Ambitions
Microsoft's stock has fallen from all-time highs, making it more appealing for investors. The company has big AI ambitions, but it may take time for the financial benefits to materialize. Analysts see the potential for $100 billion in AI revenue by FY27.
Got $3,000? These 3 Stocks Could Double Your Money by 2030.
Apple has built up immense brand loyalty with consumers. Microsoft could be ideally positioned to profit the most from the future of AI.
2 Hypergrowth Stocks to Buy in 2023 and Beyond
Artificial intelligence is opening up long-term opportunities for Nvidia and Microsoft. Nvidia's chips are in high demand for AI processing.
2 Top Software Stocks to Buy for the Long Haul
Microsoft is highly profitable and just raised its dividend. Shopify is racing back towards positive annual earnings after exiting the logistics business.
Thailand expects Tesla, Google, Microsoft to invest $5 billion, prime minister says
Thailand's Prime Minister Srettha Thavisin said on Sunday the country expected to receive investment of at least $5 billion from Tesla , Google and Microsoft.</t>
  </si>
  <si>
    <t>Microsoft</t>
  </si>
  <si>
    <t>Systems Software</t>
  </si>
  <si>
    <t xml:space="preserve">
    Market Cap (intraday) 2.35T
         Enterprise Value 2.29T
             Trailing P/E 32.62
              Forward P/E 28.65
PEG Ratio (5 yr expected)  2.33
        Price/Sales (ttm) 11.13
         Price/Book (mrq) 11.38
 Enterprise Value/Revenue 10.83
  Enterprise Value/EBITDA 21.82</t>
  </si>
  <si>
    <t>Morgan Stanley Bank, N.A. Receives Outstanding Rating for Community Reinvestment Initiatives
NEW YORK--(BUSINESS WIRE)--Morgan Stanley Bank, N.A. (MSBNA), a national bank subsidiary of Morgan Stanley (NYSE: MS), has been recognized with the highest rating from the Office of the Comptroller of the Currency (OCC) for its work meeting the credit needs of the communities it serves. The Bank received a rating of “Outstanding” for the Bank's community reinvestment activities. Both of the Firm's national bank subsidiaries have achieved consistent “Outstanding” ratings based on the OCC's revie.
My Top 10 High Yield Dividend Stocks For October 2023
The market slide continues in September with the SPDR S&amp;P 500 Trust ETF dropping by 4.74%. The top 10 stocks on the watchlist for October 2023 offer a 4.33% dividend yield, more than double the S&amp;P 500. My top 10 list of high dividend yield stocks has generated an annualized rate of return of 10.29% since its inception in November 2020.
Preferreds Weekly Review: Morgan Stanley Is Keeping Its Fixed-For-Life Preferreds
We take a look at the action in preferreds and baby bonds through the fourth week of September and highlight some of the key themes we are watching. Preferreds finished lower, under pressure from the higher-for-longer Fed message. Morgan Stanley is keeping its fixed-for-life 7.125% Series E outstanding which now looks attractive.
Here are the 12 stocks Jim Cramer is watching, including a dire consumer forecast
Here are some of the tickers on my radar for Thursday, Sept. 28, taken directly from my reporter's notebook.
Before You Buy Charles Schwab: Here's a Brokerage Stock I'd Buy First
Charles Schwab stock is down 34% over the past year due to a declining deposit base. Morgan Stanley diversified its business and its deposits remained stable during the Fed's rate-hiking campaign.
U.S. SEC nearing settlement with Wall Street firms over WhatsApp probe -sources
The U.S. Securities and Exchange Commission (SEC) is finalizing settlements with around two dozen Wall Street firms to resolve investigations into record-keeping lapses, said two people with knowledge of the matter.
5 Reasons to Invest in Morgan Stanley (MS) Stock Right Now
Supported by strong fundamentals and decent growth prospects, the Morgan Stanley (MS) stock looks like a promising pick now.
These 2 Finance Stocks Could Beat Earnings: Why They Should Be on Your Radar
Finding stocks expected to beat quarterly earnings estimates becomes an easier task with our Zacks Earnings ESP.
2 Bank Stocks Dragged by Rate Hike Fears
JPMorgan Chase (JPM) CEO Jamie Dimon's warning that the Federal Reserve may not be done hiking interest rates is dragging the bank sector lower this afternoon.
3 Stocks That Really, Really Need the Defense Bill to Pass
Will the government shut down? Despite the hot rhetoric, it doesn't seem possible.</t>
  </si>
  <si>
    <t>Morgan Stanley</t>
  </si>
  <si>
    <t>Investment Banking &amp; Brokerage</t>
  </si>
  <si>
    <t xml:space="preserve">
    Market Cap (intraday) 135.32B
         Enterprise Value     NaN
             Trailing P/E   14.35
              Forward P/E   11.16
PEG Ratio (5 yr expected)    2.48
        Price/Sales (ttm)    2.72
         Price/Book (mrq)    1.48
 Enterprise Value/Revenue     NaN
  Enterprise Value/EBITDA     NaN</t>
  </si>
  <si>
    <t>Why Investors Need to Take Advantage of These 2 Oils and Energy Stocks Now
Investors looking for ways to find stocks that are set to beat quarterly earnings estimates should check out the Zacks Earnings ESP.
MRO vs. ETRN: Which Stock Should Value Investors Buy Now?
Investors with an interest in Oil and Gas - Integrated - United States stocks have likely encountered both Marathon Oil (MRO) and Equitrans Midstream (ETRN). But which of these two stocks is more attractive to value investors?
Pick These 4 Low P/CF Stocks to Uplift Your Portfolio
Value investing is essentially about selecting stocks that are usually cheap but fundamentally sound. Select Medical (SEM), EnerSys (ENS), Marathon Oil (MRO) and Adtalem Global (ATGE) boast a low P/CF ratio.
3 Oil Stocks to Buy Before It's Too Late
Devon Energy's dividend is about to get a lot more exciting, as it goes from being cut to being raised again. Marathon Oil is buying back an incredible amount of stock.</t>
  </si>
  <si>
    <t>Marathon Oil</t>
  </si>
  <si>
    <t>Oil &amp; Gas Exploration &amp; Production</t>
  </si>
  <si>
    <t xml:space="preserve">
    Market Cap (intraday) 16.20B
         Enterprise Value 21.84B
             Trailing P/E   8.28
              Forward P/E   7.58
PEG Ratio (5 yr expected)   1.72
        Price/Sales (ttm)   2.57
         Price/Book (mrq)   1.44
 Enterprise Value/Revenue   2.97
  Enterprise Value/EBITDA   3.94</t>
  </si>
  <si>
    <t>The 7 Top Stocks to Buy for a Q4 Rebound
September lived up to its billing as the worst month of the year. Pulled lowered by the threat of higher interest rates, a looming government shutdown, and rising energy prices, U.S. indices ended September in the red.
Apple and 4 More Quality Stocks to Buy After the Stock Market Selloff
High-quality names Apple, Amazon, Starbucks, Netflix, and JPMorgan are all in the discount bin after a brutal September. Here's why it's time to buy.
3 Cash-Cow Stocks That Can Thrive With Higher Interest Rates
Netflix has transitioned from a cash-burning to a cash-earning model, supported by ad-supported plans and a crackdown on password-sharing practices. Marqeta holds nearly half its market cap in cash, showcasing a strong financial footing ready to withstand higher interest rates.
Nasdaq Sell-Off: My Top 3 Beaten-Down Growth Stocks to Buy Now
Netflix is no longer just a growth story. Enphase the business is doing far better than Enphase the stock.
Netflix officially terminates DVD rental service with final mailings: ‘End of an era'
Netflix ends DVD rental service with final shipments on Sept. 29.
Don't Miss the Boom: 7 Blue-Chip Stocks Set to Explode Higher
Looking for the best blue-chip stocks to buy might seem boring, especially compared to stocks that make big moves. In fortifying your investment portfolio, dipping your toes into the volatile waters of penny and small-cap stocks can be incredibly tempting.
2 Stocks That Turned $10,000 Into $1.5 million (or More)
Netflix spearheaded the streaming revolution and delivered huge wins for shareholders. Nvidia's leadership in GPUs paved the way for massive sales and earnings growth.
Netflix Sued Over Axing Of ‘Rebel Moon' Video Game Contract
Netflix has been hit with a lawsuit for axing a game development contract based on Zack Snyder's widely anticipated Rebel Moon franchise In a filing today in federal court, Evil Genius Games claims it was working hand-in-hand with the streamer to put together a tabletop role-playing game that was intended to be released in conjunction
Netflix shutters its DVD rental business, marking the end of the red envelope era
Netflix will send out its last red envelope on Friday, marking an end to 25 years of mailing DVDs to members.
Netflix sued by tabletop game maker over 'Rebel Moon' tie-in
A publisher of licensed movie-themed tabletop games sued Netflix in California federal court on Thursday, accusing it of breaching a contract for a game tied to the streaming giant's forthcoming science-fiction movie "Rebel Moon".
Netflix's DVD-by-mail service bows out as its red-and-white envelopes make their final trip
The curtain is finally coming down on Netflix's once-iconic DVD-by-mail service, a quarter century after two Silicon Valley entrepreneurs came up with a concept that obliterated Blockbuster video stores while providing a springboard into video streaming that has transformed entertainment.
Here are the 12 stocks Jim Cramer is watching, including a dire consumer forecast
Here are some of the tickers on my radar for Thursday, Sept. 28, taken directly from my reporter's notebook.
Don't Miss the Boom: 3 Machine Learning Stocks Set to Explode Higher
The United States has been facing a confluence of threats that risk more turbulence. Currently, there are several potential challenges to contend with, including the prospect of extended autoworkers, strikes, the possibility of a prolonged government shutdown, the restart of student loan payments and the escalation of oil prices.
Don't Miss the Boom: 7 Large-Cap Stocks Set to Explode Higher
Wall Street has been very upset about the results of the Federal Reserve meeting earlier this month. However, there are still many reasons to be optimistic about U.S. stocks — especially safer large-cap stocks — going forward.
What's Really The Most-Watched Netflix Show? Hollywood Writer's Deal Could Bring Streaming Data To Light
For the first time, steamers will have to report viewership numbers to Writers Guild of America members in a move that could bring transparency to programs that have long been shrouded in secrecy.
Netflix (NFLX) Expands Gaming Portfolio With Four New Games
Netflix (NFLX) is keeping users engaged with the launch of four new games including Netflix Stories: Love is Blind, Storyteller, Ghost Detective and Vikings Valhalla.
Media Stocks Rise as Hollywood Writers' Strike Ends
Shares of major media companies rose Wednesday morning after the Writers Guild of America (WGA) ended a five-month writers strike after finalizing a contract with studios.
What Stocks To Buy Today? 2 Consumer Discretionary Stocks To Watch
Consumer discretionary stocks to watch in the stock market now.
AI predicts Netflix stock price for October 31
In a sharp U-turn, Netflix (NASDAQ: NFLX) has seen a remarkable resurgence in the stock market during 2023, bouncing back from the slump it experienced in 2022 due to a decline in subscriber numbers.
Netflix (NFLX) Strengthens APAC Footprint With New Initiatives
Netflix (NFLX) is benefiting from an expanding portfolio in the Asia Pacific region, which is driving subscriber base expansion.
Here is What to Know Beyond Why Netflix, Inc. (NFLX) is a Trending Stock
Zacks.com users have recently been watching Netflix (NFLX) quite a bit. Thus, it is worth knowing the facts that could determine the stock's prospects.
Ticking Time Bombs: 7 S&amp;P 500 Stocks to Dump Before the Damage Is Done
It's been a tough month for S&amp;P 500 stocks. September slumps are common, and this month is historically the worst for the index.
4 Entertainment Stocks Gurus Are Tuning Into as Writers Strike Agreement Reached
After nearly 150 days, the Hollywood writers strike appears to be coming to an end.
Hollywood prepares for partial return to work after writers' deal
Producers of television talk shows were making plans on Monday to return to the air for the first time in five months after Hollywood writers reached a tentative deal to end a work stoppage that had shut down production.
Netflix Loses Broadcom Patent Lawsuit In Germany
A German court ruled that Netflix (NFLX) is infringing on a Broadcom (AVGO) patent and ordered the company to stop streaming video in the country using Broadcom's technology.
These 20 growth stocks are worth considering on a pullback, says Citi
Citi has released a list of 20 large-cap growth stocks that it says present opportunities in the event of a pullback.
Big Media Stocks Backtrack In Jittery Market; Theater Chains Soar On Tentative WGA Deal
Big media shares, which rose in pre-market trading Monday, opened lower at the bell and are still trending down midday after the Writers Guild reached a tentative deal with studios to end their prolonged strike.
Netflix to mail final red envelope this week, ending DVD subscription biz
Netflix will mail its last DVDs this week in the company's signature red envelopes — finally putting an end to the original business that jumpstarted the streaming behemoth 25 years ago.
Netflix (NFLX) Expands Portfolio With New Italian Content
Netflix (NFLX) expands its footprint in Italy with four new productions.
Netflix loses to Broadcom in video patent case
A German court has ruled that Netflix Inc (NASDAQ:NFLX) has infringed a patent held by Broadcom Corporation (NASDAQ:AVGO), related to high-quality video streaming. Netflix was told by the German court to cease and desist its use of Broadcom patented technologies.
Media Stocks Fluctuate After Writers Guild Reaches Tentative Deal With Studios
Shares of media companies jumped in pre-market trading on Monday before giving back those gains, after Hollywood writers reached a tentative agreement with major studios over the weekend.
Netflix ordered to ‘cease and desist' infringing on Broadcom patent in Germany
A court in Germany has ruled that Netflix Inc. has been infringing on a Broadcom Inc. patent related to video coding, Broadcom Inc. said on Monday.
Amazon Buys Into AI, Writers Strike, $100 Oil
If you can not be first on board, at least catch the train before it leaves the station.
Paramount Global and Netflix stock boosted by possible end to writer's strike as Nike shares slip on downgrade
Paramount Global PARA stock rose 3% and Netflix shares NFLX rose 1%, as the Writers Guild of America said a tentative deal has been reached to end the screenwriters strike after nearly five months.
Disney, Netflix, Other Stocks Rise With End in Sight for Hollywood Writers Strike
A tentative agreement has been reached to cease the labor action that has shut down production of TV shows and movies.
Tentative deal reached to end Hollywood writers strike, union says
LOS ANGELES — Union leaders and Hollywood studios reached a tentative agreement Sunday to end a historic screenwriters strike after nearly five months, though no deal is yet in the works for striking actors.
Striking Hollywood writers reach tentative deal with studios
Hollywood writers reached a tentative labor agreement with major studios on Sunday, the Writers Guild of America said, a deal expected to end one of two strikes that have halted most film and television production and cost the California economy billions.
You Don't Have to Pick a Winner in Streaming Services. Here's Why.
It's hard to understate Netflix's dominance of the streaming landscape, something its profitability demonstrates. Thanks to its valuable intellectual property, Walt Disney has quickly become a major player in streaming too.
3 Incredible Growth Stocks That Could Climb 22% or More, According to Wall Street
Revolve could be a rewarding investment ahead of a recovery in the apparel industry. Paid sharing and advertising should support accelerated growth at Netflix Ulta's operating margin is pressured right now, but it has remained well above pre-pandemic levels.</t>
  </si>
  <si>
    <t>Netflix</t>
  </si>
  <si>
    <t>Movies &amp; Entertainment</t>
  </si>
  <si>
    <t xml:space="preserve">
    Market Cap (intraday) 167.33B
         Enterprise Value 175.75B
             Trailing P/E   40.17
              Forward P/E   24.75
PEG Ratio (5 yr expected)    1.39
        Price/Sales (ttm)    5.31
         Price/Book (mrq)    7.33
 Enterprise Value/Revenue    5.47
  Enterprise Value/EBITDA    8.63</t>
  </si>
  <si>
    <t>Raymond James: Fortified Its Balance Sheet Amid Market Turbulence For Sustained Growth
Regional banks, including Raymond James, have been negatively impacted by concerns over HTM securities and commercial real estate loans. Raymond James has shown shrewd balance sheet management and is well-positioned to excel in a downturn. The stock offers excellent return on equity metrics and is undervalued compared to its larger rival, Charles Schwab.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t>
  </si>
  <si>
    <t>Raymond James</t>
  </si>
  <si>
    <t xml:space="preserve">
    Market Cap (intraday) 20.97B
         Enterprise Value    NaN
             Trailing P/E  12.65
              Forward P/E  10.36
PEG Ratio (5 yr expected)   1.07
        Price/Sales (ttm)   1.95
         Price/Book (mrq)   2.13
 Enterprise Value/Revenue    NaN
  Enterprise Value/EBITDA    NaN</t>
  </si>
  <si>
    <t>Stock Split Watch: Is Regeneron Pharmaceuticals Next?
Regeneron's share price has climbed by more than 100% over five years and is trading near its record high. The company sells a variety of products across indications and has a solid pipeline that could drive future growth.
Odronextamab BLA for Treatment of Relapsed/Refractory Follicular Lymphoma (FL) and Diffuse Large B-cell Lymphoma (DLBCL) Accepted for FDA Priority Review
If approved, odronextamab would be the first and only bispecific antibody approved in both FL and DLBCL – the two most common subtypes of non-Hodgkin lymphoma
Regeneron to Report Third Quarter 2023 Financial and Operating Results and Host Conference Call and Webcast on November 2, 2023
TARRYTOWN, N.Y., Sept. 28, 2023 (GLOBE NEWSWIRE) -- Regeneron Pharmaceuticals, Inc. (NASDAQ: REGN) today announced that it will report its third quarter 2023 financial and operating results on Thursday, November 2, 2023, before the U.S. financial markets open. The Company will host a conference call and simultaneous webcast at 8:30 AM Eastern Time that day.
Dupixent® (dupilumab) sBLA for Treatment of Eosinophilic Esophagitis (EoE) in Children Aged 1 to 11 Accepted for FDA Priority Review
If approved, Dupixent would be the first and only treatment in the U.S. indicated for children aged 1 to 11 with EoE, a disease driven by type 2 inflammation that impacts the ability to eat
Regeneron Completes Acquisition of Decibel Therapeutics, Adding Promising Gene Therapy Programs for Hearing Loss
TARRYTOWN, N.Y., Sept. 25, 2023 (GLOBE NEWSWIRE) -- Regeneron Pharmaceuticals, Inc. (NASDAQ: REGN) today announced that it has successfully completed its acquisition of Decibel Therapeutics, Inc., strengthening the company's gene therapy and auditory programs.
Are Gene Therapy Stocks The Market's Next Big Winners?
It's not often that you see a company whose main product comes with a price tag of over $2 million, but that's the case with biotechs BioMarin Pharmaceutical NASDAQ: BMRN and Sarepta Therapeutics NASDAQ: SRPT, which are developing gene therapies. ‘</t>
  </si>
  <si>
    <t>Regeneron</t>
  </si>
  <si>
    <t xml:space="preserve">
    Market Cap (intraday) 89.34B
         Enterprise Value 83.11B
             Trailing P/E  21.75
              Forward P/E  18.76
PEG Ratio (5 yr expected)   1.79
        Price/Sales (ttm)   7.38
         Price/Book (mrq)   3.72
 Enterprise Value/Revenue   6.72
  Enterprise Value/EBITDA  16.34</t>
  </si>
  <si>
    <t>Got $1,000? 2 No-Brainer Stocks to Buy
Vertex Pharmaceuticals' strategy of developing therapies for unmet needs is paying off big time. Visa's dominance in its niche of the financial services industry could help it deliver outsized returns.
3 Magnificent Stocks That Are Screaming Buys in October
Bank of America is a bargain thanks to the fallout from the banking crisis this year. PayPal Holdings is much stronger than its stock performance indicates.
2 Brilliant Growth Stocks to Invest $2,000 in Right Now
The rare-disease drug industry and the lending industry both serve huge addressable markets. Vertex has built a profitable business on the back of its cystic fibrosis drug franchise, and it's still early days.
5 Top Stocks for October
These five stocks could hardly be more different, but they have one important thing in common: All look like great buys in October 2023. From retail to biotech, these stocks showcase their resilience and strategic adaptability amid unpredictable market fluctuations.
Moonshot Medicine: 3 Stocks to Buy to Bet on Long-Shot Drugs
Clinical trials are a difficult and grueling process for companies. The FDA and other regulatory agencies require the highest possible standards in order to approve new drugs.
The Best Stocks to Invest $5,000 in Right Now
Amazon's outlook continues to look better and better. Enterprise Products Partners offers a fantastic distribution and has a resilient underlying business.
Is It Worth Investing in Vertex (VRTX) Based on Wall Street's Bullish Views?
Investors often turn to recommendations made by Wall Street analysts before making a Buy, Sell, or Hold decision about a stock. While media reports about rating changes by these brokerage-firm employed (or sell-side) analysts often affect a stock's price, do they really matter?
Don't Miss the Boom: 3 Biotech Stocks Set to Explode Higher
In the dynamic investment realm, one sector that continues to stand out is the area of biotech stocks. Though risky, especially when assessing established firms with market-ready drugs and vast research and development (R&amp;D), the rewards can be significant.
Buying These 2 Remarkable Growth Stocks in Any Market Could Be a Genius Move
Regardless of what happens with the economy, people continue to spend money on pets and healthcare. Chewy is building a powerhouse business on the back of recurring revenue streams and diversification.
3 Magnificent Growth Stocks to Buy Right Now
Some might overlook AstraZeneca, but the stock has strong growth prospects. Eli Lilly continues to fire on all cylinders, with especially big opportunities for Mounjaro.</t>
  </si>
  <si>
    <t>Vertex Pharmaceuticals</t>
  </si>
  <si>
    <t xml:space="preserve">
    Market Cap (intraday) 89.75B
         Enterprise Value 79.28B
             Trailing P/E  26.87
              Forward P/E  22.12
PEG Ratio (5 yr expected)   0.50
        Price/Sales (ttm)   9.52
         Price/Book (mrq)   5.80
 Enterprise Value/Revenue   8.34
  Enterprise Value/EBITDA  17.58</t>
  </si>
  <si>
    <t>Will Chevron (CVX) Beat Estimates Again in Its Next Earnings Report?
Chevron (CVX) has an impressive earnings surprise history and currently possesses the right combination of the two key ingredients for a likely beat in its next quarterly report.
Ride the Waves of Wealth With This Oil Tanker 17% Yield
Oil tankers as a group sailed to a strong rally during the two years between November 2020 and November 2022. Stocks in the industry corrected throughout much of this year, but are close to breaking out of a shallow decline.
Advisory: Chevron Corporation's 3Q 2023 Earnings Conference Call and Webcast
SAN RAMON, Calif.--(BUSINESS WIRE)--Chevron Corporation (NYSE: CVX), one of the world's leading energy companies, will hold its quarterly earnings conference call on Friday, October 27, 2023, at 11:00 a.m. ET (8:00 a.m. PT). Conference Call Information: Date: Friday, October 27, 2023 Time: 11:00 a.m. ET / 8:00 a.m. PT Dial-in # (Listen-only mode): 888-240-9352 Conference ID #: 9665445 Speakers: Mike Wirth – Chairman of the Board and Chief Executive Officer Pierre Breber – Vice President and Chi.
7 Energy Stocks Set to Explode Higher
Energy stocks are heating up and it's time to consider which ones are the best to buy. It was only a matter of time before the price of oil surged above $90 a barrel.
Ticking Time Bombs: 3 Warren Buffett Stocks to Dump Before the Damage Is Done
In every sport in the world there is always a great exemplary sportsman, someone that everyone admires and wants to follow in his footsteps, in our world of financial markets, that great exemplar and teacher for everyone is the great Warren Buffett, better known as the Oracle of Omaha. Following in his footsteps, studying his investment portfolio and continuously analyzing his movements, can help us make good investment choices, but it can also help us prevent substantial losses.
Will the Energy Sector Continue to Outshine the Market?
The market has been swept by a sea of red month-do-date (MTD), with the overall market, the SPDR S&amp;P 500 ETF NYSE: SPY down over 3% MTD. Apart from one sector, most sectors and industries have suffered the same outcome.
Better Buy: Chevron vs. Pioneer Natural Resources
Chevron is an integrated energy giant with a globally diversified portfolio. Pioneer Natural Resources is an upstream energy producer with a U.S. footprint.
Cyprus, Chevron-led group extend talks over gas plan - minister
Cyprus and international energy companies led by Chevron have agreed to extend talks on how to develop its Aphrodite offshore gas field amid progress in negotiations, its energy minister said on Friday.
These 7 Dividend Stocks Pay $98 Billion Annually, Combined, to Their Shareholders
Over the long run, dividend stocks have run circles around public companies that don't offer a payout. These seven income juggernauts are parsing out some of the largest nominal-dollar dividends in the world.
83% of Warren Buffett's $347 Billion Portfolio Is Invested in Only 8 Stocks
The Oracle of Omaha has effectively doubled-up the annualized total return of the benchmark S&amp;P 500 since the mid-1960s. Portfolio concentration has played a key role in Warren Buffett's sizable outperformance.
How Chevron CEO Mike Wirth Is Riding Oil's Big Comeback
Chevron stock has performed well since Wirth took the reins in 2018, outperforming most of its peers. He's won the endorsement of Warren Buffett.
Playing Defense With Low-Debt Dividend Growers
The article discusses miserly managers of money. Large cap-picks with ultra low debt-to-equity ratios and nice sized, well covered, growing dividends. These companies also have ample interest expense coverage, an essential when the forward cost of capital is ever-increasing. Insurance, oil &amp; gas seem to be the best operators at the moment with the least need for debt in their capital stacks.
Don't Miss the Boom: 7 Dow Stocks Set to Explode Higher
The top Dow stocks serve as a bellwether for the health of the U.S. economy. This year, the Dow has trailed the other two major U.S. indices with a 1% gain.
My Top Red-Hot Oil Major Stock to Buy Like There's No Tomorrow
Chevron is a play on high oil prices, but not a reckless one. Its refining business is often overlooked, but is a key contributor to earnings.
Got $1,000? 5 Buffett Stocks to Buy and Hold Forever
Apple has been trying to become less reliant on the iPhone and more reliant on services. American Express benefits from issuing its own credit cards and processing credit card transactions.
Untapped Potential: 3 Undervalued Oil Stocks to Grab While You Can
The 2022 bear market saw oil stocks shining due to rising oil prices spurred by inflation and geopolitical events. However, 2023 has seen oil prices halve from their 2022 highs, impacting oil stocks negatively.
Here are the 18 stocks Jim Cramer is watching, including names in EVs, beauty and oil
Here are some of the tickers on my radar for Wednesday, Sept. 27, taken directly from my reporter's notebook.
These Oil Majors May Be Ready For A Promotion As Crude Prices Keep Rising
ExxonMobil and other oil majors are near buy zones as crude oil prices march higher.
Ticking Time Bombs: 3 Energy Stocks to Dump Before the Damage Is Done
The energy market in 2023 is facing a paradoxical situation. On one hand, oil and gas prices have largely rebounded from their historic lows in 2020 and 2021, thanks to geopolitics around the Russian-Ukrainian war and the supply constraints imposed by OPEC and its allies.
Chevron: Take Some Profit With Warren Buffett (Rating Downgrade)
My bull thesis on Chevron Corporation started in early 2022 based on a few key catalysts. Now, I see all catalysts have run their course under current conditions. To wit, its profitability has peaked, the supply-demand imbalance has found a new equilibrium point, and its valuation offers little margin of safety.
Chevron (CVX) to Boost Venezuela Oil Production by 2024
Chevron (CVX) plans to boost oil production in Venezuela by 65,000 bpd within 2024, signaling positive impacts on Venezuela and the oil market.
October Is Very Scary for the Stock Market: 7 ‘Strong Buy' Warren Buffett Dividend Stocks Are Very Safe Bets
Wall Street is all about statistics. One of the grim ones is the fact that the last 10 trading days of September are typically the worst of the year.
Blackcurrant Joins Chevron Technology Ventures Catalyst Program
CHICAGO--(BUSINESS WIRE)-- #ENERGY--Blackcurrant Inc., a marketplace to help accelerate low carbon fuel adoption by simplifying transactions and lowering costs, has been selected by Chevron Technology Ventures, LLC (CTV) as part of its Catalyst Program™. The Blackcurrant platform is designed to streamline purchasing of hydrogen (with other low carbon fuels to follow), by connecting buyers, suppliers, transportation, and storage companies in a single data driven, easy to use platform. Purchases transacted.
7 High-Yield Energy Stocks to Buy as Oil Prices Rise
Energy stocks are getting stronger as oil prices gush higher. Granted, 2023 didn't begin as strongly for the sector with prices cooling.
3 Sizzling Oil Stocks to Seize as Crude Nears the $100 Mark
Crude oil has gone through extreme volatility in the last three years. From 2020 historical lows, crude averaged $100.9 per barrel last year.
Is Trending Stock Chevron Corporation (CVX) a Buy Now?
Chevron (CVX) has been one of the stocks most watched by Zacks.com users lately. So, it is worth exploring what lies ahead for the stock.
4 Integrated Energy Stocks Set to Escape Industry Weakness
Recessionary concerns &amp; refining business uncertainties are spurring energy market volatility. This is making the outlook for the Zacks Oil and Gas Integrated International industry dull.
Oil Could Blow Through $100 by October: 7 ‘Strong Buy' Analyst Favorites That Pay Big Dividends
Since topping out at $120 a barrel back in the summer of 2022, the major oil benchmarks traded down every month until bottoming last December.
Chevron readies new oil drilling push in Venezuela to boost output
Chevron Corp plans to add 65,000 barrels per day (bpd) of Venezuelan oil output by the end of 2024 through its first major drilling campaign in the nation since Washington allowed it to restore production clipped by U.S. sanctions, three people familiar with the matter said.
Warren Buffett Has Put $150 Billion of Berkshire Hathaway's Cash to Work in These 4 Stocks
The Oracle of Omaha has run circles around the benchmark S&amp;P 500 for nearly six decades. Buffett has piled approximately $150 billion worth of his company's cash into four brand-name businesses (including one surprise).
Top Wall Street analysts are bullish on these dividend stocks
TipRanks' analyst ranking service pinpoints Wall Street's best-performing stocks, including Chevron and Broadcom.
3 Oil Stocks to Buy Before It's Too Late
Devon Energy's dividend is about to get a lot more exciting, as it goes from being cut to being raised again. Marathon Oil is buying back an incredible amount of stock.
Oil Won't Hit $300 But Chevron Is Still A Buy
Many writers predict that WTI crude oil will reach $300 per barrel. I disagree with this forecast because it does not take into account supply and demand dynamics in the oil and gas market. The "WTI to $300" call is based on a superficial "inflation adjustment" methodology that ignores market supply and demand. Still, Chevron can make a lot of money with $90 crude.</t>
  </si>
  <si>
    <t>Chevron Corporation</t>
  </si>
  <si>
    <t>Integrated Oil &amp; Gas</t>
  </si>
  <si>
    <t xml:space="preserve">
    Market Cap (intraday) 321.66B
         Enterprise Value 333.56B
             Trailing P/E   10.69
              Forward P/E   11.93
PEG Ratio (5 yr expected)     NaN
        Price/Sales (ttm)    1.50
         Price/Book (mrq)    2.03
 Enterprise Value/Revenue    1.56
  Enterprise Value/EBITDA    6.45</t>
  </si>
  <si>
    <t>3 Top Undervalued Stocks To Watch: October 2023
We are in what is historically considered the slow season of the investing world, but there are still opportunities for value-minded investors willing to turn over a rock or two. Here are three undervalued stocks to consider.
This REIT Myth MUST Be Debunked
The markets reacted negatively to the Federal Reserve's comments on interest rates, causing declines in major stock gauges. The belief that rising interest rates negatively impact REITs is a myth, as REITs offer growth potential and higher total returns compared to bonds. REITs like American Tower, VICI Properties, and Extra Space are attractive investment opportunities with strong fundamentals and potential for future growth.</t>
  </si>
  <si>
    <t>Extra Space Storage</t>
  </si>
  <si>
    <t>Self-Storage REITs</t>
  </si>
  <si>
    <t xml:space="preserve">
    Market Cap (intraday) 25.69B
         Enterprise Value 33.36B
             Trailing P/E  19.87
              Forward P/E  14.60
PEG Ratio (5 yr expected)   8.44
        Price/Sales (ttm)   8.58
         Price/Book (mrq)   7.89
 Enterprise Value/Revenue  16.51
  Enterprise Value/EBITDA  22.14</t>
  </si>
  <si>
    <t>Which Is A Better Pick – Western Digital Stock Or Expedia?
Given its better prospects, we believe Western Digital stock (NYSE: WDC) is a better pick than Expedia stock (NASDAQ: EXPE).
A Glimpse of Patient Capital's Samantha McLemore's Stock Recommendations
Patient Capital, a recently established independent asset management firm, was previously a part of Miller Value Partners. It upholds an investment philosophy and methodology initially conceived many years ago by the renowned guru investor Bill Miller during his tenure at Legg Mason.
Expedia's (EXPE) Latest Goals to Boost Sustainability Efforts
Expedia (EXPE) pledges to reach net-zero carbon emissions across its operations by 2040 and power its global operations with 100% renewable electricity by 2030.
Michael Burry's $1.6 billion bet against stock market is backfiring
In a dramatic return to the financial spotlight, legendary investor Michael Burry, famed for his eerily accurate prediction of the 2008 market crash, seized headlines once more in August.
Ticking Time Bombs: 3 Travel Stocks to Dump Before the Damage Is Done
Travel is once again booming in the United States. A whopping 90% of Americans traveled in the last three months, according to a recent survey.
Expedia: Strong Gross Booking Growth And Balance Sheet Metrics
Expedia Group has shown strong growth in gross bookings and a lower long-term debt to total assets ratio. Recent performance shows an increase in gross bookings and revenue, with growth in lodging gross bookings being particularly impressive. The company's ability to fund further growth without having to increase long-term debt positions it for continued success.
Expedia Stock Can Move To New Highs
Michael Burry, known for "The Big Short," purchased 100,000 shares of Expedia Group, drawing attention to the travel stock. Expedia has a robust financial position, with strong revenue and cash flow and a good valuation. Despite the impacts of the pandemic, Expedia has shown resilience, with revenue and earnings fully recovering, setting the stage for future growth.
2 Michael Burry stocks to hold forever
Michael Burry, the famed US investor, first shot to prominence for his uncanny ability to predict the 2008 subprime lending crisis. His audacious move to short the US mortgage market at the time earned him both fortune and fame.</t>
  </si>
  <si>
    <t>Expedia Group</t>
  </si>
  <si>
    <t>Hotels, Resorts &amp; Cruise Lines</t>
  </si>
  <si>
    <t xml:space="preserve">
    Market Cap (intraday) 14.78B
         Enterprise Value 15.02B
             Trailing P/E  18.15
              Forward P/E   8.73
PEG Ratio (5 yr expected)   0.53
        Price/Sales (ttm)   1.35
         Price/Book (mrq)   8.40
 Enterprise Value/Revenue   1.23
  Enterprise Value/EBITDA   6.50</t>
  </si>
  <si>
    <t>Here's Why You Should Stay Invested in Nasdaq (NDAQ) Stock Now
Improving organic growth, focus on ramping up the on-trading revenue base, buyouts to capitalize on growing market opportunities and effective capital deployment poise Nasdaq (NDAQ) for growth.
DBOEY vs. NDAQ: Which Stock Should Value Investors Buy Now?
Investors with an interest in Securities and Exchanges stocks have likely encountered both Deutsche Boerse AG (DBOEY) and Nasdaq (NDAQ). But which of these two stocks offers value investors a better bang for their buck right now?
Nasdaq Announces Mid-Month Open Short Interest Positions in Nasdaq Stocks as of Settlement Date September 15, 2023
NEW YORK, Sept. 26, 2023 (GLOBE NEWSWIRE) -- At the end of the settlement date of September 15, 2023, short interest in 3,247 Nasdaq Global MarketSM securities totaled 10,586,849,412 shares compared with 10,277,162,921 shares in 3,267 Global Market issues reported for the prior settlement date of August 31, 2023. The mid-September short interest represents 3.23 days compared with 3.40 days for the prior reporting period.
Nasdaq to Hold Third Quarter 2023 Investor Conference Call
NEW YORK, Sept. 26, 2023 (GLOBE NEWSWIRE) -- Nasdaq (Nasdaq: NDAQ) has scheduled its Third Quarter 2023 financial results announcement.</t>
  </si>
  <si>
    <t>Nasdaq, Inc.</t>
  </si>
  <si>
    <t>Financial Exchanges &amp; Data</t>
  </si>
  <si>
    <t xml:space="preserve">
    Market Cap (intraday) 23.87B
         Enterprise Value 28.60B
             Trailing P/E  21.79
              Forward P/E  16.84
PEG Ratio (5 yr expected)   1.93
        Price/Sales (ttm)   3.94
         Price/Book (mrq)   3.83
 Enterprise Value/Revenue   4.68
  Enterprise Value/EBITDA  15.66</t>
  </si>
  <si>
    <t>7 Energy Stocks Set to Explode Higher
Energy stocks are heating up and it's time to consider which ones are the best to buy. It was only a matter of time before the price of oil surged above $90 a barrel.
Tap Into Energy Momentum With These 3 Stocks
The Zacks Oils and Energy sector has displayed notable relative strength over the last three months, adding +12% compared to the S&amp;P 500's modest gain. Rising energy prices have helped shift sentiment, with buyers stepping up after a rough first half.
ConocoPhillips: Payout Is Set To Rise Due To M&amp;A And Higher Oil Prices
ConocoPhillips shares have seen a strong run since July, driven by higher crude oil prices. The company's Q2 earnings were down due to lower realizations, but rising oil prices should support future earnings growth. ConocoPhillips has strong cash flow, made a shrewd acquisition, and favorable commodity prices, making it a good investment opportunity.
3 High-Yield Energy Stocks That Are Gushing Gobs of Free Cash Flow
ConocoPhillips is the safest way to play the oil and gas market. Despite the recent dividend cut, Devon Energy is still attractive for income-seeking investors.
ConocoPhillips: OPEC+ Supply Cuts Could Translate To Profit Upside
ConocoPhillips benefits from OPEC+ supply cuts, which could lead to higher earnings and free cash flow in the near term. COP is set to profit from the uptrend in petroleum prices. ConocoPhillips is trading at 12X forward earnings and has a significant stock buyback plan in place.</t>
  </si>
  <si>
    <t>ConocoPhillips</t>
  </si>
  <si>
    <t xml:space="preserve">
    Market Cap (intraday) 143.46B
         Enterprise Value 153.09B
             Trailing P/E   11.49
              Forward P/E   11.55
PEG Ratio (5 yr expected)    0.72
        Price/Sales (ttm)    2.22
         Price/Book (mrq)    3.02
 Enterprise Value/Revenue    2.29
  Enterprise Value/EBITDA    5.20</t>
  </si>
  <si>
    <t>Here's Why Cintas (CTAS) is a Strong Growth Stock
Whether you're a value, growth, or momentum investor, finding strong stocks becomes easier with the Zacks Style Scores, a top feature of the Zacks Premium research service.
Cintas to hold job fairs at new Menomonee Falls Cleanroom facility
MENOMONEE FALLS, Wis.--(BUSINESS WIRE)---- $CTAS--Hiring is ramping up ahead of the specialized facility's November grand opening.
Now Boarding: Winner of Cintas 2023 America's Best Restroom® Contest – BWI Thurgood Marshall Airport
CINCINNATI--(BUSINESS WIRE)--Ready™ to fly. Cintas Corporation (NASDAQ: CTAS), is proud to name the Baltimore/Washington International (BWI) Thurgood Marshall Airport the winner of the 2023 America's Best Restroom® contest. As this year's winner, the BWI Thurgood Marshall Airport will get to properly crown their restrooms with prizes from Cintas. This includes a Cintas UltraClean® restroom cleaning service and $2,500 in Cintas products and services for restroom cleaning or facility management t.
Here are the 18 stocks Jim Cramer is watching, including names in EVs, beauty and oil
Here are some of the tickers on my radar for Wednesday, Sept. 27, taken directly from my reporter's notebook.
Cintas: A Quality Buy and Hold Forever Stock at Any Price
If there is one thing true about Cintas NASDAQ: CTAS, the company delivers results. It has delivered results quarter after quarter, year after year, for more than 2 decades, and it will continue to do so.
Cintas Corporation (CTAS) Q1 2024 Earnings Call Transcript
Cintas Corporation (NASDAQ:CTAS ) Q1 2024 Earnings Conference Call September 26, 2023 10:00 AM ET Company Participants Jared Mattingley - VP, Treasurer, IR &amp; Corporate Controller Todd Schneider - CEO, President &amp; Director Michael Hansen - CFO &amp; EVP Conference Call Participants Faiza Alwy - Deutsche Bank Manav Patnaik - Barclays Bank Joshua Chan - UBS Shlomo Rosenbaum - Stifel, Nicolaus &amp; Company Kartik Mehta - Northcoast Research Partners Samuel Kusswurm - William Blair &amp; Company Stephanie Moore - Jefferies Seth Weber - Wells Fargo Securities George Tong - Goldman Sachs Group Andrew Steinerman - JPMorgan Chase &amp; Co. Justin Hauke - Robert W. Baird &amp; Co. Toni Kaplan - Morgan Stanley Scott Schneeberger - Oppenheimer Heather Balsky – Bank of America Merrill Lynch Operator Good day, everyone, and welcome to the Cintas Corporation Announces Fiscal 2024 First Quarter Earnings Release Conference Call.
Cintas (CTAS) Q1 Earnings &amp; Revenues Top Estimates, Increase Y/Y
Cintas' (CTAS) Q1 results benefit from higher revenues across all segments. The bottom line increases on a year-over-year basis despite higher costs.
Cintas (CTAS) Reports Q1 Earnings: What Key Metrics Have to Say
While the top- and bottom-line numbers for Cintas (CTAS) give a sense of how the business performed in the quarter ended August 2023, it could be worth looking at how some of its key metrics compare to Wall Street estimates and year-ago values.
Cintas 1Q earnings beat and raise fails to impress investors
Cintas (NASDAQ:CTAS) shares fell despite the provider of corporate identity uniforms and other business services reporting first quarter earnings that topped expectations and raising its full-year fiscal 2024 guidance. Revenue for 1Q rose 8.1% year-over-year from $2.17 billion to $2.34 billion, above the Street expectation of $2.32 billion.
Cintas (CTAS) Surpasses Q1 Earnings and Revenue Estimates
Cintas (CTAS) came out with quarterly earnings of $3.70 per share, beating the Zacks Consensus Estimate of $3.65 per share. This compares to earnings of $3.39 per share a year ago.
10 Dividend Growth Stocks For September 2023
In this monthly series, I rank a selection of dividend growth stocks in Dividend Radar and present the ten top-ranked stocks for consideration. To rank stocks, I do a quality assessment and sort stocks by quality scores, breaking ties with additional metrics. This month, I'm presenting stocks with A+ Dividend Quality Grades and strictly increasing dividends, earnings, and revenue over the past decade.
Uniform maker Cintas tops profit expectations, and nudges up full-year outlook
Uniforms and restroom supplies company Cintas Corp. CTAS, +0.15% reported Tuesday fiscal first-quarter profit that topped expectations and nudged up its full-year outlook, while revenue rose in line with forecasts. Shares of Cintas, which was valued at $51.8 billion as of Monday's close, were little changed ahead of the open.
Cintas Corporation Announces Fiscal 2024 First Quarter Results
CINCINNATI--(BUSINESS WIRE)--Cintas Corporation (Nasdaq: CTAS) today reported results for its fiscal 2024 first quarter ended August 31, 2023. Revenue for the first quarter of fiscal 2024 was $2.34 billion compared to $2.17 billion in last year's first quarter, an increase of 8.1%. The organic revenue growth rate for the first quarter of fiscal 2024, which adjusts for the impacts of acquisitions and foreign currency exchange rate fluctuations, was also 8.1%. Gross margin for the first quarter o.
Buy 5 Stocks With Upgraded Broker Ratings for Solid Profits
As brokers have a deeper insight into stocks, one must follow rating upgrades for solid returns. We pick Constellation Brands (STZ), Owens Corning (OC), Belden (BDC), Cintas (CTAS) and National Fuel Gas (NFG) as these witness rating upgrades.</t>
  </si>
  <si>
    <t>Cintas</t>
  </si>
  <si>
    <t>Diversified Support Services</t>
  </si>
  <si>
    <t xml:space="preserve">
    Market Cap (intraday) 49.03B
         Enterprise Value 51.60B
             Trailing P/E  36.17
              Forward P/E  33.56
PEG Ratio (5 yr expected)   3.24
        Price/Sales (ttm)   5.53
         Price/Book (mrq)  12.02
 Enterprise Value/Revenue   5.74
  Enterprise Value/EBITDA  22.62</t>
  </si>
  <si>
    <t>Why Investors Need to Take Advantage of These 2 Finance Stocks Now
Why investors should use the Zacks Earnings ESP tool to help find stocks that are poised to top quarterly earnings estimates.
You Gotta Pay The Landlord First
The housing market has remained resilient despite elevated interest rates, and rents have been rising steadily. Apartment REITs, such as AvalonBay Communities, AIR Communities, Camden Property Trust, and Essex Property Trust, are undervalued and present good investment opportunities. These REITs have strong balance sheets, liquidity, and growth prospects, making them attractive for investors.
AvalonBay Communities, Inc. Announces Third Quarter 2023 Earnings Release Date
ARLINGTON, Va.--(BUSINESS WIRE)--AVALONBAY COMMUNITIES, INC. (NYSE: AVB) will release its third quarter 2023 earnings on October 25, 2023 after the market close. The Company will hold a conference call on October 26, 2023 at 1:00 PM Eastern Time (ET) to discuss its third quarter 2023 results. Live Conference Call Details Domestic: (877) 407-9716 International: (201) 493-6779 Webcast: https://investors.avalonbay.com Details for the Replay of the Conference Call Domestic: (844) 512-2921 Internati.</t>
  </si>
  <si>
    <t>AvalonBay Communities</t>
  </si>
  <si>
    <t>Multi-Family Residential REITs</t>
  </si>
  <si>
    <t xml:space="preserve">
    Market Cap (intraday) 24.39B
         Enterprise Value 31.84B
             Trailing P/E  19.27
              Forward P/E  31.35
PEG Ratio (5 yr expected)   2.54
        Price/Sales (ttm)   8.94
         Price/Book (mrq)   2.06
 Enterprise Value/Revenue  11.79
  Enterprise Value/EBITDA  13.79</t>
  </si>
  <si>
    <t>Cisco Systems (CSCO) is a Top-Ranked Growth Stock: Should You Buy?
Wondering how to pick strong, market-beating stocks for your investment portfolio? Look no further than the Zacks Style Scores.
Is Cisco Stock a Buy Now That It's Acquiring Splunk?
Cisco recently announced its intent to acquire Splunk for $28 billion. Splunk provides a product offering and revenue stream that enhances Cisco's business.
Bridge Growth Partners Completes Sale of Accedian to Cisco
NEW YORK--(BUSINESS WIRE)--Bridge Growth Partners, LLC, a leading technology investment firm, today announced the completion of its previously announced sale of Accedian, a leader in performance analytics and end-user experience solutions, to Cisco. Financial terms of the transaction were not disclosed. About Bridge Growth Partners Bridge Growth Partners, LLC is a private equity firm that targets investments in the technology and technology-enabled services sectors. Bridge Growth Partners bring.
Government of Ontario, TakingITGlobal, and Cisco Canada Enhance Digital Equity for Students in Remote Indigenous Communities
Toronto, Sept. 29, 2023 (GLOBE NEWSWIRE) -- News Summary: The Government of Ontario will renew funding for the Connected North program in 55 schools in Indigenous communities for the 2023-24 school year, bringing its total investment to nearly $2 million in two years.
Cisco Systems, Inc. (CSCO) Is a Trending Stock: Facts to Know Before Betting on It
Zacks.com users have recently been watching Cisco (CSCO) quite a bit. Thus, it is worth knowing the facts that could determine the stock's prospects.
Buy This, Not That: 4 Tech Stocks to Own, 3 to Avoid
It continues to be an uneven playing field for tech stocks. While some companies are continuing to knock the cover off the ball, others are struggling and in decline.
SPLUNK INVESTOR ALERT by the Former Attorney General of Louisiana: Kahn Swick &amp; Foti, LLC Investigates Adequacy of Price and Process in Proposed Sale of Splunk Inc. - SPLK
NEW ORLEANS--(BUSINESS WIRE)--Former Attorney General of Louisiana Charles C. Foti, Jr., Esq. and the law firm of Kahn Swick &amp; Foti, LLC (“KSF”) are investigating the proposed sale of Splunk Inc. (NasdaqGS: SPLK) to Cisco Systems, Inc. (NasdaqGS: CSCO). Under the terms of the proposed transaction, shareholders of Splunk will receive $157.00 in cash for each share of Splunk that they own. KSF is seeking to determine whether this consideration and the process that led to it are adequate, or w.
OnProcess wins Cisco 2023 Excellence in Service &amp; Repair Award
SAN JOSE, Calif.--(BUSINESS WIRE)--Today OnProcess announced it received Cisco's 2023 Excellence in Service &amp; Repair award. Cisco issued the prestigious award at its annual Supplier Appreciation Event (SAE) to a live audience of several hundred executives representing its diverse component suppliers and partners in manufacturing, logistics, services, and repair operations. The recognition honors OnProcess for demonstrating a customer-first approach to servicing existing products in the fiel.
3 Reasons You Should Love Cisco's $28 Billion Deal And 1 Reason You Shouldn't
About 80% of M&amp;A deals fail to create value for investors. Examples of failed acquisitions include AOL's acquisition of Time Warner and AT&amp;T's acquisition of Time Warner. Cisco Systems, Inc.'s acquisition of Splunk is a needle-moving deal that is being paid for in cash and is not expected to put the dividend at risk.
Why Is Cisco Buying Splunk?
Cisco Systems Inc (NASDAQ: CSCO) announced a $28 billion all cash deal to buy cyber security company Splunk last week, marking the networking major's largest acquisiti
Analysis: Cisco's $28 billion Splunk deal may ignite software deal frenzy
Cisco Systems' $28 billion deal for Splunk is likely to prompt other technology giants to splash out on similar acquisitions of software vendors with predictable subscription revenue, investment bankers and analysts say.
Don't Miss the Boom: 3 5G Stocks Set to Explode Higher
As the digital landscape evolves rapidly, 5G — fifth-generation wireless technology — stands at the forefront of this transformation, anchoring the promises of tomorrow's hyper-connected universe. With the world's devices yearning for faster connections and lower latency, the stars seem perfectly aligned for investors eyeing the best 5G stocks to buy.
Cisco Bets Big on Cybersecurity With Its Splunk Acquisition -- Is the Stock a Buy?
Cisco is dropping a lot of money on Splunk, which will create a new giant in cybersecurity. The company is peppering in lots of recurring software services, which has done wonders for its profitability.
Cisco Systems Stock Appears to Be Turning a Corner. Should You Buy?
The tech stalwart has evolved into a dividend stock. The leader in networking equipment diversified into cybersecurity and teleconferencing as sales in its core business slowed.</t>
  </si>
  <si>
    <t>Cisco</t>
  </si>
  <si>
    <t xml:space="preserve">
    Market Cap (intraday) 217.99B
         Enterprise Value 200.23B
             Trailing P/E   17.51
              Forward P/E   13.30
PEG Ratio (5 yr expected)    2.83
        Price/Sales (ttm)    3.87
         Price/Book (mrq)    4.91
 Enterprise Value/Revenue    3.51
  Enterprise Value/EBITDA   11.46</t>
  </si>
  <si>
    <t>MetLife (MET) is a Top Dividend Stock Right Now: Should You Buy?
Dividends are one of the best benefits to being a shareholder, but finding a great dividend stock is no easy task. Does MetLife (MET) have what it takes?
10 Cheap Value Stocks Are Poised To Report Massive Profit Growth
Just because a stock is considered a "value" doesn't mean it can't grow like crazy. In fact, many S&amp;P 500 value stocks may do just that.
MetLife (MET) Stock Rises 11.8% in 3 Months: More Room to Run?
MetLife's (MET) strong performing U.S. and Asia business, coupled with cost-reduction initiatives, position the company well for growth.
MET vs. PUK: Which Stock Should Value Investors Buy Now?
Investors with an interest in Insurance - Multi line stocks have likely encountered both MetLife (MET) and Prudential (PUK). But which of these two companies is the best option for those looking for undervalued stocks?
7 Stocks That Could Soar Following the Fed's Latest Decision
In the wake of the Federal Reserve unveiling its monetary policy roadmap, investors are keenly examining which stocks to buy that stand to benefit. The Fed's depiction was largely positive, though the anticipation of one more rate hike before year-end provides food for thought.</t>
  </si>
  <si>
    <t>MetLife</t>
  </si>
  <si>
    <t>Life &amp; Health Insurance</t>
  </si>
  <si>
    <t xml:space="preserve">
    Market Cap (intraday) 47.31B
         Enterprise Value 49.79B
             Trailing P/E 146.30
              Forward P/E   6.88
PEG Ratio (5 yr expected)   0.26
        Price/Sales (ttm)   0.70
         Price/Book (mrq)   1.56
 Enterprise Value/Revenue   0.70
  Enterprise Value/EBITDA    NaN</t>
  </si>
  <si>
    <t>7 ‘Smart Money' Stocks Set to Explode Higher
In the dynamic world of investing, there's always a buzz surrounding “smart money” stocks. This excitement isn't just about fleeting market trends; it's rooted in the savvy market decisions made by individuals with incredible financial acumen.
Unveiling Medtronic: The Hidden Gem Among Dividend Aristocrats
Medtronic is a leading healthcare technology company specializing in devices to treat prevalent illnesses such as diabetes, cardiovascular disease, and neurological disorders. The aging population in countries like South Korea, Japan, Italy, Greece, and Germany is driving increased demand for pacemakers and other Medtronic products. Medtronic's revenue was $7.7 billion in the first quarter of fiscal 2024, an increase of 4.5% year-over-year.
Opportunities Abound In These Dividend Stalwarts
Market timers come out in force when stocks are soaring or plummeting, but often miss out on long-term investment opportunities by waiting to make sure stocks have definitively bottomed. I like to keep it simple by buying high-quality dividend growth companies at discounted prices during bear markets. If they get cheaper, I buy more. I highlight a handful of high-quality, investment grade-rated dividend growth stalwarts to consider for your portfolio.
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Here's Why You Should Retain Medtronic (MDT) Stock for Now
Investors are optimistic about Medtronic (MDT) on strong global expansion.
Medtronic: Improved Guidance, Historically Cheap P/E, Yield Reaches 3.5%
Dividend aristocrats underperforming the S&amp;P 500 by more than 10 percentage points in 2023. Medtronic, a major aristocrat, has a low P/E ratio, high yield, and potential earnings growth. Positive signs of top-line growth and outperformance suggest recent stock price decline may be overdone.
Don't Miss the Boom: 7 Dividend Stocks Set to Explode Higher
The economic outlook is increasingly uncertain. Between inflation, high-interest rates, and an aggressive Federal Reserve, there is plenty that could hamper the market's returns over the next year.
7 Buffett-Style A-Rated Dividend Aristocrat Bargains
The stock market suffered the worst week in 7 months due to the Fed bursting the dreams of rapid rate cuts. Higher for longer rates is a major threat to big tech, trading at 36X forward earnings, a 31% historical premium. But A-rated dividend aristocrat bargains represent world-beater, Buffett-style "wonderful companies at wonderful prices".</t>
  </si>
  <si>
    <t>Medtronic</t>
  </si>
  <si>
    <t>Health Care Equipment</t>
  </si>
  <si>
    <t xml:space="preserve">
    Market Cap (intraday) 104.26B
         Enterprise Value 121.37B
             Trailing P/E   28.92
              Forward P/E   15.36
PEG Ratio (5 yr expected)    1.56
        Price/Sales (ttm)    3.31
         Price/Book (mrq)    2.04
 Enterprise Value/Revenue    3.85
  Enterprise Value/EBITDA   13.73</t>
  </si>
  <si>
    <t>Should Value Investors Buy Molina Healthcare (MOH) Stock?
Here at Zacks, our focus is on the proven Zacks Rank system, which emphasizes earnings estimates and estimate revisions to find great stocks. Nevertheless, we are always paying attention to the latest value, growth, and momentum trends to underscore strong picks.
4 Stocks That Stand Out on Attractive Interest Coverage Ratio
A company that is capable of generating earnings well above its interest expense can withstand financial hardship. MOD, SFM, MOH and MCK are sound enough to meet financial obligations.
Want to Shrug Off Volatility? Buy 3 Medical Growth Stocks
We pick three medical stocks - MOH, RDY and NRBO - that have gained more than 5% in the past three months amid market volatility.</t>
  </si>
  <si>
    <t>Molina Healthcare</t>
  </si>
  <si>
    <t>Managed Health Care</t>
  </si>
  <si>
    <t xml:space="preserve">
    Market Cap (intraday) 19.12B
         Enterprise Value 12.70B
             Trailing P/E  20.77
              Forward P/E  14.27
PEG Ratio (5 yr expected)    NaN
        Price/Sales (ttm)   0.58
         Price/Book (mrq)   5.28
 Enterprise Value/Revenue   0.39
  Enterprise Value/EBITDA   8.38</t>
  </si>
  <si>
    <t>Why McKesson (MCK) is a Top Value Stock for the Long-Term
The Zacks Style Scores offers investors a way to easily find top-rated stocks based on their investing style. Here's why you should take advantage.
4 Stocks That Stand Out on Attractive Interest Coverage Ratio
A company that is capable of generating earnings well above its interest expense can withstand financial hardship. MOD, SFM, MOH and MCK are sound enough to meet financial obligations.
McKesson Corporation Announces Second Quarter Fiscal 2024 Earnings Release Date
IRVING, Texas--(BUSINESS WIRE)--McKesson Corporation (NYSE: MCK) will release its second quarter fiscal 2024 financial results after market close on Wednesday, November 1, 2023. The company will host a live webcast of the earnings conference call for investors at 4:30 PM Eastern Time to review its financial results. The live webcast will be available on McKesson's Investor Relations website at http://investor.mckesson.com, along with the company's earnings release, financial tables and slide pr.
Dive Into Dividends: Top 5 Bargain Growth Stocks to Buy
Applied Materials (AMAT), PulteGroup (PHM), Arcos Dorados (ARCO), McKesson (MCK) and NetEase (NTES) could be compelling picks for investors in the current scenario.
Is McKesson (MCK) Stock Undervalued Right Now?
Here at Zacks, our focus is on the proven Zacks Rank system, which emphasizes earnings estimates and estimate revisions to find great stocks. Nevertheless, we are always paying attention to the latest value, growth, and momentum trends to underscore strong picks.
5 Low-Beta Stocks to Sail Through a Choppy Market
Market volatility will stay for a longer time. Invest in socks like American Water Works Company (AWK), PepsiCo (PEP), Vistra Corp. (VST), McKesson Corporation (MCK) and J&amp;J Snack Foods (JJSF).</t>
  </si>
  <si>
    <t>McKesson</t>
  </si>
  <si>
    <t>Health Care Distributors</t>
  </si>
  <si>
    <t xml:space="preserve">
    Market Cap (intraday) 58.66B
         Enterprise Value 63.45B
             Trailing P/E  16.21
              Forward P/E  16.47
PEG Ratio (5 yr expected)   2.51
        Price/Sales (ttm)   0.21
         Price/Book (mrq)   5.04
 Enterprise Value/Revenue   0.22
  Enterprise Value/EBITDA  11.36</t>
  </si>
  <si>
    <t>Will Visa (V) Beat Estimates Again in Its Next Earnings Report?
Visa (V) has an impressive earnings surprise history and currently possesses the right combination of the two key ingredients for a likely beat in its next quarterly report.
Visa (V) Updates Dispute Rules to Fight Friendly Fraud Losses
The move highlights Visa's (V) focus on minimizing the impact of fraud, and protecting the consumer-merchant ecosystem.
Got $1,000? 2 No-Brainer Stocks to Buy
Vertex Pharmaceuticals' strategy of developing therapies for unmet needs is paying off big time. Visa's dominance in its niche of the financial services industry could help it deliver outsized returns.
These 3 Dow Stocks Are Set to Soar in 2023 and Beyond
Salesforce should continue riding the economy's digital transformation. Visa is built to thrive through inflation.
Visa Teams With Expel to Tackle $10.5 Trillion Cybercrime Threat
Visa has teamed with security firm Expel to help customers guard themselves against cybercrime. The partnership, announced Monday (Oct. 2), is aimed at helping businesses address the rising cost of cybercrime, which Visa says will reach $10.5 trillion on a global scale by 2025.
Visa Enters Strategic Partnership with Expel to Help Clients Manage Cybersecurity Risk
SAN FRANCISCO--(BUSINESS WIRE)--Visa (NYSE: V) today announced a strategic partnership with Expel, a leading security operations provider, extending Visa's Value-Added Services offering in the emerging Managed Detection and Response (MDR) segment to clients globally. Global cybercrime costs are expected to reach $10.5 trillion USD annually by 20251, impacting businesses of all sizes. Through the referral partnership, Visa and Expel are working to make it easier for clients to anticipate and pro.
Is This the No. 1 Biggest Risk for Both Visa and Mastercard?
It's hard to find trends that can disrupt Visa and Mastercard, two of the best companies in the world. Merchants that set up direct payment mechanisms with customers can bypass card payment rails.
5 Genius Safe Stocks to Buy for the 4th Quarter of 2023
A multitude of economic datapoints and predictive indicators suggest trouble may be brewing for the U.S. economy. Investing in "safe stocks" -- highly profitable, time-tested businesses with well-defined competitive advantages -- can be a smart move in an uncertain environment.
7 S&amp;P 500 Stocks Set to Explode Higher
With a good deal of uncertainty over interest rate hikes and the potential for recession, markets have been far more volatile. However, if some of the uncertainty fades, we could also see a year-end rally, which I strongly believe could happen.
You Don't Have to Pick a Winner in Fintech Stocks. Here's Why.
The fintech space ranges from giants like PayPal to an array of smaller and more specialized companies. E-commerce growth provides an organic tailwind to fintech stocks, but there are others as well.
Is Visa a Buy?
Visa has industry-leading profit margins. Visa's quarterly dividend has increased over 1,600% since the company first paid one in 2008.
Investors Heavily Search Visa Inc. (V): Here is What You Need to Know
Zacks.com users have recently been watching Visa (V) quite a bit. Thus, it is worth knowing the facts that could determine the stock's prospects.
2 Magnificent Stocks That I'm "Never" Selling
Making lots of trades is tempting. But often, it comes back to bite us.
Nine Dow Stocks Are So Oversold They're 'Falling Off The Page'
The September sell-off in Dow Jones and S&amp;P 500 stocks is getting so intense, some wonder if it's already overdone.
ABHI Partners With Visa and YellowPepper on A2A Payments
Visa has announced a partnership with ABHI and YellowPepper to introduce account-to-account (A2A) payments in the United Arab Emirates (UAE). This collaboration will drive innovation, promote financial inclusion and accelerate the adoption of new payment solutions in the Central and Eastern Europe, Middle East and Africa (CEMEA) region, the companies said in a Wednesday (Sept.
Tiptappay Micropayments Now Enables Visa Member Financial Institutions to Accept Small Value Donations in Bank Branches
BURLINGTON, Ontario--(BUSINESS WIRE)--Tiptap, an innovative social impact platform, is thrilled to announce that it will now offer Visa Member Financial Institutions (Visa FIs) the ability to accept small value donations for community-based charities and local initiatives. This program aims to foster a culture of giving back and drive positive change in local communities. The availability of Tiptap's technology to Visa's extensive network of client financial institutions can enable customers to.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Investment Time Machine: 3 Growth Stocks for a Regret-Free 2033
In 2020 and 2022, all the major market indices experienced two bear markets. In between, they enjoyed a period of incredible euphoria.
Visa Debuts Virtual Card Solution With Lloyds Bank
Visa has teamed with Lloyds Bank to launch a virtual card solution for businesses. “Available now to Lloyds Bank customers, Visa Commercial Pay addresses businesses' payments and purchasing administration challenges, such as controlling spend, simplifying processes, reconciling invoices, and reporting on expenditure,” the company said in a news release Wednesday (Sept.
Everything You Need to Know About Visa Stock
Visa is a money-making machine, but where does the money come from?
4 Crypto Stocks in Focus Amid Continued Market Volatility
The cryptocurrency market is poised to grow once the Fed ends its interest rate hike campaign, which is likely to help stocks like Robinhood Markets, Inc. (HOOD), NVIDIA Corporation (NVDA), Visa Inc. (V) and Coinbase Global, Inc. (COIN).
The Biggest Number From Visa's Latest Quarter: 62%
Visa's revenue and earnings increased at healthy rates, but its operating margin is truly outstanding. The business is profitable enough to pay dividends and repurchase its stock.</t>
  </si>
  <si>
    <t>Visa Inc.</t>
  </si>
  <si>
    <t>Transaction &amp; Payment Processing Services</t>
  </si>
  <si>
    <t xml:space="preserve">
    Market Cap (intraday) 478.37B
         Enterprise Value 480.18B
             Trailing P/E   29.19
              Forward P/E   23.26
PEG Ratio (5 yr expected)    1.47
        Price/Sales (ttm)   15.16
         Price/Book (mrq)   12.27
 Enterprise Value/Revenue   15.09
  Enterprise Value/EBITDA   22.02</t>
  </si>
  <si>
    <t>MarketAxess Completes Acquisition of Pragma
NEW YORK--(BUSINESS WIRE)--MarketAxess announced the completion of its acquisition of Pragma, a quantitative trading technology provider.
1 Magnificent S&amp;P 500 Dividend Stock to Buy and Hold Forever
Most bonds across the world are still not traded electronically. MarketAxess and its all-to-all Open Trading marketplace modernize the outdated industry.
Here's Why You Should Retain MarketAxess (MKTX) Stock for Now
Higher commissions, new data contract revenue, growing international business and improved liquidity poise MarketAxess (MKTX) well for growth.</t>
  </si>
  <si>
    <t>MarketAxess</t>
  </si>
  <si>
    <t xml:space="preserve">
    Market Cap (intraday) 8.05B
         Enterprise Value 7.71B
             Trailing P/E 31.84
              Forward P/E 26.67
PEG Ratio (5 yr expected)  2.75
        Price/Sales (ttm) 10.96
         Price/Book (mrq)  6.91
 Enterprise Value/Revenue 10.52
  Enterprise Value/EBITDA 19.01</t>
  </si>
  <si>
    <t>Is This the No. 1 Biggest Risk for Both Visa and Mastercard?
It's hard to find trends that can disrupt Visa and Mastercard, two of the best companies in the world. Merchants that set up direct payment mechanisms with customers can bypass card payment rails.
2 Warren Buffett Stocks That Are Screaming Buys in October, and 1 to Avoid
The Oracle of Omaha has crushed the aggregate total return of the S&amp;P 500 over the past 58 years. Two of the more than four dozen securities held by Berkshire Hathaway offer well-defined competitive advantages.
5 Top Stocks for October
These five stocks could hardly be more different, but they have one important thing in common: All look like great buys in October 2023. From retail to biotech, these stocks showcase their resilience and strategic adaptability amid unpredictable market fluctuations.
Here's Why Mastercard Is One of My Favorite Stocks to Buy Right Now
Mastercard operates a business with some of the highest profit margins in the world.
Where Will Mastercard Be in 3 Years?
The payments giant benefits from a powerful secular trend. Mastercard is growing revenue outside of its core payments network.
Mastercard (MA) Boosts Payment Options for EV Drivers in Europe
Mastercard (MA) teams up with Thuga and SMART/LAB to develop an innovative solution for enabling secure digital payments at EV charging stations.
Where Is Mastercard Stock Headed?
Mastercard's stock (NYSE: MA) has gained approximately 14% YTD as compared to the 11% rise in the S&amp;P500 index over the same period.
Mastercard (MA) Empowers Fiji's Women Entrepreneurs With DUAPAY
Mastercard (MA) collaborates with Fintech Pacific and ygap to unveil the payment acceptance solution, DUAPAY, to pave the way for Fiji's women business owners to seamlessly accept digital payments.
7 Perfect Stock Picks for a Moody Market
The broader market indexes would have you believe we're in the midst of a steady, long-term recovery. But those of us trading individual stocks, especially more speculative penny and growth names, know the truth.
Don't Miss the Boom: 3 Blockchain Stocks Set to Explode Higher
Savvy investors understand the wisdom of focusing upon pioneering market sectors such as blockchain technology. Yet, the best blockchain stocks to buy are often overshadowed by the allure of cryptocurrencies like Bitcoin ( BTC-USD ) and Ethereum ( ETH-USD ).
FI or MA: Which Is the Better Value Stock Right Now?
Investors looking for stocks in the Financial Transaction Services sector might want to consider either Fiserv (FI) or MasterCard (MA). But which of these two companies is the best option for those looking for undervalued stocks?
Mastercard (MA) Brings Fingerprint Payments for German Customers
Mastercard (MA) ties up with Mercedes-Benz to enable the automaker's customers use fingerprint to conduct safe digital payments from the car itself across gas pumps.
Mastercard: Dominant Market Position Coupled With Secular Tailwinds Make This A Buy
Mastercard operates a duopoly alongside Visa in the payment processing industry. I expect the company to benefit from the continued shift from cash to card payments, particularly in emerging markets. Mastercard's partnerships with major banks position it to dominate the competitive market and continue growing.
Mastercard, EQ Bank Leaders Elevate Role on Canadian Prepaid Providers Organization (CPPO) Board of Directors
TORONTO--(BUSINESS WIRE)-- #payments--The Canadian Prepaid Providers Organization (CPPO) appointed leaders from Mastercard and EQ Bank to the organization's board of directors.
Mastercard: Still Among The Best Picks In The Sector, But Not Without Its Shortcomings
After turning bullish on the stock earlier this year, Mastercard is now among the best performers within its peer group. MA stock is now fairly priced and industry tailwinds are likely to subside which will put pressure on future returns. Investors should also keep a close eye on the company's overall debt level and its implications for the ongoing capital allocation policy.
7 Stocks That Could Soar Following the Fed's Latest Decision
In the wake of the Federal Reserve unveiling its monetary policy roadmap, investors are keenly examining which stocks to buy that stand to benefit. The Fed's depiction was largely positive, though the anticipation of one more rate hike before year-end provides food for thought.
Mastercard: Looking Extremely Attractive For Several Reasons
Mastercard is a dominant player in the global payments industry, with a substantial market share and impressive revenue growth outlook. Besides a mighty payment platform, the company's extensive transaction data and value-added services contribute to its growth potential. Mastercard's financial performance remains strong, with robust revenue growth, healthy margins, and a focus on returning value to shareholders.
Mercedes and Mastercard Debut Fingerprint Payment Offering in Germany
Mastercard has launched an in-car payment partnership aimed at Mercedes drivers in Germany. The collaboration will let customers use a fingerprint sensor in their car to make digital payments at more than 3,600 service stations in Germany, the companies announced Monday (Sept.
Mercedes-Benz Teams up With Mastercard to Introduce Native In-Car Payments at the Pump: Pay by Fingerprint Directly in the Car With Mercedes pay+
STUTTGART, Germany &amp; PURCHASE, N.Y.--(BUSINESS WIRE)--Mercedes-Benz customers in Germany can now start the fueling process directly from their vehicle and pay digitally by fingerprint. Eliminating the need to enter a PIN or authenticate via mobile device, drivers can now leverage convenient payments to enhance the in-vehicle experience. The native in-car payment service via Mercedes pay+ will turn the car into a form of payment device and can be used to make payments at service stations using t.</t>
  </si>
  <si>
    <t>Mastercard</t>
  </si>
  <si>
    <t xml:space="preserve">
    Market Cap (intraday) 373.03B
         Enterprise Value 382.14B
             Trailing P/E   37.10
              Forward P/E   27.25
PEG Ratio (5 yr expected)    1.35
        Price/Sales (ttm)   16.09
         Price/Book (mrq)   67.77
 Enterprise Value/Revenue   16.20
  Enterprise Value/EBITDA   27.31</t>
  </si>
  <si>
    <t>Synopsys Appoints Ann Minooka as Chief Marketing Officer
SUNNYVALE, Calif. , Sept. 28, 2023 /PRNewswire/ -- Synopsys, Inc. (Nasdaq: SNPS) today announced the appointment of Ann Minooka as the company's Chief Marketing Officer, reporting to Sassine Ghazi, president and COO of Synopsys.
Synopsys (SNPS) &amp; TSMC to Advance Multi-Die System Design
Synopsys (SNPS) and TSMC are working together to boost the capabilities of the multi-die system designs using TSMC's 3DFabric technologies and 3Dblox 2.0 standard.
Synopsys: Pioneering AI Trends With A Reasonable Valuation
In a tech landscape defined by trends like the "Smart Everything" era, Synopsys holds a pivotal role with 10% of its trailing revenues already coming from AI trends. Despite slightly weaker cash flows expected this year, SNPS boasts a favorable valuation. The company's valuation remains reasonable, historically priced at 9x to 12x forward sales, and it maintains a robust balance sheet with significant cash reserves.
Synopsys (SNPS) is an Incredible Growth Stock: 3 Reasons Why
Synopsys (SNPS) could produce exceptional returns because of its solid growth attributes.
Synopsys (SNPS) Unveils Automotive-Grade IP for N5A Process
Synopsys (SNPS) unveils its latest automotive-grade Interface and Foundation IP, which is designed for TSMC's N5A process.
Keysight, Synopsys, and Ansys Accelerate RFIC Semiconductor Design with New Reference Flow for TSMC's Advanced 4nm RF FinFET Process
SANTA ROSA, Calif.--(BUSINESS WIRE)---- $KEYS #Ansys--Keysight Technologies, Inc. (NYSE: KEYS), Synopsys, Inc. (Nasdaq: SNPS), and Ansys (Nasdaq: ANSS) announced a new reference flow for the TSMC N4PRF, the world's leading semiconductor foundry's advanced 4 nanometer (nm) radio frequency (RF) FinFET process technology. The reference flow is based on the Synopsys Custom Design Family, which provides a complete RF design solution for customers seeking an open RF design environment with higher predictive accuracy.
Synopsys and TSMC Streamline Multi-Die System Complexity with Unified Exploration-to-Signoff Platform and Proven UCIe IP on TSMC N3E Process
Comprehensive Multi-Die System Design Solution Supports 3Dblox 2.0 Standard and TSMC 3DFabricTM Technologies to Boost Productivity for Fast Heterogeneous Integration Highlights: Synopsys 3DIC Compiler integrates with 3Dblox 2.0 standard for heterogeneous integration and a complete exploration-to-signoff solution. Synopsys UCIe PHY IP, which achieved first-pass silicon success on TSMC N3E process, provides low-latency, low-power, and high-bandwidth die-to-die connectivity.
Keysight, Synopsys, and Ansys Accelerate RFIC Semiconductor Design with New Reference Flow for TSMC's Most Advanced 4nm RF FinFET Process
Ansys signoff power integrity and electromagnetic modeling capabilities featured in new custom design flow that meets the needs of high-speed circuit designers / Key Highlights New reference flow offers open, efficient radio frequency design solution that supports streamlined migration from previous process nodes Industry-leading electromagnetic simulation tools boost 5G/6G wireless system on a chip performance and power efficiency Integrated flow improves designer productivity, increases simulation accuracy for faster time-to-market PITTSBURGH , Sept. 27, 2023 /PRNewswire/ -- Keysight Technologies, Inc. (NYSE: KEYS), Synopsys, Inc. (Nasdaq: SNPS), and Ansys (Nasdaq: ANSS) announced a new reference design flow for TSMC N4P RF, the silicon foundry's most advanced 4 nanometer (nm) radio frequency (RF) FinFET process technology.
Synopsys' (SNPS) Design Flows Get Certification for N2 Process
Synopsys' (SNPS) digital and analog design flows receive the certification for TSMC's N2 process technology.
Interested in Arm Holdings? These 2 Chip Stocks Are Growing Even Faster and Are More Reasonably Valued.
Arm Holdings, which just debuted on the market, looks overvalued given its growth prospects. Synopsys and Cadence are two other attractive bets on the future of chip design.
Synopsys Unveils Industry's Broadest Portfolio of Automotive-Grade IP on TSMC's N5A Process Technology
Adopted by Multiple Leading Companies, Synopsys Interface and Foundation IP Enable High Reliability for ADAS SoCs Highlights: New Synopsys IP for the TSMC N5A meets automotive Grade 2 temperature and AEC-Q100 requirements to enable high SoC reliability for long-term operation. ISO 26262 ASIL B- and D- compliant IP assessed for random hardware faults helps meet target ASILs.
Synopsys and TSMC Advance Analog Design Migration with Reference Flow Across Advanced TSMC Processes
AI-Driven Analog Design Migration Flow, Powered by Synopsys.ai EDA Suite, Boosts Productivity for Analog and Mixed-Signal SoCs    Highlights: AI-driven design solution enables circuit optimization, saving weeks of manual and iterative effort while increasing design quality. Interoperable process design kits for all advanced TSMC FinFET nodes help jumpstart analog designs.
Synopsys and TSMC Collaborate to Accelerate 2nm Innovation for Advanced SoC Design with Certified Digital and Analog Design Flows
Design Flow Achieved Multiple Successful Test Chip Tape-Outs on TSMC N2 Process; Broad IP Portfolio in Development to Speed Time to Market Highlights: Synopsys' certified digital and analog design flows enhance quality of results for high-performance compute, mobile, and AI designs. Analog design migration flow, powered by Synopsys.ai™ EDA suite, enable rapid design migration across TSMC process nodes.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2 Charts That Show Semiconductor Stocks Are Poised to Drop
The S&amp;P Semiconductors Select Industry Index has topped both price-wise and on a relative basis. That bodes poorly for the sector.</t>
  </si>
  <si>
    <t>Synopsys</t>
  </si>
  <si>
    <t>Application Software</t>
  </si>
  <si>
    <t xml:space="preserve">
    Market Cap (intraday) 69.80B
         Enterprise Value 68.66B
             Trailing P/E  68.91
              Forward P/E  36.63
PEG Ratio (5 yr expected)   2.08
        Price/Sales (ttm)  12.90
         Price/Book (mrq)  11.71
 Enterprise Value/Revenue  12.42
  Enterprise Value/EBITDA  51.08</t>
  </si>
  <si>
    <t>Is Most-Watched Stock Exxon Mobil Corporation (XOM) Worth Betting on Now?
Exxon (XOM) has been one of the stocks most watched by Zacks.com users lately. So, it is worth exploring what lies ahead for the stock.
Ride the Waves of Wealth With This Oil Tanker 17% Yield
Oil tankers as a group sailed to a strong rally during the two years between November 2020 and November 2022. Stocks in the industry corrected throughout much of this year, but are close to breaking out of a shallow decline.
The Best Stocks to Buy With $10,000 Right Now
Exxon Mobil is generating excellent profit and free cash flow. Shopify's 30% revenue growth is hard to match.
Exxon Mobil, AI Play Lead Five Stocks Defying S&amp;P 500 Blues
Exxon Mobil and a chip-design software firm lead this watch list of five stocks near buy points, despite tough sledding for the S&amp;P 500.
Exxon Mobil: Just An All Around Solid Company
Exxon Mobil Corporation (XOM) is a large and valuable company in the energy sector with a market cap of $460 billion. XOM has been delivering significant earnings growth through expansion and rising commodity prices, making it a good investment opportunity. The company has been returning capital to shareholders through dividends and buybacks, leading to an appreciation in share price and making it a fitting buy.
Will the Energy Sector Continue to Outshine the Market?
The market has been swept by a sea of red month-do-date (MTD), with the overall market, the SPDR S&amp;P 500 ETF NYSE: SPY down over 3% MTD. Apart from one sector, most sectors and industries have suffered the same outcome.
ExxonMobil (XOM) Departs Kaieteur Oil Block Offshore Guyana
ExxonMobil's (XOM) discovered oil volume in the Kaieteur Block is insufficient to support a viable standalone development.
These 7 Dividend Stocks Pay $98 Billion Annually, Combined, to Their Shareholders
Over the long run, dividend stocks have run circles around public companies that don't offer a payout. These seven income juggernauts are parsing out some of the largest nominal-dollar dividends in the world.
Exxon, Hess exit Kaieteur offshore oil exploration block in Guyana
U.S. oil producers Exxon Mobil and Hess Corp have withdrawn from exploring the offshore Kaieteur block in Guyana's ultra-deep waters, Exxon said on Thursday, after disappointing exploration results.
ExxonMobil (XOM) Banned From Trucking California Offshore Oil
ExxonMobil (XOM) proposes to dispatch as many as 24,820 tanker trucks per year along coastal Highway 101 and State Route 166 for up to seven years.
Is It Time To Buy XOM Stock As Exxon Mobil Hits A New High?
XOM stock retook key chart levels and got a lift as the price of oil rises. Shares hit an all-time high.
Energy Stocks Shine as High Oil Prices Boost Dividend Yields
Bond yields are rising, which could make fixed-income attractive, but many investors prefer to hold dividend-paying equities as they have higher growth potential.
Here's Why ExxonMobil Is a No-Brainer Dividend Stock
ExxonMobil is an international integrated energy giant. The company increased its dividend annually for more than four decades.
US judge refuses to overturn Exxon permit denial to truck crude oil in California
A U.S. judge on Wednesday refused to overturn a California county's decision to block Exxon Mobil Corp from using tanker trucks to ship crude oil from coastal facilities to inland refineries while a ruptured pipeline is fixed.
Exxon's stock poised for record high as oil futures try to claw back to $100 a barrel
Shares of Exxon Mobil Corp. XOM, +2.93% rallied nearly 3% on Wednesday and were on track for a record close, according to data going back to November 1972. It would be a fourth straight sessions of gains for the stock.
Exxon Mobil: Big Market Changes
Exxon Mobil's third quarter report is expected to be strong due to the increase in oil prices and margin expansion. OPEC's production cuts are causing an increase in heavy oil prices and a decrease in the discount. This threatens the profitability of the US refining industry. The completion of the Trans Mountain pipeline in Canada may permanently change the relationship between heavy oil and light oil, impacting the refining industry's profits.
ExxonMobil (XOM) to Receive Power From Peacock Solar Facility
Electricity will be supplied to ExxonMobil's (XOM) Gulf Coast Growth Ventures plant.
Exxon Mobil: Likely Higher For Longer
Exxon Mobil's stock has gained 10.6% since a bullish article was published in December 2022. The company reported a significant drop in earnings due to lower oil and gas prices, weaker refining margins, and increased capital spending. Despite a tight oil market until early 2024, Exxon Mobil aims to triple its earnings by FY2027 through strategic projects.
Here are the 18 stocks Jim Cramer is watching, including names in EVs, beauty and oil
Here are some of the tickers on my radar for Wednesday, Sept. 27, taken directly from my reporter's notebook.
These Oil Majors May Be Ready For A Promotion As Crude Prices Keep Rising
ExxonMobil and other oil majors are near buy zones as crude oil prices march higher.
Ticking Time Bombs: 3 Energy Stocks to Dump Before the Damage Is Done
The energy market in 2023 is facing a paradoxical situation. On one hand, oil and gas prices have largely rebounded from their historic lows in 2020 and 2021, thanks to geopolitics around the Russian-Ukrainian war and the supply constraints imposed by OPEC and its allies.
7 Rock-Solid Dividend Stocks to Ride Out the Rest of 2023
In the unpredictable financial landscape of 2023, leaning into dividend stocks to buy may be one of the wisest decisions an investor can make. It's not about sidelining the thrilling potential of tech pioneers; instead, it's about understanding the evolving market dynamics.
Don't Miss the Boom: 7 Dividend Stocks Set to Explode Higher
The economic outlook is increasingly uncertain. Between inflation, high-interest rates, and an aggressive Federal Reserve, there is plenty that could hamper the market's returns over the next year.
4 Integrated Energy Stocks Set to Escape Industry Weakness
Recessionary concerns &amp; refining business uncertainties are spurring energy market volatility. This is making the outlook for the Zacks Oil and Gas Integrated International industry dull.
ExxonMobil (XOM) Seeks Subsidies for Gas-Derived Hydrogen
ExxonMobil's (XOM) CEO personally lobbies the Biden administration for natural gas-based hydrogen to qualify for energy subsidies.
Oil Could Blow Through $100 by October: 7 ‘Strong Buy' Analyst Favorites That Pay Big Dividends
Since topping out at $120 a barrel back in the summer of 2022, the major oil benchmarks traded down every month until bottoming last December.
Beware! 7 Energy Stocks Waving Massive Red Flags Right Now
Oil prices are rising again but the energy sector remains volatile. The unpredictability in the sector isn't merely a blip but reflects deeper concerns plaguing the sector, which highlights the importance of energy stocks to sell.
Exxon Mobil: The Best Buy In Energy
Exxon Mobil is a buy regardless of short-term oil price fluctuations due to its strong earnings prospects and rapidly diversifying business. Structural factors suggest that oil prices will trend higher over the long-term, even if demand peaks soon. Exxon has a de-risked balance sheet, multiple growth catalysts, and the ability to use their massive free cash flow to transition towards renewables.
Attention, Oil Bulls! Here's Why This Energy Titan Should Be on Your Radar.
What's your priority as an investor? Maybe it's income opportunities.</t>
  </si>
  <si>
    <t>ExxonMobil</t>
  </si>
  <si>
    <t xml:space="preserve">
    Market Cap (intraday) 468.73B
         Enterprise Value 480.70B
             Trailing P/E    9.41
              Forward P/E   12.41
PEG Ratio (5 yr expected)    1.69
        Price/Sales (ttm)    1.35
         Price/Book (mrq)    2.35
 Enterprise Value/Revenue    1.32
  Enterprise Value/EBITDA    5.18</t>
  </si>
  <si>
    <t>Travelers: This Blue-Chip Insurer Is A Buy
Blue-chip insurance companies are a good investment opportunity in the current market environment. The Travelers Companies, Inc. is a reliable slow grower with an attractive valuation and a growing dividend. Despite a tough Q2, Travelers is expected to have a better Q3 and continues to see net premium growth.
Playing Defense With Low-Debt Dividend Growers
The article discusses miserly managers of money. Large cap-picks with ultra low debt-to-equity ratios and nice sized, well covered, growing dividends. These companies also have ample interest expense coverage, an essential when the forward cost of capital is ever-increasing. Insurance, oil &amp; gas seem to be the best operators at the moment with the least need for debt in their capital stacks.
Travelers Institute® to Host Travelers Chairman and CEO Alan Schnitzer for Its 100th Wednesdays with Woodward® Webinar
HARTFORD, Conn.--(BUSINESS WIRE)--The Travelers Institute, the public policy division of The Travelers Companies, Inc. (NYSE: TRV), will celebrate the 100th episode of its Wednesdays with Woodward webinar series Oct. 25 with special guest Alan Schnitzer, Chairman and Chief Executive Officer of Travelers. Schnitzer will sit down with series creator and host Joan Woodward, President of the Travelers Institute and Executive Vice President of Public Policy at Travelers, for a candid, one-on-one dis.
Travelers Risk Index: Amid Fluctuating and Emerging Business Risks, Cyber Threats Remain a Leading Concern
HARTFORD, Conn.--(BUSINESS WIRE)--The Travelers Companies, Inc. (NYSE: TRV) today released its 2023 Travelers Risk Index results, and for the ninth straight year, cyber threats were one of the top three business concerns among the 1,200 survey participants from small-, medium- and large-sized companies. Of those taking the national survey, 58% said they worry some or a great deal about cyber, ranking it just behind medical cost inflation (60%) and broad economic uncertainty (59%). Tim Francis,.</t>
  </si>
  <si>
    <t>Travelers Companies (The)</t>
  </si>
  <si>
    <t>Property &amp; Casualty Insurance</t>
  </si>
  <si>
    <t xml:space="preserve">
    Market Cap (intraday) 37.39B
         Enterprise Value 44.81B
             Trailing P/E  17.32
              Forward P/E   9.61
PEG Ratio (5 yr expected)   0.59
        Price/Sales (ttm)   0.99
         Price/Book (mrq)   1.71
 Enterprise Value/Revenue   1.16
  Enterprise Value/EBITDA    NaN</t>
  </si>
  <si>
    <t>UnitedHealth Group Incorporated (UNH) Is a Trending Stock: Facts to Know Before Betting on It
UnitedHealth (UNH) has been one of the stocks most watched by Zacks.com users lately. So, it is worth exploring what lies ahead for the stock.
3 Top Stocks to Buy in October and Hold Forever
UnitedHealth is showing no signs of slowing down. Pfizer's sell-off has gone too far.
UnitedHealth: Top-Notch Healthcare Leader - But Its Best Days Could Be Over
UnitedHealth Group is a leading healthcare player with sustainable profitability and large-scale cost advantages. The company's revenue growth has been strong, driven by its health insurer, UnitedHealthcare, and fast-growing healthcare provider OptumHealth. While UnitedHealth's market leadership and profitability are attractive, regulatory changes and a potential rotation out of the healthcare space could impact its future performance.
UnitedHealthcare's 2024 Medicare Advantage Plans Offer Enhancements to Benefits that Matter Most to Members
MINNETONKA, Minn.--(BUSINESS WIRE)--UnitedHealthcare® today introduced its 2024 Medicare Advantage plans, delivering a simpler member experience with enhanced benefits, broad network access and cost-savings through valuable specialty and prescription drug coverage. “We are focused on delivering the strong benefits we know our members use, value and rely on the most to support their health and wellbeing,” said Tim Noel, CEO of UnitedHealthcare Medicare &amp; Retirement. “In 2024, our members wil.
UK regulator clears $1.52 bln UnitedHealth-EMIS deal
Britain's competition regulator said on Friday it has cleared UnitedHealth Group's 1.24 billion-pound ($1.52 billion) acquisition of healthcare technology firm EMIS.
Can Undervalued Healthcare Stocks Add Yield To Your Portfolio?
Health insurer UnitedHealth Group Inc. NYSE: UNH has a market capitalization of $466.61 billion, ranking it as the tenth largest company in the S&amp;P 500.
Don't Miss the Boom: 3 Healthcare Stocks Set to Explode Higher
According to the American Medical Association, U.S. healthcare spending totaled $4.3 trillion in 2021, equal to nearly $13,000 per person. Overall medical expenses account for nearly 20% of U.S. gross domestic product (GDP).
Here's Why UnitedHealth Group (UNH) is a Strong Value Stock
The Zacks Style Scores offers investors a way to easily find top-rated stocks based on their investing style. Here's why you should take advantage.
10 Dividend Growth Stocks For September 2023
In this monthly series, I rank a selection of dividend growth stocks in Dividend Radar and present the ten top-ranked stocks for consideration. To rank stocks, I do a quality assessment and sort stocks by quality scores, breaking ties with additional metrics. This month, I'm presenting stocks with A+ Dividend Quality Grades and strictly increasing dividends, earnings, and revenue over the past decade.
Ready to Buy the Dip? UnitedHealth Group Stock Is a Smart Buy
UnitedHealth has increased revenue and earnings every year for over a decade. The company has the largest share among U.S. healthcare insurers.</t>
  </si>
  <si>
    <t>UnitedHealth Group</t>
  </si>
  <si>
    <t xml:space="preserve">
    Market Cap (intraday) 467.03B
         Enterprise Value 486.34B
             Trailing P/E   22.57
              Forward P/E   17.92
PEG Ratio (5 yr expected)    1.43
        Price/Sales (ttm)    1.37
         Price/Book (mrq)    5.67
 Enterprise Value/Revenue    1.40
  Enterprise Value/EBITDA   14.18</t>
  </si>
  <si>
    <t>Earnings Growth &amp; Price Strength Make Ulta Beauty (ULTA) a Stock to Watch
The Zacks Focus List offers investors a way to easily find top-rated stocks and build a winning investment portfolio. Here's why you should take advantage.
Did Fenty Beauty Just Tap Into Ulta's Loyal Customer Network?
Figure out your DNA — that's the secret to sales when landing on the shelves of retail spaces like Sephora and Ulta Beauty, according to Priyanka Ganjoo, the founder of D2C beauty brand Kulfi. In fact, it's an important way to avoid getting dropped from such retailers.
2 Stocks Down 10% and 15% to Buy Today
Ulta Beauty is a much more profitable business than it was before the pandemic. Tractor Supply plans to accelerate its new store opening rate beginning in 2024.
Ulta: The Ideal Choice For Long-Term Investors
Over the past five years, Ulta's stock has experienced a challenging period, consistently underperforming the S&amp;P 500 index, despite its resilient financials. Ulta is recognized as a high-quality compounder, known for its substantial growth in both top and bottom lines, and exceptional returns on capital. Its straightforward business model adds to its. Ulta's current price may present an attractive buying opportunity, as it combines quality with favorable pricing, a combination that often prompts investor action.
Ulta Beauty's (ULTA) Omnichannel Strength Aids, SG&amp;A Costs Hurt
Ulta Beauty (ULTA) gains from its solid omnichannel efforts and strength in all major categories, especially skincare. However, SG&amp;A costs have been rising for a while now.
Is Ulta Stock BlackRock's Best Kept Secret?
Watching the positioning from the world's largest players in financial markets, such as BlackRock NYSE: BLK and Goldman Sachs Group NYSE: GS, can often pay substantial dividends when figuring out what the best minds in the business are seeing.
Ulta Beauty Launches The Joy Project to Ignite a Movement for the Next Generation
BOLINGBROOK, Ill.--(BUSINESS WIRE)--In partnership with Mel Robbins, Ulta Beauty is on a mission to spread joy and meaningfully shape how we all see beauty with The Joy Project.
Ulta Beauty And Mel Robbins Team Up To Bring Joy To The World
Ulta Beauty announced the launch of The Joy Project, a long-term initiative created to help beauty enthusiasts and consumers at large find, embrace, and experience joy.
3 Incredible Growth Stocks That Could Climb 22% or More, According to Wall Street
Revolve could be a rewarding investment ahead of a recovery in the apparel industry. Paid sharing and advertising should support accelerated growth at Netflix Ulta's operating margin is pressured right now, but it has remained well above pre-pandemic levels.</t>
  </si>
  <si>
    <t>Ulta Beauty</t>
  </si>
  <si>
    <t>Specialty Stores</t>
  </si>
  <si>
    <t xml:space="preserve">
    Market Cap (intraday) 19.66B
         Enterprise Value 21.16B
             Trailing P/E  16.04
              Forward P/E  15.80
PEG Ratio (5 yr expected)   1.64
        Price/Sales (ttm)   1.89
         Price/Book (mrq)   9.58
 Enterprise Value/Revenue   1.97
  Enterprise Value/EBITDA  11.25</t>
  </si>
  <si>
    <t>4 ‘Strong Buy' Stocks With Big Upside Potential Have Expected Dividend Hikes This Week
After years of low interest rates, which have been trending much higher over the past year, many investors have turned to equities not only for the growth potential but also for solid and dependable dividends, which help to provide an income stream.
3 Warren Buffett Stocks Set to Explode Higher
Through his holding company Berkshire Hathaway (NYSE: BRK-A /NYSE: BRK-B ), Warren Buffett runs a massive investment portfolio, currently worth $340 billion. He also holds nearly $150 billion of cash in the portfolio in case, as he likes to say, opportunities arise.
5 Stocks That Have Massive Upside According to Analysts
Analyst ratings are not perfect, but they're one of the better ways for investors to forecast future stock price movement. Here are five stocks that analysts believe have massive upside for patient, long-term investors.
T-Mobile Plans to Pay a Dividend. Does That Make It the Best Buy Compared to Other Telecom Stocks?
T-Mobile is officially going to become a dividend stock. The company is going to pay its first dividend in the fourth quarter of 2023.
T-Mobile (TMUS) Flat As Market Gains: What You Should Know
In the latest trading session, T-Mobile (TMUS) closed at $139.70, marking no change from the previous day.
T-Mobile Celebrates Innovative Customers at Second Annual Unconventional Awards
LAS VEGAS--(BUSINESS WIRE)--T-Mobile US, Inc. (NASDAQ: TMUS): What's the news: T-Mobile unveiled the winners of its second annual Unconventional Awards at Mobile World Congress in Las Vegas, NV, with top honors going to The Walt Disney Studios' Technology teams, Infosys, Boston Children's Hospital and the City of Bellevue. Why it matters: 5G is fueling innovation and this year's winners are leading the way. From elevating fan experiences to reimagining video production and empowering communitie.
T-Mobile's Hometown Grants Spark Positive Change in 25 New Communities
BELLEVUE, Wash.--(BUSINESS WIRE)--T-Mobile US, Inc. (NASDAQ: TMUS): What's the news: T-Mobile (NASDAQ: TMUS) today named its next 25 Hometown Grant recipients, bringing the total to 225 communities since the Un-carrier announced its massive five-year commitment to small towns in April 2021. The company has now given more than $10 million to kickstart community development ideas across 42 states, with projects like upgrading tech at local libraries, building new hiking trails and revitalizing hi.
Buy This, Not That: 4 Tech Stocks to Own, 3 to Avoid
It continues to be an uneven playing field for tech stocks. While some companies are continuing to knock the cover off the ball, others are struggling and in decline.
Low Beta Stocks To Offset A Possible Hard Landing
The markets just went through a relatively peaceful period. For the purpose of this article, I'll define that as a period where the VIX (volatility index) remained below 15 for more than a week.
T-Mobile (TMUS) Boosts Healthcare Network With Hybrid 5G
T-Mobile (TMUS) upgrades digital infrastructure at Boston Children's Hospital with 5G hybrid network deployment.
The 12 Best Stocks to Buy Now
Our list of the best stocks to buy now reflect the lesson of the past few years: Be ready for anything.
T-Mobile Expands World's First Network Slicing Beta to Developers Nationwide
BELLEVUE, Wash.--(BUSINESS WIRE)--No matter how you slice it, Un-carrier customers come out on top. From the stage at Mobile World Congress in Las Vegas today, T-Mobile (NASDAQ: TMUS) Chief Technology Officer John Saw announced the Un-carrier's network slicing beta is now available to developers nationwide. The program has also expanded to Android developers who want to use the power of 5G standalone (5G SA) to optimize their video calling applications commercially available on the Samsung Gala.
T-Mobile's corporate venture arm reveals second fund to invest AI, edge computing, and more
T-Mobile Ventures, the corporate venture capital arm of T-Mobile, is launching a second investment fund to back 5G-related products and services for the T-Mobile network in areas including AI for mobile and edge computing.
T-Mobile Unveils SASE Solution with Two Industry-First Capabilities
BELLEVUE, Wash.--(BUSINESS WIRE)--T-Mobile US, Inc. (NASDAQ: TMUS): What's the news: T-Mobile is introducing T-Mobile Secure Access Service Edge (SASE), with two groundbreaking capabilities for businesses and government organizations ― T-SIMsecure and T-Mobile Security Slice. Why it matters: IT and security teams are overwhelmed with a growing number of threats, so it's more critical than ever for businesses and organizations to embrace the latest SASE innovations. Who it's for: Businesses and.
T-Mobile Launches Second Corporate Venture Capital Fund to Fuel the Next Generation of Connected Products and Services
BELLEVUE, Wash.--(BUSINESS WIRE)--T-Mobile US, Inc. (NASDAQ: TMUS): What's the news: T-Mobile Ventures is launching a second investment fund to unlock innovative products and services that bring consumers and business customers deeper connections to their world. Why it matters: In an increasingly digital world where connectivity is the critical currency, T-Mobile Ventures is focusing its second fund on innovative products and services that bring customers closer to things that matter most to th.
T-Mobile declares first cash dividend since board approval
T-Mobile US Inc. TMUS, +0.47% on Monday said its board had declared a cash dividend of 65 cents a share — its first following the board's approval this month of a shareholder return program of up to $19 billion. That program, a combination of buybacks and dividends, will run through the end of next year.</t>
  </si>
  <si>
    <t>T-Mobile US</t>
  </si>
  <si>
    <t xml:space="preserve">
    Market Cap (intraday) 164.76B
         Enterprise Value 270.80B
             Trailing P/E   27.90
              Forward P/E   13.53
PEG Ratio (5 yr expected)    0.25
        Price/Sales (ttm)    2.20
         Price/Book (mrq)    2.51
 Enterprise Value/Revenue    3.45
  Enterprise Value/EBITDA   11.23</t>
  </si>
  <si>
    <t>Truist announces board of directors changes
CHARLOTTE, N.C. , Oct. 2, 2023 /PRNewswire/ -- Truist Financial Corporation (NYSE: TFC) today announced changes to its board of directors.
My Top 10 High Yield Dividend Stocks For October 2023
The market slide continues in September with the SPDR S&amp;P 500 Trust ETF dropping by 4.74%. The top 10 stocks on the watchlist for October 2023 offer a 4.33% dividend yield, more than double the S&amp;P 500. My top 10 list of high dividend yield stocks has generated an annualized rate of return of 10.29% since its inception in November 2020.
50 Large-Cap High-Yield Stocks For October
Dogsofthedow.com recently published this list of 50 large-cap high-dividend stocks as of 9/28/23. The DOD list targeted investors who “don't want to simply focus on a high dividend yield only to discover that the stock price has plunged or that the corporation went belly-up”. Investors reduce volatility/risk by limiting high-dividend search to large well-established companies.
Truist announces quarterly 2024 earnings conference call dates
CHARLOTTE, N.C. , Sept. 28, 2023 /PRNewswire/ -- Truist Financial Corporation (NYSE: TFC) today announced plans to host conference calls to review quarterly financial results on the following dates and times: First quarter 2024 – Thursday, April 18, 2024 at 8 a.m.
U.S. SEC nearing settlement with Wall Street firms over WhatsApp probe -sources
The U.S. Securities and Exchange Commission (SEC) is finalizing settlements with around two dozen Wall Street firms to resolve investigations into record-keeping lapses, said two people with knowledge of the matter.
Truist Financial: My Oh My, Another Strong Buy
Truist Financial, formed through the merger of BB&amp;T and SunTrust, has faced persistent pressure in the regional banking sector. The company is focused on simplifying its business, reducing expenses, and improving capitalization. Despite headwinds, Truist stock remains undervalued and offers a conservative price target of $40/share with an upside of over 23% per year.
Banks Have Problems but Their Stocks Are Cheap. 5 Worth a Look.
Higher interest rates, which were supposed to be a savior for the sector, have instead led to many problems.
66 Ben Graham October Value Stocks: 56 Outrageous Buys
“Value ranking, looks at the price of a stock relative to. intrinsic firm value. Graham Value Stocks match the criteria . Benjamin Graham followed. “—YCharts Value Screener. 66 August Value large caps and Graham formula-derived results reflect established value-stock detection-criteria. Of those, 56 met the dogcatcher-outrageous-ideal of dividends from $1K invested exceeding single-share-stock-prices. Representing nine-of-eleven Morningstar Sectors, all 56 ideal value-picks pay regular-dividends. Broker-target-top-ten net-gains ranged 33.15%-84.12%, topped by PDM &amp; SQM, as-of 9/22/23.
Want More Than 7% Dividend Yield? Keep an Eye on Truist (TFC)
One can keep Truist (TFC) on the radar to earn a solid dividend. The company is well-poised to overcome near-term challenges on the back of cost savings plans, decent loan demand and efforts to boost fee income.
Truist Financial: A Secure Dividend And Attractive Valuation Create Opportunity
Truist Financial shares have underperformed, but with shares near a 52-week low and a 7.4% dividend yield, investors should consider buying. TFC has faced challenges with rising credit costs and higher funding costs, leading to a decline in deposits and a compression of its net interest margin. The bank's capital position is solid, and while the dividend is secure, buybacks are unlikely until mid-2025 at the earliest.</t>
  </si>
  <si>
    <t>Truist</t>
  </si>
  <si>
    <t>Regional Banks</t>
  </si>
  <si>
    <t xml:space="preserve">
    Market Cap (intraday) 38.11B
         Enterprise Value    NaN
             Trailing P/E   6.61
              Forward P/E   7.95
PEG Ratio (5 yr expected)    NaN
        Price/Sales (ttm)   1.59
         Price/Book (mrq)   0.67
 Enterprise Value/Revenue    NaN
  Enterprise Value/EBITDA    NaN</t>
  </si>
  <si>
    <t>Best Momentum Stock to Buy for October 2nd
ETN, TT and EMR made it to the Zacks Rank #1 (Strong Buy) momentum stocks list on October 2, 2023.
Best Income Stocks to Buy for October 2nd
ASC, F and EMR made it to the Zacks Rank #1 (Strong Buy) income stocks list on October 2, 2023.
3 Catalysts for October to Regain Momentum: Top 5 Picks
At this stage, it will be prudent to invest in momentum stocks. Five such stocks are: CAT, EMR, CPRT, VRT, PXD.
Here's Why You Should Hold on to Emerson (EMR) Stock for Now
Strength across the process and hybrid end markets, improving supply chains and expansion initiatives bode well for Emerson (EMR). The company's shareholder-friendly policies are encouraging.
Emerson Ventures Invests in First Resonance
Strategic investment from Emerson's corporate venture capital arm supports First Resonance's ION Factory Operating System ST. LOUIS, Sept.
7 Value Stocks That Should Be on Every Investor's Radar This Fall
As the year began, institutional investors fled growth stocks to the relative safety of value stocks. In the second quarter, some of that money moved back to growth stocks.</t>
  </si>
  <si>
    <t>Emerson Electric</t>
  </si>
  <si>
    <t>Electrical Components &amp; Equipment</t>
  </si>
  <si>
    <t xml:space="preserve">
    Market Cap (intraday) 55.19B
         Enterprise Value 54.05B
             Trailing P/E  17.35
              Forward P/E  19.72
PEG Ratio (5 yr expected)   3.51
        Price/Sales (ttm)   2.70
         Price/Book (mrq)   2.70
 Enterprise Value/Revenue   2.60
  Enterprise Value/EBITDA   9.65</t>
  </si>
  <si>
    <t>This Beaten-Down Nasdaq Stock Just Raised Its Dividend to a Record High
Starbucks continues to make sizable dividend raises. The Starbucks Rewards program has been a consistent growth driver throughout the pandemic.
Ticking Time Bombs: 3 ESG Stocks to Dump Before the Damage Is Done
The jury is still out on ESG stocks from the perspective of judging their returns. Some shares have outperformed while others have not.
3 Things About Starbucks the Smartest Investors Know
Most of Starbucks' stores are actually located outside of the U.S. By leaning on its digital capabilities, Starbucks can better serve customers. A history of profitability shows that this a financially sound business.
Apple and 4 More Quality Stocks to Buy After the Stock Market Selloff
High-quality names Apple, Amazon, Starbucks, Netflix, and JPMorgan are all in the discount bin after a brutal September. Here's why it's time to buy.
Nasdaq Sell-Off: My Top 3 Beaten-Down Growth Stocks to Buy Now
Netflix is no longer just a growth story. Enphase the business is doing far better than Enphase the stock.
3 Magnificent Dividend Stocks That Could Supercharge Your Portfolio
Starbucks has plans for more stores that could lead to substantial growth in the dividend. Vail is a longtime dividend grower and should return to solid profit growth next year.
Judge: Starbucks violated federal labor law by withholding pay hikes from unionized workers
Starbucks violated federal labor law when it increased wages and offered new perks and benefits only to non-union employees, a National Labor Relations Board judge found Thursday.
Don't Miss the Boom: 7 Blue-Chip Stocks Set to Explode Higher
Looking for the best blue-chip stocks to buy might seem boring, especially compared to stocks that make big moves. In fortifying your investment portfolio, dipping your toes into the volatile waters of penny and small-cap stocks can be incredibly tempting.
New Starbucks CEO Narasimhan Aims to Mend Relations With Workers
Before becoming CEO of Starbucks, Laxman Narasimhan worked as a barista at one of its stores. This isn't a rags-to-riches story.
Should You Pick Starbucks Over 3M Stock For Next Three Years?
Looking at stock returns, both have underperformed vis-a-vis broader markets amid slowing economic growth.
Starbucks: A Buy On Dividend, Growth Prospects, And Relative Underperformance
Starbucks Corporation announces its 13th consecutive annual dividend increase, as the dividend has more than quadrupled since 2013. The payout ratio has increased, indicating that the company is paying more of what it has rather than making more. I like how the company laid out its reinvention plan, blending the interests of both shareholders and employees.
2 Stocks Warren Buffett Should Buy Right Now
Berkshire Hathaway has over $140 billion in cash, and these stocks could be a great way to use some of it.
Caffeinate Your Returns: 3 Coffee Stocks to Own for the Long Haul
The three coffee stocks recommended in this article were inspired by Robert Kirby, a portfolio manager for nearly his entire working career. He co-founded Capital Guardian Trust Co., a subsidiary of Capital Group.
3 Stocks That Flourish In The Fall
Autumn also means that Starbucks Corp. NASDAQ: SBUX, TJX Companies NYSE: TJXand Target Corp. NYSE: TGT should perform well, based on their historical returns.</t>
  </si>
  <si>
    <t>Starbucks</t>
  </si>
  <si>
    <t>Restaurants</t>
  </si>
  <si>
    <t xml:space="preserve">
    Market Cap (intraday) 104.54B
         Enterprise Value 125.29B
             Trailing P/E   27.83
              Forward P/E   22.42
PEG Ratio (5 yr expected)    1.26
        Price/Sales (ttm)    3.00
         Price/Book (mrq)     NaN
 Enterprise Value/Revenue    3.58
  Enterprise Value/EBITDA   18.22</t>
  </si>
  <si>
    <t>Best Momentum Stock to Buy for October 2nd
ETN, TT and EMR made it to the Zacks Rank #1 (Strong Buy) momentum stocks list on October 2, 2023.
Trane Technologies to Acquire Connected Workplace and Enterprise Asset Management Leader Nuvolo
SWORDS, Ireland--(BUSINESS WIRE)--Trane Technologies (NYSE: TT), a global climate innovator, announced that it has signed a definitive agreement to acquire Nuvolo, a global leader in modern, cloud-based connected workplace and enterprise asset management products and solutions. Built on the ServiceNow™ Platform, Nuvolo Connected Workplace helps customers modernize facilities management, optimize spaces, and manage the full lifecycle of enterprise assets utilizing a single solution. The acquisit.
Trane Technologies Rings NYSE Opening Bell
SWORDS, Ireland--(BUSINESS WIRE)--Trane Technologies (NYSE: TT), a global climate innovator, today rang the Opening Bell on the New York Stock Exchange (NYSE) to celebrate its third year as a focused climate company with a purpose to boldly challenge what's possible for a sustainable world. “Three years ago, we transformed one of the oldest companies listed on the NYSE and launched Trane Technologies – a focused climate innovator with bold sustainability commitments and a long history of custom.
Here's Why Trane Technologies (TT) Stock is a Great Pick
Trane Technologies (TT) seeks to improve its position by enhancing product effectiveness and introducing new products.
Trane Technologies' Latest AI-Enabled Service Offering Propels Building Performance and Accelerates Decarbonization
SWORDS, Ireland--(BUSINESS WIRE)--Trane® – by Trane Technologies (NYSE: TT), a global climate innovator, is introducing its latest Artificial Intelligence (AI) and cloud-based service offering – Trane® Autonomous Control Powered by BrainBox AI® – providing building owners and facility managers an additional tool to accelerate decarbonization and reduce energy consumption. Using AI to automatically identify and implement optimization actions 24 hours a day, seven days a week, Trane Autonomous Co.</t>
  </si>
  <si>
    <t>Trane Technologies</t>
  </si>
  <si>
    <t xml:space="preserve">
    Market Cap (intraday) 46.34B
         Enterprise Value 50.71B
             Trailing P/E  24.75
              Forward P/E  20.92
PEG Ratio (5 yr expected)   2.01
        Price/Sales (ttm)   2.80
         Price/Book (mrq)   7.40
 Enterprise Value/Revenue   3.02
  Enterprise Value/EBITDA  17.43</t>
  </si>
  <si>
    <t>Drugmakers opt in to Medicare drug price negotiations – here's what happens next
The lengthy negotiation process with Medicare won't end until August 2024, with reduced prices going into effect in January 2026.
Drugmakers sign on to negotiate Medicare prices under protest
All the drugmakers that make the 10 prescription medicines subject to the first-ever price negotiations for the U.S. Medicare health program, including Amgen and Novartis , said they signed on to participate in the talks by the Oct. 1 deadline.
Amgen Stock Was a Winner in the Third Quarter. These Solar Shares Were Not.
Amgen was the best-performing stock in both the Dow Jones Industrial Average and Nasdaq 100 in the third quarter, while Zions Bancorp, up 32%, was the top stock in the S&amp;P 500.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3 Biotech Stocks to Watch Ahead of Potential Obesity Drug Approvals
The companies that already have obesity drugs can't keep up with the demand for their treatments, and the demand for the drugs is only likely to become more intense. That's because over 42% of the U.S. population was obese as of 2020, while the pervasive publicity around these drugs will make them more popular, and the social and political pressure for insurers to cover the treatments will become more intense.
Neumora Therapeutics stock surges as Amgen confirmed as major holder of the novel depression drug developer
Neumora Therapeutics stock advanced as much as 16% in Wednesday morning's trade after it was revealed that Amgen Inc (NASDAQ:AMGN) holds a material stake in the company. Amgen was an investor in Neumora's IPO last week, adding to an existing holding, to give it a 23.2% stake in the neuroscience drug discovery company, according to a filing.
The 12 Best Stocks to Buy Now
Our list of the best stocks to buy now reflect the lesson of the past few years: Be ready for anything.
Amgen discloses more than $400 million stake in recent IPO Neumora Therapeutics
Amgen Inc.'s disclosure Wednesday of a large stake in Neumora Therapeutics Inc. indicates that the value of its investment in the biopharmaceutical company, which recently went public, has tripled.
Trilliant Health's 2023 Trends Shaping the Health Economy Report Offers Data-Driven Insight Into 10 Secular Trends That Will Define the U.S. Healthcare System
BRENTWOOD, Tenn.--(BUSINESS WIRE)---- $AMGN #Cancer--Trilliant Health, the healthcare industry's leading analytics and market research firm, today published its 2023 Trends Shaping the Health Economy Report. The 147-page report is a fact-based national analysis of 10 data-driven trends that will define the landscape, and subsequent challenges, for all players in the health economy. “As a health economist, I study healthcare through the lens of demand, supply and yield,” said Trilliant Health Chief Research Offic.
Amgen Could Get a Piece of the Obesity Market
Amgen has a couple of shots on goal to break into one of the biggest markets the pharmaceutical industry has ever seen.
Stock Market Correction Picks Up Steam; Stocks To Watch Include Amgen, Arch Resources
Sellers hit the stock market again Tuesday. The Nasdaq composite closed just above 13,000 level, but losers swamped winners on the NYSE.
Which Is A Better Pick – PepsiCo Stock Or Amgen?
We believe that PepsiCo stock (NYSE: PEP) is a better pick over Amgen stock (NASDAQ: AMGN).
Dow Jones Biotech Giant Amgen, Meta Stock, Eye Buy Points In Stock Market Correction
Dow Jones biotech leader Amgen and Meta stock are among the best stocks to watch in today's stock market action.
Amgen Inc. (AMGN) Is a Trending Stock: Facts to Know Before Betting on It
Amgen (AMGN) has been one of the stocks most watched by Zacks.com users lately. So, it is worth exploring what lies ahead for the stock.</t>
  </si>
  <si>
    <t>Amgen</t>
  </si>
  <si>
    <t xml:space="preserve">
    Market Cap (intraday) 143.76B
         Enterprise Value 171.06B
             Trailing P/E   18.11
              Forward P/E   13.72
PEG Ratio (5 yr expected)    2.04
        Price/Sales (ttm)    5.43
         Price/Book (mrq)   21.20
 Enterprise Value/Revenue    6.44
  Enterprise Value/EBITDA   11.54</t>
  </si>
  <si>
    <t>Aflac (AFL) Could Be a Great Choice
Dividends are one of the best benefits to being a shareholder, but finding a great dividend stock is no easy task. Does Aflac (AFL) have what it takes?
Playing Defense With Low-Debt Dividend Growers
The article discusses miserly managers of money. Large cap-picks with ultra low debt-to-equity ratios and nice sized, well covered, growing dividends. These companies also have ample interest expense coverage, an essential when the forward cost of capital is ever-increasing. Insurance, oil &amp; gas seem to be the best operators at the moment with the least need for debt in their capital stacks.
Award-winning My Special Aflac Duck® arrives in El Paso to provide comfort and joy to children facing cancer and blood disorders
Ten children experience a heartwarming surprise: robotic Aflac ducks delivered with a day full of festive activities in honor of National Childhood Cancer and National Sickle Cell Awareness Month COLUMBUS, Ga. , Sept. 28, 2023 /PRNewswire/ -- Aflac, a leading provider of supplemental health insurance products in the U.S. and a proud supporter of families of children with cancer and blood disorders such as sickle cell disease, delivered today its acclaimed My Special Aflac Ducks to ten children at El Paso Children's Hospital.
3 Dividend Growers to Buy for Passive Income
Companies that consistently boost their dividend payouts reflect a successful and shareholder-friendly nature, opting to share a portion of profits with investors. And that's precisely what these three companies have done over the years.
Aflac (AFL) Up 36% in a Year: More Growth on the Horizon?
Aflac (AFL) remains well-poised for growth on productivity gains in its U.S. business, new product launches, technology investments and solid cash reserves.
Buy These 3 Low-Beta Stocks to Navigate Volatility
Stocks have faced pressure over the last several weeks, with continued uncertainty surrounding the economy weighing on investors' minds.
5 Dividend Aristocrats to Buy as Things Look Dicey for Wall Street
As stocks are subjected to bouts of volatility, place bets on dividend aristocrats like Caterpillar (CAT), Abbott Laboratories (ABT), McDonald's (MCD), Aflac (AFL) and Automatic Data Processing (ADP) for steady income.
Award-winning My Special Aflac Duck® soars into Albuquerque to provide comfort and joy to children facing cancer and blood disorders
Kids receive special delivery of robotic Aflac ducks and enjoy a day of fun festivities during National Childhood Cancer and Sickle Cell Awareness Month COLUMBUS, Ga. , Sept. 25, 2023  /PRNewswire/ -- Aflac, the leading provider of supplemental health insurance products in the U.S.1 and proud supporter of families of children with cancer and blood disorders like sickle cell disease (SCD), today delivered its award-winning My Special Aflac Duck to children at The University of New Mexico Children's Hospital in Albuquerque.</t>
  </si>
  <si>
    <t>Aflac</t>
  </si>
  <si>
    <t xml:space="preserve">
    Market Cap (intraday) 45.59B
         Enterprise Value 47.96B
             Trailing P/E  10.29
              Forward P/E  12.58
PEG Ratio (5 yr expected)    NaN
        Price/Sales (ttm)   2.49
         Price/Book (mrq)   2.23
 Enterprise Value/Revenue   2.52
  Enterprise Value/EBITDA    NaN</t>
  </si>
  <si>
    <t>3 Stocks to Buy Before the Holiday Shopping Boom
The fourth and final quarter of 2023 is upon us and the year-end holidays are fast approaching. That could mean a boost in the sales of many businesses, from retailers to airlines and e-commerce companies.
Walmart changing titles, pay structure for corporate staff
Walmart is updating job titles and pay structure for corporate staff roles as part of a review of its compensation structures and job descriptions across the company.
Is the Grinch Stealing This Year's Holiday Season Jobs?
United Parcel Service Inc. NYSE: UPS is among logistics companies that are proceeding cautiously this year, in anticipation of a slower holiday season.
Walmart Hopes Third-Party Marketplace Will Snag Holiday Spend From Amazon
With the holiday season on the horizon, retail behemoths such as Walmart and Amazon are preparing to capture the attention and spending of consumers across the globe. Notably, this festive season will witness Walmart placing a heightened focus on its third-party marketplace.
As Target, Best Buy and Walmart sales loom, foot traffic data indicates pent-up demand
Foot-traffic data points to pent-up demand ahead of October sales at Target Corp., Best Buy Co. Inc. and Walmart Inc., according to analytics company Placer.ai.
Walmart: Business To Be Stronger For Longer
Walmart's business is expected to benefit from the current macroeconomic environment, including trade-down behavior and increased private label penetration. WMT's recent performance, including strong same-store sales and growth in e-commerce, supports the optimistic view of its strength as a business. The expansion of Walmart+ membership program and investments in the supply chain are expected to further enhance the company's growth.
Smart Picks: 7 Blue-Chips Trading Below True Value
Blue-chip stocks are shares of well-established, stable firms that pay dividends in most cases. It's that combination of stability and dividend income that makes them so attractive.
AI predicts Walmart stock price for November 30, 2023
Walmart's (NYSE: WMT) shares have surged notably in 2023, reaching a fresh all-time high this month, mirroring the broader market trend seen in the S&amp;P 500 index. The retail giant's stock saw a significant uptick last month after it surpassed Q2 profit and sales expectations, driven by robust grocery and e-commerce sales.
Walmart Apparel EVP: We Can Make Luxury Fashion Affordable
Consumers are increasingly prioritizing convenience when making shopping decisions, leading to the rise of the “one-stop shop” concept. Retailers aspire to offer a comprehensive array of products and services, consolidating everything under a single roof.
Buy These 3 Low-Beta Stocks to Navigate Volatility
Stocks have faced pressure over the last several weeks, with continued uncertainty surrounding the economy weighing on investors' minds.
Walmart Inc. (WMT) 2023 Goldman Sachs Global Sustainability Forum - (Transcript)
Walmart Inc. (NYSE:WMT ) 2023 Goldman Sachs Global Sustainability Forum Call September 27, 2023 1:00 PM ET Company Participants Kathleen McLaughlin - Executive Vice President and Chief Sustainability Officer Conference Call Participants Kate McShane - Goldman Sachs Kate McShane Hello, everyone. We're going to get started.
Walmart Marketplace Increases Third-Party Seller Activity
Third-party sellers are committing more advertising to Walmart's marketplace this year.
Yes, Petco, Chewy, and Others Should Worry About Walmart's Deeper Dive Into Pet Care. Here's Why.
The world's biggest brick-and-mortar retailer is looking to expand its reach into the pet care market. The U.S. pet supply retailing market is highly fragmented, leaving even its biggest dedicated names vulnerable to a competitor with more dominant presence.
2 Ultra-Safe Dividend Stocks to Buy Right Now
Walmart recently raised its revenue growth outlook. This month, Microsoft announced it was hiking its dividend by 10% for a second straight year.
Top Buy the Dip Prospects Near 52-Week Highs
Corrections can be healthy as the broader indexes are still up nicely for the year and investors may get an opportunity to buy the dip in several intriguing stocks near their 52-week highs.
Walmart Partners With MobileX to Offer Personalized Mobile Phone Plans
Walmart has partnered with customizable mobile carrier MobileX to offer affordable and personalized mobile phone plans to customers. The agreement allows Walmart customers to access MobileX's prepaid mobile plans through the walmart.mymobilex.com website and in certain stores nationwide, the companies said in a Tuesday (Sept.
Walmart Inc. (WMT) is Attracting Investor Attention: Here is What You Should Know
Zacks.com users have recently been watching Walmart (WMT) quite a bit. Thus, it is worth knowing the facts that could determine the stock's prospects.
2 Supermarket Stocks to Watch on Robust Industry Trends
The Zacks Retail - Supermarkets industry players benefit from rising store traffic, strong online demand and robust omnichannel initiatives. Walmart (WMT) and The Kroger Co. (KR) are notable stocks in the industry.
** MEDIA ADVISORY ** Walmart to Host ‘Heroes &amp; Headliners', a Star-Studded Concert Event for Veterans in Tampa
--(BUSINESS WIRE)--Walmart Inc. (NYSE: WMT) : What:   Walmart is preparing to honor our nation's veterans and military community members through a special concert in Tampa featuring today's top musicians.           On Veterans Day, November 11, Walmart will host a star-studded show headlined by award-winning stars Chris Stapleton, Imagine Dragons and H.E.R. Heroes &amp; Headliners is a one-night musical showcase from Tampa's MIDFLORIDA Credit Union Amphitheater, hosted by Rob Gronkowski and Cam.
Walmart Shines As Dollar Tree, Dollar General, Big Lots Stumble
Going by the performance of discount retailers, Wall Street sees more potential in Walmart Inc. NYSE: WMT than Dollar Tree Inc. NASDAQ: DLTR, Dollar General Corp. NYSE: DG or Big Lots Inc. NYSE: BIG
7 Stocks to Buy for the Blue-Collar Bull Market
Labor and industry and flexing their muscles right now in what is being called a worker's market. Autoworkers are on strike.
Walmart now lets customers set up repeat purchases by subscription – just 16 years after Amazon
Walmart has added automatic replenishment to its online ordering options. The move comes 16 years after Amazon unveiled a similar subscription offering.
Walmart (WMT) Looks Promising: Stock Rallies More Than 15% YTD
Walmart (WMT) has been gaining from its robust omnichannel efforts. This has been helping the company generate favorable comp sales for a while now.
4 Must-Buy Retail Stocks Ahead of the Holiday Season
Retail sales are growing and the holiday season would further boost sales, helping stocks like Walmart Inc. (WMT), Amazon.com (AMZN), American Eagle Outfitters (AEO) and Urban Outfitters (URBN).
Google, Walmart ask Bengaluru staff to work at home amid state water dispute
Calls for protests over a longstanding river water sharing dispute between two south Indian states have forced global firms including Walmart and Alphabet's Google to ask employees in Bengaluru to work from home on Tuesday.
3 Stocks That Flourish In The Fall
Autumn also means that Starbucks Corp. NASDAQ: SBUX, TJX Companies NYSE: TJXand Target Corp. NYSE: TGT should perform well, based on their historical returns.
Walmart+ Has Shed Its Rewards. Is That Good For Amazon Prime?
Nearly 90% of Walmart+ members also pay for Amazon Prime. Is it sustainable?</t>
  </si>
  <si>
    <t>Walmart</t>
  </si>
  <si>
    <t>Consumer Staples Merchandise Retail</t>
  </si>
  <si>
    <t xml:space="preserve">
    Market Cap (intraday) 430.46B
         Enterprise Value 481.37B
             Trailing P/E   30.76
              Forward P/E   25.19
PEG Ratio (5 yr expected)    2.20
        Price/Sales (ttm)    0.69
         Price/Book (mrq)    5.41
 Enterprise Value/Revenue    0.76
  Enterprise Value/EBITDA   13.87</t>
  </si>
  <si>
    <t>Lockheed (LMT) Wins $22.3M Deal to Manufacture Missile System
Lockheed (LMT) wins a $22.3 million contract to manufacture and deliver an air-to-ground missile system.
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Royal Danish Air Force and Lockheed Martin Celebrate Arrival of First Four Danish F-35 Aircraft
Denmark's F-35 fleet will bolster all-domain deterrence and advance 21st Century Security SKRYDSTRUP AIR BASE, VOJENS, Denmark , Oct. 1, 2023 /PRNewswire/ -- The Kingdom of Denmark officially celebrated the in-country arrival of its first four permanently based F-35A Lightning II aircraft at Skrydstrup Air Base, Denmark. During the ceremony, Lockheed Martin officially handed over the certificate of ownership of Denmark's F-35s to the Danish Ministry of Defense Acquisition and Logistics Organization.
3 Space Stocks Set to Explode Higher
In the boundless world of investing, space holds new allure. Consequently, the term space stocks is gaining traction among investors eager to explore this final frontier.
Lockheed Martin subsidiary lands $1.2 billion U.S. Navy contract
A Lockheed Martin Corp. LMT, -0.49% subsidiary on Friday landed a $1.2 billion U.S. Navy contract modification for Trident II missile production and deployment systems support. Lockheed Martin Space's project is expected to be completed by Sept.
Lockheed (LMT) Wins $176M Deal to Support F-35 Jet Program
Lockheed (LMT) wins deal that adds scope for the company to procure initial spares for supporting the deliveries of F-35 jets from the 15th-17th lots.
Military aid to Ukraine gives a shot in the arm to the U.S. economy
American military support for Ukraine as it fends off Russia has given a lift to the struggling industrial side of the U.S. economy.
Lockheed's (LMT) Arm Wins Contract to Assist CH-53K Helicopter
Lockheed's (LMT) arm, Sikorsky, secures a $12 million contract to procure special parts in support of CH-53K aircraft.
Lockheed Martin Conducts First Flight in U-2 Avionics Tech Refresh
First flight enhances U-2 capabilities needed for the next generation battlespace. PALMDALE, Calif.
These 20 growth stocks are worth considering on a pullback, says Citi
Citi has released a list of 20 large-cap growth stocks that it says present opportunities in the event of a pullback.
Don't Miss the Boom: 3 Defense Stocks Set to Explode Higher
Once again, Washington D.C. is gridlocked.
11 Beaten-Up Growth Stocks That Look Like Buys, Says Citi
Chipotle, Draftkings, Lam Research and eight other stocks may be underappreciated by investors, according to a screen run by Citi analysts.
Lockheed (LMT) Secures Contract to Aid F-35 Fighter Jet Program
Lockheed (LMT) is set to offer development of production engineering change proposals and retrofit engineering release reports for increasing the life of F-35 aircraft parts.
7 Value Stocks That Should Be on Every Investor's Radar This Fall
As the year began, institutional investors fled growth stocks to the relative safety of value stocks. In the second quarter, some of that money moved back to growth stocks.</t>
  </si>
  <si>
    <t>Lockheed Martin</t>
  </si>
  <si>
    <t xml:space="preserve">
    Market Cap (intraday) 102.99B
         Enterprise Value 116.86B
             Trailing P/E   14.99
              Forward P/E   14.41
PEG Ratio (5 yr expected)    2.13
        Price/Sales (ttm)    1.57
         Price/Book (mrq)   11.15
 Enterprise Value/Revenue    1.73
  Enterprise Value/EBITDA   11.18</t>
  </si>
  <si>
    <t>Don't Miss the Boom: 3 Materials Stocks Set to Explode Higher
In these moments of the market where volatility is returning to its territory, it is when good investment opportunities arise because there are good discounts in companies with incredible performance that we can take advantage of for the moments when they explode to the upside. This upside also includes materials stocks.
7 Perfect Stock Picks for a Moody Market
The broader market indexes would have you believe we're in the midst of a steady, long-term recovery. But those of us trading individual stocks, especially more speculative penny and growth names, know the truth.</t>
  </si>
  <si>
    <t>Linde plc</t>
  </si>
  <si>
    <t>Industrial Gases</t>
  </si>
  <si>
    <t xml:space="preserve">
    Market Cap (intraday) 181.69B
         Enterprise Value 195.82B
             Trailing P/E   32.55
              Forward P/E   24.51
PEG Ratio (5 yr expected)    3.02
        Price/Sales (ttm)    5.59
         Price/Book (mrq)    4.55
 Enterprise Value/Revenue    5.92
  Enterprise Value/EBITDA   17.02</t>
  </si>
  <si>
    <t>Kroger adds Hispanic-Inspired Mercado Brand to exclusive Our Brands' Roster
Authentic line celebrates traditional Hispanic culinary heritage CINCINNATI , Oct. 2, 2023 /PRNewswire/ -- The Kroger Co. (NYSE: KR) today announced the launch of Kroger® Mercado, a Hispanic-inspired brand joining the retailer's Our Brands' roster of products exclusively sold at Kroger Family of Stores. Kroger® Mercado's expansive assortment now offers more than 50 products, including items such as fresh meat, beverages, snacks, sides, desserts and more.
Kroger: 10X P/E, Double-Digit Dividend Growth, Upside Potential
Kroger is a growing retail chain with a growth opportunity in the digital market. Kroger has strong guidance for FY 2023, with positive sales growth and at least $2.5B in adjusted free cash flow. Kroger is an attractive capital return play and has a 25% upside potential.
Kroger Health Nourishing Change Summit Convenes Leaders, Advances Food as Medicine Movement
CINCINNATI , Sept. 29, 2023 /PRNewswire/ -- Kroger Health, the healthcare division of The Kroger Co. (NYSE: KR), hosted the first Nourishing Change Summit to continue driving momentum in the Food as Medicine conversation that began during the 2022 White House Conference on Hunger, Nutrition and Health.
Kroger Highlights Zero Hunger | Zero Waste Progress in Annual Sustainability Report
CINCINNATI , Sept. 28, 2023 /PRNewswire/ -- The Kroger Co. (NYSE: KR), today released its annual Environmental, Social and Governance report sharing progress on Kroger's ESG Strategy, Thriving Together.
Kroger Takes on Walmart by Reportedly Breaking Ground on Supercenter
Kroger is reportedly looking to compete with Walmart, getting into general merchandise with a superstore format. The grocery giant has begun construction on a 124,000-square-foot location in Plano, Texas, dubbed the “Kroger Marketplace,” according to The Dallas Morning News, which marks the company's largest store format yet.
2 Supermarket Stocks to Watch on Robust Industry Trends
The Zacks Retail - Supermarkets industry players benefit from rising store traffic, strong online demand and robust omnichannel initiatives. Walmart (WMT) and The Kroger Co. (KR) are notable stocks in the industry.
October Is Very Scary for the Stock Market: 7 ‘Strong Buy' Warren Buffett Dividend Stocks Are Very Safe Bets
Wall Street is all about statistics. One of the grim ones is the fact that the last 10 trading days of September are typically the worst of the year.</t>
  </si>
  <si>
    <t>Kroger</t>
  </si>
  <si>
    <t>Food Retail</t>
  </si>
  <si>
    <t xml:space="preserve">
    Market Cap (intraday) 32.19B
         Enterprise Value 48.46B
             Trailing P/E  19.98
              Forward P/E   9.91
PEG Ratio (5 yr expected)   1.60
        Price/Sales (ttm)   0.22
         Price/Book (mrq)   3.03
 Enterprise Value/Revenue   0.33
  Enterprise Value/EBITDA   7.62</t>
  </si>
  <si>
    <t>Dow Stocks To Trade In October
This long and short equity strategy has generated superior returns based upon cycles and relative strength.
2 Warren Buffett Stocks That Are Screaming Buys in October, and 1 to Avoid
The Oracle of Omaha has crushed the aggregate total return of the S&amp;P 500 over the past 58 years. Two of the more than four dozen securities held by Berkshire Hathaway offer well-defined competitive advantages.
3 Stocks Set to Get Pinched by the Weight Loss Shot Trend
The past few years have seen several breakthroughs in the field of weight-loss drugs, as the FDA moved to approve two new medications that promise to help people shed pounds without major side effects. These drugs, called Liraglutide and Semaglutide, work by mimicking a hormone that regulates appetite and blood sugar levels, and they can help people lose up to 15% of their body weight in a year, according to clinical trials.
Coke Vs. Pepsi: At Current Valuations I Prefer Coke
Coca-Cola stock looks undervalued relative to PepsiCo trading at a 23.2x TTM P/E with growth rates approaching 10%. Coca-Cola's global brand power has allowed it to maintain high profitability and it has achieved strong return on equity and return on invested capital. Through its global distribution network of over 30 million customer retail outlets, Coca-Cola does a great job introducing new brands to drive continued growth.
Better Bull Market Buy: Coca-Cola vs. Costco
Costco's membership model continues to be a key difference-maker for the company. Coca-Cola has an unrivaled distribution network, allowing it to expand beyond its classic beverage portfolio.
3 Dividend Aristocrat Bargains
September was a rough month for stocks, with all major averages experiencing losses. Only two sectors in the S&amp;P 500 finished the month in the green: Energy and Communication Services. Despite potential headwinds, there are three high-quality dividend aristocrats trading at attractive valuations: McDonald's, Realty Income, and Coca-Cola.
3 Stocks Whose Dividends Look Safe Right Now
Selling straightforward and popular beverages at scale keeps Coca-Cola's dividend coming in strong. Even in tough times, people have to eat.
Does Coca-Cola's ESG Strategy Make It a Buy for Ethical Investors Seeking Sustainability With Dividends?
The beverage giant stands out for investors seeking sustainability and dependable dividends. Coke's initiatives have tangible financial benefits, reducing costs and enhancing profitability.
The Smartest Dividend Stocks to Buy With $400 Right Now
Coke is boosting sales and profit margins, yet the stock has underperformed in 2023. P&amp;G's streak of dividend hikes is approaching 70 years.
4 Top Stocks To Buy In October 2023
September was a rough month for stocks, with the technology sector down 8% and high valuations causing concern. Despite the pullback, stocks are now more attractive and there are opportunities for long-term investors. All 4 stocks we cover today are all trading at great valuations following a pullback over the past month.
Don't Miss Out: 3 Dividend Stocks to Buy on EVERY. SINGLE. DIP.
There is no better way to create wealth than investing in stocks. Not gold, not bonds, not real estate.
Don't Miss the Boom: 3 Stocks Set to Explode Higher
The imminent possibility of a U.S. government shutdown has raised concerns among economists. Yet, our economy has consistently demonstrated resilience in the face of similar challenges.
83% of Warren Buffett's $347 Billion Portfolio Is Invested in Only 8 Stocks
The Oracle of Omaha has effectively doubled-up the annualized total return of the benchmark S&amp;P 500 since the mid-1960s. Portfolio concentration has played a key role in Warren Buffett's sizable outperformance.
Nine Dow Stocks Are So Oversold They're 'Falling Off The Page'
The September sell-off in Dow Jones and S&amp;P 500 stocks is getting so intense, some wonder if it's already overdone.
October Dividend Kings: 5 To Buy And 5 To Watch
"There is only one-criterion to be included among the Dividend Kings: a publicly-traded company must increase its total fiscal-year dividend-payout for a minimum of 50 consecutive-years."--Dogs of the Dow. The 49 Dividend Kings screened as of September 26 represented seven of eleven Morningstar Sectors. Broker targeted-top-ten net-gainers ranged 24.77%-38.84% topped-by Northwest Natural, and Target. By yield, Altria tops-all. Top-ten Kingly October yields from SWK, TGT, BKH, FRT, NWN, CDUAF, MMM, UVV, LEG, &amp; MO averaged 5.86%.
Better Buy: Coca-Cola vs. PepsiCo
Coca-Cola's higher margins are a testament to its efficiency and pricing power. PepsiCo's broad portfolio helps hedge against declining demand in the beverage market.
5 Safe Stocks to Buy Amid Plummeting U.S. Consumer Confidence
We have narrowed our search to five large-cap low-beta stocks with a solid dividend yield. These are: AWK, ADP, KO, KMB, IBM.
Got $1,000? 5 Buffett Stocks to Buy and Hold Forever
Apple has been trying to become less reliant on the iPhone and more reliant on services. American Express benefits from issuing its own credit cards and processing credit card transactions.
Proceed With Caution When Considering These 5 Ultra-Popular Stocks
Many stocks are up big in 2023. Always consider the financial state and valuation of a company before buying.
Don't Miss the Boom: 3 Consumer Stocks Set to Explode Higher
When you hear consumer stocks in an environment like this one, you automatically think of the negatives. After all, consumers are in a sticky situation as they grapple with persistently high inflation, wages that can't keep up, and the threat of a prolonged recession.
3 Dow Jones Industrial Average Stocks To Watch Ahead Of October 2023
Dow Jones Industrial Average stocks to watch now.
3 Warren Buffett Stocks Worth Owning Forever
Warren Buffett is a disciple of the Benjamin Graham school of value investing By focusing on fundamentals and competitive positioning, the Oracle of Omaha has built a market-beating stock portfolio. Apple, American Express, and Coca-Cola are three Buffett picks that screen as potential forever stocks.
3 Warren Buffett Stocks That are Moving into the Buy Zone
Warren Buffett is known for his penchant for buying “forever" stocks. The legendary investor has a strategy that may be boring for many investors.
October Is Very Scary for the Stock Market: 7 ‘Strong Buy' Warren Buffett Dividend Stocks Are Very Safe Bets
Wall Street is all about statistics. One of the grim ones is the fact that the last 10 trading days of September are typically the worst of the year.
Coca-Cola: Consider This Dividend Stabilizer For Your Portfolio
Coca-Cola is a stable and reliable dividend stock with little dividend growth, making it a favorite for long-term investors. The company's business model is simple and predictable, with a wide range of non-alcoholic beverages and a strong global brand. Despite a lower dividend yield compared to other investments, Coca-Cola has a century of uninterrupted dividends and consistent total returns for shareholders.
The 3 Best Defensive Stocks in the Entire Market Right Now
A possible economic hurricane headed our way remains on the debate floor. Indeed, the yield curve is inverted and un-inverting, which is perhaps more worrisome.
Warren Buffett's eye for quality stocks like Apple and Coca-Cola is key to his success, elite investor Jeremy Grantham says
Warren Buffett's taste for quality has been key to his investing success, Jeremy Grantham says. Buffett has made a fortune on stocks like Apple and Coca-Cola, which Grantham touted as exceptional.
It's Time to Buy Coca-Cola Stock
Coca-Cola stock has slid more than 9% this year. The stock pays a nice dividend, yielding over 3%.
7 Value Stocks That Should Be on Every Investor's Radar This Fall
As the year began, institutional investors fled growth stocks to the relative safety of value stocks. In the second quarter, some of that money moved back to growth stocks.
1 No-Brainer Warren Buffett Stock to Buy Now
Warren Buffett has held this stock for a very long time.</t>
  </si>
  <si>
    <t>Coca-Cola Company (The)</t>
  </si>
  <si>
    <t>Soft Drinks &amp; Non-alcoholic Beverages</t>
  </si>
  <si>
    <t xml:space="preserve">
    Market Cap (intraday) 242.08B
         Enterprise Value 268.01B
             Trailing P/E   23.23
              Forward P/E   19.76
PEG Ratio (5 yr expected)    2.58
        Price/Sales (ttm)    5.51
         Price/Book (mrq)    9.31
 Enterprise Value/Revenue    6.07
  Enterprise Value/EBITDA   17.51</t>
  </si>
  <si>
    <t>Here's Why FedEx (FDX) is a Strong Value Stock
Whether you're a value, growth, or momentum investor, finding strong stocks becomes easier with the Zacks Style Scores, a top feature of the Zacks Premium research service.
FedEx Is Cutting Costs. The Case for Buying the Stock and Its Options.
Susquehanna analyst Bascome Majors upgraded FedEx stock to Buy from Hold. His target price went to $315 a share from $225.
Top Wall Street analysts pick these five stocks for compelling returns
TipRanks' analyst ranking service pinpoints Wall Street's best-performing stocks, including Adobe &amp; Salesforce
FedEx stock still has another 25% upside – analyst forecasts
Shares of FedEx Corp (NYSE: FDX) will likely climb further in the coming months even though they have already gained about 50% this year, says an HSBC analyst.
3 Stocks Gearing Up for an E-Commerce Liftoff
In line with my previous predictions calling for an e-commerce rebound in the second half of this year, it appears that the e-commerce sector is recovering. In a note to investors in July, investment advisor Bernstein wrote, “with (foreign exchange) headwinds abating and a more durable online consumer, count us in that camp of anticipating further eCommerce recovery.
Checking In on the Fed, FedEx, and TransMedics
There's a lot for investors to pay attention to.
Bull Signal Has Never Failed FedEx Stock
Shares of shipping giant FedEx Corporation (NYSE:FDX) are lower this afternoon, last seen down 1.1% at $263.40.
Why FedEx (FDX) is a Top Momentum Stock for the Long-Term
Wondering how to pick strong, market-beating stocks for your investment portfolio? Look no further than the Zacks Style Scores.
Best Inverse/Leveraged ETFs of Last Week
Wall Street delivered a downbeat show last week with the S&amp;P 500 and Nasdaq logging worst weeks since March due to rising rate worries.
7 Stocks to Buy for the Blue-Collar Bull Market
Labor and industry and flexing their muscles right now in what is being called a worker's market. Autoworkers are on strike.
FedEx Eyes Buy Point After 54% Rally This Year
Parcel delivery giant FedEx is IBD Stock Of The Day: FedEx stock rose near buy point while flashing this bullish technical indicator.
Will FedEx Stock Rebound To Its Pre-Inflation Shock Level Of Over $300?
FedEx stock (NYSE: FDX) currently trades at $262 per share, 8% below the level seen in March 2021, and it has little room for growth, in our view.</t>
  </si>
  <si>
    <t>FedEx</t>
  </si>
  <si>
    <t xml:space="preserve">
    Market Cap (intraday) 66.61B
         Enterprise Value 97.77B
             Trailing P/E  16.17
              Forward P/E  14.73
PEG Ratio (5 yr expected)   1.10
        Price/Sales (ttm)   0.76
         Price/Book (mrq)   2.51
 Enterprise Value/Revenue   1.10
  Enterprise Value/EBITDA   9.19</t>
  </si>
  <si>
    <t>3 Catalysts for October to Regain Momentum: Top 5 Picks
At this stage, it will be prudent to invest in momentum stocks. Five such stocks are: CAT, EMR, CPRT, VRT, PXD.
7 Energy Stocks Set to Explode Higher
Energy stocks are heating up and it's time to consider which ones are the best to buy. It was only a matter of time before the price of oil surged above $90 a barrel.
My Top 10 High Yield Dividend Stocks For October 2023
The market slide continues in September with the SPDR S&amp;P 500 Trust ETF dropping by 4.74%. The top 10 stocks on the watchlist for October 2023 offer a 4.33% dividend yield, more than double the S&amp;P 500. My top 10 list of high dividend yield stocks has generated an annualized rate of return of 10.29% since its inception in November 2020.
Better Buy: Chevron vs. Pioneer Natural Resources
Chevron is an integrated energy giant with a globally diversified portfolio. Pioneer Natural Resources is an upstream energy producer with a U.S. footprint.
Pioneer Natural Resources Company (PXD) Is a Trending Stock: Facts to Know Before Betting on It
Recently, Zacks.com users have been paying close attention to Pioneer Natural Resources (PXD). This makes it worthwhile to examine what the stock has in store.
Best Stocks To Invest In Right Now? 3 High Dividend Stocks To Watch
High dividend stocks to check out in the stock market today.
Oil Price Highest in More Than a Year: Bet on These 3 Stocks
Crude price is now in its glorious days, calling for investment in energy companies like Matador Resources (MTDR), Pioneer Natural (PXD) and Core Laboratories (CLB).
Pioneer Natural Resources Stock: Buy, Sell, or Hold?
Pioneer Natural Resources is an onshore U.S. energy producer. The company's performance is directly tied to volatile oil and natural gas prices and so, too, is its dividend.
Pioneer Natural Resources: Gushing Cash, Selling Put Options Optimal
Pioneer Natural Resources has seen a surge in its stock price due to impressive earnings reports and a rebound in the oil market. The stock has become more expensive relative to its historical performance and market peers. Additionally, PXD's ~2% dividend isn't attractive in today's world.
Tap Into Energy Momentum With These 3 Stocks
The Zacks Oils and Energy sector has displayed notable relative strength over the last three months, adding +12% compared to the S&amp;P 500's modest gain. Rising energy prices have helped shift sentiment, with buyers stepping up after a rough first half.
Here's Why You Should Invest in Pioneer (PXD) Stock Right Now
Pioneer (PXD) has consistently expanded its production over the years, driven by its significant reserves and ongoing exploration efforts.
Bull of the Day: Pioneer Natural Resources (PXD)
Earnings estimates are on the rise in energy again.
Oil Could Blow Through $100 by October: 7 ‘Strong Buy' Analyst Favorites That Pay Big Dividends
Since topping out at $120 a barrel back in the summer of 2022, the major oil benchmarks traded down every month until bottoming last December.</t>
  </si>
  <si>
    <t>Pioneer Natural Resources</t>
  </si>
  <si>
    <t xml:space="preserve">
    Market Cap (intraday) 53.52B
         Enterprise Value 59.00B
             Trailing P/E   9.76
              Forward P/E   9.53
PEG Ratio (5 yr expected)   0.78
        Price/Sales (ttm)   2.77
         Price/Book (mrq)   2.43
 Enterprise Value/Revenue   2.89
  Enterprise Value/EBITDA   5.83</t>
  </si>
  <si>
    <t>Humana's 2024 Medicare Advantage Health Plan Offerings Designed With Affordability, Customer Feedback in Mind
LOUISVILLE, Ky.--(BUSINESS WIRE)--Humana's 2024 Medicare Advantage health plan offerings are designed with affordability and customer feedback in mind.
AM Best Upgrades Credit Ratings of Humana Inc. and Most of Its Health Insurance Subsidiaries
OLDWICK, N.J.--(BUSINESS WIRE)-- #insurance--AM Best has upgraded the Financial Strength Rating (FSR) to A (Excellent) from A- (Excellent) and the Long-Term Issuer Credit Ratings (Long-Term ICRs) to “a” (Excellent) from “a-” (Excellent) for the health and dental insurance subsidiaries of Humana Inc. (Humana) (headquartered in Louisville, KY) [NYSE: HUM]. These subsidiaries collectively are referred to as Humana Health Group. Concurrently, AM Best has upgraded the Long-Term ICR to “bbb” (Good) from “bbb-” (G.
Can Undervalued Healthcare Stocks Add Yield To Your Portfolio?
Health insurer UnitedHealth Group Inc. NYSE: UNH has a market capitalization of $466.61 billion, ranking it as the tenth largest company in the S&amp;P 500.
Should You Pick Humana Over CSX Stock For The Next Three Years?
We believe Humana stock (NYSE: HUM) is a better pick than CSX stock (NYSE: CSX), given its better prospects.
Humana: Buy This Amazing Wealth Compounder Now, You'll Be Glad You Did
Humana's adjusted diluted EPS and free cash flow payout ratios make the dividend very secure. The managed care company's revenue and adjusted diluted EPS both surged in the first half of 2023. Humana's interest coverage ratio of over 13 is part of why it earns investment-grade credit ratings from the major rating agencies.</t>
  </si>
  <si>
    <t>Humana</t>
  </si>
  <si>
    <t xml:space="preserve">
    Market Cap (intraday) 60.28B
         Enterprise Value 56.27B
             Trailing P/E  18.12
              Forward P/E  15.15
PEG Ratio (5 yr expected)   1.03
        Price/Sales (ttm)   0.62
         Price/Book (mrq)   3.58
 Enterprise Value/Revenue   0.57
  Enterprise Value/EBITDA    NaN</t>
  </si>
  <si>
    <t>UBS goes live on Broadridge's New Distributed Ledger Sponsored Repo Solution
DLT powered solution built on Broadridge's distributed ledger repo platform  drives cost savings and reduces operational risk for clients NEW YORK , Oct. 2, 2023 /PRNewswire/ -- Global Fintech leader Broadridge Financial Solutions, Inc. (NYSE:BR), today announced that UBS successfully went live on Broadridge's newly launched sponsored repo solution built on the DLT enabled Distributed Ledger Repo (DLR) platform. This sponsored repo solution marks the launch of the next phase in the rollout of Broadridge's DLR platform.
Broadridge (BR) Rises 25% in a Year: What You Should Know
Broadridge (BR) benefits from its growth strategy in governance, capital markets and wealth management.
10 Dividend Growth Stocks For September 2023
In this monthly series, I rank a selection of dividend growth stocks in Dividend Radar and present the ten top-ranked stocks for consideration. To rank stocks, I do a quality assessment and sort stocks by quality scores, breaking ties with additional metrics. This month, I'm presenting stocks with A+ Dividend Quality Grades and strictly increasing dividends, earnings, and revenue over the past decade.</t>
  </si>
  <si>
    <t>Broadridge Financial Solutions</t>
  </si>
  <si>
    <t>Data Processing &amp; Outsourced Services</t>
  </si>
  <si>
    <t xml:space="preserve">
    Market Cap (intraday) 21.06B
         Enterprise Value 24.46B
             Trailing P/E  33.78
              Forward P/E  23.53
PEG Ratio (5 yr expected)   1.88
        Price/Sales (ttm)   3.52
         Price/Book (mrq)   9.40
 Enterprise Value/Revenue   4.04
  Enterprise Value/EBITDA  19.77</t>
  </si>
  <si>
    <t>American Express: A Differentiated Model With Potential For Double-Digit Returns
American Express presents a compelling investment opportunity with a unique business model and a focus on serving higher-income individuals. The company's recent financial performance reflects its resilience and adaptability, with strong customer growth and record-high revenues. International expansion, particularly in Europe, offers significant untapped revenue potential for Amex.
You Don't Have to Pick a Winner in Fintech Stocks. Here's Why.
The fintech space ranges from giants like PayPal to an array of smaller and more specialized companies. E-commerce growth provides an organic tailwind to fintech stocks, but there are others as well.
83% of Warren Buffett's $347 Billion Portfolio Is Invested in Only 8 Stocks
The Oracle of Omaha has effectively doubled-up the annualized total return of the benchmark S&amp;P 500 since the mid-1960s. Portfolio concentration has played a key role in Warren Buffett's sizable outperformance.
Nine Dow Stocks Are So Oversold They're 'Falling Off The Page'
The September sell-off in Dow Jones and S&amp;P 500 stocks is getting so intense, some wonder if it's already overdone.
3 No-Brainer Warren Buffett Stocks to Buy Right Now
Amazon dominates in multiple fast-growing industries. American Express targets wealthier consumers with its popular cards.
Got $1,000? 5 Buffett Stocks to Buy and Hold Forever
Apple has been trying to become less reliant on the iPhone and more reliant on services. American Express benefits from issuing its own credit cards and processing credit card transactions.
Smart Picks: 7 Blue-Chips Trading Below True Value
Blue-chip stocks are shares of well-established, stable firms that pay dividends in most cases. It's that combination of stability and dividend income that makes them so attractive.
American Express' CEO ran his bold pandemic plan by Warren Buffett. The investor supported it - and urged him to take care of Amex's brand and customers
American Express CEO Steve Squeri ran his pandemic plan by his biggest shareholder, Warren Buffett. Squeri wanted to avoid layoffs, acquire businesses, and invest $1 billion in new cardholder rewards.
American Express Adds External Accounts Integration to Digital Cash Flow Management Hub
American Express has added external accounts integration to its digital cash flow management hub, American Express Business Blueprint.
American Express Is Oversold
On Tuesday, shares of AXP entered into oversold territory, changing hands as low as $150.16 per share.
AmEx (AXP) Boosts Product Suite With Technology Investments
American Express (AXP) is set to add a mobile check deposit feature within one of its Business Blueprint products and pursues technology advancements to expand its Card Member base.
American Express Declares Regular Quarterly Dividend
NEW YORK--(BUSINESS WIRE)--The Board of Directors of American Express Company (NYSE:AXP) has declared a regular quarterly dividend of $0.60 per common share, payable on November 10, 2023, to shareholders of record on October 6, 2023. ABOUT AMERICAN EXPRESS American Express is a globally integrated payments company, providing customers with access to products, insights and experiences that enrich lives and build business success. Learn more at americanexpress.com and connect with us on facebook.
3 Warren Buffett Stocks Worth Owning Forever
Warren Buffett is a disciple of the Benjamin Graham school of value investing By focusing on fundamentals and competitive positioning, the Oracle of Omaha has built a market-beating stock portfolio. Apple, American Express, and Coca-Cola are three Buffett picks that screen as potential forever stocks.
Don't Miss the Boom: 3 Travel Stocks Set to Explode Higher
Writing about travel stocks may seem odd at a time when inflation is on the rise in lockstep with rising oil prices. However, information from the United States Travel Association may make you reconsider.</t>
  </si>
  <si>
    <t>American Express</t>
  </si>
  <si>
    <t xml:space="preserve">
    Market Cap (intraday) 109.87B
         Enterprise Value     NaN
             Trailing P/E   15.16
              Forward P/E   12.03
PEG Ratio (5 yr expected)    0.93
        Price/Sales (ttm)    1.96
         Price/Book (mrq)    4.11
 Enterprise Value/Revenue     NaN
  Enterprise Value/EBITDA     NaN</t>
  </si>
  <si>
    <t>Airbnb CEO: AI Can Help Vet Properties and Guests
Airbnb's CEO said AI can help the company find better listings
Airbnb CEO says it's using AI to weed out guests who throw house parties
Airbnb's CEO said it's using AI to identify which guests are likely to throw house parties. Its tech analyzes billions of guest arrivals to see which resulted in a party and which didn't.
Airbnb's 2 Biggest Advantages Over the Competition
No competitor has the network effect or the scalability of Airbnb.
3 Stocks You Can Keep Forever
Numerous studies have concluded that timing the market doesn't work. Costco's enormous membership base makes it appealing for the long term.
Here's My Top Growth Stock to Buy Now
Investors often underestimate how long companies will continue to grow. Some may be misjudging Airbnb, which grew revenue 18% in its most recent quarter.
These 3 Tech Stocks Are Building the Future
Autonomous driving could drive the next massive surge in Tesla stock. North America's streaming-TV environment centers largely around Roku.
Ticking Time Bombs: 3 Travel Stocks to Dump Before the Damage Is Done
Travel is once again booming in the United States. A whopping 90% of Americans traveled in the last three months, according to a recent survey.
I'm More Bullish on Airbnb After 4 Stays This Month
Airbnb is cashing in on the network effect, making the most of its leadership position in a disruptive travel niche. Bookings growth has slowed after surging 42% last year, but earnings and free cash flow are at record levels.
Ticking Time Bombs: 7 S&amp;P 500 Stocks to Dump Before the Damage Is Done
It's been a tough month for S&amp;P 500 stocks. September slumps are common, and this month is historically the worst for the index.
Here's Why Airbnb, Inc. (ABNB) is a Strong Momentum Stock
The Zacks Style Scores offers investors a way to easily find top-rated stocks based on their investing style. Here's why you should take advantage.
These Are The 12 Stocks Driving The S&amp;P 500 Higher In 2023
The S&amp;P 500 is up 12.5% so far in 2023, even with the market correction. But an equal-weight ETF is up just 1%.
2 Superb Growth Stocks to Buy and Hold for the Long Haul
Travel and pet spending continue to rise despite the current economic backdrop. Airbnb is upgrading its platform to ensure guests and hosts have what they want.
Airbnb Explained in 4 Charts
Airbnb has been a great growth company since coming public and these charts explain the business well.</t>
  </si>
  <si>
    <t>Airbnb</t>
  </si>
  <si>
    <t xml:space="preserve">
    Market Cap (intraday) 87.55B
         Enterprise Value 79.54B
             Trailing P/E  40.24
              Forward P/E  32.15
PEG Ratio (5 yr expected)   1.55
        Price/Sales (ttm)  10.14
         Price/Book (mrq)  17.31
 Enterprise Value/Revenue   8.75
  Enterprise Value/EBITDA  32.04</t>
  </si>
  <si>
    <t>Wall Street Bulls Look Optimistic About Advanced Micro (AMD): Should You Buy?
Investors often turn to recommendations made by Wall Street analysts before making a Buy, Sell, or Hold decision about a stock. While media reports about rating changes by these brokerage-firm employed (or sell-side) analysts often affect a stock's price, do they really matter?
3 Semiconductor Stocks To Watch In October 2023
Semiconductor stocks for your October 2023 watchlist.
4 Super Semiconductor Stocks to Buy for the Artificial Intelligence Boom
Developing AI software wouldn't be possible without powerful semiconductors for data centers. Chipmakers are jostling for position to capture the surging demand for that hardware.
Is It Too Late to Buy AMD Stock?
Nvidia is the early leader in AI-specific semiconductors, but AMD has a solid long-term strategy in place. As a result, Nvidia's AI results are already getting investors excited by paying proverbial dividends, while AMD's shareholders have less to celebrate -- so far.
How AMD and Intel Are Teaming Up With FAANG to Take On Nvidia
Nvidia's CUDA is seen a core part of its moat in AI. However, the entire large-cap tech space appears to be building an open-source alternative.
2 Stocks for the Q4 Bull Rally
This might be an opportune time to consider picking these stocks.
Does the Rising Effectiveness of Artificial Intelligence (AI) Make AMD Stock a Buy?
The company's near-term prospects are not great, although the headwinds could be short-lived.
Better Buy: Amazon vs. AMD
Amazon and AMD have rallied investors this year. Amazon has gained Wall Street's support with its recovering retail business and an aggressive expansion in AI.
Microsoft lends AMD an AI boost, though Nvidia still wears the crown
Advanced Micro Devices, Inc. (NASDAQ:AMD) shares popped dd5% on Thursday and are expected to surge more when markets open today, in response to flattering comments made by Microsoft Corporation (NASDAQ:MSFT) on the Nvidia Corporation competitor's artificial intelligence prospects. Like Nvidia, AMD's graphics processing units are well optimised to handle generative AI and large-scale model training, but the Santa Clara, California-based semiconductor company has lagged behind its Silicon Valley rival in copping an AI premium.
This Is My Top Semiconductor Stock to Buy Now, and It's Not Nvidia
The market might be underestimating Advanced Micro Devices' growth opportunities.
1 Green Flag for AMD in 2023 and 1 Red Flag
Shares in AMD have soared 49% year to date. The company's gradual expansion in AI has made investors bullish.
The Equity Bull Case (5 Must-See Charts!)
After lulling investors to sleep in the past few months, several charts suggest that equities may wake up in a big way into year-end.
AMD's stock pops after Microsoft tech chief touts chipmaker's AI products
AMD and Microsoft have collaborated for years on computers, consoles and the cloud, and are doing more work together now in artificial intelligence
AMD Expands Fintech Footprint With Alveo UL3524 FPGA Launch
AMD Unveils Alveo UL3524 accelerator card designed for ultra-low latency electronic trading applications.
Smart Picks: 7 Blue-Chips Trading Below True Value
Blue-chip stocks are shares of well-established, stable firms that pay dividends in most cases. It's that combination of stability and dividend income that makes them so attractive.
"The Great Reshuffle": 3 Winning Technologies
Due to the labor market's "Great Reshuffle", the workforce has changed dramatically in just a few years. However, where there's change, there's opportunity.
Where Will AMD Stock Be in 1 Year?
Shares of AMD have pulled back from their 52-week high, but could regain their mojo thanks to the data center business. Customers are interested in AMD's new AI chips.
The 12 Best Stocks to Buy Now
Our list of the best stocks to buy now reflect the lesson of the past few years: Be ready for anything.
AMD Unveils Purpose-Built, FPGA-Based Accelerator for Ultra-Low Latency Electronic Trading
— New AMD Alveo fintech accelerator card provides trading firms and brokerages with breakthrough trade execution performance at nanosecond speed and AI-enabled trading strategies —
Big Tech Titans Feel the Chill as AI Stocks Slide
You only need to look at the one-month decline in AI chip powerhouse Nvidia Corp. NASDAQ: NVDA to understand that something has changed. Is Nvidia's pullback a sign that the AI rally that fueled big tech sector gains is taking a breather as interest rates rise?
Best Artificial Intelligence (AI) Stock to Buy Now: AMD vs. IBM
Artificial intelligence is in its early stages of capturing investors' imagination and enthusiasm.
5 Oversold Semiconductor Stocks to Nibble On Ahead of Q3 Earnings
Semiconductor stocks have struggled over the past few months and present an opportunity for traders as the Q3 earnings season approaches. Many of these stocks have been beaten down hard and are oversold, presenting an above-average opportunity for a rebound.
Fortune's Forecast: Top 3 Stocks Set to Dominate the Next Decade
In this dynamic world, finding stocks with the potential to thrive over the long haul is akin to discovering hidden treasure. As technology steps into a new decade, three stocks stand out on the horizon, poised to dominate their respective industries.
Advanced Micro Devices, Inc. (AMD) is Attracting Investor Attention: Here is What You Should Know
Advanced Micro (AMD) has been one of the stocks most watched by Zacks.com users lately. So, it is worth exploring what lies ahead for the stock.
Advanced Micro Devices: Down 25% In 3 Months, Is AMD Stock A Buy?
Semiconductor stocks like Advanced Micro Devices, Inc. have been boosted by the generative AI hype cycle in 2023, despite less-than-ordinary financial performance. While AMD is still up ~50% year-to-date, the stock is down by more than 25% over the last three months. Learn the primary driver of this retrenchment in this note. Despite the recent stock price decline, AMD's fundamentals remain strong, with an imminent revenue growth re-acceleration and margin expansion on the horizon.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Hidden Gems: 3 Growth Stocks Flying Under the Radar.
On Wednesday, the Federal Reserve decided to maintain its benchmark interest rate without making any changes. There is increasing confidence that the U.S. will reach normal price levels with little chance of slipping into recession.
1 Massive Overlooked Risk for Intel and AMD
The semiconductor industry is in for some big changes as new design architectures come to bear. Arm chips made headway in markets traditionally dominated by Intel and AMD, and RISC-V chips could be next to do so.
2 Charts That Show Semiconductor Stocks Are Poised to Drop
The S&amp;P Semiconductors Select Industry Index has topped both price-wise and on a relative basis. That bodes poorly for the sector.
3 Chip Stocks Crushing the Market With More Room to Run
The semiconductor field evolves rapidly, requiring yearly product upgrades. It's a complex, costly and vital industry, particularly in the AI and Web 3.0 era, offering growth and security opportunities for top-performing companies.
Cathie Wood Has Been Buying This Growth Stock Hand Over Fist in 2023 and It Looks Like a Bargain Right Now
Cathie Wood's ARK Invest has been loading up on shares of AMD since the beginning of 2023. AMD's fortunes are likely to turn around in the second half of the year.
2 AI Chip Stocks to Buy Not Named Nvidia
AMD and Qualcomm both trail Nvidia when it comes to AI chips. Each company still has a lot of catalysts that could be long-term tailwinds, and investors appear to be missing the bigger picture.</t>
  </si>
  <si>
    <t>Semiconductors</t>
  </si>
  <si>
    <t xml:space="preserve">
    Market Cap (intraday) 166.12B
         Enterprise Value 162.70B
             Trailing P/E     NaN
              Forward P/E   24.63
PEG Ratio (5 yr expected)    1.18
        Price/Sales (ttm)    7.60
         Price/Book (mrq)    3.01
 Enterprise Value/Revenue    7.44
  Enterprise Value/EBITDA   39.91</t>
  </si>
  <si>
    <t>Exxon, Hess exit Kaieteur offshore oil exploration block in Guyana
U.S. oil producers Exxon Mobil and Hess Corp have withdrawn from exploring the offshore Kaieteur block in Guyana's ultra-deep waters, Exxon said on Thursday, after disappointing exploration results.
Hess: The Future Of Oil And Gas
Oil and gas continues to grow despite the rise of preferred energy sources due to a lack of realistic plans and investment in alternative energy. Chart Industries, a major supplier of natural gas handling equipment, has a positive outlook and booming business in the hydrogen, carbon capture, and natural gas markets. The low investment in renewable energy transition hinders a fast energy transition, resulting in a bright outlook for oil and gas despite market share concerns.
Hess Midstream: Best In Class With A Reliable Dividend
Hess Midstream operates in the midstream industry, providing services to Hess Corporation and generating reliable and sustainable free cash flow. HESM has a high dividend yield of over 8% and expects 10% FCF growth each year until 2025, supporting further dividend raises. HESM has outperformed the XLE and has a declining price-to-earnings ratio, making it an appealing investment with reliable earnings potential.
Jericho Energy Ventures' Portfolio Company H2U Achieves Unprecedented Performance and Durability with Non-Iridium Catalysts
Non-Iridium Materials Tackle Supply Chain Hurdles for Sustainable Hydrogen Production TULSA, OK / ACCESSWIRE / September 26, 2023 / Jericho Energy Ventures Inc. (TSXV:JEV)(OTC PINK:JROOF)(FRA:JLM) ("Jericho", "JEV" or the "Company") is pleased to announce that its portfolio company, H2U Technologies ("H2U"), a next-generation electrolyzer developer, has reported results from durability tests on new, lower-cost, iridium-free catalyst materials that demonstrate a projected lifetime of 25,000 hours . JEV co-led H2U's 2021 Series A financing alongside Dolby Family Ventures, Hess Corporation (NYSE: HES) and Motus Ventures, and also has an appointee to H2U's Board of Directors.
Hess Corporation: Time To Buy The Dip
Hess Corporation's recent decline in value presents a strong investment opportunity. The company expects significant production growth through 2027, supported by projects in Guyana and shale. Hess Corporation has minimal debt obligations and strong assets, making it poised for strong shareholder returns.</t>
  </si>
  <si>
    <t>Hess Corporation</t>
  </si>
  <si>
    <t xml:space="preserve">
    Market Cap (intraday) 46.98B
         Enterprise Value 54.02B
             Trailing P/E  31.94
              Forward P/E  18.45
PEG Ratio (5 yr expected)   0.29
        Price/Sales (ttm)   4.38
         Price/Book (mrq)   5.68
 Enterprise Value/Revenue   5.02
  Enterprise Value/EBITDA  10.41</t>
  </si>
  <si>
    <t>Mondelēz International Completes Sale Of Developed Market Gum Business to Perfetti Van Melle
CHICAGO, Oct. 02, 2023 (GLOBE NEWSWIRE) -- Mondelēz International (Nasdaq: MDLZ) today announced it has completed the sale of its developed-market gum business in the United States, Canada and Europe, excluding Portugal, to Perfetti Van Melle Group, a leading global gum and confectionery maker. The Portugal portion of the business is being retained by Mondelēz pending regulatory clearance from the Portuguese Competition Authority, which the parties expect will be forthcoming in the near term.
Big Food vs. Big Pharma: Companies bet on snacking just as weight loss drugs boom
Kellogg, J.M. Smucker and other food companies are making big bets on snacking, but the rise of Wegovy and Ozempic could pose a threat to future sales growth.
3 Dividend Growth Stocks for Long-Term Returns
Dividend growth investors consider multiple things when buying a stock, such as dividend yields and price-to-earnings (P/E) ratios. These investors should also incorporate a company's future growth potential into their analysis.
Mondelez International: Fairly Valued With A Diverse Snack Portfolio
Mondelez International, Inc. has a wide moat based on its competitive advantages, including a wide range of category offerings, household brand reputation, and international footprint. The management team is committed to returning capital to shareholders through dividends, share buybacks, and price appreciation. Mondelez International has consistently grown its revenue and net income over the past 5 years due to its resiliency, making it a great choice for risk-tolerant investors.
Defensive Dividend Growth: Has Mondelez Become Unbeatable?
Mondelez International is a top consumer defensive stock with a 2.4% dividend yield and a strong dividend track record. The company has outperformed the Consumer Staples ETF and the S&amp;P 500, thanks to its focus on the right products, expanding into strong markets, and improving margins. Mondelez achieved impressive financial results in the first half of 2023, with organic net revenue growth of nearly 18% and strong pricing power.
October Is Very Scary for the Stock Market: 7 ‘Strong Buy' Warren Buffett Dividend Stocks Are Very Safe Bets
Wall Street is all about statistics. One of the grim ones is the fact that the last 10 trading days of September are typically the worst of the year.</t>
  </si>
  <si>
    <t>Mondelez International</t>
  </si>
  <si>
    <t>Packaged Foods &amp; Meats</t>
  </si>
  <si>
    <t xml:space="preserve">
    Market Cap (intraday)  94.41B
         Enterprise Value 114.65B
             Trailing P/E   23.06
              Forward P/E   19.65
PEG Ratio (5 yr expected)    2.04
        Price/Sales (ttm)    2.79
         Price/Book (mrq)    3.30
 Enterprise Value/Revenue    3.36
  Enterprise Value/EBITDA   17.65</t>
  </si>
  <si>
    <t>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Philip Morris (PM) Offers Growth Targets for 2024-2026 Period
Philip Morris (PM) offers compound annual growth targets for 2024-2026 at Investor Day. It aims to generate more than two-thirds of its total net revenues from smoke-free products by 2030.
Philip Morris Stock: Cheaper And Stronger
Philip Morris International has experienced stronger-than-expected growth in its reduced-risk product range, making it more attractive to investors. The company's iQOS brand has been highly successful, achieving significant revenue growth and profitability. Philip Morris aims to generate at least two-thirds of its overall revenue from reduced-risk products by 2030.
Philip Morris: Robust Investor Day Update Calms Undue Fears (Rating Upgrade)
Philip Morris International Inc. stock has fallen steeply since its July earnings call. Given the sharp surge in the US Dollar Index, investors were likely worried about its revenue exposure. However, PM has a well-diversified global revenue base and dominant market share in the heat-not-burn category. The company's positive update and upgraded adjusted EPS outlook at its recent Investor Day demonstrates its conviction and abilities in leading the smoke-free transition.
2 Stocks Drawing Analyst Attention Today
Philip Morris International Inc. (NYSE:PM) and General Electric Co (NYSE:GE) are attracting attention today.
Philip Morris develops zero-tobacco heat stick that may avoid regulations
Philip Morris International (PMI) on Thursday unveiled a zero-tobacco stick for use with its "heat-not-burn" device IQOS, which may help the company avoid tax and other regulations that affect its tobacco products in some markets.
Philip Morris International lowers earnings outlook on currency shifts
Philip Morris International PM, -0.82% lowered its earnings outlook for the year, citing the strengthening of the U.S. dollar against a range of currencies, as well as a balance-sheet-related currency impact in Argentina. It's lowering its 2023 earnings per share forecast to a range of $5.19 and $5.28, which it said is still a rise of 8% to 9.5% after adjustments.
Philip Morris International Inc. Hosts 2023 Investor Day
STAMFORD, CT--(BUSINESS WIRE)--Regulatory News: Philip Morris International Inc.'s (NYSE: PM) senior management presents the company's business strategies and growth outlook today at its 2023 Investor Day, held at the company's Operations Center in Lausanne, Switzerland. Further explanation of PMI's use of non-GAAP measures cited in this document and reconciliations to the most directly comparable U.S. GAAP measures can be found in Exhibit 99.3 to the company's Form 8-K dated September 28, 2023.
7 Vice Stocks to Buy Ahead of a Possible Recession
Ahead of a possible recession, investors may want to consider certain vice stocks to buy. To be sure, the main reason centers on cynicism.
Philip Morris International: A Hidden Gem For Conservative Investors
Philip Morris International is one of the largest tobacco companies headquartered in Stamford, with well-known cigarette brands such as Marlboro, L&amp;M, and Bond Street in its portfolio. The Company's ' revenue for the three months ended June 30, 2023, amounted to $8.97 billion, 11.8% more than the previous quarter and 14.6% more than the second quarter of 2022. PM acquired Swedish Match in 2022 to diversify its business and reduce its financial dependence on cigarette sales.
3 Dividend Growers Investors Can Buy Now and Hold Forever
Lowe's is paying six times the dividends it was 10 years ago. PepsiCo's durable brands give the company remarkable pricing power.</t>
  </si>
  <si>
    <t>Philip Morris International</t>
  </si>
  <si>
    <t xml:space="preserve">
    Market Cap (intraday) 143.72B
         Enterprise Value 188.12B
             Trailing P/E   17.91
              Forward P/E   13.64
PEG Ratio (5 yr expected)    2.73
        Price/Sales (ttm)    4.33
         Price/Book (mrq)     NaN
 Enterprise Value/Revenue    5.67
  Enterprise Value/EBITDA   14.19</t>
  </si>
  <si>
    <t>Norton Introduces New Small Business Solution with 24/7 Triple-Lock Cybersecurity for Small Teams
Scams and phishing make up 85% of online threats for small businesses in the US in 2023, yet many lack the budget and tools to protect themselves TEMPE, Ariz. and PRAGUE , Sept.</t>
  </si>
  <si>
    <t>Gen Digital</t>
  </si>
  <si>
    <t xml:space="preserve">
    Market Cap (intraday) 11.31B
         Enterprise Value 20.29B
             Trailing P/E   8.34
              Forward P/E   8.99
PEG Ratio (5 yr expected)   0.74
        Price/Sales (ttm)   3.13
         Price/Book (mrq)   4.84
 Enterprise Value/Revenue   5.67
  Enterprise Value/EBITDA  11.64</t>
  </si>
  <si>
    <t>Fortinet to Announce Third Quarter 2023 Financial Results
SUNNYVALE, Calif., Oct. 02, 2023 (GLOBE NEWSWIRE) -- News Summary Fortinet® (NASDAQ: FTNT), the global cybersecurity leader driving the convergence of networking and security, announced that it will hold a conference call to discuss its third quarter 2023 financial results on Thursday, November 2, at 1:30 p.m. Pacific Time (4:30 p.m. Eastern Time).
Fortinet Joins the United Nations Global Compact
Membership emphasizes Fortinet's focus on embedding sustainability and responsible corporate governance into its operations and business model Membership emphasizes Fortinet's focus on embedding sustainability and responsible corporate governance into its operations and business model
What's Going on With Fortinet Stock?
Management is forecasting robust industry growth between now and 2030.
Great News for Fortinet Stock Investors
The cybersecurity company expects revenue to accelerate later this year.
Fortinet Announces Formation of Veterans Program Advisory Council to Narrow the Cybersecurity Skills Gap with Military Veteran Talent
Council Members from Five Eyes Nations Will Help Advance the Fortinet Veterans Program's Impact on Supporting Military Veterans in Transitioning to Careers in Cybersecurity Council Members from Five Eyes Nations Will Help Advance the Fortinet Veterans Program's Impact on Supporting Military Veterans in Transitioning to Careers in Cybersecurity
Fortinet, Inc. (FTNT) is Attracting Investor Attention: Here is What You Should Know
Zacks.com users have recently been watching Fortinet (FTNT) quite a bit. Thus, it is worth knowing the facts that could determine the stock's prospects.
Why Is Everyone Talking About Fortinet Stock?
Rapid revenue growth is capturing investor attention.
Don't Miss the Boom: 3 Cybersecurity Stocks Set to Explode Higher
The world increasingly relies on the internet to store data, make purchases and communicate with friends. While the digital world has provided many benefits, it has also resulted in cybercrime.
Why Fortinet (FTNT) is a Top Growth Stock for the Long-Term
Wondering how to pick strong, market-beating stocks for your investment portfolio? Look no further than the Zacks Style Scores.</t>
  </si>
  <si>
    <t>Fortinet</t>
  </si>
  <si>
    <t xml:space="preserve">
    Market Cap (intraday) 46.08B
         Enterprise Value 43.76B
             Trailing P/E  44.12
              Forward P/E  33.56
PEG Ratio (5 yr expected)   1.88
        Price/Sales (ttm)   9.35
         Price/Book (mrq) 143.47
 Enterprise Value/Revenue   8.77
  Enterprise Value/EBITDA  32.39</t>
  </si>
  <si>
    <t>First Solar: Among My Top Picks In The Solar Energy Industry
First Solar, Inc. presents an opportunity for investors seeking exposure to the thriving solar energy sector. With its innovative technology, strong financial performance, expanding production capacity, and a backlog that stretches into the future, First Solar is poised for remarkable growth and stellar margin expansion. First Solar's strategic focus on the United States, complemented by manufacturing facilities in stable nations like India, Vietnam, and Malaysia, minimizes geopolitical risks while capitalizing on the growing solar industry.
First Solar, Inc. (FSLR) is Attracting Investor Attention: Here is What You Should Know
First Solar (FSLR) has been one of the stocks most watched by Zacks.com users lately. So, it is worth exploring what lies ahead for the stock.
First Solar: Earnings Rebound In Full Swing, Patience Needed For A Momentum Upturn
Energy equities have performed well, while solar stocks have struggled due to rising interest rates over recent months. First Solar is the largest vertically-integrated solar manufacturer in the US and has the potential for strong earnings growth in the future. The stock has improving earnings trends, and it offers an optimistic growth story, although technical indicators suggest near-term downside.
Don't Miss the Boom: 3 Renewable Energy Stocks Set to Explode Higher
Renewable energy is the future. Solar capacity across the world will grow by 600 gigawatts by 2024 and renewable energy resources will make up for 30% of the world's electricity today by 2030, as per data from earth.org.
FSLR Stock Alert: What to Know as First Solar Settles Lawsuit
First Solar (NASDAQ: FSLR ) stock is worth keeping tabs on Thursday after the solar power company completed a lawsuit with Toledo Solar. The end of this lawsuit has Toledo Solar settling with First Solar.
Toledo Solar and First Solar settle lawsuit for undisclosed amount
Toledo Solar said on Wednesday it had reached a mutually agreeable settlement with First Solar on the company's lawsuit against it, with the terms of the settlement remaining confidential.
6 Goldman Sachs Conviction List Top Growth Stock Picks With Massive Upside Potential
The artificial intelligence rally this year led by the “Magnificent 7” has been awesome if you owned those stocks.
3 Climate Change Stocks to Profit From the Eco-Trends Boom
After a summer of record heat, raging wildfires, and extreme flooding around the globe. And the impacts of climate change are being felt even more acutely.
First Solar (FSLR) Commences Louisiana Facility Construction
First Solar (FSLR) begins the construction of its Louisiana manufacturing facility, which comes with a capacity of 3.5 GW.
3 Solar Stocks That Should Be on Every Investor's Radar This Fall
As autumn leaves give the ground a rustic makeover, astute investors might also consider revamping their financial portfolios. In that context, let's talk solar—the ever-buzzing energy segment that just can't be ignored anymore.</t>
  </si>
  <si>
    <t>First Solar</t>
  </si>
  <si>
    <t xml:space="preserve">
    Market Cap (intraday) 17.26B
         Enterprise Value 15.86B
             Trailing P/E 110.68
              Forward P/E  12.55
PEG Ratio (5 yr expected)    NaN
        Price/Sales (ttm)   5.77
         Price/Book (mrq)   2.86
 Enterprise Value/Revenue   5.30
  Enterprise Value/EBITDA  35.83</t>
  </si>
  <si>
    <t>9% Return Yield At $90 Oil - Diamondback Is The Only FANG You Need
Oil prices are rising due to supply constraints and strong export demand, despite weak economic growth. Diamondback Energy is a top pick for long-term oil exposure, with deep reserves, efficient operations, and shareholder-friendly distribution plans. FANG offers the potential for substantial returns through dividends, buybacks, and special dividends in an undervalued energy market.
Want $500 in Passive Income? Invest $3,500 Into These 3 Dividend Stocks and Wait 4 Years
Diamondback's variable dividend offers even more upside potential from this red-hot oil stock. NextEra Energy Partners generates steady cash flows from its sizable renewable energy portfolio.
Diamondback Energy, Inc. Releases 2023 Corporate Sustainability Report
MIDLAND, Texas, Sept. 26, 2023 (GLOBE NEWSWIRE) -- Diamondback Energy, Inc. (NASDAQ: FANG) (“Diamondback” or “the Company”) today released its 2023 Corporate Sustainability Report. The online report outlines Diamondback's approach to sustainability, commitment to environmental responsibility, managing and reducing risks, governance and business ethics, and our commitment to our people and communities. The report highlights Diamondback's performance in these categories through December 31, 2022, discusses Diamondback's sustainability targets and 2023 initiatives and is available at www.diamondbackenergy.com/about/sustainability.
3 High-Yield Energy Stocks That Are Distributing Massive Payouts to Investors
A major acquisition makes Enbridge's ultra-high-yield dividend look even safer. Diamondback Energy is an interesting way to get exposure to oil.
Oil Could Blow Through $100 by October: 7 ‘Strong Buy' Analyst Favorites That Pay Big Dividends
Since topping out at $120 a barrel back in the summer of 2022, the major oil benchmarks traded down every month until bottoming last December.</t>
  </si>
  <si>
    <t>Diamondback Energy</t>
  </si>
  <si>
    <t xml:space="preserve">
    Market Cap (intraday) 27.70B
         Enterprise Value 34.22B
             Trailing P/E   8.03
              Forward P/E   7.46
PEG Ratio (5 yr expected)    NaN
        Price/Sales (ttm)   3.36
         Price/Book (mrq)   1.78
 Enterprise Value/Revenue   4.18
  Enterprise Value/EBITDA   5.46</t>
  </si>
  <si>
    <t>AutoZone: Why A Dividend Could Be In Its Future
AutoZone, Inc. has aggressively been buying back its shares, rewarding shareholders in the process. Besides selling auto parts and diagnostic software, the company also leases some of its properties. AutoZone has only conducted two stock splits since going public, and one could be in its future as the company has bought back most of its shares.</t>
  </si>
  <si>
    <t>AutoZone</t>
  </si>
  <si>
    <t>Automotive Retail</t>
  </si>
  <si>
    <t xml:space="preserve">
    Market Cap (intraday) 45.36B
         Enterprise Value 48.00B
             Trailing P/E  19.19
              Forward P/E  17.33
PEG Ratio (5 yr expected)   1.28
        Price/Sales (ttm)   2.78
         Price/Book (mrq)    NaN
 Enterprise Value/Revenue   2.75
  Enterprise Value/EBITDA  13.82</t>
  </si>
  <si>
    <t>Citizens Financial Upgrade To Strong Buy, Undervalued With 6.3% Dividend Yield
Citizens Financial Group is upgraded to Strong Buy, from my June rating of Buy. Positives: 6.3% dividend yield, undervalued, earnings growth, company financial strength, share price presents buy opportunity for long-term investors. Risk of squeezing net interest margins has been discussed.
Banks Have Problems but Their Stocks Are Cheap. 5 Worth a Look.
Higher interest rates, which were supposed to be a savior for the sector, have instead led to many problems.</t>
  </si>
  <si>
    <t>Citizens Financial Group</t>
  </si>
  <si>
    <t xml:space="preserve">
    Market Cap (intraday) 12.66B
         Enterprise Value    NaN
             Trailing P/E   6.04
              Forward P/E   6.66
PEG Ratio (5 yr expected)    NaN
        Price/Sales (ttm)   1.52
         Price/Book (mrq)   0.59
 Enterprise Value/Revenue    NaN
  Enterprise Value/EBITDA    NaN</t>
  </si>
  <si>
    <t>CF Industries (CF) Shares Rally 23% in 3 Months: Here's Why
While CF Industries (CF) is exposed to challenges from weaker nitrogen prices, it is benefiting from healthy nitrogen fertilizer demand in major markets and lower natural gas costs.
Cultivating Growth: Investment Outlook For CF Industries
CF Industries is a nitrogen-based fertilizer producer with a strong market position in North America. I am bullish on this stock because of four things: more corn, cheap natural gas, carbon-free ammonia, and strong fundamentals. Increased corn acreage will drive demand for nitrogen-based fertilizers.
CF Industries: Severely Undervalued ESG Play May Yield Hidden Alpha
CF Industries is a company focused on providing clean energy solutions through the production of ammonia. The company's financials are strong, with positive economic reporting and high returns on invested capital. CF Industries is actively exploring opportunities in the hydrogen-based fuel and fertilizer markets, positioning itself for long-term growth.</t>
  </si>
  <si>
    <t>CF Industries</t>
  </si>
  <si>
    <t>Fertilizers &amp; Agricultural Chemicals</t>
  </si>
  <si>
    <t xml:space="preserve">
    Market Cap (intraday) 16.54B
         Enterprise Value 16.57B
             Trailing P/E   7.06
              Forward P/E  11.48
PEG Ratio (5 yr expected)    NaN
        Price/Sales (ttm)   1.94
         Price/Book (mrq)   2.85
 Enterprise Value/Revenue   1.90
  Enterprise Value/EBITDA   3.73</t>
  </si>
  <si>
    <t>3 Restaurant Stocks Set to Explode Higher
The restaurant industry can be very competitive. However, if management gets it right, these stocks can outperform massively.
Federal agency sues Chipotle for alleged religious harassment, retaliation against Muslim worker
A federal agency sued Chipotle over allegations a worker at a Kansas store faced religious harassment and retaliation after a manager forcibly removed her hijab.
Federal agency sues Chipotle after a Kansas manager allegedly forcibly removed employee's hijab
A federal agency has sued the restaurant chain Chipotle Mexican Grille Inc., accusing it of religious harassment and retaliation after a manager at a Kansas location forcibly removed an employee's hijab, a headscarf worn by some Muslim women.
A Look at Ackman's Gourmet Picks
Bill Ackman (Trades, Portfolio), known for uncovering well-managed brands with significant growth potential, has invested in two standout companies: Chipotle Mexican Group Inc. ( CMG , Financial) and Restaurant Brands International Inc. ( QSR , Financial).
5 Stocks That Have Massive Upside According to Analysts
Analyst ratings are not perfect, but they're one of the better ways for investors to forecast future stock price movement. Here are five stocks that analysts believe have massive upside for patient, long-term investors.
Looking to Buy Cava Stock? Consider This Magnificent Restaurant Stock Instead
Cava's growth might be a compelling trait, but it has a long way to go to prove its worth. Chipotle is the clear leader in the fast-casual category, and its numbers back it up.
9 Stocks Turn $10,000 Into $141,941 In 9 Months
Stocks tanked right on cue in September. But nimble S&amp;P 500 investors are still finding ways to make big money.
Chipotle: Keep This Amazing Growth Stock On Your Watchlist
Chipotle Mexican Grill has developed a reputation as one of the most impressive growth stocks on Wall Street. The Mexican restaurant company logged firmly double-digit revenue and adjusted diluted EPS growth. Chipotle has no long-term debt on its balance sheet, which should help fund thousands of new restaurant openings this decade and beyond.
Chipotle: Following Bill Ackman's Rationale To Owning The Stock
Bill Ackman's Pershing Square fund owns 3.4% of Chipotle's outstanding share capital, making it the largest holding in the fund. Ackman admires Chipotle's straightforward and cash-generative business model, as well as the company's ownership of all its restaurants. Chipotle's clean balance sheet and ability to capitalize on favorable interest rates further contribute to its strong cash flow generation and profitability.
Chipotle Vs. CAVA: Which Is The Better Buy?
Cava, a Mediterranean fast-casual restaurant, went public recently but has seen its stock price drop nearly 50% from highs due to concerns about expensive future growth and a high valuation. Chipotle, a Mexican fast-casual chain, has a longer track record of success with consistent top and bottom-line growth, making it a more predictable investment. Which stock is more worthy of your hard-earned cash? Today we investigate.
ARCO or CMG: Which Is the Better Value Stock Right Now?
Investors looking for stocks in the Retail - Restaurants sector might want to consider either Arcos Dorados (ARCO) or Chipotle Mexican Grill (CMG). But which of these two stocks presents investors with the better value opportunity right now?
Spice Up Your Portfolio With This Chipotle Stock Option Trade
A Chipotle stock bull put spread would generate roughly $185 in premium.
These 20 growth stocks are worth considering on a pullback, says Citi
Citi has released a list of 20 large-cap growth stocks that it says present opportunities in the event of a pullback.
11 Beaten-Up Growth Stocks That Look Like Buys, Says Citi
Chipotle, Draftkings, Lam Research and eight other stocks may be underappreciated by investors, according to a screen run by Citi analysts.
Hidden Gems: 3 Growth Stocks Flying Under the Radar.
On Wednesday, the Federal Reserve decided to maintain its benchmark interest rate without making any changes. There is increasing confidence that the U.S. will reach normal price levels with little chance of slipping into recession.</t>
  </si>
  <si>
    <t>Chipotle Mexican Grill</t>
  </si>
  <si>
    <t xml:space="preserve">
    Market Cap (intraday) 50.54B
         Enterprise Value 53.07B
             Trailing P/E  45.77
              Forward P/E  33.90
PEG Ratio (5 yr expected)   1.37
        Price/Sales (ttm)   5.49
         Price/Book (mrq)  18.26
 Enterprise Value/Revenue   5.72
  Enterprise Value/EBITDA  29.99</t>
  </si>
  <si>
    <t>American Tower: A Strong Addition To Any Portfolio
American Tower Corporation is a good investment opportunity due to the increasing demand for 5G networks and its vast communication network infrastructure. AMT's extensive portfolio of communication sites and interconnected footprint position it as a key player in the industry. The company's growth potential in the data center segment and solid financial performance make it an attractive investment option.
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4 Dividend Stocks to Buy in Fall 2023
The American stock market has struggled in September 2023, a historically volatile month. The combination of higher interest rates and oil prices has taken the wind out of the market's momentum.
American Tower: Quant Says It's A Sell, I Say It's A Buy
REITs have been hit hard recently, but now may be a good time to invest in the sector due to market opportunities. American Tower is a global provider of wireless communications infrastructure with a strong presence in India, Mexico, and Brazil. The high population and increasing demand for wireless connections in these countries make AMT a promising investment.
The Towering Inferno: SBA Communications And American Tower Entering Buy-Zones
Tower REITs have been set ablaze by the REIT selloff. Investors have themselves to blame as they bid these to insane levels in 2021. Things are looking good for the patient investor and we give you three reasons why 8% annual returns from here are very likely.
Why I Keep Buying Shares of This Towering Dividend Stock
American Tower's stock price has fallen sharply this year while the dividend has continued rising. That has the REIT trading at a more compelling valuation and dividend yield.
3 Stocks You'll Be Glad You Bought at These Prices
Alexandria Real Estate Equities focuses on must-have lab space. American Tower is the world's largest private cell tower owner.
Here are the 18 stocks Jim Cramer is watching, including names in EVs, beauty and oil
Here are some of the tickers on my radar for Wednesday, Sept. 27, taken directly from my reporter's notebook.
2 Stocks I Bought Last Week
Disney is going through a tough period as it shifts to streaming, but its world-class collection of intellectual property should see it through. American Tower is suffering a slowdown in capital investments from telecom companies, but the long-term story remains unchanged.
Don't Miss the Boom: 3 5G Stocks Set to Explode Higher
As the digital landscape evolves rapidly, 5G — fifth-generation wireless technology — stands at the forefront of this transformation, anchoring the promises of tomorrow's hyper-connected universe. With the world's devices yearning for faster connections and lower latency, the stars seem perfectly aligned for investors eyeing the best 5G stocks to buy.
Is American Tower A Buy After The Much Needed Correction?
With the tightening capital market and dilutive/debt-laden nature of REITs in general, it is unsurprising that AMT has similarly lost -43% of its value since the August 2021 top. For example, AMT still reports elevated long-term debts of $35.58B, with the expanding weighted average interest rate contributing to the increase in its annualized interest expenses to $1.39B. Then again, the management has moderately raised its FY2023 property revenue guidance to $10.88B (+3.9% YoY), adj EBITDA to $6.99B (+6.5% YoY), and AFFO per share to $9.70 (inline YoY).
This REIT Myth MUST Be Debunked
The markets reacted negatively to the Federal Reserve's comments on interest rates, causing declines in major stock gauges. The belief that rising interest rates negatively impact REITs is a myth, as REITs offer growth potential and higher total returns compared to bonds. REITs like American Tower, VICI Properties, and Extra Space are attractive investment opportunities with strong fundamentals and potential for future growth.</t>
  </si>
  <si>
    <t>American Tower</t>
  </si>
  <si>
    <t>Telecom Tower REITs</t>
  </si>
  <si>
    <t xml:space="preserve">
    Market Cap (intraday)  76.66B
         Enterprise Value 121.82B
             Trailing P/E   80.22
              Forward P/E   32.68
PEG Ratio (5 yr expected)    1.93
        Price/Sales (ttm)    7.03
         Price/Book (mrq)   14.84
 Enterprise Value/Revenue   11.16
  Enterprise Value/EBITDA   22.16</t>
  </si>
  <si>
    <t>Dow Stocks To Trade In October
This long and short equity strategy has generated superior returns based upon cycles and relative strength.
P&amp;G (PG) Gains From Solid Product Portfolio, Pricing Actions
Procter &amp; Gamble (PG) stays afloat in a tough environment, thanks to its product portfolio, pricing actions, and productivity and cost-saving plans.
2 Top Dividend Stocks You Can Buy and Hold Forever
Procter &amp; Gamble and Target are Dividend Kings. Procter &amp; Gamble's products generate consistent sales and strong cash flow.
The Smartest Dividend Stocks to Buy With $400 Right Now
Coke is boosting sales and profit margins, yet the stock has underperformed in 2023. P&amp;G's streak of dividend hikes is approaching 70 years.
P&amp;G Alumni Global Conference 2023: Meeting the Moment as a Force for Growth and Good
WASHINGTON--(BUSINESS WIRE)--The highly anticipated biennial conference of Procter &amp; Gamble (P&amp;G) alumni is set to take place in Washington, DC, from November 2-5, 2023. Themed "Meeting the Moment," this event will bring together former P&amp;G associates from across the globe, uniting them as a powerful force for growth and good. Featuring a diverse lineup of industry experts and emerging influencers, including current and past executive officers, the event will engage attendees in dyn.
Recession-Proof Royals: 3 Stocks That Thrive in Tough Economic Times
In the new century, economic uncertainty often looms. Finding investment opportunities that can weather the storm is a quest every investor undertakes.
Don't Miss Out: 3 Dividend Stocks to Buy on EVERY. SINGLE. DIP.
There is no better way to create wealth than investing in stocks. Not gold, not bonds, not real estate.
Nine Dow Stocks Are So Oversold They're 'Falling Off The Page'
The September sell-off in Dow Jones and S&amp;P 500 stocks is getting so intense, some wonder if it's already overdone.
A Look at P&amp;G's Recession-Proof Mastery
As economic uncertainties and unpredictable market shifts continue to impact the company, one company continues to have a robust performance - Procter &amp; Gamble Co. ( PG , Financial).
3 No-Brainer Warren Buffett Stocks to Buy Right Now
Amazon dominates in multiple fast-growing industries. American Express targets wealthier consumers with its popular cards.
October Is Very Scary for the Stock Market: 7 ‘Strong Buy' Warren Buffett Dividend Stocks Are Very Safe Bets
Wall Street is all about statistics. One of the grim ones is the fact that the last 10 trading days of September are typically the worst of the year.
7 Stocks That Could Soar Following the Fed's Latest Decision
In the wake of the Federal Reserve unveiling its monetary policy roadmap, investors are keenly examining which stocks to buy that stand to benefit. The Fed's depiction was largely positive, though the anticipation of one more rate hike before year-end provides food for thought.
3 Blue Chip Safe Havens to Shield Your Portfolio
The market had one of its worst weeks of the year, as the SPDR S&amp;P 500 ETF Trust NYSE: SPY tumbled almost 3% lower. The selloff swept the market last week after the Federal Reserve signaled that interest rates will likely stay higher for longer than previously anticipated.</t>
  </si>
  <si>
    <t>Procter &amp; Gamble</t>
  </si>
  <si>
    <t xml:space="preserve">
    Market Cap (intraday) 343.78B
         Enterprise Value 371.77B
             Trailing P/E   24.72
              Forward P/E   22.83
PEG Ratio (5 yr expected)    3.36
        Price/Sales (ttm)    4.42
         Price/Book (mrq)    7.48
 Enterprise Value/Revenue    4.53
  Enterprise Value/EBITDA   17.04</t>
  </si>
  <si>
    <t>Microsoft C.E.O. Testifies That Google's Power in Search Is Ubiquitous
Satya Nadella, the chief executive of Microsoft, is the government's biggest-name witness in its landmark antitrust case against Google.
Why Alphabet (GOOGL) Could Beat Earnings Estimates Again
Alphabet (GOOGL) has an impressive earnings surprise history and currently possesses the right combination of the two key ingredients for a likely beat in its next quarterly report.
Google monopoly trial shows appetite for enforcement on Big Tech, antitrust experts say
It's so associated with web searching that it's become a verb.
2 Breakout Growth Stocks You Can Buy and Hold for the Next Decade
Intel is embarking on a multiyear turnaround plan to position itself to better compete against rivals Nvidia and AMD. With its famous brands and robust growth, Alphabet is a stock every growth investor should consider.
Google Stock: How Might AI Impact Its Business
Google's AI potential is underestimated by the market, making the stock a buy. Google's Bard chatbot is growing rapidly, while OpenAI's ChatGPT growth has flattened. I further anticipate Google's new Gemini to be a milestone in AI applications, enabling multi-modal and differentiating capabilities.
Google Confirms It's a Big Broadcom AI Chip Customer -- But for How Long?
Google rumors helped solve a mystery surrounding a big Broadcom customer. Google is likely to remain a Broadcom customer for some time.
Highmark Health Is Partnering With Google Cloud To Develop Generative AI Solutions
Given Highmark's expansive footprint and Google Cloud's incredible technology, this could add significant value to millions of people.
Magnificent Seven tech stocks haven't been this cheap in six years, Goldman Sachs strategists say
The Federal Reserve may be wrong, but at least officials there won't be flying blind now that the government will stay open, keeping the nation's flow of economic data still running. In the early going, there was something of a relief rally, though it quickly evaporated.
2 Top Tech Stocks to Buy for the Long Haul
Smart investing means identifying companies with great long-term prospects and holding their stocks for years. Alphabet's massive revenue and fortress balance sheet make it a solid investment for the long term.
Billionaire Bill Ackman Thinks This Stock Will Be "a Dominant Player" in Artificial Intelligence (AI) for a Very Long Time
The hedge fund manager thinks Alphabet's public relations efforts related to its AI initiatives haven't been great. However, Ackman believes the tech giant has multiple enduring competitive advantages in AI.
7 S&amp;P 500 Stocks Set to Explode Higher
With a good deal of uncertainty over interest rate hikes and the potential for recession, markets have been far more volatile. However, if some of the uncertainty fades, we could also see a year-end rally, which I strongly believe could happen.
1 Artificial Intelligence (AI) Stock to Buy Now That Could Soar Like Nvidia
Google's parent company is investing in consumer and enterprise sides of AI technology. With its relatively low valuation, Alphabet's stock could richly reward long-term investors.
Got $5,000? Buy and Hold These 3 Value Stocks for Years
Messy financials are covering the steady growth of Nelnet. Concerns over the banking industry and car prices are scaring investors away from Ally.
US judge blasted for secrecy in Google antitrust case after presiding over Jan. 6 trials
Judge Amit P. Mehta is solely responsible for deciding if Google has broken the law in its quest to maintain dominance.
The Magnificent Seven could be considered the messy seven after a ‘meh' third quarter
The so-called Magnificent Seven lost some luster in the latest quarter, as they proved no longer the big market drivers they were earlier this year.
Psst: Here's why Google's antitrust trial against the Department of Justice isn't being talked about much
Google's top executives have long established a reputation of saying as little as possible on most topics: Earnings calls. Product development plans.
Google: Tempering Our Enthusiasm
Alphabet's operating leverage is on the way up, but free cash flow generation looks poised to decrease in the second half of the year. While Google's P/E valuations are no longer cheap, the sturdy nature of its earnings growth through FY25 (19% CAGR) should not be dismissed. Bullish momentum appears to have come off and the stock has entered an old congestion zone.
The Next Stage Of Google's Rally Just Started
Despite a sudden 8% drop in the earlier part of the week, shares of Alphabet Inc NASDAQ: GOOGL are well on their way to undoing the dip and reclaiming their recent highs. The current rally, underway since last November, has already tacked on as much as 65% to share value.
Billionaire investor Bill Ackman channeled Warren Buffett when he bet big on Alphabet this spring
Bill Ackman channeled Warren Buffett when he invested in Google-parent Alphabet this spring. He capitalized on market fear to buy in cheap, took a long-term view, and prized predictability.
GOOG Stock Outlook: Why Alphabet Is Still a ‘Magnificent' Buy
Alphabet's (NASDAQ: GOOG , GOOGL ) flagship Google search engine just turned 25 this week. However, among GOOG stock investors, there isn't much celebration going on about reaching this milestone.
Amazon's Big AI Investment Just Put Microsoft and Alphabet on Notice
Microsoft kickstarted the generative AI revolution with its investment in ChatGPT creator OpenAI, and Google quickly responded with its Bard chatbot. Amazon had been largely left out of the conversation, until now.
Don't Miss the Boom: 7 Blue-Chip Stocks Set to Explode Higher
Looking for the best blue-chip stocks to buy might seem boring, especially compared to stocks that make big moves. In fortifying your investment portfolio, dipping your toes into the volatile waters of penny and small-cap stocks can be incredibly tempting.
Microsoft CEO Satya Nadella to testify on Monday in Google antitrust trial
Microsoft chief executive Satya Nadella is expected to testify on Monday as a witness for the U.S. Justice Department, according to a filing on the docket of its once-in-a generation court fight against Alphabet's Google.
Forbidden Apple: Google trial secrets remain hard to unlock
Conservative groups are clapping back against Google's efforts to keep its secretive relationship with Apple under lock and key.
Microsoft weighed taking massive loss on Apple deal to compete with Google search, exec says
DOJ lawyers say Google relies on default search engine deals to build an illegal monopoly.
Alphabet (GOOGL) Boosts Chromebook Features With ChromeOS 117
Alphabet's (GOOGL) Google launches ChromeOS 117, adding Material You and several other usability feature updates to Chromebook.
2 AI Stocks to Keep on Your Watch List
Tesla is banking on AI to improve its operations and sustain long-term growth. Alphabet is leveraging AI across Google search engines, cloud computing, and moonshot bets.
Will Google's SGE Revolutionize Advertising?
Investor Bill Ackman (Trades, Portfolio), through his company Pershing Square, made changes to his portfolio according to the latest filing on August 14, 2023. One notable addition to his holdings is Alphabet Inc ( GOOG , Financial), with a weight of 11% in his portfolio.
Don't Miss the Boom: 3 Communication Stocks Set to Explode Higher
Communication has entrenched itself deeply within the fabric of our daily existence. Whether we're engrossed in a high-speed broadband connection, shooting off a quick text, or attending a voice mail, our dependence on these channels is unmistakable.
Secrecy of Google Antitrust Trial Leads to Blame Game
The judge and government lawyers are defending themselves against criticism for letting tech executives testify behind closed doors.
Apple leverages idea of switching to Bing to pry more money out of Google, Microsoft exec says
Apple was never serious about replacing Google with Microsoft's Bing as the default search engine in Macs and iPhones, but kept the possibility open as a "bargaining chip'' to extract bigger payments from Google, a Microsoft executive testified Wednesday in the biggest U.S. antitrust trial in a quarter century.
"The Great Reshuffle": 3 Winning Technologies
Due to the labor market's "Great Reshuffle", the workforce has changed dramatically in just a few years. However, where there's change, there's opportunity.
Apple used Bing as ‘bargaining chip' to pry more money out of Google, Microsoft exec says
WASHINGTON — Apple was never serious about replacing Google with Microsoft's Bing as the default search engine in Macs and iPhones, but kept the possibility open as a “bargaining chip” to extract bigger payments from Google, a Microsoft executive testified Wednesday in the biggest U.S. antitrust trial in a quarter century.
Google created hurdles to protect smartphone foothold, small search firm says
The founder of Branch Metrics, which developed a method of searching within smartphone apps, told a U.S. antitrust trial on Wednesday how his company struggled to integrate with devices because of steps Google took to block them.
Microsoft exec says Apple used Bing as ‘bargaining chip' to get more money from Google
“It is no secret that Apple is making more money on Bing existing than Bing does,'' Mikhail Parakhin, Microsoft's chief of advertising and web services, said during testimony in the landmark antitrust trial.
Google's 25th birthday: Stock would be worth $5,100 without splits
Google is celebrating its 25th birthday, but as far as Wall Street is concerned, the company is still only 19 years old, and some might say it's really only eight years old.
Amazon's and Google's stocks could be a ‘win-win' even if both companies face government-ordered breakups
Today is Google's 25th birthday. Today is also a day when investors are reacting to a lawsuit by the Federal Trade Commission and 17 states against Amazon.com Inc., accusing the company of “illegally maintaining monopoly power.
Google was accidentally leaking its Bard AI chats into public search results
Conversations with the Google chatbot turned up in search results for common queries—an issue the company says was an error. AI-powered chatbots are designed to be the always-available advisors that will power the next era of productivity.
What Google's (deleted) chats mean for its antitrust battle with the DOJ
Chat records reveal employees at the search giant frequently discussing going “off the record,” as part of what the Dept. of Justice calls a “remarkable” number of deletions As part of the Justice Department's landmark antitrust case against Google, lawyers for the U.S. government have tried to draw attention to a giant black hole at the center of the trial: a “remarkable” number of deleted employee chat conversations apparently about issues relevant to its lawsuit and others.
Here is What to Know Beyond Why Alphabet Inc. (GOOGL) is a Trending Stock
Zacks.com users have recently been watching Alphabet (GOOGL) quite a bit. Thus, it is worth knowing the facts that could determine the stock's prospects.
Better Artificial Intelligence (AI) Stock: Microsoft vs. Alphabet
The AI market is booming and expected to develop at a CAGR of 37% through 2030. Microsoft has access to some of the most powerful AI models.
Big Tech Titans Feel the Chill as AI Stocks Slide
You only need to look at the one-month decline in AI chip powerhouse Nvidia Corp. NASDAQ: NVDA to understand that something has changed. Is Nvidia's pullback a sign that the AI rally that fueled big tech sector gains is taking a breather as interest rates rise?
2 Stocks to Buy in an Unstoppable Industry
Cloud computing will benefit from the rise of AI. Amazon's AWS will return to growth mode when the economic outlook brightens.
2 Super Stocks to Buy During the Latest Sell-Off in the Nasdaq
August and September are seasonally weak for the stock market. The Nasdaq Composite technology index has declined by 7.5% since the beginning of August.
Most of S&amp;P 500's Gains Driven by 7 Firms, Others Up Less than 5% YTD
The S&amp;P 500 – the stock market index that tracks the performance of the largest US-listed 500 companies – is up around 12.5% in 2023, marking a significant rebound from the 2022 lows. Although this performance is impressive, a recent analysis by stock market strategists pointed to certain risks associated with the rally.
Which of the Magnificent 7 Stocks Is the Best Buy Right Now?
With bumpy markets, investors may want to consider safer stocks, especially those that can withstand any market conditions. That includes the following Magnificent 7 stocks, which investors may want to consider buying today.
Cramer says Amazon and Google stocks are still buys, despite antitrust lawsuits
CNBC's Jim Cramer on Thursday shared his opinions on two antitrust lawsuits involving tech giants Amazon and Alphabet-owned Google.
Apple exec defends decision to make Google the default search engine on iPhones and Macs
WASHINGTON — A top Apple executive defended the tech giant's decision to make Google the default search engine on Apple iPhones and Macs, saying there was no “valid alternative.''
Top Apple exec Eddy Cue defends Google default search deal: No ‘valid alternative'
Cue said Google has no need to develop its own search engine due to the quality of Google's product.
Top Apple Executive Defends Favoring Google on iPhones
Eddy Cue, a longtime executive at the company, said Apple's multibillion-dollar deals with Google were driven by quality, not money.
Apple's Eddy Cue defends default search contract with Google as best option for consumers
Apple's head of services testified in federal court Tuesday about the company's agreement to make Google the default search engine on iPhones in the U.S.
Apple exec defends tech giant's decision to make Google default search engine on Apple iPhones, Macs
A top Apple executive defended the tech giant's decision to make Google the default search engine on Apple iPhones and Macs, saying there was no "valid alternative.''
Google antitrust trial: second Apple exec to testify
Apple Inc (NASDAQ:AAPL)'s senior vice president of services Eddy Cue is set to testify in the Google antitrust trial brought on by the US Department of Justice on Tuesday, the second Apple executive to make an appearance in the trial as it enters its third week. According to a Bloomberg report citing sources with knowledge of the matter, Cue is set to tell the Justice Department that the company never made its own search engine because Google is the best option, which is why Apple sets it as the default option.
3 Things About Alphabet That Smart Investors Know
An economic downturn caused steep declines in Alphabet's ad business. Its strong user base and popular brands could bolster its venture into AI.
Google Podcasts to shut down in 2024 with listeners migrated to YouTube Music
Google announced this morning it will be shutting down its Google Podcasts app later in 2024 as part of its broader transition to move its streaming listeners over to YouTube Music. The company earlier this year announced YouTube Music would begin supporting podcasts in the U.S.
Google Trial Spills Details on Search Engine's Deals With Apple, Samsung
The company says it was offering the better product, while the Justice Department argues the agreements were illegal.
Alphabet's (GOOGL) Google Unveils AI Features for YouTube
Alphabet (GOOGL) unveils a suite of AI-powered features for its video platform YouTube, diving deeper into the generative AI space.
Yelp wants Google's lawyers tossed from US antitrust case
Yelp and a coalition of news organizations have asked a U.S. judge to disqualify a prominent U.S. law firm from defending Google in the Justice Department's ad tech lawsuit, saying the firm has a conflict of interest because it previously was their advocate on matters related to the case.
AI land grabbing begins as Microsoft, Google and Amazon up stakes
It's closing in on a year since AI was catapulted into the mainstream through the launch of OpenAI's ChatGPT, with investors witnessing first-hand the financial gains that can be made through building a stake in some of these trailblazing businesses. For retail investors, cashing in on the success of chatbots, machine learning and all things AI is nearly impossible.
These 2 Computer and Technology Stocks Could Beat Earnings: Why They Should Be on Your Radar
Finding stocks expected to beat quarterly earnings estimates becomes an easier task with our Zacks Earnings ESP.
September's 7 Most Controversial AI Stocks: Buy or Bail?
AI stocks are controversial for multiple reasons. One of the most obvious factors is that AI poses a threat in many ways.
Google, Walmart ask Bengaluru staff to work at home amid state water dispute
Calls for protests over a longstanding river water sharing dispute between two south Indian states have forced global firms including Walmart and Alphabet's Google to ask employees in Bengaluru to work from home on Tuesday.
S&amp;P 500 is up 13% in 2023; Which stocks are growth drivers?
After weathering a tumultuous 2022 marred by record-high inflation and a hawkish stance from Federal Reserve policymakers, the US stock market has undergone a remarkable turnaround in 2023.
It's Game Time: 3 NFL Stocks to Buy This Month
The National Football League (NFL) is back and bigger than ever. The viewership ratings for the first two weeks of the 2023 season have been exceptionally strong.
2 Artificial Intelligence (AI) Stocks to Buy and Hold Forever
Alphabet and Meta Platforms continue to make AI-driven improvements to their businesses. Both have solid operations beyond AI, so investing in them grants exposure to the field with limited risk.
Nvidia, Amazon, and Alphabet Announced 3 Key Artificial Intelligence (AI) Developments Last Week You May Have Missed
Amazon is giving Alexa a generative AI upgrade. Google has integrated generative AI tools into many of its most popular products.
Thailand expects Tesla, Google, Microsoft to invest $5 billion, prime minister says
Thailand's Prime Minister Srettha Thavisin said on Sunday the country expected to receive investment of at least $5 billion from Tesla , Google and Microsoft.</t>
  </si>
  <si>
    <t>Alphabet Inc. (Class A)</t>
  </si>
  <si>
    <t xml:space="preserve">
    Market Cap (intraday) 1.66T
         Enterprise Value 1.57T
             Trailing P/E 27.67
              Forward P/E 19.57
PEG Ratio (5 yr expected)  1.24
        Price/Sales (ttm)  5.83
         Price/Book (mrq)  6.18
 Enterprise Value/Revenue  5.41
  Enterprise Value/EBITDA 17.67</t>
  </si>
  <si>
    <t>Microsoft C.E.O. Testifies That Google's Power in Search Is Ubiquitous
Satya Nadella, the chief executive of Microsoft, is the government's biggest-name witness in its landmark antitrust case against Google.
Why Alphabet Inc. (GOOG) Could Beat Earnings Estimates Again
Alphabet Inc. (GOOG) has an impressive earnings surprise history and currently possesses the right combination of the two key ingredients for a likely beat in its next quarterly report.
Google monopoly trial shows appetite for enforcement on Big Tech, antitrust experts say
It's so associated with web searching that it's become a verb.
2 Breakout Growth Stocks You Can Buy and Hold for the Next Decade
Intel is embarking on a multiyear turnaround plan to position itself to better compete against rivals Nvidia and AMD. With its famous brands and robust growth, Alphabet is a stock every growth investor should consider.
Google Stock: How Might AI Impact Its Business
Google's AI potential is underestimated by the market, making the stock a buy. Google's Bard chatbot is growing rapidly, while OpenAI's ChatGPT growth has flattened. I further anticipate Google's new Gemini to be a milestone in AI applications, enabling multi-modal and differentiating capabilities.
Google Confirms It's a Big Broadcom AI Chip Customer -- But for How Long?
Google rumors helped solve a mystery surrounding a big Broadcom customer. Google is likely to remain a Broadcom customer for some time.
Highmark Health Is Partnering With Google Cloud To Develop Generative AI Solutions
Given Highmark's expansive footprint and Google Cloud's incredible technology, this could add significant value to millions of people.
Magnificent Seven tech stocks haven't been this cheap in six years, Goldman Sachs strategists say
The Federal Reserve may be wrong, but at least officials there won't be flying blind now that the government will stay open, keeping the nation's flow of economic data still running. In the early going, there was something of a relief rally, though it quickly evaporated.
Opinion: These 3 Stocks Could Double by 2025
Alphabet's diverse and lucrative business segments give its stock massive upside. Nu Holdings is transforming finance in Latin America.
2 Top Tech Stocks to Buy for the Long Haul
Smart investing means identifying companies with great long-term prospects and holding their stocks for years. Alphabet's massive revenue and fortress balance sheet make it a solid investment for the long term.
Billionaire Bill Ackman Thinks This Stock Will Be "a Dominant Player" in Artificial Intelligence (AI) for a Very Long Time
The hedge fund manager thinks Alphabet's public relations efforts related to its AI initiatives haven't been great. However, Ackman believes the tech giant has multiple enduring competitive advantages in AI.
7 S&amp;P 500 Stocks Set to Explode Higher
With a good deal of uncertainty over interest rate hikes and the potential for recession, markets have been far more volatile. However, if some of the uncertainty fades, we could also see a year-end rally, which I strongly believe could happen.
1 Artificial Intelligence (AI) Stock to Buy Now That Could Soar Like Nvidia
Google's parent company is investing in consumer and enterprise sides of AI technology. With its relatively low valuation, Alphabet's stock could richly reward long-term investors.
3 Stocks You Can Keep Forever
Numerous studies have concluded that timing the market doesn't work. Costco's enormous membership base makes it appealing for the long term.
Got $5,000? Buy and Hold These 3 Value Stocks for Years
Messy financials are covering the steady growth of Nelnet. Concerns over the banking industry and car prices are scaring investors away from Ally.
US judge blasted for secrecy in Google antitrust case after presiding over Jan. 6 trials
Judge Amit P. Mehta is solely responsible for deciding if Google has broken the law in its quest to maintain dominance.
The Magnificent Seven could be considered the messy seven after a ‘meh' third quarter
The so-called Magnificent Seven lost some luster in the latest quarter, as they proved no longer the big market drivers they were earlier this year.
Psst: Here's why Google's antitrust trial against the Department of Justice isn't being talked about much
Google's top executives have long established a reputation of saying as little as possible on most topics: Earnings calls. Product development plans.
Google: Tempering Our Enthusiasm
Alphabet's operating leverage is on the way up, but free cash flow generation looks poised to decrease in the second half of the year. While Google's P/E valuations are no longer cheap, the sturdy nature of its earnings growth through FY25 (19% CAGR) should not be dismissed. Bullish momentum appears to have come off and the stock has entered an old congestion zone.
The Next Stage Of Google's Rally Just Started
Despite a sudden 8% drop in the earlier part of the week, shares of Alphabet Inc NASDAQ: GOOGL are well on their way to undoing the dip and reclaiming their recent highs. The current rally, underway since last November, has already tacked on as much as 65% to share value.
Alphabet Inc. (GOOG) is Attracting Investor Attention: Here is What You Should Know
Alphabet Inc. (GOOG) has been one of the stocks most watched by Zacks.com users lately. So, it is worth exploring what lies ahead for the stock.
Billionaire investor Bill Ackman channeled Warren Buffett when he bet big on Alphabet this spring
Bill Ackman channeled Warren Buffett when he invested in Google-parent Alphabet this spring. He capitalized on market fear to buy in cheap, took a long-term view, and prized predictability.
GOOG Stock Outlook: Why Alphabet Is Still a ‘Magnificent' Buy
Alphabet's (NASDAQ: GOOG , GOOGL ) flagship Google search engine just turned 25 this week. However, among GOOG stock investors, there isn't much celebration going on about reaching this milestone.
Amazon's Big AI Investment Just Put Microsoft and Alphabet on Notice
Microsoft kickstarted the generative AI revolution with its investment in ChatGPT creator OpenAI, and Google quickly responded with its Bard chatbot. Amazon had been largely left out of the conversation, until now.
Don't Miss the Boom: 7 Blue-Chip Stocks Set to Explode Higher
Looking for the best blue-chip stocks to buy might seem boring, especially compared to stocks that make big moves. In fortifying your investment portfolio, dipping your toes into the volatile waters of penny and small-cap stocks can be incredibly tempting.
Microsoft CEO Satya Nadella to testify on Monday in Google antitrust trial
Microsoft chief executive Satya Nadella is expected to testify on Monday as a witness for the U.S. Justice Department, according to a filing on the docket of its once-in-a generation court fight against Alphabet's Google.
Forbidden Apple: Google trial secrets remain hard to unlock
Conservative groups are clapping back against Google's efforts to keep its secretive relationship with Apple under lock and key.
Microsoft weighed taking massive loss on Apple deal to compete with Google search, exec says
DOJ lawyers say Google relies on default search engine deals to build an illegal monopoly.
2 AI Stocks to Keep on Your Watch List
Tesla is banking on AI to improve its operations and sustain long-term growth. Alphabet is leveraging AI across Google search engines, cloud computing, and moonshot bets.
Will Google's SGE Revolutionize Advertising?
Investor Bill Ackman (Trades, Portfolio), through his company Pershing Square, made changes to his portfolio according to the latest filing on August 14, 2023. One notable addition to his holdings is Alphabet Inc ( GOOG , Financial), with a weight of 11% in his portfolio.
Don't Miss the Boom: 3 Communication Stocks Set to Explode Higher
Communication has entrenched itself deeply within the fabric of our daily existence. Whether we're engrossed in a high-speed broadband connection, shooting off a quick text, or attending a voice mail, our dependence on these channels is unmistakable.
Secrecy of Google Antitrust Trial Leads to Blame Game
The judge and government lawyers are defending themselves against criticism for letting tech executives testify behind closed doors.
Apple leverages idea of switching to Bing to pry more money out of Google, Microsoft exec says
Apple was never serious about replacing Google with Microsoft's Bing as the default search engine in Macs and iPhones, but kept the possibility open as a "bargaining chip'' to extract bigger payments from Google, a Microsoft executive testified Wednesday in the biggest U.S. antitrust trial in a quarter century.
Don't Miss the Boom: 7 Large-Cap Stocks Set to Explode Higher
Wall Street has been very upset about the results of the Federal Reserve meeting earlier this month. However, there are still many reasons to be optimistic about U.S. stocks — especially safer large-cap stocks — going forward.
"The Great Reshuffle": 3 Winning Technologies
Due to the labor market's "Great Reshuffle", the workforce has changed dramatically in just a few years. However, where there's change, there's opportunity.
Apple used Bing as ‘bargaining chip' to pry more money out of Google, Microsoft exec says
WASHINGTON — Apple was never serious about replacing Google with Microsoft's Bing as the default search engine in Macs and iPhones, but kept the possibility open as a “bargaining chip” to extract bigger payments from Google, a Microsoft executive testified Wednesday in the biggest U.S. antitrust trial in a quarter century.
Google created hurdles to protect smartphone foothold, small search firm says
The founder of Branch Metrics, which developed a method of searching within smartphone apps, told a U.S. antitrust trial on Wednesday how his company struggled to integrate with devices because of steps Google took to block them.
Microsoft exec says Apple used Bing as ‘bargaining chip' to get more money from Google
“It is no secret that Apple is making more money on Bing existing than Bing does,'' Mikhail Parakhin, Microsoft's chief of advertising and web services, said during testimony in the landmark antitrust trial.
Google's 25th birthday: Stock would be worth $5,100 without splits
Google is celebrating its 25th birthday, but as far as Wall Street is concerned, the company is still only 19 years old, and some might say it's really only eight years old.
Amazon's and Google's stocks could be a ‘win-win' even if both companies face government-ordered breakups
Today is Google's 25th birthday. Today is also a day when investors are reacting to a lawsuit by the Federal Trade Commission and 17 states against Amazon.com Inc., accusing the company of “illegally maintaining monopoly power.
Google was accidentally leaking its Bard AI chats into public search results
Conversations with the Google chatbot turned up in search results for common queries—an issue the company says was an error. AI-powered chatbots are designed to be the always-available advisors that will power the next era of productivity.
What Google's (deleted) chats mean for its antitrust battle with the DOJ
Chat records reveal employees at the search giant frequently discussing going “off the record,” as part of what the Dept. of Justice calls a “remarkable” number of deletions As part of the Justice Department's landmark antitrust case against Google, lawyers for the U.S. government have tried to draw attention to a giant black hole at the center of the trial: a “remarkable” number of deleted employee chat conversations apparently about issues relevant to its lawsuit and others.
Better Artificial Intelligence (AI) Stock: Microsoft vs. Alphabet
The AI market is booming and expected to develop at a CAGR of 37% through 2030. Microsoft has access to some of the most powerful AI models.
Why GOOG Stock Remains a Screaming Buy Right Now
Alphabet (NASDAQ: GOOG ) stock looks better and better. Remember, the company is not just about Google's search services; it's a major player in quantum computing too.
Big Tech Titans Feel the Chill as AI Stocks Slide
You only need to look at the one-month decline in AI chip powerhouse Nvidia Corp. NASDAQ: NVDA to understand that something has changed. Is Nvidia's pullback a sign that the AI rally that fueled big tech sector gains is taking a breather as interest rates rise?
Don't Miss the Boom: 3 Autonomous Driving Stocks Set to Explode Higher
It is no secret that the automobile industry is undergoing a rapid evolution. Electric vehicles are here but that isn't the only change.
Most of S&amp;P 500's Gains Driven by 7 Firms, Others Up Less than 5% YTD
The S&amp;P 500 – the stock market index that tracks the performance of the largest US-listed 500 companies – is up around 12.5% in 2023, marking a significant rebound from the 2022 lows. Although this performance is impressive, a recent analysis by stock market strategists pointed to certain risks associated with the rally.
Which of the Magnificent 7 Stocks Is the Best Buy Right Now?
With bumpy markets, investors may want to consider safer stocks, especially those that can withstand any market conditions. That includes the following Magnificent 7 stocks, which investors may want to consider buying today.
Cramer says Amazon and Google stocks are still buys, despite antitrust lawsuits
CNBC's Jim Cramer on Thursday shared his opinions on two antitrust lawsuits involving tech giants Amazon and Alphabet-owned Google.
Apple exec defends decision to make Google the default search engine on iPhones and Macs
WASHINGTON — A top Apple executive defended the tech giant's decision to make Google the default search engine on Apple iPhones and Macs, saying there was no “valid alternative.''
Don't Miss the Boom: 3 Growth Stocks Set to Explode Higher
Growth stocks aren't going anywhere. While markets might be trending lower, the major growth stocks that have outperformed in recent years continue to move fast.
Top Apple exec Eddy Cue defends Google default search deal: No ‘valid alternative'
Cue said Google has no need to develop its own search engine due to the quality of Google's product.
Top Apple Executive Defends Favoring Google on iPhones
Eddy Cue, a longtime executive at the company, said Apple's multibillion-dollar deals with Google were driven by quality, not money.
Apple's Eddy Cue defends default search contract with Google as best option for consumers
Apple's head of services testified in federal court Tuesday about the company's agreement to make Google the default search engine on iPhones in the U.S.
Apple exec defends tech giant's decision to make Google default search engine on Apple iPhones, Macs
A top Apple executive defended the tech giant's decision to make Google the default search engine on Apple iPhones and Macs, saying there was no "valid alternative.''
Google antitrust trial: second Apple exec to testify
Apple Inc (NASDAQ:AAPL)'s senior vice president of services Eddy Cue is set to testify in the Google antitrust trial brought on by the US Department of Justice on Tuesday, the second Apple executive to make an appearance in the trial as it enters its third week. According to a Bloomberg report citing sources with knowledge of the matter, Cue is set to tell the Justice Department that the company never made its own search engine because Google is the best option, which is why Apple sets it as the default option.
3 Things About Alphabet That Smart Investors Know
An economic downturn caused steep declines in Alphabet's ad business. Its strong user base and popular brands could bolster its venture into AI.
Google Podcasts to shut down in 2024 with listeners migrated to YouTube Music
Google announced this morning it will be shutting down its Google Podcasts app later in 2024 as part of its broader transition to move its streaming listeners over to YouTube Music. The company earlier this year announced YouTube Music would begin supporting podcasts in the U.S.
Google Trial Spills Details on Search Engine's Deals With Apple, Samsung
The company says it was offering the better product, while the Justice Department argues the agreements were illegal.
Yelp wants Google's lawyers tossed from US antitrust case
Yelp and a coalition of news organizations have asked a U.S. judge to disqualify a prominent U.S. law firm from defending Google in the Justice Department's ad tech lawsuit, saying the firm has a conflict of interest because it previously was their advocate on matters related to the case.
AI land grabbing begins as Microsoft, Google and Amazon up stakes
It's closing in on a year since AI was catapulted into the mainstream through the launch of OpenAI's ChatGPT, with investors witnessing first-hand the financial gains that can be made through building a stake in some of these trailblazing businesses. For retail investors, cashing in on the success of chatbots, machine learning and all things AI is nearly impossible.
These 2 Computer and Technology Stocks Could Beat Earnings: Why They Should Be on Your Radar
Finding stocks expected to beat quarterly earnings estimates becomes an easier task with our Zacks Earnings ESP.
September's 7 Most Controversial AI Stocks: Buy or Bail?
AI stocks are controversial for multiple reasons. One of the most obvious factors is that AI poses a threat in many ways.
Google, Walmart ask Bengaluru staff to work at home amid state water dispute
Calls for protests over a longstanding river water sharing dispute between two south Indian states have forced global firms including Walmart and Alphabet's Google to ask employees in Bengaluru to work from home on Tuesday.
It's Game Time: 3 NFL Stocks to Buy This Month
The National Football League (NFL) is back and bigger than ever. The viewership ratings for the first two weeks of the 2023 season have been exceptionally strong.
Got $3,000? These 3 Stocks Could Double Your Money by 2030.
Apple has built up immense brand loyalty with consumers. Microsoft could be ideally positioned to profit the most from the future of AI.
2 Artificial Intelligence (AI) Stocks to Buy and Hold Forever
Alphabet and Meta Platforms continue to make AI-driven improvements to their businesses. Both have solid operations beyond AI, so investing in them grants exposure to the field with limited risk.
Nvidia, Amazon, and Alphabet Announced 3 Key Artificial Intelligence (AI) Developments Last Week You May Have Missed
Amazon is giving Alexa a generative AI upgrade. Google has integrated generative AI tools into many of its most popular products.
Thailand expects Tesla, Google, Microsoft to invest $5 billion, prime minister says
Thailand's Prime Minister Srettha Thavisin said on Sunday the country expected to receive investment of at least $5 billion from Tesla , Google and Microsoft.</t>
  </si>
  <si>
    <t>Alphabet Inc. (Class C)</t>
  </si>
  <si>
    <t xml:space="preserve">
    Market Cap (intraday) 1.66T
         Enterprise Value 1.57T
             Trailing P/E 27.88
              Forward P/E 19.72
PEG Ratio (5 yr expected)  1.25
        Price/Sales (ttm)  5.88
         Price/Book (mrq)  6.22
 Enterprise Value/Revenue  5.41
  Enterprise Value/EBITDA 17.67</t>
  </si>
  <si>
    <t>The AI Hype Might Be Real for Adobe, But Is the Stock a Buy?
Unlike many other companies, Adobe's AI use case is legitimate. Adobe has been integrating AI into more products and creating new revenue streams.
Adobe's (ADBE) Photoshop Launch Boosts Digital Media Segment
Adobe's (ADBE) integration of Firefly generative AI model with Photoshop for web users boosts its Digital Media Segment.
Top Wall Street analysts pick these five stocks for compelling returns
TipRanks' analyst ranking service pinpoints Wall Street's best-performing stocks, including Adobe &amp; Salesforce
The Smartest Investors Are Buying These 3 Stocks Hand Over Fist
Adobe is a software-as-a-service company that incorporates artificial intelligence to boost its service capabilities. Domino's Pizza is one of the world's largest pizza chains and continues to grow its network of stores worldwide.
Adobe Stock: Bear vs. Bull
Adobe is highly profitable and generating lots of excess cash. Yet the stock's valuation reflects high growth expectations that the company might struggle to deliver.
Up 52% This Year, Is Adobe Stock Still a Good Buy?
Adobe generated 10% revenue growth last quarter. The business expects a similar rate of expansion in Q4 as it offers AI-enhanced products.
Adobe: Why I Am Still Positive On The Company
Adobe's Q3 earnings report showed increased sales and improved margins, driven by the integration of generative AI tools into its products. Adobe's extensive product portfolio in digital media and digital experiences solidifies its position in the industry. Adobe's focus on emerging markets and its platform-oriented approach position the company for long-term growth.
The 2 Best Software Stocks to Buy in 2023 and Beyond
Adobe's business is growing thanks to AI. Roku's leading position as a television platform shouldn't be overlooked.
Buy This, Not That: 4 Tech Stocks to Own, 3 to Avoid
It continues to be an uneven playing field for tech stocks. While some companies are continuing to knock the cover off the ball, others are struggling and in decline.
3 Green Flags for Adobe's Future
Adobe's cash flow trends are impressive. Artificial intelligence could significantly boost the value of its products.
Adobe Launches Photoshop For Web With AI Tools
It replaces the free version of photoshop for the web, which unfortunately seems discontinued.
Big Tech Titans Feel the Chill as AI Stocks Slide
You only need to look at the one-month decline in AI chip powerhouse Nvidia Corp. NASDAQ: NVDA to understand that something has changed. Is Nvidia's pullback a sign that the AI rally that fueled big tech sector gains is taking a breather as interest rates rise?
Don't Miss the Boom: 7 AI Stocks Set to Explode Higher
Amidst the ever-shifting landscape of technology, artificial intelligence (AI) has been one of the biggest catalysts for the tech sphere in 2023. Even as the fanfare subsides, AI's stronghold remains undeniable, especially when eyeing the Nasdaq impressive 35% surge this year, fueled predominantly by AI tailwinds.
Adobe: Jumping On The AI Bandwagon
Adobe Inc.'s Digital Media segment, including Creative Cloud and Document Cloud, has industry leadership featuring a rich software portfolio and dominance in the PDF reader market. The impact of AI on the creative software market is significant, with generative AI creating new revenue streams and cutting out traditional subindustries. Adobe continues to build its strengths that include a broad product portfolio, ample resources, and AI development, preserving the company's lead in the creative software market.
Will Adobe Be a $1 Trillion Stock by 2030?
Adobe would have to double in value approximately twice to reach $1 trillion. Revenue and income growth were surprisingly slow this fiscal year.
Ticking Time Bombs: 7 S&amp;P 500 Stocks to Dump Before the Damage Is Done
It's been a tough month for S&amp;P 500 stocks. September slumps are common, and this month is historically the worst for the index.
Adobe Stock Is Trading Below Its Fair Value
Adobe's stock (NASDAQ: ADBE) has gained 53% YTD as compared to the 13% rise in the S&amp;P500 index over the same period.</t>
  </si>
  <si>
    <t>Adobe Inc.</t>
  </si>
  <si>
    <t xml:space="preserve">
    Market Cap (intraday) 232.16B
         Enterprise Value 228.74B
             Trailing P/E   45.85
              Forward P/E   28.57
PEG Ratio (5 yr expected)    1.90
        Price/Sales (ttm)   12.43
         Price/Book (mrq)   14.72
 Enterprise Value/Revenue   12.11
  Enterprise Value/EBITDA   30.56</t>
  </si>
  <si>
    <t>Buy these Highly Ranked Stocks Poised to Beat Earnings Expectations
Rising quarterly and annual earnings estimates are starting to make these companies stand out among their respective sectors with now looking like a great time to buy their stocks.
5 Property &amp; Casualty Insurers to Buy With Improving Pricing
Frequent catastrophes resulting in an accelerated policy renewal rate and upward pricing pressure are likely to boost the performance of Zacks Property and Casualty Insurance industry players like CB, ACGL, CINF, AXS and PRA.</t>
  </si>
  <si>
    <t>Arch Capital Group</t>
  </si>
  <si>
    <t>Reinsurance</t>
  </si>
  <si>
    <t xml:space="preserve">
    Market Cap (intraday) 29.73B
         Enterprise Value 32.81B
             Trailing P/E  13.51
              Forward P/E  11.00
PEG Ratio (5 yr expected)    NaN
        Price/Sales (ttm)   2.57
         Price/Book (mrq)   2.15
 Enterprise Value/Revenue   2.81
  Enterprise Value/EBITDA    NaN</t>
  </si>
  <si>
    <t>3 Medical Product Stocks With Solid Dividend Yield: ABT &amp; Others
Here we pick three stocks, Abbott Laboratories (ABT), Koninklijke Philips (PHG) and Smith &amp; Nephew SNATS (SNN) from the Medical - Products industry, with a solid five-year dividend growth history.
3 Revolutionary Stocks I'd Buy Right Now Without Hesitation
These three companies have a proven ability to develop innovative products in the healthcare field. All three have performed poorly on the market over the past year, but their prospects remain intact.
Abbott Laboratories Triumphs Over Challenges: A Tale Of Resilience
Abbott Laboratories is a global healthcare leader known for its branded generic medicines, diagnostic systems, and medical devices. Abbott has continued to increase its dividend payout for 51 consecutive years, garnering the popularity and trust of conservative investors. At the end of the second quarter of 2023, the remaining authorization to repurchase Abbott shares amounted to $1.709 billion.
Why Abbott Says It Won't Be A Casualty Of The Weight-Loss Battle
Abbott stock jumped Thursday after showing patients taking popular diabetes and weight-loss drugs are more compliant with their CGMs.
Abbott (ABT) Rides on Nutrition Recovery Amid Low Testing Sales
Abbott's (ABT) Nutrition business has started showing signs of recovery since the beginning of 2023.
After Plunging -8.5% in 4 Weeks, Here's Why the Trend Might Reverse for Abbott (ABT)
The heavy selling pressure might have exhausted for Abbott (ABT) as it is technically in oversold territory now. In addition to this technical measure, strong agreement among Wall Street analysts in revising earnings estimates higher indicates that the stock is ripe for a trend reversal.
Abbott Laboratories (ABT) Is a Trending Stock: Facts to Know Before Betting on It
Abbott (ABT) has been one of the stocks most watched by Zacks.com users lately. So, it is worth exploring what lies ahead for the stock.
Abbott Hosts Conference Call for Third-Quarter Earnings
ABBOTT PARK, Ill., Sept. 27, 2023 /PRNewswire/ -- Abbott (NYSE: ABT) will announce its third-quarter 2023 financial results on Wednesday, Oct. 18, before the market opens.
Here's Why Investors Should Invest in Abbott (ABT) Stock Now
Investors are optimistic about Abbott (ABT) on strong growth in the Diagnostics business and upbeat guidance.
5 Dividend Aristocrats to Buy as Things Look Dicey for Wall Street
As stocks are subjected to bouts of volatility, place bets on dividend aristocrats like Caterpillar (CAT), Abbott Laboratories (ABT), McDonald's (MCD), Aflac (AFL) and Automatic Data Processing (ADP) for steady income.
2 Stocks to Benefit from the Aging Population
While the direction of the stock markets is unpredictable, the growth of the aging population is entirely predictable. Along with an aging population come additional healthcare, beauty and wellness needs.
Abbott (ABT) Closes Acquisition Deal of Bigfoot Biomedical
Abbott's (ABT) footprint in the diabetes care market is increased by the Bigfoot Biomedical acquisition.
3 Best Stocks to Buy in September and Hold Forever
Kenvue is poised to make its mark as a great business with a new name. Abbott Labs has long-term upside in key healthcare end markets.</t>
  </si>
  <si>
    <t>Abbott</t>
  </si>
  <si>
    <t xml:space="preserve">
    Market Cap (intraday) 168.07B
         Enterprise Value 176.76B
             Trailing P/E   33.05
              Forward P/E   20.96
PEG Ratio (5 yr expected)   36.18
        Price/Sales (ttm)    4.22
         Price/Book (mrq)    4.52
 Enterprise Value/Revenue    4.39
  Enterprise Value/EBITDA   17.48</t>
  </si>
  <si>
    <t>Palo Alto Networks: A Strong Secular Uptrend, Supported By An Efficient R&amp;D Strategy
Palo Alto Networks is a buy due to the continued demand for cybersecurity solutions and the company's efficient R&amp;D strategy. PANW has seen consistent growth in billings over the past 10 years, with a boost from the COVID-19 pandemic driving further demand for cybersecurity solutions. The company's recent financial performance, including strong billings growth and positive EBITDA figures, indicates a positive outlook for PANW's future growth.
From Dust to Diamonds: 7 Undervalued Stocks With Sparkling Prospects
In the vast equities landscape, hidden gems are waiting to be unearthed. Like diamonds in the rough, these undervalued stocks possess the potential to shine brightly in an investment portfolio.
Wall Street Analysts Think Palo Alto (PANW) Is a Good Investment: Is It?
Investors often turn to recommendations made by Wall Street analysts before making a Buy, Sell, or Hold decision about a stock. While media reports about rating changes by these brokerage-firm employed (or sell-side) analysts often affect a stock's price, do they really matter?
A Bull Market Is Coming: Don't Wait to Buy These 2 Unstoppable Stocks
Wall Street analysts are split on the definition of when a new bull market officially begins. Investors should focus on buying quality stocks for the long term because history shows the market always rises to new highs eventually.
Sources: Palo Alto in advanced talks to buy Talon and Dig in a $1B security sweep
Palo Alto Networks' stock price has been on the rise on the back of strong earnings and growing demand for cybersecurity services, and now the company is using that momentum to do a little shopping.
Investors Heavily Search Palo Alto Networks, Inc. (PANW): Here is What You Need to Know
Zacks.com users have recently been watching Palo Alto (PANW) quite a bit. Thus, it is worth knowing the facts that could determine the stock's prospects.
Palo Alto Networks Transformation Continues, But Still Not Quite A 'Buy'
Palo Alto Networks' most recent earnings and guidance were solid, but not spectacular. PANW will looks towards security operations center to be its next big growth driver. The stock is moving closer to "Buy" territory, but is not quite there yet.
Palo Alto Networks: A Cybersecurity Powerhouse With Untapped Potential
Palo Alto Networks, Inc. offers strong investment potential in the cybersecurity sector due to its technological expertise and financial performance. The company's zero-trust architecture and integrated security solutions contribute to its effectiveness and cost-efficiency. Palo Alto Networks has shown robust revenue growth, a solid client base, and positive financial metrics, making it a compelling long-term investment option.
Don't Miss the Boom: 3 Cybersecurity Stocks Set to Explode Higher
The world increasingly relies on the internet to store data, make purchases and communicate with friends. While the digital world has provided many benefits, it has also resulted in cybercrime.
Palo Alto (PANW) Rises 63.8% YTD: Will the Momentum Continue?
Palo Alto (PANW) is benefiting from the growing acceptance of its next-generation security platforms.
These Are The 12 Stocks Driving The S&amp;P 500 Higher In 2023
The S&amp;P 500 is up 12.5% so far in 2023, even with the market correction. But an equal-weight ETF is up just 1%.</t>
  </si>
  <si>
    <t>Palo Alto Networks</t>
  </si>
  <si>
    <t xml:space="preserve">
    Market Cap (intraday) 72.34B
         Enterprise Value 72.22B
             Trailing P/E 183.16
              Forward P/E  44.05
PEG Ratio (5 yr expected)   1.57
        Price/Sales (ttm)  11.64
         Price/Book (mrq)  41.38
 Enterprise Value/Revenue  10.48
  Enterprise Value/EBITDA  83.11</t>
  </si>
  <si>
    <t>Ceridian HCM Ups Guidance As Large Deals Beckon
Ceridian HCM Holding Inc. provides human capital management software and services to help businesses attract, manage, and retain talent. The worldwide human capital management software market is projected to reach $32 billion by 2026, with the BFSI sector expected to show the highest growth rate. Ceridian HCM's financial trends show rising revenue, positive operating income, and improving gross profit margin.</t>
  </si>
  <si>
    <t>Ceridian</t>
  </si>
  <si>
    <t>Human Resource &amp; Employment Services</t>
  </si>
  <si>
    <t xml:space="preserve">
    Market Cap (intraday) 10.56B
         Enterprise Value 11.32B
             Trailing P/E  1.50k
              Forward P/E  28.41
PEG Ratio (5 yr expected)   5.36
        Price/Sales (ttm)   7.61
         Price/Book (mrq)   4.71
 Enterprise Value/Revenue   8.16
  Enterprise Value/EBITDA  73.13</t>
  </si>
  <si>
    <t>Caterpillar: Making Itself Indispensable To Its Customers
Caterpillar is making itself indispensable to its customers in the mining industry by providing complete solutions to decarbonization, including electrified equipment and AI optimization. The company has seen strong net income growth, but the share price has lagged behind. However, there is potential for strong double-digit returns in the future. CAT is leveraging AI and digital advancements to revolutionize its industry and improve autonomous operation, equipment utilization, and maintenance.
TEX vs. CAT: Which Stock Should Value Investors Buy Now?
Investors interested in stocks from the Manufacturing - Construction and Mining sector have probably already heard of Terex (TEX) and Caterpillar (CAT). But which of these two stocks is more attractive to value investors?
3 Catalysts for October to Regain Momentum: Top 5 Picks
At this stage, it will be prudent to invest in momentum stocks. Five such stocks are: CAT, EMR, CPRT, VRT, PXD.
4 Must-Buy Stocks for Stellar Earnings Growth
Invest in stocks such as Eaton (ETN), Caterpillar (CAT), ITT and Kinsale Capital (KNSL) at the moment for solid earnings growth.
3 Dividend Growers to Buy for Passive Income
Companies that consistently boost their dividend payouts reflect a successful and shareholder-friendly nature, opting to share a portion of profits with investors. And that's precisely what these three companies have done over the years.
Ticking Time Bombs: 3 Industrial Stocks to Dump Before the Damage Is Done
Despite the industrial sector playing a less outsized role in the American economy, it still is a major force in global economy. The industrial sector simply refers to companies at the heart of the economy.
Albemarle and Caterpillar forge partnership to pave the way for zero-emissions lithium mining
(Kitco News) - Albemarle (NYSE: ALB), the world's leading lithium producer, today signed agreements with Caterpillar (NYSE: CAT) to collaborate on solutions to support the full circular battery value chain and sustainable mining operations.
Albemarle, Caterpillar collaborate on batteries, zero-emissions lithium
Albemarle Corp. ALB, +0.08% said Wednesday it was collaborating on battery technology and sustainable lithium-mining practices with heavy-equipment maker Caterpillar Inc. CAT, +0.92% The lithium producer said the agreement calls for the use of Cat battery-electric trucks, and other efforts to establish Kings Mountain, N.C., as the first-ever zero-emissions lithium mine in North America.
ALBEMARLE AND CATERPILLAR COLLABORATE TO PIONEER SUSTAINABLE MINING TECHNOLOGIES AND OPERATIONS
Arrangement includes a collaboration agreement for deployment of Cat battery-electric trucks and site energy transfer solutions, a lithium offtake framework agreement, and an agreement to explore potential opportunities to collaborate on research into battery technology CHARLOTTE, N.C. , Sept. 27, 2023 /PRNewswire/ -- Albemarle Corporation (NYSE: ALB), a global leader in providing essential elements for mobility, energy, connectivity and health, signed agreements today with Caterpillar Inc. (NYSE: CAT) to collaborate on solutions to support the full circular battery value chain and sustainable mining operations.
Better Dividend Stock to Buy? Caterpillar Stock or Cummins Stock
Investing in dividend stocks can help you increase your wealth in the long run.
5 Dividend Aristocrats to Buy as Things Look Dicey for Wall Street
As stocks are subjected to bouts of volatility, place bets on dividend aristocrats like Caterpillar (CAT), Abbott Laboratories (ABT), McDonald's (MCD), Aflac (AFL) and Automatic Data Processing (ADP) for steady income.
These 3 Stocks Have Annualized +15% Returns Over the Last Decade
Not all high-flying stocks come from the Technology sector, with many widely outperforming the general market over the last decade. And that's precisely the case for these three.
7 Stocks to Buy for the Blue-Collar Bull Market
Labor and industry and flexing their muscles right now in what is being called a worker's market. Autoworkers are on strike.
Earnings Growth &amp; Price Strength Make Caterpillar (CAT) a Stock to Watch
Wondering how to pick strong, market-beating stocks for your investment portfolio? Look no further than the Zacks Focus List.</t>
  </si>
  <si>
    <t>Caterpillar Inc.</t>
  </si>
  <si>
    <t>Construction Machinery &amp; Heavy Transportation Equipment</t>
  </si>
  <si>
    <t xml:space="preserve">
    Market Cap (intraday) 139.27B
         Enterprise Value 169.58B
             Trailing P/E   17.00
              Forward P/E   13.19
PEG Ratio (5 yr expected)    1.41
        Price/Sales (ttm)    2.20
         Price/Book (mrq)    7.64
 Enterprise Value/Revenue    2.62
  Enterprise Value/EBITDA   12.46</t>
  </si>
  <si>
    <t>Fortune Media and Great Place to Work Name Tractor Supply a 2023 Best Workplace in Retail
BRENTWOOD, Tenn.--(BUSINESS WIRE)--Tractor Supply Company (NASDAQ: TSCO), the largest rural lifestyle retailer in the United States, announced today it has been named to Fortune's 2023 list of Best Workplaces in Retail™. Fortune Media and Great Place to Work compiled the annual list recognizing 35 retail organizations with a workplace culture that attracts the industry's best talent. This was Tractor Supply's inaugural inclusion on the list. The Best Workplaces in Retail are chosen based on ana.
2 Stocks Down 10% and 15% to Buy Today
Ulta Beauty is a much more profitable business than it was before the pandemic. Tractor Supply plans to accelerate its new store opening rate beginning in 2024.
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The Smartest Investors Are Buying These 3 Stocks Hand Over Fist
Adobe is a software-as-a-service company that incorporates artificial intelligence to boost its service capabilities. Domino's Pizza is one of the world's largest pizza chains and continues to grow its network of stores worldwide.
2 Bargain Stocks that Could Make You Richer
Tractor Supply has a long track record of earnings growth, reaching $14 billion in sales last year. Penn Entertainment just signed a deal that could spur growth at its sports betting business.
This Phenomenal Winning Stock Is Down 18%: 3 Brilliant Moves for Investors to Make
This long-term winner has great prospects, but investors should consider these other moves, too.
Where Will Tractor Supply Stock Be in 5 Years?
Tractor Supply is a huge business with a heavy emphasis on products for pets and livestock. The company believes it can open 80 to 90 new stores per year until reaching 3,000 locations.
10 Dividend Growth Stocks For September 2023
In this monthly series, I rank a selection of dividend growth stocks in Dividend Radar and present the ten top-ranked stocks for consideration. To rank stocks, I do a quality assessment and sort stocks by quality scores, breaking ties with additional metrics. This month, I'm presenting stocks with A+ Dividend Quality Grades and strictly increasing dividends, earnings, and revenue over the past decade.
Petsense by Tractor Supply Partners With Puppies and Golf to Support Shelters and Rescues Around the Country
BRENTWOOD, Tenn.--(BUSINESS WIRE)-- #PetAdoption--Petsense by Tractor Supply and the Tractor Supply Company Foundation announced today a partnership with Puppies and Golf to support no-kill shelters across the country. For the remainder of the year, the pet specialty retailer will work with Puppies and Golf to award a grant to one shelter each month. Petsense will also assist with disaster relief grants for shelters that may have unexpected needs due to natural disasters or medical emergencies. “No-kill shelt.</t>
  </si>
  <si>
    <t>Tractor Supply</t>
  </si>
  <si>
    <t xml:space="preserve">
    Market Cap (intraday) 22.09B
         Enterprise Value 26.32B
             Trailing P/E  20.28
              Forward P/E  18.05
PEG Ratio (5 yr expected)   1.85
        Price/Sales (ttm)   1.53
         Price/Book (mrq)  10.59
 Enterprise Value/Revenue   1.78
  Enterprise Value/EBITDA  14.22</t>
  </si>
  <si>
    <t>Autodesk: Sustainable Growth And Profound AI Opportunities At A Price
Autodesk has a dominant position in the market, giving it strong pricing power in the design and engineering software industry. The company's focus on AI-driven solutions and its expansion into the European market offer opportunities for future growth. Autodesk has demonstrated consistent financial performance with double-digit revenue growth, increasing margins, and prudent financial management.</t>
  </si>
  <si>
    <t>Autodesk</t>
  </si>
  <si>
    <t xml:space="preserve">
    Market Cap (intraday) 44.23B
         Enterprise Value 44.82B
             Trailing P/E  51.34
              Forward P/E  27.86
PEG Ratio (5 yr expected)   1.72
        Price/Sales (ttm)   8.61
         Price/Book (mrq)  36.67
 Enterprise Value/Revenue   8.60
  Enterprise Value/EBITDA  38.64</t>
  </si>
  <si>
    <t>Workday and ADP Expand Partnership to Deliver Enhanced Global Payroll, Compliance, and HR for Joint Customers
Deeper Partnership Will Help Customers Navigate Increasing Payroll and HR Complexities in the Changing World of Work SAN FRANCISCO , Sept. 28, 2023 /PRNewswire/ --  Workday, Inc. (NASDAQ: WDAY), a leader in enterprise cloud applications for  finance and  human resources , and ADP (NASDAQ: ADP), a global technology company providing human capital management (HCM) solutions, today announced an extended partnership to provide an enhanced frictionless global payroll, compliance, and HR experience for joint customers.
5 Safe Stocks to Buy Amid Plummeting U.S. Consumer Confidence
We have narrowed our search to five large-cap low-beta stocks with a solid dividend yield. These are: AWK, ADP, KO, KMB, IBM.
ADP to Announce First Quarter Fiscal 2024 Financial Results on October 25, 2023
ROSELAND, N.J. , Sept. 27, 2023  /PRNewswire/ -- ADP (Nasdaq: ADP), a leading global provider of Human Capital Management (HCM) solutions, is scheduled to release its financial results for the first fiscal quarter ending September 30, 2023 before the opening of the Nasdaq on Wednesday, October 25, 2023.
5 Dividend Aristocrats to Buy as Things Look Dicey for Wall Street
As stocks are subjected to bouts of volatility, place bets on dividend aristocrats like Caterpillar (CAT), Abbott Laboratories (ABT), McDonald's (MCD), Aflac (AFL) and Automatic Data Processing (ADP) for steady income.
10 Dividend Growth Stocks For September 2023
In this monthly series, I rank a selection of dividend growth stocks in Dividend Radar and present the ten top-ranked stocks for consideration. To rank stocks, I do a quality assessment and sort stocks by quality scores, breaking ties with additional metrics. This month, I'm presenting stocks with A+ Dividend Quality Grades and strictly increasing dividends, earnings, and revenue over the past decade.
Down -5.41% in 4 Weeks, Here's Why You Should You Buy the Dip in ADP (ADP)
The heavy selling pressure might have exhausted for ADP (ADP) as it is technically in oversold territory now. In addition to this technical measure, strong agreement among Wall Street analysts in revising earnings estimates higher indicates that the stock is ripe for a trend reversal.</t>
  </si>
  <si>
    <t xml:space="preserve">
    Market Cap (intraday)  99.11B
         Enterprise Value 100.35B
             Trailing P/E   29.30
              Forward P/E   26.32
PEG Ratio (5 yr expected)    2.73
        Price/Sales (ttm)    5.81
         Price/Book (mrq)   28.24
 Enterprise Value/Revenue    5.83
  Enterprise Value/EBITDA   19.15</t>
  </si>
  <si>
    <t>Keysight, Synopsys, and Ansys Accelerate RFIC Semiconductor Design with New Reference Flow for TSMC's Advanced 4nm RF FinFET Process
SANTA ROSA, Calif.--(BUSINESS WIRE)---- $KEYS #Ansys--Keysight Technologies, Inc. (NYSE: KEYS), Synopsys, Inc. (Nasdaq: SNPS), and Ansys (Nasdaq: ANSS) announced a new reference flow for the TSMC N4PRF, the world's leading semiconductor foundry's advanced 4 nanometer (nm) radio frequency (RF) FinFET process technology. The reference flow is based on the Synopsys Custom Design Family, which provides a complete RF design solution for customers seeking an open RF design environment with higher predictive accuracy.
Keysight, Synopsys, and Ansys Accelerate RFIC Semiconductor Design with New Reference Flow for TSMC's Most Advanced 4nm RF FinFET Process
Ansys signoff power integrity and electromagnetic modeling capabilities featured in new custom design flow that meets the needs of high-speed circuit designers / Key Highlights New reference flow offers open, efficient radio frequency design solution that supports streamlined migration from previous process nodes Industry-leading electromagnetic simulation tools boost 5G/6G wireless system on a chip performance and power efficiency Integrated flow improves designer productivity, increases simulation accuracy for faster time-to-market PITTSBURGH , Sept. 27, 2023 /PRNewswire/ -- Keysight Technologies, Inc. (NYSE: KEYS), Synopsys, Inc. (Nasdaq: SNPS), and Ansys (Nasdaq: ANSS) announced a new reference design flow for TSMC N4P RF, the silicon foundry's most advanced 4 nanometer (nm) radio frequency (RF) FinFET process technology.</t>
  </si>
  <si>
    <t>Ansys</t>
  </si>
  <si>
    <t xml:space="preserve">
    Market Cap (intraday) 25.82B
         Enterprise Value 26.21B
             Trailing P/E  49.59
              Forward P/E  30.77
PEG Ratio (5 yr expected)   3.51
        Price/Sales (ttm)  11.97
         Price/Book (mrq)   5.25
 Enterprise Value/Revenue  12.06
  Enterprise Value/EBITDA  35.49</t>
  </si>
  <si>
    <t>A. O. Smith to Hold Third Quarter Conference Call on October 26, 2023
MILWAUKEE , Oct. 2, 2023 /PRNewswire/ -- A. O. Smith Corporation (NYSE: AOS) will release its third quarter 2023 financial results before the market opens on Thursday, October 26, 2023, and has scheduled an investor conference call to follow at 10:00 a.m.
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3 Manufacturing Electronics Stocks to Gain From Improving Supply Chains
Improving supply chains and signs of an uptick in manufacturing activities favor the Zacks Manufacturing - Electronics industry's near-term prospects. ETN, AOS and ENS are well-placed to capitalize on the buoyancy in the industry.
Is A. O. Smith (AOS) Stock Outpacing Its Industrial Products Peers This Year?
Here is how A.O. Smith (AOS) and AptarGroup (ATR) have performed compared to their sector so far this year.
2 Stocks Warren Buffett Should Buy Right Now
Berkshire Hathaway has over $140 billion in cash, and these stocks could be a great way to use some of it.</t>
  </si>
  <si>
    <t>A. O. Smith</t>
  </si>
  <si>
    <t xml:space="preserve">
    Market Cap (intraday) 9.95B
         Enterprise Value 9.77B
             Trailing P/E 36.34
              Forward P/E 17.64
PEG Ratio (5 yr expected)  1.76
        Price/Sales (ttm)  2.71
         Price/Book (mrq)  5.27
 Enterprise Value/Revenue  2.62
  Enterprise Value/EBITDA 26.20</t>
  </si>
  <si>
    <t>Viatris Stock Bounds Higher As Divestitures Reach Nearly $7 Billion
Viatris stock popped Monday after the company announced it would divest most of its over-the-counter and women's health businesses.
Drugmaker Viatris to divest some of its businesses
Drugmaker Viatris said on Sunday that it has entered into agreements to divest its businesses, including the Women's Healthcare business and its Active Pharmaceutical Ingredients (API) business. It received an offer for the divestiture of its Over-the-Counter (OTC) business.
Viatris Announces Agreements on Remaining Planned Divestitures; Upon Closing Would Achieve its Original Total Target of a Multiple Above 12x on 2022 Estimated Adjusted EBITDA
Total Gross Proceeds From All Divestitures, Including the 2022 Divestiture of the Company's Biosimilars Business, and the Estimated Retained Value are in Line with the Company's Previously Communicated Range Strategic Decision Made to Retain Rights and Opportunities for Viagra®, Dymista® and Select Over-the-Counter (OTC) Products in Certain Markets Representing Approximately $1.6B in Estimated Retained Value Total Transactions Value Represents up to $6.94B of Total Gross Proceeds Which Represents an Accretive Multiple of 12.4x [1] Offer for Substantially All of OTC Business Reflects Gross Consideration of up to Approximately $2.17B, Representing an Estimated Accretive Multiple of 12.8x; Definitive Agreements for Active Pharmaceutical Ingredients (API) and Women's Healthcare Reflect Gross Proceeds of up to Approximately $1.2B, Representing an Estimated Accretive Multiple of 9.9x Combined Divestitures Would Result in up to 12 Facilities and More Than 6,000 Employees Representing Approximately 15 Percent of the Company's Global Workforce Being Conveyed, Substantially Simplifying the Organization Today's Announced Divestitures Expected to Close by the End of the First Half of 2024, Subject to Regulatory Approvals, Consultations and Other Closing Conditions Completion of Divestitures Will Bring Successful Conclusion to All Phase 1 Efforts and Commitments, Including Prioritizing Use of Net Proceeds for Debt Paydown to Reach Gross Leverage Target [1] of 3.0x in the First Half of 2024 PITTSBURGH , Oct. 1, 2023 /PRNewswire/ -- Viatris Inc. (NASDAQ: VTRS), a global healthcare company, today announced it has received an offer for the divestiture of substantially all of its Over-the-Counter (OTC) business, and has entered into definitive agreements to divest its Women's Healthcare business, its Active Pharmaceutical Ingredients (API) business in India and commercialization rights in certain non-core markets that were acquired as part of the Upjohn Transaction. Viatris CEO Scott A.
Could Viatris Stock Help You Become a Millionaire?
Viatris has a broad business that gives it many growth opportunities to pursue. The company is focusing on launching many products that can generate billions in revenue in the future.
Viatris: Generic Semaglutide Could Become The Poor Man's Option For Weight Loss
Viatris Inc.'s Q2 2023 earnings presentation notes that generic forms of NVO's Ozempic and Wegovy are under regulatory review. Despite newer therapies, older drugs like Trulicity continue to generate significant revenues, so a generic semaglutide could still compete with newer drugs. Viatris continues to make headway on paying down its debt and there is room for optimism on the top line, thanks to the launch of newer products.
Viatris (VTRS) Gets FDA Nod for Pupil Dilation Reversal Agent
Viatris (VTRS) and partner Ocuphire Pharma receive FDA approval for Ryzumvi to treat pharmacologically-induced mydriasis of the pupils.
Viatris and Ocuphire Pharma get FDA green light for eye treatment
Viatris Inc. VTRS, and Ocuphire Pharma Inc. OCUP, +3.08% said Wednesday that the U.S. Food and Drug Administration has approved Ryzumvi to treat the side effects of pharmacologically-induced mydriasis, or dilation of pupils. About 100 million eye dilations are conducted in the U.S. each year to examine the retina and for other routine check-ups, the companies said in a release, but the dilation can last up to 24 hours and side effects include light sensitivity and blurred vision.
Viatris and Ocuphire Pharma Announce FDA Approval of RYZUMVl™ (Phentolamine Ophthalmic Solution) 0.75% Eye Drops for the Treatment of Pharmacologically-Induced Mydriasis Produced by Adrenergic Agonists (e.g., Phenylephrine) or Parasympatholytic (e.g.
RYZUMVI Expected to be Commercially Available in the U.S. in the First Half of 2024   PITTSBURGH, and FARMINGTON HILLS, Mich. , Sept. 27, 2023 /PRNewswire/ -- Viatris Inc. (NASDAQ: VTRS), a global healthcare company, and Ocuphire Pharma, Inc. (Nasdaq: OCUP), a clinical-stage ophthalmic biopharmaceutical company focused on developing and commercializing small-molecule therapies for the treatment of retinal and refractive eye disorders, today announced that the U.S. Food and Drug Administration (FDA) has approved RYZUMVI™  (phentolamine ophthalmic solution) 0.75% for the treatment of pharmacologically-induced mydriasis produced by adrenergic agonists (e.g.</t>
  </si>
  <si>
    <t>Viatris</t>
  </si>
  <si>
    <t xml:space="preserve">
    Market Cap (intraday) 11.83B
         Enterprise Value 29.88B
             Trailing P/E   6.44
              Forward P/E   3.46
PEG Ratio (5 yr expected)    NaN
        Price/Sales (ttm)   0.77
         Price/Book (mrq)   0.57
 Enterprise Value/Revenue   1.91
  Enterprise Value/EBITDA   4.87</t>
  </si>
  <si>
    <t>Wabtec Announces Third Quarter 2023 Earnings Release Date
PITTSBURGH--(BUSINESS WIRE)--Wabtec Corporation (NYSE: WAB) announced it will report 2023 third quarter results before the U.S. financial markets open on October 25, 2023. The company will conduct a conference call to discuss those results with analysts and investors at 8:30 a.m. ET the same day. To listen to the call via webcast, visit Wabtec's website at www.WabtecCorp.com and click on “Events &amp; Presentations” in the “Investor Relations” section. An audio replay of the call will be availa.
Road to Riches: 3 Transportation Stocks Set to Outpace the Market
Transportation stocks are typically viewed as moving in sync with the economy as a whole. Despite what the very stubborn bears say,  I would argue that this characteristic makes transportation stocks very attractive at the current time, as the Fed projects that the U.S. economy will grow at an extremely rapid 4.9% in the current quarter.</t>
  </si>
  <si>
    <t>Wabtec</t>
  </si>
  <si>
    <t xml:space="preserve">
    Market Cap (intraday) 19.04B
         Enterprise Value 23.06B
             Trailing P/E  28.34
              Forward P/E  17.01
PEG Ratio (5 yr expected)    NaN
        Price/Sales (ttm)   2.14
         Price/Book (mrq)   1.87
 Enterprise Value/Revenue   2.57
  Enterprise Value/EBITDA  14.86</t>
  </si>
  <si>
    <t>United Rentals Selected to TIME World's Best Companies 2023 List
STAMFORD, Conn.--(BUSINESS WIRE)--United Rentals, Inc. (NYSE: URI), the world's largest equipment rental company, today announced it was selected to the TIME World's Best Companies 2023 list. The award recognizes United Rentals as among the top-performing companies across the globe. The World's Best Companies list includes a wide range of industries such as retail, manufacturing, engineering, automotive and services. United Rentals is the highest-ranked equipment rental company on the list. TIM.
Is United Rentals (URI) a Great Value Stock Right Now?
Here at Zacks, our focus is on the proven Zacks Rank system, which emphasizes earnings estimates and estimate revisions to find great stocks. Nevertheless, we are always paying attention to the latest value, growth, and momentum trends to underscore strong picks.</t>
  </si>
  <si>
    <t>United Rentals</t>
  </si>
  <si>
    <t xml:space="preserve">
    Market Cap (intraday) 30.36B
         Enterprise Value 42.96B
             Trailing P/E  13.57
              Forward P/E  10.52
PEG Ratio (5 yr expected)   1.16
        Price/Sales (ttm)   2.35
         Price/Book (mrq)   4.09
 Enterprise Value/Revenue   3.26
  Enterprise Value/EBITDA   6.98</t>
  </si>
  <si>
    <t>BorgWarner: The Future Is Electric, Stock Worth Considering
BorgWarner's stock has rallied over the past year due to its focus on e-mobility solutions and strong financial profile. The positive market sentiment towards electric vehicles provides growth opportunities for BorgWarner. BorgWarner's strategy includes acquisitions, geographic expansion, and leveraging its core expertise to support its transition to e-mobility.
UAW Strike Escalates: Who Stands to Gain and Lose?
UAW strike intensifies, affecting the U.S. auto industry, legacy automakers, suppliers, and the steel industry. Tesla and other non-unionized manufacturers may gain, but consumers may feel the pinch if the strike drags on.</t>
  </si>
  <si>
    <t>BorgWarner</t>
  </si>
  <si>
    <t>Automotive Parts &amp; Equipment</t>
  </si>
  <si>
    <t xml:space="preserve">
    Market Cap (intraday)  9.49B
         Enterprise Value 13.09B
             Trailing P/E   9.97
              Forward P/E   9.35
PEG Ratio (5 yr expected)   1.56
        Price/Sales (ttm)   0.56
         Price/Book (mrq)   1.26
 Enterprise Value/Revenue   0.78
  Enterprise Value/EBITDA   6.05</t>
  </si>
  <si>
    <t>Harvesting Security: 3 Agriculture Stocks to Buy for a Storm-Steady Portfolio
If you have your finger on the geopolitical pulse, your next best move could potentially be to target agriculture or Ag stocks. Why? Fundamentally, the underlying ag stocks industry responds to supply and demand.
Bunge Limited Schedules Third Quarter 2023 Earnings Release and Conference Call
ST. LOUIS--(BUSINESS WIRE)--Bunge Limited (NYSE: BG) will announce its results for the quarter ended September 30, 2023, on Thursday, October 26, 2023, prior to the market opening. The Company's management will also host a conference call at 7:00 a.m. Central Time to discuss the results. A slide presentation to accompany the discussion will be posted on www.bunge.com. To access the webcast, go to “Events &amp; Presentations” under “News &amp; Events” in the “Investor Center” section of the comp.</t>
  </si>
  <si>
    <t>Bunge Limited</t>
  </si>
  <si>
    <t>Agricultural Products &amp; Services</t>
  </si>
  <si>
    <t xml:space="preserve">
    Market Cap (intraday) 16.31B
         Enterprise Value 20.75B
             Trailing P/E   8.37
              Forward P/E   8.46
PEG Ratio (5 yr expected)   1.71
        Price/Sales (ttm)   0.26
         Price/Book (mrq)   1.54
 Enterprise Value/Revenue   0.33
  Enterprise Value/EBITDA   5.89</t>
  </si>
  <si>
    <t>83% of Warren Buffett's $347 Billion Portfolio Is Invested in Only 8 Stocks
The Oracle of Omaha has effectively doubled-up the annualized total return of the benchmark S&amp;P 500 since the mid-1960s. Portfolio concentration has played a key role in Warren Buffett's sizable outperformance.
All Eyes On a Possible Government Shutdown
All Eyes On a Possible Government Shutdown.</t>
  </si>
  <si>
    <t>Moody's Corporation</t>
  </si>
  <si>
    <t xml:space="preserve">
    Market Cap (intraday) 58.00B
         Enterprise Value 63.34B
             Trailing P/E  40.74
              Forward P/E  27.70
PEG Ratio (5 yr expected)   1.87
        Price/Sales (ttm)  10.52
         Price/Book (mrq)  18.45
 Enterprise Value/Revenue  11.46
  Enterprise Value/EBITDA  26.94</t>
  </si>
  <si>
    <t>10 Cheap Value Stocks Are Poised To Report Massive Profit Growth
Just because a stock is considered a "value" doesn't mean it can't grow like crazy. In fact, many S&amp;P 500 value stocks may do just that.
Playing Defense With Low-Debt Dividend Growers
The article discusses miserly managers of money. Large cap-picks with ultra low debt-to-equity ratios and nice sized, well covered, growing dividends. These companies also have ample interest expense coverage, an essential when the forward cost of capital is ever-increasing. Insurance, oil &amp; gas seem to be the best operators at the moment with the least need for debt in their capital stacks.</t>
  </si>
  <si>
    <t>Hartford (The)</t>
  </si>
  <si>
    <t xml:space="preserve">
    Market Cap (intraday) 21.69B
         Enterprise Value 26.23B
             Trailing P/E  11.42
              Forward P/E   7.18
PEG Ratio (5 yr expected)    NaN
        Price/Sales (ttm)   0.98
         Price/Book (mrq)   1.57
 Enterprise Value/Revenue   1.13
  Enterprise Value/EBITDA    NaN</t>
  </si>
  <si>
    <t>Looking for Stocks with Positive Earnings Momentum? Check Out These 2 Business Services Names
Why investors should use the Zacks Earnings ESP tool to help find stocks that are poised to top quarterly earnings estimates.
Global Payments (GPN) Jumps 20% in 6 Months: More Growth Ahead?
Global Payments (GPN) is poised for long-term growth due to the rising demand for digital payment methods amid the growing digitalization of economies worldwide.</t>
  </si>
  <si>
    <t>Global Payments</t>
  </si>
  <si>
    <t xml:space="preserve">
    Market Cap (intraday) 30.00B
         Enterprise Value 45.66B
             Trailing P/E  39.38
              Forward P/E   9.78
PEG Ratio (5 yr expected)   0.59
        Price/Sales (ttm)   3.32
         Price/Book (mrq)   1.35
 Enterprise Value/Revenue   4.92
  Enterprise Value/EBITDA  14.28</t>
  </si>
  <si>
    <t>Kinder Morgan Stock: Bull vs. Bear
Kinder Morgan's financial discipline and dividend growth should encourage the bulls. The bear case for Kinder Morgan focuses on the long-term future of fossil fuels.
KMI or WMB: Which Is the Better Value Stock Right Now?
Investors with an interest in Oil and Gas - Production and Pipelines stocks have likely encountered both Kinder Morgan (KMI) and Williams Companies, Inc. (The) (WMB). But which of these two stocks offers value investors a better bang for their buck right now?
Dividend Harvesting Portfolio Week 134: $13,400 Allocated, $1,163.15 In Projected Dividends
The stock market and the economy are two different things, and the Fed's mandate is not to prioritize the stock market. The Dividend Harvesting Portfolio took a hit in Week 134, but it remains in the black and continues to generate dividend income. The portfolio's diversification and consistent cash flow from dividends help mitigate downside risk and provide long-term stability.
3 Energy Stocks to Buy for Crude Oil Surge &amp; Stellar Dividends
With WTI crude oil prices spiking 4% today and currently near $94 a barrel it's noteworthy that several Zacks Oils and Energy sector stocks are standing out with stellar dividend yields and the ability to benefit from the surging commodity price.
Energy Market Volatility Bothers You? Watch These 3 Stocks
Amid heightened volatility, it would be wise for investors to keep an eye on midstream stocks like Kinder Morgan (KMI), The Williams Companies (WMB) and MPLX.
3 High-Yield Energy Stocks That Are Distributing Massive Payouts to Investors
A major acquisition makes Enbridge's ultra-high-yield dividend look even safer. Diamondback Energy is an interesting way to get exposure to oil.
3 Stocks to Buy Ahead of the Coming VIX Spike
There are already many pieces of the puzzle that point to volatile times ahead. Undoubtedly, volatility can be a trader's best friend, but for investors, volatility paints a completely different scenario.
Kinder Morgan Looks More Interesting As Consolidation Occurs
M&amp;A activity is heating up in the energy infrastructure space, with several major acquisitions and mergers taking place. Kinder Morgan is one of the largest energy infrastructure companies and stands to benefit from continued consolidation in the industry. KMI has a strong position with its extensive pipeline network and hard assets, making it attractive to potential acquirers and investors.
Kinder Morgan: Buy For Dividends And Hold For Sanity
Kinder Morgan is a solid choice for income investors due to its attractive yield and stable business model. The company has a strong infrastructure footprint in the US that's primarily focused on natural gas transportation and storage. KMI's management is actively pursuing cleaner energy projects, demonstrating a commitment environmental goals.</t>
  </si>
  <si>
    <t>Kinder Morgan</t>
  </si>
  <si>
    <t>Oil &amp; Gas Storage &amp; Transportation</t>
  </si>
  <si>
    <t xml:space="preserve">
    Market Cap (intraday) 36.94B
         Enterprise Value 67.84B
             Trailing P/E  14.94
              Forward P/E  12.71
PEG Ratio (5 yr expected)   2.70
        Price/Sales (ttm)   2.17
         Price/Book (mrq)   1.21
 Enterprise Value/Revenue   3.96
  Enterprise Value/EBITDA  10.50</t>
  </si>
  <si>
    <t>2 Exceptional Dividend Stocks to Buy in October and Hold Forever
A couple of beaten-down dividend stocks in the healthcare sector deserve more attention than they've been getting lately. Kenvue is the consumer health business Johnson &amp; Johnson spun off earlier this year, and it offers a 4% yield at recent prices.
Could Kenvue Follow in the Footsteps of Johnson &amp; Johnson and Become a Top Dividend Stock?
J&amp;J recently spun off its billion-dollar consumer health business to form Kenvue. Kenvue announced a dividend during its first earnings report as an independent entity.
Is Kenvue Stock Too Pricey to Buy?
Kenvue's shares are pricey because it's expected to be a safe bet for investors. Its growth rate is relatively low for its valuation, at least so far.
A Bull Market Is Coming: 3 Top Dividend Stocks to Buy Now
Kenvue should be a reliable source of dividends, like its parent before it. If dividend growth is what you're searching for, look no further than Enbridge.
3 Best Stocks to Buy in September and Hold Forever
Kenvue is poised to make its mark as a great business with a new name. Abbott Labs has long-term upside in key healthcare end markets.</t>
  </si>
  <si>
    <t>Kenvue</t>
  </si>
  <si>
    <t xml:space="preserve">
    Market Cap (intraday) 38.45B
         Enterprise Value 45.82B
             Trailing P/E  35.50
              Forward P/E  15.46
PEG Ratio (5 yr expected)    NaN
        Price/Sales (ttm)   2.49
         Price/Book (mrq)   3.48
 Enterprise Value/Revenue   3.01
  Enterprise Value/EBITDA  14.70</t>
  </si>
  <si>
    <t>Drugmakers opt in to Medicare drug price negotiations – here's what happens next
The lengthy negotiation process with Medicare won't end until August 2024, with reduced prices going into effect in January 2026.
Drugmakers sign on to negotiate Medicare prices under protest
All the drugmakers that make the 10 prescription medicines subject to the first-ever price negotiations for the U.S. Medicare health program, including Amgen and Novartis , said they signed on to participate in the talks by the Oct. 1 deadline.
J&amp;J's (JNJ) Rybrevant Combo Meets Primary Goal in NSCLC Study
J&amp;J (JNJ) meets the primary goal in the late-stage study of the combination therapy of Rybrevant and lazertinib against Tagrisso for EGFR-mutated first-line NSCLC.
3 Magnificent Dividend Stocks to Buy in October
AbbVie is attractive in multiple ways. Gilead Sciences offers investors stability and a high dividend yield.
Recession-Proof Royals: 3 Stocks That Thrive in Tough Economic Times
In the new century, economic uncertainty often looms. Finding investment opportunities that can weather the storm is a quest every investor undertakes.
Don't Miss Out: 3 Dividend Stocks to Buy on EVERY. SINGLE. DIP.
There is no better way to create wealth than investing in stocks. Not gold, not bonds, not real estate.
These 7 Dividend Stocks Pay $98 Billion Annually, Combined, to Their Shareholders
Over the long run, dividend stocks have run circles around public companies that don't offer a payout. These seven income juggernauts are parsing out some of the largest nominal-dollar dividends in the world.
Unitaid urges Johnson &amp; Johnson to improve access to TB drug bedaquiline
Global health aid agency Unitaid has written to Johnson &amp; Johnson's (J&amp;J) CEO Joaquin Duato, urging him to take "immediate action" to expand access to the company's tuberculosis drug bedaquiline.
J&amp;J's lung cancer therapy combo succeeds in late-stage study
Johnson &amp; Johnson said on Thursday its cancer therapy combination met the main goal in a late-stage study testing it as a treatment for patients with a type of lung cancer.
3 Things About Johnson &amp; Johnson That Smart Investors Know
J&amp;J recently spun off its slowest-growing business -- consumer health. The healthcare giant aims to focus its resources in its pharmaceuticals and medtech units, which together generated more than $79 billion in revenue last year.
2 Monster Stocks to Buy Without Any Hesitation
Johnson &amp; Johnson and Intuitive Surgical are both leaders in their industries and long-time market beaters. Johnson &amp; Johnson has a knack for developing new medicines, a solid balance sheet, and a secure dividend.
3 Blue Chip Safe Havens to Shield Your Portfolio
The market had one of its worst weeks of the year, as the SPDR S&amp;P 500 ETF Trust NYSE: SPY tumbled almost 3% lower. The selloff swept the market last week after the Federal Reserve signaled that interest rates will likely stay higher for longer than previously anticipated.</t>
  </si>
  <si>
    <t>Johnson &amp; Johnson</t>
  </si>
  <si>
    <t xml:space="preserve">
    Market Cap (intraday) 375.05B
         Enterprise Value 392.15B
             Trailing P/E   31.59
              Forward P/E   14.18
PEG Ratio (5 yr expected)    5.14
        Price/Sales (ttm)    4.21
         Price/Book (mrq)    4.99
 Enterprise Value/Revenue    4.01
  Enterprise Value/EBITDA   16.27</t>
  </si>
  <si>
    <t>Keysight (KEYS) Testing Solution Boosts 5G V2X Advancements
Keysight (KEYS) and Ettifos team up for successful completion of 3GPP Release 16 compliant Sidelink radio conformance test.
Keysight and Ettifos Successfully Conduct 3GPP Release 16 Sidelink Radio Conformance Test
SANTA ROSA, Calif.--(BUSINESS WIRE)---- $KEYS #3GPP--Keysight Technologies, Inc. (NYSE: KEYS) and Ettifos have successfully conducted a 3rd Generation Partnership Project (3GPP) Release 16 (Rel-16) Sidelink radio conformance test between the Ettifos SIRIUS 5G-V2X sidelink platform and Keysight's advanced test equipment, paving the way for 5G vehicle-to-everything (5G-V2X) advancements. As demand for connected cars surges and autonomous driving gains momentum, the expansion of 5G for automotive use comes with s.
Keysight, Synopsys, and Ansys Accelerate RFIC Semiconductor Design with New Reference Flow for TSMC's Advanced 4nm RF FinFET Process
SANTA ROSA, Calif.--(BUSINESS WIRE)---- $KEYS #Ansys--Keysight Technologies, Inc. (NYSE: KEYS), Synopsys, Inc. (Nasdaq: SNPS), and Ansys (Nasdaq: ANSS) announced a new reference flow for the TSMC N4PRF, the world's leading semiconductor foundry's advanced 4 nanometer (nm) radio frequency (RF) FinFET process technology. The reference flow is based on the Synopsys Custom Design Family, which provides a complete RF design solution for customers seeking an open RF design environment with higher predictive accuracy.
Keysight, Synopsys, and Ansys Accelerate RFIC Semiconductor Design with New Reference Flow for TSMC's Most Advanced 4nm RF FinFET Process
Ansys signoff power integrity and electromagnetic modeling capabilities featured in new custom design flow that meets the needs of high-speed circuit designers / Key Highlights New reference flow offers open, efficient radio frequency design solution that supports streamlined migration from previous process nodes Industry-leading electromagnetic simulation tools boost 5G/6G wireless system on a chip performance and power efficiency Integrated flow improves designer productivity, increases simulation accuracy for faster time-to-market PITTSBURGH , Sept. 27, 2023 /PRNewswire/ -- Keysight Technologies, Inc. (NYSE: KEYS), Synopsys, Inc. (Nasdaq: SNPS), and Ansys (Nasdaq: ANSS) announced a new reference design flow for TSMC N4P RF, the silicon foundry's most advanced 4 nanometer (nm) radio frequency (RF) FinFET process technology.
Keysight EDA 2024 Integrated Software Tools Shift Left Design Cycles to Increase Engineering Productivity
SANTA ROSA, Calif.--(BUSINESS WIRE)---- $KEYS #5G--Keysight Technologies, Inc. (NYSE: KEYS) introduces Keysight EDA 2024, a tightly integrated suite of electronic design automation (EDA) software tools that ensures first pass success. This new integrated EDA software facilitates a “shift left” approach to increase productivity for engineers developing high speed, high frequency products in multiple applications. Shift left is an established electrical engineering practice that moves design validation forward.
Keysight (KEYS), Synopsys Team Up for loT Cybersecurity Testing
Keysight (KEYS) collaborated with Synopsys to develop an advanced cybersecurity assessment solution for loT devices. The cutting-edge features immensely boost loT security for various use cases.
Keysight to Demonstrate Solutions that Accelerate Terabit Data Center Transition at ECOC 2023
--(BUSINESS WIRE)---- $KEYS #16T--Keysight Technologies, Inc. (NYSE: KEYS): What: At ECOC 2023, Keysight will be showcasing solutions that accelerate the transition of networks and data centers to speeds of 800G, 1.6T, or higher. When: October 2-4, 2023 Where: Keysight Booth #219 Scottish Event Campus (SEC) Glasgow, Scotland Info: Keysight at ECOC Join Keysight network and data center experts as they showcase: Optical Test Innovations Photonic IC testing – Learn how to verify photonic integrated circuits (PIC.</t>
  </si>
  <si>
    <t>Keysight</t>
  </si>
  <si>
    <t>Electronic Equipment &amp; Instruments</t>
  </si>
  <si>
    <t xml:space="preserve">
    Market Cap (intraday) 23.49B
         Enterprise Value 22.94B
             Trailing P/E  21.03
              Forward P/E  16.23
PEG Ratio (5 yr expected)   1.91
        Price/Sales (ttm)   4.25
         Price/Book (mrq)   4.80
 Enterprise Value/Revenue   4.10
  Enterprise Value/EBITDA  13.16</t>
  </si>
  <si>
    <t>7 Energy Stocks Set to Explode Higher
Energy stocks are heating up and it's time to consider which ones are the best to buy. It was only a matter of time before the price of oil surged above $90 a barrel.
Halliburton Highlights Innovative Technologies, Sustainable Solutions at ADIPEC 2023
ABU DHABI, United Arab Emirates--(BUSINESS WIRE)--Halliburton Company (NYSE: HAL) will highlight a slate of innovative new technologies and sustainable solutions during the Abu Dhabi International Petroleum Exhibition and Conference (ADIPEC) from October 2-5, 2023. Halliburton's new product offerings feature the latest drilling, completions, production, and carbon capture, utilization, and storage (CCUS) technologies, as well as new applications for artificial intelligence. Halliburton's techno.
Oil and Gas Stocks Topped S&amp;P 500 Returns This Quarter as Crude Prices Surged
Oil and gas companies featured heavily in the list of top-performing S&amp;P 500 companies in the third quarter, as rising crude prices lifted the outlook for profits.
Oil Stocks Sink as the White House Offers Fewest Offshore Drilling Leases Ever
Energy stocks sank on Friday after the Biden administration proposed to allow a maximum of three sales of oil and gas drilling leases in the Gulf of Mexico over the next five years, the fewest in history.
Energy Stock Halliburton Rides Oil Wave Toward Buy Point
This oil services stock is nearing a 52-week high as crude oil prices also near their highest point in a year.
Halliburton (HAL) Unveils PulseStar for Efficient Data Streaming
Halliburton's (HAL) PulseStar, an advanced telemetry service, revolutionizes well delivery with AI-driven data transmission.
Goldman Sachs Pounds the Table on 5 Sizzling Oilfield Services Leaders as Oil Surges Toward $100
The relentless climb of Brent and West Texas Intermediate crude since the summer has been one of the biggest stories on Wall Street recently, and with good reason.
The 12 Best Stocks to Buy Now
Our list of the best stocks to buy now reflect the lesson of the past few years: Be ready for anything.
Is It Worth Investing in Halliburton (HAL) Based on Wall Street's Bullish Views?
Investors often turn to recommendations made by Wall Street analysts before making a Buy, Sell, or Hold decision about a stock. While media reports about rating changes by these brokerage-firm employed (or sell-side) analysts often affect a stock's price, do they really matter?</t>
  </si>
  <si>
    <t>Halliburton</t>
  </si>
  <si>
    <t>Oil &amp; Gas Equipment &amp; Services</t>
  </si>
  <si>
    <t xml:space="preserve">
    Market Cap (intraday) 36.39B
         Enterprise Value 43.36B
             Trailing P/E  14.94
              Forward P/E  11.48
PEG Ratio (5 yr expected)   1.12
        Price/Sales (ttm)   1.64
         Price/Book (mrq)   4.19
 Enterprise Value/Revenue   1.93
  Enterprise Value/EBITDA   9.69</t>
  </si>
  <si>
    <t>Emerging Market Growth Aids Hasbro (HAS), High Costs Ail
Hasbro (HAS) banks on strong expansion in emerging markets, the success of recent product launches and heightened demand in the gaming sector.
WIZARDS OF THE COAST PARTNERS WITH ADOPTACLASSROOM.ORG TO BRING DUNGEONS &amp; DRAGONS TO STUDENTS ACROSS THE US
200 High-Need s Classrooms To Receive D&amp;D Libraries; Teachers Can Enter for Their Chance to Win Today RENTON, Wash. , Oct. 2, 2023 /PRNewswire/ -- The world's greatest role-playing game is heading back to school!
Hasbro Launches the NERF Brand's First-Ever Official Sport "NERFBALL" With Exhibition Game Featuring New Gear &amp; Technology
PAWTUCKET, R.I.--(BUSINESS WIRE)--Hasbro, Inc., a leading toy and game company, today launched NERFBALL, the NERF brand's first-ever official sport in its 50+ years of history, by releasing the full gameplay video of the NERFBALL – Battle in the Bubble exhibition game. Since 1969 when the iconic brand was first introduced to the world with the original NERF ball, dozens of iterations of NERF have been created across consumer products categories from sports items to blasters and much more. What.
Hasbro Unveils Nerfball, A Game Where Players Shoot Darts, And Shoot The Ball
Hasbro's Nerf team has spent the past four years developing a game they believe has the potential to become a new sports franchise, with tech that can detect dart hits
Hasbro Unveils Nerfball, A Game Where Players Shoot The Ball And Darts
Hasbro's Nerf team has spent the past four years developing a game they believe has the potential to become a new sports franchise, with tech that can detect dart hits
LITTLEST PET SHOP Kicks Off Massive Global Relaunch with New Experience on Roblox
The Immersive LITTLEST PET SHOP Experience on Roblox Aims to Ignite the Next Generation of Fans and Collectors Leading into the Worldwide Product Relaunch in Spring 2024 BOCA RATON, Fla. , Sept. 28, 2023 /PRNewswire/ -- LITTLEST PET SHOP, one of the most well-known collectible toy brands in history, will be marking its long-anticipated return to retail with an immersive digital play experience on the global immersive platform for communication and connection.
Here are the 18 stocks Jim Cramer is watching, including names in EVs, beauty and oil
Here are some of the tickers on my radar for Wednesday, Sept. 27, taken directly from my reporter's notebook.</t>
  </si>
  <si>
    <t>Hasbro</t>
  </si>
  <si>
    <t xml:space="preserve">
    Market Cap (intraday)  9.18B
         Enterprise Value 12.89B
             Trailing P/E  35.61
              Forward P/E  13.23
PEG Ratio (5 yr expected)   1.20
        Price/Sales (ttm)   1.65
         Price/Book (mrq)   3.76
 Enterprise Value/Revenue   2.32
  Enterprise Value/EBITDA  17.33</t>
  </si>
  <si>
    <t>Neptune Aviation to Offer Garmin Avionics Conversion Services
Decades of Experience and Full Range of Services Ensure Compliance, Safety and Can Minimize Aircraft Downtime Missoula, Montana--(Newsfile Corp. - October 2, 2023) - Neptune Aviation, a leader in aerial firefighting and aviation services, is now an authorized Garmin dealer and can offer its customers Garmin's line of industry-leading aviation supplies and avionics solutions, including GPS navigation systems, transponders, advanced displays, and other aviation products. Neptune can also deliver comprehensive Garmin services, including system upgrades, technical support and maintenance, aircraft painting and inspections, making it a one-stop shop for the aviation industry.
Garmin (GRMN) Boosts Citation Excel XLS+ Performance With G5000
Garmin's (GRMN) G5000-integrated flight deck retrofits Cessna Citation Excel XLS+ and XLS Gen2 aircraft.
Garmin (GRMN) Boosts Fitness Tracking Efforts With New Watch
Garmin (GRMN) launches vivoactive 5 to boost its smartwatch offerings and fitness segment.
Garmin achieves top spot in Avionics Product Support Survey for 20th consecutive year
Based on direct responses from aircraft owners and operators around the world, annual ranking recognizes Garmin for overall excellence in supporting customers OLATHE, Kan. , Sept. 27, 2023 /PRNewswire/ -- Garmin (NYSE: GRMN) today announced it was honored with the top spot in Aviation International News' (AIN) 2023 Avionics Product Support Survey for the 20th consecutive year.
Garmin announces G5000 integrated flight deck retrofit coming soon for Cessna Citation XLS+ and XLS Gen2 aircraft
Certification will expand the successful G5000 upgrade program for Citation Excel and Citation XLS OLATHE, Kan. , Sept. 26, 2023 /PRNewswire/ -- Garmin (NYSE: GRMN) today announced it will expand its portfolio of G5000® integrated flight deck retrofit upgrades to include the popular Cessna Citation XLS+ and XLS Gen2 aircraft.
Garmin named 2023 Manufacturer of the Year by the National Marine Electronics Association
For nine years running, Garmin earns top NMEA honors and adds five Product of Excellence Awards to its winning streak OLATHE, Kan. , Sept. 26, 2023 /PRNewswire/ -- Garmin (NYSE: GRMN), the world's most innovative and recognized marine electronics manufacturer, has been named Manufacturer of the Year in the large manufacturer category for the ninth consecutive year by members of the National Marine Electronics Association (NMEA®) at its annual conference and awards banquet held Sept.</t>
  </si>
  <si>
    <t>Garmin</t>
  </si>
  <si>
    <t>Consumer Electronics</t>
  </si>
  <si>
    <t xml:space="preserve">
    Market Cap (intraday) 20.14B
         Enterprise Value 18.57B
             Trailing P/E  20.35
              Forward P/E  18.90
PEG Ratio (5 yr expected)   2.00
        Price/Sales (ttm)   4.11
         Price/Book (mrq)   3.29
 Enterprise Value/Revenue   3.78
  Enterprise Value/EBITDA  16.06</t>
  </si>
  <si>
    <t>Qualcomm (QCOM) Remains in Spotlight Throughout September
We believe that Qualcomm (QCOM) has the requisite wherewithal to emerge victorious from the apparent upheaval and strike the right chords in the near future.
Will Qualcomm Stock Return To Pre-Inflation Shock Highs Of Over $180?
There have been some positive developments for the stock as well, with Qualcomm announcing earlier this month it had extended an agreement with Apple to supply modem c
Qualcomm Drives Into The Future With Apple Renewal And Auto Deals
Qualcomm is a market leader in mobile and IoT technologies, with a strong investment case reinforced by the renewal of the Apple supply agreement. The company expects significant growth in the IoT and Automotive sectors, leveraging existing relationships and partnerships. Despite challenges in the mobile segment, Qualcomm holds key patents and is well-positioned for future growth in the semiconductor market.
Buy This, Not That: 4 Tech Stocks to Own, 3 to Avoid
It continues to be an uneven playing field for tech stocks. While some companies are continuing to knock the cover off the ball, others are struggling and in decline.
Qualcomm launches chips for Meta Quest 3 and Ray-Ban smart glasses
Qualcomm has launched two new chip platforms for Meta's Meta Quest 3 virtual reality headset and its Ray-Ban Stories smart glasses.
Qualcomm launches its next-gen chips for XR and AR platforms
Right in time for the launch of Meta's Quest 3 VR goggles, Qualcomm today announced its newest chips for XR and AR platforms: the Snapdragon XR2 Gen 2 for VR and mixed reality devices and the AR1 Gen 1, specifically designed for smart glasses. It's been a while since Qualcomm released a new XR platform.
Don't Miss the Boom: 3 Metaverse Stocks Set to Explode Higher
Whether you're skeptical of the metaverse's long-term vision or not, it's undeniably evolving at leaps and bounds. The groundwork has been set and continues to develop.
Don't Miss the Boom: 7 AI Stocks Set to Explode Higher
Amidst the ever-shifting landscape of technology, artificial intelligence (AI) has been one of the biggest catalysts for the tech sphere in 2023. Even as the fanfare subsides, AI's stronghold remains undeniable, especially when eyeing the Nasdaq impressive 35% surge this year, fueled predominantly by AI tailwinds.
5 Oversold Semiconductor Stocks to Nibble On Ahead of Q3 Earnings
Semiconductor stocks have struggled over the past few months and present an opportunity for traders as the Q3 earnings season approaches. Many of these stocks have been beaten down hard and are oversold, presenting an above-average opportunity for a rebound.
NTT and Qualcomm Team up to Drive AI at the Edge
SAN JOSE, Calif. &amp; LONDON--(BUSINESS WIRE)--NTT Ltd., a leading IT infrastructure and services company, today announced a strategic engagement with Qualcomm Technologies, Inc., a global leader in semiconductor technologies, to invest in and accelerate the development of the 5G device ecosystem to facilitate private 5G adoption, which is critical to powering AI at the edge. As part of a multi-year engagement, NTT and Qualcomm Technologies will prioritize the development of 5G enabled devices to.
iPhone 15 Pro analysis unveils Qualcomm modem and easier-to-repair smartphone frame
The two most common smartphone fixes are replacing the battery and screen, so the new design gives repairers easier access to those parts.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2 Charts That Show Semiconductor Stocks Are Poised to Drop
The S&amp;P Semiconductors Select Industry Index has topped both price-wise and on a relative basis. That bodes poorly for the sector.
2 AI Chip Stocks to Buy Not Named Nvidia
AMD and Qualcomm both trail Nvidia when it comes to AI chips. Each company still has a lot of catalysts that could be long-term tailwinds, and investors appear to be missing the bigger picture.</t>
  </si>
  <si>
    <t>Qualcomm</t>
  </si>
  <si>
    <t xml:space="preserve">
    Market Cap (intraday) 123.94B
         Enterprise Value 130.76B
             Trailing P/E   14.54
              Forward P/E   12.08
PEG Ratio (5 yr expected)    1.08
        Price/Sales (ttm)    3.24
         Price/Book (mrq)    6.00
 Enterprise Value/Revenue    3.39
  Enterprise Value/EBITDA   10.90</t>
  </si>
  <si>
    <t>PNC Announces Redemption Of All Depositary Shares Representing Interests In Series O Stock
PITTSBURGH , Oct. 2, 2023 /PRNewswire/ -- The PNC Financial Services Group, Inc. (NYSE: PNC) today announced the redemption on Nov. 1, 2023, of $1,000,000,000 of Depositary Shares (CUSIP: 693475AK1) (the "Depositary Shares") representing interests in PNC's Fixed-to-Floating Rate Non-Cumulative Perpetual Preferred Stock, Series O (the "Series O Preferred Stock"). Each Depositary Share represents a 1/100th interest in a share of the Series O Preferred Stock.
PNC Declares Dividend of $1.55 on Common Stock
PITTSBURGH , Oct. 2, 2023 /PRNewswire/ -- The board of directors of The PNC Financial Services Group, Inc. (NYSE: PNC) declared a quarterly cash dividend on the common stock of $1.55 per share. The dividend, with a payment date of Nov. 5, 2023, will be payable the next business day to shareholders of record at the close of business Oct. 17, 2023.
7 Stocks That Should Be on Every Investor's Radar This Fall
As we head into Fall, it's a good time for investors to rebuild their watch list for the coming months. Despite the recent volatility, quality companies are still trading at reasonable prices, and many such companies have solid fundamentals.</t>
  </si>
  <si>
    <t>PNC Financial Services</t>
  </si>
  <si>
    <t xml:space="preserve">
    Market Cap (intraday) 48.89B
         Enterprise Value    NaN
             Trailing P/E   8.42
              Forward P/E   9.59
PEG Ratio (5 yr expected)   5.99
        Price/Sales (ttm)   2.23
         Price/Book (mrq)   0.99
 Enterprise Value/Revenue    NaN
  Enterprise Value/EBITDA    NaN</t>
  </si>
  <si>
    <t>Frito-Lay Opens New Scholarship for College Students to Celebrate Community Builders
$100,000 in Scholarships Presented to Needs-Based Local Leaders PLANO, Texas , Oct. 2, 2023 /PRNewswire/ -- Frito-Lay® today announced the opening of a needs-based scholarship aimed at students who demonstrate a commitment to uplifting and leading their communities. The Frito-Lay Community Builders Scholarship will award four students $25,000 each to help further their higher-education goals.
Big Food vs. Big Pharma: Companies bet on snacking just as weight loss drugs boom
Kellogg, J.M. Smucker and other food companies are making big bets on snacking, but the rise of Wegovy and Ozempic could pose a threat to future sales growth.
Better Buy: Coca-Cola vs. PepsiCo
Coca-Cola's higher margins are a testament to its efficiency and pricing power. PepsiCo's broad portfolio helps hedge against declining demand in the beverage market.
7 Perfect Stock Picks for a Moody Market
The broader market indexes would have you believe we're in the midst of a steady, long-term recovery. But those of us trading individual stocks, especially more speculative penny and growth names, know the truth.
Is It Worth Investing in PepsiCo (PEP) Based on Wall Street's Bullish Views?
When deciding whether to buy, sell, or hold a stock, investors often rely on analyst recommendations. Media reports about rating changes by these brokerage-firm-employed (or sell-side) analysts often influence a stock's price, but are they really important?
3 Dividend Growers Investors Can Buy Now and Hold Forever
Lowe's is paying six times the dividends it was 10 years ago. PepsiCo's durable brands give the company remarkable pricing power.
Which Is A Better Pick – PepsiCo Stock Or Amgen?
We believe that PepsiCo stock (NYSE: PEP) is a better pick over Amgen stock (NASDAQ: AMGN).
5 Low-Beta Stocks to Sail Through a Choppy Market
Market volatility will stay for a longer time. Invest in socks like American Water Works Company (AWK), PepsiCo (PEP), Vistra Corp. (VST), McKesson Corporation (MCK) and J&amp;J Snack Foods (JJSF).
It's Game Time: 3 NFL Stocks to Buy This Month
The National Football League (NFL) is back and bigger than ever. The viewership ratings for the first two weeks of the 2023 season have been exceptionally strong.</t>
  </si>
  <si>
    <t>PepsiCo</t>
  </si>
  <si>
    <t xml:space="preserve">
    Market Cap (intraday) 233.25B
         Enterprise Value 270.41B
             Trailing P/E   29.67
              Forward P/E   20.92
PEG Ratio (5 yr expected)    2.63
        Price/Sales (ttm)    2.60
         Price/Book (mrq)   13.19
 Enterprise Value/Revenue    3.00
  Enterprise Value/EBITDA   19.38</t>
  </si>
  <si>
    <t>5 Top Stocks for October
These five stocks could hardly be more different, but they have one important thing in common: All look like great buys in October 2023. From retail to biotech, these stocks showcase their resilience and strategic adaptability amid unpredictable market fluctuations.
Devon Energy: Buy, Sell, or Hold?
Devon Energy is an onshore U.S. energy producer. The company's top and bottom lines are directly affected by volatile oil and natural gas prices.
These Top Oil Stocks Plan to Sit Back and Cash In on Higher Crude Prices
Devon Energy expects its capital spending to decline next year, driven by lower capital costs. Occidental Petroleum plans to hold its production flat since OPEC drives the current market imbalance.
2 Stocks Down 25% and 53% to Buy Right Now
If the price of oil increases, then this company's dividend is likely to follow. Enphase Energy is a renewable energy business that generates impressive free cash flow.
Untapped Potential: 3 Undervalued Oil Stocks to Grab While You Can
The 2022 bear market saw oil stocks shining due to rising oil prices spurred by inflation and geopolitical events. However, 2023 has seen oil prices halve from their 2022 highs, impacting oil stocks negatively.
Should You Buy the 5 Highest-Paying Dividend Stocks in the S&amp;P 500?
The five S&amp;P 500 stocks with the highest dividend yields represent several sectors and industries. Their yields are so high in part due to poor stock performances this year, but there are other factors as well.
66 Ben Graham October Value Stocks: 56 Outrageous Buys
“Value ranking, looks at the price of a stock relative to. intrinsic firm value. Graham Value Stocks match the criteria . Benjamin Graham followed. “—YCharts Value Screener. 66 August Value large caps and Graham formula-derived results reflect established value-stock detection-criteria. Of those, 56 met the dogcatcher-outrageous-ideal of dividends from $1K invested exceeding single-share-stock-prices. Representing nine-of-eleven Morningstar Sectors, all 56 ideal value-picks pay regular-dividends. Broker-target-top-ten net-gains ranged 33.15%-84.12%, topped by PDM &amp; SQM, as-of 9/22/23.
3 High-Yield Energy Stocks That Are Gushing Gobs of Free Cash Flow
ConocoPhillips is the safest way to play the oil and gas market. Despite the recent dividend cut, Devon Energy is still attractive for income-seeking investors.
7 High-Yield Energy Stocks to Buy as Oil Prices Rise
Energy stocks are getting stronger as oil prices gush higher. Granted, 2023 didn't begin as strongly for the sector with prices cooling.
Oil Could Blow Through $100 by October: 7 ‘Strong Buy' Analyst Favorites That Pay Big Dividends
Since topping out at $120 a barrel back in the summer of 2022, the major oil benchmarks traded down every month until bottoming last December.
3 Oil Stocks to Buy Before It's Too Late
Devon Energy's dividend is about to get a lot more exciting, as it goes from being cut to being raised again. Marathon Oil is buying back an incredible amount of stock.</t>
  </si>
  <si>
    <t>Devon Energy</t>
  </si>
  <si>
    <t xml:space="preserve">
    Market Cap (intraday) 30.56B
         Enterprise Value 36.79B
             Trailing P/E   6.52
              Forward P/E   6.93
PEG Ratio (5 yr expected)   0.40
        Price/Sales (ttm)   1.81
         Price/Book (mrq)   2.77
 Enterprise Value/Revenue   2.16
  Enterprise Value/EBITDA   4.10</t>
  </si>
  <si>
    <t>PPG-Dutch University Partner to Build 1st Off-Road Solar Car
PPG will supply PPG CoraChar fire protection coating to protect the vehicle's lithium (Li)-ion battery pack.
Will Electronic Arts Stock Offer Better Returns Than PPG Industries In The Next Three Years?
We believe Electronic Arts stock (NASDAQ: EA) is a better pick than PPG Industries stock (NYSE: PPG), a paints, coatings, and specialty materials supplier, given its b
PPG receives top honors for product innovation, DE&amp;I at The Home Depot's 2023 Innovation Awards
PITTSBURGH--(BUSINESS WIRE)--PPG (NYSE: PPG) today announced that it has received two notable honors from retail partner The Home Depot as part of the retailer's annual Supplier Partnership Meeting. The GLIDDEN® floor paint and concrete stain product line by PPG featuring COOL SURFACE TECHNOLOGY™ formulation was named a 2023 Innovation Award winner – second runner up, and PPG was named as the Supplier Diversity Tier II Partner of the Year. The annual Home Depot Innovation Awards honor products.
PPG partners with Dutch university to develop world's first off-road solar car
AMSTERDAM--(BUSINESS WIRE)--PPG partners with Dutch university to develop world's first off-road solar car.
PPG Announces Exclusive Supplier Agreement With Flo-Optics
The collaboration between PPG &amp; Flo-Optics will enable the first digital lens coating solutions utilizing additive manufacturing, referred to as 3D printing.
PPG's COLORFUL COMMUNITIES program marks 500th project with makeover at Carnegie Science Center in Pittsburgh
PITTSBURGH--(BUSINESS WIRE)--PPG's COLORFUL COMMUNITIES program marks 500th project with makeover at Carnegie Science Center in Pittsburgh.
Hugh Grant to retire from PPG board of directors; Michael Lamach appointed independent lead director
PITTSBURGH--(BUSINESS WIRE)--PPG (NYSE:PPG) today announced that Hugh Grant, 65, PPG independent lead director, has informed the board of directors of his decision to end his tenure as independent lead director, effective Oct. 1, and retire from the board at the end of the year. Grant joined the board in 2005 and has served on the Nominating and Governance Committee and the Human Capital Management and Compensation Committee, serving the last nine years as independent lead director. "Hugh has b.
Tim Knavish elected PPG Chairman and CEO; Michael McGarry to retire as Executive Chairman
PITTSBURGH--(BUSINESS WIRE)--PPG (NYSE:PPG) today announced that its Board of Directors has unanimously elected PPG president and chief executive officer (CEO), Tim Knavish, 58, as chair of the company's Board of Directors and CEO, effective Oct. 1, 2023. Knavish succeeds Michael McGarry, 65, who served as chairman and CEO from 2016 to 2022 and is retiring as executive chairman, also effective Oct. 1, 2023. “On behalf of the PPG board of directors, we want to congratulate Tim and recognize the.
Why PPG Industries (PPG) is a Top Value Stock for the Long-Term
The Zacks Style Scores offers investors a way to easily find top-rated stocks based on their investing style. Here's why you should take advantage.
PPG, Flō-Optics announce exclusive supplier agreement for first digitally applied optical coatings
PITTSBURGH--(BUSINESS WIRE)--PPG and Flō-Optics announce exclusive supplier agreement for first digitally applied optical coatings.
PPG to announce third-quarter 2023 results October 18
PITTSBURGH--(BUSINESS WIRE)--PPG (NYSE: PPG) today announced the following details for its third quarter 2023 earnings release and teleconference call. Earnings release:     Wednesday, October 18, after U.S. stock markets close   Teleconference:     Thursday, October 19, 8 a.m. ET   PPG participants:     Tim Knavish, president and chief executive officer Vincent J. Morales, senior vice president and chief financial officer John Bruno, vice president, finance and investor relations   Dial-in reg.</t>
  </si>
  <si>
    <t>PPG Industries</t>
  </si>
  <si>
    <t>Specialty Chemicals</t>
  </si>
  <si>
    <t xml:space="preserve">
    Market Cap (intraday) 30.57B
         Enterprise Value 37.00B
             Trailing P/E  23.30
              Forward P/E  15.65
PEG Ratio (5 yr expected)   1.34
        Price/Sales (ttm)   1.72
         Price/Book (mrq)   4.01
 Enterprise Value/Revenue   2.07
  Enterprise Value/EBITDA  14.83</t>
  </si>
  <si>
    <t>Are You Looking for a High-Growth Dividend Stock?
Dividends are one of the best benefits to being a shareholder, but finding a great dividend stock is no easy task. Does Prudential (PRU) have what it takes?
Prudential Financial: A Solid Dividend But Little Upside
Prudential's core business has performed well, but one-time items have weighed on book value. Prudential's partnership with Warburg Pincus to launch a reinsurer will remove market-sensitive liabilities from its balance sheet and provide capital for distribution to shareholders. With about $7.5-8 of distributable ongoing earnings, shares appear fairly valued.
10 Cheap Value Stocks Are Poised To Report Massive Profit Growth
Just because a stock is considered a "value" doesn't mean it can't grow like crazy. In fact, many S&amp;P 500 value stocks may do just that.
Prudential Financial: Buy This High-Yielding Blue Chip Stock For Rock-Solid Dividend Income
Prudential comfortably covers its dividend from both after-tax adjusted operating income per share and free cash flow. The company's after-tax adjusted operating income per share surged higher in the second quarter. The asset manager and insurer enjoys remarkable credit ratings from the three major credit rating agencies.
Best Stocks To Invest In Right Now? 3 High Dividend Stocks To Watch
High dividend stocks to check out in the stock market today.</t>
  </si>
  <si>
    <t>Prudential Financial</t>
  </si>
  <si>
    <t xml:space="preserve">
    Market Cap (intraday) 34.45B
         Enterprise Value 51.14B
             Trailing P/E  17.51
              Forward P/E   7.32
PEG Ratio (5 yr expected)    NaN
        Price/Sales (ttm)   0.52
         Price/Book (mrq)   1.21
 Enterprise Value/Revenue   0.76
  Enterprise Value/EBITDA    NaN</t>
  </si>
  <si>
    <t>PayPal: A Cash Flow Machine That Keeps Growing
PayPal's stock has underperformed the market this year, down 22% while the S&amp;P500 is up 12%, causing valuation to become attractive. PayPal is trading at 12.5x EV/FCF and 11.8x P/E based on non-GAAP EPS guidance for 2023. Despite a decelerating growth in active accounts, PayPal's business performance remains strong, with growth in TPV supporting future revenue and earnings growth.
PayPal Holdings, Inc. (PYPL) Is a Trending Stock: Facts to Know Before Betting on It
Recently, Zacks.com users have been paying close attention to Paypal (PYPL). This makes it worthwhile to examine what the stock has in store.
3 Magnificent Stocks That Are Screaming Buys in October
Bank of America is a bargain thanks to the fallout from the banking crisis this year. PayPal Holdings is much stronger than its stock performance indicates.
3 Things About PayPal the Smartest Investors Know
PayPal is more than just a checkout tool when shopping online. The company is extremely profitable, and its balance sheet is in a strong position.
3 Stocks to Buy in October That Could Soar More Than 40% Over the Next 12 Months, According to Wall Street
BioNTech's pipeline is loaded with promising candidates. PayPal Holdings is dirt cheap and is delivering solid earnings growth.
You Don't Have to Pick a Winner in Fintech Stocks. Here's Why.
The fintech space ranges from giants like PayPal to an array of smaller and more specialized companies. E-commerce growth provides an organic tailwind to fintech stocks, but there are others as well.
2 Top Tech Stocks Ready for a Bull Run
PayPal's P/E has fallen to just 12, and a new CEO could breathe new life into the company. Taiwan Semiconductor has a wide economic moat, and the AI boom should help its revenue return to growth.
2 Beaten-Down Growth Stocks to Buy Now
The stock market sell-off is creating bargains for growth stock investors.
PayPal Keeps Getting Cheaper; Should You Load Up?
Despite having once been one of the better stocks to own for exposure to the e-commerce industry, PayPal Holdings Inc NASDAQ: PYPL has recently fallen on hard times. Its shares have been sinking since they last tagged an all-time high in July 2021, when the pandemic had more people buying online than ever before, and it's been a painful 80% drop since then.
Can PayPal Stock Hit $70 by the End of 2023?
PayPal's stock is trading at a cheap valuation. Better-than-expected financial results and positive macroeconomic trends can benefit investors.
PayPal looks to enable off-chain NFT transactions within its network
(Kitco News) - PayPal has filed a patent for a system that enables the offline transfer and trading of non-fungible tokens within its network.
3 Prime-Catch Value Stocks to Snag on Nasdaq's Slide
It's no secret the stock market is becoming more volatile. Although most major stock indices are up by double-digit percentages in 2023, we're seeing wilder price swings on almost a daily basis.
Titanic Turnarounds: 3 Stocks Bouncing Back Stronger than Ever
In the world of technology, some stocks shine brighter than others, even amidst challenges and uncertainties. The article delves into the fascinating progression of three tech giants as they embark on remarkable turnarounds propelled by innovative strategies and cutting-edge technology.
Where Will PayPal Be in 10 Years?
PayPal has struck a new long-term deal with Uber. Incoming CEO Alex Chriss has experience working with enterprise businesses.
Don't Miss the Boom: 3 Blockchain Stocks Set to Explode Higher
Savvy investors understand the wisdom of focusing upon pioneering market sectors such as blockchain technology. Yet, the best blockchain stocks to buy are often overshadowed by the allure of cryptocurrencies like Bitcoin ( BTC-USD ) and Ethereum ( ETH-USD ).
PayPal stock price is at a crossroads: buy the dip or sell the rip?
PayPal (NASDAQ: PYPL) stock price has been dead money for a while. After peaking at $311 in 2021, the shares have plunged by over 81% to the current $57.
2 Growth Stocks Down 45% and 81% to Buy Hand Over Fist Right Now
CrowdStrike is serving up impressive results, and its growth story is just getting started. PayPal's growth might be slowing, but that is more than reflected in its cheap valuation.
Don't Miss the Boom: 3 Fintech Stocks Set to Explode Higher
The fintech sector has significantly benefited from the advances in technology and the past few years have seen a solid growth of this sector. The pandemic pushed people towards digitisation and they adopted cards and started making online payments for daily usage.
1 Incredibly Cheap Stock to Buy Hand Over Fist
PayPal hasn't been adopted by either growth or value investors. A new CEO could spark the innovation PayPal needs to become an attractive investment again.
FinTechs Face a ‘Tough Go' as Interest Rates Climb
The Federal Reserve said last week that higher interest rates could stick around. As The Wall Street reported Sunday (Sept. 24), this “higher for longer” strategy could spell bad news for FinTechs like PayPal, Affirm and Robinhood, all of whom have seen their stock fall since the Fed raised rates.
Since Going Public in 2015, PayPal Has Spent $19 Billion on This 1 Thing
PayPal has spent nearly two-thirds of its cash flow on share repurchases, which haven't paid off for shareholders. Billions more have been spent on acquisitions with questionable returns on investment.
3 Unrivaled Stocks That Can Generate Life-Changing Money by 2040
Big declines in the major stock indexes represent the perfect time for opportunistic long-term investors to pounce. Three highly innovative companies have the sustained growth catalysts needed to make their long-term shareholders notably richer.</t>
  </si>
  <si>
    <t>PayPal</t>
  </si>
  <si>
    <t xml:space="preserve">
    Market Cap (intraday) 64.19B
         Enterprise Value 64.85B
             Trailing P/E  16.38
              Forward P/E  10.33
PEG Ratio (5 yr expected)   0.49
        Price/Sales (ttm)   2.33
         Price/Book (mrq)   3.26
 Enterprise Value/Revenue   2.31
  Enterprise Value/EBITDA  12.00</t>
  </si>
  <si>
    <t>Equinix (EQIX) Stock Rises 10% YTD: Will the Trend Last?
The data center business is thriving across geographies, and Equinix (EQIX) is well-poised to capitalize on this opportunity. Its recurring revenue model and strategic expansions are encouraging.
Equinix (EQIX), Southern Cross Duo Boosts Digital Infrastructure
Equinix's (EQIX) expanded relationship with Southern Cross through the SX NEXT submarine cable system underscores its pivotal role in advancing global connectivity.
Equinix Serves as Gateway for Southern Cross NEXT Subsea Cable System, Linking Australia and New Zealand with the U.S.
REDWOOD CITY, Calif. and SYDNEY , Sept.</t>
  </si>
  <si>
    <t>Equinix</t>
  </si>
  <si>
    <t>Data Center REITs</t>
  </si>
  <si>
    <t xml:space="preserve">
    Market Cap (intraday) 67.95B
         Enterprise Value 82.79B
             Trailing P/E  83.86
              Forward P/E  66.23
PEG Ratio (5 yr expected)   3.22
        Price/Sales (ttm)   8.74
         Price/Book (mrq)   5.65
 Enterprise Value/Revenue  10.71
  Enterprise Value/EBITDA  26.27</t>
  </si>
  <si>
    <t>Equity Residential: Unlock Value In This Dividend Bargain
Equity Residential is a large multifamily REIT with a strong history of delivering shareholder returns. EQR operates in high-demand markets with a favorable supply-demand imbalance, leading to steady revenue growth. The company has a well-covered dividend yield, low leverage, and is currently undervalued, making it an attractive dividend choice.</t>
  </si>
  <si>
    <t>Equity Residential</t>
  </si>
  <si>
    <t xml:space="preserve">
    Market Cap (intraday) 22.25B
         Enterprise Value 30.01B
             Trailing P/E  27.60
              Forward P/E  34.60
PEG Ratio (5 yr expected)   2.62
        Price/Sales (ttm)   8.13
         Price/Book (mrq)   2.03
 Enterprise Value/Revenue  10.65
  Enterprise Value/EBITDA  14.86</t>
  </si>
  <si>
    <t>Everest Group (EG) is an Incredible Growth Stock: 3 Reasons Why
Everest Group (EG) could produce exceptional returns because of its solid growth attributes.
Everest Group (EG) Upgraded to Buy: What Does It Mean for the Stock?
Everest Group (EG) might move higher on growing optimism about its earnings prospects, which is reflected by its upgrade to a Zacks Rank #2 (Buy).
Zip Recognized by Everest Group in Comprehensive Procure-to-Pay Technology Landscape Report
SAN FRANCISCO--(BUSINESS WIRE)--Zip, the world's leading intake-to-pay platform, today announced it has been recognized by leading research firm Everest Group in the “Evolution of Procure-to-Pay (P2P) Technology Landscape in the Digital Age” report. The recently published report explores operational challenges, user adoption and the evolution of the market landscape of P2P technology—highlighting the process and flow of P2P in the enterprise as well as notable solution providers—based on in-dep.</t>
  </si>
  <si>
    <t>Everest Re</t>
  </si>
  <si>
    <t xml:space="preserve">
    Market Cap (intraday) 16.13B
         Enterprise Value 17.15B
             Trailing P/E  12.28
              Forward P/E   6.20
PEG Ratio (5 yr expected)    NaN
        Price/Sales (ttm)   1.10
         Price/Book (mrq)   1.48
 Enterprise Value/Revenue   1.30
  Enterprise Value/EBITDA    NaN</t>
  </si>
  <si>
    <t>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The Smartest Investors Are Buying These 3 Stocks Hand Over Fist
Adobe is a software-as-a-service company that incorporates artificial intelligence to boost its service capabilities. Domino's Pizza is one of the world's largest pizza chains and continues to grow its network of stores worldwide.
Here are 11 stocks Jim Cramer is watching, including Buffett's Berkshire and restaurant stocks
Here are some of the tickers on my radar for Friday, Sept. 29, taken directly from my reporter's notebook.
Domino's® Celebrates the Opening of Newest Housing Facility at St. Jude Children's Research Hospital®: The Domino's Village
Building features 140 fully furnished apartments for childhood cancer patients and their families ANN ARBOR, Mich. , Sept. 28, 2023 /PRNewswire/ -- Domino's Pizza Inc. (NYSE: DPZ), the largest pizza company in the world, is proud to announce the grand opening of The Domino's Village: the newest St. Jude Children's Research Hospital housing facility, located on its campus in Memphis, Tennessee.
Domino's price target raised to $450 by Oppenheimer as pizza chain added to ‘top picks'
Oppenheimer has raised its Domino's Pizza Inc. DPZ, +0.46% price target to $450 from $427 and added the pizza chain to its list of “top picks,” citing the positive impact of same-store sales. “We view DPZ as an under-appreciated revival story into '24,” wrote Oppenheimer analyst Brian Bittner, in a note released Tuesday.
At The Right Price, Domino's Pizza Is A Dividend Growth Gem
Domino's Pizza has a successful business model rooted in convenience and advanced technology, making it a strong consumer stock. The company has a history of aggressive dividend growth and buybacks, boosting its total return. Analysts expect the company to see a significant growth rebound in the coming years, with potential partnerships and expansion plans.</t>
  </si>
  <si>
    <t>Domino's</t>
  </si>
  <si>
    <t xml:space="preserve">
    Market Cap (intraday) 13.29B
         Enterprise Value 18.44B
             Trailing P/E  28.63
              Forward P/E  23.81
PEG Ratio (5 yr expected)   2.16
        Price/Sales (ttm)   3.00
         Price/Book (mrq)    NaN
 Enterprise Value/Revenue   4.09
  Enterprise Value/EBITDA  21.18</t>
  </si>
  <si>
    <t>Charles River (CRL) Launches LVV-based Gene Therapy Platform
Charles River's (CRL) LVV platform provides medicinal developers with an efficient, dependable route to the clinic and the market.
Charles River (CRL) Opens a RightSource Lab in Stevenage
Charles River's (CRL) new RightSource facility is likely to provide services to the Stevenage advanced therapy biocluster.
Charles River Unveils Lentivation Platform to Expedite LVV-based Gene Therapy Manufacturing
WILMINGTON, Mass.--(BUSINESS WIRE)--Charles River Laboratories International, Inc. (NYSE: CRL) today announced the launch of its lentiviral vector (LVV) manufacturing platform, Lentivation™. The platform has the capability to reduce LVV manufacturing timelines for gene and gene-modified cell therapies by up to 60 percent, translating to fewer than seven months compared to traditional manufacturing workflows. Charles River provides viral vector production services ranging from clone construction.
Charles River Announces Opening of RightSourceSM Laboratory, Supporting Stevenage Biocluster
STEVENAGE, United Kingdom--(BUSINESS WIRE)---- $CRL #LIFEatCRL--Charles River opens purpose-built lab offering GMP QC test capabilities to Stevenage biocluster.</t>
  </si>
  <si>
    <t>Charles River Laboratories</t>
  </si>
  <si>
    <t xml:space="preserve">
    Market Cap (intraday) 10.05B
         Enterprise Value 12.93B
             Trailing P/E  20.76
              Forward P/E  16.98
PEG Ratio (5 yr expected)   1.69
        Price/Sales (ttm)   2.41
         Price/Book (mrq)   3.09
 Enterprise Value/Revenue   3.09
  Enterprise Value/EBITDA  12.31</t>
  </si>
  <si>
    <t>3 Oil Stocks With Serious Contrarian Potential
All three energy stocks have consistently realized lower volatility.
Energy Stocks Shine as High Oil Prices Boost Dividend Yields
Bond yields are rising, which could make fixed-income attractive, but many investors prefer to hold dividend-paying equities as they have higher growth potential.</t>
  </si>
  <si>
    <t xml:space="preserve">
    Market Cap (intraday) 16.69B
         Enterprise Value 20.14B
             Trailing P/E   4.51
              Forward P/E   8.84
PEG Ratio (5 yr expected)   0.35
        Price/Sales (ttm)   1.89
         Price/Book (mrq)   1.39
 Enterprise Value/Revenue   2.25
  Enterprise Value/EBITDA   3.13</t>
  </si>
  <si>
    <t>What Makes Eaton (ETN) a New Strong Buy Stock
Eaton (ETN) has been upgraded to a Zacks Rank #1 (Strong Buy), reflecting growing optimism about the company's earnings prospects. This might drive the stock higher in the near term.
Best Momentum Stock to Buy for October 2nd
ETN, TT and EMR made it to the Zacks Rank #1 (Strong Buy) momentum stocks list on October 2, 2023.
4 Must-Buy Stocks for Stellar Earnings Growth
Invest in stocks such as Eaton (ETN), Caterpillar (CAT), ITT and Kinsale Capital (KNSL) at the moment for solid earnings growth.
3 Manufacturing Electronics Stocks to Gain From Improving Supply Chains
Improving supply chains and signs of an uptick in manufacturing activities favor the Zacks Manufacturing - Electronics industry's near-term prospects. ETN, AOS and ENS are well-placed to capitalize on the buoyancy in the industry.
Eaton names Adam Wadecki senior vice president, Internal Audit
DUBLIN--(BUSINESS WIRE)--Intelligent power management company Eaton (NYSE:ETN) today announced that Adam Wadecki, Ph.D., has been named senior vice president, Internal Audit, effective September 27. He succeeds Christina Bosserd, who was named vice president, Finance for Electrical Sector, Americas, at Eaton. Wadecki will report to Tom Okray, Eaton's executive vice president and chief financial officer and will join the company's senior leadership team. Wadecki joins Eaton from General Electric.</t>
  </si>
  <si>
    <t>Eaton Corporation</t>
  </si>
  <si>
    <t xml:space="preserve">
    Market Cap (intraday) 85.10B
         Enterprise Value 93.55B
             Trailing P/E  31.50
              Forward P/E  21.88
PEG Ratio (5 yr expected)   2.19
        Price/Sales (ttm)   3.87
         Price/Book (mrq)   4.74
 Enterprise Value/Revenue   4.24
  Enterprise Value/EBITDA  21.53</t>
  </si>
  <si>
    <t>Enphase Energy Launches 3-Phase Capable IQ Combiner to Streamline Solar and Battery Installations in Europe
FREMONT, Calif., Oct. 02, 2023 (GLOBE NEWSWIRE) -- Enphase Energy, Inc. (NASDAQ: ENPH), a global energy technology company and the world's leading supplier of microinverter-based solar and battery systems, today announced the launch of the IQ™ Combiner 3P to dramatically improve the experience of installing an Enphase® Energy System™ and deliver significant installation time savings. The IQ Combiner 3P is now available in nine European countries including Germany, Austria, Switzerland, the Netherlands, France, Belgium, Spain, Poland, and Portugal.
Nasdaq Sell-Off: My Top 3 Beaten-Down Growth Stocks to Buy Now
Netflix is no longer just a growth story. Enphase the business is doing far better than Enphase the stock.
Is It Time to Buy the S&amp;P 500's 4 Worst-Performing Stocks This Year?
Dollar General continues to struggle in the current macroeconomic environment. Enphase Energy and SolarEdge are facing challenges from higher interest rates.
Enphase Energy Releases its Solargraf Design and Proposal Software Platform in Germany and Austria
FREMONT, Calif., Sept. 28, 2023 (GLOBE NEWSWIRE) -- Enphase Energy, Inc. (NASDAQ: ENPH), a global energy technology company and the world's leading supplier of microinverter-based solar and battery systems, today announced that Solargraf℠, its cloud-based design and proposal software platform, is now available in Germany and Austria. The Solargraf platform is used by solar installers for creating production system designs and proposals for both residential and commercial customers and is also currently available to solar installers in the United States, Canada, and Brazil.
Is Enphase Energy Stock Too Cheap to Ignore?
Enphase Energy faces a multitude of challenges in the U.S., including rising competition and a challenging consumer environment. The company's operations overseas are growing exponentially and helping fuel consistent cash flow.
2 Stocks Down 25% and 53% to Buy Right Now
If the price of oil increases, then this company's dividend is likely to follow. Enphase Energy is a renewable energy business that generates impressive free cash flow.
Don't Miss the Boom: 3 Solar Stocks Set to Explode Higher
The solar sector has been one of the market's hottest areas this year, with many stocks delivering triple-digit returns. However, over the past couple of months, we've seen a sharp pullback, with many of the same solar stocks down 30-50% from their highs.
Got $3,000? 3 Growth Stocks to Double Up on Right Now
Palantir Technologies is a practical, predictable way to plug into the advent of the AI era. The underlying circumstances behind the weakness in the solar power industry are temporary, making Enphase Energy a buy following its recent sell-off.
Rocket Stocks: 3 Investments Primed to Skyrocket by Year's End
Some companies stand out as genuine contenders for explosive growth and substantial gains in the stock market. The article lists three stocks to buy now that have thrived thanks to their innovative strategies and adaptability in the face of change.
Enphase Energy Sees Some Clouds Ahead
The solar industry has been in growth mode since the first viable commercial solar panel was invented in 1954, with the market reaching $211 billion in 2022. The first company to successfully commercialize the solar microinverter, which converts the direct current power generated by a solar panel into grid-compatible alternating current, was Enphase Energy Inc. ( ENPH , Financial).
3 Solar Stocks That Should Be on Every Investor's Radar This Fall
As autumn leaves give the ground a rustic makeover, astute investors might also consider revamping their financial portfolios. In that context, let's talk solar—the ever-buzzing energy segment that just can't be ignored anymore.
3 Seriously Oversold Tech Stocks Worth Buying Now
In the complexities of the market, finding stocks at lower prices that promise both stability and growth can be daunting. However, three tech giants belong in the seriously oversold tech stocks category, amidst the market's ups and downs.
3 Top Stocks That Just Went on Sale
Enphase is the cheapest it has ever been on a free-cash-flow basis. Toro hopes to restart sales growth, armed with a new Lowe's partnership.</t>
  </si>
  <si>
    <t>Enphase</t>
  </si>
  <si>
    <t>Electronic Components</t>
  </si>
  <si>
    <t xml:space="preserve">
    Market Cap (intraday) 16.38B
         Enterprise Value 15.88B
             Trailing P/E  30.26
              Forward P/E  18.35
PEG Ratio (5 yr expected)   1.22
        Price/Sales (ttm)   6.25
         Price/Book (mrq)  16.84
 Enterprise Value/Revenue   5.68
  Enterprise Value/EBITDA  21.46</t>
  </si>
  <si>
    <t>Top Rated Tech Stocks to Buy for October
Here is a look at several highly ranked tech stocks that could be poised to rise in October after being added to the Zacks Rank #1 (Strong Buy) list on Friday.
EPAM Named as a Top IT Sourcing Vendor in Switzerland
With the highest scores across most metrics and significant leads above competitors and market averages, EPAM has differentiated itself as a top IT service provider in the Swiss market NEWTOWN, Pa. , Sept. 28, 2023 /PRNewswire/ -- EPAM Systems, Inc. (NYSE: EPAM), a leading digital transformation services and product engineering company, today announced it has been named a Top IT Sourcing Vendor in Switzerland, achieving the highest percentile customer satisfaction rankings across multiple industry sectors and evaluation criteria by Whitelane Research, an independent organization focused on IT sourcing research across Europe.
EPAM Expands Partnership with Microsoft - Becomes Globally Managed Enterprise Systems Integrator
Expanded partnership and EPAM's advanced cloud-native, AI and data expertise will enable the Company to help its clients modernize, transform and simplify complex enterprise platforms, applications and processes to accelerate business growth NEWTOWN, Pa. , Sept. 26, 2023 /PRNewswire/ -- EPAM Systems, Inc. (NYSE: EPAM), a leading digital transformation services and product engineering company, today announced that it is now a Microsoft globally Managed Enterprise Systems Integrator (SI) partner—helping to accelerate technology innovation, growth and business impact for enterprises through end-to-end solution design and implementation in the cloud.</t>
  </si>
  <si>
    <t>EPAM Systems</t>
  </si>
  <si>
    <t>IT Consulting &amp; Other Services</t>
  </si>
  <si>
    <t xml:space="preserve">
    Market Cap (intraday) 14.82B
         Enterprise Value 13.15B
             Trailing P/E  28.41
              Forward P/E  46.30
PEG Ratio (5 yr expected)    NaN
        Price/Sales (ttm)   3.13
         Price/Book (mrq)   4.54
 Enterprise Value/Revenue   2.70
  Enterprise Value/EBITDA  18.85</t>
  </si>
  <si>
    <t>Why Henry Schein (HSIC) is a Top Growth Stock for the Long-Term
Whether you're a value, growth, or momentum investor, finding strong stocks becomes easier with the Zacks Style Scores, a top feature of the Zacks Premium research service.
Henry Schein (HSIC) Gains From Strong Global Network Amid FX Woes
Henry Schein's (HSIC) dental software business is progressing well despite a challenging business environment.</t>
  </si>
  <si>
    <t>Henry Schein</t>
  </si>
  <si>
    <t xml:space="preserve">
    Market Cap (intraday)  9.70B
         Enterprise Value 11.44B
             Trailing P/E  21.71
              Forward P/E  12.89
PEG Ratio (5 yr expected)   1.52
        Price/Sales (ttm)   0.79
         Price/Book (mrq)   2.72
 Enterprise Value/Revenue   0.91
  Enterprise Value/EBITDA  12.80</t>
  </si>
  <si>
    <t>Black Knight: As Home Prices Set Yet Another Record in August, Pushing Annual Growth Rate Sharply Higher, Small but Active Cash-Out Refinance Market Defies Traditional Analysis
Home prices rose an exceptionally strong seasonally adjusted +0.68% from July; August's non-adjusted gain (+0.24%) was more than 60% larger than the 25-year same-month average (+0.15%) Along with a lower starting point due to late-2022 price drops, August's increase was enough to push the annual rate of home price growth to +3.8%, up from +2.4% in July and just +0.25% back in May According to the ICE Home Price Index (formerly the Black Knight HPI), this marked the third consecutive month of home price growth reacceleration after annual home price growth slowed to effectively flat earlier this year Nationally, prices set a fourth consecutive monthly record and are now 2.5% above the 2022 peak on a seasonally adjusted basis, with two thirds of major markets having surpassed their own prior highs Mortgage origination activity remains overwhelmingly centered around purchase loans, which are expected to dominate the market through 2024 and should remain the primary focus of lenders Nine of 10 borrowers who refinanced in August raised their interest rate to tap equity, with an average increase of +2.34 percentage points; simple "in the money" analytics miss this market almost entirely Cash-outs are primarily being sought by borrowers with lower balances – $165K on average – who are looking to withdraw larger amounts of equity at lower rates than current HELOC offerings Average cash-out credit scores are down more than 40 points in recent years, as higher credit borrowers who can qualify are likely opting for HELOCs to tap equity, leaving a lower credit score residual among cash-outs JACKSONVILLE, Fla. , Oct. 2, 2023 /PRNewswire/ -- Today, Black Knight, now part of Intercontinental Exchange, Inc. (NYSE:ICE), released its October 2023 ICE Mortgage Monitor Report, based on the company's industry-leading mortgage, real estate and public records data sets.
ICE Completes First Delivery of London Cocoa Using Fully Electronic Warehouse Warrants
LONDON--(BUSINESS WIRE)--Intercontinental Exchange, Inc. (NYSE:ICE), a leading global provider of data, technology, and market infrastructure, and home to the largest soft commodity futures and options markets in the world, today announced the successful delivery of London Cocoa using fully electronic warehouse warrants, replacing for the first time the paper-based systems historically used by customers in the delivery process. ICE's next generation Softs Deliveries Platform (“SDP”) records com.
The Government Pension Investment Fund of Japan Uses ICE for Impact Bond and Avoided Emissions Assessment of its Portfolio
ATLANTA &amp; LONDON &amp; TOKYO--(BUSINESS WIRE)--Intercontinental Exchange, Inc. (NYSE:ICE), a leading global provider of data, technology, and market infrastructure, today announced it was selected by The Government Pension Investment Fund of Japan (GPIF), the world's largest pension fund, to conduct an impact assessment of the fund's investment in impact bonds, which was used by GPIF in its recently published 2022 ESG Report. ICE conducted an impact assessment of the impact bonds in GPIF's portfoli.
Why Should You Stay Invested in Intercontinental (ICE) Stock?
A compelling portfolio, expansive risk-management services, strategic buyouts, solid balance sheet and effective capital deployment poise Intercontinental (ICE) for growth.
Intercontinental Exchange: Better Valuation When Considering Its Data Edge
Intercontinental Exchange is overvalued due to investors buying the stock based on above-average profitability, growth, and momentum. The Atlanta-based company primarily operates exchanges and markets for commodities and financial products, providing infrastructure, technology solutions, and data. Looking deeper, the business is focused on processing and provisioning data, which differentiates it from competitors and should be considered in valuation.</t>
  </si>
  <si>
    <t>Intercontinental Exchange</t>
  </si>
  <si>
    <t xml:space="preserve">
    Market Cap (intraday) 62.84B
         Enterprise Value 78.31B
             Trailing P/E  36.55
              Forward P/E  18.35
PEG Ratio (5 yr expected)   0.96
        Price/Sales (ttm)   6.44
         Price/Book (mrq)   2.64
 Enterprise Value/Revenue   8.12
  Enterprise Value/EBITDA  22.05</t>
  </si>
  <si>
    <t>Newmont Announces Executive Leadership Appointments
DENVER--(BUSINESS WIRE)--Newmont Corporation (NYSE: NEM, TSX: NGT) today announced leadership appointments that will further strengthen its operating model to support safe and profitable operations of the expanded portfolio of assets and projects. As previously announced, Natascha Viljoen will be joining Newmont as Chief Operating Officer (COO) on October 2, 2023. After an onboarding period, Natascha will assume accountability for the Australian, North American, and Papua New Guinea (PNG) Busin.
Newmont Announces Third Quarter 2023 Earnings Call
DENVER--(BUSINESS WIRE)--Newmont Announces Third Quarter 2023 Earnings Call.
The world's largest silver producers in Q2 2023 - report
(Kitco News) - Kitco ranked the top 10 silver producing companies worldwide based on reported silver output in Q2 2023.
3 Gold Stocks to Buy on the Possibility of 2024 Rate Cuts
The tightening of monetary policy has translated into negative price action for various asset classes. However, the tightening cycle seems to be over with the possibility of one more rate hike before the end of the year.
ISS and Glass Lewis Recommend Newmont Shareholders Vote “FOR” Proposed Acquisition of Newcrest
DENVER--(BUSINESS WIRE)--Newmont Corporation (NYSE: NEM, TSX: NGT) announced today that independent proxy advisory firms Institutional Shareholder Services Inc. (ISS) and Glass, Lewis &amp; Co. (Glass Lewis) recommended that Newmont shareholders vote “FOR” each of the Company's resolutions in connection with the proposed acquisition of Newcrest Mining Limited (ASX, TSX, PNGX: NCM) at the special meeting of stockholders that will take place virtually on Wednesday, October 11, 2023, at 8:00 a.m.
3 Gold Mining Stocks to Bet On as Market Fears Grow
Gold mining stocks, often seen as a safe harbor during turbulent times, are now positioned at a fascinating crossroads. The Federal Reserve's steely determination to rein in inflation might intuitively spell trouble for precious metals.
Awalé Resources Ltd and Newmont are working together in Côte d'Ivoire on what could be mining's next big copper-gold discovery
How big is Awalé's Odienné project likely to become? Hard to say for sure at this point, until more work is done on the ground in Côte d'Ivoire.</t>
  </si>
  <si>
    <t>Newmont</t>
  </si>
  <si>
    <t>Gold</t>
  </si>
  <si>
    <t xml:space="preserve">
    Market Cap (intraday) 29.34B
         Enterprise Value 32.21B
             Trailing P/E  44.33
              Forward P/E  10.20
PEG Ratio (5 yr expected)   0.79
        Price/Sales (ttm)   2.62
         Price/Book (mrq)   1.53
 Enterprise Value/Revenue   2.88
  Enterprise Value/EBITDA  16.11</t>
  </si>
  <si>
    <t>Here are the 18 stocks Jim Cramer is watching, including names in EVs, beauty and oil
Here are some of the tickers on my radar for Wednesday, Sept. 27, taken directly from my reporter's notebook.
Ralph Lauren is Expanding in Canada with Digital Commerce Launch and First Luxury Store Opening
TORONTO &amp; NEW YORK--(BUSINESS WIRE)--Ralph Lauren Corporation (NYSE:RL) today announced that it is expanding in Canada with the launch of dedicated digital commerce and the first Ralph Lauren store in the country. The store, which recently opened in Toronto's Yorkdale Shopping Centre, is the first in a planned expansion in Canada, building on the Company's existing wholesale and outlet presence in the region. Toronto represents one of the Company's top 30 cities targeted for a comprehensive omn.
Ralph Lauren (RL) Prioritizes Digital Investment, Stock to Gain
Ralph Lauren's (RL) progress on digital and omni-channel investments to improve the experiences of target consumers. Its "Next Great Chapter" plan is on track.
Why Ralph Lauren (RL) is a Top Value Stock for the Long-Term
Whether you're a value, growth, or momentum investor, finding strong stocks becomes easier with the Zacks Style Scores, a top feature of the Zacks Premium research service.
This Analyst With 83% Accuracy Rate Sees Over 29% Upside In CrowdStrike Holdings - Here Are 5 Stock Picks For Last Week From - CrowdStrike Holdings (NASDAQ:CRWD), California Resources (NYSE:CRC)
U.S. stocks closed lower, with the Dow Jones Industrial Average falling more than 100 points on Friday. The blue-chip Dow fell 1.9% last week, while the S&amp;P 500 lost 2.9%.
Ralph Lauren stock is trading below its fair value – analyst says
The recent sell-off in Ralph Lauren Corp (NYSE: RL) has created a great opportunity for investors to buy a quality name at a deep discount, as per a Raymond James analyst. Ralph Lauren stock could return to $135 Rick Patel is convinced that shares of the fashion company are currently trading below their fair value.</t>
  </si>
  <si>
    <t>Ralph Lauren Corporation</t>
  </si>
  <si>
    <t>Apparel, Accessories &amp; Luxury Goods</t>
  </si>
  <si>
    <t xml:space="preserve">
    Market Cap (intraday) 7.58B
         Enterprise Value 8.74B
             Trailing P/E 14.86
              Forward P/E 12.89
PEG Ratio (5 yr expected)  1.23
        Price/Sales (ttm)  1.22
         Price/Book (mrq)  3.10
 Enterprise Value/Revenue  1.35
  Enterprise Value/EBITDA  9.07</t>
  </si>
  <si>
    <t>SLB, Aker Solutions and Subsea7 Announce Closing of OneSubsea Joint Venture
HOUSTON--(BUSINESS WIRE)--Regulatory News: SLB (NYSE: SLB), Aker Solutions and Subsea7 announced today the final closing of their previously announced joint venture. The new business, which will adopt the OneSubsea name, will drive innovation and efficiency in subsea production by helping customers unlock reserves and reduce cycle time. OneSubsea now comprises SLB's and Aker Solutions' subsea businesses, which include an extensive complementary subsea production and processing technology portfo.
SLB, Aker Solutions and Subsea7 Announce Closing of OneSubsea Joint Venture
HOUSTON--(BUSINESS WIRE)--SLB (NYSE: SLB), Aker Solutions and Subsea7 announced today the final closing of their previously announced joint venture. The new business, which will adopt the OneSubsea name, will drive innovation and efficiency in subsea production by helping customers unlock reserves and reduce cycle time. OneSubsea now comprises SLB's and Aker Solutions' subsea businesses, which include an extensive complementary subsea production and processing technology portfolio, world-class.
SLB, Aker Solutions and Subsea7 announce closing of the OneSubsea joint venture
Lu x emb o u r g – 2 October 2023 - Subsea 7 S.A. (Oslo Børs: SUBC, ADR: SUBCY) today announced the final closing of the previously announced joint venture with SLB1 and Aker Solutions2. The new business, which will adopt the OneSubsea name, will drive innovation and efficiency in subsea production by helping customers unlock reserves and reduce cycle time.
Will the Energy Sector Continue to Outshine the Market?
The market has been swept by a sea of red month-do-date (MTD), with the overall market, the SPDR S&amp;P 500 ETF NYSE: SPY down over 3% MTD. Apart from one sector, most sectors and industries have suffered the same outcome.
Oil and Gas Stocks Topped S&amp;P 500 Returns This Quarter as Crude Prices Surged
Oil and gas companies featured heavily in the list of top-performing S&amp;P 500 companies in the third quarter, as rising crude prices lifted the outlook for profits.
Oil Stocks Sink as the White House Offers Fewest Offshore Drilling Leases Ever
Energy stocks sank on Friday after the Biden administration proposed to allow a maximum of three sales of oil and gas drilling leases in the Gulf of Mexico over the next five years, the fewest in history.
Schlumberger: Rising Oil Prices, Robust Growth, And AI Coming Together
Oil prices had a strong Q3, benefiting oilfield services companies like Schlumberger. Schlumberger is the world's largest provider of services and equipment for the energy industry. The company's digital business and AI presence are expected to drive higher margins and revenue growth.
Why Schlumberger (SLB) is a Top Momentum Stock for the Long-Term
Whether you're a value, growth, or momentum investor, finding strong stocks becomes easier with the Zacks Style Scores, a top feature of the Zacks Premium research service.
Energy Stocks Shine as High Oil Prices Boost Dividend Yields
Bond yields are rising, which could make fixed-income attractive, but many investors prefer to hold dividend-paying equities as they have higher growth potential.
Goldman Sachs Pounds the Table on 5 Sizzling Oilfield Services Leaders as Oil Surges Toward $100
The relentless climb of Brent and West Texas Intermediate crude since the summer has been one of the biggest stories on Wall Street recently, and with good reason.
Investors Heavily Search Schlumberger Limited (SLB): Here is What You Need to Know
Zacks.com users have recently been watching Schlumberger (SLB) quite a bit. Thus, it is worth knowing the facts that could determine the stock's prospects.</t>
  </si>
  <si>
    <t>Schlumberger</t>
  </si>
  <si>
    <t xml:space="preserve">
    Market Cap (intraday) 82.86B
         Enterprise Value 93.00B
             Trailing P/E  21.36
              Forward P/E  16.00
PEG Ratio (5 yr expected)   1.10
        Price/Sales (ttm)   2.69
         Price/Book (mrq)   4.45
 Enterprise Value/Revenue   2.98
  Enterprise Value/EBITDA  13.01</t>
  </si>
  <si>
    <t>Ross Stores (ROST) Upgraded to Strong Buy: Here's What You Should Know
Ross Stores (ROST) has been upgraded to a Zacks Rank #1 (Strong Buy), reflecting growing optimism about the company's earnings prospects. This might drive the stock higher in the near term.
4 Retail Areas Set to Win in 2023 Holiday Season: Stock Picks
While expected retail sales for the upcoming holiday season bode well, a few areas are likely to be prominent winners, helping stocks like Amazon.com (AMZN), BJ's Restaurants (BJRI), GameStop (GME) and Ross Stores (ROST).</t>
  </si>
  <si>
    <t>Ross Stores</t>
  </si>
  <si>
    <t>Apparel Retail</t>
  </si>
  <si>
    <t xml:space="preserve">
    Market Cap (intraday) 38.25B
         Enterprise Value 39.45B
             Trailing P/E  23.98
              Forward P/E  22.83
PEG Ratio (5 yr expected)   1.75
        Price/Sales (ttm)   2.00
         Price/Book (mrq)   8.59
 Enterprise Value/Revenue   2.05
  Enterprise Value/EBITDA  15.19</t>
  </si>
  <si>
    <t>The Towering Inferno: SBA Communications And American Tower Entering Buy-Zones
Tower REITs have been set ablaze by the REIT selloff. Investors have themselves to blame as they bid these to insane levels in 2021. Things are looking good for the patient investor and we give you three reasons why 8% annual returns from here are very likely.</t>
  </si>
  <si>
    <t>SBA Communications</t>
  </si>
  <si>
    <t xml:space="preserve">
    Market Cap (intraday) 21.69B
         Enterprise Value 36.38B
             Trailing P/E  43.05
              Forward P/E  29.67
PEG Ratio (5 yr expected)   1.53
        Price/Sales (ttm)   8.05
         Price/Book (mrq)    NaN
 Enterprise Value/Revenue  13.40
  Enterprise Value/EBITDA  21.35</t>
  </si>
  <si>
    <t>Investors Heavily Search Intuitive Surgical, Inc. (ISRG): Here is What You Need to Know
Zacks.com users have recently been watching Intuitive Surgical, Inc. (ISRG) quite a bit. Thus, it is worth knowing the facts that could determine the stock's prospects.
Is Intuitive Surgical (ISRG) Stock Outpacing Its Medical Peers This Year?
Here is how Intuitive Surgical, Inc. (ISRG) and Artivion (AORT) have performed compared to their sector so far this year.
3 Best Stocks to Buy With $300 Right Now
Intuitive Surgical's 80% market share and razor-and-blade model deserve a premium valuation. TransMedics is not only an easy stock to root for but is in hyper-growth mode and nearing profitability.
2 Top Growth Stocks Up 50% and 10% to Buy Whether a 2023 Bull Market Happens or Not
Many investors are hoping that the stock market is at an inflection point. Amazon is recovering from the doldrums of macroeconomic woes and is raking in cash and profits once more.
3 Growth Stocks to Buy That Could Be Massive Long-Term Winners
The Trade Desk has a solid spot in advertising. Intuitive Surgical has a strong moat.
3 Recession-Resistant Stocks to Buy Now
Intuitive Surgical's growth is just beginning. Southern Company is a very safe utility stock with a high yield.
Intuitive Surgical: Company Has Everything You Could Want, Except For One Thing
Intuitive Surgical's capital allocation has underperformed in recent years, but with no debt, the ROIC-WACC spread is still excellent. However, the EV/EBIT multiple is too high and robs new investors of much of the future returns if they invest now. Buying at a 20-25x multiple may be a better long-term investment strategy if your goal is a 15%+ CAGR.
Don't Miss the Boom: 3 Healthcare Stocks Set to Explode Higher
According to the American Medical Association, U.S. healthcare spending totaled $4.3 trillion in 2021, equal to nearly $13,000 per person. Overall medical expenses account for nearly 20% of U.S. gross domestic product (GDP).
2 Monster Stocks to Buy Without Any Hesitation
Johnson &amp; Johnson and Intuitive Surgical are both leaders in their industries and long-time market beaters. Johnson &amp; Johnson has a knack for developing new medicines, a solid balance sheet, and a secure dividend.
These 20 growth stocks are worth considering on a pullback, says Citi
Citi has released a list of 20 large-cap growth stocks that it says present opportunities in the event of a pullback.
11 Beaten-Up Growth Stocks That Look Like Buys, Says Citi
Chipotle, Draftkings, Lam Research and eight other stocks may be underappreciated by investors, according to a screen run by Citi analysts.</t>
  </si>
  <si>
    <t>Intuitive Surgical</t>
  </si>
  <si>
    <t xml:space="preserve">
    Market Cap (intraday) 102.70B
         Enterprise Value  98.55B
             Trailing P/E   73.26
              Forward P/E   45.05
PEG Ratio (5 yr expected)    2.91
        Price/Sales (ttm)   15.69
         Price/Book (mrq)    8.65
 Enterprise Value/Revenue   14.79
  Enterprise Value/EBITDA   49.08</t>
  </si>
  <si>
    <t>Jacobs Declares Quarterly Dividend
DALLAS , Sept. 28, 2023 /PRNewswire/ -- The Board of Directors of Jacobs (NYSE:J) has declared a quarterly cash dividend payable to shareholders in the amount of $0.26 per share of Jacobs common stock.
Strength Seen in Jacobs Solutions (J): Can Its 3.7% Jump Turn into More Strength?
Jacobs Solutions (J) saw its shares surge in the last session with trading volume being higher than average. The latest trend in earnings estimate revisions may not translate into further price increase in the near term.</t>
  </si>
  <si>
    <t>Jacobs Solutions</t>
  </si>
  <si>
    <t xml:space="preserve">
    Market Cap (intraday) 17.19B
         Enterprise Value 20.02B
             Trailing P/E  23.49
              Forward P/E  16.10
PEG Ratio (5 yr expected)   1.28
        Price/Sales (ttm)   1.09
         Price/Book (mrq)   2.64
 Enterprise Value/Revenue   1.26
  Enterprise Value/EBITDA  14.11</t>
  </si>
  <si>
    <t>Don't Miss the Boom: 7 Large-Cap Stocks Set to Explode Higher
Wall Street has been very upset about the results of the Federal Reserve meeting earlier this month. However, there are still many reasons to be optimistic about U.S. stocks — especially safer large-cap stocks — going forward.
Here's Why ServiceNow (NOW) is a Strong Growth Stock
The Zacks Style Scores offers investors a way to easily find top-rated stocks based on their investing style. Here's why you should take advantage.
Don't Miss the Boom: 3 Cloud Computing Stocks Set to Explode Higher
In the bustling realm of technology, cloud computing shines brilliantly. So, Astute investors are actively scouting cloud computing stocks to buy, fueled by some enticing forecasts.
3 Growth Stocks That Can Thrive Despite Higher Interest Rates
Right now, 10-year Treasury yields are surging to record highs, moving from 4% at the end of August to 4.4% as of this writing. As a result, growth stocks have been under tremendous pressure.
GivePower and ServiceNow partner to bring safe, affordable drinking water to Mombasa County, Kenya
MOMBASA, Kenya , Sept. 25, 2023 /PRNewswire/ -- GivePower, Mombasa County, and ServiceNow announced today the grand opening of a new Solar Water Farm Max in Mshomoroni, Kenya.
3 Top Tech Stocks That Could Help Make You Rich by Retirement
MercadoLibre is the leading e-commerce platform in Latin America. The Trade Desk is benefiting from growth in digital advertising.</t>
  </si>
  <si>
    <t>ServiceNow</t>
  </si>
  <si>
    <t xml:space="preserve">
    Market Cap (intraday) 114.03B
         Enterprise Value 111.49B
             Trailing P/E   80.31
              Forward P/E   45.66
PEG Ratio (5 yr expected)    1.72
        Price/Sales (ttm)   14.24
         Price/Book (mrq)   16.46
 Enterprise Value/Revenue   13.91
  Enterprise Value/EBITDA   95.87</t>
  </si>
  <si>
    <t>NetApp's Mixed Investment Profile, With Attractive Dividend And Buybacks
NetApp stock presents a mixed investment profile with positive attributes like an attractive dividend and a substantial cash reserve, offset by concerns about its growth rates and the competitive tech sector. NetApp's near-term prospects are influenced by a challenging macroeconomic environment, with revenue growth rates expected to stabilize and possibly grow in the second half of fiscal year 2024. The stock's valuation appears reasonable, with an attractive dividend yield, substantial net cash, and a commitment to returning 100% of free cash flow to shareholders.</t>
  </si>
  <si>
    <t>NetApp</t>
  </si>
  <si>
    <t xml:space="preserve">
    Market Cap (intraday) 15.84B
         Enterprise Value 15.54B
             Trailing P/E  13.75
              Forward P/E  13.24
PEG Ratio (5 yr expected)   1.06
        Price/Sales (ttm)   2.67
         Price/Book (mrq)  18.15
 Enterprise Value/Revenue   2.51
  Enterprise Value/EBITDA  11.94</t>
  </si>
  <si>
    <t>Nucor (NUE) and Helion Partner on 500 MW Fusion Power Plant
Nucor (NUE) and Helion are partnering to develop the world's first 500 MW fusion power plant for steelmaking.
Nucor Launches Campaign Highlighting Commitment to Sustainable Steelmaking
CHARLOTTE, N.C. , Oct. 2, 2023 /PRNewswire/ -- Today, Nucor Corporation (NYSE: NUE) launched "Made for Good," a campaign highlighting the company's more than five decades of producing steel using the cleanest methods commercially available, while also showcasing its work with customers in a broad range of industries to help them achieve their sustainability goals and, at the same time, our nation's sustainability goals.
Nucor Corporation: Delivering Shareholder Value Through Fundamental Market Demand
Nucor Corporation is a steel company with a long history and a strong presence in the manufacturing and sale of steel products. The company's shareholder-friendly approach, including share buybacks, makes it an attractive long-term investment. Nucor's financial position is solid, with a large cash reserve and a comfortable asset-to-liability ratio, making it well-positioned for growth and acquisitions.
Nucor and Helion to Develop Historic 500 MW Fusion Power Plant
CHARLOTTE, N.C. , Sept. 27, 2023 /PRNewswire/ -- Today, Nucor Corporation (NYSE: NUE) announced a collaboration with fusion power company, Helion to develop a 500 MW fusion power plant.
Helion and Nucor Announce Collaboration to Deploy 500 MWe Fusion Power Plant
EVERETT, Wash.--(BUSINESS WIRE)--Helion, a fusion power company, and Nucor Corporation, the largest steel producer and recycler in North America, today announced an agreement to develop a 500 MWe fusion power plant at a Nucor steel manufacturing facility in the United States. This collaboration is aimed at accelerating the future of clean energy in the industrial manufacturing sector. The agreement between the two companies, which includes an investment by Nucor in Helion, will accelerate the j.
Nucor Corporation (NUE) Is a Trending Stock: Facts to Know Before Betting on It
Recently, Zacks.com users have been paying close attention to Nucor (NUE). This makes it worthwhile to examine what the stock has in store.</t>
  </si>
  <si>
    <t>Nucor</t>
  </si>
  <si>
    <t>Steel</t>
  </si>
  <si>
    <t xml:space="preserve">
    Market Cap (intraday) 38.89B
         Enterprise Value 40.19B
             Trailing P/E   7.19
              Forward P/E  13.55
PEG Ratio (5 yr expected)    NaN
        Price/Sales (ttm)   1.07
         Price/Book (mrq)   1.95
 Enterprise Value/Revenue   1.07
  Enterprise Value/EBITDA   4.52</t>
  </si>
  <si>
    <t>Cencora (COR) is a Top-Ranked Momentum Stock: Should You Buy?
Wondering how to pick strong, market-beating stocks for your investment portfolio? Look no further than the Zacks Style Scores.
Here's Why Cencora (COR) is a Strong Value Stock
Whether you're a value, growth, or momentum investor, finding strong stocks becomes easier with the Zacks Style Scores, a top feature of the Zacks Premium research service.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10 Dividend Growth Stocks For September 2023
In this monthly series, I rank a selection of dividend growth stocks in Dividend Radar and present the ten top-ranked stocks for consideration. To rank stocks, I do a quality assessment and sort stocks by quality scores, breaking ties with additional metrics. This month, I'm presenting stocks with A+ Dividend Quality Grades and strictly increasing dividends, earnings, and revenue over the past decade.</t>
  </si>
  <si>
    <t>Cencora</t>
  </si>
  <si>
    <t xml:space="preserve">
    Market Cap (intraday) 36.15B
         Enterprise Value 39.78B
             Trailing P/E  21.92
              Forward P/E  13.89
PEG Ratio (5 yr expected)   5.69
        Price/Sales (ttm)   0.15
         Price/Book (mrq)  52.69
 Enterprise Value/Revenue   0.16
  Enterprise Value/EBITDA  12.31</t>
  </si>
  <si>
    <t>The 7 Top Stocks to Buy for a Q4 Rebound
September lived up to its billing as the worst month of the year. Pulled lowered by the threat of higher interest rates, a looming government shutdown, and rising energy prices, U.S. indices ended September in the red.
Costco Stock Nears A Buy Point After Earnings. It's Already Flashing This Bullish Signal.
Costco is nearing a buy point after analysts hailed solid earnings. Monday's IBD Stock Of The Day is flashing a highly bullish signal.
Costco Stock: Buy, Sell, or Hold?
Costco has evident competitive advantages and a long track record of outperformance. But the stock's valuation looks stretched, and management sees sluggish growth ahead.
Costco Just Gave Investors Another Big Reason to Buy the Stock
Costco's renewal rate hit another record in fiscal Q4. Shoppers are tilting their spending toward more essentials, but traffic levels are strong.
Where Will Costco Stock Be in 1 Year?
Costco doesn't give guidance, but its straightforward business model helps make it predictable. Investors anticipate a special dividend and membership fee hike, but management advised patience.
Where Will Costco Stock Be in 3 Years?
Costco recently achieved another record in its membership renewal rate. Like its retailing peers, its sales trends are being pressured by slowing spending on discretionary purchases.
Better Bull Market Buy: Coca-Cola vs. Costco
Costco's membership model continues to be a key difference-maker for the company. Coca-Cola has an unrivaled distribution network, allowing it to expand beyond its classic beverage portfolio.
Costco's Partnership With Sesame Is Just The Beginning For The Wholesale Retailer's Healthcare Ambitions
Costco has immense potential in healthcare, given its brand power and expansive footprint.
Costco membership fee hike is coming
Price hikes will come for Costco Wholesale Corp. memberships, its executive leadership confirmed in this week's earnings call, but just when shoppers can expect the increase or how big it will be remains unknown.
3 Stocks You Can Keep Forever
Numerous studies have concluded that timing the market doesn't work. Costco's enormous membership base makes it appealing for the long term.
Can Costco Stock Hit $600 by the End of 2023?
Costco beat Wall Street estimates in the latest quarter, but growth is slowing. Management could raise membership fees, which could boost operating income.
3 Stocks to Buy if They Take a Dip
Costco trades at a significantly higher P/E ratio than Target and Walmart. The Trade Desk stock is up 71% in 2023 and nearly 400% over the past five years.
Costco: Fourth-Quarter Results Show Resilience, But Valuation Remains High (Rating Upgrade)
Costco reported Q4 earnings per share of $4.86, beating expectations by $0.07, with revenue of $78.94 billion, beating expectations by $1.22 billion. Comparable sales increased 1.1% YoY, excluding gas and foreign exchange effects, but were flat in the US due to gas deflation and foreign exchange fluctuations. Despite near-term challenges, Costco's unique membership strategy, strong renewal rates, and expansion plans make it a good long-term investment.
Gold Rush: As Investor Fear Peaks, Costco Can't Keep Gold Bars in Stock
Most people never would have guessed it, but people have been buying gold bars in droves at Costco (NASDAQ: COST ). It's possible that Costco's gold bars have been so popular because gold prices are down.
How To Execute An Unbalanced Iron Condor On Costco Stock
Think a stock will trade in a range but still slightly bullish? An unbalanced iron condor can help.
Costco Year End Results Top Expectations
Costco just released its 53-week year-end report, and it showed excellent results.
Costco CEO says more younger people are signing up for memberships
Costco CEO Craig Jelinek told CNBC's Jim Cramer on Wednesday that his company is seeing more of the younger demographic.
Is Costco Stock a Buy at Current Valuations?
The membership retailer has built a reputation for offering excellent value to customers.
Costco positioned for further market share gains ahead
Analysts at Jefferies have reiterated their ‘Buy' rating and upped their price target from US$575 to US$610 for Costco Wholesale Corporation (NASDAQ:COST) following its strong fourth quarter results with both revenue and adjusted earnings per share beating the consensus expectation. Costco shares traded up 2% at US$564.13 shortly before the market close on Wednesday.
Costco to offer members medical-care access. Here are the retailers moving into healthcare.
Costco Wholesale Corp. COST, +1.88% is offering its members access to medical care, including $29 virtual primary-care visits, through its recent deal with online marketplace Sesame, joining a growing number of retailers who are dipping their toes into the healthcare industry.
Costco is selling gold bars and they are selling out within a few hours
The retail warehousing giant is your one-stop shop for one-ounce gold bars, handsomely detailed and ready for purchase.
Jim Cramer Is Pounding the Table on Costco (COST) Stock
Earnings are continuing to roll in and investors are generally liking what they're seeing from many top names in the market. Yesterday evening was Costco's (NASDAQ: COST ) chance to report — and the company didn't disappoint.
Costco exec says membership fee increase question of 'when, not if'
Costco CFO Richard Galanti remained coy about when the retailer's members could see their membership price increase, saying it would 'happen at some point.'
Costco is selling out of small gold bars ‘within a few hours,' CFO says
Costco Wholesale Corp. sells lots of things you wouldn't expect from a big-box retailer: caskets, caviar, six-pound tubs of Nutella. Add to that list one-ounce bars of gold, which the company on Tuesday said were selling out within a matter of hours.
Costco Shares Rise After Beating Earnings Expectations Despite a Spending Slowdown
Costco (COST) shares rose 1.5% by noon ET Wednesday after beating earnings expectations for its fiscal fourth quarter as the wholesaler benefitted from rising memberships, but felt the impact of lower discretionary sales and purchase volumes amid a spending slowdown.
Here's Why Costco (COST) is a Strong Growth Stock
Whether you're a value, growth, or momentum investor, finding strong stocks becomes easier with the Zacks Style Scores, a top feature of the Zacks Premium research service.
The Odds Are High Costco Will Declare a Special Dividend Soon
Costco's NYSE: COST Q4 results failed to spark a rally, but investors should be cheering the news and the market action. The news confirms that Costco and membership clubs are a bastion of strength in the consumer world and will continue to provide investors with long-term returns.
Options Traders Are All Over Costco Stock Today
Costco Wholesale Corporation  (NASDAQ:COST) stock is higher this morning, after a better-than-expected fiscal fourth-quarter earnings report.
Jim Cramer says Costco just reported a 'beautiful quarter' and its stock is worth owning
CNBC's Jim Cramer on Wednesday touted the strength of Costco Wholesale's (COST) business.
Costco's (COST) Q4 Earnings Top, Comparable Sales Up 1.1%
Costco (COST) registers a comparable sales increase of 1.1% in the fourth quarter of fiscal 2023. Meanwhile, comparable e-commerce sales decrease 0.8% in the quarter.
From Bulk Bargains to Inventory Insight: How Costco Wins Hearts and Wallets
Costco has built its reputation on value-based bulk deals, and it's an offering that keeps shoppers flocking to its stores.  This deep-seated sentiment is confirmed by the retailer's confidence, as evidenced during its recent fourth-quarter earnings call on Tuesday (Sept 26).
Costco Is Falling, but This Retail Stock Is Looking Mighty Comfortable
Stock index futures moved higher on Wednesday morning. Costco reported solid gains in sales and profits, but some fear a further slowdown ahead.
This is why Costco shares are down despite fourth-quarter beat
Costco Wholesale Corp. reported fourth-quarter results that topped Wall Street's estimates after market close Tuesday, although the company's stock is down 1.7% in premarket trades Wednesday.
Costco membership price hike ‘a question of when, not if': CFO
Costco on Tuesday reported that its revenue came in below Wall Street's expectations, at $77.43 billion, buoyed by membership growth and stronger sales in the grocery category.
Costco Stock Is Slipping. Investors Shouldn't Fret the Membership Fee.
Retailer Costco delivered an earnings beat, but investors seem disappointed it didn't raise membership fees. Wall Street analysts are upbeat, though.
Costco Keeps Members and Investors Guessing
The beloved retailer is doing just fine but appears to be taking a cautious view on consumers.
Costco share fall following results, while Cardiff Oncology and MillerKnoll shares soar, and more moving stocks
Cardiff Oncology Inc. CRDF, +0.62% shares surged 32% on favorable data from two cancer drug trials — metastatic pancreatic ductal adenocarcinoma and small cell lung cancer treatment.
Costco Wholesale Corporation (COST) Q4 2023 Earnings Call Transcript
Costco Wholesale Corporation (NASDAQ:COST ) Q4 2023 Earnings Conference Call September 26, 2023 5:00 PM ET Company Participants Richard Galanti - CFO Conference Call Participants Simeon Gutman - Morgan Stanley Michael Lasser - UBS Chuck Grom - Gordon Haskett Peter Benedict - Baird Erica Eiler - Oppenheimer Brandon Cheatham - Citigroup Greg Melich - Evercore Kelly Bania - BMO Capital Markets Oliver Chen - TD Cowen Scott Ciccarelli - Truist Scott Mushkin - R5 Capital Chris Horvers - JPMorgan John Heinbockel - Guggenheim Joe Feldman - Telsey Advisory Group Operator Good day, everyone, and welcome to the Costco Wholesale Corporation Fourth Quarter and Fiscal Year 2023 Operating Results Call. Today's call is being recorded.
Costco (COST) Q4 Earnings: Taking a Look at Key Metrics Versus Estimates
Although the revenue and EPS for Costco (COST) give a sense of how its business performed in the quarter ended August 2023, it might be worth considering how some key metrics compare with Wall Street estimates and the year-ago numbers.
Costco (COST) Q4 Earnings and Revenues Top Estimates
Costco (COST) came out with quarterly earnings of $4.86 per share, beating the Zacks Consensus Estimate of $4.71 per share. This compares to earnings of $4.20 per share a year ago.
Case-Shiller Up, Home Sales &amp; Consumer Confidence Down
While home prices were up but new sales down, consumer confidence took a hit and so did Costco (COST) after beating on both top and bottom lines.
Costco Q4 earnings: ‘you need to be a bit hesitant'
Costco Wholesale Corporation (NASDAQ: COST) is trading down in extended hours even though it reported market-beating results for its fiscal fourth quarter. Jefferies analyst shares his view on Costco Even though the membership warehouse retailer came in ahead of Street estimates – pockets of weakness in the United States were evident in its earnings release.
Costco Wholesale shares slide despite 4Q earnings beat
Costco Wholesale Corporation (NASDAQ:COST) shares slid in extended trading Tuesday despite the retailer's fiscal fourth-quarter results topping expectations. The company posted earnings of $4.86 per share, up from $4.20 per share a year earlier and ahead of Street expectations of $4.79.
Costco tops quarterly earnings expectations, even as sales remain soft
Costco topped quarterly earnings and revenue expectations, even as sales trends at the membership club slowed.
Costco earnings top Wall Street estimates, but stock falls
Costco Wholesale Corp. COST, -1.01% shares slipped in the extended session Tuesday even after the membership warehouse chain reported quarterly results that topped Wall Street estimates. Costco shares slipped 1.5% after hours, following a 1% decline in the regular session to close at $552.96.
Costco Wholesale Corporation Reports Fourth Quarter and Fiscal Year 2023 Operating Results
ISSAQUAH, Wash., Sept. 26, 2023 (GLOBE NEWSWIRE) -- Costco Wholesale Corporation (“Costco” or the “Company”) (Nasdaq: COST) today announced its operating results for the 17-week fourth quarter and the 53-week fiscal year ended September 3, 2023.
Don't Miss the Boom: 3 Momentum Stocks Set to Explode Higher
Patience is one of the key virtues of a successful investor. Even the best of stocks doesn't move parabolic.
10 Dividend Growth Stocks For September 2023
In this monthly series, I rank a selection of dividend growth stocks in Dividend Radar and present the ten top-ranked stocks for consideration. To rank stocks, I do a quality assessment and sort stocks by quality scores, breaking ties with additional metrics. This month, I'm presenting stocks with A+ Dividend Quality Grades and strictly increasing dividends, earnings, and revenue over the past decade.
What To Expect From Costco's Stock Post Q4 Results?
We expect Costco stock to likely see little movement due to revenue slightly beating expectations and earnings coming in line.
Costco, startup partnering to make health care services available to members
Costco Wholesale is partnering with a startup on a move that will make various medical care available to the retailer's members. The company it is teaming up with is Sesame.
7 Stocks That Could Soar Following the Fed's Latest Decision
In the wake of the Federal Reserve unveiling its monetary policy roadmap, investors are keenly examining which stocks to buy that stand to benefit. The Fed's depiction was largely positive, though the anticipation of one more rate hike before year-end provides food for thought.
Costco: A Stock That's Too Hot To Handle
Costco is a large warehouse company with over 838 warehouses and operates e-commerce websites in multiple countries. The US is the largest region for Costco in terms of revenue, but Canada is the most profitable region. Costco's strategy focuses on offering low prices and generating revenue through membership fees rather than high margins on products.
Costco earnings: Can the retailer keep rolling as analysts speculate on membership-fee hike?
Food and gas prices are still, relatively speaking, up there. When membership warehouse chain Costco Wholesale Corp. reports fiscal fourth-quarter results after the market close on Tuesday, we'll get a better idea of how shoppers are responding as the search for a break from higher prices continues into the holiday-shopping season.
Costco teams up with Google-backed health startup to offer $29 virtual doctor's visits to members
Costco members will soon be able to receive low-cost health care through a partnership with Sesame. The move into primary care follows similar investments by Walmart, Amazon, CVS, and Walgreens.
Costco members now have access to $29 online healthcare visits
Costco is now offering members online health checkups for as low as $29.
Costco Stock Near Buy Point With Earnings Due As Wholesaler Looks To Defy Retail Downturn
Costco earnings are on tap Tuesday night with the wholesaler's sales growth set to pick up slightly. Costco stock is setting up near a buy point.
Costco to offer healthcare services through partnership with New York startup
Costco is broadening its reach into healthcare through a partnership with Sesame, a New York-based medical care marketplace startup that connects consumers directly with primary care and mental health clinicians for appointments online without insurance.
Costco Latest Retailer To Offer Doctor Visits Via Online Partner
Costco will offer its members access to physicians through a partnership with the online marketplace Sesame.
Costco (COST) Set to Report Q4 Earnings: A Peek Into Comps
Costco's (COST) fourth-quarter results are likely to benefit from the company's customer-centric approach, pricing strategies, merchandise initiatives and emphasis on memberships.
Earnings Previews: Costco, Paychex
No notable earnings reports have been released since last Wednesday, and only a handful are due this week.
2 Stocks to Add to Your Portfolio in a Market Pull-Back
Costco's resilient business model makes it an investor's dream stock. Lululemon continues to show why it is the next global activewear juggernaut in the making.
Costco, Nike, and More Stocks to Watch This Week
Earnings reports from Costco, Cintas, Micron, Accenture, CarMax, Nike, and Carnival. Plus, core PCE inflation data, consumer confidence, and more.</t>
  </si>
  <si>
    <t>Costco</t>
  </si>
  <si>
    <t xml:space="preserve">
    Market Cap (intraday) 250.16B
         Enterprise Value 243.81B
             Trailing P/E   39.90
              Forward P/E   36.76
PEG Ratio (5 yr expected)    4.35
        Price/Sales (ttm)    1.04
         Price/Book (mrq)    9.98
 Enterprise Value/Revenue    1.01
  Enterprise Value/EBITDA   22.74</t>
  </si>
  <si>
    <t>Harvesting Security: 3 Agriculture Stocks to Buy for a Storm-Steady Portfolio
If you have your finger on the geopolitical pulse, your next best move could potentially be to target agriculture or Ag stocks. Why? Fundamentally, the underlying ag stocks industry responds to supply and demand.
Corteva Acts to Stop Theft of Intellectual Property, Protect American Farming
Illegal Actions to Steal Proprietary Technology Trigger Lawsuit Against Inari INDIANAPOLIS , Sept. 27, 2023 /PRNewswire/ -- To protect its intellectual property, Corteva (NYSE: CTVA) today filed suit against Inari Agriculture, Inc. and Inari Agriculture NV.
Agriculture Innovation - Corteva Is A Hidden Gem
Corteva is a major global producer of seeds and crop protection, with a focus on innovation and market share gains. The company's Enlist E3 soybean, which addresses key industry issues, has captured over half of the soybean market in the US. Despite recent hurdles, CTVA is positioned well for growth in the future, with a fair stock price of $75 and a potential upside of close to 50%.
Corteva: A Leader In The Industry Still Expanding
Fertilizer prices rose in 2022 due to the war in Ukraine, causing a shortage and stress in securing supplies. Corteva, a major supplier of fertilizers, saw rapid earnings growth in 2022. CTVA is viewed as a strong buy due to the demand for fertilizers to ensure ample food supplies.</t>
  </si>
  <si>
    <t>Corteva</t>
  </si>
  <si>
    <t xml:space="preserve">
    Market Cap (intraday) 36.31B
         Enterprise Value 39.01B
             Trailing P/E  32.59
              Forward P/E  15.60
PEG Ratio (5 yr expected)   1.30
        Price/Sales (ttm)   2.09
         Price/Book (mrq)   1.38
 Enterprise Value/Revenue   2.23
  Enterprise Value/EBITDA  14.80</t>
  </si>
  <si>
    <t>Dow Stocks To Trade In October
This long and short equity strategy has generated superior returns based upon cycles and relative strength.
Salesforce (CRM) Banks on Generative AI for Long-Term Growth
Salesforce (CRM) is expanding its footprint in artificial intelligence landscape by adding generative AI tools across its product lines.
These 3 Dow Stocks Are Set to Soar in 2023 and Beyond
Salesforce should continue riding the economy's digital transformation. Visa is built to thrive through inflation.
Top Wall Street analysts pick these five stocks for compelling returns
TipRanks' analyst ranking service pinpoints Wall Street's best-performing stocks, including Adobe &amp; Salesforce
7 ‘Smart Money' Stocks Set to Explode Higher
In the dynamic world of investing, there's always a buzz surrounding “smart money” stocks. This excitement isn't just about fleeting market trends; it's rooted in the savvy market decisions made by individuals with incredible financial acumen.
Why Is Salesforce.com (CRM) Down 8.3% Since Last Earnings Report?
Salesforce.com (CRM) reported earnings 30 days ago. What's next for the stock?
Salesforce Could Start A Surging Run From Here - Add Before It Takes Off
Salesforce stock has been moving sideways since June, struggling to break above the $240 level. However, investors must be patient as buyers accumulate. The company is focusing on monetizing its AI initiatives implementing fixed-base and consumption-based pricing models. It's still early in its monetization approach. Salesforce's approach to trust as a core tenet in AI is critical for maintaining its reputation and fending off competition. Investors must give due credence to its moat.
Nike Is Soaring, but This Stock Has Been the Dow's Best in 2023
Markets regained some lost ground on Friday morning. Nike's latest financial results showed that it has made progress on getting its inventory down to more manageable levels while setting itself up for long-term growth.
These 2 Salesforce Insiders Just Sold 25,000 Shares of CRM Stock
One of the more impressive winners in the market this year has been Salesforce (NYSE: CRM ). Shares of CRM stock are up about 50% year-to-date (YTD).
From Dust to Diamonds: 7 Undervalued Stocks With Sparkling Prospects
In the vast equities landscape, hidden gems are waiting to be unearthed. Like diamonds in the rough, these undervalued stocks possess the potential to shine brightly in an investment portfolio.
6 Goldman Sachs Conviction List Top Growth Stock Picks With Massive Upside Potential
The artificial intelligence rally this year led by the “Magnificent 7” has been awesome if you owned those stocks.
Salesforce Inc. (CRM) is Attracting Investor Attention: Here is What You Should Know
Recently, Zacks.com users have been paying close attention to Salesforce.com (CRM). This makes it worthwhile to examine what the stock has in store.
7 Growth Stocks to Buy as Fed Maintains Status Quo
Growth stocks caught a break recently. The Federal Reserve has held the target range for interest rates between 5.25%-5.50%.
Better Buy: HubSpot vs. Salesforce
HubSpot and Salesforce both face near-term macro challenges. Both companies are cutting costs to boost their operating margins.
These Are The 12 Stocks Driving The S&amp;P 500 Higher In 2023
The S&amp;P 500 is up 12.5% so far in 2023, even with the market correction. But an equal-weight ETF is up just 1%.
3 Seriously Oversold Tech Stocks Worth Buying Now
In the complexities of the market, finding stocks at lower prices that promise both stability and growth can be daunting. However, three tech giants belong in the seriously oversold tech stocks category, amidst the market's ups and downs.</t>
  </si>
  <si>
    <t>Salesforce</t>
  </si>
  <si>
    <t xml:space="preserve">
    Market Cap (intraday) 197.30B
         Enterprise Value 197.71B
             Trailing P/E  126.74
              Forward P/E   25.64
PEG Ratio (5 yr expected)    1.28
        Price/Sales (ttm)    6.07
         Price/Book (mrq)    3.40
 Enterprise Value/Revenue    5.98
  Enterprise Value/EBITDA   23.51</t>
  </si>
  <si>
    <t>3 Underrated Warren Buffett Stocks That Are Smart Buys Right Now
Berkshire Hathaway recently initiated positions in three homebuilders: D.R. Horton, Lennar, and NVR.</t>
  </si>
  <si>
    <t>NVR, Inc.</t>
  </si>
  <si>
    <t>Homebuilding</t>
  </si>
  <si>
    <t xml:space="preserve">
    Market Cap (intraday) 19.47B
         Enterprise Value 17.79B
             Trailing P/E  12.73
              Forward P/E  12.24
PEG Ratio (5 yr expected)    NaN
        Price/Sales (ttm)   2.05
         Price/Book (mrq)   4.69
 Enterprise Value/Revenue   1.78
  Enterprise Value/EBITDA   8.62</t>
  </si>
  <si>
    <t>Realty Income: Getting More Interesting With Same Price As 2015
Realty Income Corporation's valuation is reaching for its lowest setup since 2010, making the REIT an intriguing buy proposition. A reversal soon of U.S. Federal Reserve interest rate hikes and its Quantitative Tightening effort would benefit Realty Income investors tremendously during 2024. The company's 6%+ dividend yield is very attractive, while the payout should rise over time.
3 REITs For Long-Term And Prudent Dividend Investors
REITs in general are less attractive to investors due to high risk-free rates. Investors can approach this by either taking on higher risks for higher yields or investing in REITs with robust and growing cash flows. Prologis, Realty Income, and Alexandria Real Estate Equities are three specific REITs that offer attractive initial dividend yields and have strong fundamentals for dividend growth.
I Sold My Mortgage REITs
I am bullish on REITs. But not all REITs. Mortgage REITs are a good example of that. I present 5 reasons why I tend to avoid mortgage REITs.
Billionaire Ray Dalio Warns Of Debt Crisis: Prepare Your Income Portfolio
Billionaire investor Ray Dalio recently predicted that a debt crisis will occur in the United States. We discuss how to prepare your income portfolio to weather such a storm should it occur. We also share two of our top high-yield SWAN picks of the moment.
Top High Yield Stocks To Buy In October 2023
High yield stocks are a great way to build a passive income snowball and achieve financial independence. We discuss the two key macroeconomic themes that are poised to drive markets as we head into October 2023. We share two top high-yield stocks to profit from these trends.
Like A Smart Kid In A REIT Candy Store
REITs are currently trading at low prices, presenting a great buying opportunity for investors. The article advises investors to focus on quality and proper diversification when buying REIT stocks. I recommend three specific REITs: MidAmerica Apartment Communities, Realty Income, and Prologis.
3 Dividend Aristocrat Bargains
September was a rough month for stocks, with all major averages experiencing losses. Only two sectors in the S&amp;P 500 finished the month in the green: Energy and Communication Services. Despite potential headwinds, there are three high-quality dividend aristocrats trading at attractive valuations: McDonald's, Realty Income, and Coca-Cola.
If I Had To Name The Biggest Risk For REITs It Would Be This One
REITs have underperformed the S&amp;P 500 due to the Fed's restrictive monetary policy and increased interest rates. The market is pricing in a higher for longer scenario, causing concern for REITs with fixed rate financing and upcoming debt maturities. REITs with longer debt maturity profiles and locked-in financing at below-market rates are better positioned to withstand higher interest rates.
Realty Income: Trick Or Treat
Realty Income Corporation's stock has experienced significant declines in the past month, 6 months, YTD, and 12 months. The company's current yield of 6.19% is the highest in the last 5 years, excluding the impact of COVID. Despite potential challenges with inflation and interest rates, buying Realty Income stock is a long-term opportunity for income.
3 Dividend Stocks to Buy for Income Investors in a Rising Rate Environment
In the bustling world of investing, dividend stocks to buy for income stand out for those searching for dependable returns. It's no secret that dividend aristocrats, those esteemed stocks with a rich legacy of payouts spanning over 25 years, are lauded as the epitome of financial reliability.
Is Realty Income Stock a Buy?
2023 has been a particularly bad year for Realty Income's stock so far. But over time, this net-lease REIT giant has provided investors with strong total returns.
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Alexandria And Realty Income: My Current 2 Biggest 'Buys'
Investing in out-of-favor sectors can lead to good deals. The REIT sector is currently out of favor due to various reasons. Alexandria Real Estate is a solid REIT option with specialized properties in the biotech/lab sector.
Realty Income Announces Third Quarter 2023 Earnings Release Date
SAN DIEGO , Sept. 28, 2023 /PRNewswire/ -- Realty Income Corporation (Realty Income, NYSE: O), The Monthly Dividend Company®, today announced the company will release its operating results for the quarter ended September 30, 2023 after the market closes on November 6, 2023.
3 Stocks You'll Be Glad You Bought at These Prices
Alexandria Real Estate Equities focuses on must-have lab space. American Tower is the world's largest private cell tower owner.
Buffett And Munger: 'Pick Businesses, Not Stocks' - 2 High Yield Meltdown Buys
Warren Buffett and Charlie Munger have said that they focus on picking businesses, not stocks, when making investment decisions. We dig into what this means and how investors can apply it to their portfolios today. We share two wonderful businesses to buy today at wonderful prices.
Don't Miss the Boom: 7 Dividend Stocks Set to Explode Higher
The economic outlook is increasingly uncertain. Between inflation, high-interest rates, and an aggressive Federal Reserve, there is plenty that could hamper the market's returns over the next year.
7 Buffett-Style A-Rated Dividend Aristocrat Bargains
The stock market suffered the worst week in 7 months due to the Fed bursting the dreams of rapid rate cuts. Higher for longer rates is a major threat to big tech, trading at 36X forward earnings, a 31% historical premium. But A-rated dividend aristocrat bargains represent world-beater, Buffett-style "wonderful companies at wonderful prices".
Ticking Time Bombs: 7 S&amp;P 500 Stocks to Dump Before the Damage Is Done
It's been a tough month for S&amp;P 500 stocks. September slumps are common, and this month is historically the worst for the index.
Billionaire Investors Buy When There Is Blood In The StREITs
Legendary investors advise buying assets when market sentiment is at its worst. REITs have experienced a significant decline in value recently, causing many to panic sell their holdings. We discuss why investors should buy the panic in REITs and share our top picks.</t>
  </si>
  <si>
    <t>Realty Income</t>
  </si>
  <si>
    <t xml:space="preserve">
    Market Cap (intraday) 35.40B
         Enterprise Value 55.25B
             Trailing P/E  37.27
              Forward P/E  37.04
PEG Ratio (5 yr expected)   6.21
        Price/Sales (ttm)   8.76
         Price/Book (mrq)   1.14
 Enterprise Value/Revenue  14.98
  Enterprise Value/EBITDA  16.78</t>
  </si>
  <si>
    <t>Is the Grinch Stealing This Year's Holiday Season Jobs?
United Parcel Service Inc. NYSE: UPS is among logistics companies that are proceeding cautiously this year, in anticipation of a slower holiday season.
5 Reasons Why Investors Should Buy Old Dominion (ODFL) Stock
Old Dominion's (ODFL) efforts to reward shareholders through dividends and share buybacks are impressive.
3 Trucking Stocks to Keep an Eye on Amid Industry Challenges
Escalating operating expenses are hurting the Zacks Transportation-Truck industry's prospects. However, stocks like ODFL, JBHT and ARCB are better positioned to escape the industry challenges.
Old Dominion Freight Line to Webcast Third Quarter 2023 Conference Call
THOMASVILLE, N.C.--(BUSINESS WIRE)--Old Dominion Freight Line, Inc. (Nasdaq: ODFL) announced today that it plans to release its third quarter 2023 financial results before opening of trading on Wednesday, October 25, 2023. The Company will also hold a conference call to discuss its financial results and outlook at 10:00 a.m. (Eastern Time) on Wednesday, October 25, 2023. An online, real-time webcast of Old Dominion's quarterly conference call will be available at www.odfl.com on Wednesday, Octo.
R1 Research Institution Old Dominion University Selects YuJa Panorama Digital Accessibility Platform to Serve More than 20,000 Students Campuswide
SAN JOSE, Calif.--(BUSINESS WIRE)--Old Dominion University selects YuJa Panorama to increase the accessibility of digital media and course content for its more than 20,000 students.
Trucking Industry Up 26.6% Year to Date: More Room to Run?
Improvement in freight demand and consistent shareholder-friendly initiatives bode well for the stocks in the trucking industry.</t>
  </si>
  <si>
    <t>Old Dominion</t>
  </si>
  <si>
    <t>Cargo Ground Transportation</t>
  </si>
  <si>
    <t xml:space="preserve">
    Market Cap (intraday) 44.71B
         Enterprise Value 44.73B
             Trailing P/E  35.55
              Forward P/E  32.26
PEG Ratio (5 yr expected)   4.07
        Price/Sales (ttm)   7.64
         Price/Book (mrq)  11.67
 Enterprise Value/Revenue   7.52
  Enterprise Value/EBITDA  22.34</t>
  </si>
  <si>
    <t>Fiserv (FI) Benefits From Financial Efficiency and Product Portfolio
Fiserv (FI) gains from a diversified portfolio and increasing efficiency in capital usage amid foreign currency risks.
Inspire Brands Streamlines Omnichannel Commerce Across North American Restaurants via Expanded Fiserv Relationship
BROOKFIELD, Wis.--(BUSINESS WIRE)--Fiserv, Inc. (NYSE: FI), a leading global provider of payments and financial services technology solutions, today announced an expansion of its relationship with Inspire Brands, a multi-brand restaurant company whose portfolio includes more than 32,000 restaurants worldwide. The expanded relationship builds on a successful foundation in which Fiserv has helped power connected commerce experiences within the Inspire portfolio for more than two decades. Continui.
FI or MA: Which Is the Better Value Stock Right Now?
Investors looking for stocks in the Financial Transaction Services sector might want to consider either Fiserv (FI) or MasterCard (MA). But which of these two companies is the best option for those looking for undervalued stocks?
Down -5.42% in 4 Weeks, Here's Why You Should You Buy the Dip in Fiserv (FI)
The heavy selling pressure might have exhausted for Fiserv (FI) as it is technically in oversold territory now. In addition to this technical measure, strong agreement among Wall Street analysts in revising earnings estimates higher indicates that the stock is ripe for a trend reversal.</t>
  </si>
  <si>
    <t>Fiserv</t>
  </si>
  <si>
    <t xml:space="preserve">
    Market Cap (intraday) 68.86B
         Enterprise Value 91.74B
             Trailing P/E  28.53
              Forward P/E  13.37
PEG Ratio (5 yr expected)   1.11
        Price/Sales (ttm)   3.88
         Price/Book (mrq)   2.30
 Enterprise Value/Revenue   4.97
  Enterprise Value/EBITDA  12.76</t>
  </si>
  <si>
    <t>Fox Corporation's Investment Appeal: Unpacking Valuation, Ownership, And Digital Strategy
Fox Corporation has undergone leadership changes, with Lachlan Murdoch taking over from Rupert Murdoch, which could impact the company's future trajectory. The company has demonstrated adaptability by integrating traditional broadcasting methods with modern digital platforms, indicating a stable foundation. Fox's strategy of blending traditional and digital media, and its investments in new co-productions and digital engagement, positions it strongly in the media industry.
Find Your Next Obsession with Tubi's New GPT-4 Powered Content Discovery Feature
Tubi's New Beta Feature, Rabbit AI, Offers Viewers a New Way to Discover Content SAN FRANCISCO , Sept. 26, 2023 /PRNewswire/ -- Tubi (www.tubi.tv), Fox Corporation's (NASDAQ: FOXA, FOX) ad-supported video-on-demand service, has announced Rabbit AI, a first-of-its-kind mobile feature powered by ChatGPT-4 that offers viewers a new way to navigate the platform and discover movies and TV shows.
Fox: The Upside Is Higher Than Some Believe
Fox Corporation is a controversial investment due to its political lean, but it has the potential for double-digit earnings growth. The company has a strong balance sheet and impressive revenue growth, despite the decline in overall advertising. Analysts predict a potential RoR of over 25% for Fox, and the company has a history of beating estimates.</t>
  </si>
  <si>
    <t>Fox Corporation (Class B)</t>
  </si>
  <si>
    <t xml:space="preserve">
    Market Cap (intraday) 14.61B
         Enterprise Value 18.54B
             Trailing P/E  12.39
              Forward P/E   8.95
PEG Ratio (5 yr expected)    NaN
        Price/Sales (ttm)   1.03
         Price/Book (mrq)   1.35
 Enterprise Value/Revenue   1.24
  Enterprise Value/EBITDA   7.43</t>
  </si>
  <si>
    <t>3 Unstoppable Dividend Stocks That Can Provide Passive Income for a Lifetime
A leading provider of industrial gases, Air Products has delivered dividends to investors for decades. A sustainable dividend and long-term growth prospects more than offset temporary weakness at Johnson Controls.
Don't Miss the Boom: 3 Hydrogen Stocks Set to Explode Higher
Hydrogen stocks could have an explosive future. For one, according to analysts at HSBC, “We estimate $8 billion in federal stimulus could be unlocked over the next three years (2024-26) to support the U.S. hydrogen industry.
Air Products' Chairman, President and Chief Executive Officer to Speak at the 3rd Hydrogen Americas Summit in Washington, D.C.
LEHIGH VALLEY, Pa. , Sept. 26, 2023 /PRNewswire/ -- Air Products' (NYSE:APD) Chairman, President and Chief Executive Officer, Seifi Ghasemi , will share Air Products' vision for a hydrogen economy in the Americas during a fireside chat at 9:30 a.m.</t>
  </si>
  <si>
    <t>Air Products and Chemicals</t>
  </si>
  <si>
    <t xml:space="preserve">
    Market Cap (intraday) 62.96B
         Enterprise Value 71.08B
             Trailing P/E  28.98
              Forward P/E  22.22
PEG Ratio (5 yr expected)   1.65
        Price/Sales (ttm)   4.86
         Price/Book (mrq)   4.45
 Enterprise Value/Revenue   5.48
  Enterprise Value/EBITDA  16.73</t>
  </si>
  <si>
    <t>Aptiv to Release Third Quarter 2023 Financial Results
DUBLIN , Sept. 29, 2023 /PRNewswire/ -- Aptiv PLC (NYSE: APTV), will release its third quarter 2023 financial results on November 2, and will hold an investor call the same day at 8:00 a.m.
Here's Why Aptiv PLC (APTV) is a Strong Value Stock
Whether you're a value, growth, or momentum investor, finding strong stocks becomes easier with the Zacks Style Scores, a top feature of the Zacks Premium research service.
UAW Unrest: 3 Auto Stocks to Avoid as the Labor Strike Drags On
The United Auto Workers (UAW) strike is expanding in a move that will surely hurt the U.S. economy and auto stocks as a whole. Investment bank Morgan Stanley (NYSE: MS ) recently estimated that a full month of lost automotive production would cost General Motors (NYSE: GM ), Ford Motor (NYSE: F ) and Stellantis (NYSE: STLA ) combined $7 billion to $8 billion in lost profits.
Aptiv (APTV) Stock Gains 17% in a Year: Here's What to know
Aptiv's (APTV) "smart architecture" provides a competitive advantage and should help it continue gaining market share.</t>
  </si>
  <si>
    <t>Aptiv</t>
  </si>
  <si>
    <t xml:space="preserve">
    Market Cap (intraday) 27.88B
         Enterprise Value 33.58B
             Trailing P/E  29.88
              Forward P/E  15.85
PEG Ratio (5 yr expected)   0.74
        Price/Sales (ttm)   1.39
         Price/Book (mrq)   3.02
 Enterprise Value/Revenue   1.74
  Enterprise Value/EBITDA  13.40</t>
  </si>
  <si>
    <t>Top 4 Utilities Stocks You'll Regret Missing This Quarter
The most oversold stocks in the utilities sector presents an opportunity to buy into undervalued companies.</t>
  </si>
  <si>
    <t>Atmos Energy</t>
  </si>
  <si>
    <t xml:space="preserve">
    Market Cap (intraday) 15.73B
         Enterprise Value 22.32B
             Trailing P/E  18.23
              Forward P/E  16.39
PEG Ratio (5 yr expected)   2.25
        Price/Sales (ttm)   3.44
         Price/Book (mrq)   1.48
 Enterprise Value/Revenue   5.06
  Enterprise Value/EBITDA  13.41</t>
  </si>
  <si>
    <t>Natural Gas Storage Rises, Investors Stay Focused on Weather
Because of uncertainty around demand and supply in the natural gas market, we advise focusing on fundamentally sound companies like CHK, CTRA and LNG.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Coterra Energy: An Undervalued Permian Play
Coterra Energy presents a strong value relative to its peers when compared to its operating cash flows. Coterra is less leveraged relative to peers exhibiting strong capital discipline and the ability to pay a consistent dividend. Coterra was formed in 2021 by a merger between Cabot Oil &amp; Gas and Cimarex Energy and is in the process of executing on their synergistic strategy.</t>
  </si>
  <si>
    <t>Coterra</t>
  </si>
  <si>
    <t xml:space="preserve">
    Market Cap (intraday) 20.42B
         Enterprise Value 22.14B
             Trailing P/E   6.81
              Forward P/E  10.05
PEG Ratio (5 yr expected)    NaN
        Price/Sales (ttm)   2.71
         Price/Book (mrq)   1.61
 Enterprise Value/Revenue   2.85
  Enterprise Value/EBITDA   3.91</t>
  </si>
  <si>
    <t>2 Magnificent Materials Stocks Hiding in Plain Sight
The past few months' worth of weakness doesn't represent the metal industry's long-term potential. Adoption of environmentally-friendly energy is driving demand for copper, but even iron will be needed to support new clean-energy infrastructure.
Best Copper Stocks To Buy Right Now? 2 To Know
Copper stocks to watch in the stock market today.</t>
  </si>
  <si>
    <t>Freeport-McMoRan</t>
  </si>
  <si>
    <t>Copper</t>
  </si>
  <si>
    <t xml:space="preserve">
    Market Cap (intraday) 53.46B
         Enterprise Value 56.27B
             Trailing P/E  25.37
              Forward P/E  16.58
PEG Ratio (5 yr expected)    NaN
        Price/Sales (ttm)   2.46
         Price/Book (mrq)   3.30
 Enterprise Value/Revenue   2.57
  Enterprise Value/EBITDA   7.24</t>
  </si>
  <si>
    <t>Reasons to Hold FactSet (FDS) Stock in Your Portfolio Now
FactSet (FDS) has a consistent track record of rewarding its shareholders through share repurchases and dividends.
FactSet Research Systems: A Prudent Dividend Choice
FactSet Research Systems Inc. has a 23-year track record of increasing its dividend, making it a reputable and reliable dividend payer. The company's low payout ratio and moderate dividend yield indicate that its dividend is sustainable and has potential for growth. FactSet's stable financial position, strong return on equity, and investment in innovation support its long-term dividend growth.</t>
  </si>
  <si>
    <t>FactSet</t>
  </si>
  <si>
    <t xml:space="preserve">
    Market Cap (intraday) 16.68B
         Enterprise Value 18.06B
             Trailing P/E  36.35
              Forward P/E  27.17
PEG Ratio (5 yr expected)   2.16
        Price/Sales (ttm)   8.16
         Price/Book (mrq)  10.29
 Enterprise Value/Revenue   8.66
  Enterprise Value/EBITDA  22.89</t>
  </si>
  <si>
    <t>General Dynamics Ordnance and Tactical Systems Awarded $218 Million to Expand Artillery Production
Supports capacity to produce 50,000 artillery rounds per month by 2025 ST. PETERSBURG, Fla.
Are Investors Undervaluing General Dynamics (GD) Right Now?
Here at Zacks, our focus is on the proven Zacks Rank system, which emphasizes earnings estimates and estimate revisions to find great stocks. Nevertheless, we are always paying attention to the latest value, growth, and momentum trends to underscore strong picks.
General Dynamics (GD) Wins Deal to Aid Abrams Battle Tank
General Dynamics' (GD) unit is set to provide technical support for its Abrams battle tank systems.
Military aid to Ukraine gives a shot in the arm to the U.S. economy
American military support for Ukraine as it fends off Russia has given a lift to the struggling industrial side of the U.S. economy.
General Dynamics (GD) Wins Contract to Support Submarine Program
General Dynamics (GD) is set to provide engineering and technical design effort to support current and future submarine platforms.</t>
  </si>
  <si>
    <t>General Dynamics</t>
  </si>
  <si>
    <t xml:space="preserve">
    Market Cap (intraday) 60.33B
         Enterprise Value 70.67B
             Trailing P/E  18.14
              Forward P/E  14.79
PEG Ratio (5 yr expected)   1.48
        Price/Sales (ttm)   1.49
         Price/Book (mrq)   3.10
 Enterprise Value/Revenue   1.73
  Enterprise Value/EBITDA  13.25</t>
  </si>
  <si>
    <t>Chubb Limited to Hold its Third Quarter Earnings Conference Call on Wednesday, October 25, 2023
ZURICH , Sept. 29, 2023 /PRNewswire/ -- Chubb Limited (NYSE: CB) will hold its third quarter earnings conference call on Wednesday, October 25, 2023, at 8:30 a.m.
Chubb (CB), SentineIOne Unite to Enhance Cyber Insurance Offerings
Chubb (CB) collaborates with SentineIOne to streamline its underwriting process for Cyber insurance.
Chubb and SentinelOne® Partner to Enhance Cyber Risk Management
Chubb leverages industry-leading security solutions to help policyholders enhance cyber defenses and help protect businesses from emerging threats WHITEHOUSE STATION, N.J. , Sept. 27, 2023 /PRNewswire/ -- Chubb, the world's largest publicly traded property &amp; casualty insurance company, is collaborating with SentinelOne (NYSE: S), a leader in cybersecurity, to streamline cyber risk management practices for U.S. businesses.
7 Buffett-Style A-Rated Dividend Aristocrat Bargains
The stock market suffered the worst week in 7 months due to the Fed bursting the dreams of rapid rate cuts. Higher for longer rates is a major threat to big tech, trading at 36X forward earnings, a 31% historical premium. But A-rated dividend aristocrat bargains represent world-beater, Buffett-style "wonderful companies at wonderful prices".
5 Property &amp; Casualty Insurers to Buy With Improving Pricing
Frequent catastrophes resulting in an accelerated policy renewal rate and upward pricing pressure are likely to boost the performance of Zacks Property and Casualty Insurance industry players like CB, ACGL, CINF, AXS and PRA.</t>
  </si>
  <si>
    <t>Chubb Limited</t>
  </si>
  <si>
    <t xml:space="preserve">
    Market Cap (intraday)  85.51B
         Enterprise Value 100.75B
             Trailing P/E   14.83
              Forward P/E   10.15
PEG Ratio (5 yr expected)    0.70
        Price/Sales (ttm)    1.87
         Price/Book (mrq)    1.62
 Enterprise Value/Revenue    2.17
  Enterprise Value/EBITDA     NaN</t>
  </si>
  <si>
    <t>Google Confirms It's a Big Broadcom AI Chip Customer -- But for How Long?
Google rumors helped solve a mystery surrounding a big Broadcom customer. Google is likely to remain a Broadcom customer for some time.
Broadcom Delivers 200G/lane PAM-4 DSP PHY for Next Generation Switches and AI Networks
New Sian DSP enables lowest power 800G and 1.6T optical module solutions with industry leading performance, bringing unprecedented bandwidth and efficiency to hyperscale data centers supporting AI workloads at scale New Sian DSP enables lowest power 800G and 1.6T optical module solutions with industry leading performance, bringing unprecedented bandwidth and efficiency to hyperscale data centers supporting AI workloads at scale
Semtech and Broadcom Showcase 200G/lane Optical Transceiver at ECOC 2023
CAMARILLO, Calif.--(BUSINESS WIRE)--Semtech and Broadcom pave the way for successful deployment of next generation 51.2T and 102.4T switch platforms.
7 “Insider” Stocks Set to Explode Higher
One of the best ways to spot potential opportunities is by looking for which insider stocks to buy. In fact, for insider stocks to buy, who knows the company better than a CEO, CFO, COO, officer, employee, or director?
U.S.-China Chip War Over Taiwan Nears Moment Of Truth For S&amp;P 500, Nvidia, Apple And The World
The U.S.-China tech war centers on advanced chips from Nvidia and other companies — almost all made by Taiwan Semiconductor Manufacturing. Upcoming Taiwan elections could be a turning point.
Smart Picks: 7 Blue-Chips Trading Below True Value
Blue-chip stocks are shares of well-established, stable firms that pay dividends in most cases. It's that combination of stability and dividend income that makes them so attractive.
WiLan Enters into License Agreement with Broadcom
Ottawa, Ontario--(Newsfile Corp. - September 27, 2023) - Wi-LAN Inc. ("WiLAN") announced today that WiLAN and its subsidiaries, including Polaris Innovations Limited, have entered into a license and settlement agreement with Broadcom Inc. ("Broadcom"). Broadcom has obtained a license to patents owned by WiLAN and its subsidiaries.
3 Dividend Stocks to Double Up On Right Now
The technology-sector pullback could be a buying opportunity for high-quality names. The following three stocks are run by top-notch CEOs Their dividends today, while modest, should grow a lot in the future.
Big Tech Titans Feel the Chill as AI Stocks Slide
You only need to look at the one-month decline in AI chip powerhouse Nvidia Corp. NASDAQ: NVDA to understand that something has changed. Is Nvidia's pullback a sign that the AI rally that fueled big tech sector gains is taking a breather as interest rates rise?
7 Rock-Solid Dividend Stocks to Ride Out the Rest of 2023
In the unpredictable financial landscape of 2023, leaning into dividend stocks to buy may be one of the wisest decisions an investor can make. It's not about sidelining the thrilling potential of tech pioneers; instead, it's about understanding the evolving market dynamics.
Broadcom Partners with Google Cloud to Strengthen Gen AI-Powered Cybersecurity
Symantec combines global threat intelligence with Google Cloud's gen AI expertise to simplify threat analysis and protect against sophisticated cyber attacks Symantec combines global threat intelligence with Google Cloud's gen AI expertise to simplify threat analysis and protect against sophisticated cyber attacks
Netflix Loses Broadcom Patent Lawsuit In Germany
A German court ruled that Netflix (NFLX) is infringing on a Broadcom (AVGO) patent and ordered the company to stop streaming video in the country using Broadcom's technology.
Netflix loses to Broadcom in video patent case
A German court has ruled that Netflix Inc (NASDAQ:NFLX) has infringed a patent held by Broadcom Corporation (NASDAQ:AVGO), related to high-quality video streaming. Netflix was told by the German court to cease and desist its use of Broadcom patented technologies.
September's 7 Most Controversial AI Stocks: Buy or Bail?
AI stocks are controversial for multiple reasons. One of the most obvious factors is that AI poses a threat in many ways.
Netflix ordered to ‘cease and desist' infringing on Broadcom patent in Germany
A court in Germany has ruled that Netflix Inc. has been infringing on a Broadcom Inc. patent related to video coding, Broadcom Inc. said on Monday.
Munich Court Rules Netflix Is Infringing Broadcom Video Patent; Imposes Injunction
SAN JOSE, Calif., Sept. 25, 2023 (GLOBE NEWSWIRE) -- Broadcom Inc. (NASDAQ:AVGO) announced today that the District Court of Munich, Germany, ruled that Netflix is infringing a Broadcom patent related to HEVC/H.265 video coding. The court issued an injunction requiring Netflix to cease and desist all further infringement in Germany.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Broadcom's AI Business Won't Be Easy to Chip Away
Wall Street doubts Google will pull its business, but the stock's big run has made the chip maker more sensitive to market fears.
2 Charts That Show Semiconductor Stocks Are Poised to Drop
The S&amp;P Semiconductors Select Industry Index has topped both price-wise and on a relative basis. That bodes poorly for the sector.
Top Wall Street analysts are bullish on these dividend stocks
TipRanks' analyst ranking service pinpoints Wall Street's best-performing stocks, including Chevron and Broadcom.</t>
  </si>
  <si>
    <t>Broadcom Inc.</t>
  </si>
  <si>
    <t xml:space="preserve">
    Market Cap (intraday) 342.81B
         Enterprise Value 370.10B
             Trailing P/E   25.56
              Forward P/E   18.21
PEG Ratio (5 yr expected)    1.26
        Price/Sales (ttm)    9.79
         Price/Book (mrq)   15.53
 Enterprise Value/Revenue   10.44
  Enterprise Value/EBITDA   18.06</t>
  </si>
  <si>
    <t>Will Bank of America (BAC) Beat Estimates Again in Its Next Earnings Report?
Bank of America (BAC) has an impressive earnings surprise history and currently possesses the right combination of the two key ingredients for a likely beat in its next quarterly report.
Bank of America's CEO Says There Won't Be a Recession. Time To Buy the Stock?
At a recent conference, BofA's Brian Moynihan said there wouldn't be a recession. His prediction matches the Fed's latest GDP forecast, which calls for GDP to grow by at least 1.5% over the next three years.
Chelsea owners considering more borrowing to fund spending spree
Chelsea FC's owners are considering borrowing up to £250 million to help continue funding its spending spree on new transfers, a move which has been a key characteristic of the club since being bought last summer. Bank of America Corp (NYSE:BAC).
3 Magnificent Stocks That Are Screaming Buys in October
Bank of America is a bargain thanks to the fallout from the banking crisis this year. PayPal Holdings is much stronger than its stock performance indicates.
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My Top 10 High Yield Dividend Stocks For October 2023
The market slide continues in September with the SPDR S&amp;P 500 Trust ETF dropping by 4.74%. The top 10 stocks on the watchlist for October 2023 offer a 4.33% dividend yield, more than double the S&amp;P 500. My top 10 list of high dividend yield stocks has generated an annualized rate of return of 10.29% since its inception in November 2020.
Bank of America: Grab 6.5% Yield Preferreds!
Bank of America's preferred shares offer a high yield of 6.5%, making them an attractive alternative for risk-averse investors. Preferred shares have a priority claim on earnings above common shares, providing added security in case of dividend cuts. Bank of America's overall strength and market share position make its preferred shares a safe investment option.
US CFTC orders 3 major US banks to pay over $50 mln for swap reporting failures
The U.S. Commodity Futures Trading Commission on Friday ordered Goldman Sachs , Bank of America and JPMorgan to pay a total of over $50 million for swap reporting failures and other violations, the agency said in a statement.
Bank of America Corporation (BAC) Is a Trending Stock: Facts to Know Before Betting on It
Bank of America (BAC) has been one of the stocks most watched by Zacks.com users lately. So, it is worth exploring what lies ahead for the stock.
83% of Warren Buffett's $347 Billion Portfolio Is Invested in Only 8 Stocks
The Oracle of Omaha has effectively doubled-up the annualized total return of the benchmark S&amp;P 500 since the mid-1960s. Portfolio concentration has played a key role in Warren Buffett's sizable outperformance.
Got $1,000? 5 Buffett Stocks to Buy and Hold Forever
Apple has been trying to become less reliant on the iPhone and more reliant on services. American Express benefits from issuing its own credit cards and processing credit card transactions.
These 7 Stocks Show How Warren Buffett Is Zigging While Most Investors Zag
While many investors avoided bank stocks because of the banking crisis, Buffett saw an opportunity. He has also upped Berkshire Hathaway's stake in five stocks that most U.S. investors know little about.
U.S. SEC nearing settlement with Wall Street firms over WhatsApp probe -sources
The U.S. Securities and Exchange Commission (SEC) is finalizing settlements with around two dozen Wall Street firms to resolve investigations into record-keeping lapses, said two people with knowledge of the matter.
Bank of America Chicago Marathon Generates Record-Breaking $386 Million for Chicago Economy in 2022
Event Impact Continues to Drive Tourism Industry, Business, and Job Growth CHICAGO , Sept. 27, 2023 /PRNewswire/ -- The Bank of America Chicago Marathon continues to generate significant impact for the city of Chicago, with the 2022 race contributing a record-breaking $386 million (PDF) to the city's economy, a 25 percent increase from 2021, according to an independent economic impact study conducted by the University of Illinois at Urbana-Champaign's Regional Economics Applications Lab.
The Biggest Number From Bank of America's Latest Quarter: 18
Bank of America's business spans from traditional banking to investment banking. Although boring, traditional banking is still the foundation on which the bank grows.
BofA Survey Finds Many American Workers Optimistic About Their Financial Future, Though Feeling the Strain of Inflation
While Saving for Retirement Remains Top Financial Goal, More Employees Prioritizing Pressing Needs  CHARLOTTE, N.C. , Sept. 26, 2023 /PRNewswire/ -- Bank of America today announced findings from its 13th annual Workplace Benefits Report, "The Transforming Workplace" (PDF) The report revealed that two-thirds (67%) of employees believe the cost of living is outpacing growth in their salary or wages, compared to 58% in February 2022.
Warren Buffett Has Put $150 Billion of Berkshire Hathaway's Cash to Work in These 4 Stocks
The Oracle of Omaha has run circles around the benchmark S&amp;P 500 for nearly six decades. Buffett has piled approximately $150 billion worth of his company's cash into four brand-name businesses (including one surprise).
Nobody Is Talking About This Stock, but It's a Brilliant Buy Today
Cost of capital, sticky relationships, and a fortress of a balance sheet.</t>
  </si>
  <si>
    <t>Bank of America</t>
  </si>
  <si>
    <t>Diversified Banks</t>
  </si>
  <si>
    <t xml:space="preserve">
    Market Cap (intraday) 217.57B
         Enterprise Value     NaN
             Trailing P/E    7.87
              Forward P/E    8.17
PEG Ratio (5 yr expected)    7.43
        Price/Sales (ttm)    2.22
         Price/Book (mrq)    0.85
 Enterprise Value/Revenue     NaN
  Enterprise Value/EBITDA     NaN</t>
  </si>
  <si>
    <t>F5 (FFIV) Moves to Buy: Rationale Behind the Upgrade
F5 (FFIV) might move higher on growing optimism about its earnings prospects, which is reflected by its upgrade to a Zacks Rank #2 (Buy).</t>
  </si>
  <si>
    <t>F5, Inc.</t>
  </si>
  <si>
    <t xml:space="preserve">
    Market Cap (intraday) 9.56B
         Enterprise Value 9.16B
             Trailing P/E 29.35
              Forward P/E 12.67
PEG Ratio (5 yr expected)  0.97
        Price/Sales (ttm)  3.47
         Price/Book (mrq)  3.60
 Enterprise Value/Revenue  3.26
  Enterprise Value/EBITDA 15.68</t>
  </si>
  <si>
    <t>Here's Why Paychex (PAYX) is a Strong Growth Stock
Whether you're a value, growth, or momentum investor, finding strong stocks becomes easier with the Zacks Style Scores, a top feature of the Zacks Premium research service.
Here are the 12 stocks Jim Cramer is watching, including a dire consumer forecast
Here are some of the tickers on my radar for Thursday, Sept. 28, taken directly from my reporter's notebook.
Paychex's (PAYX) Q1 Earnings &amp; Revenues Beat Estimates, Rise Y/Y
Paychex's (PAYX) earnings and revenues grow year over year due to in-demand HR solutions.
Paychex, Inc. (PAYX) Q1 2024 Earnings Call Transcript
Paychex, Inc. (NASDAQ:PAYX ) Q1 2024 Earnings Conference Call September 27, 2023 9:30 AM ET Company Participants John Gibson - President and Chief Executive Officer Bob Schrader - Vice President of Finance and Investor Relations Efrain Rivera - Chief Financial Officer Conference Call Participants Ramsey El-Assal - Barclays Daniel Maxwell - William Blair Bryan Bergin - TD Cowen Ashish Sabadra - RBC Capital Markets Scott Wurtzel - Wolfe Research Tien-Tsin Huang - JPMorgan Peter Christiansen - Citigroup Bryan Keane - Deutsche Bank Samad Samana - Jefferies Eugene Simuni - Moffettnathanson Mark Marcon - Baird James Faucette - Morgan Stanley Operator Good day, everyone, and welcome to today's Paychex First Quarter Earnings Conference Call. At this time, all participants are in a listen-only mode.
Here's What Key Metrics Tell Us About Paychex (PAYX) Q1 Earnings
The headline numbers for Paychex (PAYX) give insight into how the company performed in the quarter ended August 2023, but it may be worthwhile to compare some of its key metrics to Wall Street estimates and the year-ago actuals.
Paychex (PAYX) Beats Q1 Earnings and Revenue Estimates
Paychex (PAYX) came out with quarterly earnings of $1.14 per share, beating the Zacks Consensus Estimate of $1.12 per share. This compares to earnings of $1.03 per share a year ago.
Paychex shares rise as strong demand for its workforce solutions drives 1Q earnings beat
Paychex (NASDAQ:PAYX) stock edged higher in pre-market trade on Wednesday after it reported first quarter fiscal 2024 sales and earnings that beat Wall Street forecasts. Shares of Paychex (NASDAQ:PAYX), which provides a range of human resources, payroll and benefits solutions software, added 1.3% to US$114.22 shortly before the opening bell in New York.
Paychex's stock rallies after profit beats expectations, full-year outlook nudged higher
Shares of Paychex Inc. jumped 3.8% in premarket trading Wednesday, after the human resources services company reported fiscal first-quarter profit and revenue that rose above expectations, and nudged up its full-year outlook.
Paychex, Inc. Reports First Quarter Fiscal 2024 Results:
ROCHESTER, N.Y.--(BUSINESS WIRE)--Paychex, Inc. (the "Company," "Paychex," "we," "our," or "us") today announced the following results for the quarter ended August 31, 2023 (the "first quarter"), as compared to the corresponding prior-year period:     For the three months ended               August 31,           In millions, except per share amounts   2023     2022     Change(2) Total revenue   $   1,286.0     $   1,206.2       7   % Operating income   $   536.3     $   495.6       8   % Dilute.
Earnings Previews: Costco, Paychex
No notable earnings reports have been released since last Wednesday, and only a handful are due this week.</t>
  </si>
  <si>
    <t>Paychex</t>
  </si>
  <si>
    <t xml:space="preserve">
    Market Cap (intraday) 41.66B
         Enterprise Value 40.84B
             Trailing P/E  26.15
              Forward P/E  24.51
PEG Ratio (5 yr expected)   3.03
        Price/Sales (ttm)   8.22
         Price/Book (mrq)  11.61
 Enterprise Value/Revenue   8.03
  Enterprise Value/EBITDA  17.63</t>
  </si>
  <si>
    <t>Gilead Board Director Kevin E. Lofton Named to List of Influential Leaders
FOSTER CITY, Calif.--(BUSINESS WIRE)--Gilead Sciences, Inc. (Nasdaq: GILD) today announced that Kevin E. Lofton, Lead Independent Director, has been named one of the most influential leaders in corporate governance by the National Association of Corporate Directors (NACD) as part of their 2023 NACD Directorship 100™, an annual list of leading corporate directors and governance advocates. “We have been honored to have Kevin serve as the Lead Independent Director on the Gilead Board since 2020, a.
3 Magnificent Dividend Stocks to Buy in October
AbbVie is attractive in multiple ways. Gilead Sciences offers investors stability and a high dividend yield.</t>
  </si>
  <si>
    <t>Gilead Sciences</t>
  </si>
  <si>
    <t xml:space="preserve">
    Market Cap (intraday)  93.38B
         Enterprise Value 111.96B
             Trailing P/E   17.23
              Forward P/E   10.24
PEG Ratio (5 yr expected)    0.50
        Price/Sales (ttm)    3.45
         Price/Book (mrq)    4.41
 Enterprise Value/Revenue    4.09
  Enterprise Value/EBITDA   10.52</t>
  </si>
  <si>
    <t>Buy It For Parts
I'll show why ORLY still offers attractive risk/reward and how the stock could be worth at least $1,091/share today
UAW Strike 2023: 7 Stocks That Could Actually Benefit From the Disruption
Ford Motor (NYSE: F ) may be making some progress in its negotiations with the United Auto Workers labor union, yet for the automaker and its two “Detroit Three” peers, General Motors (NYSE: GM ) and Chrysler parent Stellantis (NYSE: STLA ), the ongoing UAW strike remains a serious headwind. Beyond just causing operational disruptions in the near-term, this labor action could have a lasting negative effect on each of these companies.</t>
  </si>
  <si>
    <t>O'Reilly Auto Parts</t>
  </si>
  <si>
    <t xml:space="preserve">
    Market Cap (intraday) 54.77B
         Enterprise Value 61.83B
             Trailing P/E  25.25
              Forward P/E  21.60
PEG Ratio (5 yr expected)   1.35
        Price/Sales (ttm)   3.74
         Price/Book (mrq)    NaN
 Enterprise Value/Revenue   4.06
  Enterprise Value/EBITDA  17.89</t>
  </si>
  <si>
    <t>Occidental Petroleum: Buffett Teaches Persistency And Patience
Today, I'd like to update my coverage and give you some new food for thought as Mr. Buffett continues to expand his position. In Q2 OXY missed both its revenue and EPS estimates, but increased its full-year production guidance. Oil upcycles last 12 years on average, and the current one started 3 years ago. Oil demand should expand going forward, despite any contrary opinions you might come across.
7 Energy Stocks Set to Explode Higher
Energy stocks are heating up and it's time to consider which ones are the best to buy. It was only a matter of time before the price of oil surged above $90 a barrel.
Oil Prices Are Headed Down. Occidental Stock Looks Like a Buy.
Higher prices today than those expected in the future means that energy stocks aren't getting full credit for the rise in current prices. It's good news for producers like Occidental Petroleum.
83% of Warren Buffett's $347 Billion Portfolio Is Invested in Only 8 Stocks
The Oracle of Omaha has effectively doubled-up the annualized total return of the benchmark S&amp;P 500 since the mid-1960s. Portfolio concentration has played a key role in Warren Buffett's sizable outperformance.
These Top Oil Stocks Plan to Sit Back and Cash In on Higher Crude Prices
Devon Energy expects its capital spending to decline next year, driven by lower capital costs. Occidental Petroleum plans to hold its production flat since OPEC drives the current market imbalance.
Untapped Potential: 3 Undervalued Oil Stocks to Grab While You Can
The 2022 bear market saw oil stocks shining due to rising oil prices spurred by inflation and geopolitical events. However, 2023 has seen oil prices halve from their 2022 highs, impacting oil stocks negatively.
These Oil Majors May Be Ready For A Promotion As Crude Prices Keep Rising
ExxonMobil and other oil majors are near buy zones as crude oil prices march higher.
Occidental Petroleum Corporation (OXY) is Attracting Investor Attention: Here is What You Should Know
Recently, Zacks.com users have been paying close attention to Occidental (OXY). This makes it worthwhile to examine what the stock has in store.</t>
  </si>
  <si>
    <t>Occidental Petroleum</t>
  </si>
  <si>
    <t xml:space="preserve">
    Market Cap (intraday) 57.40B
         Enterprise Value 86.22B
             Trailing P/E  10.96
              Forward P/E  13.50
PEG Ratio (5 yr expected)    NaN
        Price/Sales (ttm)   2.02
         Price/Book (mrq)   2.80
 Enterprise Value/Revenue   2.73
  Enterprise Value/EBITDA   5.04</t>
  </si>
  <si>
    <t>10 Cheap Value Stocks Are Poised To Report Massive Profit Growth
Just because a stock is considered a "value" doesn't mean it can't grow like crazy. In fact, many S&amp;P 500 value stocks may do just that.
Why Assurant (AIZ) is a Top Value Stock for the Long-Term
The Zacks Style Scores offers investors a way to easily find top-rated stocks based on their investing style. Here's why you should take advantage.</t>
  </si>
  <si>
    <t>Assurant</t>
  </si>
  <si>
    <t>Multi-line Insurance</t>
  </si>
  <si>
    <t xml:space="preserve">
    Market Cap (intraday) 7.61B
         Enterprise Value 8.34B
             Trailing P/E 22.26
              Forward P/E  9.76
PEG Ratio (5 yr expected)   NaN
        Price/Sales (ttm)  0.73
         Price/Book (mrq)  1.70
 Enterprise Value/Revenue  0.79
  Enterprise Value/EBITDA   NaN</t>
  </si>
  <si>
    <t>These 5 Stocks Are Setting Up This Buying Opportunity After Strong Runs
After a run, stocks can offer a new buying opportunity with a pullback to the 50-day line. Novo Nordisk and 4 S&amp;P 500 stocks have done that.
Arthur J. Gallagher (AJG) Adds Hartley Cylke Pacific to Portfolio
Arthur J. Gallagher's (AJG) Hartley Cylke Pacific buyout is set to consolidate the acquirer's presence in the transportation market across California and Arizona.
Insurance Stock Outperforms As Market Crumbles
This insurance stock is setting up in a bullish pattern after hitting an all-time high.
Arthur J. Gallagher &amp; Co. Acquires Hartley Cylke Pacific Insurance Services, Inc.
ROLLING MEADOWS, Ill. , Sept. 25, 2023 /PRNewswire/ --  Arthur J.</t>
  </si>
  <si>
    <t>Arthur J. Gallagher &amp; Co.</t>
  </si>
  <si>
    <t>Insurance Brokers</t>
  </si>
  <si>
    <t xml:space="preserve">
    Market Cap (intraday) 49.12B
         Enterprise Value 55.63B
             Trailing P/E  44.52
              Forward P/E  22.83
PEG Ratio (5 yr expected)    NaN
        Price/Sales (ttm)   5.37
         Price/Book (mrq)   4.73
 Enterprise Value/Revenue   6.04
  Enterprise Value/EBITDA  23.36</t>
  </si>
  <si>
    <t>3 Massively Undervalued Dividend Stocks to Buy for High Total Returns
The markets have a reason to cheer in the near-term with the debt ceiling crisis averted. Notably, the last quarter has historically been good for equities.
3 Lithium Stocks to Dump Before the Damage Is Done
With an undeniable shift towards electric vehicles (EVs), the demand for lithium has grown immensely. As we look ahead, market analysts suggest that U.S. electric vehicle sales could account for more than 50% of total car sales by 2030.
Will Albemarle (ALB) Beat Estimates Again in Its Next Earnings Report?
Albemarle (ALB) has an impressive earnings surprise history and currently possesses the right combination of the two key ingredients for a likely beat in its next quarterly report.
Why Investors Need to Take Advantage of These 2 Basic Materials Stocks Now
Investors looking for ways to find stocks that are set to beat quarterly earnings estimates should check out the Zacks Earnings ESP.
Albemarle: Bigger Is Not Always Better
Albemarle is the largest lithium company by market cap. It is also a complicated company with pros and cons. Pros include access to the best lithium assets in the world and an aggressive growth strategy. Albemarle is positioned well to gain from the EV boom.
3 Top Lithium Mining Stocks to Buy for Stellar Long-Term Gains
Lithium mining stocks have gained significant traction in the past few years. The many use cases of lithium have resulted in exponential growth estimates for the industry (19.57% per year until 2028).
Albemarle to pay $218M to settle bribery investigations
Albemarle Corporation has agreed to pay $218 million to resolve investigations brought on the the U.S. Department of Justice (DoJ) and the Securities and Exchange Commission (SEC) that the company participated in corrupt schemes to pay bribes to foreign government officials.
Albemarle Corp. to Pay SEC More Than $103 Million to Settle FCPA Violations
Washington, D.C.--(Newsfile Corp. - September 29, 2023) - The Securities and Exchange Commission today announced that Charlotte-based Albemarle Corporation, a global specialty chemicals company, agreed to pay more than $103.6 million to settle the SEC's charges that it violated the anti-bribery, recordkeeping, and internal accounting controls provisions of the Foreign Corrupt Practices Act (FCPA).
Don't Miss the Boom: 3 Lithium Stocks Set to Explode Higher
Use weakness in lithium stocks as an opportunity. While many top lithium stocks took a dive in recent weeks, it's a temporary setback.
Albemarle (ALB)-Caterpillar Join Forces for Sustainable Mining
Albemarle (ALB) and Caterpillar team up to develop a more sustainable battery supply chain, including zero-emissions lithium mining and advancements in battery cell technology.
Albemarle and Caterpillar forge partnership to pave the way for zero-emissions lithium mining
(Kitco News) - Albemarle (NYSE: ALB), the world's leading lithium producer, today signed agreements with Caterpillar (NYSE: CAT) to collaborate on solutions to support the full circular battery value chain and sustainable mining operations.
Albemarle, Caterpillar collaborate on batteries, zero-emissions lithium
Albemarle Corp. ALB, +0.08% said Wednesday it was collaborating on battery technology and sustainable lithium-mining practices with heavy-equipment maker Caterpillar Inc. CAT, +0.92% The lithium producer said the agreement calls for the use of Cat battery-electric trucks, and other efforts to establish Kings Mountain, N.C., as the first-ever zero-emissions lithium mine in North America.
ALBEMARLE AND CATERPILLAR COLLABORATE TO PIONEER SUSTAINABLE MINING TECHNOLOGIES AND OPERATIONS
Arrangement includes a collaboration agreement for deployment of Cat battery-electric trucks and site energy transfer solutions, a lithium offtake framework agreement, and an agreement to explore potential opportunities to collaborate on research into battery technology CHARLOTTE, N.C. , Sept. 27, 2023 /PRNewswire/ -- Albemarle Corporation (NYSE: ALB), a global leader in providing essential elements for mobility, energy, connectivity and health, signed agreements today with Caterpillar Inc. (NYSE: CAT) to collaborate on solutions to support the full circular battery value chain and sustainable mining operations.
Don't Miss the Boom: 7 Battery Stocks Set to Explode Higher
As electric vehicles continue to charge into the automotive mainframe, the buzz around battery stocks to buy is growing louder. With the battery industry set to dazzle, savvy investors are sitting up and taking notice.
Top 4 Materials Stocks Which Could Rescue Your Portfolio This Month - Albemarle (NYSE:ALB), FMC (NYSE:FMC)
The most oversold stocks in the materials sector presents an opportunity to buy into undervalued companies.
Lithium Miners News For The Month Of September 2023
Lithium chemical spot prices and spodumene prices were significantly lower the past month. Lithium market news - BMI: "Battery capacity to increase 4-fold by 2030 to 4TWh." Argentina to reach top three spot among lithium players by 2027. Lithium company news - Albemarle raises offer to A$3.00 in takeover offer for Liontown Resources, receives $90m critical materials award from the DoD.
EV Sales Are Doing Great. Here's Why Lithium Stocks Aren't.
Evercore ISI analyst Stephen Richardson explained by shares of lithium makers aren't doing better even though the metal's essential to batteries of electric vehicles.</t>
  </si>
  <si>
    <t>Albemarle Corporation</t>
  </si>
  <si>
    <t xml:space="preserve">
    Market Cap (intraday) 19.95B
         Enterprise Value 21.87B
             Trailing P/E   5.11
              Forward P/E   7.38
PEG Ratio (5 yr expected)   0.34
        Price/Sales (ttm)   2.07
         Price/Book (mrq)   2.03
 Enterprise Value/Revenue   2.26
  Enterprise Value/EBITDA   6.23</t>
  </si>
  <si>
    <t>3 Cash-Cow Stocks That Can Thrive With Higher Interest Rates
Netflix has transitioned from a cash-burning to a cash-earning model, supported by ad-supported plans and a crackdown on password-sharing practices. Marqeta holds nearly half its market cap in cash, showcasing a strong financial footing ready to withstand higher interest rates.
3 Dividend Growers to Buy for Passive Income
Companies that consistently boost their dividend payouts reflect a successful and shareholder-friendly nature, opting to share a portion of profits with investors. And that's precisely what these three companies have done over the years.
U.S.-China Chip War Over Taiwan Nears Moment Of Truth For S&amp;P 500, Nvidia, Apple And The World
The U.S.-China tech war centers on advanced chips from Nvidia and other companies — almost all made by Taiwan Semiconductor Manufacturing. Upcoming Taiwan elections could be a turning point.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Wall Street Analysts See Applied Materials (AMAT) as a Buy: Should You Invest?
When deciding whether to buy, sell, or hold a stock, investors often rely on analyst recommendations. Media reports about rating changes by these brokerage-firm-employed (or sell-side) analysts often influence a stock's price, but are they really important?
Dive Into Dividends: Top 5 Bargain Growth Stocks to Buy
Applied Materials (AMAT), PulteGroup (PHM), Arcos Dorados (ARCO), McKesson (MCK) and NetEase (NTES) could be compelling picks for investors in the current scenario.
Applied Materials: Ready To Move Higher (Technical Analysis)
Applied Materials is a leading provider of semiconductor equipment and its products and services will be crucial for the development of AI in the next decade. Option activity suggests a positive outlook for AMAT, with the "puts to calls" ratio at a historically high level. Technical indicators, such as the RSI, Bollinger Bands, and On Balance Volume, all support the expectation of higher prices for AMAT for the intermediate term.
Applied Materials (AMAT) is an Incredible Growth Stock: 3 Reasons Why
Applied Materials (AMAT) is well positioned to outperform the market, as it exhibits above-average growth in financials.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2 Charts That Show Semiconductor Stocks Are Poised to Drop
The S&amp;P Semiconductors Select Industry Index has topped both price-wise and on a relative basis. That bodes poorly for the sector.</t>
  </si>
  <si>
    <t>Applied Materials</t>
  </si>
  <si>
    <t>Semiconductor Materials &amp; Equipment</t>
  </si>
  <si>
    <t xml:space="preserve">
    Market Cap (intraday) 115.82B
         Enterprise Value 115.38B
             Trailing P/E   18.27
              Forward P/E   17.57
PEG Ratio (5 yr expected)    4.54
        Price/Sales (ttm)    4.43
         Price/Book (mrq)    7.67
 Enterprise Value/Revenue    4.35
  Enterprise Value/EBITDA   14.01</t>
  </si>
  <si>
    <t>Lessons Learned, Southern Company Speeds Up Nuclear Development
Southern's Vogtle units 3 and 4 were delayed and faced material cost overruns. With the first of the two nuclear power plants up and running, the company is using the lessons it learned.
2 Ultra-Safe High-Yield Dividend Stocks to Buy Like There's No Tomorrow
Southern Company and Clorox aren't the most popular dividend stocks out there. However, they have the balance sheets, cash flows, and earnings to support higher payouts.
Southern Company Looks Interesting Yielding Over 4%, Down 19% From Its Highs
Utilities have become less popular due to the high yields offered by risk-free assets like treasuries and CDs. The Southern Company, a top-tier utility, has seen its shares decline but may become more attractive as rates start to decline. SO has a long history of generating dividends and is projected to have significant earnings growth, making it a reasonable investment option.
This Reliable 4%-Yielding Dividend Stock Continues to Add More Power to Grow Its Payout
Southern Company continues to expand its solar energy portfolio. Those projects will produce steady cash flow.
3 Recession-Resistant Stocks to Buy Now
Intuitive Surgical's growth is just beginning. Southern Company is a very safe utility stock with a high yield.
Southern's (SO) Unit Acquires South Cheyenne Solar Facility
Southern's (SO) unit, Southern Power, acquires its 30th solar project, the 150 MW South Cheyenne Solar Facility, showcasing its commitment to renewable energy growth.
Southern Power acquires South Cheyenne Solar Facility
ATLANTA , Sept. 25, 2023 /PRNewswire/ -- Southern Power, a leading U.S. wholesale energy provider and subsidiary of Southern Company, today announced the acquisition of its 30th solar project — the 150-megawatt (MW) South Cheyenne Solar Facility — from Qcells USA Corp. (Qcells USA).
Southern Company's (SO) Subsidiary Acquires Millers Facility
Southern Company's (SO) latest acquisition of the Millers Branch Solar Facility underscores its commitment to advancing renewable energy generation and shaping the future of sustainable power.
Top Wall Street analysts are bullish on these dividend stocks
TipRanks' analyst ranking service pinpoints Wall Street's best-performing stocks, including Chevron and Broadcom.</t>
  </si>
  <si>
    <t>Southern Company</t>
  </si>
  <si>
    <t xml:space="preserve">
    Market Cap (intraday)  70.58B
         Enterprise Value 130.85B
             Trailing P/E   23.03
              Forward P/E   16.13
PEG Ratio (5 yr expected)    3.09
        Price/Sales (ttm)    2.56
         Price/Book (mrq)    2.30
 Enterprise Value/Revenue    4.49
  Enterprise Value/EBITDA   12.58</t>
  </si>
  <si>
    <t>S&amp;P Global Market Intelligence Launches Supplier Risk Indicator™ with Coverage for 12 Million Organizations
Solution brings together S&amp;P Global Market Intelligence credit and location risk data, S&amp;P Global ESG scores developed by S&amp;P Global Sustainable1 and cybersecurity data from SecurityScorecard NEW YORK , Oct. 2, 2023 /PRNewswire/ -- S&amp;P Global Market Intelligence, a provider of information services and solutions to global markets, today announced the launch of Supplier Risk Indicator™, a new solution that offers an integrated view of supplier risk across core risk dimensions. The solution provides a single, comprehensive risk indicator based on three risk dimensions: resilience, conduct and information security.
Buyouts and Shareholder-Friendly Policies Aid S&amp;P Global (SPGI)
S&amp;P Global (SPGI) is poised to grow due to acquisitions, innovation, and strong cash flow. Decreasing liquidity position is a concern.
Kensho Technologies Streamlines Client Data Management by Integrating its Link AI Solution with S&amp;P Global Market Intelligence's Cross Reference Service Dataset, BECRS
Link and BECRS work together to provide precise entity mapping and data enrichment, allowing customers a complete view of their data landscape CAMBRIDGE, Mass. , Oct. 2, 2023 /PRNewswire/ -- Kensho Technologies , a company of S&amp;P Global, today announced a significant enhancement to its Kensho Link solution with the integration of S&amp;P Global Market Intelligence's Business Entity Cross Reference Service (BECRS) dataset.
automotiveMastermind Introduces API for OEMs, Dealer Groups, Digital Retailers &amp; CDPs
New API will standardize how aM's technology integrates with various industry partners NEW YORK , Sept. 28, 2023 /PRNewswire/ -- automotiveMastermind  (aM), part of S&amp;P Global Mobility and the leading provider of predictive analytics and marketing automation solutions for dealerships, has introduced an API that allows OEMs, dealer groups, digital retailers and customer data platforms (CDPs) to integrate with Mastermind, aM's automated sales and marketing platform.
S&amp;P Global Senior Executives Featured on 2023 Heroes Role Model Lists for Advancing Gender Diversity in the Workplace
NEW YORK , Sept. 28, 2023 /PRNewswire/ -- S&amp;P Global today announced that five senior executives have been recognized on the 2023 Heroes Role Model Lists.
Finalists Announced for the 25th Annual Platts Global Energy Awards
Finalists represent 33 different countries from Europe, Asia, and the Americas  Excellence in Energy Conference to focus on "Transforming Innovation into Profitability" on December 6, 2023  - Winners to be announced on December 7, 2023, in New York City at Black-Tie Gala -   NEW YORK , Sept. 27, 2023 /PRNewswire/ -- Companies and individuals from 33 countries have been selected as finalists for the Platts Global Energy Awards program, now in its 25th year as the industry's premier recognition event.
S&amp;P Global Declares Fourth Quarter Dividend
NEW YORK , Sept. 27, 2023 /PRNewswire/ -- The Board of Directors of S&amp;P Global (NYSE: SPGI) has approved a cash dividend on the Corporation's common stock for the fourth quarter of 2023.
S&amp;P Global Mobility: September US auto sales reflect pressures of current market conditions; projection of 1.3 million units
Demand remains static, with current events casting a shadow over potential Q4 momentum SOUTHFIELD, Mich. , Sept. 26, 2023 /PRNewswire/ -- US light vehicle sales in September should remain relatively unchanged from the month-prior result, according to S&amp;P Global Mobility, which projects sales volume of 1.30 million units for the month.
S&amp;P Dow Jones Indices and Cboe Global Markets to Launch the Cboe S&amp;P 500 Dispersion Index
NEW YORK , Sept. 25, 2023 /PRNewswire/ -- S&amp;P Dow Jones Indices (S&amp;P DJI), the world's leading index provider, and Cboe Global Markets, Inc. (Cboe), today announced the upcoming launch of the Cboe S&amp;P 500 Dispersion Index (Dispersion Index or DSPX), the first-of-its-kind to measure the expected dispersion in the S&amp;P 500 Index.
S&amp;P Global Commodity Insights Launches Platts Connect for Energy and Commodity Markets
Platts Connect combines world-class benchmarks, data and insights with increased personalization and advanced technology NEW YORK and LONDON , Sept. 25, 2023 /PRNewswire/ -- S&amp;P Global Commodity Insights today announced the launch of Platts Connect, a new web-based content application that combines the company's world-leading benchmarks, data, and insights in a single, customizable interface for professionals in the energy and commodities markets.
Autonomous Vehicle Reality Check: Widespread Adoption Remains at Least a Decade Away, according to S&amp;P Global Mobility
The era of peak hype has passed, but forecasters still see long-term adoption in certain segments that benefit from today's rise in automated driving technology SOUTHFIELD, Mich. , Sept. 25, 2023 /PRNewswire/ -- A world of self-driving vehicles and mobility-on-demand is likely to exist eventually, but for the next decade, widespread implementation of autonomous technology will not be realized, according to a new forecast from S&amp;P Global Mobility.</t>
  </si>
  <si>
    <t>S&amp;P Global</t>
  </si>
  <si>
    <t xml:space="preserve">
    Market Cap (intraday) 116.27B
         Enterprise Value 126.76B
             Trailing P/E   51.47
              Forward P/E   25.19
PEG Ratio (5 yr expected)    2.10
        Price/Sales (ttm)    9.85
         Price/Book (mrq)    3.28
 Enterprise Value/Revenue   10.51
  Enterprise Value/EBITDA   26.41</t>
  </si>
  <si>
    <t>Don't Miss the Boom: 7 Utilities Stocks Set to Explode Higher
Amid a still-stubbornly high backdrop of inflation, the narrative for utilities stocks to buy stands as a cynical bright spot. Basically, everyone must pay their bills associated with core services.
Tania Ortiz Mena Appointed President of Sempra Infrastructure
HOUSTON , Sept. 27, 2023 /PRNewswire/ -- Sempra Infrastructure, a subsidiary of Sempra (NYSE: SRE) (BMV: SRE), today announced that Tania Ortiz Mena has been appointed president of Sempra Infrastructure.
7 Stocks That Could Soar Following the Fed's Latest Decision
In the wake of the Federal Reserve unveiling its monetary policy roadmap, investors are keenly examining which stocks to buy that stand to benefit. The Fed's depiction was largely positive, though the anticipation of one more rate hike before year-end provides food for thought.</t>
  </si>
  <si>
    <t>Sempra Energy</t>
  </si>
  <si>
    <t xml:space="preserve">
    Market Cap (intraday) 42.81B
         Enterprise Value 73.60B
             Trailing P/E  17.24
              Forward P/E  14.16
PEG Ratio (5 yr expected)    NaN
        Price/Sales (ttm)   2.53
         Price/Book (mrq)   1.59
 Enterprise Value/Revenue   4.28
  Enterprise Value/EBITDA  14.02</t>
  </si>
  <si>
    <t>Constellation Brands likely to provide cheer with frothy 2Q revenue and earnings
Constellation Brands (NYSE:STZ) may have investors raising a glass when it reports quarter earnings ahead of the opening bell on October 5, 2023. The alcoholic beverages maker is expected to report a 7.3% rise in revenue for the quarter to $2.85 billion, according to Zacks Consensus Estimate.
3 Dividend Growth Stocks for Long-Term Returns
Dividend growth investors consider multiple things when buying a stock, such as dividend yields and price-to-earnings (P/E) ratios. These investors should also incorporate a company's future growth potential into their analysis.
Constellation Brands (STZ) Reports Next Week: Wall Street Expects Earnings Growth
Constellation Brands (STZ) doesn't possess the right combination of the two key ingredients for a likely earnings beat in its upcoming report. Get prepared with the key expectations.
Can Constellation (STZ) Beat Q2 Earnings on Segmental Gains?
Constellation Brands' (STZ) Q2 results are expected to reflect continued gains from the strength of the beer business. The company's premiumization efforts look well-placed.
Here are the 12 stocks Jim Cramer is watching, including a dire consumer forecast
Here are some of the tickers on my radar for Thursday, Sept. 28, taken directly from my reporter's notebook.
TASTEMADE DEBUTS BREAKTHROUGH NEW SERIES, STREET SOMM HOSTED BY "WOLF OF WINE" JERMAINE STONE
The on-the-go travel series marks the first streaming show as a part of the multi-year partnership between Tastemade and premium wine and spirits leader, Constellation Brands "Street Somm" follows Wine Expert Stone as he takes viewers on a journey across the country to explore unexpected unions between amazing dishes and high-quality, great tasting wines The series highlights Constellation Brands' leading Wine &amp; Spirits portfolio, including The Prisoner, Blindfold, Kim Crawford, Meiomi, Robert Mondavi Winery, Ruffino, SALDO, Unshackled, and others LOS ANGELES , Sept. 25, 2023 /PRNewswire/ -- Today, modern media company, Tastemade , premieres their newest original series, Street Somm.
Buy 5 Stocks With Upgraded Broker Ratings for Solid Profits
As brokers have a deeper insight into stocks, one must follow rating upgrades for solid returns. We pick Constellation Brands (STZ), Owens Corning (OC), Belden (BDC), Cintas (CTAS) and National Fuel Gas (NFG) as these witness rating upgrades.</t>
  </si>
  <si>
    <t>Constellation Brands</t>
  </si>
  <si>
    <t>Distillers &amp; Vintners</t>
  </si>
  <si>
    <t xml:space="preserve">
    Market Cap (intraday) 46.07B
         Enterprise Value 58.23B
             Trailing P/E 359.38
              Forward P/E  21.19
PEG Ratio (5 yr expected)   2.37
        Price/Sales (ttm)   5.00
         Price/Book (mrq)   5.37
 Enterprise Value/Revenue   6.06
  Enterprise Value/EBITDA  63.71</t>
  </si>
  <si>
    <t>Michael Burry's $1.6 billion bet against stock market is backfiring
In a dramatic return to the financial spotlight, legendary investor Michael Burry, famed for his eerily accurate prediction of the 2008 market crash, seized headlines once more in August.
SPECTRUM BUSINESS IS 'MADE TO WORK' IN NEW NATIONAL BRANDING CAMPAIGN FROM CHARTER
Campaign Highlights Resilience of Small Businesses and how the Company's Connectivity Services Fuel Successful Enterprises STAMFORD, Conn. , Sept. 25, 2023 /PRNewswire/ -- Charter Communications, Inc. today announced the kickoff of "Made to Work" – a new national campaign from Spectrum Business® focusing on how the company's seamless connectivity solutions work together to power small businesses nationwide with reliable Internet, Phone, Mobile and TV.</t>
  </si>
  <si>
    <t>Charter Communications</t>
  </si>
  <si>
    <t>Cable &amp; Satellite</t>
  </si>
  <si>
    <t xml:space="preserve">
    Market Cap (intraday)  65.83B
         Enterprise Value 163.61B
             Trailing P/E   14.77
              Forward P/E   10.74
PEG Ratio (5 yr expected)    0.37
        Price/Sales (ttm)    1.25
         Price/Book (mrq)    6.29
 Enterprise Value/Revenue    3.00
  Enterprise Value/EBITDA    7.93</t>
  </si>
  <si>
    <t>Bend Health Joins Evernorth's Behavioral Health Network, Expanding Access to Pediatric and Teen Mental Health Care
Founded to help address the national state of emergency in children's mental health, Bend Health is now available as an in-network benefit through Evernorth Health Services MADISON, Wis. , Oct. 2, 2023 /PRNewswire/ -- Bend Health, Inc. ("Bend"), a leading national, virtual pediatric behavioral care provider, today announced its coaching, therapy and psychiatry services are available as an in-network benefit through Evernorth Health Services, the pharmacy, care and benefits solutions division of The Cigna Group (NYSE: CI).
Cigna Healthcare Expands 2024 Medicare Advantage Plans Offering Customers More Variety and Value
$0 premium plan offered in every service market, and all plans feature dental, vision, fitness, meals, and enhanced hearing benefits Expanded Medicare Advantage service areas for both Medicare and dual eligible beneficiaries, reaching an additional 2.3 million potential customers Plans available for every lifestyle, including choice of Medicare Advantage plans, Medicare Supplement plans, and standalone Prescription Drug Plans NASHVILLE, Tenn. , Oct. 2, 2023 /PRNewswire/ -- Cigna Healthcare℠ will offer affordable, quality Medicare Advantage (MA) plans across 29 states in 2024.
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Cigna: Buy Rating Driven By Undervaluation And Revenue Growth
Cigna stock gets a Buy rating today. Strengths: dividends, valuation, revenue growth, net income &amp; EPS, share price vs. moving average, capital &amp; liquidity. Offsetting factors:  price performance vs S&amp;P 500.
Cigna Group announces settlement with US on claims it overcharged Medicare Advantage program
Health insurer Cigna Group says it has reached a settlement with the United States over claims it overcharged the government's Medicare Advantage program by making it appear patients were more ill than they actually were.
The Cigna Group Affirms Commitment to Medicare Advantage Customers; Resolves Allegations Related to Industry Risk Adjustment Practices
BLOOMFIELD, Conn. , Sept. 29, 2023 /PRNewswire/ -- Global health company The Cigna Group (NYSE: CI) announced it has fully resolved pending legal matters related to certain past Medicare Advantage risk adjustment practices.
Michael Burry's $1.6 billion bet against stock market is backfiring
In a dramatic return to the financial spotlight, legendary investor Michael Burry, famed for his eerily accurate prediction of the 2008 market crash, seized headlines once more in August.
Cigna Healthcare Takes Action To Fight Food Insecurity Among Seniors
BLOOMFIELD, Conn. , Sept. 25, 2023 /PRNewswire/ -- Cigna Healthcare, the health benefits provider of The Cigna Group (NYSE: CI), is investing $1 million in national and community-based organizations this fall to address food insecurity among older Americans.</t>
  </si>
  <si>
    <t>Cigna</t>
  </si>
  <si>
    <t xml:space="preserve">
    Market Cap (intraday)  84.67B
         Enterprise Value 107.82B
             Trailing P/E   13.10
              Forward P/E   10.11
PEG Ratio (5 yr expected)    0.95
        Price/Sales (ttm)    0.46
         Price/Book (mrq)    1.86
 Enterprise Value/Revenue    0.58
  Enterprise Value/EBITDA     NaN</t>
  </si>
  <si>
    <t>Why Cincinnati Financial (CINF) is a Top Value Stock for the Long-Term
The Zacks Style Scores offers investors a way to easily find top-rated stocks based on their investing style. Here's why you should take advantage.
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3 Growth Stocks to Pick From the Top-Ranked P&amp;C Insurance Space
Given the prospects of the Property and Casualty Insurance industry, CINF, KNSL and SKWD have the potential to generate better returns that other players.
Cincinnati Financial (CINF) is a Top-Ranked Momentum Stock: Should You Buy?
The Zacks Style Scores offers investors a way to easily find top-rated stocks based on their investing style. Here's why you should take advantage.
5 Property &amp; Casualty Insurers to Buy With Improving Pricing
Frequent catastrophes resulting in an accelerated policy renewal rate and upward pricing pressure are likely to boost the performance of Zacks Property and Casualty Insurance industry players like CB, ACGL, CINF, AXS and PRA.
CINF or PGR: Which Is the Better Value Stock Right Now?
Investors with an interest in Insurance - Property and Casualty stocks have likely encountered both Cincinnati Financial (CINF) and Progressive (PGR). But which of these two stocks is more attractive to value investors?</t>
  </si>
  <si>
    <t>Cincinnati Financial</t>
  </si>
  <si>
    <t xml:space="preserve">
    Market Cap (intraday) 16.04B
         Enterprise Value 16.16B
             Trailing P/E  12.02
              Forward P/E  15.75
PEG Ratio (5 yr expected)    NaN
        Price/Sales (ttm)   1.73
         Price/Book (mrq)   1.45
 Enterprise Value/Revenue   1.73
  Enterprise Value/EBITDA    NaN</t>
  </si>
  <si>
    <t>AEP APPOINTS CHARLES E. ZEBULA CHIEF FINANCIAL OFFICER
Company reaffirms 2023 operating earnings guidance range of $5.19 to $5.39 per share, long-term growth rate of 6% to 7% and FFO/Debt target of 14% to 15% COLUMBUS, Ohio , Oct. 2, 2023 /PRNewswire/ -- American Electric Power (Nasdaq: AEP) today announced the appointment of Charles E. Zebula as executive vice president and chief financial officer, effective immediately.
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Don't Miss the Boom: 7 Utilities Stocks Set to Explode Higher
Amid a still-stubbornly high backdrop of inflation, the narrative for utilities stocks to buy stands as a cynical bright spot. Basically, everyone must pay their bills associated with core services.
Worried About a Stock Market Sell-Off? Consider These Dividend Stocks
American Electric Power is a leading electric utility that has a long history of rewarding shareholders. Dominion Energy is riddled with uncertainty but could be a nice turnaround play.</t>
  </si>
  <si>
    <t>American Electric Power</t>
  </si>
  <si>
    <t xml:space="preserve">
    Market Cap (intraday) 38.75B
         Enterprise Value 82.90B
             Trailing P/E  19.59
              Forward P/E  13.44
PEG Ratio (5 yr expected)   2.07
        Price/Sales (ttm)   1.99
         Price/Book (mrq)   1.62
 Enterprise Value/Revenue   4.26
  Enterprise Value/EBITDA  12.41</t>
  </si>
  <si>
    <t>Agree Realty, VICI Properties And Debunking The 'REITs Have High Leverage' Myth
REITs are not overleveraged and have maintained well-structured balance sheets with low leverage ratios. The commercial real estate sector as a whole may face challenges due to maturing debt, but not all companies will struggle. REITs like Agree Realty and VICI Properties are well positioned with strong balance sheets and access to diverse sources of capital.
Canyon Ranch, The Leader In Destination Wellness, Announces Mark Rivers as New Chief Executive Officer
Rivers will lead the brand's expansion strategy and its future of advancing experiential wellness FORT WORTH, Texas , Sept. 27, 2023 /PRNewswire/ -- Canyon Ranch, a pioneer and innovator in destination wellness, announces the appointment of Mark Rivers as its new Chief Executive Officer.
VICI Properties Inc. Announces Release Date for Third Quarter 2023 Results
NEW YORK--(BUSINESS WIRE)--VICI Properties Inc. (NYSE: VICI) (“VICI Properties” or the “Company”) announced today that it will release its third quarter 2023 financial results on Wednesday, October 25, 2023 after the close of trading on the New York Stock Exchange. The Company will host a conference call and audio webcast on Thursday, October 26, 2023 at 10:00 a.m. Eastern Time (ET). Conference Call and Webcast The conference call can be accessed by dialing +1 833-470-1428 (domestic) or +1 929-.
This REIT Myth MUST Be Debunked
The markets reacted negatively to the Federal Reserve's comments on interest rates, causing declines in major stock gauges. The belief that rising interest rates negatively impact REITs is a myth, as REITs offer growth potential and higher total returns compared to bonds. REITs like American Tower, VICI Properties, and Extra Space are attractive investment opportunities with strong fundamentals and potential for future growth.</t>
  </si>
  <si>
    <t>Vici Properties</t>
  </si>
  <si>
    <t xml:space="preserve">
    Market Cap (intraday) 29.49B
         Enterprise Value 46.20B
             Trailing P/E  12.99
              Forward P/E  10.82
PEG Ratio (5 yr expected)    NaN
        Price/Sales (ttm)   8.70
         Price/Book (mrq)   1.24
 Enterprise Value/Revenue  14.01
  Enterprise Value/EBITDA  15.74</t>
  </si>
  <si>
    <t>Oil and Gas Stocks Topped S&amp;P 500 Returns This Quarter as Crude Prices Surged
Oil and gas companies featured heavily in the list of top-performing S&amp;P 500 companies in the third quarter, as rising crude prices lifted the outlook for profits.
9 Stocks Turn $10,000 Into $141,941 In 9 Months
Stocks tanked right on cue in September. But nimble S&amp;P 500 investors are still finding ways to make big money.
Valero: Despite Massive Strength, I'm Considering Selling (Rating Downgrade)
Valero Energy Corporation has experienced significant growth, returning almost 200% excluding dividends since the depths of the pandemic. The refining industry is thriving due to favorable margins and supply-related factors, such as inadequate crude-processing capacity and unexpected outages. Valero's strategic growth and financial discipline, including a sub-0.3x net leverage ratio, indicate a commitment to shareholder returns, but the current risk/reward may warrant selling some shares.</t>
  </si>
  <si>
    <t>Valero Energy</t>
  </si>
  <si>
    <t>Oil &amp; Gas Refining &amp; Marketing</t>
  </si>
  <si>
    <t xml:space="preserve">
    Market Cap (intraday) 50.04B
         Enterprise Value 56.29B
             Trailing P/E   4.88
              Forward P/E  10.09
PEG Ratio (5 yr expected)    NaN
        Price/Sales (ttm)   0.34
         Price/Book (mrq)   1.94
 Enterprise Value/Revenue   0.36
  Enterprise Value/EBITDA   3.15</t>
  </si>
  <si>
    <t>Amazon Prime Video ads bolster its margin case: analysts
Amazon.com Inc (NASDAQ:AMZN)'s insertion of video ads into Prime Video content will unlock substantial revenue at high incremental margins, bolstering the margin bull case, according to UBS analysts.  In an update to clients, they raised their target price on Amazon stock from $175 to $180 per share, while maintaining their ‘Buy' rating, noting the move looks well timed given inflecting budget shifting to Connected TV (CTV) amidst cord cutting.
3 Stocks to Buy Before the Holiday Shopping Boom
The fourth and final quarter of 2023 is upon us and the year-end holidays are fast approaching. That could mean a boost in the sales of many businesses, from retailers to airlines and e-commerce companies.
Amazon (AMZN) Zoox is Set to Establish a Facility in East Bay
Amazon's (AMZN) Zoox gears up to launch a manufacturing facility at Hayward Exchange @ 92, 25810 Clawiter Rd.
Why Amazon Could Have An Advertising Edge Among Streamers
"We think the insertion of video ads into Prime Video content will unlock substantial revs (revenues) at high incremental margins, bolstering the margin bull case.": Analyst
Are Retail-Wholesale Stocks Lagging Amazon.com (AMZN) This Year?
Here is how Amazon (AMZN) and Arcos Dorados (ARCO) have performed compared to their sector so far this year.
3 No-Brainer Stocks to Buy in October
Amazon investors shouldn't fear the FTC lawsuit. CrowdStrike operates in a massive and growing market.
Wall Street Thinks This Top Stock Will Join the $2 Trillion Club Next Year. Time to Buy?
Wall Street sees Amazon gaining 40% over the next year, putting it near the $2 trillion mark. Profitability is improving as it cuts costs and leverages its existing businesses in new ways.
Magnificent Seven tech stocks haven't been this cheap in six years, Goldman Sachs strategists say
The Federal Reserve may be wrong, but at least officials there won't be flying blind now that the government will stay open, keeping the nation's flow of economic data still running. In the early going, there was something of a relief rally, though it quickly evaporated.
Amazon Partners With Anthropic To Develop Reliable Generative AI Models
Generative AI models will allow AWS customers to do things like automate common tasks.
Amazon Stock: The Path to $180
In a bold and strategic move, Amazon.com Inc (AMZN, Financial) plans to begin including advertising on its Prime Video platform starting in early 2024. This announcement signifies a potentially lucrative revenue stream, aiming to not only fund new content to bolster its competitiveness against other streaming giants but also allure a larger subscriber base to Amazon Prime.
4 Super Semiconductor Stocks to Buy for the Artificial Intelligence Boom
Developing AI software wouldn't be possible without powerful semiconductors for data centers. Chipmakers are jostling for position to capture the surging demand for that hardware.
This Stock-Split Stock Has Soared 50%. Is It Still a Buy?
Amazon completed a stock split last year after two years of solid share performance. A difficult economy has weighed on the company in more recent times, even driving it to an annual loss, but Amazon has taken steps to recover.
Now That Amazon Just Raised Prices, Streaming's Set to Get Even More Expensive
Amazon's charging an extra fee to keep Prime Instant Video ad-free starting next year. Streaming costs are increasing while ad prices are declining, putting pressure on profits.
Apple and 4 More Quality Stocks to Buy After the Stock Market Selloff
High-quality names Apple, Amazon, Starbucks, Netflix, and JPMorgan are all in the discount bin after a brutal September. Here's why it's time to buy.
Amazon customers report false email confirmations for gift cards they did not buy
Amazon customer service representatives have been receiving a host of inquiries from worried and confused customers.
This Segment You Didn't Know About Is Amazon's Secret Weapon
Amazon breaks out its financial results into seven categories. One umbrella category combines several of its smaller businesses.
3 Warren Buffett Stocks That Could Rocket at Least 34% Higher, According to Wall Street
GM is making big moves in EVs and AVs, but has yet to get credit for it. Amazon is making changes to ramp up its profitability.
Could Amazon's Antitrust Lawsuit Spell Doom for the Stock?
The FTC and numerous states have filed an antitrust lawsuit against Amazon, alleging it engages in anticompetitive practices. Amazon has already countered, suggesting the regulatory body has a "fundamental misunderstanding of retail.
Got $5,000? These Are 2 of the Best Growth Stocks to Buy Right Now.
As more and more Teslas hit the road, ancillary business segments within the company benefit. Amazon's shares remain cheap by historic standards.
7 S&amp;P 500 Stocks Set to Explode Higher
With a good deal of uncertainty over interest rate hikes and the potential for recession, markets have been far more volatile. However, if some of the uncertainty fades, we could also see a year-end rally, which I strongly believe could happen.
7 ‘Smart Money' Stocks Set to Explode Higher
In the dynamic world of investing, there's always a buzz surrounding “smart money” stocks. This excitement isn't just about fleeting market trends; it's rooted in the savvy market decisions made by individuals with incredible financial acumen.
3 Warren Buffett Stocks Set to Explode Higher
Through his holding company Berkshire Hathaway (NYSE: BRK-A /NYSE: BRK-B ), Warren Buffett runs a massive investment portfolio, currently worth $340 billion. He also holds nearly $150 billion of cash in the portfolio in case, as he likes to say, opportunities arise.
Don't Wait for a Market Crash: These 2 Top Stocks Are On Sale
Amazon's stock hasn't responded to its margin improvements. MercadoLibre has great upside thanks to its low cost of goods.
The FTC Sued Amazon. Should You Sell Amazon Stock Now?
The FTC and 17 states just filed a lawsuit against Amazon. The legal action accuses Amazon of monopolistic behavior in its marketplace business.
The Best Stocks to Invest $5,000 in Right Now
Amazon's outlook continues to look better and better. Enterprise Products Partners offers a fantastic distribution and has a resilient underlying business.
The Score: Ford, Amazon, Target and More Stocks That Defined the Week
Here are some of the major companies whose stocks moved on the week's news.
The Magnificent Seven could be considered the messy seven after a ‘meh' third quarter
The so-called Magnificent Seven lost some luster in the latest quarter, as they proved no longer the big market drivers they were earlier this year.
Amazon's hard-nosed business strategies are under fire by the FTC. They may also be tough to unravel
Even if Amazon does lose the antitrust suit, the importance of its Marketplace could insulate it from serious damage. Earlier this week, the Federal Trade Commission, along with 17 states filed an antitrust lawsuit against Amazon.
Without Amazon, Most Third-Party Sellers Wouldn't Exist
The FTC has a weak hand.
5 Stocks That Have Massive Upside According to Analysts
Analyst ratings are not perfect, but they're one of the better ways for investors to forecast future stock price movement. Here are five stocks that analysts believe have massive upside for patient, long-term investors.
Better Buy: Amazon vs. AMD
Amazon and AMD have rallied investors this year. Amazon has gained Wall Street's support with its recovering retail business and an aggressive expansion in AI.
AI Stocks Cool Off But Amazon, Meta Take Aim At Cloud, Consumer Apps
Amazon and Meta highlight this week's artificial intelligence news but the cooling off of AI stocks such as Nvidia may weigh on investors.
FTC: Here's How to Break Up Amazon
The Federal Trade Commission (FTC) has asked a federal court to force Amazon to sell off some of its assets.
Amazon's Big AI Investment Just Put Microsoft and Alphabet on Notice
Microsoft kickstarted the generative AI revolution with its investment in ChatGPT creator OpenAI, and Google quickly responded with its Bard chatbot. Amazon had been largely left out of the conversation, until now.
Is the Grinch Stealing This Year's Holiday Season Jobs?
United Parcel Service Inc. NYSE: UPS is among logistics companies that are proceeding cautiously this year, in anticipation of a slower holiday season.
What's Really Behind The FTC's Lawsuit Targeting of Amazon?
As an Ivy League law student, Federal Trade Commission chair Lina Khan once wrote that Amazon.com Inc. NASDAQ: AMZN was anti-competitive because its prices were too low.
Amazon Is Investing $4 Billion in a ChatGPT Competitor. Here's Why.
Anthropic wants to be safer than other AI assistants. Amazon is set to invest billions in the company alongside other tech giants.
Here's What Investors Should Know About Amazon's AI Strategy, and Its $4 Billion Anthropic Bet
Amazon just made a $4 billion investment in artificial intelligence (AI) startup Anthropic. The deal bolsters Amazon's rapidly growing AI strategy, which spans hardware and software.
Amazon Stock Fell by 8% Last Week: Is It a Buy?
Amazon is facing multiple near-term headwinds. The company is looking to pounce on new opportunities, too.
2 Magnificent Stocks That I'm "Never" Selling
Making lots of trades is tempting. But often, it comes back to bite us.
Better Buy: Amazon vs Apple
Amazon has a diverse revenue stream that goes beyond e-commerce. Apple is dependent on iPhone sales, but it's the more profitable business.
Better Buy: Amazon Stock vs. Disney Stock
Amazon has made key improvements to its e-commerce business that are driving faster delivery while cutting costs. Disney is still mired in streaming losses and linear network challenges.
Is Amazon About to Get $8 Billion in Free Money?
Amazon spent around $16 billion in video content last year but did not directly monetize it. Its strategy is shifting from prioritizing market share to putting profits first.
If I Could Only Buy 3 Stocks in 2023, I'd Pick These
The number of stocks to choose from could feel overwhelming, but you can narrow down the possibilities by focusing on a couple of key elements. It's important to look at future prospects, the strength of product or service offerings, and potential catalysts ahead.
Amazon dials up AI race with $4B investment
Amazon is pushing deeper into AI with its $4 billion investment in San Francisco-based AI start-up Anthropic, a company specializing in generative AI safety and research capabilities.
Is Amazon Stock Safe? 3 Things Investors Should Know Now After FTC Files Lawsuit
Even a loss in court may not be bad for investors.
Walmart Hopes Third-Party Marketplace Will Snag Holiday Spend From Amazon
With the holiday season on the horizon, retail behemoths such as Walmart and Amazon are preparing to capture the attention and spending of consumers across the globe. Notably, this festive season will witness Walmart placing a heightened focus on its third-party marketplace.
Amazon's stock sports ‘compelling' opportunity after pullback, says analyst
Amazon.com Inc. shares have sold off about 13% from their recent peak closing price. That makes for a “compelling” entry point, according to an Evercore analyst.
AWS Launches Fully Managed Service for AI Applications
Amazon Web Services (AWS) has launched the general availability of Amazon Bedrock, a fully managed service that provides access to foundation models from leading artificial intelligence (AI) companies via a single application programming interface (API). This is one of several generative AI offerings announced by AWS Thursday (Sept.
EU General Court Partially Suspends DSA Rules for Amazon
The European Union (EU) General Court has reportedly partly suspended a European Commission (EC) decision that required Amazon to publish a detailed database of advertisements it receives. The Wednesday (Sept.
Don't Miss the Boom: 3 E-Commerce Stocks Set to Explode Higher
Online retail has grown tremendously over the past decade at the expense of brick-and-mortar retail. With the prolonged lockdowns during the pandemic, this secular shift accelerated.
Here's the surprising state getting a boost from Amazon.com's renewable-energy projects
Retail giant Amazon.com has been committed in recent years to buying electricity produced by utility-sized renewable energy, a key step in offsetting its large carbon-emissions footprint due in part to speedy deliveries. And Amazon's efforts show the Seattle-based global e-tailer sees value in putting energy projects smack in the middle of the U.S.
Amazon wins interim stay on delivering a public ads archive in early challenge to EU's Digital Services Act
Amazon has chalked up an early (partial) win in a court challenge related to the European Union's designation of its ecommerce marketplace as subject to the strictest level of regulation under the bloc's recently rebooted digital rulebook, the Digital Services Act (DSA).
Amazon CodeWhisperer gains an enterprise tier
On the heels of the debut of its Bedrock service for building generative AI apps, Amazon has launched a new enterprise plan for CodeWhisperer, its AI-powered service to generate and suggest code.
Amazon launches its Bedrock generative AI service in general availability
Amazon today announced the general availability of Bedrock, its service that offers a choice of generative AI models from Amazon itself and third-party partners through an API. Bedrock, which was unveiled in early April, allows AWS customers to build apps on top of generative AI models and customize them with their proprietary data.
Amazon's Size Is the Paradoxical Solution to a Big-Fearful Lina Khan
Big is the answer for those who disdain big business.
3 No-Brainer Warren Buffett Stocks to Buy Right Now
Amazon dominates in multiple fast-growing industries. American Express targets wealthier consumers with its popular cards.
You Can't Control Recessions, but You Can Control What You Do About It
Keep your head on straight to avoid making bad decisions with your investments. Avoid margin, and continually add new funds.
Amazon wins court backing for now against EU tech rules' ad clause
Amazon has won court backing for now in its fight against EU tech rules that label it as a very large online platform (VLOP) required to provide researchers and authorities access to its ad repositories to see how ads are targeted.
Amazon Teams With Shift4 to Expand ‘Just Walk Out' Payments
Amazon has teamed with Shift4 to widen the use of its “Just Walk Out” payment technology. The partnership, announced Thursday (Sept.
5 takeaways from America's landmark lawsuit against Amazon
An antitrust lawsuit from 17 states and the Federal Trade Commission this week against Amazon represents the US government's biggest regulatory challenge yet against the e-commerce juggernaut.
Is It Too Late to Buy Amazon Stock?
Amazon's business is on a growth path thanks to a recovering retail segment and aggressive expansions into artificial intelligence. However, its stock remains down 30% from a pandemic-fueled high it achieved in July 2021.
2 Top Growth Stocks Up 50% and 10% to Buy Whether a 2023 Bull Market Happens or Not
Many investors are hoping that the stock market is at an inflection point. Amazon is recovering from the doldrums of macroeconomic woes and is raking in cash and profits once more.
2 Ultra-Growth Stocks That Are Leading the Market Recovery
Investors are favoring growth stocks as the market moves closer to bull territory. Amazon and Tesla are leaders in high-growth industries, so they may benefit from an investing environment that favors expansion.
Amazon's Anthropic Investment Shows Who the Real Winners in AI Are
Amazon is forming a strategic partnership with Anthropic AI, a generative AI start-up. Anthropic will use AWS and Amazon chips and allow Amazon engineers to use its technology.
In Suing Amazon, FTC's Lina Khan Turns Her Earlier Pricing Argument on Its Head
The government's antitrust lawsuit is a more streamlined complaint that leaves out some allegations from the FTC chair's famous law-school paper.
Is Amazon Stock a Buy Now?
Amazon will begin showing ads on Prime Video. It's also making a splash by investing billions in an AI start-up.
INVESTIGATION ALERT: The Schall Law Firm Announces it is Investigating Claims Against Amazon.com, Inc. and Encourages Investors with Losses to Contact the Firm
LOS ANGELES, CA / ACCESSWIRE / September 28, 2023 / The Schall Law Firm, a national shareholder rights litigation firm, announces that it is investigating claims on behalf of investors of Amazon.com, Inc. ("Amazon" or "the Company") (NASDAQ:AMZN) for violations of the securities laws. The investigation focuses on whether the Company issued false and/or misleading statements and/or failed to disclose information pertinent to investors.
Judge assigned to US antitrust case against Amazon recuses himself
The judge assigned to the US Federal Trade Commission's antitrust lawsuit against Amazon.com has recused himself from the case, according to a court document filed on Wednesday.
Don't Miss the Boom: 7 Large-Cap Stocks Set to Explode Higher
Wall Street has been very upset about the results of the Federal Reserve meeting earlier this month. However, there are still many reasons to be optimistic about U.S. stocks — especially safer large-cap stocks — going forward.
Buy This, Not That: 2 AI Stocks to Own, 1 to Avoid
The AI economy is changing quickly. So quickly in fact, that investors are having a hard time deciphering which Ai stocks are fascinating and which may be fads?
Amazon (AMZN) Flat As Market Gains: What You Should Know
Amazon (AMZN) closed at $125.98 in the latest trading session, marking no change from the prior day.
Amazon's huge investment in AI startup Anthropic positions it to one day rival OpenAI
Amazon.com Inc's (NASDAQ:AMZN) $4 billion acquisition of a minority stake in the artificial intelligence firm Anthropic is a telling sign of the ecommerce giant's AI ambitions.  Anthropic, founded around two years ago by former OpenAI research executives, recently unveiled an AI chatbot called Claude 2 which is aimed at rivaling ChatGPT.
"The Great Reshuffle": 3 Winning Technologies
Due to the labor market's "Great Reshuffle", the workforce has changed dramatically in just a few years. However, where there's change, there's opportunity.
Amazon: 9 Reasons I Am Buying The FTC Pullback
Amazon.com's brush with the FTC is to be taken seriously. However, the market may have already overreacted here, coupled with recent market weaknesses. I present 9 reasons why I am adding to my position here.
Amazon (AMZN) Boosts Generative AI Efforts With Anthropic Deal
Amazon (AMZN) is set to acquire a minority stake in Anthropic by investing $4 billion. Anthropic picks AWS as the primary cloud provider.
Panos Panay, Godfather of the Surface, Leaves Microsoft for Amazon
He'll head up the devices and services team at the retail giant.
Amazon antitrust lawsuit: Here's how US regulators break up other monopoly powers
U.S. antitrust regulators on Tuesday filed a lawsuit against Amazon.com accusing the online retailer of harming consumers with higher prices, the latest in a long history of tough action against monopolies that can be traced back to the breakup of Standard Oil.
INVESTOR ACTION NOTICE: The Schall Law Firm Announces it is Investigating Claims Against Amazon.com, Inc. and Encourages Investors with Losses to Contact the Firm
LOS ANGELES, CA / ACCESSWIRE / September 27, 2023 / The Schall Law Firm, a national shareholder rights litigation firm, announces that it is investigating claims on behalf of investors of Amazon.com, Inc. ("Amazon" or "the Company") (NASDAQ:AMZN) for violations of the securities laws. The investigation focuses on whether the Company issued false and/or misleading statements and/or failed to disclose information pertinent to investors.
Amazon's and Google's stocks could be a ‘win-win' even if both companies face government-ordered breakups
Today is Google's 25th birthday. Today is also a day when investors are reacting to a lawsuit by the Federal Trade Commission and 17 states against Amazon.com Inc., accusing the company of “illegally maintaining monopoly power.
FTC Vs Amazon: Consumer Brands Think Lina Khan's Case “Misses The Point”
Many brands who sell on the marketplace feel like the legal case is focused on issues that are peripheral to the real challenges of doing business with Amazon.
FTC's case against Amazon is stronger than expected but still faces uphill battle
The Federal Trade Commission's antitrust lawsuit against e-commerce giant Amazon.com Inc. looks to be stronger than expected, but it will still be a tough slog.
Amazon hires former Microsoft product chief to oversee devices unit
Panay is joining Amazon at a precarious moment for its devices and services unit, which was hit with layoffs as part of the largest job cuts in company history.
Ex-Microsoft exec Panos Panay will head Amazon's Devices business
Microsoft alum Panos Panay has been tapped to lead Amazon's Devices &amp; Services (D&amp;S) business, the e-commerce giant confirmed today. Panay was previously with Microsoft for over 19 years, most recently serving as its EVP and Chief Product Officer, leading the Windows + Devices division.
Here's Why I'm Buying More Amazon Stock Despite the FTC Lawsuit
The FTC sues Amazon for illegally maintaining a monopoly. I believe the claims are laughable.
The 12 Best Stocks to Buy Now
Our list of the best stocks to buy now reflect the lesson of the past few years: Be ready for anything.
Amazon lawsuit protects 'free and fair competition,' says FTC Chair Lina Khan
FTC Chair Lina Khan defended the agency's decision to pursue the company in an interview with CNBC's "Squawk Box."
Microsoft May Win Big With OpenAI Valuation. Amazon's Rivian Record Shows the Risk.
OpenAI, the developer of ChatGPT, is in talks over a share sale that would value it between $80 billion and $90 billion, The Wall Street Journal reported.
Amazon Antirust Lawsuit: What Would a Potential Split Mean for AMZN Stock
The Federal Trade Commission (FTC) and 17 states have sued Amazon (NASDAQ: AMZN ) over antitrust issues. Specifically, the lawsuit contends that Amazon uses various methods to unfairly undermine its competitors.
Amazon Prepares for FTC Fight. A Breakup Might Not Be the Worst Outcome.
Retail and cloud firm Amazon faces a lawsuit from the Federal Trade Commission, which has suffered a series of recent high-profile defeats.
Amazon's Own Track Record Undercuts the FTC's Case
Thin profit margins and growing competition don't support monopolist charge.
3 Cheap Tech Stocks to Buy Right Now
CrowdStrike's cybersecurity offering is rapidly expanding. UiPath's AI integration is a game changer.
Amazon Stock: Bear vs. Bull
Because of its sheer dominance, Amazon is always going to draw the attention of regulators. But the e-commerce titan's valuation is reasonable, and it could be a leader in AI.
Big Tech Titans Feel the Chill as AI Stocks Slide
You only need to look at the one-month decline in AI chip powerhouse Nvidia Corp. NASDAQ: NVDA to understand that something has changed. Is Nvidia's pullback a sign that the AI rally that fueled big tech sector gains is taking a breather as interest rates rise?
2 Stocks to Buy in an Unstoppable Industry
Cloud computing will benefit from the rise of AI. Amazon's AWS will return to growth mode when the economic outlook brightens.
Bear attack looms for Amazon stock; Should you avoid trading AMZN?
In 2023, Amazon (NASDAQ: AMZN) experienced a remarkable surge, riding the wave of the artificial intelligence (AI) frenzy, which propelled the e-commerce and cloud computing titan to record-breaking quarterly profits.
1 Green Flag for Amazon in 2023, and 1 Red Flag
Amazon's stock is up 52% year to date. The company is on a promising financial path after slashing the unprofitable areas of its business.
Lina Khan vs. Jeff Bezos: This Is Big Tech's Real Cage Match
The chair of the Federal Trade Commission wants to disrupt Amazon, whose founder built a trillion-dollar firm by disrupting retail.
Amazon hit by FTC lawsuit accusing it of blocking competition, using coercive tactics
Amazon.com Inc (NASDAQ:AMZN) has been accused of operating a monopoly in a lawsuit filed by the US Federal Trade Commission and 17 US states, which the company said "would lead to higher prices and slower deliveries for consumers". The FTC and 17 attorneys general filed a complaint alleging that the online retailer founded by Jeff Bezos illegally monopolizes online shopping, lowering quality and hiking prices for consumers.
Most of S&amp;P 500's Gains Driven by 7 Firms, Others Up Less than 5% YTD
The S&amp;P 500 – the stock market index that tracks the performance of the largest US-listed 500 companies – is up around 12.5% in 2023, marking a significant rebound from the 2022 lows. Although this performance is impressive, a recent analysis by stock market strategists pointed to certain risks associated with the rally.
A threat to Amazon and a test of the FTC: is this big tech's antitrust reckoning?
At the core of the case is whether the company used its position to disadvantage rivals and the power of the agency to rein in tech firms
Which of the Magnificent 7 Stocks Is the Best Buy Right Now?
With bumpy markets, investors may want to consider safer stocks, especially those that can withstand any market conditions. That includes the following Magnificent 7 stocks, which investors may want to consider buying today.
Could a break-up of Amazon be good for the stock? Analysts weigh in after FTC lawsuit.
Shares of Amazon.com Inc. took a hit on Tuesday following the Federal Trade Commission's antitrust suit against the online retail giant. But one analyst downplayed the potential risk — even on the off chance that the company gets broken up.
Should Amazon Shareholders Worry About the FTC's Monopoly Lawsuit?
Stock markets fell sharply on Tuesday. The Federal Trade Commission sued Amazon, alleging anticompetitive, monopolistic practices.
Cramer says Amazon and Google stocks are still buys, despite antitrust lawsuits
CNBC's Jim Cramer on Thursday shared his opinions on two antitrust lawsuits involving tech giants Amazon and Alphabet-owned Google.
Merchants want lower fees, need Amazon's ads as US FTC files suit
Merchants who sell on Amazon.com want the online retailer to cut back on fees while some also worry the U.S. Federal Trade Commission's lawsuit filed on Tuesday could hit its advertising business, harming their ability to reach potential shoppers.
Don't Miss the Boom: 3 Cloud Computing Stocks Set to Explode Higher
In the bustling realm of technology, cloud computing shines brilliantly. So, Astute investors are actively scouting cloud computing stocks to buy, fueled by some enticing forecasts.
Here Are the 2 Tactics Amazon Used to Undermine Competition, the F.T.C. Says
In a lawsuit filed on Tuesday, the Federal Trade Commission said the internet giant used its monopoly power to stifle competition and raise prices.
Don't Miss the Boom: 3 Growth Stocks Set to Explode Higher
Growth stocks aren't going anywhere. While markets might be trending lower, the major growth stocks that have outperformed in recent years continue to move fast.
Amazon Sued by FTC and 17 States Over Alleged Monopoly Power
Amazon denies that it's driving up prices for buyers and sellers in its store.
For Amazon's Andy Jassy, a Cleanup Job Just Got a Lot Bigger
The F.T.C. accused the internet giant of protecting an online retail monopoly and forcing higher prices onto consumers.
FTC Brings Antitrust Case Against Amazon
The Federal Trade Commission (FTC) along with 17 states on Tuesday sued Amazon (AMZN), alleging it uses illegal monopolistic power to stifle competition and keep prices high, to the detriment of customers and sellers.
Amazon stock falls as the US government sues the online retail giant in a landmark monopoly case
Amazon stock dropped about more than 3% Tuesday after the US government sued the retail giant. The Federal Trade Commission sued Amazon over anticompetitive business practices.
FTC targets alleged secret Amazon pricing algorithm ‘Project Nessie' in antitrust complaint
The Federal Trade Commission's antitrust lawsuit against Amazon alleges, for the first time publicly, that the company used a secret pricing algorithm known internally as “Project Nessie” to compete unfairly in the e-commerce market.
FTC and 17 states sue Amazon for antitrust, accuse it of being a monopoly
The FTC was joined by attorneys' general of New York, Connecticut, Pennsylvania, Delaware, Maine, Maryland, Massachusetts, Michigan
Don't Miss the Boom: 7 AI Stocks Set to Explode Higher
Amidst the ever-shifting landscape of technology, artificial intelligence (AI) has been one of the biggest catalysts for the tech sphere in 2023. Even as the fanfare subsides, AI's stronghold remains undeniable, especially when eyeing the Nasdaq impressive 35% surge this year, fueled predominantly by AI tailwinds.
Amazon Sued By FTC, 17 States Over Alleged Retail Monopoly
The Federal Trade Commission and 17 states have filed an antitrust lawsuit against Amazon, alleging that the tech retailer has used illegal tactics in pursuit of a retail monopoly. The commission cited what it called an “ongoing pattern of illegal conduct.
FTC Suit Accuses Amazon of Running Illegal Monopoly
The Federal Trade Commission (FTC) has sued Amazon, charging the retail giant with “illegally [maintaining] its monopoly power.” The antitrust lawsuit, filed Tuesday (Sept.
Amazon just got sued by the FTC in one of the biggest legal challenges it has ever faced
The lawsuit is the result of a yearslong investigation into Amazon's businesses. Amazon is being sued by U.S. regulators and 17 states over allegations that the company abuses its position in the marketplace to inflate prices on other platforms, overcharge sellers, and stifle competition.
Amazon sued by FTC, 17 states for allegedly inflating online prices, overcharging sellers
The FTC and 17 state attorney generals filed an antitrust lawsuit against Amazon -- the latest government attempt at breaking Big Tech's dominance of the internet.
US says Amazon running illegal monopoly in online retail
A top US antitrust regulator sued Amazon on Tuesday, accusing the online retail behemoth of running an illegal monopoly by stifling potential rivals.
Why Amazon Stock Is Pulling Back Today
The FTC filed a lawsuit against Amazon on antitrust grounds. The macroeconomic climate seems to be worsening for discretionary retailers like Amazon.
Amazon Hit With FTC Lawsuit Alleging Illegal Monopoly
The Federal Trade Commission sued Amazon, alleging the tech giant uses its market power to inflate prices and overcharge competitors.
Amazon (AMZN) Set to Roll Out Ad-Supported Prime Video in 2024
Amazon (AMZN) to introduce ads on Prime Video and a higher-priced ad-free tier of Prime Video next year.
Feds File Landmark Suit Against Amazon For Protecting Online Retail Monopoly
The FTC has sued a range of big tech companies in recent years, but its new lawsuit accusing Amazon of being a “monopolist” was among the agency's most hotly anticipated moves.
The FTC just hit Amazon with a major antitrust lawsuit
The Federal Trade Commission made its big move against online shopping giant Amazon on Tuesday, accusing the company of illegally stifling competition on its way to becoming a ubiquitous retail presence and one of the world's most valuable companies.
FTC teams up with 17 states to sue Amazon
Amazon.com Inc is in focus today after the FTC along with 17 states filed an antitrust lawsuit against the tech behemoth. The Federal Trade Commission and the attorney generals of the respective states accused the multinational in their complaint of using its monopoly to undermine competition.
Amazon Sued by FTC Over Alleged Competitive Monopoly
The FTC alleges that e-commerce titan 'engages in a course of exclusionary conduct that prevents current competitors from growing and new competitors from emerging.'
FTC and 17 US states accuse Amazon of using its power to inflate prices
Lawsuit is result of years-long investigation and one of the most significant legal challenges brought against the company
Amazon sued by FTC, which charges that company is ‘exploiting its monopoly power'
The Federal Trade Commission filed an antitrust lawsuit against Amazon.com Inc. Tuesday, making for the highest-profile case yet in the agency's attempt to rein in Big Tech.
US government and 17 states sue Amazon in landmark monopoly case
The US government and 17 states are suing Amazon in a landmark monopoly case reflecting years of allegations that the e-commerce giant abused its economic dominance and harmed fair competition.
FTC and 17 states sue Amazon on antitrust charges
The lawsuit is a major milestone for FTC Chair Lina Khan, who rose to prominence for her 2017 Yale Law Journal note, "Amazon's Antitrust Paradox."
U.S. sues Amazon.com for breaking antitrust law and harming consumers
The U.S. Federal Trade Commission filed a long-awaited antitrust lawsuit against Amazon.com on Tuesday, charging the online retailer with harming consumers with higher prices in the latest U.S. government legal action aimed at breaking Big Tech's dominance of the internet.
U.S. Accuses Amazon of Illegally Protecting Monopoly in Online Retail
The Federal Trade Commission and 17 states said they filed a lawsuit against Amazon for “illegal conduct” in its online store and services to merchants, which stifled competition.
Amazon (AMZN) Strengthens eero Portfolio With Latest Launch
Amazon (AMZN) adds to the eero family with the launch of the eero Max 7, enabling smart home connectivity.
SpaceX's Newest Space Rival: Amazon
Longtime Amazon.com executive Dave Limp is taking over as CEO Blue Origin, a space company founded by Jeff Bezos.
Q&amp;A: Why Amazon's online marketplace drew FTC scrutiny
Amazon.com Inc. and Lina Khan have a fraught history. Khan made her name as a law student in 2017 with an article in The Yale Law Journal that made an example of Amazon to argue for a broad re-imagining of U.S. antitrust law.
Is It Too Late to Buy These 2 Stock-Split Stocks?
Stock splits or not, it's most important to pay attention to a company's fundamentals. Amazon is focusing more on cost-cutting now as its huge size hampers growth.
Sam Altman May Be the Top Dog in AI, but Amazon Is Betting $4 Billion on This Up-and-Coming AI Power Duo
Amazon will invest up to $4 billion in AI start-up Anthropic. The partnership aims to help Amazon's cloud-computing platform keep up with that of Microsoft.
AI Race Accelerates with Amazon's Investment In Anthropic
Although Amazon has been using AI technologies for applications such as personalized recommendations, transcription of text and other analysis of customer and business data, the Anthropic investment signals that the company is entering the AI fray with other big techs like Alphabet Inc. NASDAQ: GOOGL and Microsoft Corp. NASDAQ: MSFT.
ChatGPT picks 2 stocks to buy and hold forever
When it comes to investing, seasoned veterans are known for a strategic preference: embracing stalwart giants of the stock market. These established titans have built a reputation for unwavering returns and resilience, especially in tumultuous financial climates.
Amazon Just Gave Investors Yet Another Reason to Buy Its Stock Hand Over Fist
Amazon plans to include advertising on Prime Video beginning in early 2024. This move will help fund new content that could ultimately help attract more subscribers to Amazon Prime.
Is Amazon Stock a Buy After Its Recently Announced AI Investment?
Amazon plans to invest up to $4 billion into Anthropic.
Amazon's Shares Gain as $4B Deal With AI Firm Anthropic Announced
E-commerce and cloud computing giant Amazon is set to inject $4 billion into Anthropic, an artificial intelligence (AI) startup founded by former OpenAI members.
As Amazon Prime Video adds commercials, here's how streaming services match up on pricing
Amazon AMZN, +1.67% will soon become the latest company to charge streaming subscribers extra to avoid commercials. Beginning early next year in the U.S., U.K., Germany and Canada, Prime Video accounts will include some ads — unless customers pay an extra $2.99 a month to avoid them.
Amazon delivery drivers reportedly consider future after UPS deal with Teamsters
Some Amazon drivers are reportedly pondering their futures making deliveries for the e-commerce giant after UPS and the Teamsters union came to an agreement.
What you need to know about Anthropic, the AI startup Amazon will invest up to $4 billion in
The deal shows that Big Tech can't always duplicate cutting-edge AI large language models on its own. In a major development in the AI arms race, Amazon announced this morning that it has committed to paying $1.25 billion to take a minority stake in Anthropic, a developer of generative AI models similar to those that power OpenAI's ChatGPT.
Amazon's stock rallies toward its first gain in 8 sessions
Shares of Amazon.com Inc. AMZN, +1.87% rose 1.9% in afternoon trading Monday, to put them on track for their first gain in eight sessions. The bounce comes after the ecommerce and cloud giant announced a $4 billion investment in generative artificial intelligence company Anthropic.
Amazon Bets Big (Up to $4 Billion Big) on Generative AI in Deal With Anthropic
The partnership is the latest way the retail giant is investing in AI.
Amazon (AMZN) Expands Fire TV Portfolio With New Devices
Amazon (AMZN) introduces the all-new Fire TV Stick 4K Max, Fire TV Stick 4K, Fire TV Soundbar and the generative AI voice search feature.
Target, Amazon lead holiday hiring spree: Here's the full list
Major retailers already started gearing up for the holiday season by announcing hiring plans. The companies are trying to ensure there is a robust workforce to handle the rush.
AI land grabbing begins as Microsoft, Google and Amazon up stakes
It's closing in on a year since AI was catapulted into the mainstream through the launch of OpenAI's ChatGPT, with investors witnessing first-hand the financial gains that can be made through building a stake in some of these trailblazing businesses. For retail investors, cashing in on the success of chatbots, machine learning and all things AI is nearly impossible.
Amazon ramps up AI competition with a big investment in Anthropic
Amazon.com Inc (NASDAQ: AMZN) continues to deliver on its commitment to expanding its footprint in artificial intelligence. Amazon forms a strategic alliance with Anthropic On Monday, the tech behemoth revealed plans of investing $4.0 billion in Anthropic – an AI startup based out of San Francisco, California.
Amazon's Anthropic Investment Highlights Big Tech's Big Plans for AI
Amazon is taking the safe route when it comes to generative artificial intelligence (AI). The Seattle-based tech giant on Monday (Sept.
Amazon Accelerates Heated AI Race With Up to $4 Billion Investment in Startup Anthropic
Amazon (AMZN) will invest up to $4 billion in artificial intelligence firm Anthropic to aggressively compete with Microsoft-backed ChatGPT and Google's Bard.
AMZN Stock Alert: What to Know About Amazon's $4 Billion Bet on AI Firm Anthropic
Amazon (NASDAQ: AMZN ) stock is up Monday as the e-commerce giant gears up for the artificial intelligence ( AI ) race with a massive $4 billion investment. Amazon is investing this money in Anthropic, which is a rival of OpenSea's ChatGPT.
Amazon.com, Inc. (AMZN) is Attracting Investor Attention: Here is What You Should Know
Amazon (AMZN) has received quite a bit of attention from Zacks.com users lately. Therefore, it is wise to be aware of the facts that can impact the stock's prospects.
Amazon.com Stock Pops on AI Startup Investment
Amazon.com, Inc.  ( NASDAQ:AMZN) is dipping its toes in the artificial intelligence (AI) industry.
Amazon's Streaming Step Is A Big Warning For Competition
Amazon has announced that it will include advertisements for Prime Video from early 2024 and members looking for ad-free option will have to pay an extra $2.99 per month. This initiative will help the company report faster growth in its subscription and advertisement segments, both of which are at close to $40 billion annualized revenue rate. Amazon's Prime membership has a significantly lower churn rate compared to other streaming players which should help the company improve monetization.
AI Race Heats Up: Amazon Investing Up To $4 Billion In OpenAI Rival
Amazon stock was rising Monday after the company said it will invest $4 billion in artificial intelligence startup Anthropic
Amazon invests $4 billion in Anthropic AI in exchange for minority stake and further AWS integration
Amazon said on Monday that it's investing $4 billion into the artificial intelligence company Anthropic in exchange for partial ownership and Anthropic's greater use of Amazon Web Services (AWS), the e-commerce giant's cloud computing platform.
Amazon to invest as much as $4 billion in ChatGPT rival AI startup
As part of the investment, Amazon will get a minority position in Anthropic, and Amazon Web Services users will gain access to the startup's latest AI-powered language model, Claude.
Amazon to Invest Up to $4 Billion in A.I. Start-up Anthropic
Tech giants have been partnering with up-and-coming A.I. start-ups, like Microsoft backing OpenAI, but Amazon has not been as active as rivals until now.
4 Retail Areas Set to Win in 2023 Holiday Season: Stock Picks
While expected retail sales for the upcoming holiday season bode well, a few areas are likely to be prominent winners, helping stocks like Amazon.com (AMZN), BJ's Restaurants (BJRI), GameStop (GME) and Ross Stores (ROST).
4 Must-Buy Retail Stocks Ahead of the Holiday Season
Retail sales are growing and the holiday season would further boost sales, helping stocks like Walmart Inc. (WMT), Amazon.com (AMZN), American Eagle Outfitters (AEO) and Urban Outfitters (URBN).
Amazon to invest up to $4bn in OpenAI rival Anthropic
Tech company plays catchup after Microsoft's deal with ChatGPT developer in January
These Are The 12 Stocks Driving The S&amp;P 500 Higher In 2023
The S&amp;P 500 is up 12.5% so far in 2023, even with the market correction. But an equal-weight ETF is up just 1%.
Amazon spreads its AI bets with $4 billion investment into OpenAI rival Anthropic
Amazon plans to invest $4 billion in AI startup Anthropic, the firm announced Monday. Anthropic is a competitor to OpenAI and is best known for its large language model Claude.
Amazon bets $4 billion on Anthropic's Claude, the chatbot platform rivaling ChatGPT and Google's Bard
Amazon said Monday it will invest up to $4 billion in Anthropic, the company that has built a powerful chatbot called Claude. Claude had emerged as one of the leading competitors against Open AI's ChatGPT and Google's Bard, in the race to dominate generative AI.
Amazon Buys Into AI, Writers Strike, $100 Oil
If you can not be first on board, at least catch the train before it leaves the station.
Amazon pours up to $4B into AI startup Anthropic, escalating rivalry with Microsoft and Google
Amazon will invest up to $4 billion and take a minority stake in Anthropic, the San Francisco-based artificial intelligence company founded two years ago by former OpenAI executives and considered one of the world's top AI labs.
Amazon Boosts AI Focus With $4 Billion Anthropic Investment
Amazon plans to invest up to $4 billion in artificial intelligence (AI) firm Anthropic. The investment, announced Monday (Sept.
Amazon to invest up to $4 billion in AI startup Anthropic and become minority shareholder
Amazon.com Inc. said Monday it will invest up to $4 billion in AI startup Anthropic and take a minority stake in the company in a move aimed at accelerating the development of its future foundation models and making them accessible to customers of its cloud business, AWS.
S&amp;P 500 is up 13% in 2023; Which stocks are growth drivers?
After weathering a tumultuous 2022 marred by record-high inflation and a hawkish stance from Federal Reserve policymakers, the US stock market has undergone a remarkable turnaround in 2023.
Amazon pays behemoth sum for chunk of AI startup Anthropic
Amazon.com Inc (NASDAQ:AMZN) is diving into the artificial intelligence (AI) landscape with a US$4 billion investment in Anthropic, the AI firm, in order to acquire a minority ownership stake in the machine learning organisation. Highlighting Amazon's growing focus on AI and its determination to stay competitive against industry giants like Microsoft and Google, the group's web services division will also be used to provide Anthropic with cloud storage.
A Bull Market Could Be Here: 3 Reasons to Buy Amazon Stock
Amazon shares already have climbed in the double digits this year, but they still have what it takes to rise over the long term. A bull market, which favors growth, could be the perfect environment for Amazon.
Amazon to Invest Up to $4 Billion in Anthropic as AI Race Heats Up
Amazon's cloud customers will get early access to Anthropic's technology through Amazon Bedrock, the company's generative AI platform for businesses.
AI predicts Amazon stock price for October 1, 2023
On Monday, September 25, the e-commerce behemoth Amazon (NASDAQ: AMZN) made a strategic announcement, revealing its commitment to invest a substantial sum of up to $4 billion in Anthropic, a noteworthy player in the realm of artificial intelligence(AI). Anthropic, often regarded as a formidable competitor to OpenAI, the creators of ChatGPT, are now poised to have Amazon as a minority stakeholder.
Which High-Profile Stock-Split Stock Is the Cheapest? Get Ready to Be Shocked
Investors have flocked to stocks enacting splits over the past two years. Although the price-to-earnings (P/E) ratio is the most-popular valuation tool, price-to-cash-flow is a more accurate measure of value for high-growth companies -- especially those enacting splits.
Amazon steps up AI race with $4 bn Anthropic investment
Amazon said on Monday it would invest up to $4 billion in AI firm Anthropic, as the online retail giant steps into an AI race dominated by Microsoft, Google and OpenAI.
Amazon Plans To Invest Up To $4 Billion In AI Startup Anthropic
Anthropic will use Amazon Web Services as its primary cloud provider, while the tech giant will integrate the AI startup's tech into its products and services.
Amazon to invest up to $4 billion in Anthropic, a rival to ChatGPT developer OpenAI
E-commerce giant Amazon on Monday said it will invest up to $4 billion in Anthropic and take a minority ownership position in the company.
Amazon to invest up to $4 billion in AI startup Anthropic
Amazon said Monday it has agreed to invest up to $4 billion in AI startup Anthropic as the e-commerce group steps up rivalry against Microsoft, Meta, Google and Nvidia in the fast-growing red hot sector that many technologists believe could be the next great frontier. The e-commerce group said it will initially invest $1.
Amazon and Anthropic Announce Strategic Collaboration to Advance Generative AI
SEATTLE--(BUSINESS WIRE)--Amazon (NASDAQ: AMZN) and Anthropic today announced a strategic collaboration that will bring together their respective industry-leading technology and expertise in safer generative artificial intelligence (AI) to accelerate the development of Anthropic's future foundation models and make them widely accessible to AWS customers. As part of the expanded collaboration: Anthropic will use AWS Trainium and Inferentia chips to build, train, and deploy its future foundation.
Walmart+ Has Shed Its Rewards. Is That Good For Amazon Prime?
Nearly 90% of Walmart+ members also pay for Amazon Prime. Is it sustainable?
Amazon's Advertising Business Is Booming, Soon Rival Google And Meta
Amazon's advertising business is growing to become a formidable competitor to rivals like Google and Meta. Amazon offers a range of advertising options, leveraging its e-commerce platform and extensive customer data for targeted ads. Amazon's advertising business is growing rapidly, with revenue reaching $10.7 billion in Q2 2023, surpassing Google's retail advertising business.
Amazon Tests Prime Member Loyalty With Streaming Ad Push
Amazon will begin showing ads within its Prime Video streaming service next year. Prime members can opt out of ads by paying an additional $2.99 monthly fee.
2 Spectacular AI Growth Stocks Down 27.5% and 44% to Buy Now and Hold Forever
Amazon's growth prospects are enhanced by artificial intelligence.  CrowdStrike is positioned to benefit from AI-driven changes in the cybersecurity market.
3 Warren Buffett Stocks to See Skyrocketing AI Growth
AI's potential in business operations isn't confined to tech giants; traditional industries are also poised to benefit. AI isn't just about user-facing platforms, but also the backend software and specialized hardware.
Nvidia, Amazon, and Alphabet Announced 3 Key Artificial Intelligence (AI) Developments Last Week You May Have Missed
Amazon is giving Alexa a generative AI upgrade. Google has integrated generative AI tools into many of its most popular products.
3 E-Commerce Stocks You Can Buy and Hold for the Next Decade
Amazon can continue to grow despite its massive size. Investors should not ignore MercadoLibre's synergies.
You Don't Have to Pick a Winner in E-Commerce. Here's Why
By popularizing online shopping, Amazon has become a behemoth in the industry. Shopify provides valuable tech infrastructure that enables merchants of all sizes to set up shops online.</t>
  </si>
  <si>
    <t>Amazon</t>
  </si>
  <si>
    <t xml:space="preserve">
    Market Cap (intraday)  1.31T
         Enterprise Value  1.39T
             Trailing P/E 100.89
              Forward P/E  40.49
PEG Ratio (5 yr expected)   2.53
        Price/Sales (ttm)   2.43
         Price/Book (mrq)   7.78
 Enterprise Value/Revenue   2.58
  Enterprise Value/EBITDA  22.23</t>
  </si>
  <si>
    <t>Like A Smart Kid In A REIT Candy Store
REITs are currently trading at low prices, presenting a great buying opportunity for investors. The article advises investors to focus on quality and proper diversification when buying REIT stocks. I recommend three specific REITs: MidAmerica Apartment Communities, Realty Income, and Prologis.
5 REITs With Major Insider Purchases
REITs have crashed and are now opportunistic. Insiders are making multi-million-dollar purchases! We highlight 5 REITs with major insider buys to consider today.
The 8.0% Preferred Dividend Of Mid-America Apartment Communities Is A Great Bargain
Mid-America Apartment Communities' preferred stock is offering an 8.0% dividend, which is safe in my view. The REIT has a strong business model, with consistent growth and a healthy balance sheet. The investors who lock in the yield now will probably be rewarded if/when interest rates decrease.
Top 4 Real Estate Stocks That Are Set To Fly In September - Healthpeak Properties (NYSE:PEAK), Mid-America Apartment (NYSE:MAA)
The most oversold stocks in the real estate sector presents an opportunity to buy into undervalued companies.
Mid-America Apartment Can Withstand Rental Market Slowing
Mid-America Apartment shares have underperformed due to concerns about rental inflation and rising interest rates. Their strong occupancy levels and ability to support dividend growth make it attractive for income-oriented investors. The company is well-positioned to manage through the supply wave in the apartment rental segment and generate better-than-average rent performance.
3 Ways to Play 2023's Rollercoaster Residential Real Estate Market
The residential real estate market finds itself in an uncertain place to finish out 2023. The Federal Reserve has gone on a dramatic rate hiking campaign as it seeks to stamp out inflation.
$436 Billion In Troubled Debt And 2 Buying Opportunities
The multifamily residential real estate industry is facing challenges such as rising vacancy rates and slowing rent growth. However, there are buying opportunities in two residential REITs, Mid-America Apartment Communities and Camden Property Trust, which have strong balance sheets and consistent dividend growth. Investors should adopt a gradual buying strategy and focus on building a top-tier portfolio for long-term wealth creation.</t>
  </si>
  <si>
    <t>Mid-America Apartment Communities</t>
  </si>
  <si>
    <t xml:space="preserve">
    Market Cap (intraday) 15.01B
         Enterprise Value 19.26B
             Trailing P/E  25.13
              Forward P/E  25.77
PEG Ratio (5 yr expected)    NaN
        Price/Sales (ttm)   7.07
         Price/Book (mrq)   2.43
 Enterprise Value/Revenue   9.11
  Enterprise Value/EBITDA  14.60</t>
  </si>
  <si>
    <t>Marriott (MAR) Provides 3-Year Growth Plans, Repeats 2023 View
Marriott (MAR) anticipates global RevPAR growth to exhibit a two-year CAGR ranging from 3% to 6% between 2023 and 2025.
Marriott sees strong earnings growth on robust travel demand
Marriott International (NYSE:MAR) said its adjusted diluted earnings per share (EPS) could rise 25% to 29% year-over-year in 2023, and at a 10% to 15% two-year compound annual growth rate to reach $10.10 to $11.45 in 2025. Ahead of a meeting with analysts and institutional investors in Florida on Wednesday, the hotel chain said it expects its global revenue (RevPAR) to grow at a two-year compound annual growth rate of 3% to 6% from 2023 to 2025.
Marriott affirms 2023 EPS growth guidance of of up to 29%
Marriott International Inc. reiterated its 2023 outlook for adjusted earnings per-share growth and fee revenue, as part of the hotel operator's three-year growth plan it outlined at its security analyst meeting.
Marriott International Outlines Three Year Growth Plan at Security Analyst Meeting
Strong Fee and Free Cash Flow Growth Could Lead to  15% to 20% Adjusted Diluted EPS Growth Over Three-Year Period Through 2025 BETHESDA, Md. , Sept. 27, 2023 /PRNewswire/ -- Marriott International, Inc. (NASDAQ: MAR) today will present the company's three-year financial model through 2025 at its meeting with institutional investors and security analysts at the W South Beach in Miami Beach, Florida.
Why Marriott International (MAR) is a Top Growth Stock for the Long-Term
Wondering how to pick strong, market-beating stocks for your investment portfolio? Look no further than the Zacks Style Scores.
THE RITZ-CARLTON CELEBRATES TRANSFORMATIONAL TRAVEL WITH LEAVE BETTER CAMPAIGN
As travelers embark on new journeys, the campaign celebrates the transformative power of travel, affirming The Ritz-Carlton's enduring commitment to inspiring self-discovery in exceptional destinations. BETHESDA, Md.</t>
  </si>
  <si>
    <t>Marriott International</t>
  </si>
  <si>
    <t xml:space="preserve">
    Market Cap (intraday) 58.62B
         Enterprise Value 70.35B
             Trailing P/E  22.21
              Forward P/E  20.41
PEG Ratio (5 yr expected)   1.18
        Price/Sales (ttm)   2.70
         Price/Book (mrq)    NaN
 Enterprise Value/Revenue   3.07
  Enterprise Value/EBITDA  16.26</t>
  </si>
  <si>
    <t>Dow Stocks To Trade In October
This long and short equity strategy has generated superior returns based upon cycles and relative strength.
McDonald's, Wendy's defeat lawsuit accusing them of exaggerating size of burgers
The judge the chains' efforts to made their burgers look appetizing was "no different than other companies' use of visually appealing images to foster positive associations with their products."
McDonald's, Wendy's defeat lawsuit over size of burgers
McDonald's and Wendy's have defeated a lawsuit accusing them of deceiving hungry diners by exaggerating the size of their burgers.
Fast-food drive-thru lanes speed up as fewer drivers wait in line
The average total time spent in a drive-thru lane shrank by 29 seconds this year, according to Intouch Insight.
McDonald's Workers Get $20
The federal minimum wage has been $7.25 since 2009. Some states have a rate well over $14 an hour, but others use the federal figure as their number.
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3 Reasons to Buy McDonald's Stock Right Now
Diners love the convenience of McDonald's, as well as its value proposition. Investors can expect steady dividend hikes in the years ahead.
3 Stocks Set to Get Pinched by the Weight Loss Shot Trend
The past few years have seen several breakthroughs in the field of weight-loss drugs, as the FDA moved to approve two new medications that promise to help people shed pounds without major side effects. These drugs, called Liraglutide and Semaglutide, work by mimicking a hormone that regulates appetite and blood sugar levels, and they can help people lose up to 15% of their body weight in a year, according to clinical trials.
McDonald's Egypt Selects Roboost to Fully Automate Delivery Operations
CAIRO--(BUSINESS WIRE)--McDonald's Egypt Selects Roboost to Fully Automate Delivery Operations.
Yes, McDonald's Franchise Fee Hike Is a Red Flag for Investors
McDonald's franchisees are growing increasingly frustrated with increasing fees. Slowing revenue growth suggests market saturation even as profit margins shrink.
3 Dividend Aristocrat Bargains
September was a rough month for stocks, with all major averages experiencing losses. Only two sectors in the S&amp;P 500 finished the month in the green: Energy and Communication Services. Despite potential headwinds, there are three high-quality dividend aristocrats trading at attractive valuations: McDonald's, Realty Income, and Coca-Cola.
4 Top Stocks To Buy In October 2023
September was a rough month for stocks, with the technology sector down 8% and high valuations causing concern. Despite the pullback, stocks are now more attractive and there are opportunities for long-term investors. All 4 stocks we cover today are all trading at great valuations following a pullback over the past month.
Recession-Proof Royals: 3 Stocks That Thrive in Tough Economic Times
In the new century, economic uncertainty often looms. Finding investment opportunities that can weather the storm is a quest every investor undertakes.
Don't Miss the Boom: 7 Blue-Chip Stocks Set to Explode Higher
Looking for the best blue-chip stocks to buy might seem boring, especially compared to stocks that make big moves. In fortifying your investment portfolio, dipping your toes into the volatile waters of penny and small-cap stocks can be incredibly tempting.
Don't Miss the Boom: 7 Dow Stocks Set to Explode Higher
The top Dow stocks serve as a bellwether for the health of the U.S. economy. This year, the Dow has trailed the other two major U.S. indices with a 1% gain.
Nine Dow Stocks Are So Oversold They're 'Falling Off The Page'
The September sell-off in Dow Jones and S&amp;P 500 stocks is getting so intense, some wonder if it's already overdone.
7 Vice Stocks to Buy Ahead of a Possible Recession
Ahead of a possible recession, investors may want to consider certain vice stocks to buy. To be sure, the main reason centers on cynicism.
Top Dividend Stocks: Mcdonald's Stock vs. Altria Stock
These dividend stocks are not going to make you rich overnight, but they can build a stream of passive income.
Arcos Dorados: A Strong Exposure To LatAm Through McDonald's
Arcos Dorados is the largest franchisee of McDonald's in Latin America, operating in 20 countries where it has exclusivity to operate McDonald's. The company has a clear growth strategy focused on opening more profitable restaurants and implementing digital solutions. Despite the valuation gap with its peers, ARCO has strong financials and is well-positioned for expansion in the region.
McDonald's introducing pair of new limited-time dipping sauces to menu
McDonald's customers will soon have a couple more choices for dipping sauces.
5 Dividend Aristocrats to Buy as Things Look Dicey for Wall Street
As stocks are subjected to bouts of volatility, place bets on dividend aristocrats like Caterpillar (CAT), Abbott Laboratories (ABT), McDonald's (MCD), Aflac (AFL) and Automatic Data Processing (ADP) for steady income.
McDonald's: The Fee Hike Is Evidence Of Something Bigger
McDonald's management team announces a 25% hike in royalties from franchisees, but it will only apply to new locations in the US and Canada. The increase in royalties is part of McDonald's long-term strategy to create additional value for shareholders. The company is focusing on digital initiatives, delivery services, and automated stores to stay ahead in the competitive fast-food industry.
McDonald's New Fees Won't Move The Needle, But Growth Will
McDonald's NYSE: MCD announced the first increase in US franchise fees in over 30 years, but this news is unlikely to move the needle. While the 100 basis point increase is worth 20% in theoretical revenue gains in the US segment, some important details should be considered.
7 Stocks to Buy for the Blue-Collar Bull Market
Labor and industry and flexing their muscles right now in what is being called a worker's market. Autoworkers are on strike.
McDonald's (MCD) Outpaces Industry in the Past Year: Here's Why
McDonald's (MCD) emphasizes continued digital innovation to boost customer engagement and drive digital acquisition and customer frequency.
McDonald's franchisee group pushes back against 'detrimental' fee hike
McDonald's is increasing its royalty fee from 4% to 5% of gross sales for select franchisees.  A franchisee advocacy group said the hike is "detrimental" to the brand.</t>
  </si>
  <si>
    <t>McDonald's</t>
  </si>
  <si>
    <t xml:space="preserve">
    Market Cap (intraday) 191.99B
         Enterprise Value 238.83B
             Trailing P/E   24.28
              Forward P/E   21.28
PEG Ratio (5 yr expected)    2.14
        Price/Sales (ttm)    8.02
         Price/Book (mrq)     NaN
 Enterprise Value/Revenue    9.87
  Enterprise Value/EBITDA   18.15</t>
  </si>
  <si>
    <t>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NXPI vs. MPWR: Which Stock Is the Better Value Option?
Investors interested in Semiconductor - Analog and Mixed stocks are likely familiar with NXP Semiconductors (NXPI) and Monolithic Power (MPWR). But which of these two stocks is more attractive to value investors?
2 Best Chip Stocks to Buy on Soaring AI Demand
Truist's William Stein reaffirmed his Buy ratings for Nvidia and Monolithic Power Systems and his price targets for both stocks.</t>
  </si>
  <si>
    <t>Monolithic Power Systems</t>
  </si>
  <si>
    <t xml:space="preserve">
    Market Cap (intraday) 22.07B
         Enterprise Value 21.34B
             Trailing P/E  49.52
              Forward P/E  33.11
PEG Ratio (5 yr expected)   1.84
        Price/Sales (ttm)  12.15
         Price/Book (mrq)  12.00
 Enterprise Value/Revenue  11.55
  Enterprise Value/EBITDA  37.32</t>
  </si>
  <si>
    <t>Lamb Weston Holdings Declares Quarterly Dividend
EAGLE, Idaho--(BUSINESS WIRE)--The Board of Directors of Lamb Weston Holdings, Inc. (NYSE: LW) today declared a quarterly dividend of $0.28 per share of Lamb Weston common stock. The dividend is payable on Dec. 1, 2023 to stockholders of record as of the close of business on Nov. 3, 2023. About Lamb Weston Lamb Weston is a leading supplier of frozen potato, sweet potato, appetizer and vegetable products to restaurants and retailers around the world. For more than 70 years, Lamb Weston has led t.
Lamb Weston (LW) Reports Next Week: Wall Street Expects Earnings Growth
Lamb Weston (LW) possesses the right combination of the two key ingredients for a likely earnings beat in its upcoming report. Get prepared with the key expectations.
Is Lamb Weston (LW) Stock Outpacing Its Consumer Staples Peers This Year?
Here is how Lamb Weston (LW) and Mondelez (MDLZ) have performed compared to their sector so far this year.
Why Lamb Weston (LW) is a Top Growth Stock for the Long-Term
Wondering how to pick strong, market-beating stocks for your investment portfolio? Look no further than the Zacks Style Scores.
Lamb Weston (LW) Up More Than 20% in a Year: Will It Stay?
Lamb Weston (LW) benefits from strategic pricing actions amid an inflationary environment. The company is boosting production capacity to fuel long-term growth.
Lamb Weston (LW) is a Top-Ranked Value Stock: Should You Buy?
Whether you're a value, growth, or momentum investor, finding strong stocks becomes easier with the Zacks Style Scores, a top feature of the Zacks Premium research service.</t>
  </si>
  <si>
    <t>Lamb Weston</t>
  </si>
  <si>
    <t xml:space="preserve">
    Market Cap (intraday) 13.48B
         Enterprise Value 16.67B
             Trailing P/E  13.30
              Forward P/E  19.38
PEG Ratio (5 yr expected)   0.81
        Price/Sales (ttm)   2.51
         Price/Book (mrq)   9.55
 Enterprise Value/Revenue   3.11
  Enterprise Value/EBITDA  15.08</t>
  </si>
  <si>
    <t>LyondellBasell (LYB) Announces the Launch of +LC Solutions
The +LC solutions are a key step forward for LyondellBasell's (LYB) customers as they strive for more ambitious GHG emission reduction targets and product circularity.
LyondellBasell Demonstrates Commitment to Sustainability with Launch of +LC (Low Carbon) Solutions
HOUSTON , Sept. 26, 2023 /PRNewswire/ -- LyondellBasell today announced the expansion of its sustainable offerings with the launch of its +LC (Low Carbon) solutions, a new range of Intermediates and Derivatives (I&amp;D) chemicals produced under an International Sustainability and Carbon Certification (ISCC) PLUS certified mass balance methodology.</t>
  </si>
  <si>
    <t>LyondellBasell</t>
  </si>
  <si>
    <t xml:space="preserve">
    Market Cap (intraday) 30.70B
         Enterprise Value 41.28B
             Trailing P/E  14.64
              Forward P/E   9.74
PEG Ratio (5 yr expected)    NaN
        Price/Sales (ttm)   0.72
         Price/Book (mrq)   2.37
 Enterprise Value/Revenue   0.96
  Enterprise Value/EBITDA   9.20</t>
  </si>
  <si>
    <t>Biogen gets FDA approval for biotech treatment similar to Roche's Actemra
Biogen Inc. BIIB, -0.32% said late Friday the Food and Drug Administration approved its biosimilar version of Roche ROG, +0.30% ‘s arthritis treatment Actemra. Biogen said its treatment Tofidence, or tocilizumab-bavi, is the first FDA-approved biosimilar to tocilizumab, which Roche brands as Actemra.
FDA Approves Biogen's TOFIDENCE™ (tocilizumab-bavi), a Biosimilar Referencing ACTEMRA®
CAMBRIDGE, Mass., Sept. 29, 2023 (GLOBE NEWSWIRE) -- Biogen Inc. (Nasdaq: BIIB) announced that the U.S. Food and Drug Administration (FDA) has approved TOFIDENCE (tocilizumab-bavi) intravenous formulation, a biosimilar monoclonal antibody referencing ACTEMRA. The TOFIDENCE intravenous formulation is approved for the treatment of moderately to severely active rheumatoid arthritis, polyarticular juvenile idiopathic arthritis and systemic juvenile idiopathic arthritis.
Is Biogen Stock a Buy Now?
Biogen has faced a series of frustrations in its research efforts efforts in recent years. The biotech has improved its pipeline recently with new approvals and acquisitions.
Biogen Inc. (BIIB) Management presents at Decentralized Clinical Trials in Focus Conference (Transcript)
Biogen Inc. (NASDAQ:BIIB ) Decentralized Clinical Trials in Focus Conference September 26, 2023 10:00 AM ET Company Participants Stephanie Manson Brown - Head of Clinical Development and Scientific Innovation &amp; VP at R&amp;D Allergan Aesthetics, AbbVie Angela May - Head, DCT Strategy &amp; Implementation, Clinical Operations, Bayer Jane Twitchen - Executive Director, Head, Clinical Trial Accelerator Unit, Biogen Harpreet Gill - Head of Decentralized Clinical Trial Solutions, ICON plc Conference Call Participants Donato Paolo Mancini - Pharmaceuticals Correspondent, Financial Times Donato Paolo Mancini [Abrupt Start] and then we'll get started with the conversation. Stephanie Manson Brown Hi, everyone.
Biogen Completes Acquisition of Reata Pharmaceuticals
CAMBRIDGE, Mass., Sept. 26, 2023 (GLOBE NEWSWIRE) -- Biogen Inc. (Nasdaq: BIIB) – has completed the acquisition of Reata Pharmaceuticals, Inc. (Nasdaq: RETA), a company focused on developing therapeutics that regulate cellular metabolism and inflammation in serious neurologic diseases. As a result of the transaction, Biogen has now acquired SKYCLARYS® (omaveloxolone), as well as other clinical and preclinical pipeline programs.
Are Gene Therapy Stocks The Market's Next Big Winners?
It's not often that you see a company whose main product comes with a price tag of over $2 million, but that's the case with biotechs BioMarin Pharmaceutical NASDAQ: BMRN and Sarepta Therapeutics NASDAQ: SRPT, which are developing gene therapies. ‘
Japan approves Alzheimer treatment Leqembi by Eisai and Biogen
Japan's Eisai said on Monday the country's health ministry had approved its Alzheimer treatment Leqembi, co-developed with U.S.-based Biogen.
LEQEMBI® Intravenous Infusion (Lecanemab) Approved for the Treatment of Alzheimer's Disease in Japan
TOKYO and CAMBRIDGE, Mass., Sept. 25, 2023 (GLOBE NEWSWIRE) -- Eisai Co., Ltd. (Headquarters: Tokyo, CEO: Haruo Naito, “Eisai”) and Biogen Inc. (Nasdaq: BIIB, Corporate headquarters: Cambridge, Massachusetts, CEO: Christopher A. Viehbacher, “Biogen”) announced today that humanized anti- soluble aggregated amyloid-beta (Aβ) monoclonal antibody LEQEMBI® Intravenous Infusion (200 mg, 500mg, lecanemab) has been approved in Japan as a treatment for slowing progression of mild cognitive impairment (MCI) and mild dementia due to Alzheimer's disease (AD).</t>
  </si>
  <si>
    <t>Biogen</t>
  </si>
  <si>
    <t xml:space="preserve">
    Market Cap (intraday) 37.22B
         Enterprise Value 37.73B
             Trailing P/E  14.01
              Forward P/E  15.27
PEG Ratio (5 yr expected)   9.20
        Price/Sales (ttm)   3.75
         Price/Book (mrq)   2.57
 Enterprise Value/Revenue   3.78
  Enterprise Value/EBITDA   9.88</t>
  </si>
  <si>
    <t>Dreyfus Launches SPARK Shares of Dreyfus Government Cash Management Available Exclusively through BNY Mellon
SPARKSM shares empower institutional clients to align their liquidity investments with their philanthropic goals by contributing 10% of net revenue to an eligible non-profit organization of their choice NEW YORK , Sept. 26, 2023 /PRNewswire/ -- Dreyfus, one of the largest, trusted cash and liquidity managers, announced today the launch of SPARKSM shares (ticker: SPKXX).1 The share class allows clients to drive change with their liquidity investments by directing a donation to an eligible non-profit organization of their choice.2,3 The donation is expected to result in a positive, quantifiable impact for the selected organization.</t>
  </si>
  <si>
    <t>BNY Mellon</t>
  </si>
  <si>
    <t>Asset Management &amp; Custody Banks</t>
  </si>
  <si>
    <t xml:space="preserve">
    Market Cap (intraday) 33.22B
         Enterprise Value    NaN
             Trailing P/E  12.40
              Forward P/E   8.08
PEG Ratio (5 yr expected)   0.49
        Price/Sales (ttm)   2.07
         Price/Book (mrq)   0.92
 Enterprise Value/Revenue    NaN
  Enterprise Value/EBITDA    NaN</t>
  </si>
  <si>
    <t>AT&amp;T: Getting The Lead Out
AT&amp;T believes there is a possibility of litigation on the lead issue, but management feels they are in a good position. Back end loaded Free Cash Flow concerns the market the most. The accounting disclosures at Warner Bros. Discovery is an "elephant in the room" that no one talks about.
5 Genius Safe Stocks to Buy for the 4th Quarter of 2023
A multitude of economic datapoints and predictive indicators suggest trouble may be brewing for the U.S. economy. Investing in "safe stocks" -- highly profitable, time-tested businesses with well-defined competitive advantages -- can be a smart move in an uncertain environment.
AT&amp;T: Smart Dividend Moves
AT&amp;T is trending higher in part due to focusing on debt repayment instead of blindly hiking dividends. The telecom announced another quarterly dividend of $0.2775, leaving the yield at 7.4%. The stock remains more of a short-term trade unless the company alters the business plan to where profits and cash flows return to growth.
50 Large-Cap High-Yield Stocks For October
Dogsofthedow.com recently published this list of 50 large-cap high-dividend stocks as of 9/28/23. The DOD list targeted investors who “don't want to simply focus on a high dividend yield only to discover that the stock price has plunged or that the corporation went belly-up”. Investors reduce volatility/risk by limiting high-dividend search to large well-established companies.
Want an Extra $200 in Reliable Annual Dividend Income? Invest $2,390 Into These 2 High-Yield Dividend Stocks
Over time, stocks that pay dividends outperform stocks that don't by a wide margin. Dividend stocks generally don't offer high yields unless investors are worried about a stock's ability to raise and maintain its payout.
Ticking Time Bombs: 3 Communications Stocks to Dump Before the Damage Is Done
Communications stocks continue to have a difficult run. Over five years, the S&amp;P 500 Communication Services index has gained 39%.
AT&amp;T Inc. (T) is Attracting Investor Attention: Here is What You Should Know
AT&amp;T (T) has been one of the stocks most watched by Zacks.com users lately. So, it is worth exploring what lies ahead for the stock.
AT&amp;T Declares Dividends on Common and Preferred Shares
DALLAS , Sept. 29, 2023 /PRNewswire/ -- The board of directors today declared a quarterly dividend of $0.2775 per share on the company's common shares.
AT&amp;T: Don't Drink The Kool-Aid
AT&amp;T's stock has risen slightly off 30-year lows due to positive developments and addressing major issues. The company has stated that the lead pipe issue is not a concern and preliminary tests show no issues. AT&amp;T's CFO is confident in meeting the free cash flow guidance for 2023, but the final outcome is still unknown.
These 14 Words from AT&amp;T's CEO Explain What Needs to Happen Next for the Stock to Recover Fully
AT&amp;T's business has been in the midst of a transition after spinning off WarnerMedia last year. The company has set a goal of $16 billion in free cash flow this year, which seems optimistic given its results thus far.
Want $5,000 in Dividends Each Year? Invest $70,000 in These 3 Stocks.
LTC Properties, AT&amp;T, and Enbridge all pay yields of more than 7%. Despite their high yields, these payouts aren't as risky as they appear to be.
Dividend Harvesting Portfolio Week 134: $13,400 Allocated, $1,163.15 In Projected Dividends
The stock market and the economy are two different things, and the Fed's mandate is not to prioritize the stock market. The Dividend Harvesting Portfolio took a hit in Week 134, but it remains in the black and continues to generate dividend income. The portfolio's diversification and consistent cash flow from dividends help mitigate downside risk and provide long-term stability.
Better Dividend Stock: Verizon vs. AT&amp;T
The dividend yields are high but appear to be safe. The stocks have been slammed as Treasury yields rose.
Why AT&amp;T Is A Bargain You Shouldn't Ignore Right Now
AT&amp;T, one of the world's telecommunications leaders, has continued to come under pressure from short sellers over the past few quarters. Currently, the company's Non-GAAP P/E [TTM] stands at 5.96x, which is 52.04% lower than the sector average and 26.44% lower than the average over the past five years. AT&amp;T, alongside Verizon Communications, has been at the forefront of advancing 5G technology and holds a significant position in the ongoing expansion of the fiber optic network across the USA.
Want $500 in Super Safe Annual Dividend Income? Invest $5,400 Into the Following 3 Ultra-High-Yield Stocks
Over long periods, income stocks have substantially outperformed public companies that don't pay a dividend. Though high-yield stocks often come with added risk, safe high-octane dividend stocks do exist.
SHAREHOLDER ALERT: The Gross Law Firm Notifies Shareholders of AT&amp;T Inc. of a Class Action Lawsuit and a Lead Plaintiff Deadline of September 26, 2023 - (NYSE: T)
NEW YORK , Sept. 26, 2023 /PRNewswire/ -- The Gross Law Firm issues the following notice to shareholders of AT&amp;T Inc..
3 Superior Stocks to Buy With Just $20 Right Now
At the end of last year there were plenty of stocks to buy for $20 a share. The S&amp;P 500 ended 2022 down nearly 20%.
Is AT&amp;T's 7% Dividend Yield Sustainable?
Passive-income investors are understandably attracted to the robust dividend yield.
Don't Miss the Boom: 3 5G Stocks Set to Explode Higher
As the digital landscape evolves rapidly, 5G — fifth-generation wireless technology — stands at the forefront of this transformation, anchoring the promises of tomorrow's hyper-connected universe. With the world's devices yearning for faster connections and lower latency, the stars seem perfectly aligned for investors eyeing the best 5G stocks to buy.
7 Stocks That Should Be on Every Investor's Radar This Fall
As we head into Fall, it's a good time for investors to rebuild their watch list for the coming months. Despite the recent volatility, quality companies are still trading at reasonable prices, and many such companies have solid fundamentals.
T FINAL DEADLINE NOTICE: ROSEN, THE FIRST FILING FIRM, Encourages AT&amp;T Inc. Investors to Secure Counsel Before Important September 26 Deadline in Securities Class Action - T
New York , Sept. 24, 2023 /PRNewswire/ -- WHY: Rosen Law Firm, a global investor rights law firm, reminds purchasers of the securities of AT&amp;T Inc. (NYSE: T) between March 1, 2020 and July 26, 2023, both dates inclusive (the "Class Period"), of the important September 26, 2023 lead plaintiff deadline in the securities class action commenced by the Firm.
7 Value Stocks That Should Be on Every Investor's Radar This Fall
As the year began, institutional investors fled growth stocks to the relative safety of value stocks. In the second quarter, some of that money moved back to growth stocks.</t>
  </si>
  <si>
    <t>AT&amp;T</t>
  </si>
  <si>
    <t>Integrated Telecommunication Services</t>
  </si>
  <si>
    <t xml:space="preserve">
    Market Cap (intraday) 107.38B
         Enterprise Value 259.44B
             Trailing P/E   19.23
              Forward P/E    6.03
PEG Ratio (5 yr expected)    9.73
        Price/Sales (ttm)    0.92
         Price/Book (mrq)    1.05
 Enterprise Value/Revenue    2.14
  Enterprise Value/EBITDA   12.53</t>
  </si>
  <si>
    <t>Teledyne Technologies: M&amp;A Engine To Reignite As Balance Sheet Strength Returns
TDY supplies critical technologies for high-tech, high-reliability industrial sectors such as aerospace, defense, and oil and gas drilling. It has maintained profitability and expanded profit margins over the past decade. TDY is poised to reignite its M&amp;A strategy as its balance sheet strengthens, potentially adding $340 million in EBITDA in FY25. The risk is overpaying in acquisitions, but TDY's history of synergistic acquisitions and operational excellence mitigates this risk.</t>
  </si>
  <si>
    <t>Teledyne Technologies</t>
  </si>
  <si>
    <t xml:space="preserve">
    Market Cap (intraday) 19.23B
         Enterprise Value 22.22B
             Trailing P/E  25.41
              Forward P/E  19.80
PEG Ratio (5 yr expected)    NaN
        Price/Sales (ttm)   3.49
         Price/Book (mrq)   2.24
 Enterprise Value/Revenue   3.98
  Enterprise Value/EBITDA  16.40</t>
  </si>
  <si>
    <t>5 Reasons Bitcoin Will Rally into Year-End and Beyond
Bullish catalysts such as seasonality, technicals, market environment, regulatory clarity, and Bitcoin hash rate suggest that Bitcoin and Bitcoin proxies are a strong investment into year-end and beyond.
How The U.S. Government Shutdown Could Impact REITs
The U.S. government appears headed for a shutdown. I look at four ways that this could disrupt the REIT sector. I also share my approach to REITs right now and share my top picks.
BlackRock to Report Third Quarter 2023 Earnings on October 13th
NEW YORK--(BUSINESS WIRE)--BlackRock, Inc. (NYSE: BLK) today announced that it will report third quarter 2023 earnings prior to the opening of the New York Stock Exchange on Friday, October 13, 2023. Chairman and Chief Executive Officer, Laurence D. Fink, President, Robert S. Kapito, and Chief Financial Officer, Martin S. Small, will host a teleconference call for investors and analysts at 7:30 a.m. ET. BlackRock's earnings release and supplemental materials will be available via the investor r.
‘I see more fear than anytime in my business career,' says BlackRock's Larry Fink
That was BlackRock's BLK, +0.29% Chairman and CEO Larry Fink, at the Berlin Global Dialogue 2023 conference on Friday, saying while he is an optimist, there's a dire shortage of optimism in the world.
BMEZ: The Discount Widens As BlackRock Changes Its Distribution Policy
BMEZ now trades at a deeper discount, approaching almost 20%. The fund changed its distribution policy, which will result in much smaller distributions. Still, there are reasons to be hopeful about this fund.
BlackRock Expands Active ETF Suite With Equity Premium Income Strategy
NEW YORK--(BUSINESS WIRE)--BlackRock today announced the launch of the BlackRock Advantage Large Cap Income ETF (Cboe: BALI), which seeks to generate a high level of monthly income with upside market participation1 to optimize income and growth within a risk managed framework. The actively managed ETF provides investors with greater access to the breadth of BlackRock's active investment platform, which combines the big data-empowered insights of BlackRock's Systematic portfolio management team.
BlackRock launches dividend-paying-stocks ETF with options strategy
BlackRock is launching an exchange-traded fund that invests in U.S. stocks that pay dividends while also using an options-based strategy that aims to provide an additional source of income.
After Plunging -6.41% in 4 Weeks, Here's Why the Trend Might Reverse for BlackRock (BLK)
BlackRock (BLK) is technically in oversold territory now, so the heavy selling pressure might have exhausted. This along with strong agreement among Wall Street analysts in raising earnings estimates could lead to a trend reversal for the stock.
BlackRock Study: Global Insurers Adapting to the New Market Regime
LONDON--(BUSINESS WIRE)--Global insurers are adapting to a challenging macro environment in 2023, according to BlackRock's 12th annual Global Insurance Report. To do so, they are adopting a strategic asset allocation (SAA) that favors flexibility, allowing them to take advantage of opportunities in public and private markets, and invest in the transition to a low-carbon economy. The report includes findings from 378 insurance investors surveyed across global markets, representing nearly $29 tri.
Blackrock Silver Announces Silver Cloud Results; Tonopah West Resource Update Timeline
Vancouver, British Columbia--(Newsfile Corp. - September 26, 2023) - Blackrock Silver Corp. (TSXV: BRC) (the "Company" or "Blackrock") reports assay results for its 100% controlled Silver Cloud project ("Silver Cloud") located in north-central Nevada along the Northern Nevada Rift trend. HIGHLIGHTS: Intercepts up to 2.24 g/t gold were encountered in banded epithermal quartz veins; Multiple banded epithermal veins were encountered with drilling confirming the orientation and dip of the epithermal vein structure with a westerly dip; and The mineral resource update for the Company's Tonopah West project located within the Walker Lane trend in west central Nevada remains on track for completion in October 2023.
BlackRock® Canada Announces Final September Cash Distributions for the iShares® Premium Money Market ETF
TORONTO, Sept. 25, 2023 (GLOBE NEWSWIRE) -- BlackRock Asset Management Canada Limited (“BlackRock Canada”), an indirect, wholly-owned subsidiary of BlackRock, Inc. (NYSE: BLK), today announced the final September 2023 cash distributions for the iShares Premium Money Market ETF. Unitholders of record on September 26, 2023 will receive cash distributions payable on September 29, 2023.
BlackRock: Great Shareholder Yields And Growth From This Core Holding
BlackRock's Q2 results show continued growth with $80 billion of net inflows and a 1.8% increase in average AUM. Historical growth is very strong at 7.8% revenue and 9.9% EPS growth per share since 2010. This helps justify the 19.3x TTM P/E. BlackRock's great excess cash flows and valuation metrics suggest potential solid returns for investors.
BlackRock: Pivotal Buying Moment Is Finally Here (Rating Upgrade)
BlackRock stock has underperformed the S&amp;P 500 significantly since my previous caution in January 2023. It has sold off further recently as investors braced for a higher-for-longer Fed. However, BLK is no longer overvalued. As such, investors who missed buying earlier in 2023 are afforded another opportunity to board. BlackRock's market leadership as the world's largest asset manager has proved its resilience during last year's bear market. Its platform strategy also helps diversify its earnings drivers.
BlackRock: Appealing Again
BlackRock has reported impressive asset inflows, driven by bond-like products, despite market volatility. The company's assets under management have grown to over $10 trillion by 2021, with current AUM approaching that number. Shares of BlackRock have seen a pullback, as shares look attractive here given the long-term potential.</t>
  </si>
  <si>
    <t>BlackRock</t>
  </si>
  <si>
    <t xml:space="preserve">
    Market Cap (intraday) 96.52B
         Enterprise Value 99.41B
             Trailing P/E  18.88
              Forward P/E  16.21
PEG Ratio (5 yr expected)   2.26
        Price/Sales (ttm)   5.64
         Price/Book (mrq)   2.53
 Enterprise Value/Revenue   5.73
  Enterprise Value/EBITDA  13.39</t>
  </si>
  <si>
    <t>Here's Why You Should Retain Zimmer Biomet (ZBH) for Now
Investors are optimistic about Zimmer Biomet (ZBH) on business recovery and expansion in emerging markets.
Zimmer Biomet (ZBH) Gains From ROSA Sales Growth Amid FX Woes
Zimmer Biomet (ZBH) plans to work on the overall shift of the company's legacy knee systems to a fully rounded-out Persona portfolio.</t>
  </si>
  <si>
    <t>Zimmer Biomet</t>
  </si>
  <si>
    <t xml:space="preserve">
    Market Cap (intraday) 23.45B
         Enterprise Value 29.00B
             Trailing P/E  46.76
              Forward P/E  13.95
PEG Ratio (5 yr expected)   2.17
        Price/Sales (ttm)   3.28
         Price/Book (mrq)   1.90
 Enterprise Value/Revenue   4.03
  Enterprise Value/EBITDA  16.29</t>
  </si>
  <si>
    <t>Xcel Energy Announces Leadership Changes
MINNEAPOLIS--(BUSINESS WIRE)--Xcel Energy announced today several changes to its executive leadership team. Brett Carter, executive vice president, group president of Utilities and chief customer officer, is leaving the company to pursue other opportunities. Current executive vice president, chief legal and compliance officer Amanda Rome has been named to this role, effective immediately. The company's four operating company presidents and customer organization leaders will report to Rome. Ryan.
Xcel Energy names Chris Church new chief nuclear officer
MINNEAPOLIS--(BUSINESS WIRE)--Today, Xcel Energy named Chris Church as the company's new chief nuclear officer, effective December 15, 2023. Church succeeds Pete Gardner, who is retiring at the end of the year after serving in the role since 2020. “Chris has had an unblinking commitment to operational excellence over his years of leadership experience in the nuclear industry, including his time at Xcel Energy,” said Tim O'Connor, Xcel Energy executive vice president and chief operations officer.
Xcel Energy: A Solid Utility Pick For Dividend Growth Investors
Xcel Energy's diluted EPS payout ratio is going to remain well within its 60% to 70% targeted payout ratio for 2023. The electric and gas utility experienced a slight drop in its operating revenue and diluted EPS through the first half of 2023. Xcel Energy has a firmly investment-grade balance sheet to support the nearly $30 billion capital spending plan for the next five years.</t>
  </si>
  <si>
    <t>Xcel Energy</t>
  </si>
  <si>
    <t xml:space="preserve">
    Market Cap (intraday) 31.56B
         Enterprise Value 58.09B
             Trailing P/E  18.17
              Forward P/E  15.85
PEG Ratio (5 yr expected)   2.56
        Price/Sales (ttm)   2.07
         Price/Book (mrq)   1.87
 Enterprise Value/Revenue   3.81
  Enterprise Value/EBITDA  11.40</t>
  </si>
  <si>
    <t>Will Wells Fargo (WFC) Beat Estimates Again in Its Next Earnings Report?
Wells Fargo (WFC) has an impressive earnings surprise history and currently possesses the right combination of the two key ingredients for a likely beat in its next quarterly report.
Wells Fargo sells $2 bln of private equity investments
Wells Fargo said on Friday it had sold about $2 billion of its private equity investments as the bank aims to sharpen focus on its core businesses.
Wells Fargo Sells Private Equity Fund Investments
SAN FRANCISCO--(BUSINESS WIRE)--Wells Fargo &amp; Company (NYSE: WFC) announced today that it has sold to a group of leading investors approximately $2 billion of private equity investments in certain Norwest Equity Partners (NEP) and Norwest Mezzanine Partners (NMP) funds. Wells Fargo was previously the sole institutional limited partner in these funds. The buyer group for Wells Fargo's positions included AlpInvest Partners (a subsidiary of Carlyle), Atalaya Capital Management, Lexington Partn.
Why Investors Need to Take Advantage of These 2 Finance Stocks Now
Finding stocks expected to beat quarterly earnings estimates becomes an easier task with our Zacks Earnings ESP.
Wells Fargo (WFC) Boosts Access, Adds Spanish-Language to Fargo
Wells Fargo (WFC) has introduced the Spanish-language feature in Fargo to provide access to a larger portion of its customer base.
Here are the 12 stocks Jim Cramer is watching, including a dire consumer forecast
Here are some of the tickers on my radar for Thursday, Sept. 28, taken directly from my reporter's notebook.
Wells Fargo: Rough Times Will Eventually Turn
Wells Fargo has been working to improve efficiency ratios via reducing operating costs, but still has room for improvement compared to other banks. The bank has been actively repurchasing shares and reducing its share count, positioning itself for future EPS growth. The stock is cheap at 8x EPS targets.
U.S. SEC nearing settlement with Wall Street firms over WhatsApp probe -sources
The U.S. Securities and Exchange Commission (SEC) is finalizing settlements with around two dozen Wall Street firms to resolve investigations into record-keeping lapses, said two people with knowledge of the matter.
Wells Fargo to buy NYC Neiman Marcus space at Hudson Yards for $550M: report
The bank is planning to convert the 400,000 square feet of space at 20 Hudson Yards into offices, according to Bloomberg News.
Wells Fargo buying office space at New York's Hudson Yards that was formerly a Nieman Marcus store
Wells Fargo &amp; Co. is planning to spend $550 million to acquire 400,000 feet of retail space in New York City's Hudson Yards and convert it into office space in one of the largest commercial real estate deals this year in the Big Apple, Bloomberg reported on Wednesday.
Wells Fargo (WFC), Centerbridge Partners Form $5B Lending Fund
Wells Fargo (WFC) forms a direct lending fund, Overland Advisors, with private equity firm Centerbridge Partners to provide loans to non-sponsor middle-market companies.
Wells Fargo's Virtual Assistant, Fargo, Expands Capabilities with Spanish-Language Feature
SAN FRANCISCO--(BUSINESS WIRE)--Wells Fargo &amp; Company (NYSE: WFC) today enhanced its Fargo™ virtual assistant with a Spanish-language capability, improving access to a large portion of its customer base. The new feature enables Spanish-speaking customers to take advantage of the solution that is already providing a more personalized, convenient, and simple banking experience to customers using the Wells Fargo Mobile® app on their smartphones. “Seeing the volume of Fargo interactions since i.
Wells Fargo, Centerbridge Collaborate to Provide Loans for Middle Market Firms
Wells Fargo and Centerbridge Partners have announced a partnership to provide direct lending solutions to non-sponsor North American middle-market companies. This partnership will be facilitated through the launch of Overland Advisors, a business development company focused on making senior secured loans, the companies said in a Tuesday (Sept.
Centerbridge teams up with Wells Fargo to launch direct-lending fund
Private equity firm Centerbridge Partners is launching a direct-lending fund with backing from Wells Fargo , the companies said on Tuesday.
2 Bank Stocks Dragged by Rate Hike Fears
JPMorgan Chase (JPM) CEO Jamie Dimon's warning that the Federal Reserve may not be done hiking interest rates is dragging the bank sector lower this afternoon.
Centerbridge Partners and Wells Fargo Enter Strategic Relationship Focused on Direct Lending to Middle-Market Companies
NEW YORK &amp; SAN FRANCISCO--(BUSINESS WIRE)--Centerbridge Partners (Centerbridge) and Wells Fargo &amp; Company (NYSE: WFC) announced they are entering into a strategic relationship focused on direct lending to non-sponsor North American middle market companies. To meet the alternative credit needs of this segment, Centerbridge intends to launch Overland Advisors to manage a newly formed business development company that will be primarily focused on making senior secured loans. Overland represent.
Wells Fargo: Unlock Solid Upside Potential And Attractive Yield
Wells Fargo is fundamentally strong and well-positioned to expand its business in the long term. The bank's stock is currently trading below its intrinsic value and offers an attractive forward dividend yield. Despite macroeconomic risks and disruption from fintech, WFC is a "Strong Buy" with a 43% upside potential.
Wells Fargo Has The Makings Of A Cheap, Safe Dividend Monster
Wells Fargo's reputation has been tarnished by numerous scandals, but the bank's underlying business remains strong. The bank has reported robust financial results, with strong YoY revenue and net income growth along with a continually fantastic balance sheet. Wells Fargo has a conservative approach to dividends, but there is potential for serious capital returns to shareholders as the dividend reinflates from the Covid cut.</t>
  </si>
  <si>
    <t>Wells Fargo</t>
  </si>
  <si>
    <t xml:space="preserve">
    Market Cap (intraday) 149.50B
         Enterprise Value     NaN
             Trailing P/E   10.32
              Forward P/E    8.33
PEG Ratio (5 yr expected)    0.60
        Price/Sales (ttm)    1.93
         Price/Book (mrq)    0.93
 Enterprise Value/Revenue     NaN
  Enterprise Value/EBITDA     NaN</t>
  </si>
  <si>
    <t>3 Top Undervalued Stocks To Watch: October 2023
We are in what is historically considered the slow season of the investing world, but there are still opportunities for value-minded investors willing to turn over a rock or two. Here are three undervalued stocks to consider.
Here are the 12 stocks Jim Cramer is watching, including a dire consumer forecast
Here are some of the tickers on my radar for Thursday, Sept. 28, taken directly from my reporter's notebook.
Striking Hollywood actors vote to authorize new walkout against videogame makers
LOS ANGELES — Striking actors have voted to expand their walkout to include the lucrative videogame market, a step that could put new pressure on Hollywood studios to make a deal with the performers who provide voices and stunts for games.
Videogame stocks mostly hold steady as actors strike threatens to spread to game publishers
Videogame stocks performed slightly better than the broader market Tuesday after striking actors voted late Monday to expand their strike to work on videogames, which constitutes an even larger market than movies or television.
1 Magnificent Growth Stock Down 35% to Buy Right Now and Hold for the Long Haul
Take-Two Interactive has a strong position in the video game industry. The company is poised for explosive growth over the next couple of years and beyond.</t>
  </si>
  <si>
    <t>Take-Two Interactive</t>
  </si>
  <si>
    <t>Interactive Home Entertainment</t>
  </si>
  <si>
    <t xml:space="preserve">
    Market Cap (intraday) 23.84B
         Enterprise Value 26.45B
             Trailing P/E    NaN
              Forward P/E  46.51
PEG Ratio (5 yr expected)   4.65
        Price/Sales (ttm)   4.27
         Price/Book (mrq)   2.67
 Enterprise Value/Revenue   4.78
  Enterprise Value/EBITDA  45.36</t>
  </si>
  <si>
    <t>Here's Why Universal Health Services (UHS) is a Strong Value Stock
Wondering how to pick strong, market-beating stocks for your investment portfolio? Look no further than the Zacks Style Scores.</t>
  </si>
  <si>
    <t>Universal Health Services</t>
  </si>
  <si>
    <t>Health Care Facilities</t>
  </si>
  <si>
    <t xml:space="preserve">
    Market Cap (intraday)  8.72B
         Enterprise Value 13.82B
             Trailing P/E  13.07
              Forward P/E  10.81
PEG Ratio (5 yr expected)    NaN
        Price/Sales (ttm)   0.65
         Price/Book (mrq)   1.43
 Enterprise Value/Revenue   1.00
  Enterprise Value/EBITDA   8.38</t>
  </si>
  <si>
    <t>Trimble (TRMB) Teams Up With Meta to Launch SketchUp Viewer
Trimble (TRMB) partners with Meta to roll out SketchUp Viewer, offering Meta Quest users with presentation and preview of 3D architecture models.
Trimble Technology Lab for Architecture and Construction Opens at Virginia Tech
Trimble Technology Lab Sponsored by School of Architecture and Myers-Lawson School of Construction  WESTMINSTER, Colo. and BLACKSBURG, Va.
AGCO and Trimble announce JV aimed at boosting farming technology; shares rise
AGCO Corporation (NYSE:AGCO) has announced a joint venture (JV) with Trimble Navigation Limited (NASDAQ:TRMB) that will see it paying $2 billion to acquire an 85% interest in Trimble's agriculture technology business. AGCO will also contribute its JCA Technologies business to the JV.
TRMB Stock: The $3 BILLION Reason Trimble Is Up Today
Trimble (NASDAQ: TRMB ) stock is heading higher on Thursday as investors react to a new agreement with AGCO (NYSE: AGCO ). The big news here that has shareholders of TRMB stock excited is the company forming a joint venture with AGCO.
AGCO to pay $2 billion in cash for most of Trimble's agricultural assets
Shares of Trimble Inc. TRMB, +0.10% rallied Thursday, after AGCO Corp. AGCO, +1.76% said it will pay $2.0 billion to acquire an 85% stake in the Trimble's portfolio of agricultural assets and technologies.
AGCO to Acquire Trimble Ag Assets and Technologies Through a Joint Venture Focused on Next-Generation Precision Ag Technology
DULUTH, Ga.--(BUSINESS WIRE)-- #AGCOIR--AGCO Corporation (NYSE: AGCO), a worldwide manufacturer and distributor of agricultural machinery and Precision Ag technology, announced it has entered into a Joint Venture (JV) with Trimble (Nasdaq: TRMB), where AGCO will acquire an 85% interest in Trimble's portfolio of Ag assets and technologies for cash consideration of $2.0 billion and the contribution of JCA Technologies. The JV creates a global leading mixed-fleet Precision Ag platform that will be the exclu.
Trimble and AGCO to Form Joint Venture to Better Serve Farmers Worldwide with Mixed Fleet Precision Agriculture Solutions
Joint Venture to Accelerate Innovation in Factory-Fit and Aftermarket Solutions to Benefit Farmers Across the Globe Transaction to Simplify and Accelerate Trimble's Focus on its Connect and Scale Strategy WESTMINSTER, Colo. , Sept. 28, 2023 /PRNewswire/ -- Trimble (NASDAQ: TRMB) announced today a definitive agreement to form a joint venture (the "JV") with AGCO (NYSE: AGCO) to better serve farmers with factory fit and aftermarket applications in the mixed fleet precision agriculture market.
Trimble and Meta Bring SketchUp to Meta Quest VR Headsets
An Immersive, Powerful Way to Present and Review 3D SketchUp Models  WESTMINSTER, Colo. , Sept. 27, 2023 /PRNewswire/ -- Trimble (NASDAQ: TRMB) announced today the launch of SketchUp Viewer for Meta Quest 2, Meta Quest Pro and Meta Quest 3, a powerful, immersive way to view and present 3D SketchUp models in virtual reality (VR).
Trimble (TRMB) Boosts Geospatial Segment With New Partnership
Trimble (TRMB) teams up with Kyivstar to install a Continuously Operating Reference Station (CORS) network for GNSS correction services in Ukraine.
Trimble and Kyivstar Partner to Provide GNSS Correction Services for Agriculture, Construction and Geospatial Applications in Ukraine
Trimble Hardware and Software Selected for New GNSS Network  WESTMINSTER, Colo. , Sept. 26, 2023 /PRNewswire/ -- Trimble (NASDAQ: TRMB) and Kyivstar, Ukraine's largest telecommunications company, are partnering to install a new Continuously Operating Reference Station (CORS) network to provide Global Navigation Satellite System (GNSS) correction services across the country.
Trimble Leaders Highlight the Unique 'Journeys' of the Supply Chain During Opening Session of its 2023 Insight Tech Conference + Expo
LAS VEGAS , Sept. 25, 2023 /PRNewswire/ -- Trimble (NASDAQ: TRMB) opened its 2023 Insight Tech Conference + Expo with Trimble leaders Rob Painter, president and CEO, and Ron Bisio, senior vice president of Trimble's Transportation sector, talking about the challenging and transformative journeys in the transportation industry, the increased pace of change and their shared commitment to moving the industry forward.</t>
  </si>
  <si>
    <t>Trimble Inc.</t>
  </si>
  <si>
    <t xml:space="preserve">
    Market Cap (intraday) 13.37B
         Enterprise Value 16.44B
             Trailing P/E  38.75
              Forward P/E  19.46
PEG Ratio (5 yr expected)   1.95
        Price/Sales (ttm)   3.67
         Price/Book (mrq)   3.09
 Enterprise Value/Revenue   4.50
  Enterprise Value/EBITDA  22.37</t>
  </si>
  <si>
    <t>HCA Healthcare: Impact Of Medicare Advantage Growth And Demographic Shift
The healthcare sector is experiencing a post-pandemic recovery, driven by increased costs, nursing shortages, and a growing aging population. The aging population in the US is expected to double within the next 40 years, putting immense fiscal pressure on healthcare spending. Medicare Advantage (Part C) is projected to become the largest revenue source for healthcare providers by 2026, with membership growing at about 8% year-over-year.
32 HCA Healthcare Hospitals Recognized Among 100 Top Hospitals by Fortune/PINC AI
NASHVILLE, Tenn.--(BUSINESS WIRE)--HCA Healthcare, Inc. (NYSE:HCA), one of the nation's leading healthcare providers, today announced that 32 of its hospitals have been recognized on the 2023 Fortune/PINC AI 100 Top Hospitals list for excellence in patient outcomes and experience, operational efficiency, financial health and community impact. The esteemed list aims to inspire hospital and health system leaders to strive for higher performance and provide added value to the patients and communit.</t>
  </si>
  <si>
    <t>HCA Healthcare</t>
  </si>
  <si>
    <t xml:space="preserve">
    Market Cap (intraday)  66.90B
         Enterprise Value 106.78B
             Trailing P/E   12.15
              Forward P/E   12.06
PEG Ratio (5 yr expected)    1.09
        Price/Sales (ttm)    1.13
         Price/Book (mrq)     NaN
 Enterprise Value/Revenue    1.72
  Enterprise Value/EBITDA    7.84</t>
  </si>
  <si>
    <t>1 Reason, Among Many, Investors Prefer Home Depot Over Lowe's
Home Depot consistently outperforms Lowe's in this critical metric.
Could Millennial Homebuyers Be Home Depot's Ticket to Long-Term Growth?
Home Depot is looking to energize its business by appealing to millennial homeowners. The retailer's New Homeowners Hub aims to provide them with valuable guidance.
1 Bright Green Flag for Home Depot Stock
Shares of the giant home goods retailer are well off their all-time high. Investors should pay attention to trends going on with the broader housing market.
3 Magnificent Dividend Stocks That Could Supercharge Your Portfolio
Starbucks has plans for more stores that could lead to substantial growth in the dividend. Vail is a longtime dividend grower and should return to solid profit growth next year.
3 Top-Rated, Oversold Industry Giants
In the current environment, where the SPDR S&amp;P 500 ETF NYSE: SPY has faced a weekly downturn and is nearing an alarming 5% monthly loss, investors might perceive a glimmer of hope amid the turbulence.
Is the Grinch Stealing This Year's Holiday Season Jobs?
United Parcel Service Inc. NYSE: UPS is among logistics companies that are proceeding cautiously this year, in anticipation of a slower holiday season.
Nine Dow Stocks Are So Oversold They're 'Falling Off The Page'
The September sell-off in Dow Jones and S&amp;P 500 stocks is getting so intense, some wonder if it's already overdone.
Down 27% to 58%, These Monster Dividend Stocks Could Be Picking Up Steam
Target's dividend yield has expanded to 3.9% as the stock has drifted lower. Home Depot is facing slower demand as the housing market has taken a breather.
Britain's Warren Buffett Owns This Top Retail Stock: Time to Buy?
Terry Smith has an outstanding record, focusing on the highest-quality businesses. His U.K.-based Fundsmith fund has a small position in Home Depot.
2 Home Improvement Stocks With Promising Dividend Record
Homeowners' interest in updating their homes through technology upgrades positions the home improvement industry for growth. Handsome dividend payouts make players in the industry more attractive.
Is This the 1 Secret to Home Depot's Success?
Home Depot's standing with professional contractors has propelled the business. Professionals make up a small fraction of customers, but half of the company's revenue.
Beware! 3 Dow Stocks Waving Massive Red Flags Right Now
The Dow Jones Industrial Average has a lengthy history. Charles Dow created the index in 1896 and introduced it in the Wall Street Journal.</t>
  </si>
  <si>
    <t>Home Depot (The)</t>
  </si>
  <si>
    <t>Home Improvement Retail</t>
  </si>
  <si>
    <t xml:space="preserve">
    Market Cap (intraday) 302.18B
         Enterprise Value 348.86B
             Trailing P/E   18.86
              Forward P/E   20.04
PEG Ratio (5 yr expected)    1.94
        Price/Sales (ttm)    1.98
         Price/Book (mrq)  226.35
 Enterprise Value/Revenue    2.25
  Enterprise Value/EBITDA   13.29</t>
  </si>
  <si>
    <t>Leidos to Introduce Cutting-Edge Hold Baggage Screening Systems at Sofia Airport
RESTON, Va. , Sept. 27, 2023 /PRNewswire/ -- Leidos (NYSE:LDOS), a FORTUNE® 500 science and technology leader, today announced a collaboration with Sofia Airport in Bulgaria to implement cutting-edge upgrades to its hold baggage screening systems.
3 High-Quality Stocks to Buy on the Dip According to AI
This article is an excerpt from the InvestorPlace Digest newsletter. To get news like this delivered straight to your inbox, click here.
Leidos Schedules Third Quarter 2023 Earnings Conference Call for October 31, 2023 at 8 a.m. (ET)
RESTON, Va. , Sept. 25, 2023 /PRNewswire/ -- Leidos (NYSE: LDOS), a FORTUNE 500® science and technology company, has scheduled a conference call for Tuesday, October 31, 2023, at 8 a.m.</t>
  </si>
  <si>
    <t>Leidos</t>
  </si>
  <si>
    <t xml:space="preserve">
    Market Cap (intraday) 12.66B
         Enterprise Value 17.77B
             Trailing P/E  17.93
              Forward P/E  12.45
PEG Ratio (5 yr expected)    NaN
        Price/Sales (ttm)   0.85
         Price/Book (mrq)   2.75
 Enterprise Value/Revenue   1.20
  Enterprise Value/EBITDA  12.16</t>
  </si>
  <si>
    <t>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Which Is A Better Pick – Keurig Dr Pepper Stock Or Zoetis?
We believe that Zoetis stock (NYSE: ZTS), an animal health company, is a better pick than Keurig Dr Pepper stock (NASDAQ: KDP), given its better prospects.
Zoetis to Host Webcast and Conference Call on Third Quarter 2023 Financial Results
PARSIPPANY, N.J.--(BUSINESS WIRE)---- $ZTS #earnings--Zoetis Inc. (NYSE:ZTS) will host a webcast and conference call at 8:30 a.m. (ET) on Thursday, Nov. 2, 2023. Chief Executive Officer Kristin Peck and Executive Vice President and Chief Financial Officer Wetteny Joseph will review third quarter 2023 financial results and respond to questions from financial analysts during the call. Investors and the public may access the live webcast by visiting the Zoetis website at http://investor.zoetis.com/events-presentatio.
Zoetis Is An Impressive Healthcare Compounder
Zoetis Inc., the world's largest provider of animal medicines, vaccines, and diagnostic products, is capitalizing on the growing trend of pet pampering. The company dominates the companion animal and cattle markets, which are anti-cyclical and have strong growth potential. Zoetis expects to sustain above-average growth through innovation, strategic investments, and leveraging its broad product portfolio.</t>
  </si>
  <si>
    <t>Zoetis</t>
  </si>
  <si>
    <t xml:space="preserve">
    Market Cap (intraday) 80.09B
         Enterprise Value 85.12B
             Trailing P/E  36.63
              Forward P/E  27.70
PEG Ratio (5 yr expected)   2.94
        Price/Sales (ttm)   9.86
         Price/Book (mrq)  17.32
 Enterprise Value/Revenue  10.35
  Enterprise Value/EBITDA  24.05</t>
  </si>
  <si>
    <t>Textron to Release Third Quarter Results on October 26, 2023
PROVIDENCE, R.I.--(BUSINESS WIRE)--Textron Inc. (NYSE: TXT) will release its third quarter 2023 financial results on Thursday morning, October 26, 2023. Textron will also host a conference call at 8:00 a.m. (Eastern) to discuss the results and the company's outlook. The call will be available via webcast at www.textron.com or by direct dial at (844) 867-6169 in the U.S. or (409) 207-6975 outside of the U.S.; Access Code: 7265882. In addition, the call will be recorded and available for playback.
Textron Aviation proudly celebrates 30 years of excellence at the Greensboro Service Center
WICHITA, Kan.--(BUSINESS WIRE)--Textron Aviation is celebrating the 30th anniversary of its factory-owned service center in Greensboro, North Carolina.
Cessna Citation XLS+ and XLS Gen2 avionics upgrade to Garmin G5000 integrated flight deck will soon be available at Textron Aviation Service Centers
WICHITA, Kan,--(BUSINESS WIRE)--Textron Aviation has announced the Garmin G5000 integrated flight deck will soon be available for the Cessna Citation XLS+ and XLS Gen2.
Surf Air Mobility Confirms Order for 100 Aircraft and Exclusive Relationship with Textron Aviation to Support Surf Air Mobility's Development of an Electrified Cessna Grand Caravan EX
LOS ANGELES--(BUSINESS WIRE)--Surf Air Mobility Inc. (NYSE: SRFM) (“Surf Air Mobility” or “SAM”), a regional air mobility platform aiming to sustainably connect the world's communities, confirmed its exclusive relationship with Textron Aviation Inc., a Textron Inc. (NYSE:TXT) company, upon the completion of its public market debut. Today the company announced that deliveries of the first 20 Cessna Grand Caravan EX aircraft are expected to begin in the first half of 2024. This exclusive relation.
Textron Aviation Announces Confirmed Order for First 20 Cessna Grand Caravan EX Aircraft From Surf Air Mobility
WICHITA, Kan.--(BUSINESS WIRE)--Textron Aviation has announced a confirmed order for the first 20 Cessna Grand Caravan EX aircraft from Surf Air Mobility.</t>
  </si>
  <si>
    <t>Textron</t>
  </si>
  <si>
    <t xml:space="preserve">
    Market Cap (intraday) 15.48B
         Enterprise Value 17.26B
             Trailing P/E  17.96
              Forward P/E  13.68
PEG Ratio (5 yr expected)  11.40
        Price/Sales (ttm)   1.24
         Price/Book (mrq)   2.20
 Enterprise Value/Revenue   1.31
  Enterprise Value/EBITDA  11.07</t>
  </si>
  <si>
    <t>Tesla misses EV delivery expectations while its various rivals outpace; sector shares down overall
A slew of electric vehicle makers recently posted delivery numbers, and Elon Musk's Tesla Inc (NASDAQ:TSLA) lagged behind Rivian and others relative to expectations.  Tesla Inc (NASDAQ:TSLA) told investors it produced 430,488 vehicles in the quarter, delivering 435,059 units — that marked deliveries around 30% stronger than this time last year but came up short of the 461,000 expected by the market.
The Most Important Driver Of Tesla Stock
All eyes are on Tesla, Inc.'s ability to solve Full Self-Driving, but the underlying AI can be difficult to understand for better investment decision-making. In this article, we break down in a simplified manner Tesla's approach to self-driving technology, and how it compares to competitors' approaches. While investors are mainly excited about the potential ride-hailing service enabled by Tesla's autonomous vehicles, the monetization opportunities go beyond this.
Tesla: Onward And Upward
Tesla vehicle deliveries declined sequentially due to down-time at production facilities. With a Cybertruck back order of 2 million, the pick-up truck battle is Tesla's to lose. Additional leg of strong growth ahead, as focus on battery storage business ratchets.
Ho-Hum Response to Tesla Miss
Tesla Inc. (NASDAQ: TSLA) reported new electric vehicle (EV) deliveries of 435,059 and production of 4430,488 vehicles in the third quarter of 2023.
Elon Musk's Tesla misses delivery estimates as delays halt production
Tesla said its target to deliver 1.8 million vehicles this year remained unchanged.
Tesla sales slow, missing Wall Street forecasts
Tesla reported slower third quarter sales that fell short of Wall Street forecasts.
Tesla owners must arbitrate false advertising claims over autopilot feature- ruling
A California federal judge has ruled that a group of people who own cars made by Tesla Inc must pursue claims that the company misled the public about its autopilot features in individual arbitration rather than court.
Tesla tipped to start new growth phase, despite light third-quarter deliveries
Tesla Inc (NASDAQ:TSLA) is set to be enter its next stage of growth, that's according to analysts at Wedbush who shrug off Monday's disappointing delivery numbers that fell short of Wall Street expectations. Elon Musk's EV stock fell more than 2.5% in early deals but had rallied back to parity within the first hour of trading.
Tesla reports a sequential decline in quarterly deliveries
Tesla Inc (NASDAQ: TSLA) is trending down this morning after reporting a sequential decline in its quarterly deliveries. Tesla came in short of deliveries estimates in Q3 The electric vehicles behemoth delivered 435,059 vehicles in its third quarter – up roughly 27% on a year-over-year basis.
Cathie Wood Says Software Is the Next Big AI Buying Opportunity. 2 Stocks You'll Wish You'd Bought if She's Right.
Cathie Wood, who runs Ark Investment Management, is extremely bullish on artificial intelligence. Wood believes software companies represent the next big opportunity in AI, following roaring gains in hardware stocks like Nvidia.
Tesla misses on Q3 delivery expectations
Tesla delivered 435,059 vehicles in the third quarter, a result that missed Wall Street expectations and was nearly 7% lower than the previous quarter. Tesla said planned downtimes at its factories led to lower production and delivery numbers.
Tesla Third Quarter Deliveries Drop on Factory Shutdowns
After setting a record for deliveries in the previous quarter, Tesla reported downtime at its factories caused a downshift in production in the third quarter.
Tesla slips as delivery numbers disappoint
Tesla Inc (NASDAQ:TSLA) stock traded lower in Monday morning's dealing after third quarter delivery numbers fell short of Wall Street expectations. Elon Musk's EV maker told investors it produced some 430,488 vehicles in the quarter, delivering 435,059 units – that marked deliveries around 30% better than this time last year, but, crucially, fell some way shy of the 461,000 expected by the market.
Tesla's stock drops after deliveries data missed lowered expectations
Shares of Tesla Inc. took a dive Monday, after the electric vehicle giant reported third-quarter deliveries that were well below already lowered expectations.
Tesla Deliveries Fell More Than Expected In Q3; Wall Street Stays Focused On TSLA Positives
The global EV giant reported vehicle deliveries that fell well more than analysts expected.
Tesla Sales Slip as It Readies Factories for New Models
Analysts expected a decline in sales for the quarter. Still, the dip may raise concerns about flagging demand.
Tesla reports fall in third-quarter deliveries, misses estimates
Tesla missed market estimates for third-quarter deliveries on Monday as the automaker was forced to curb production due to planned factory shutdowns, sending its shares down 3.7% in trading before the bell.
Tesla Vehicle Production &amp; Deliveries and Date for Financial Results &amp; Webcast for Third Quarter 2023
AUSTIN, Texas--(BUSINESS WIRE)--In the third quarter, we produced over 430,000 vehicles and delivered over 435,000 vehicles. A sequential decline in volumes was caused by planned downtimes for factory upgrades, as discussed on the most recent earnings call. Our 2023 volume target of around 1.8 million vehicles remains unchanged.
Tesla reported 435,059 deliveries for the third quarter, and production of 430,488 vehicles
Tesla just reported third-quarter vehicle production and deliveries for 2023.
Ahead Of Tesla's Q3 Production Numbers, Options Traders Bet On Further Decline - Tesla (NASDAQ:TSLA)
Tesla, Inc. TSLA shares recorded losses for the quarter, down around 5% for the period.
Insider trading alert: Tesla executive ditches $2.5 million of TSLA stock
Investors keenly scrutinize insider trading activity as it offers valuable insights into a company's potential. These moves can indicate executives' confidence or concern, serving as a critical signal for stock market participants.
Tesla's 2 Million Cybertruck Reservations
The launch of Tesla's bulletproof Cybertruck pickup has been delayed over and over again.
EV Deliveries for September: Nio, Li Auto, Xpeng Post Gains; Tesla on Deck
China's three U.S.-traded EV makers reported September deliveries Sunday that added up to the second-best month ever for the Chinese Three.
Magnificent Seven tech stocks haven't been this cheap in six years, Goldman Sachs strategists say
The Federal Reserve may be wrong, but at least officials there won't be flying blind now that the government will stay open, keeping the nation's flow of economic data still running. In the early going, there was something of a relief rally, though it quickly evaporated.
Tesla Updates Model Y in China: Report
There's a price war going on among China EVs that's helping to lift sales.
Buy This, Not That: 5 Growth Stocks to Own, 2 to Avoid
The case for investing in growth stocks has been muddled for quite some time. For example, 2022 was a terrible year for growth stocks across the board.
UAW strike, jobs report and Tesla deliveries top Wall Street's week ahead
Wall Street is keeping close tabs on the UAW strike against Ford, GM and Stellantis as it drags into its third week as well as three key reports on the job market.
For Tesla's Cybertruck, Another Sales Launch Date Comes and Goes
The EV maker, known for ambitious goals, is betting customers will stick around for the long-awaited electric pickup.
Tesla's Competition Is Here. Or Is It?
Here's everything you need to know about the electric vehicle maker's week.
UAW strike chaos isn't all good news for Tesla
Big gains in the UAW strike could bolster another organizing drive at Tesla. The union effort could also pressure Volkswagen, Honda, and Toyota.
Got $5,000? These Are 2 of the Best Growth Stocks to Buy Right Now.
As more and more Teslas hit the road, ancillary business segments within the company benefit. Amazon's shares remain cheap by historic standards.
Tesla launches updated Model Y in China, keeps starting price unchanged
U.S. automaker Tesla on Sunday released an updated version of its Model Y in China, with minor changes to the vehicle's exterior and interior.
7 S&amp;P 500 Stocks Set to Explode Higher
With a good deal of uncertainty over interest rate hikes and the potential for recession, markets have been far more volatile. However, if some of the uncertainty fades, we could also see a year-end rally, which I strongly believe could happen.
Is Rivian a Better Long-Term Investment Than Tesla?
What can Rivian do to make it a better investment from this point forward?
Tesla Deliveries: What to Expect
Some planned production pauses to implement manufacturing enhancements will likely weigh on third-quarter deliveries. At the same time, these upgrades may set Tesla up well for strong sequential and year-over-year growth in Q4.
Tesla's AI Advances Could Make It The Next Apple, Says Trader
It's more than just cars and robots at Tesla. The automaker's AI efforts are fueling Tesla stock optimism with investors.
Tesla Vs. BYD 2023: TSLA Stock Near Key Level As Archrival Nears BEV Crown
Tesla stock is trying to rebound even with analysts slashing Q3 delivery targets. BYD is close to seizing the all-electric BEV crown.
Is Tesla Stock a Buy Now?
Tesla stock's valuation has doubled this year. Meanwhile, inventory levels are up in the face of struggling consumers.
Tesla Stock: Massively Overvalued By Every Reasonable Metric
Tesla, Inc. CEO Elon Musk has confidently claimed that the company will reach 20 million annual vehicle sales by 2030. Analysts warn of difficulties in achieving this growth, with downside risks to earnings expectations and overestimation of Tesla's growth potential. Tesla's current valuation is significantly higher than what can be justified by its automotive business alone, and its non-automotive enterprises face challenges.
The Magnificent Seven could be considered the messy seven after a ‘meh' third quarter
The so-called Magnificent Seven lost some luster in the latest quarter, as they proved no longer the big market drivers they were earlier this year.
How Tesla is at the center of the UAW strikes
Electric car maker Tesla is said to have labor costs significantly lower than those of the unionized Detroit 3, which could widen its lead in the EV market.
Tesla sued for severe harassment of Black workers at California plant
Federal civil rights agency claims in lawsuit that employees were subjected to racist slurs and graffiti including nooses
Tesla factory shutdowns to drag on 3Q delivery numbers
Analysts at Wedbush believe longer-than-expected downtimes at Tesla Inc (NASDAQ:TSLA)'s Shanghai and Austin factories will have negatively impacted the electric car marker's third quarter delivery numbers, which they expect will be released on Monday morning or as early as Sunday night. “While from a demand perspective we believe Tesla was on track to hit 460,000 to 465,000 in the quarter, the longer-than-expected downtimes of the factories in Shanghai and Austin caused likely about 20,000 units to shift into 4Q based on our estimates,” they wrote in a note to clients.
Tesla: Exploring the New Risk Alert
In the fast-paced automotive industry, Tesla Inc. ( TSLA , Financial) is a pioneer in electric vehicles. Although the company's stock has seen a significant recovery in 2023, it has not been immune to recent downward risks and financial turbulence.
Don't Sweat Weak Tesla Deliveries, Says Analyst. Investors Aren't Listening.
Tesla is due to report third-quarter delivery figures on Monday, Oct. 2. Estimates have been coming in, weighing on Tesla's stock price.
Why The Likes Of Tesla, Toyota, Are The Winners From UAW Strikes
By now, the headlines rewarding UAW (United Auto Workers) striking against the major U.S. car manufacturing firms, such as Ford Motor NYSE: F, General Motors NYSE: GM, and Stellantis NYSE: STLA, have made their way to every investor's morning bulletin.
3 Red-Hot Growth Stocks to Buy Like There's No Tomorrow
Tesla stock has had an epic run in 2023. ON Semiconductor keeps transforming itself for growth.
Tesla's deliveries expected to fall on plant shutdowns, soft demand
Tesla may miss estimates for third-quarter deliveries due to planned factory shutdowns and soft demand that led the automaker to boost discounts, several Wall Street analysts warned in the run-up to the report that could come as early as Sunday.
Cathie Wood Says Robotaxis Are the Investment Opportunity of a Lifetime, and Ark Is Betting Big on 2 Artificial Intelligence (AI) Growth Stocks
Tesla and Nvidia should benefit as robotaxis revolutionize the mobility industry, creating a market that Ark Invest values at $9 trillion by 2030. Nvidia graphics processing units are the gold standard in artificial intelligence (AI) infrastructure, but the chipmaker also provides software for autonomous driving applications.
These 3 Tech Stocks Are Building the Future
Autonomous driving could drive the next massive surge in Tesla stock. North America's streaming-TV environment centers largely around Roku.
US anti-discrimination agency sues Tesla over 'pervasive' racism
A federal anti-discrimination agency filed a lawsuit Thursday accusing Elon Musk's Tesla of allowing "pervasive" racism at its Silicon Valley car plant and retaliating against Black workers who opposed such abuse.
Tesla trial begins over whether ‘experimental' autopilot caused driver's death
Lawsuit claims company knowingly sold defective car that led to Micah Lee's 2019 death while Tesla blames ‘classic human error'
Equal Employment Opportunity Commission sues Tesla alleging racism at California factory
The United States government's Equal Employment Opportunity Commission sued Tesla Thursday alleging the automaker allowed repeated and overt displays of racism toward Black employees in its Fremont, California, factory.
Federal Lawsuit Accuses Tesla of Racial Discrimination
The Equal Employment Opportunity Commission filed a lawsuit accusing the carmaker of mistreating Black employees at its factory in California.
Federal agency sues Tesla for racial discrimination of Black workers
The EEOC filed suit against Tesla, accusing the automaker of violating federal law by tolerating widespread and ongoing racial harassment of its Black employees.
Tesla's quarterly deliveries, profit seen lower by Citi
Analysts at Citi on Thursday dialed down their expectations for Tesla Inc.'s third-quarter deliveries and profit, saying they based their new numbers on China sales, global registration data and an implied production pace for the EV maker.
Black Tesla workers allegedly harassed with swastikas, nooses: EEOC lawsuit
Tesla has failed to investigate complaints of racist conduct and has fired or otherwise retaliated against workers who report harassment, the EEOC said in the suit.
Tesla hit with racial discrimination lawsuit by US civil rights agency
Tesla Inc (NASDAQ:TSLA) is facing a serious legal challenge as the US Equal Employment Opportunity Commission (EEOC) filed a lawsuit alleging a hostile work environment for racial minorities at its California factory. The EEOC lawsuit, filed on Thursday, claims that Black employees at Tesla's Fremont facility have endured severe racial harassment since 2015, including racial slurs, monkey noises, and racist graffiti such as nooses and swastikas displayed across various locations within the facility.
Tesla Sued By U.S. Agency For Discriminating Against Black Employees
The suit claims Tesla had knowledge of the ongoing racial harassment but didn't make an effort to stop it.
EEOC sues Tesla alleging widespread racist harassment of Black workers, retaliation against those who spoke out
A federal agency has sued Tesla over alleged widespread racist harassment of Black workers, retaliation against those who spoke out about the issues.
Ticking Time Bombs: 3 Cathie Wood Stocks to Dump Before the Damage Is Done
Cathie Wood has the courage of her convictions. The polarizing investor who runs multiple mutual funds through her Ark Innovation ETF (NYSEARCA: ARKK ) firm is notorious for sticking by her stock picks through good times and bad.
Tesla sued for racial discrimination, retaliation by EEOC
Tesla Inc. was sued Thursday by the U.S. Equal Employment Opportunity Commission, which alleges the EV maker violated federal law by “tolerating widespread and ongoing racial harassment of its Black employees” at its Fremont, Calif., plant, and retaliating against those opposing the harassment.
Tesla sued by US agency over alleged harassment of Black factory workers
A U.S. civil rights agency sued Tesla Inc on Thursday, claiming the electric carmaker has tolerated severe harassment of Black employees at its flagship Fremont, California, assembly plant.
2 AI Stocks to Keep on Your Watch List
Tesla is banking on AI to improve its operations and sustain long-term growth. Alphabet is leveraging AI across Google search engines, cloud computing, and moonshot bets.
Should You Still Buy the Nasdaq's Best-Performing Stocks?
Nvidia's sky-high valuation makes it a risky investment at the moment. Meta Platforms has quietly put together a stellar 2023, thanks to its astronomical user numbers.
How Much Is Tesla Worth? You Decide.
It is hard to justify the company's $859-billion valuation without assuming that the car industry will change almost beyond recognition.
Tesla Stock Gets a New EV Bull After a Wave of Downgrades
Battle Road Research analyst Ben Rose upgraded Tesla stock to the equivalent of Buy. The electric-vehicle maker has recently endured a series of negative headlines.
Tesla trial over Autopilot fatality kicks off in California
Opening statements are set to begin on Thursday in the first U.S. trial over allegations that Tesla's Autopilot driver assistant feature led to a death, and its results could help shape similar cases across the country.
2 Ultra-Growth Stocks That Are Leading the Market Recovery
Investors are favoring growth stocks as the market moves closer to bull territory. Amazon and Tesla are leaders in high-growth industries, so they may benefit from an investing environment that favors expansion.
What's New With Tesla Stock?
While the broader markets have been weak with the S&amp;P 500 declining by about 4% over the same period, there have been a couple of other factors impacting Tesla stock.
EV makers such as Tesla could fall under Europe's subsidy probe into China, EU's trade chief says
Non-Chinese brands of electric cars, such as Tesla and BMW, could be examined as part of a subsidy probe on China that the EU kicked off earlier this month.
"The Great Reshuffle": 3 Winning Technologies
Due to the labor market's "Great Reshuffle", the workforce has changed dramatically in just a few years. However, where there's change, there's opportunity.
Don't Miss the Boom: 3 EV Stocks Set to Explode Higher
One of the few ways to beat rising oil prices is to buy an electric vehicle. With the future looking electric, governments are trying their best to achieve their energy goals by 2030.
Tesla Shares Major Updates About Its AI Robot -- Time to Buy Tesla Stock?
Could the future for Tesla be its AI robot?
Deutsche Bank Just Issued a Warning on Tesla (TSLA) Stock
Tesla (NASDAQ: TSLA ) seems to have run into a roadblock today. Currently, TSLA stock is down by about 1% on news that Deutsche Bank cut its third-quarter delivery estimate to 440,000 vehicles from 455,000 vehicles, representing a 6% reduction.
Tesla's stock price target gets cut by Deutsche Bank as the EV maker faces 'considerable downside risk' to 2024 earnings
Deutsche Bank cut its 12-month Tesla's stock price target on Wednesday. The bank's analysts warned that the EV maker faces headwinds to earnings growth in 2024.
Tesla delivery estimates cut by Deutsche Bank on possible production shortfalls
Deutsche Bank has revised Tesla Inc (NASDAQ:TSLA) third quarter delivery estimates, projecting potential shortfalls in production due to global plant upgrades and Project Highland. Analysts now predict deliveries of 440,000 units during 3Q, marking a 6% decrease from their previous estimate of 455,000 units.
Tesla investors should brace for ‘meaningful downside' to 2024 delivery expectations
Tesla Inc. could miss third-quarter delivery and production expectations, but there is “meaningful downside risk” to current 2024 projections due to limited volume growth, Deutsche Bank analyst Emmanuel Rosner said.
Here are the 18 stocks Jim Cramer is watching, including names in EVs, beauty and oil
Here are some of the tickers on my radar for Wednesday, Sept. 27, taken directly from my reporter's notebook.
Tesla Stock's Biggest Issue Isn't Third-Quarter Deliveries, Says Analyst
Deutsche Bank analyst Emmanuel Rosner cut his price target on Tesla stock to $285 from $300. The EV maker may face limited volume growth next year, he writes.
Elon Musk says UAW demands will ‘bankrupt' auto makers ‘in the fast lane'
Elon Musk said demands by the United Auto Workers could quickly bankrupt the big auto makers as the strike by the UAW drew unprecedented support from President Joe Biden.
Prediction: These Will Be 2 of the Most Valuable Stocks by 2035 Thanks to This Multitrillion-Dollar Opportunity
Autonomous vehicles are starting to hit the road, and they could create mind-boggling opportunities for investors. It might be a multitrillion-dollar industry in the coming years, according to Ark Investment Management.
Analysis: Tesla's rivals scrap for thin slices of US EV sales
Ford Motor's decision to hit the brakes on a planned $3.5 billion battery plant in Michigan highlights a challenge for Tesla's growing crowd of rivals in the U.S. market: Tesla is pushing most of them into unprofitable, low-volume niches.
Tesla CEO Elon Musk Says UAW Demands Could Bankrupt Ford, GM
President Biden supported the UAW's demands for a 40% pay increase as he joined the picket line in Michigan.
Most of S&amp;P 500's Gains Driven by 7 Firms, Others Up Less than 5% YTD
The S&amp;P 500 – the stock market index that tracks the performance of the largest US-listed 500 companies – is up around 12.5% in 2023, marking a significant rebound from the 2022 lows. Although this performance is impressive, a recent analysis by stock market strategists pointed to certain risks associated with the rally.
Which of the Magnificent 7 Stocks Is the Best Buy Right Now?
With bumpy markets, investors may want to consider safer stocks, especially those that can withstand any market conditions. That includes the following Magnificent 7 stocks, which investors may want to consider buying today.
Tesla Shanghai plant starts Model Y production with new cost-cutting methods -report
Tesla's Shanghai plant has started Model Y production with new cost-cutting manufacturing methods, Chinese state media Shanghai Securities News reported on Wednesday.
Tesla's AI Self-Driving System Gains Attention Of Start-Ups, Incumbents And Suppliers
The goal of creating a car that can drive itself as safely as a human driver is gaining feasibility after years of being considered unlikely. Tesla is using AI principles and its "Dojo" ultra-powerful computing system to develop a self-driving system that learns from human examples. Other companies, such as GM and Google, also are working on self-driving technology, but the systems are currently too expensive for wide-scale adoption.
Chinese EVs August: Tesla's Shanghai Challenge
Tesla, Inc. Shanghai's capacity is 1 million units a year. A quarter of Shanghai's output is exported to Europe. European antidumping measures could eliminate those sales. Tesla Shanghai will generate little profit at 75% capacity utilization.
Tesla Stock Price Prediction For 2025: What To Know
Tesla stock has gone up 135% since January, but it's still 40% off its 2021 high. See if this recent strength is building towards a higher stock price for TSLA in 2025.
Tesla Stock, Meta Platforms Forge Buy Points As Mutual Funds Load Up
Tesla stock and social media giant Meta Platforms forge new buy points and are on today's IBD Screen Of The Day.
Wait! Don't Buy Tesla Stock Before This Crucial Date.
Elon Musk, the CEO of electric vehicle (EV) manufacturer Tesla (NASDAQ: TSLA ), is unpredictable. That's one of the reasons TSLA stock can soar one month but then plunge the next month.
Dear TSLA Stock Fans, Mark Your Calendars for Oct. 2
Tesla (NASDAQ: TSLA ) stock fans will want to keep an eye on the electric vehicle (EV) company when Oct. 2 rolls around! That's when the EV giant is expected to release its delivery numbers for the third quarter of the year.
TSLA Stock Alert: What to Know as Tesla Faces EU Anti-Subsidy Probe
Tesla (NASDAQ: TSLA ) stock is in the news Tuesday as the electric vehicle (EV) company faces a potential anti-subsidy probe from the European Union ( EU ). The issue Tesla faces is over its sale of EV in the EU that are imported from China.
Tesla stock falls amidst European scrutiny over Chinese subsidies
Tesla Inc (NASDAQ:TSLA) was down 1.2% in Tuesday's early deals as the European Union upped the pressure the EV firm. An EU investigation reportedly found that Tesla unfairly benefitted from Chinese subsidies, according to a Bloomberg report.
Elon Musk beat the odds with Tesla by building hype then converting it into cash, legendary investor Jeremy Grantham says
Jeremy Grantham hailed Elon Musk's hype-building skills and Tesla's unlikely success. Musk is a "wonderful propagandist" who funded Tesla "out of bullshit and charisma," he said.
Fortune's Forecast: Top 3 Stocks Set to Dominate the Next Decade
In this dynamic world, finding stocks with the potential to thrive over the long haul is akin to discovering hidden treasure. As technology steps into a new decade, three stocks stand out on the horizon, poised to dominate their respective industries.
Tesla's stock slips after report EU investigating its Chinese exports
Tesla has likely benefited from China subsidies, a European Union investigation has reportedly found, and that could mean fines for the EV maker or other measures to level the playing field.
Tesla Stock Unfazed by EU Anti-Subsidy Probe
Tesla cars coming to Europe from China are part of an investigation being conducted by EU regulators, Bloomberg reported.
7 Growth Stocks to Buy as Fed Maintains Status Quo
Growth stocks caught a break recently. The Federal Reserve has held the target range for interest rates between 5.25%-5.50%.
UAW Strike 2023: 7 Stocks That Could Actually Benefit From the Disruption
Ford Motor (NYSE: F ) may be making some progress in its negotiations with the United Auto Workers labor union, yet for the automaker and its two “Detroit Three” peers, General Motors (NYSE: GM ) and Chrysler parent Stellantis (NYSE: STLA ), the ongoing UAW strike remains a serious headwind. Beyond just causing operational disruptions in the near-term, this labor action could have a lasting negative effect on each of these companies.
Tesla to face EU anti-subsidy probe over China exports- FT
Tesla and European carmakers that export from China to the EU will be part of the bloc's probe into whether the country's electric vehicles industry is receiving unfair subsidies, the Financial Times reported on Tuesday, citing Brussels' most senior trade official.
3 High-Flying Artificial Intelligence (AI) Stocks Billionaires Are Aggressively Selling
Artificial intelligence (AI) has the potential to add more than $15 trillion to global gross domestic product by 2030. However, not all successful billionaire investors are sold on the companies behind Wall Street's next-big-thing trend.
September's 7 Most Controversial EV Stocks: Buy or Bail?
The electric vehicle market is set to accelerate. In fact, according to iShares, global EV sales could soar to about 27 million by 2026 from 10.5 million just last year.
Tesla To Report Q3 Deliveries. Wall Street Not Expecting Record.
Analysts are slashing delivery forecasts just days before Tesla reports the key data.
UAW Strike Escalates: Who Stands to Gain and Lose?
UAW strike intensifies, affecting the U.S. auto industry, legacy automakers, suppliers, and the steel industry. Tesla and other non-unionized manufacturers may gain, but consumers may feel the pinch if the strike drags on.
Tesla's stock on four-day losing streak, as EV maker looks to build India battery factory
Shares of Tesla Inc. headed lower on Monday, stretching their losing run to a fourth session, as support for stock from the United Auto Workers strike has failed to materialize and as the electric-vehicle maker reportedly looks to build a battery factory in India.
Is Most-Watched Stock Tesla, Inc. (TSLA) Worth Betting on Now?
Tesla (TSLA) has received quite a bit of attention from Zacks.com users lately. Therefore, it is wise to be aware of the facts that can impact the stock's prospects.
Tesla cars aren't union made, but they are the most American-made
Every year, Cars.com assembles a list of the most American-made vehicles.  Last year, Tesla only claimed the two top spots.
Tesla Updates World On Its Humanoid Robot. Does The Market Care?
The EV giant released a video showing Optimus sorting objects and performing several yoga stretches. Tesla stock fell after tumbling last week.
These Are The 12 Stocks Driving The S&amp;P 500 Higher In 2023
The S&amp;P 500 is up 12.5% so far in 2023, even with the market correction. But an equal-weight ETF is up just 1%.
Could Tesla Be a $1 Trillion Company by 2024?
Tesla vehicles are some of the most popular options right now. But the electric vehicle maker faces a stiff competitor in China.
Where will Tesla stock be in 1 year?
The one-year trajectory of Tesla Inc.'s (NASDAQ: TSLA) stock is a subject of considerable intrigue among traders and market enthusiasts. As of the current moment, Tesla's stock has exhibited notable volatility, having surged by an impressive $136.78, equating to a remarkable 126.53% increase year-to-date.
S&amp;P 500 is up 13% in 2023; Which stocks are growth drivers?
After weathering a tumultuous 2022 marred by record-high inflation and a hawkish stance from Federal Reserve policymakers, the US stock market has undergone a remarkable turnaround in 2023.
Will Tesla's Booming Energy Storage Business Help Its Stock?
The renewable energy sector is poised to see demand surge in the coming years, driven by government incentives and urgency to combat climate change.
Down 11% In 1 Week, Is It Time to Buy Tesla Stock?
The electric-car maker's stock was hit hard as investors fret over high interest rates' impact on auto loans. Trading at about 71 times earnings, the stock is still priced for rapid growth for years to come.
Bad News for Tesla Stock Investors
Here's everything you need to know about the electric vehicle maker's week.
2 Cathie Wood Stocks to Buy Hand Over Fist Right Now
Cathie Wood is a visionary investor with an eye toward disruptive new technology. Tesla and Crispr Therapeutics are two of her top holdings that screen as stellar buys right now.
Thailand expects Tesla, Google, Microsoft to invest $5 billion, prime minister says
Thailand's Prime Minister Srettha Thavisin said on Sunday the country expected to receive investment of at least $5 billion from Tesla , Google and Microsoft.</t>
  </si>
  <si>
    <t>Tesla, Inc.</t>
  </si>
  <si>
    <t>Automobile Manufacturers</t>
  </si>
  <si>
    <t xml:space="preserve">
    Market Cap (intraday) 794.20B
         Enterprise Value 776.93B
             Trailing P/E   71.29
              Forward P/E   55.25
PEG Ratio (5 yr expected)    2.13
        Price/Sales (ttm)    9.25
         Price/Book (mrq)   15.53
 Enterprise Value/Revenue    8.26
  Enterprise Value/EBITDA   44.03</t>
  </si>
  <si>
    <t>DR. JORDAN LASER AWARDED AMP MERITORIOUS SERVICE AWARD
MINNEAPOLIS , Sept. 28, 2023 /PRNewswire/ -- Bio-Techne Corporation (NASDAQ: TECH) today announced that Dr. Jordan Laser has received the AMP Meritorious Service Award from the Association for Molecular Pathology (AMP).
SCIENTISTS AT CE PHARM CONFERENCE DESCRIBE HOW Maurice™ AND MauriceFlex™ SYSTEMS TRANSFORM THEIR PROTEIN ANALYSIS
MINNEAPOLIS , Sept. 27, 2023 /PRNewswire/ -- Bio-Techne Corporation (NASDAQ: TECH) was pleased to host presentations by three industry experts yesterday at the CASSS CE Pharm conference in Philadelphia, PA.
BIO-TECHNE INTEGRATES ITS MAURICE SYSTEM WITH THE THERMO SCIENTIFIC CHROMELEON CHROMATOGRAPHY DATA SYSTEM
MINNEAPOLIS , Sept. 26, 2023 /PRNewswire/ -- Bio-Techne Corporation (NASDAQ: TECH) is pleased to launch the new Maurice Chromeleon Driver Kit, which enables control of its Maurice™ instrument with the Thermo Scientific™ Chromeleon™ Chromatography Data System (CDS).
BIO-TECHNE ISSUES 2023 CORPORATE SUSTAINABILITY REPORT
MINNEAPOLIS , Sept. 25, 2023 /PRNewswire/ -- Bio-Techne Corporation (NASDAQ: TECH) today issued its 2023 Corporate Sustainability Report (CSR), detailing the continued progress advancing its Environmental, Social and Governance (ESG) initiatives.</t>
  </si>
  <si>
    <t>Bio-Techne</t>
  </si>
  <si>
    <t xml:space="preserve">
    Market Cap (intraday) 10.77B
         Enterprise Value 11.02B
             Trailing P/E  38.68
              Forward P/E  35.71
PEG Ratio (5 yr expected)    NaN
        Price/Sales (ttm)   9.69
         Price/Book (mrq)   5.48
 Enterprise Value/Revenue   9.70
  Enterprise Value/EBITDA  24.11</t>
  </si>
  <si>
    <t>Teradyne (TER) Upgraded to Buy: What Does It Mean for the Stock?
Teradyne (TER) has been upgraded to a Zacks Rank #2 (Buy), reflecting growing optimism about the company's earnings prospects. This might drive the stock higher in the near term.
LitePoint and InnoPhase Collaborate to Verify Performance of 5G Infrastructure Technology
LitePoint's IQxstream-5G+ radio test solution co-validated with InnoPhase for the Hermes TWO 4G/5G small cell / O-RAN split 7.x compliant radio chipset SAN JOSE, CA / ACCESSWIRE / September 26, 2023 / LitePoint, a leading provider of wireless test solutions, today announced its collaboration with InnoPhase to validate the performance of their "Hermes" Product Line, a series of pioneering system on chip 5G infrastructure radio solutions. The LitePoint IQxstream-5G+ test solution enables developers of 4G/5G infrastructure radio products to get to market faster.</t>
  </si>
  <si>
    <t>Teradyne</t>
  </si>
  <si>
    <t xml:space="preserve">
    Market Cap (intraday) 15.47B
         Enterprise Value 14.88B
             Trailing P/E  29.72
              Forward P/E  16.86
PEG Ratio (5 yr expected)   0.97
        Price/Sales (ttm)   5.82
         Price/Book (mrq)   6.35
 Enterprise Value/Revenue   5.20
  Enterprise Value/EBITDA  19.14</t>
  </si>
  <si>
    <t>Charles Schwab: A Tough Third Quarter Coming Up
Charles Schwab delivered solid second quarter results in tough market conditions, with manageable sales and earnings declines. The company's balance sheet has been affected by deposit outflows and the regional banking crisis, a trend which has flattened out a bit. Third quarter results are expected to be soft due to increased interest rates and ongoing deposit migration, making it a challenging quarter for Schwab.
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Schwab (SCHW) Focuses on Innovation with New Inheritance Center
Schwab (SCHW) introduces a digital inheritance center to make investing easier and more accessible for its clients.
Investor's Business Daily Recognizes Charles Schwab Bank as Most Trusted Bank and Charles Schwab as one of the Most Trusted Financial Services Firms in Annual Survey
WESTLAKE, Texas--(BUSINESS WIRE)--Charles Schwab Bank was named the most trusted bank by Investor's Business Daily (IBD) in its 2023 Most Trusted Financial Companies Survey, marking the first year a bank broke into the annual survey's top 10 since its inception in 2020. Charles Schwab was also named one of the most trusted investment firms, with consumers ranking Schwab among the top two most trusted financial companies across four categories – ETF/Fund Company, Online Broker, Wealth Management.
Schwab (SCHW) Cuts Fees on More Fixed income ETFs to 0.03%
Schwab (SCHW) reduces fees on the Schwab High Yield Bond ETF and the Schwab U.S. TIPS ETF to three basis points. The move will attract more investors, leading to a rise in profits.
Schwab Asset Management Reduces Fees on Two Fixed Income ETFs, Pricing Its Entire Fixed Income Lineup at Three Basis Points
WESTLAKE, Texas--(BUSINESS WIRE)--Schwab Asset Management™, the asset management arm of The Charles Schwab Corporation and the fifth-largest provider1 of ETFs, today announced the reduction of operating expense ratios for the Schwab High Yield Bond ETF (SCYB) and the Schwab U.S. TIPS ETF (SCHP), bringing the fees for Schwab Asset Management's entire lineup of fixed income ETFs to only three basis points. All of Schwab Asset Management's fixed income ETFs are now among the lowest-priced ETFs in.
Best Banks In Trust: Schwab Sweeps A Tough Trust Category
Schwab Bank takes top honors in IBD's survey of trusted banks by focusing on soundness, quality and service in a year of bank failures. How did your bank rate?</t>
  </si>
  <si>
    <t>Charles Schwab Corporation</t>
  </si>
  <si>
    <t xml:space="preserve">
    Market Cap (intraday) 99.98B
         Enterprise Value    NaN
             Trailing P/E  15.96
              Forward P/E  13.23
PEG Ratio (5 yr expected)   1.08
        Price/Sales (ttm)   4.91
         Price/Book (mrq)   3.58
 Enterprise Value/Revenue    NaN
  Enterprise Value/EBITDA    NaN</t>
  </si>
  <si>
    <t>2 Solar Stocks React to Analyst Notes
Solar stocks are in the spotlight today, after analysts issued notes to Sunnova Energy International Inc (NYSE:NOVA) and Solaredge Technologies Inc Corporation (NASDAQ:SEDG).
Barclays Just Slashed Its Price Target on SolarEdge (SEDG) Stock
SolarEdge (NASDAQ: SEDG ) stock is on the move Monday after the solar energy company's shares got a price target cut and downgrade. That price cut comes from Barclays analyst Christine Cho.
A Bull Market Is Coming: 2 Phenomenal Growth Stocks to Buy Before They Soar 93% and 127%, According to Wall Street
Wall Street's median price targets imply substantial upside for Block and SolarEdge shareholders. Block continued to gain momentum with its Square and Cash App ecosystems in the most recent quarter.
Is It Time to Buy the S&amp;P 500's 4 Worst-Performing Stocks This Year?
Dollar General continues to struggle in the current macroeconomic environment. Enphase Energy and SolarEdge are facing challenges from higher interest rates.
Wall Street Bulls Look Optimistic About SolarEdge (SEDG): Should You Buy?
Investors often turn to recommendations made by Wall Street analysts before making a Buy, Sell, or Hold decision about a stock. While media reports about rating changes by these brokerage-firm employed (or sell-side) analysts often affect a stock's price, do they really matter?
2 No-Brainer Growth Stocks to Buy With $1,000 Right Now
All three major U.S. financial indexes are trading below their all-time highs. Zscaler is a leader in zero trust network access, and the stock trades at a discount to its historical valuation.
Don't Miss the Boom: 3 Solar Stocks Set to Explode Higher
The solar sector has been one of the market's hottest areas this year, with many stocks delivering triple-digit returns. However, over the past couple of months, we've seen a sharp pullback, with many of the same solar stocks down 30-50% from their highs.
Wall Street analysts expect the S&amp;P 500 to rise 19% over the next 12 months. Here are their 10 favorite stocks.
Outside of a handful of highflying technology stocks, U.S. stocks have been practically flat in 2023, but on Wall Street, some analysts remain as bullish as ever.
Analysts Predict A 19% Surge For The S&amp;P 500 Soon — Lifted By 10 Stocks
It's been a rough half of the year for the S&amp;P 500 — with it slipping nearly 3%. But that's not stopping analysts from bullish calls.
3 Solar Stocks That Should Be on Every Investor's Radar This Fall
As autumn leaves give the ground a rustic makeover, astute investors might also consider revamping their financial portfolios. In that context, let's talk solar—the ever-buzzing energy segment that just can't be ignored anymore.</t>
  </si>
  <si>
    <t>SolarEdge</t>
  </si>
  <si>
    <t xml:space="preserve">
    Market Cap (intraday) 7.32B
         Enterprise Value 7.01B
             Trailing P/E 25.05
              Forward P/E 11.56
PEG Ratio (5 yr expected)  0.28
        Price/Sales (ttm)  2.09
         Price/Book (mrq)  2.91
 Enterprise Value/Revenue  1.91
  Enterprise Value/EBITDA 15.90</t>
  </si>
  <si>
    <t>Time to Buy These Popular High-Dividend Yielding Stocks?
Three stocks that are able to lure investors in with their lofty dividends are Simon Property Group (SPG), Altria (MO), and OneMain Holdings (OMF).
Recent Stock Purchase September 2023
With September ending and the markets still humming along relatively flat, I decided to add to some of my existing positions. UGI and MO are beaten down so far in 2023 and look enticing to me over the long haul. If prices remain depressed I will continue to average down on my positions in these two stocks and others.
50 Large-Cap High-Yield Stocks For October
Dogsofthedow.com recently published this list of 50 large-cap high-dividend stocks as of 9/28/23. The DOD list targeted investors who “don't want to simply focus on a high dividend yield only to discover that the stock price has plunged or that the corporation went belly-up”. Investors reduce volatility/risk by limiting high-dividend search to large well-established companies.
Buy These 2 Dividend Stocks to Boost Your Passive Income
Passive income investors owe it to themselves to consider these excellent dividend stocks.
October Dividend Kings: 5 To Buy And 5 To Watch
"There is only one-criterion to be included among the Dividend Kings: a publicly-traded company must increase its total fiscal-year dividend-payout for a minimum of 50 consecutive-years."--Dogs of the Dow. The 49 Dividend Kings screened as of September 26 represented seven of eleven Morningstar Sectors. Broker targeted-top-ten net-gainers ranged 24.77%-38.84% topped-by Northwest Natural, and Target. By yield, Altria tops-all. Top-ten Kingly October yields from SWK, TGT, BKH, FRT, NWN, CDUAF, MMM, UVV, LEG, &amp; MO averaged 5.86%.
Dividend Harvesting Portfolio Week 134: $13,400 Allocated, $1,163.15 In Projected Dividends
The stock market and the economy are two different things, and the Fed's mandate is not to prioritize the stock market. The Dividend Harvesting Portfolio took a hit in Week 134, but it remains in the black and continues to generate dividend income. The portfolio's diversification and consistent cash flow from dividends help mitigate downside risk and provide long-term stability.
Altria Stock: Buy, Sell, or Hold?
Altria's dividend yield is a huge 9.37%. The company's main product has a loyal customer base.
Top Dividend Stocks: Mcdonald's Stock vs. Altria Stock
These dividend stocks are not going to make you rich overnight, but they can build a stream of passive income.
Should You Buy the 5 Highest-Paying Dividend Stocks in the S&amp;P 500?
The five S&amp;P 500 stocks with the highest dividend yields represent several sectors and industries. Their yields are so high in part due to poor stock performances this year, but there are other factors as well.
Why Altria Group Is A Hidden Gem Among Dividend Kings
Altria Group is an American corporation and one of the leading players in the tobacco industry, headquartered in Richmond, which has an extensive portfolio of tobacco brands. Altria Group's revenue for the second quarter of 2023 amounted to $5.44 billion, 14.3% more than the previous quarter and 1.3% more than the second quarter of 2022. Despite periodic headwinds that temporarily impede the company's growth in the global e-cigarette and vape market, its management has consistently raised dividend payments for the past 54 years.
This Tobacco Stock's Dividend Is Now Yielding 9%: Time to Buy?
Altria is the dominant player in the U.S. cigarette market with its Marlboro brand of cigarettes. The company grows its earnings by increasing the price of cigarettes, counteracting volume declines.
3 Stocks to Buy Ahead of the Coming VIX Spike
There are already many pieces of the puzzle that point to volatile times ahead. Undoubtedly, volatility can be a trader's best friend, but for investors, volatility paints a completely different scenario.
7 Value Stocks That Should Be on Every Investor's Radar This Fall
As the year began, institutional investors fled growth stocks to the relative safety of value stocks. In the second quarter, some of that money moved back to growth stocks.</t>
  </si>
  <si>
    <t>Altria</t>
  </si>
  <si>
    <t xml:space="preserve">
    Market Cap (intraday)  74.62B
         Enterprise Value 100.94B
             Trailing P/E   11.07
              Forward P/E    8.22
PEG Ratio (5 yr expected)    6.31
        Price/Sales (ttm)    3.64
         Price/Book (mrq)     NaN
 Enterprise Value/Revenue    4.88
  Enterprise Value/EBITDA   10.43</t>
  </si>
  <si>
    <t>Why You Should Retain Mosaic (MOS) Stock in Your Portfolio
Mosaic (MOS) gains on healthy demand for phosphate and potash on the back of favorable agricultural market fundamentals amid pricing pressure.</t>
  </si>
  <si>
    <t>Mosaic Company (The)</t>
  </si>
  <si>
    <t xml:space="preserve">
    Market Cap (intraday) 11.83B
         Enterprise Value 15.04B
             Trailing P/E   5.56
              Forward P/E  11.57
PEG Ratio (5 yr expected)    NaN
        Price/Sales (ttm)   0.72
         Price/Book (mrq)   0.95
 Enterprise Value/Revenue   0.89
  Enterprise Value/EBITDA   3.89</t>
  </si>
  <si>
    <t>Oil and Gas Stocks Topped S&amp;P 500 Returns This Quarter as Crude Prices Surged
Oil and gas companies featured heavily in the list of top-performing S&amp;P 500 companies in the third quarter, as rising crude prices lifted the outlook for profits.</t>
  </si>
  <si>
    <t>Marathon Petroleum</t>
  </si>
  <si>
    <t xml:space="preserve">
    Market Cap (intraday) 60.51B
         Enterprise Value 77.62B
             Trailing P/E   5.55
              Forward P/E   9.08
PEG Ratio (5 yr expected)  15.65
        Price/Sales (ttm)   0.44
         Price/Book (mrq)   2.35
 Enterprise Value/Revenue   0.50
  Enterprise Value/EBITDA   3.45</t>
  </si>
  <si>
    <t>3 Revolutionary Stocks I'd Buy Right Now Without Hesitation
These three companies have a proven ability to develop innovative products in the healthcare field. All three have performed poorly on the market over the past year, but their prospects remain intact.
Moderna's Shares Could Take Off if These 2 Things Happen
Moderna has announced progress on late-stage programs and forecasts billion-dollar earnings down the road, but the stock continues to stagnate. Investors might be waiting for concrete signs of success before diving in.
Here's Why You Should Consider Moderna Stock, and No, It's Not the COVID Vaccine
Revenue from Moderna's COVID vaccine will continue for the foreseeable future. Moderna has a deep pipeline with several products in phase 3 trials.
Moderna Recommends Shareholders Reject Amended “Mini-Tender” Offer by TRC Capital Investment Corporation
CAMBRIDGE, MA / ACCESSWIRE / September 29, 2023 / Moderna, Inc. (NASDAQ:MRNA) has become aware that TRC Capital Investment Corporation (TRC Capital) has amended its unsolicited "mini-tender" offer to purchase up to 1,000,000 shares of Moderna's common stock, at an offer price that is now $99.00 per share, down from $107.56 per share under the original offer. TRC Capital's amended offer price of $99.00 per share is lower than the closing price of Moderna common stock on the Nasdaq Global Select Market on September 28, 2023, the last trading day prior to the announcement of the updated offer.
If I Could Only Buy 3 Stocks in 2023, I'd Pick These
The number of stocks to choose from could feel overwhelming, but you can narrow down the possibilities by focusing on a couple of key elements. It's important to look at future prospects, the strength of product or service offerings, and potential catalysts ahead.
Is it Time to Buy Pfizer, Moderna, or AstraZeneca's Stock?
Despite slowing COVID-19 vaccine sales these healthcare titans are trading at more reasonable valuations with a lot of the risk-to-reward being priced into their stocks considering their earnings potential.
Don't Miss the Boom: 3 Healthcare Stocks Set to Explode Higher
According to the American Medical Association, U.S. healthcare spending totaled $4.3 trillion in 2021, equal to nearly $13,000 per person. Overall medical expenses account for nearly 20% of U.S. gross domestic product (GDP).
Wall Street analysts expect the S&amp;P 500 to rise 19% over the next 12 months. Here are their 10 favorite stocks.
Outside of a handful of highflying technology stocks, U.S. stocks have been practically flat in 2023, but on Wall Street, some analysts remain as bullish as ever.
EU in talks with Moderna over new COVID vaccine deal - FT
The European Union is in talks with Moderna over a new procurement deal for the company's COVID-19 vaccines amid concerns over a rise in infections in the region, the Financial Times reported on Tuesday.
Analysts Predict A 19% Surge For The S&amp;P 500 Soon — Lifted By 10 Stocks
It's been a rough half of the year for the S&amp;P 500 — with it slipping nearly 3%. But that's not stopping analysts from bullish calls.
Beware! 3 Healthcare Stocks Waving Massive Red Flags Right Now.
Healthcare stocks generally offer a lot of upside. The cost of healthcare is incredibly expensive in the United States and the companies that deliver it tend to do very well overall.</t>
  </si>
  <si>
    <t>Moderna</t>
  </si>
  <si>
    <t xml:space="preserve">
    Market Cap (intraday) 39.31B
         Enterprise Value 32.02B
             Trailing P/E  35.86
              Forward P/E    NaN
PEG Ratio (5 yr expected)    NaN
        Price/Sales (ttm)   3.89
         Price/Book (mrq)   2.32
 Enterprise Value/Revenue   2.17
  Enterprise Value/EBITDA   5.91</t>
  </si>
  <si>
    <t>The 7 Top Stocks to Buy for a Q4 Rebound
September lived up to its billing as the worst month of the year. Pulled lowered by the threat of higher interest rates, a looming government shutdown, and rising energy prices, U.S. indices ended September in the red.
Nvidia, Uber, Meta Stock And More Wrestle With This Key Benchmark
As the indexes fight to retake key moving averages, Meta stock joins Nvidia, Uber, Arista and more on this premier list of growth stocks.
Will Meta Platforms (META) Beat Estimates Again in Its Next Earnings Report?
Meta Platforms (META) has an impressive earnings surprise history and currently possesses the right combination of the two key ingredients for a likely beat in its next quarterly report.
Mark Zuckerberg agreed it could be possible to use the Metaverse to bring back the dead virtually
Mark Zuckerberg recently demoed his humanlike VR avatars in an interview in the Metaverse. He was asked about how the tech could be used to create virtual versions of deceased loved ones.
Magnificent Seven tech stocks haven't been this cheap in six years, Goldman Sachs strategists say
The Federal Reserve may be wrong, but at least officials there won't be flying blind now that the government will stay open, keeping the nation's flow of economic data still running. In the early going, there was something of a relief rally, though it quickly evaporated.
2 Top Tech Stocks to Buy for the Long Haul
Smart investing means identifying companies with great long-term prospects and holding their stocks for years. Alphabet's massive revenue and fortress balance sheet make it a solid investment for the long term.
Meta technology chief defends tech titan's AI strategy
Meta's chief technology officer is quick to push back on assertions that the company has fallen behind rivals like ChatGPT in the explosive surge across the tech industry in generative AI.
2 Stocks for the Q4 Bull Rally
This might be an opportune time to consider picking these stocks.
Meta has Apple to thank for giving its annual VR conference added sizzle this year
Apple's announced its entry into the VR market is boosting an industry that Meta has dominated for a number of years
Meta's plan to beat Apple in spatial computing: cheaper, faster, and more fun
The heated rivalry between the two companies was on full display at Meta's Connect conference this week, where the VR headset maker laid out its vision for spatial computing. Meta CTO Andrew Bosworth didn't mention Apple by name when he took the stage at the company's annual Connect developer conference in Menlo Park, California, on Wednesday, September 27—but the competitor was clearly on his mind when he introduced Meta's new Quest 3 device as “the best-value spatial computing headset on the market for a long time to come.
3 Reasons Meta's Profits Could Soar in 2024
Meta saw earnings plummet amid a challenging environment. Improvements in several areas could provide leverage for earnings growth.
The Magnificent Seven could be considered the messy seven after a ‘meh' third quarter
The so-called Magnificent Seven lost some luster in the latest quarter, as they proved no longer the big market drivers they were earlier this year.
Everything you can do with the new Meta Quest 3 mixed reality headset
This week Meta Platforms Inc (NASDAQ:FB) unveiled the Quest 3, the company's latest iteration of its mixed reality goggles.  The $499 goggles will be available starting October 10, with pre-orders launching on Wednesday.
Examining Meta Platforms On A Sum Of The Parts Basis
Meta Platforms, Inc. has seen a significant shift in its business model, and we continue to question their allocation of capital. The company's losses in its Reality Labs division continue to be a drag, despite some improvements in other areas of the business. But advertisers have returned to Meta's core Facebook and Instagram platforms, and the tough comps are well behind them.
AI Stocks To Buy In October 2023? 2 To Know
AI stocks to watch in the stock market now.
This Meta Platforms Insider Just Sold $200,000 Worth of META Stock
Meta Platforms (NASDAQ: META ) stock is on the move Friday following an insider at the social media company selling shares. Jennifer Newstead, the Chief Legal Officer at Meta Platforms, revealed a share sale in a filing with the Securities and Exchange Commission (SEC).
AI Stocks Cool Off But Amazon, Meta Take Aim At Cloud, Consumer Apps
Amazon and Meta highlight this week's artificial intelligence news but the cooling off of AI stocks such as Nvidia may weigh on investors.
Meta: Strong Execution with New AI Tools
Meta Platforms Inc ( META , Financial), formerly known as Facebook, is a company of controversy. Its platforms are known for being highly sticky with users and even addictive for some.
Will Meta Platforms Be a $2 Trillion Stock by 2030?
Meta Platforms has a big secular growth opportunity in the form of the digital ad market. The company enjoys a nice share of the lucrative digital ad market.
Ticking Time Bombs: 7 Growth Stocks to Dump Before the Damage Is Done
Investors seeking to outperform the market and generate enhanced long-term returns often put their money into growth stocks.  While this strategy can yield solid returns during good times, growth stocks tend to fall the hardest when the economy contracts.
Meta Platforms: Riding The AI Wave
Meta Platforms, Inc. is reinventing its business and focusing on AI, with new AI tools and personal AI assistants being introduced at Meta Connect 2023. The market opportunity for personal AI assistants was predicted to be over a trillion dollars, with users willing to pay a few hundred dollars for such services. Meta Platforms stock remains a bargain at 14x normalized earnings not including AI upside, once the tech giant eliminates Metaverse losses.
Meta's AI assistant was trained on public Facebook and Instagram posts, global affairs head says
Meta Platforms Inc (NASDAQ:FB) utilized public user Facebook and Instagram posts to train the new Meta AI virtual assistant unveiled at its Connect developer conference this week, according to reporting from Reuters.  Meta President of Global Affairs Nick Clegg insisted the company did not train its AI on content set to private and said the company worked to omit private details from the datasets it did use.
Why Meta Platforms Stock Triumphed on Thursday
The social media giant held its annual Meta Connect developers conference. During the event, it took the wraps off a number of new products and services.
Meta's new AI chatbot trained on public Facebook and Instagram posts
Meta Platforms used public Facebook and Instagram posts to train its new Meta AI virtual assistant, but excluded private posts shared only with family and friends in an effort to respect consumers' privacy, the company's top policy executive told Reuters in an interview.
Meta Platforms (META) Expands AI Portfolio With New Solutions
Meta Platforms (META) is expanding its artificial intelligence (AI) solutions portfolio with the launch of AI stickers across its apps. It is launching Ray-Ban Meta smart glasses and Quest 3.
2 Best Performing Stocks on the S&amp;P 500 Are Breaking Out Now
Although these last two weeks have been painful for investors, as the S&amp;P 500 pulled back by ~7% in a rather short time, it is likely setting up what could be a powerful end of year rally. Additionally, if you take a look at a technical chart of the Nasdaq 100 index, we can see that on Wednesday, the market made a big reversal right at the bottom of the consolidation.
META Stock Alert: 9 Takeaways From Meta Connect 2023
Meta Platforms (NASDAQ: META ) stock is a hot topic among traders on Thursday following the company's Meta Connect 2023 event. Meta Connect 2023 is a special event held by Meta Platforms that went over its plans for the metaverse, augmented reality ( AR ) and virtual reality ( VR ).
Should You Still Buy the Nasdaq's Best-Performing Stocks?
Nvidia's sky-high valuation makes it a risky investment at the moment. Meta Platforms has quietly put together a stellar 2023, thanks to its astronomical user numbers.
Titanic Turnarounds: 3 Stocks Bouncing Back Stronger than Ever
In the world of technology, some stocks shine brighter than others, even amidst challenges and uncertainties. The article delves into the fascinating progression of three tech giants as they embark on remarkable turnarounds propelled by innovative strategies and cutting-edge technology.
Meta unveils new mixed reality headset – but will consumer interest in VR rally?
Meta has ramped up the race for our faces as it revealed the next generation of its wearable immersive tech products.
Norway asks EU regulator to fine Facebook owner Meta over privacy breach
Norway's data regulator will refer the fine it has imposed on Meta Platforms to the European data authority, it said on Thursday, a move that could make the fine permanent and widen it to the European Union.
1 No-Brainer AI Stock to Buy Hand Over Fist for Phenomenal Gains in the Next 5 Years
Meta Platforms has been delivering terrific growth this year. The uptick in the digital ad market and the company's growing market share thanks to the adoption of AI are going to drive healthy growth for Meta.
Riding the Cloud Wave: Why Meta Platforms Is a Stock to Watch
The key word for those considering an investment in Meta Platforms (NASDAQ: META ) stock is “platforms.” Meta is what I call a “Cloud Czar.
Looking for Tech Stocks? These 3 Are Great Buys.
Roku should benefit from a rebound in digital advertising. Remitly Global is capturing market share in remittances and seeing revenue growth accelerate.
Meta's Connect conference introduces the Quest 3 headset, Ray-Ban smart glasses and more
Meta Platforms Inc (NASDAQ:FB) unveiled the new Quest 3 mixed reality headset, Ray-Ban brand smart glasses and a series of AI chatbots on the first day of its Connect developer conference.  Here's what was revealed during the event in Menlo Park, California.
Why Meta Platforms Stock Dropped and Then Recovered Today
Meta held its Connect event today, sharing updates on the Quest 3, smart glasses, and AI. The stock briefly sold off in what looked like a "sell-the-news" event.
Meta CEO Mark Zuckerberg unveils AI chat bots at Connect conference
Mark Zuckerberg also unveiled Meta's new $500 virtual reality headset, Quest 3, at the company's Connect developer conference in Menlo Park, Calif.
Zuckerberg unveils Quest 3 as Meta tries to stay ahead in the mixed reality headset game
Meta is moving forward in its efforts to dominate the AR world with the new and improved Meta Quest 3. CEO Mark Zuckerberg unveiled the headset at Meta Connect Wednesday.
Meta Goes Head-to-Head with Apple with its New Quest 3 Headset
Meta Platforms Inc. (META) officially released details about its Quest 3 headset at the beginning of its two-day developer conference on Wednesday, the latest step in the company's virtual and augmented reality play.
Facebook Needs to Continue Covering Meta's Expensive Quest
New mixed-reality headset and AI tools will keep costs high—raising pressure for ad growth.
Meta CEO Mark Zuckerberg looks to digital assistants, smart glasses and AI to help metaverse push
Meta is rolling out new AI software in addition to its Quest 3 virtual reality headset and latest smart glasses as it tries to move the world to the metaverse.
Meta's Stock Wavers As Company Announces New VR Headset, AI Chatbots
Meta Platforms Chief Executive Mark Zuckerberg unveiled the Facebook parent's latest virtual-reality headset Wednesday.
Meta announces ‘universe of AI' for Instagram, Facebook, WhatsApp
At a keynote speech at the annual Meta Connect conference today, Mark Zuckerberg announced massive AI updates, building "state-of-the-art AI into the apps that billions of people use."
Meta unveils latest VR headset, as Zuckerberg calls it the ‘first mainstream mixed-reality headset'
Meta Platforms Inc. on Wednesday threw down the immersive gauntlet with what it claims is the first mainstream mixed-reality headset.
Meta debuts AI Studio to let developers build custom chatbots
Today at its annual Connect developer conference, Meta launched AI Studio, a platform that'll let businesses build AI chatbots for the company's messaging services, including Facebook, Instagram and Messenger. Starting with Messenger, AI Studio will let companies “create AIs that reflect their brand's values and improve customer service experiences,” Meta writes in a press release.
Meta just announced Quest 3 VR headset: ‘the stock goes higher from here'
Meta Platforms Inc (NASDAQ: META) just announced the Quest 3 – its new virtual reality headset that will go up against the Apple Vision Pro.
Meta announces new Quest 3 VR headset as Apple competition looms
Meta announced Quest 3, a sequel to the best-selling VR headset of all time, starting at $499. The defining feature of the new Quest 3 headset is the ability to quickly see the world outside the headset, which will make the device more comfortable to use for long periods because it is less isolating.
Meta Platforms: Here's What You Don't Know About Meta
We remain buy-rated on Meta Platforms, Inc. We think Meta's FoA customer base and A.I.-enabled interactive services position it for better ad revenue growth in 2024. The company is anticipated to launch its own A.I. chatbot across its social media apps, targeting younger users, later this week at the Meta Connect conference.
Investors Heavily Search Meta Platforms, Inc. (META): Here is What You Need to Know
Meta Platforms (META) has been one of the stocks most watched by Zacks.com users lately. So, it is worth exploring what lies ahead for the stock.
Meta CEO Mark Zuckerberg to kick off developer conference with focus on AI, virtual reality
Meta CEO Mark Zuckerberg will kick off the tech giant's Connect developer conference on Wednesday with a focus on virtual and augmented reality and artificial intelligence.
Meta pays £149m to break lease on central London office building
Landlord British Land says decision will knock earnings for six months to next March
Meta is spending $181 million to end a lease on an office it never moved into, report says — as Big Tech continues to reassess the role of in-person work
Meta had 18 years remaining on the lease for an eight-storey office in London, the FT reports. Doing so will cost the tech giant around $181 million, per the FT.
Big Tech Titans Feel the Chill as AI Stocks Slide
You only need to look at the one-month decline in AI chip powerhouse Nvidia Corp. NASDAQ: NVDA to understand that something has changed. Is Nvidia's pullback a sign that the AI rally that fueled big tech sector gains is taking a breather as interest rates rise?
Meta unveils AI assistant, Facebook-streaming glasses
Meta Platforms Chief Executive Mark Zuckerberg on Wednesday rolled out new AI products for consumers, including bots that create photo-realistic images and smart glasses that answer questions, as well as an updated virtual-reality headset.
Most of S&amp;P 500's Gains Driven by 7 Firms, Others Up Less than 5% YTD
The S&amp;P 500 – the stock market index that tracks the performance of the largest US-listed 500 companies – is up around 12.5% in 2023, marking a significant rebound from the 2022 lows. Although this performance is impressive, a recent analysis by stock market strategists pointed to certain risks associated with the rally.
Which of the Magnificent 7 Stocks Is the Best Buy Right Now?
With bumpy markets, investors may want to consider safer stocks, especially those that can withstand any market conditions. That includes the following Magnificent 7 stocks, which investors may want to consider buying today.
Tesla Stock, Meta Platforms Forge Buy Points As Mutual Funds Load Up
Tesla stock and social media giant Meta Platforms forge new buy points and are on today's IBD Screen Of The Day.
Meta expected to debut Quest 3 VR headset at Connect event Wednesday
The two-day Meta Platforms Inc (NASDAQ:FB) Connect developer conference kicks off at 1 pm ET Wednesday, and the company is widely expected to officially launch the Quest 3 virtual reality headset.  CEO Mark Zuckerburg touted the headset on Instagram in June, calling the $499 device, “The first mainstream headset with high-res color mixed reality.
Meta Stock Nears Buy Point — But Timing Is Everything
Investors could miss Meta stock's rise, but beware the trader's adage: you can be right on your thesis but wrong on timing.
Don't Miss the Boom: 7 AI Stocks Set to Explode Higher
Amidst the ever-shifting landscape of technology, artificial intelligence (AI) has been one of the biggest catalysts for the tech sphere in 2023. Even as the fanfare subsides, AI's stronghold remains undeniable, especially when eyeing the Nasdaq impressive 35% surge this year, fueled predominantly by AI tailwinds.
META vs. NEWR: Which Stock Is the Better Value Option?
Investors with an interest in Internet - Software stocks have likely encountered both Meta Platforms (META) and New Relic (NEWR). But which of these two companies is the best option for those looking for undervalued stocks?
Is Meta Stock A Buy? Facebook Parent Setting Up With AI, Virtual Reality News On Tap
Meta Platforms is right below a buy point as the social media giant prepares to show off new virtual reality hardware and artificial intelligence tools.
Meta Struggles To Take Off In Threads
Meta Platforms, Inc. launched Threads with a lot of fanfare, but the usage seems to have dropped after initial growth. A recent Financial Times report shows that Threads daily active users has declined after the initial week while Twitter's user base is intact. Meta has already shown success with Reels, and we could see similar success with Threads over the next few years.
Wall Street Analysts See Meta Platforms (META) as a Buy: Should You Invest?
When deciding whether to buy, sell, or hold a stock, investors often rely on analyst recommendations. Media reports about rating changes by these brokerage-firm-employed (or sell-side) analysts often influence a stock's price, but are they really important?
Facebook owner Meta pays £149m to surrender lease on London office
Meta has "surrendered" the lease on one of its London offices as tech firms continue efforts to slash costs.
Meta Connect will focus on AI and mixed reality, but does that include Apple?
AI and mixed reality are likely to be the focus of Meta Platforms Inc.'s annual developers conference Wednesday. But the lingering question is whether Meta will address a certain nemesis down the road.
Meta pays massive break fee to property developer British Land
Meta Platforms Inc (NASDAQ:FB) has decided to surrender its unused lease of 1 Triton Square office building next door to Regent's Park in London, meaning it will pay £149 million cash break fee to property developer British Land Company PLC (LSE:BLND). Analysts said the fee was staggeringly high for the Facebook and Instagram owner's decision to vacate the asset.
Meta's Threads struggles to grow amid rivalry with Elon Musk's X, ranking ahead of only Tumblr
Threads ranks near the bottom of the most popular social apps and continues to trail X, according to Insider Intelligence's first forecast of the Twitter clone.
META Stock Price Predictions: Next Stop $375. What Then?
Where is Meta Platforms (NASDAQ: META ) stock headed next? No one has a crystal ball that can consistently predict asset price moves.
Dow Jones Biotech Giant Amgen, Meta Stock, Eye Buy Points In Stock Market Correction
Dow Jones biotech leader Amgen and Meta stock are among the best stocks to watch in today's stock market action.
These Are The 12 Stocks Driving The S&amp;P 500 Higher In 2023
The S&amp;P 500 is up 12.5% so far in 2023, even with the market correction. But an equal-weight ETF is up just 1%.
META's Outperformance Last Week Points to Imminent Breakout
While many high-beta and market-leading technology stocks experienced retracements over the past week, shares of Meta Platforms NASDAQ: META were relatively unchanged on the week, down just 1.15%.
Meta to launch AI personas to lure Gen Z onto Facebook
Facebook owner Meta Platforms Inc (NASDAQ:FB) is reportedly poised to introduce a new chatbot equipped with various personas aimed at encouraging younger people onto the site. Dubbed “Gen AI Personas,” the bot is due to be unveiled at Meta's Connect event on Wednesday, according to the Wall Street Journal.
S&amp;P 500 is up 13% in 2023; Which stocks are growth drivers?
After weathering a tumultuous 2022 marred by record-high inflation and a hawkish stance from Federal Reserve policymakers, the US stock market has undergone a remarkable turnaround in 2023.
Facebook AI bot with different personalities to lure Gen Z
Facebook owner Meta Platforms Inc (NASDAQ:FB) is reportedly poised to introduce a new chatbot equipped with various personas aimed at encouraging younger people onto the site. Dubbed “Gen AI Personas,” the bot is due to be unveiled at Meta's Connect event on Wednesday, according to the Wall Street Journal.
'Break the Meta': Herman Miller Gaming and G2 Esports Launch Limited-Edition Embody Gaming Chair
BERLIN , Sept. 25, 2023 /PRNewswire/ -- G2 Esports, one of the world's most distinctive and successful esports and entertainment brands, and Herman Miller Gaming, a global leader in innovative design known for producing some of the best seating solutions in the world, will take their partnership to the next level, releasing a limited-edition model of Herman Miller Gaming's award-winning Embody Gaming Chair.
Meta Hopes to Win Back Young Users With AI Chatbot
Meta is reportedly counting on artificial intelligence (AI) to help it entice younger users. The social media giant could unveil new AI chatbots with distinct personalities across its apps as soon as this week, The Wall Street Journal (WSJ) reported Sunday (Sept.
2 Artificial Intelligence (AI) Stocks to Buy and Hold Forever
Alphabet and Meta Platforms continue to make AI-driven improvements to their businesses. Both have solid operations beyond AI, so investing in them grants exposure to the field with limited risk.
Meta to Push for Younger Users With New AI Chatbot Characters
Facebook's parent is developing bots with personalities, including a “sassmaster general” robot that answers questions.</t>
  </si>
  <si>
    <t>Meta Platforms</t>
  </si>
  <si>
    <t xml:space="preserve">
    Market Cap (intraday) 772.36B
         Enterprise Value 755.13B
             Trailing P/E   34.99
              Forward P/E   18.18
PEG Ratio (5 yr expected)    0.72
        Price/Sales (ttm)    6.57
         Price/Book (mrq)    5.76
 Enterprise Value/Revenue    6.27
  Enterprise Value/EBITDA   19.71</t>
  </si>
  <si>
    <t>MGM Resorts Returns as the Presenting Sponsor of the Annual Las Vegas Pride Parade
LAS VEGAS , Oct. 2, 2023 /PRNewswire/ -- MGM Resorts International (NYSE: MGM) ("MGM Resorts" or the "Company") proudly returns for the 17th consecutive year as the presenting sponsor of the annual Las Vegas Pride Parade, scheduled for Friday, October 6 in downtown Las Vegas. As a long-time sponsor of the annual Pride Parade since 2003, MGM Resorts continues to amplify its support for the LGBTQ+ community year after year.
MGM Resorts' (MGM) BetMGM Unveils Sports Betting in Kentucky
BetMGM, an iGaming and online sports betting brand of MGM Resorts (MGM) launches online mobile sports betting app in Kentucky.
BetMGM Launches Mobile Sports Betting in Kentucky
Retail sportsbook in partnership with Revolutionary Racing coming to Ashland this fall JERSEY CITY, N.J. , Sept. 28, 2023 /PRNewswire/ -- BetMGM, a leading sports betting and iGaming operator, launched today its online mobile sports betting app in Kentucky, giving customers in the Bluegrass State access to a wide variety of betting options as well as the opportunity to earn experiences at MGM Resorts' properties nationwide.
MGM Resorts' Joint Venture Signs Implementation Agreement for Integrated Resort in Osaka, Japan
Marks Finalization of the Certification Process  LAS VEGAS , Sept. 28, 2023 /PRNewswire/ -- MGM Resorts International (NYSE: MGM) ("MGM Resorts" or the "Company") today announced that Osaka IR Corporation, a joint venture with ORIX Corporation ("ORIX") established to develop the Osaka IR Project, signed an agreement with Osaka Prefecture and Osaka City to implement the Specified Integrated Resort Facilities Area Development Plan for Yumeshima, Osaka.
Wall Street analysts expect the S&amp;P 500 to rise 19% over the next 12 months. Here are their 10 favorite stocks.
Outside of a handful of highflying technology stocks, U.S. stocks have been practically flat in 2023, but on Wall Street, some analysts remain as bullish as ever.
Analysts Predict A 19% Surge For The S&amp;P 500 Soon — Lifted By 10 Stocks
It's been a rough half of the year for the S&amp;P 500 — with it slipping nearly 3%. But that's not stopping analysts from bullish calls.</t>
  </si>
  <si>
    <t>MGM Resorts</t>
  </si>
  <si>
    <t>Casinos &amp; Gaming</t>
  </si>
  <si>
    <t xml:space="preserve">
    Market Cap (intraday) 12.90B
         Enterprise Value 40.90B
             Trailing P/E  28.94
              Forward P/E  25.38
PEG Ratio (5 yr expected)    NaN
        Price/Sales (ttm)   0.95
         Price/Book (mrq)   2.92
 Enterprise Value/Revenue   2.76
  Enterprise Value/EBITDA  11.87</t>
  </si>
  <si>
    <t>Waters Corporation: Buybacks Ceased, Incremental Returns Languishing (Rating Downgrade)
Waters Corporation has pushed lower into H2 FY'23, in continuation of the longer-term downtrend. WAT's acquisition of Wyatt Technology was a large premium that to me signaled a lack of profitable investment runway. Despite exceptional returns on existing capital, the incremental returns don't match these numbers, clamping earnings and FCF growth.
Waters Has Made Progress In Repositioning The Business, And The Valuation Is Much More Accommodating Now
Waters Corporation has seen a significant hit to its share price as momentum has left the life sciences tools space and as spending from the key biopharma end-market has corrected. Biopharma spending likely won't return to the torrid pace of the boom years, but ongoing investments into discovery tools, production equipment, and QA/QC equipment should drive healthy growth. The company's presence in industrial markets, such as food and water quality testing, provides a steady source of profitability and growth potential in areas like battery testing and sustainable polymers.</t>
  </si>
  <si>
    <t>Waters Corporation</t>
  </si>
  <si>
    <t xml:space="preserve">
    Market Cap (intraday) 16.21B
         Enterprise Value 18.60B
             Trailing P/E  24.20
              Forward P/E  20.58
PEG Ratio (5 yr expected)   2.57
        Price/Sales (ttm)   5.44
         Price/Book (mrq)  21.01
 Enterprise Value/Revenue   6.22
  Enterprise Value/EBITDA  18.56</t>
  </si>
  <si>
    <t>Don't Miss the Boom: 3 Transportation Stocks Set to Explode Higher
At first glance, the concept of transportation stocks to buy might seem odd if not outright precarious. With the underlying ecosystem dependent on economic stability, concerns about a possible recession on the horizon present a dour framework.
Should You Pick Union Pacific Stock Over McDonald's?
Given its better prospects, we believe Union Pacific stock (NYSE: UNP) is a better pick than McDonald's stock (NYSE: MCD).</t>
  </si>
  <si>
    <t>Union Pacific Corporation</t>
  </si>
  <si>
    <t>Rail Transportation</t>
  </si>
  <si>
    <t xml:space="preserve">
    Market Cap (intraday) 124.10B
         Enterprise Value 158.14B
             Trailing P/E   18.60
              Forward P/E   17.27
PEG Ratio (5 yr expected)    3.10
        Price/Sales (ttm)    5.05
         Price/Book (mrq)    9.41
 Enterprise Value/Revenue    6.39
  Enterprise Value/EBITDA   12.84</t>
  </si>
  <si>
    <t>UPS to Gain From MNX Global Logistics Buyout: Here's How
The acquisition will bring MNX Global Logistics' potential in radio-pharmaceuticals and temperature-controlled logistics, which is expected to strengthen UPS's position in the healthcare industry.
How To Earn $500 A Month From UPS Following Acquisition News - United Parcel Service (NYSE:UPS)
United Parcel Service Inc UPS, last week, penned a deal to acquire MNX Global Logistics (MNX) for an undisclosed amount.
3 Warren Buffett Stocks Set to Explode Higher
Through his holding company Berkshire Hathaway (NYSE: BRK-A /NYSE: BRK-B ), Warren Buffett runs a massive investment portfolio, currently worth $340 billion. He also holds nearly $150 billion of cash in the portfolio in case, as he likes to say, opportunities arise.
My Top 2 High-Yield Dividend Stocks for Building Generational Wealth
Target stock deserved to fall, but the sell-off has gone too far. A slowing economy is bad news for Target and UPS.
Here are the 12 stocks Jim Cramer is watching, including a dire consumer forecast
Here are some of the tickers on my radar for Thursday, Sept. 28, taken directly from my reporter's notebook.
UPS to Acquire MNX in Strategic Move to Expand Global Healthcare and Time-Critical Capabilities
ATLANTA--(BUSINESS WIRE)--UPS (NYSE: UPS) announced today that it has entered into an agreement to acquire MNX Global Logistics (MNX), a global time-critical logistics provider. Once completed, the acquisition will bring even more precision and capability to UPS customers in healthcare and related industries who rely upon time-sensitive, often life-impacting logistics solutions. Whether it's to save a life or to get a grounded airplane back in the air faster, MNX will help UPS deliver what its.
UPS Strengthens Network Capabilities and Employee Experience Through Automation
ATLANTA--(BUSINESS WIRE)--UPS (NYSE: UPS) has a long history of driving innovations that propel its business and bring industry-leading solutions to logistics. Today the company announced ways it is strengthening its network capabilities and enhancing employee experience through automation. UPS is leveraging technology to help reduce repetitive tasks and physical stress while promoting safety for the company's employees. The technologies will also improve package flow and overall efficiency of.
UPS Gets Ready for Holiday Rush, to Hire 100,000 Plus Workers
UPS aims to make additional recruitments in a bid to maintain its on-time performance with respect to package delivery.
Better Dividend Stock to Buy Today: Ford vs. UPS
Investing in either of these stocks could increase passive income.
UPS says it will hire 100,000 seasonal workers for the holiday rush — but don't expect that $170,000 salary
UPS plans on hiring 100,000 seasonal workers to beef up its workforce for the holiday season. Pay rates for these roles will be higher than last year thanks to a new labor contract.
UPS will hire 100,000 seasonal workers to prepare for holiday demand
United Parcel Service Inc (NYSE: UPS) just announced plans of hiring over 100,000 seasonal workers to prepare for the holiday demand.
UPS prepares to hire over 100,000 seasonal workers ahead of holiday rush
United Parcel Service Inc (NYSE:UPS) has announced that it will hire more than 100,000 seasonal employees to cope with the 2023 holiday rush. The parcel delivery giant said it is filling full-time and part-time positions for the holiday season, including drivers and packaging handlers, at locations across the US.
UPS hiring over 100,000 holiday workers
UPS said it's seeking to hire more than 100,000 seasonal workers as it prepares for another holiday shipping season. UPS is enticing workers by offering competitive wages.
UPS to hire 100,000 holiday workers with Teamsters pay bump
UPS will hire 100,000 seasonal workers again this year, with starting pay up as a result of the newly ratified Teamsters agreement.
UPS to hire over 100,000 seasonal workers ahead of holiday rush
United Parcel Service said on Tuesday it would hire more than 100,000 seasonal workers to handle the 2023 holiday rush, a similar number of employees it hired a year earlier during the same period.
UPS Recruits 100,000 Seasonal Workers For The 2023 Holiday Season
ATLANTA--(BUSINESS WIRE)--UPS (NYSE: UPS) announced today it will hire more than 100,000 seasonal employees to serve the 2023 holiday rush. As the industry leader in on-time delivery performance for five consecutive peak seasons, UPS is positioned again to deliver the reliable service that customers depend on year-round, especially during the important holiday shopping season. The company is filling full- and part-time seasonal positions – primarily seasonal delivery drivers, Commercial Driver'.
UPS Has a Clear Path to Growth
In a turbulent landscape of rising labor costs and strikes that have shaken major corporations to their core, United Parcel Service Inc. ( UPS , Financial), the world's largest package delivery company, appears to have found an unexpected glimmer of relief. While automotive, airline and retail giants grapple with labor shortages, the company has been navigating the challenging labor environment successfully thanks to recent strategic decisions.
Own UPS Stock? It Will Get Worse Before It Gets Better.
A weakened economy hit the company in 2023, and that could extend into 2024. UPS is making excellent progress in key end markets like small and medium-sized businesses and healthcare.</t>
  </si>
  <si>
    <t>United Parcel Service</t>
  </si>
  <si>
    <t xml:space="preserve">
    Market Cap (intraday) 133.18B
         Enterprise Value 150.42B
             Trailing P/E   13.52
              Forward P/E   14.39
PEG Ratio (5 yr expected)    2.45
        Price/Sales (ttm)    1.41
         Price/Book (mrq)    6.65
 Enterprise Value/Revenue    1.56
  Enterprise Value/EBITDA    8.83</t>
  </si>
  <si>
    <t>U.S. Bancorp Announces Third Quarter Earnings Conference Call Details
MINNEAPOLIS--(BUSINESS WIRE)--U.S. Bancorp Announces Third Quarter Earnings Conference Call Details.
U.S. SEC nearing settlement with Wall Street firms over WhatsApp probe -sources
The U.S. Securities and Exchange Commission (SEC) is finalizing settlements with around two dozen Wall Street firms to resolve investigations into record-keeping lapses, said two people with knowledge of the matter.
Banks Have Problems but Their Stocks Are Cheap. 5 Worth a Look.
Higher interest rates, which were supposed to be a savior for the sector, have instead led to many problems.</t>
  </si>
  <si>
    <t>U.S. Bank</t>
  </si>
  <si>
    <t xml:space="preserve">
    Market Cap (intraday) 51.47B
         Enterprise Value    NaN
             Trailing P/E   9.21
              Forward P/E   7.51
PEG Ratio (5 yr expected)   2.18
        Price/Sales (ttm)   1.86
         Price/Book (mrq)   1.11
 Enterprise Value/Revenue    NaN
  Enterprise Value/EBITDA    NaN</t>
  </si>
  <si>
    <t>9 Stocks Turn $10,000 Into $141,941 In 9 Months
Stocks tanked right on cue in September. But nimble S&amp;P 500 investors are still finding ways to make big money.
Don't Miss the Boom: 3 Cybersecurity Stocks Set to Explode Higher
The world increasingly relies on the internet to store data, make purchases and communicate with friends. While the digital world has provided many benefits, it has also resulted in cybercrime.</t>
  </si>
  <si>
    <t>Arista Networks</t>
  </si>
  <si>
    <t xml:space="preserve">
    Market Cap (intraday) 56.94B
         Enterprise Value 53.25B
             Trailing P/E  34.00
              Forward P/E  26.53
PEG Ratio (5 yr expected)   1.50
        Price/Sales (ttm)  11.03
         Price/Book (mrq)   9.72
 Enterprise Value/Revenue  10.12
  Enterprise Value/EBITDA  26.97</t>
  </si>
  <si>
    <t>Are Investors Undervaluing APA (APA) Right Now?
Here at Zacks, our focus is on the proven Zacks Rank system, which emphasizes earnings estimates and estimate revisions to find great stocks. Nevertheless, we are always paying attention to the latest value, growth, and momentum trends to underscore strong picks.
Oil and Gas Stocks Topped S&amp;P 500 Returns This Quarter as Crude Prices Surged
Oil and gas companies featured heavily in the list of top-performing S&amp;P 500 companies in the third quarter, as rising crude prices lifted the outlook for profits.</t>
  </si>
  <si>
    <t>APA Corporation</t>
  </si>
  <si>
    <t xml:space="preserve">
    Market Cap (intraday) 12.63B
         Enterprise Value 18.16B
             Trailing P/E   8.42
              Forward P/E   6.91
PEG Ratio (5 yr expected)    NaN
        Price/Sales (ttm)   1.42
         Price/Book (mrq)  17.81
 Enterprise Value/Revenue   1.74
  Enterprise Value/EBITDA   3.12</t>
  </si>
  <si>
    <t>Here's Why Investors Should Retain Alaska Air (ALK) Stock Now
Pro-investor steps and strong air-travel demand boost Alaska Air (ALK).
Alaska Air's (ALK) Subsidiary Introduces New Nonstop Services
The latest addition of new nonstop services between San Diego and Atlanta is likely to enhance Alaska Air's (ALK) competitive position.
Airline stocks fall again, with Southwest and JetBlue shares at multiyear lows
The airline sector was suffering another broad selloff Tuesday, amid worries over how a government shutdown will hurt the industry and as falling ticket prices raise concerns over profitability.
Wall Street analysts expect the S&amp;P 500 to rise 19% over the next 12 months. Here are their 10 favorite stocks.
Outside of a handful of highflying technology stocks, U.S. stocks have been practically flat in 2023, but on Wall Street, some analysts remain as bullish as ever.
Alaska Airlines adds new nonstop between San Diego and Atlanta
Heart of Georgia becomes our 37th nonstop destination, the most of any carrier from San Diego SEATTLE , Sept. 25, 2023 /PRNewswire/ -- Our guests in San Diego love the convenience of our nonstop, coast-to-coast flights.
Analysts Predict A 19% Surge For The S&amp;P 500 Soon — Lifted By 10 Stocks
It's been a rough half of the year for the S&amp;P 500 — with it slipping nearly 3%. But that's not stopping analysts from bullish calls.</t>
  </si>
  <si>
    <t>Alaska Air Group</t>
  </si>
  <si>
    <t xml:space="preserve">
    Market Cap (intraday) 4.72B
         Enterprise Value 6.16B
             Trailing P/E 29.90
              Forward P/E  5.93
PEG Ratio (5 yr expected)   NaN
        Price/Sales (ttm)  0.46
         Price/Book (mrq)  1.19
 Enterprise Value/Revenue  0.60
  Enterprise Value/EBITDA  8.33</t>
  </si>
  <si>
    <t>Amcor plc announces changes to Board of Directors
ZURICH , Sept. 26, 2023 /PRNewswire/ -- Amcor (NYSE: AMCR) (ASX:AMC), a global leader in developing and producing responsible packaging solutions, today announced that Lucrèce Foufopoulos-De Ridder has been nominated as a non-executive director for election at the Company's Annual Meeting of Shareholders on Wednesday November 8, 2023.</t>
  </si>
  <si>
    <t>Amcor</t>
  </si>
  <si>
    <t>Paper &amp; Plastic Packaging Products &amp; Materials</t>
  </si>
  <si>
    <t xml:space="preserve">
    Market Cap (intraday) 13.25B
         Enterprise Value 19.77B
             Trailing P/E  12.99
              Forward P/E  13.39
PEG Ratio (5 yr expected)    NaN
        Price/Sales (ttm)   0.92
         Price/Book (mrq)   3.29
 Enterprise Value/Revenue   1.35
  Enterprise Value/EBITDA   9.29</t>
  </si>
  <si>
    <t>10 Cheap Value Stocks Are Poised To Report Massive Profit Growth
Just because a stock is considered a "value" doesn't mean it can't grow like crazy. In fact, many S&amp;P 500 value stocks may do just that.
AIG Appoints Patricia J. Walsh as Executive Vice President and General Counsel
NEW YORK--(BUSINESS WIRE)--American International Group, Inc. (NYSE: AIG) today announced that Patricia (Trish) Walsh will join AIG as Executive Vice President and General Counsel, effective December 1, 2023. Ms. Walsh will report to Peter Zaffino, AIG Chairman &amp; Chief Executive Officer, and serve on AIG's Executive Leadership Team. As General Counsel, Ms. Walsh will be responsible for AIG's legal, compliance, and regulatory functions, in addition to leading government affairs for the compa.
Advanced Health Intelligence to Play a Pivotal Role in Bearn Collaboration with AIG Insurance
Highlights AHI partner Bearn LLC ("Bearn") signs transformative commercial partnership with US insurance conglomerate American International Group Inc. ("AIG"). AHI biometrics to be used in Bearn and AIG partnership to acquire and streamline underwriting solutions.
Aviva to buy AIG's UK life insurance business for $563 million
Aviva said on Monday it had agreed to buy the UK life insurance business of AIG for 460 million pounds ($563 million), in the largest acquisition to date by the British insurer's CEO Amanda Blanc.
Aviva buys AIG's UK protection business for £460 million
Aviva PLC (LSE:AV.) has picked up AIG's UK protection business for £460 million, a deal it said would deliver “significant capital and expense synergies ” The FTSE 100-litsted insurer said the deal supports its strategy to grow capital-light businesses and adds 1.3 million individual protection customers and 1.4 million group protection members.</t>
  </si>
  <si>
    <t>American International Group</t>
  </si>
  <si>
    <t xml:space="preserve">
    Market Cap (intraday) 43.14B
         Enterprise Value 65.49B
             Trailing P/E   9.24
              Forward P/E   8.14
PEG Ratio (5 yr expected)    NaN
        Price/Sales (ttm)   0.87
         Price/Book (mrq)   1.03
 Enterprise Value/Revenue   1.25
  Enterprise Value/EBITDA    NaN</t>
  </si>
  <si>
    <t>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Accenture Acquires SIGNAL to Enhance its Integrated Marketing Capabilities in Japan
NEW YORK &amp; TOKYO--(BUSINESS WIRE)--Accenture has acquired SIGNAL, an integrated marketing firm based in Tokyo, Japan.
Is Accenture Stock a Buy Now?
Accenture posted a mixed Q4 earnings report. It expects its slowdown to drag on through fiscal 2024.
Accenture's Sales and Guidance Miss Estimates as New Bookings Drop
Accenture Plc (ACN) shares dropped on Thursday to their lowest level since June after the information technology services and consulting firm's revenue and full-year outlook missed estimates as new bookings declined.
Accenture (ACN) Surpasses Q4 Earnings Estimates, Rises YoY
Accenture's (ACN) improving segmental results helps its earnings and revenues for the fourth quarter to grow year over year.
Accenture plc (ACN) Q4 2023 Earnings Call Transcript
Accenture plc (NYSE:ACN ) Q4 2023 Earnings Conference Call September 28, 2023 8:00 AM ET Company Participants Katie O'Conor - Managing Director, Head of Investor Relations Julie Sweet - Chair and Chief Executive Officer KC McClure - Chief Financial Officer Conference Call Participants Tien-Tsin Huang - JPMorgan James Faucette - Morgan Stanley Lisa Ellis - MoffettNathanson Keith Bachman - BMO Darrin Peller - Wolfe Research Jason Kupferberg - Bank of America Bryan Keane - Deutsche Bank Operator Thank you for standing by. Welcome to Accenture's Fourth Quarter Fiscal 2023 Earnings Call.
AI Isn't Saving These 2 Tech Stocks Thursday
Investors have wanted AI stocks to rise en masse. Yet Micron stock fell even as it hopes to build a stronger relationship with Nvidia.
Here's What Key Metrics Tell Us About Accenture (ACN) Q4 Earnings
Although the revenue and EPS for Accenture (ACN) give a sense of how its business performed in the quarter ended August 2023, it might be worth considering how some key metrics compare with Wall Street estimates and the year-ago numbers.
Accenture (ACN) Q4 Earnings Top Estimates
Accenture (ACN) came out with quarterly earnings of $2.71 per share, beating the Zacks Consensus Estimate of $2.62 per share. This compares to earnings of $2.60 per share a year ago.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Accenture earnings fall as new bookings drop
Accenture (NYSE:ACN) repirted a drop in earnings for the financial fourth-quarter as new bookings fell 10%. The professional-services company posted a profit of $1.37 billion, or $2.15 a share, for the three months ended August 31, down from $1.67 billion, or $2.60 a share, the year before.
Accenture Stock Drops as Earnings Outlook Misses Expectations
Accenture posts fiscal fourth-quarter earnings of $2.71 a share on revenue of $15.99 billion.
Accenture Falls On Fiscal Q4 Revenue Miss, Sales Outlook
Accenture reported fiscal Q4 earnings that topped Wall Street targets while revenue missed amid weak bookings.
Accenture stock slips in premarket after 2024 earnings forecast falls short
Accenture Plc's ACN, +1.21% stock dropped 2% in premarket trading Thursday after the New York-based professional services company's adjusted 2024 profit outlook fell short of analyst estimates. Accenture said it expects 2024 adjusted earnings of $11.97 to $12.32 a share, below the FactSet consensus estimate of $12.40 a share.
Accenture Reports Fourth-Quarter and Strong Full-Year Fiscal 2023 Results
NEW YORK--(BUSINESS WIRE)--Accenture reported financial results for the fourth quarter and full fiscal year ended August 31, 2023.
Accenture Supports Largest Migration of Electronic Medical Record System to Microsoft Azure
NEW YORK--(BUSINESS WIRE)--Accenture supported Mount Sinai with the migration of its enterprise electronic medical record system, Epic, to the Microsoft Azure cloud environment.
Earnings Previews: Accenture, CarMax, Micron
After U.S. markets close on Tuesday and before they open again Wednesday morning,  Costco and Paychex will report quarterly earnings results.
10 Dividend Growth Stocks For September 2023
In this monthly series, I rank a selection of dividend growth stocks in Dividend Radar and present the ten top-ranked stocks for consideration. To rank stocks, I do a quality assessment and sort stocks by quality scores, breaking ties with additional metrics. This month, I'm presenting stocks with A+ Dividend Quality Grades and strictly increasing dividends, earnings, and revenue over the past decade.
Google, Walmart ask Bengaluru staff to work at home amid state water dispute
Calls for protests over a longstanding river water sharing dispute between two south Indian states have forced global firms including Walmart and Alphabet's Google to ask employees in Bengaluru to work from home on Tuesday.</t>
  </si>
  <si>
    <t>Accenture</t>
  </si>
  <si>
    <t xml:space="preserve">
    Market Cap (intraday) 193.17B
         Enterprise Value 187.27B
             Trailing P/E   28.52
              Forward P/E   24.63
PEG Ratio (5 yr expected)    2.86
        Price/Sales (ttm)    3.06
         Price/Book (mrq)    7.52
 Enterprise Value/Revenue    2.92
  Enterprise Value/EBITDA   16.33</t>
  </si>
  <si>
    <t>Drugmakers opt in to Medicare drug price negotiations – here's what happens next
The lengthy negotiation process with Medicare won't end until August 2024, with reduced prices going into effect in January 2026.
Drugmakers sign on to negotiate Medicare prices under protest
All the drugmakers that make the 10 prescription medicines subject to the first-ever price negotiations for the U.S. Medicare health program, including Amgen and Novartis , said they signed on to participate in the talks by the Oct. 1 deadline.
3 Top Stocks to Buy in October and Hold Forever
UnitedHealth is showing no signs of slowing down. Pfizer's sell-off has gone too far.
Alzamend Neuro Receives FDA “Study May Proceed” Notification for a Phase IIA Clinical Trial of AL001, a Next-Generation Lithium Therapeutic Drug Candidate, in Bipolar Disorder Patients
ATLANTA--(BUSINESS WIRE)---- $ABBV #7_million_Americans_afflicted_with_BD--Alzamend Neuro Receives FDA “Study May Proceed” Notice for Phase IIA Clinical Trial of AL001, a Next-Generation Lithium Therapy, for Bipolar Disorder.
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Moonshot Medicine: 3 Stocks to Buy to Bet on Long-Shot Drugs
Clinical trials are a difficult and grueling process for companies. The FDA and other regulatory agencies require the highest possible standards in order to approve new drugs.
3 Magnificent Dividend Stocks to Buy in October
AbbVie is attractive in multiple ways. Gilead Sciences offers investors stability and a high dividend yield.
AbbVie Inc. (ABBV) Is a Trending Stock: Facts to Know Before Betting on It
Zacks.com users have recently been watching AbbVie (ABBV) quite a bit. Thus, it is worth knowing the facts that could determine the stock's prospects.
AbbVie's blood cancer combo therapy fails in late-stage study
AbbVie said on Friday a late-stage study of its experimental combination therapy failed to show meaningful increase in the survival of patients with a form of blood cancer without the disease worsening.
AbbVie Presents Results from Phase 3 CANOVA Study of Venetoclax in Patients with Relapsed or Refractory Multiple Myeloma
CANOVA study evaluated venetoclax plus dexamethasone in patients with t(11;14)-positive multiple myeloma compared to pomalidomide plus dexamethasone Results are being presented at the International Myeloma Society Annual Meeting in Athens, Greece AbbVie will discuss the data with health authorities in the near future to further understand the potential of venetoclax as a biomarker-driven therapy in multiple myeloma NORTH CHICAGO, Ill. , Sept. 29, 2023 /PRNewswire/ -- AbbVie (NYSE: ABBV) today announced data from its Phase 3 CANOVA study evaluating the safety and efficacy of venetoclax (VENCLEXTA®/ VENCLYXTO®) plus dexamethasone (VenDex) for patients with t(11;14)-positive relapsed or refractory (R/R) multiple myeloma who have received two or more prior treatments.
Want $500 in Passive Income? Invest $3,500 Into These 3 Dividend Stocks and Wait 4 Years
Diamondback's variable dividend offers even more upside potential from this red-hot oil stock. NextEra Energy Partners generates steady cash flows from its sizable renewable energy portfolio.
Is It Worth Investing in AbbVie (ABBV) Based on Wall Street's Bullish Views?
When deciding whether to buy, sell, or hold a stock, investors often rely on analyst recommendations. Media reports about rating changes by these brokerage-firm-employed (or sell-side) analysts often influence a stock's price, but are they really important?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Don't Miss the Boom: 3 Biotech Stocks Set to Explode Higher
In the dynamic investment realm, one sector that continues to stand out is the area of biotech stocks. Though risky, especially when assessing established firms with market-ready drugs and vast research and development (R&amp;D), the rewards can be significant.
AbbVie's (ABBV) Epcoritamab Gets Approval in Europe for DLBCL
AbbVie ABBV and partner Genmab GMAB announced that the European Commission has granted conditional marketing authorization to epcoritamab for treating relapsed or refractory (R/R) diffuse large B-cell lymphoma (DLBCL). DLBCL is a common, aggressive and fast-growing form of non-Hodgkin's lymphoma (NHL).
AbbVie Announces European Commission Approval of TEPKINLY® (epcoritamab) for Adults with Relapsed or Refractory Diffuse Large B-cell Lymphoma
TEPKINLY® (epcoritamab) is the first and only subcutaneous bispecific antibody approved as a monotherapy for adult patients with relapsed or refractory diffuse large B-cell lymphoma after two or more lines of systemic therapy Conditional marketing authorization approval from the European Commission is supported by data from the pivotal Phase 1/2 EPCORE™ NHL-1 clinical trial TEPKINLY represents AbbVie's second approved hematological cancer treatment in the European Union NORTH CHICAGO, Ill. , Sept. 25, 2023 /PRNewswire/ -- AbbVie (NYSE: ABBV) today announced that the European Commission (EC) has granted conditional marketing authorization for TEPKINLY® (epcoritamab) as a monotherapy for the treatment of adult patients with relapsed or refractory (R/R) diffuse large B-cell lymphoma (DLBCL) after two or more lines of systemic therapy.</t>
  </si>
  <si>
    <t>AbbVie</t>
  </si>
  <si>
    <t xml:space="preserve">
    Market Cap (intraday) 263.10B
         Enterprise Value 315.35B
             Trailing P/E   30.67
              Forward P/E   13.61
PEG Ratio (5 yr expected)    5.92
        Price/Sales (ttm)    4.73
         Price/Book (mrq)   20.45
 Enterprise Value/Revenue    5.63
  Enterprise Value/EBITDA   14.72</t>
  </si>
  <si>
    <t>3 Massively Undervalued Dividend Stocks to Buy for High Total Returns
The markets have a reason to cheer in the near-term with the debt ceiling crisis averted. Notably, the last quarter has historically been good for equities.
Drugmakers sign on to negotiate Medicare prices under protest
All the drugmakers that make the 10 prescription medicines subject to the first-ever price negotiations for the U.S. Medicare health program, including Amgen and Novartis , said they signed on to participate in the talks by the Oct. 1 deadline.
Big Pharma Can't Stop the Price-Negotiation Program. What's Next.
A federal judge dealt a blow to hopes for a near-term injunction to halt the federal government plan to let Medicare to pay less for a few expensive medicines.
Q4 Stock Predictions: 3 Pharma Stocks Ready to Roar Into 2024
With a few exceptions, pharmaceutical stocks have underperformed the broader market this year. The S&amp;P Pharmaceutical Index is down 3% year to date versus a 12% gain in the benchmark S&amp;P 500.
3 Top Stocks to Buy in October and Hold Forever
UnitedHealth is showing no signs of slowing down. Pfizer's sell-off has gone too far.
Why Pfizer and BioNTech Stocks Zoomed Higher Today
While people in this country aren't rushing in masses to get updated COVID booster vaccines, take-up has been encouraging. Many are worried about an apparent resurgence in the affliction.
3 Stocks to Focus on as Demand for Obesity Drugs Booms
The market for obesity and weight management drugs is attracting a lot of interest lately in the United States. Patients are gradually understanding the benefits of obesity drugs like Novo Nordisk's NVO Wegovy.
5 Stocks That Have Massive Upside According to Analysts
Analyst ratings are not perfect, but they're one of the better ways for investors to forecast future stock price movement. Here are five stocks that analysts believe have massive upside for patient, long-term investors.
3 Top Undervalued Stocks To Watch: October 2023
We are in what is historically considered the slow season of the investing world, but there are still opportunities for value-minded investors willing to turn over a rock or two. Here are three undervalued stocks to consider.
Where Will Pfizer Be in 5 Years?
Its business is slowing because COVID-19 revenue has fallen drastically this year. The company is also facing the loss of patent protection on multiple drugs.
Is it Time to Buy Pfizer, Moderna, or AstraZeneca's Stock?
Despite slowing COVID-19 vaccine sales these healthcare titans are trading at more reasonable valuations with a lot of the risk-to-reward being priced into their stocks considering their earnings potential.
Undervalued Biotech Stocks Shine: Pfizer and BioNTech Show Resilience
In the ever-evolving world of the stock market, uncovering potential gold mines is paramount for smart investing. One promising area to consider is undervalued biotech stocks.
Pfizer: Sell-Off Overdone, Healthy Pipeline To Sustain Above 15% ROE
We assess the key factors driving the persistent decline in the share price of Pfizer, one of the world's leading biopharmaceutical companies. We think the stock deserves to trade at a much higher P/E multiple of 20x or more, given its healthy pipeline and industry-leading R&amp;D capabilities. Based on our conservative annualized EPS target of $2.68 and a 20x P/E multiple, we expect Pfizer's shares to outperform in the next 12 to 18 months.
Smart Picks: 7 Blue-Chips Trading Below True Value
Blue-chip stocks are shares of well-established, stable firms that pay dividends in most cases. It's that combination of stability and dividend income that makes them so attractive.
Don't Miss the Boom: 3 Pharma Stocks Set to Explode Higher
The pharmaceuticals market has taken a bit of a breather in recent weeks after an exhilarating rally earlier this year. But seasoned investors know the ups and downs are part of the natural ebb and flow of the market, and that patience and discipline are rewarded in the long-run.
Here is What to Know Beyond Why Pfizer Inc. (PFE) is a Trending Stock
Pfizer (PFE) has been one of the stocks most watched by Zacks.com users lately. So, it is worth exploring what lies ahead for the stock.
DNA Stock Alert: Ginkgo Bioworks Announces Major Partnership With Pfizer
Ginkgo Bioworks (NYSE: DNA ) stock jumped almost 14% overnight after it signed a collaboration agreement with Pfizer (NYSE: PFE ). The deal gives Ginkgo upfront cash and could eventually be worth $331 million, based on its RNA technology.
Ginkgo Bioworks up 16% premarket on the back of $331m Pfizer deal
Shares of Ginkgo Bioworks Holdinsg Inc jumped 16% premarket following the announcement of a potentially lucrative tie-up with pharmaceutical giant Pfizer Inc (NYSE:PFE). The partnership aims to leverage Ginkgo's cutting-edge RNA technology to discover and develop novel RNA molecules for "priority research areas".
Ginkgo Bioworks Announces Multi-Target RNA Discovery Collaboration with Pfizer
BOSTON , Sept. 27, 2023 /PRNewswire/ -- Ginkgo Bioworks (NYSE: DNA) today announced a collaboration with Pfizer (NYSE: PFE) focused on the discovery of RNA-based drug candidates.
Pfizer Inc. (PFE) Cantor Fitzgerald Annual Global Health Conference (Transcript)
Pfizer Inc. (NYSE:PFE ) Cantor Fitzgerald Annual Global Health Conference Call September 26, 2023 3:30 PM ET Company Participants Albert Bourla - Chairman &amp; CEO Conference Call Participants Louise Chen - Cantor Fitzgerald Louise Chen All right. Good day, everybody.
About 250,000 courses of COVID pill Paxlovid being administered per week - Pfizer CEO
Pfizer Inc's chief executive said on Tuesday that almost 250,000 courses of the drugmaker's oral antiviral COVID-19 treatment Paxlovid were being administered per week as cases surged in the United States.
Pfizer restarts production at tornado-damaged facility, but some supply is still affected
Pfizer Inc. said late Monday that it has restarted production at a North Carolina facility badly damaged by a tornado in July, but warned that some medications will not be in “full supply” until next year.
Pfizer restarts production at tornado-hit North Carolina plant, but drug supply will still be affected
Pfizer expects operations to fully resume by the end of the year, but it warned that supply of some medicines would be affected until at least mid-2024.
Pfizer restarts production at tornado-hit North Carolina plant
Pfizer said on Monday it has restarted majority of the production lines at its tornado-hit North Carolina plant, but warned that supply of some drugs from the facility may not be fully restored until at least the middle of next year.
CDC Recommends Pfizer's (PFE) RSV Jab to Protect Newborns
Pfizer's (PFE) Abrysvo has been recommended by the CDC for preventing RSV in infants by immunizing pregnant women, during weeks 32-36 of pregnancy.
Pfizer: Protracted Selloff Makes This Best Time To Buy For A Decade
Pfizer's revenues were declining prior to the pandemic, but the success of its COVID vaccine and antiviral brought in unexpected additional revenues of &gt;$55bn over 2 years. The company has been on a major M&amp;A spending spree, investing approximately $27bn in under 2 years, with a potential total spending of $70bn. Pfizer aims to drive $45bn in new product revenue by 2030 through its in-house pipeline and business development, with a projected CAGR of 6%.</t>
  </si>
  <si>
    <t>Pfizer</t>
  </si>
  <si>
    <t xml:space="preserve">
    Market Cap (intraday) 187.28B
         Enterprise Value 207.83B
             Trailing P/E    8.82
              Forward P/E   10.07
PEG Ratio (5 yr expected)     NaN
        Price/Sales (ttm)    2.44
         Price/Book (mrq)    1.89
 Enterprise Value/Revenue    2.67
  Enterprise Value/EBITDA    6.93</t>
  </si>
  <si>
    <t>CINF or PGR: Which Is the Better Value Stock Right Now?
Investors with an interest in Insurance - Property and Casualty stocks have likely encountered both Cincinnati Financial (CINF) and Progressive (PGR). But which of these two stocks is more attractive to value investors?</t>
  </si>
  <si>
    <t>Progressive Corporation</t>
  </si>
  <si>
    <t xml:space="preserve">
    Market Cap (intraday) 81.50B
         Enterprise Value 88.72B
             Trailing P/E  47.87
              Forward P/E  18.69
PEG Ratio (5 yr expected)   0.24
        Price/Sales (ttm)   1.46
         Price/Book (mrq)   5.03
 Enterprise Value/Revenue   1.59
  Enterprise Value/EBITDA    NaN</t>
  </si>
  <si>
    <t>Oracle (ORCL) Integrates Mitto for WhatsApp Sales &amp; Marketing
Oracle (ORCL) Marketplace expands its accessibility to leverage WhatsApp's potential in sales and marketing through Mitto's offerings.
Mitto Expands Access to the Power of WhatsApp for Sales and Marketing Through Oracle Marketplace
Mitto's WhatsApp Business integration allows Oracle Responsys users to engage and support customers at scale. ZURICH , Sept.
Oracle Fusion Cloud ERP Recognized as a Leader in the 2023 Gartner® Magic Quadrant™ for Cloud ERP for Service-Centric Enterprises
Oracle Fusion Cloud ERP positioned as highest in "Ability to Execute" and furthest right for "Completeness of Vision" AUSTIN, Texas , Sept. 28, 2023 /PRNewswire/ -- Oracle has been named a Leader in the 2023 Gartner® Magic Quadrant for Cloud ERP for Service-Centric Enterprises for Oracle Fusion Cloud Enterprise Resource Planning (ERP).
Oracle (ORCL) Cloud Services Expand in Mexico With TELMEX-Triara
Oracle (ORCL) opens new region in Monterrey in partnership with TELMEX-Triara and continues expanding its global cloud region footprint.
Don't Miss the Boom: 3 Machine Learning Stocks Set to Explode Higher
The United States has been facing a confluence of threats that risk more turbulence. Currently, there are several potential challenges to contend with, including the prospect of extended autoworkers, strikes, the possibility of a prolonged government shutdown, the restart of student loan payments and the escalation of oil prices.
Oracle (ORCL) Helps Flink to Achieve Rapid Grocery Deliveries
Oracle (ORCL) merchandise and financial solutions are set to revolutionize the grocery industry through a fully online approach.
A Bull Market Is Coming: Don't Wait to Buy These 2 Unstoppable Stocks
Wall Street analysts are split on the definition of when a new bull market officially begins. Investors should focus on buying quality stocks for the long term because history shows the market always rises to new highs eventually.
Oracle Corp. Japan shares rise sharply after quarterly profit climbs on cloud business
Oracle Corp. Japan shares 4716, +9.38% rose sharply Wednesday morning after first-quarter net profit grew on the strength of the cloud business.
Oracle Partners with TELMEX-Triara to Become the Only Hyperscaler with Two Cloud Regions in Mexico
Oracle opens new region in Monterrey in partnership with Teléfonos de México (TELMEX-Triara) and continues expanding its global cloud region footprint with 46th region  Organizations benefit from Oracle Cloud Infrastructure's high performance and security, powerful data and analytics, and distributed cloud capabilities  TELMEX-Triara is the new region's host partner and will deliver Oracle Cloud Infrastructure services to organizations across Mexico AUSTIN, Texas and MEXICO CITY , Sept. 26, 2023 /PRNewswire/ -- Oracle today announced the opening of a second Oracle Cloud Region in Mexico in partnership with Teléfonos de México (TELMEX-Triara), becoming the first hyperscaler to have two cloud regions in the country to broaden access and provide greater resiliency.
GBIN Launches eNautilus Project to Add New Oracle Health EHR Capabilities to Better Support Patient Care
Features added to help improve patient safety, increase care coordination, and reduce administrative burdens. AUSTIN, Texas , Sept.
Flink Gets Groceries to Customers in Minutes with Oracle Cloud
German start-up bags Oracle merchandise and financials to disrupt the grocery market with pure online model AUSTIN, Texas and BERLIN , Sept. 26, 2023 /PRNewswire/ -- Online supermarket Flink burst on the scene in 2021 offering consumers in Germany, the Netherlands, and France grocery deliveries in just minutes.</t>
  </si>
  <si>
    <t>Oracle Corporation</t>
  </si>
  <si>
    <t xml:space="preserve">
    Market Cap (intraday) 290.15B
         Enterprise Value 367.01B
             Trailing P/E   31.43
              Forward P/E   19.05
PEG Ratio (5 yr expected)    1.99
        Price/Sales (ttm)    5.79
         Price/Book (mrq)  122.43
 Enterprise Value/Revenue    7.20
  Enterprise Value/EBITDA   18.77</t>
  </si>
  <si>
    <t>Investors Heavily Search Paycom Software, Inc. (PAYC): Here is What You Need to Know
Paycom (PAYC) has been one of the stocks most watched by Zacks.com users lately. So, it is worth exploring what lies ahead for the stock.
7 Tech Stocks to Buy as They Near 52-Week Lows
It's no secret that tech stocks have dominated headlines and portfolios this year, often boasting eye-watering valuations. However, while many have been chasing after the latest and greatest, there lies a distinct opportunity in the sector.
These 20 growth stocks are worth considering on a pullback, says Citi
Citi has released a list of 20 large-cap growth stocks that it says present opportunities in the event of a pullback.
11 Beaten-Up Growth Stocks That Look Like Buys, Says Citi
Chipotle, Draftkings, Lam Research and eight other stocks may be underappreciated by investors, according to a screen run by Citi analysts.</t>
  </si>
  <si>
    <t>Paycom</t>
  </si>
  <si>
    <t xml:space="preserve">
    Market Cap (intraday) 15.02B
         Enterprise Value 14.52B
             Trailing P/E  47.66
              Forward P/E  29.76
PEG Ratio (5 yr expected)   1.34
        Price/Sales (ttm)   9.67
         Price/Book (mrq)  10.68
 Enterprise Value/Revenue   9.32
  Enterprise Value/EBITDA  26.22</t>
  </si>
  <si>
    <t>Corning: Glass Technologies Behind AI And Consumer Devices Will Drive Q3 2023
Corning's Q2 2023 report showed diversified revenue streams and recent news suggests new opportunities for continued growth in Q3 2023. Optical communications and display technologies expected to drive changes in Q3 2023. Federal BEAD program for broadband access and data-intensive AI datacenter segment offer steady revenue and growth opportunities for Corning.</t>
  </si>
  <si>
    <t>Corning Inc.</t>
  </si>
  <si>
    <t xml:space="preserve">
    Market Cap (intraday) 25.99B
         Enterprise Value 33.01B
             Trailing P/E  41.18
              Forward P/E  13.02
PEG Ratio (5 yr expected)   1.11
        Price/Sales (ttm)   1.96
         Price/Book (mrq)   2.28
 Enterprise Value/Revenue   2.48
  Enterprise Value/EBITDA  12.72</t>
  </si>
  <si>
    <t>Why Genuine Parts (GPC) is a Great Dividend Stock Right Now
Dividends are one of the best benefits to being a shareholder, but finding a great dividend stock is no easy task. Does Genuine Parts (GPC) have what it takes?
3 Stocks Whose Dividends Look Safe Right Now
Selling straightforward and popular beverages at scale keeps Coca-Cola's dividend coming in strong. Even in tough times, people have to eat.
Genuine Parts Company to Report Third Quarter 2023 Results on October 19, 2023
ATLANTA , Sept. 28, 2023 /PRNewswire/ -- Genuine Parts Company (NYSE: GPC), a leading global distributor of automotive and industrial replacement parts, plans to release third quarter financial results on October 19, 2023.
Genuine Parts Company: Growth To Continue At The Current Mid-Single-Digit Pace.
GPC operates in two key segments, the Automotive Parts Group (APG) and the Industrial Parts Group (IPG), with APG contributing around 60% of EBIT and IPG around 40%. While the US APG segment saw a 1% decline in comparable sales, I believe this is a temporary blip. I recommend a buy rating for GPC, anticipating that GPC should continue growing at its historical mid-single-digit.</t>
  </si>
  <si>
    <t>Genuine Parts Company</t>
  </si>
  <si>
    <t xml:space="preserve">
    Market Cap (intraday) 20.28B
         Enterprise Value 24.01B
             Trailing P/E  16.89
              Forward P/E  14.43
PEG Ratio (5 yr expected)   1.42
        Price/Sales (ttm)   0.89
         Price/Book (mrq)   4.98
 Enterprise Value/Revenue   1.05
  Enterprise Value/EBITDA  11.81</t>
  </si>
  <si>
    <t>Fox Corporation's Investment Appeal: Unpacking Valuation, Ownership, And Digital Strategy
Fox Corporation has undergone leadership changes, with Lachlan Murdoch taking over from Rupert Murdoch, which could impact the company's future trajectory. The company has demonstrated adaptability by integrating traditional broadcasting methods with modern digital platforms, indicating a stable foundation. Fox's strategy of blending traditional and digital media, and its investments in new co-productions and digital engagement, positions it strongly in the media industry.
Find Your Next Obsession with Tubi's New GPT-4 Powered Content Discovery Feature
Tubi's New Beta Feature, Rabbit AI, Offers Viewers a New Way to Discover Content SAN FRANCISCO , Sept. 26, 2023 /PRNewswire/ -- Tubi (www.tubi.tv), Fox Corporation's (NASDAQ: FOXA, FOX) ad-supported video-on-demand service, has announced Rabbit AI, a first-of-its-kind mobile feature powered by ChatGPT-4 that offers viewers a new way to navigate the platform and discover movies and TV shows.</t>
  </si>
  <si>
    <t>Fox Corporation (Class A)</t>
  </si>
  <si>
    <t xml:space="preserve">
    Market Cap (intraday) 14.61B
         Enterprise Value 18.54B
             Trailing P/E  13.39
              Forward P/E   9.67
PEG Ratio (5 yr expected)    NaN
        Price/Sales (ttm)   1.11
         Price/Book (mrq)   1.46
 Enterprise Value/Revenue   1.24
  Enterprise Value/EBITDA   7.43</t>
  </si>
  <si>
    <t>Here's Why You Should Retain Federal Realty (FRT) Stock Now
Healthy retail demand, solid tenant roster and redevelopment/expansion of mixed-use assets to support Federal Realty (FRT). However, e-commerce adoption and high interest rates are concerning.
A 5%-Yielding Dividend King - Should You Buy Federal Realty?
Federal Realty is experiencing a downturn in the real estate sector, trading significantly below its all-time high. The company has a strong track record of dividend growth and a diverse portfolio of top-tier assets. The company's occupancy rates have improved, and its future outlook is optimistic, but concerns remain about its modest yield and underperformance compared to other ETFs.
3 Stocks Whose Dividends Look Safe Right Now
Selling straightforward and popular beverages at scale keeps Coca-Cola's dividend coming in strong. Even in tough times, people have to eat.
Here's Why Federal Realty Can Pay You for Years
Federal Realty owns a modestly sized portfolio of malls and mixed-use retail centers. The REIT's portfolio properties are largely in locations in prosperous parts of the largest U.S. metropolitan areas.
October Dividend Kings: 5 To Buy And 5 To Watch
"There is only one-criterion to be included among the Dividend Kings: a publicly-traded company must increase its total fiscal-year dividend-payout for a minimum of 50 consecutive-years."--Dogs of the Dow. The 49 Dividend Kings screened as of September 26 represented seven of eleven Morningstar Sectors. Broker targeted-top-ten net-gainers ranged 24.77%-38.84% topped-by Northwest Natural, and Target. By yield, Altria tops-all. Top-ten Kingly October yields from SWK, TGT, BKH, FRT, NWN, CDUAF, MMM, UVV, LEG, &amp; MO averaged 5.86%.
Federal Realty Investment Trust: Buying For The Recovery Play
Federal Realty Investment Trust is a quality dividend king in the REIT industry, offering a secure 4.7% yield. FRT has a diverse portfolio of properties in prime locations, with a strong tenant base including recognizable companies like T.J. Maxx, CVS, and Home Depot. The company has a successful rent increase strategy that contributes to its 56-year streak of dividend growth, making it a reliable choice for investors.</t>
  </si>
  <si>
    <t>Federal Realty</t>
  </si>
  <si>
    <t xml:space="preserve">
    Market Cap (intraday)  7.39B
         Enterprise Value 12.03B
             Trailing P/E  19.28
              Forward P/E  30.12
PEG Ratio (5 yr expected)   6.06
        Price/Sales (ttm)   6.68
         Price/Book (mrq)   2.70
 Enterprise Value/Revenue  10.86
  Enterprise Value/EBITDA  13.88</t>
  </si>
  <si>
    <t>General Electric (GE), EnergyHub Team-Up for Grid Optimization
General Electric's (GE) Digital business' partnership with EnergyHub is aimed at streamlining the management of DERs through the combination of GE Vernova's GridOS DERMS and EnergyHub's DERMS.
Don't Miss the Boom: 3 Meme Stocks Set to Explode Higher
Despite their controversial nature, meme stocks offer great potential for investors willing to gamble. The rise of meme stocks in the past has been a mix of ideology against hedge funds to more commonly, simply retail traders riding a wave of hype and FOMO, or the fear of missing out.
GE must face shareholder lawsuit over accounting, disclosures; judge urges settlement
General Electric failed to persuade a Manhattan federal judge to dismiss a long-running shareholder lawsuit accusing it of concealing risks at its power business, and the judge on Thursday urged both sides to settle.
2 Stocks Drawing Analyst Attention Today
Philip Morris International Inc. (NYSE:PM) and General Electric Co (NYSE:GE) are attracting attention today.
General Electric stock should be worth $141: Deutsche Bank
General Electric Co has already gained about 70% year-to-date but a Deutsche Bank analyst is convinced the stock is not out of juice just yet. General Electric stock could climb another 25% Scott Deuschle assumed coverage of the industrial giant this morning with a “buy” rating.
General Electric's (GE) Unit Signs MOC With Ukrhydroenergo
General Electric's (GE) unit, GE Vernova's Hydro Power business, signs a two-year MOC with Ukrhydroenergo to construct and restore Ukraine's hydropower facilities.
General Electric Is Ready For A Price Correction (Technical Analysis)
General Electric's long-term technical picture suggests a price correction is coming after a one-year price advance. The GE 'Put to Calls' ratio indicates a potential price rise, but caution is warranted. The company's volume is decreasing, and intermediate-term relative strength suggests a mild downturn.
GE Appliances Positioned to Become the #1 Manufacturer of Dishwashers in the U.S.
LOUISVILLE, Ky.--(BUSINESS WIRE)--GE Appliances, a Haier company, welcomed state government officials and other community leaders to see two new dishwasher manufacturing lines that complete the $450 million transformation and investment announced in late 2021 for Appliance Park, the company's headquarters in Louisville, Kentucky. Three of the Park's five major plants have received significant upgrades over the past two years with new topload washer models and four-door refrigerators added as we.
Should Investors Buy General Electric or General Mills Stock Right Now?
Adding industry conglomerates to the portfolio is typically a sound decision and seeing if General Electric (GE) or General Mills (GIS) fit the bill is a worthy conversation.
7 Stocks to Buy for the Blue-Collar Bull Market
Labor and industry and flexing their muscles right now in what is being called a worker's market. Autoworkers are on strike.
These Are The 12 Stocks Driving The S&amp;P 500 Higher In 2023
The S&amp;P 500 is up 12.5% so far in 2023, even with the market correction. But an equal-weight ETF is up just 1%.
The 3 Best Wind Stocks to Buy Now: September 2023
With the goal of reducing fossil fuels and achieving a cleaner climate, many nations have committed themselves to net zero status. The term refers to the balance between the amount of greenhouse gas (GHG) that's produced and the amount that's removed from the atmosphere.
Up 125%, This Blue Chip Stock Has 1 Key Advantage That's Helping Investors Become Richer
GE Power is now a solid earnings generator. GE Aerospace is outperforming its main competitor.</t>
  </si>
  <si>
    <t>General Electric</t>
  </si>
  <si>
    <t xml:space="preserve">
    Market Cap (intraday) 120.32B
         Enterprise Value 118.45B
             Trailing P/E   11.96
              Forward P/E   25.06
PEG Ratio (5 yr expected)    1.54
        Price/Sales (ttm)    1.50
         Price/Book (mrq)    3.86
 Enterprise Value/Revenue    1.46
  Enterprise Value/EBITDA    7.62</t>
  </si>
  <si>
    <t>Penelec Conducts Annual Storm Restoration Drill to Help Employees Prepare for Severe Weather Events
2023 tabletop drill familiarizes employees with storm roles and processes ERIE, Pa. , Oct. 2, 2023 /PRNewswire/ -- Penelec, a subsidiary of FirstEnergy Corp. (NYSE: FE), recently completed its annual emergency preparation drill focused on testing its storm restoration process in the event severe weather causes outages throughout its vast and heavily forested service area.
Is FirstEnergy A Better Pick Than Verisign Stock?
We believe FirstEnergy stock (NYSE: FE), an Ohio-based electric utility company, is a better pick than Verisign stock (NASDAQ: VRSN), given its better prospects.
FirstEnergy (FE) Rewards Shareholders With 5% Dividend Hike
FirstEnergy (FE) continues to increase shareholders value, as its board of directors approves a 5% quarterly dividend hike.
2 of Carl Icahn's Holdings Approach 52-Week Lows
As the market continues to juggle high interest rates and inflation and the third quarter prepares to come to a close later this week, a couple stocks in Carl Icahn (Trades, Portfolio)'s equity portfolio have retreated near their 52-week lows.
FirstEnergy Corp. Declares Increased Common Stock Dividend
Quarterly payment increases 5% to $0.41 per share  AKRON, Ohio , Sept. 26, 2023 /PRNewswire/ -- The Board of Directors of FirstEnergy Corp. (NYSE: FE) today declared a quarterly dividend of $0.41 per share of outstanding common stock payable December 1, 2023, to shareholders of record at the close of business on November 7, 2023.
JCP&amp;L Conducts Annual Storm Restoration Exercise to Prepare for Winter Storm Season
HOLMDEL, N.J. , Sept. 26, 2023 /PRNewswire/ -- Jersey Central Power and Light (JCP&amp;L), a subsidiary of FirstEnergy Corp. (NYSE: FE), has completed its annual emergency preparation drill focused on testing its storm restoration process in the event severe weather causes outages throughout its 13-county service area this winter season.</t>
  </si>
  <si>
    <t>FirstEnergy</t>
  </si>
  <si>
    <t xml:space="preserve">
    Market Cap (intraday) 19.60B
         Enterprise Value 43.43B
             Trailing P/E  42.73
              Forward P/E  12.76
PEG Ratio (5 yr expected)   2.13
        Price/Sales (ttm)   1.52
         Price/Book (mrq)   1.86
 Enterprise Value/Revenue   3.37
  Enterprise Value/EBITDA  11.11</t>
  </si>
  <si>
    <t>FICO® Score Remains the Most Widely Used Credit Score in the Securitization Market, Keeping Lender Confidence
SAN JOSE, Calif.--(BUSINESS WIRE)---- $FICO--Recent data from independent research firm, Mercator Advisory Group, now a part of Javelin Strategy &amp; Research, found that asset-backed securitizations (ABS) continue to rely heavily on the FICO® Score as a risk and opportunity metric used to indicate credit quality in capital markets. The study found that more than 95% of asset-backed securitizations across seven collateral classes (i.e., Auto Leasing, Subprime Auto, Prime Auto, Student Loans, Time Shares.</t>
  </si>
  <si>
    <t>Fair Isaac</t>
  </si>
  <si>
    <t xml:space="preserve">
    Market Cap (intraday) 21.59B
         Enterprise Value 23.40B
             Trailing P/E  52.77
              Forward P/E  36.10
PEG Ratio (5 yr expected)   2.25
        Price/Sales (ttm)  15.00
         Price/Book (mrq)    NaN
 Enterprise Value/Revenue  15.89
  Enterprise Value/EBITDA  36.87</t>
  </si>
  <si>
    <t>Bulls Love Goldman Sachs' 'Conviction List' Pick
Semiconductor name Nvidia Corp  (NASDAQ:NVDA) is a regular on Schaeffer's Senior Quantitative Analyst Rocky White's list of stocks with the highest weekly options volume in the last two weeks.
NVDA Stock Price Prediction: Will Nvidia Break $600?
Against a soft backdrop on Wall Street Monday, shares of technology stalwart Nvidia (NASDAQ: NVDA ) helped brighten the atmosphere. Specifically, the smiles came courtesy of Goldman Sachs, which added the semiconductor enterprise to its Americas conviction list for October.
AI fever and elevated demand raise the bar for Nvidia margin expectations
Nvidia Corp.'s stock made it to the conviction list of one Wall Street firm on Monday, while an analyst at another forecast that the chip maker could even drop its next-generation architecture early.
Nvidia, Uber, Meta Stock And More Wrestle With This Key Benchmark
As the indexes fight to retake key moving averages, Meta stock joins Nvidia, Uber, Arista and more on this premier list of growth stocks.
NVIDIA stock climbs as Goldman Sachs adds chipmaker to ‘conviction list'
NVIDIA Corp shares rose nearly 3% to $446.09 in midday trading on Monday after Goldman Sachs analysts added the semiconductor manufacturer to the bank's 'Americas Conviction List', an upgrade from its previous 'Buy' rating, while maintaining their $605 per share target price on the stock.   "Look for Nvidia to maintain its statues as the accelerated computing industry standard for the foreseeable futures given its competitive moat and the urgency with which customers are developing and deploying increasingly complex AI models," the analysts wrote.
Chipmaker Nvidia Called Principal 'Shovel Supplier' In AI 'Gold Rush'
Nvidia stock rose Monday after investment bank Goldman Sachs added the artificial intelligence chipmaker to its "conviction list" of top stock picks.
Nvidia stock is up over 200% in 2023; Is there more upside?
Nvidia's (NASDAQ: NVDA) outstanding recent Q2 results, combined with positive long-term artificial intelligence (AI) prospects, have helped its stock soar over 200% year-to-date, wildly outperforming the S&amp;P 500 's return of 12%.
Here is What to Know Beyond Why NVIDIA Corporation (NVDA) is a Trending Stock
Nvidia (NVDA) has been one of the stocks most watched by Zacks.com users lately. So, it is worth exploring what lies ahead for the stock.
3 Semiconductor Stocks To Watch In October 2023
Semiconductor stocks for your October 2023 watchlist.
Nvidia Stock, Christmas Comes Early If You're On the Fence
Nvidia Co. NASDAQ: NVDA is riding high as the king of the artificial intelligence (AI) mountain, posting hypergrowth top and bottom-line forecasts. It can largely be credited for lifting the technology sector higher and legitimizing the AI boom since its unexpected blowout in fiscal Q1 2024 earnings.
3 AI Stocks You Can Confidently Buy After a Market Downturn
Nvidia's sales of chips will keep soaring as the AI market expands. Cloudflare's content delivery network will process more data as more websites deploy AI services.
Nvidia Needs a Catalyst. Citi Thinks This Could Trigger a Rally.
Nvidia has almost tripled in value this year but the stock has moved sideways in recent months. Citi analysts say the shares could receive a new push in the first half of 2024.
Magnificent Seven tech stocks haven't been this cheap in six years, Goldman Sachs strategists say
The Federal Reserve may be wrong, but at least officials there won't be flying blind now that the government will stay open, keeping the nation's flow of economic data still running. In the early going, there was something of a relief rally, though it quickly evaporated.
A quant fund boss talked his mom into selling Nvidia at 60% of its current price. She won't let him forget it.
Quant fund chief Jason Hsu thought Nvidia's rally couldn't last any longer – so talked his mom into selling at $250 a share. The chipmaker has surged another 73% since, powered higher by a surge in demand for its semiconductors.
Better Artificial Intelligence Stock: Nvidia vs. Super Micro Computer
Super Micro Computer and Nvidia are up 228% and 195%, respectively, this year. But each AI winner has recently pulled back.
4 Super Semiconductor Stocks to Buy for the Artificial Intelligence Boom
Developing AI software wouldn't be possible without powerful semiconductors for data centers. Chipmakers are jostling for position to capture the surging demand for that hardware.
Buy This, Not That: 5 Growth Stocks to Own, 2 to Avoid
The case for investing in growth stocks has been muddled for quite some time. For example, 2022 was a terrible year for growth stocks across the board.
3 Top Stocks to Buy for the Long Haul
Roku is benefiting from the shift to television streaming. Etsy is tapping into the growth of e-commerce.
7 S&amp;P 500 Stocks Set to Explode Higher
With a good deal of uncertainty over interest rate hikes and the potential for recession, markets have been far more volatile. However, if some of the uncertainty fades, we could also see a year-end rally, which I strongly believe could happen.
Chip, Dip, and Rebound Whip: Why Nvidia's Lower Share Price Is a Buying Opportunity
Nvidia (NASDAQ: NVDA ) stock has benefitted as the company has defined the generative artificial intelligence boom of 2023. Since the start of the year, NVDA is up 190%.
OpenAI's Valuation Is Poised To Triple With Forthcoming Tender Offer
OpenAI's valuation is expected to triple in a forthcoming tender offer, increasing from $30 billion to $80-90 billion. Microsoft, which purchased a stake in OpenAI earlier this year, will see its stake rise from $15 billion to $40-45 billion. The demand for AI-focused computing power has benefited Nvidia, whose shares have risen by nearly 200% this year.
The Magnificent Seven could be considered the messy seven after a ‘meh' third quarter
The so-called Magnificent Seven lost some luster in the latest quarter, as they proved no longer the big market drivers they were earlier this year.
Is Nvidia (NVDA) a Solid Growth Stock? 3 Reasons to Think "Yes"
Nvidia (NVDA) possesses solid growth attributes, which could help it handily outperform the market.
NVIDIA Stock Pops Higher Following Inflation Data: The Bull, Bear Case For The Chipmaker
NVIDIA Corporation NVDA was popping up about 2% at one point Friday, in tandem with the general market, after core Personal Consumption Expenditure data cooled to its lowest reading since September 2021.
NVDA Stock Alert: French Authorities Raid Nvidia's Office
Nvidia (NASDAQ: NVDA ) stock is in the news Friday after the tech company's offices in France were raided by local authorities. The Nvidia office raid comes from Fracne's competition authority as it investigates potential anti-competitive practices.
Is Nvidia (NVDA) a Buy as Wall Street Analysts Look Optimistic?
Investors often turn to recommendations made by Wall Street analysts before making a Buy, Sell, or Hold decision about a stock. While media reports about rating changes by these brokerage-firm employed (or sell-side) analysts often affect a stock's price, do they really matter?
5 Crypto Stocks in Focus for an Uncertain October
The crypto space is likely to face uncertainty in October. Five crypto-centric stocks in focus are: NVDA, SQ, HOOD, IBKR, COIN.
9 Stocks Turn $10,000 Into $141,941 In 9 Months
Stocks tanked right on cue in September. But nimble S&amp;P 500 investors are still finding ways to make big money.
Behind Nvidia's History of Boom and Bust Cycles
Nvidia is one of the hottest stocks on the market, but its history may surprise you.
Microsoft lends AMD an AI boost, though Nvidia still wears the crown
Advanced Micro Devices, Inc. (NASDAQ:AMD) shares popped dd5% on Thursday and are expected to surge more when markets open today, in response to flattering comments made by Microsoft Corporation (NASDAQ:MSFT) on the Nvidia Corporation competitor's artificial intelligence prospects. Like Nvidia, AMD's graphics processing units are well optimised to handle generative AI and large-scale model training, but the Santa Clara, California-based semiconductor company has lagged behind its Silicon Valley rival in copping an AI premium.
Cathie Wood Says Robotaxis Are the Investment Opportunity of a Lifetime, and Ark Is Betting Big on 2 Artificial Intelligence (AI) Growth Stocks
Tesla and Nvidia should benefit as robotaxis revolutionize the mobility industry, creating a market that Ark Invest values at $9 trillion by 2030. Nvidia graphics processing units are the gold standard in artificial intelligence (AI) infrastructure, but the chipmaker also provides software for autonomous driving applications.
Don't Miss the Boom: 7 Blue-Chip Stocks Set to Explode Higher
Looking for the best blue-chip stocks to buy might seem boring, especially compared to stocks that make big moves. In fortifying your investment portfolio, dipping your toes into the volatile waters of penny and small-cap stocks can be incredibly tempting.
2 Stocks That Turned $10,000 Into $1.5 million (or More)
Netflix spearheaded the streaming revolution and delivered huge wins for shareholders. Nvidia's leadership in GPUs paved the way for massive sales and earnings growth.
Is NVDA stock at risk? French authorities raid Nvidia's offices
In 2023, Nvidia (NASDAQ: NVDA) embarked on a remarkable rally, consistently surging to new all-time highs, fueled by unprecedented growth in the artificial intelligence (AI) sector.
Nvidia offices raided by French authorities
NVIDIA Corporation (NASDAQ:NVDA), the technology giant, suffered a surprise raid by France's competition authority at its local offices, signalling the company's first significant regulatory scrutiny since becoming a major supplier of artificial intelligence chips. While the nature of the investigation hasn't been disclosed, it is understood to be related to the “graphics cards sector,” reports from the Wall Street Journal revealed.
Nvidia CEO's signature leather jackets are so popular that websites are selling lookalikes using his name and photo
Black leather jackets are a well-known staple in Nvidia CEO Jensen Huang's wardrobe. Online sellers are using his name and image in listings for lookalike leather jackets.
Nvidia and Other Chip Stocks Had a Terrible September. Wall Street Remains Upbeat.
Among the 52 companies that MSCI categorizes as semiconductor makers, only Intel has avoided a share-price decline as the month draws to a close.
Nvidia's French Offices Raided Over Antitrust Concerns, Report Says
The chip maker reached a $1.2 trillion market capitalization last month after a massive surge in share price in May.
The Equity Bull Case (5 Must-See Charts!)
After lulling investors to sleep in the past few months, several charts suggest that equities may wake up in a big way into year-end.
Nvidia identified as target of French antitrust raid: WSJ
Nvidia Corp.'s NVDA, +1.87% offices in France were the subject of a recent Wednesday dawn raid by French antitrust regulators, according to a report in The Wall Street Journal Thursday, which cited sources close to the raid. On Wednesday, the Autorité de la Concurrence, France's national competition regulator, said it had carried out the raid at “the premises of a company suspected of having implemented anticompetitive practices in the graphics cards sector,” and refused to comment on “the entity or on the practices in question.
2 Best Performing Stocks on the S&amp;P 500 Are Breaking Out Now
Although these last two weeks have been painful for investors, as the S&amp;P 500 pulled back by ~7% in a rather short time, it is likely setting up what could be a powerful end of year rally. Additionally, if you take a look at a technical chart of the Nasdaq 100 index, we can see that on Wednesday, the market made a big reversal right at the bottom of the consolidation.
U.S.-China Chip War Over Taiwan Nears Moment Of Truth For S&amp;P 500, Nvidia, Apple And The World
The U.S.-China tech war centers on advanced chips from Nvidia and other companies — almost all made by Taiwan Semiconductor Manufacturing. Upcoming Taiwan elections could be a turning point.
Here's the Best "Magnificent 7" Stock to Buy Right Now, According to Wall Street
Nvidia's median 12-month price target of $625 per share implies a 50% upside from its current price. Nvidia's accelerated computing platforms are the gold standard in graphics and artificial intelligence.
Should You Still Buy the Nasdaq's Best-Performing Stocks?
Nvidia's sky-high valuation makes it a risky investment at the moment. Meta Platforms has quietly put together a stellar 2023, thanks to its astronomical user numbers.
Nvidia Stock Is Down 15% From Its High. Time to Buy the Dip?
Nvidia's GPUs are best in class for AI model creation. Q3 is expected to be one for the record books.
Better Buy: Microsoft vs. Nvidia
Microsoft and Nvidia have captured Wall Street's attention this year thanks to growing prospects in AI. Microsoft is an attractive investment with solid positions in multiple areas of tech.
Is It Finally Time to Sell Nvidia Stock?
The semiconductor stock's rally came to a halt in September. Investors might be tempted to sell considering Nvidia's potential headwinds and intensifying competition.
AI chip crunch: Startups vie for Nvidia's vital component
The artificial intelligence revolution is fully underway, but soaring demand for its most crucial component has startups scratching their heads on how they can deliver on AI's promise.
"The Great Reshuffle": 3 Winning Technologies
Due to the labor market's "Great Reshuffle", the workforce has changed dramatically in just a few years. However, where there's change, there's opportunity.
Microsoft technology chief says supply of Nvidia's AI chips is improving
Kevin Scott, Microsoft's chief technology officer, said supply of Nvidia's graphics processing units is improving now that generative AI hype has cooled a bit.
Arrcus Delivers Next Generation of High-performance, Zero-trust Networking for Datacenters Enabled by NVIDIA BlueField
LAS VEGAS--(BUSINESS WIRE)--Arrcus, the hyperscale networking software company and a leader in core, edge, and multi-cloud routing and switching infrastructure, today announced a collaboration with NVIDIA to enable high-performance, secure and power-efficient datacenter networking for applications like AI, telecom, and cloud that require high bandwidth, low latency and predictability across the network. Bandwidth-hungry applications like generative AI need no longer be limited by legacy network.
At $420, What Are The Risks For Nvidia Stock?
Technology companies and developers have been rushing to deploy generative artificial intelligence into their applications following the success of OpenAI's ChatGPT ch
Proceed With Caution When Considering These 5 Ultra-Popular Stocks
Many stocks are up big in 2023. Always consider the financial state and valuation of a company before buying.
Big Tech Titans Feel the Chill as AI Stocks Slide
You only need to look at the one-month decline in AI chip powerhouse Nvidia Corp. NASDAQ: NVDA to understand that something has changed. Is Nvidia's pullback a sign that the AI rally that fueled big tech sector gains is taking a breather as interest rates rise?
Stock Split Watch: Is Nvidia Next?
Nvidia management executed a stock split in 2021, and the stock has jumped substantially since then. The chipmaker remains a solid buy, irrespective of a stock split, given how rapidly it is growing.
Most of S&amp;P 500's Gains Driven by 7 Firms, Others Up Less than 5% YTD
The S&amp;P 500 – the stock market index that tracks the performance of the largest US-listed 500 companies – is up around 12.5% in 2023, marking a significant rebound from the 2022 lows. Although this performance is impressive, a recent analysis by stock market strategists pointed to certain risks associated with the rally.
Which of the Magnificent 7 Stocks Is the Best Buy Right Now?
With bumpy markets, investors may want to consider safer stocks, especially those that can withstand any market conditions. That includes the following Magnificent 7 stocks, which investors may want to consider buying today.
Is Nvidia's Next-Gen AI Chip a Reason to Buy the Stock?
Is the demand for AI chips here to stay for Nvidia?
Nvidia Forges An Artificial Intelligence Revolution. What Could Get In The Way?
Ask Wall Street analysts about the current market for artificial intelligence and Nvidia stock — and you get a lot of different answers.
Don't Miss the Boom: 7 AI Stocks Set to Explode Higher
Amidst the ever-shifting landscape of technology, artificial intelligence (AI) has been one of the biggest catalysts for the tech sphere in 2023. Even as the fanfare subsides, AI's stronghold remains undeniable, especially when eyeing the Nasdaq impressive 35% surge this year, fueled predominantly by AI tailwinds.
4 Crypto Stocks in Focus Amid Continued Market Volatility
The cryptocurrency market is poised to grow once the Fed ends its interest rate hike campaign, which is likely to help stocks like Robinhood Markets, Inc. (HOOD), NVIDIA Corporation (NVDA), Visa Inc. (V) and Coinbase Global, Inc. (COIN).
2 Best Chip Stocks to Buy on Soaring AI Demand
Truist's William Stein reaffirmed his Buy ratings for Nvidia and Monolithic Power Systems and his price targets for both stocks.
Cathie Wood gives Nvidia the cold shoulder, citing better AI bets on the market
Nvidia Corporation is roundly considered the premier blue-chip AI bet on the global equities markets, but renowned tech investor Cathie Wood is going against the grain by putting her microchips in two other US tech firms. Wood, who runs tech-focused investment firm Ark Invest, told Bloomberg that Nvidia is “easy, but it's also really expensive and very obvious”.
Nvidia Was Up 235% In 2023, Don't Expect It To Continue (Rating Downgrade)
We've had unwavering conviction in Nvidia's AI story since November 2018. In fact, it was our leading position going into 2023. Nvidia is a core holding of ours, so we will likely never close the position, as long as the story and tech trend remain intact. Until the $340 support breaks, Nvidia still has the potential for that last swing higher.
Nvidia: Strong Buy For The Godfather Of AI
Nvidia Corporation's stock has dropped by about 20% from its recent all-time high, presenting a potential buying opportunity. Nvidia remains the most lucrative AI stock globally, with a dominant position in GPU technologies and the data center segment. Nvidia's recent earnings results have been exceptional, surpassing estimates and indicating significant growth potential.
Nvidia's Artificial Intelligence Is Powering a "Robot Cop" That Will Patrol an NYC Subway
On Friday, New York City Mayor Eric Adams unveiled the K5 autonomous security robot, a temporary addition to the city's police force. The pilot program involves the K5 patrolling the Times Square subway station between midnight and 6 a.m.
The AI Trade For Conservative Investors: Sell Nvidia And Buy ASML
Nvidia Corporation is risky at current levels. ASML Holding is much better positioned to benefit from AI with a limited downside. I present my outlook for both companies.
Nvidia Stock Gets Dethroned After Sell Signal
Nvidia stock has fallen from grace as a Wall Street darling. Did you see the warning sign and get out in time?
Penguin Solutions Certified as NVIDIA DGX-Ready Managed Services Partner
FREMONT, Calif.--(BUSINESS WIRE)-- #AI--Penguin Solutions is certified by NVIDIA to support enterprises deploying NVIDIA DGX AI computing platforms under NVIDIA's Managed Services Program.
7 Growth Stocks to Buy as Fed Maintains Status Quo
Growth stocks caught a break recently. The Federal Reserve has held the target range for interest rates between 5.25%-5.50%.
AI chip firm Kneron raises $49 million as it looks to rival Nvidia, with Foxconn among backers
Kneron is looking to capitalize on the investor interest in AI and the chip technology that underpins it, underscored by Nvidia's 180% rally this year.
NVDA Stock Outlook: Where Is Nvidia Headed From Here?
Nvidia's  (NASDAQ: NVDA ) stock has surged 223% over the past year. This has led to a very high relative valuation, which may concern some investors.
News of Nvidia's Demise Is Greatly Exaggerated: Analyst
A recent internet rumor said Microsoft may be pulling back orders for Nvidia chips amid waning demand for ChatGPT. However, one analyst debunked that claim in a note on Monday, citing channel checks.
Ticking Time Bombs: 7 S&amp;P 500 Stocks to Dump Before the Damage Is Done
It's been a tough month for S&amp;P 500 stocks. September slumps are common, and this month is historically the worst for the index.
Interest Rates Were Held Steady Last Week: Here Are 3 Stocks to Buy Now
Feeling Fed fatigue? In the last year, stocks have been highly reactive to the Federal Reserve's monetary policy shifts, which have overshadowed other economic factors.
These 20 growth stocks are worth considering on a pullback, says Citi
Citi has released a list of 20 large-cap growth stocks that it says present opportunities in the event of a pullback.
This Growth Stock Could 10X in 10 Years
Nvidia stock has turned out to be a phenomenal investment over the past 10 years. Revenue growth is quickly accelerating thanks to the massive opportunity in the data center market.
Nvidia: Bulls In Danger Despite AI Boom
Over the past few months, Nvidia Corporation, a leader in developing high-performance graphics processing units, has continued to please investors with positive news. Nvidia's revenue was approximately $13.51 billion in Q2 FY24, beating our expectations by $2.26 billion but, more importantly, exceeding analysts' consensus expectations by $2.42 billion. So, on September 8, Nvidia announced a partnership agreement with the largest Indian conglomerates, Reliance Industries and Tata Group, to create an artificial intelligence computing infrastructure.
5 Tech Stocks That More Than Doubled in the First Nine Months
Applied Optoelectronics (AAOI), Arlo Technologies (ARLO), Super Micro (SMCI), Nvidia (NVDA) and Vertiv Holdings (VRT) are leading the sector higher this year and have a solid Zacks Rank #1 (Strong Buy) or 2 (Buy).
Is NVIDIA (NVDA) Stock Outpacing Its Computer and Technology Peers This Year?
Here is how Nvidia (NVDA) and Palo Alto Networks (PANW) have performed compared to their sector so far this year.
September's 7 Most Controversial AI Stocks: Buy or Bail?
AI stocks are controversial for multiple reasons. One of the most obvious factors is that AI poses a threat in many ways.
Nvidia: This Is An 'Apple Moment' With Blackberry Consequences (Rating Upgrade)
Nvidia Corporation has been a prime beneficiary of the rise of generative AI, with its stock soaring in hyperbolic fashion. The company delivered impressive results in its most recent quarter, with revenue growth of 101% YoY and net income growth of over 200% YoY. Some may be calling the stock a bubble, but this is looking as significant as when iPhones were released and disrupted Blackberry's business.
Add These 4 Top-Ranked Liquid Stocks to Strengthen Portfolio
Here are four top-ranked liquid stocks, Surmodics (SRDX), Fluor Corporation (FLR), NVIDIA (NVDA) and Sprinklr (CXM), which investors can add to their portfolio for solid gains.
These Are The 12 Stocks Driving The S&amp;P 500 Higher In 2023
The S&amp;P 500 is up 12.5% so far in 2023, even with the market correction. But an equal-weight ETF is up just 1%.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S&amp;P 500 is up 13% in 2023; Which stocks are growth drivers?
After weathering a tumultuous 2022 marred by record-high inflation and a hawkish stance from Federal Reserve policymakers, the US stock market has undergone a remarkable turnaround in 2023.
2 Charts That Show Semiconductor Stocks Are Poised to Drop
The S&amp;P Semiconductors Select Industry Index has topped both price-wise and on a relative basis. That bodes poorly for the sector.
Betting Big: 3 AI Stocks Primed for a Breakout
Technology stocks have made a strong comeback in 2023. For year-to-date, the Standards and Practices (S&amp;P) 500 Information Technology index has surged by 33%.
3 Chip Stocks Crushing the Market With More Room to Run
The semiconductor field evolves rapidly, requiring yearly product upgrades. It's a complex, costly and vital industry, particularly in the AI and Web 3.0 era, offering growth and security opportunities for top-performing companies.
2 Hypergrowth Stocks to Buy in 2023 and Beyond
Artificial intelligence is opening up long-term opportunities for Nvidia and Microsoft. Nvidia's chips are in high demand for AI processing.
Nvidia, Amazon, and Alphabet Announced 3 Key Artificial Intelligence (AI) Developments Last Week You May Have Missed
Amazon is giving Alexa a generative AI upgrade. Google has integrated generative AI tools into many of its most popular products.
IBM: Why This Industry Dinosaur Might Be The Next Nvidia
On the face of it, IBM looks like a value stock: High yield, low P/E. But IBM is transitioning their business, and one field in particular - quantum computing - offers exciting prospects for the future. In this analysis, I discuss what leading the charge in the next computer industry revolution could be worth to investors.</t>
  </si>
  <si>
    <t>Nvidia</t>
  </si>
  <si>
    <t xml:space="preserve">
    Market Cap (intraday)  1.07T
         Enterprise Value  1.07T
             Trailing P/E 105.07
              Forward P/E  40.98
PEG Ratio (5 yr expected)   1.38
        Price/Sales (ttm)  33.16
         Price/Book (mrq)  39.07
 Enterprise Value/Revenue  32.72
  Enterprise Value/EBITDA  82.68</t>
  </si>
  <si>
    <t>NXPI vs. MPWR: Which Stock Is the Better Value Option?
Investors interested in Semiconductor - Analog and Mixed stocks are likely familiar with NXP Semiconductors (NXPI) and Monolithic Power (MPWR). But which of these two stocks is more attractive to value investors?
Hidden Gems: 3 Growth Stocks Flying Under the Radar.
On Wednesday, the Federal Reserve decided to maintain its benchmark interest rate without making any changes. There is increasing confidence that the U.S. will reach normal price levels with little chance of slipping into recession.</t>
  </si>
  <si>
    <t>NXP Semiconductors</t>
  </si>
  <si>
    <t xml:space="preserve">
    Market Cap (intraday) 51.54B
         Enterprise Value 58.85B
             Trailing P/E  18.91
              Forward P/E  13.24
PEG Ratio (5 yr expected)   1.61
        Price/Sales (ttm)   3.98
         Price/Book (mrq)   6.31
 Enterprise Value/Revenue   4.47
  Enterprise Value/EBITDA  11.75</t>
  </si>
  <si>
    <t>Organon Recognized on Fortune's 2023 Change the World List for Leadership in Expanding Access to Contraceptive Choice
JERSEY CITY, N.J.--(BUSINESS WIRE)--Organon Recognized on Fortune's 2023 Change the World List for Leadership in Expanding Access to Contraceptive Choice.</t>
  </si>
  <si>
    <t>Organon &amp; Co.</t>
  </si>
  <si>
    <t xml:space="preserve">
    Market Cap (intraday)  4.44B
         Enterprise Value 12.84B
             Trailing P/E   5.88
              Forward P/E    NaN
PEG Ratio (5 yr expected)    NaN
        Price/Sales (ttm)   0.72
         Price/Book (mrq)    NaN
 Enterprise Value/Revenue   2.08
  Enterprise Value/EBITDA   8.04</t>
  </si>
  <si>
    <t>ONEOK (OKE) Completes Acquisition of Magellan Midstream Partners
ONEOK (OKE) completes the previously announced acquisition of Magellan Midstream Partners. This transaction will help ONEOK to expand operations and boost revenues.
TortoiseEcofin Announces Revision of Timing of Constituent Changes Due to Corporate Action
LEAWOOD, KS / ACCESSWIRE / September 25, 2023 / TortoiseEcofin today announced a revision of timing of the removal of Magellan Midstream Partners, L.P. (NYSE:MMP) from the Tortoise MLP Index ® (TMLP), and the Tortoise North American Pipeline IndexSM (TNAP) as a result of the approved acquisition by ONEOK, Inc. (NYSE:OKE).
Lyndon C. Taylor Joins ONEOK As Executive Vice President, Chief Legal Counsel and Assistant Secretary
TULSA, Okla. , Sept. 25, 2023 /PRNewswire/ -- Lyndon C.
ONEOK Announces Board of Directors Changes
Lori A. Gobillot and Wayne T. Smith Join ONEOK Board of Directors TULSA, Okla.
ONEOK Announces Completion of Magellan Midstream Partners Acquisition
TULSA, Okla. , Sept. 25, 2023 /PRNewswire/ -- ONEOK, Inc. (NYSE: OKE) (ONEOK) today announced that it has completed its acquisition of Magellan Midstream Partners, L.P.</t>
  </si>
  <si>
    <t>ONEOK</t>
  </si>
  <si>
    <t xml:space="preserve">
    Market Cap (intraday) 36.95B
         Enterprise Value 49.66B
             Trailing P/E  11.70
              Forward P/E  13.44
PEG Ratio (5 yr expected)   1.90
        Price/Sales (ttm)   1.48
         Price/Book (mrq)   5.12
 Enterprise Value/Revenue   2.59
  Enterprise Value/EBITDA  11.01</t>
  </si>
  <si>
    <t>3 Red-Hot Growth Stocks to Buy Like There's No Tomorrow
Tesla stock has had an epic run in 2023. ON Semiconductor keeps transforming itself for growth.
ON Semiconductor Corporation (ON) Is a Trending Stock: Facts to Know Before Betting on It
ON Semiconductor Corp. (ON) has received quite a bit of attention from Zacks.com users lately. Therefore, it is wise to be aware of the facts that can impact the stock's prospects.
Bet on 5 Stocks With High ROE as Markets Skid on Uncertainty
ON Semiconductor (ON), Dillard's (DDS), Ryder (R), Upbound Group (UPBD) and Atkore (ATKR) are some of the stocks with high ROE to profit from as markets dip on future rate cut fears.</t>
  </si>
  <si>
    <t>ON Semiconductor</t>
  </si>
  <si>
    <t xml:space="preserve">
    Market Cap (intraday) 40.11B
         Enterprise Value 40.97B
             Trailing P/E  21.27
              Forward P/E  16.31
PEG Ratio (5 yr expected)   1.45
        Price/Sales (ttm)   4.99
         Price/Book (mrq)   5.74
 Enterprise Value/Revenue   4.91
  Enterprise Value/EBITDA  13.40</t>
  </si>
  <si>
    <t>Military aid to Ukraine gives a shot in the arm to the U.S. economy
American military support for Ukraine as it fends off Russia has given a lift to the struggling industrial side of the U.S. economy.
Northrop Grumman Announces Webcast, Conference Call of Third Quarter 2023 Financial Results
FALLS CHURCH, Va., Sept. 26, 2023 (GLOBE NEWSWIRE) -- Northrop Grumman Corporation (NYSE: NOC) announced today that its third quarter 2023 financial results will be posted on its investor relations website on Oct. 26, 2023. Prior to the market opening, and after the filing of the earnings release on Form 8-K with the Securities and Exchange Commission, the company will issue an advisory release notifying the public of the availability of the complete and full text earnings release on the company's website at http://investor.northropgrumman.com.
3 Stocks That Really, Really Need the Defense Bill to Pass
Will the government shut down? Despite the hot rhetoric, it doesn't seem possible.
NASA to Taxpayers: The Boeing/Lockheed Space Launch System Is "Unaffordable"
Cost estimates for NASA's SLS moon rocket have quadrupled over just the past several years. Crunching the numbers, the GAO is all but ready to conclude that NASA cannot afford to keep building SLS rockets.</t>
  </si>
  <si>
    <t>Northrop Grumman</t>
  </si>
  <si>
    <t xml:space="preserve">
    Market Cap (intraday) 66.60B
         Enterprise Value 78.78B
             Trailing P/E  14.60
              Forward P/E  17.89
PEG Ratio (5 yr expected)  12.17
        Price/Sales (ttm)   1.79
         Price/Book (mrq)   4.30
 Enterprise Value/Revenue   2.08
  Enterprise Value/EBITDA  10.68</t>
  </si>
  <si>
    <t>Why NRG Energy (NRG) is a Great Dividend Stock Right Now
Dividends are one of the best benefits to being a shareholder, but finding a great dividend stock is no easy task. Does NRG Energy (NRG) have what it takes?</t>
  </si>
  <si>
    <t>NRG Energy</t>
  </si>
  <si>
    <t>Independent Power Producers &amp; Energy Traders</t>
  </si>
  <si>
    <t xml:space="preserve">
    Market Cap (intraday)  8.83B
         Enterprise Value 21.37B
             Trailing P/E    NaN
              Forward P/E   6.40
PEG Ratio (5 yr expected)   1.31
        Price/Sales (ttm)   0.29
         Price/Book (mrq)   3.29
 Enterprise Value/Revenue   0.70
  Enterprise Value/EBITDA -20.04</t>
  </si>
  <si>
    <t>Norfolk Southern system outage
ATLANTA , Sept. 30, 2023 /PRNewswire/ -- Norfolk Southern Corporation (NYSE: NSC) provided an update Saturday on a technology outage that impacted rail operations overnight: Late Friday evening, Norfolk Southern's data center experienced an outage that impacted rail operations.
Norfolk Southern to announce Q3 2023 earnings results on October 25, 2023
ATLANTA , Sept. 29, 2023  /PRNewswire/ -- Norfolk Southern Corporation (NYSE: NSC) will announce its third quarter financial results during a live conference call and internet webcast at 8:45 a.m.
Norfolk Southern announces new approach to engaging communities
Appointment of a Director Public Engagement to help improve  railroad infrastructure and collaboration with local leaders ATLANTA , Sept. 28, 2023 /PRNewswire/ -- Norfolk Southern Corporation (NYSE: NSC) announced Thursday a new role focused solely on collaborating with the communities it serves.
Norfolk Southern and Florida East Coast Railway expand intermodal service for customers
Providing greater flexibility and access to Ft. Pierce and Ft.</t>
  </si>
  <si>
    <t>Norfolk Southern Railway</t>
  </si>
  <si>
    <t xml:space="preserve">
    Market Cap (intraday) 44.71B
         Enterprise Value 59.28B
             Trailing P/E  17.73
              Forward P/E  14.16
PEG Ratio (5 yr expected)   3.16
        Price/Sales (ttm)   3.57
         Price/Book (mrq)   3.54
 Enterprise Value/Revenue   4.67
  Enterprise Value/EBITDA  11.53</t>
  </si>
  <si>
    <t>7 Stock Picks (Mostly) Under $10 Billion: Why They're Best-of-Breed Bisons
Investment bank D.A. Davidson, which has adopted the bison as a brand, picked 17 “high quality” stocks—a few giant, most smaller.</t>
  </si>
  <si>
    <t>Nordson Corporation</t>
  </si>
  <si>
    <t>Industrial Machinery &amp; Supplies &amp; Components</t>
  </si>
  <si>
    <t xml:space="preserve">
    Market Cap (intraday) 12.72B
         Enterprise Value 13.54B
             Trailing P/E  25.71
              Forward P/E  22.73
PEG Ratio (5 yr expected)   2.34
        Price/Sales (ttm)   4.97
         Price/Book (mrq)   4.93
 Enterprise Value/Revenue   5.22
  Enterprise Value/EBITDA  17.46</t>
  </si>
  <si>
    <t>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t>
  </si>
  <si>
    <t xml:space="preserve">
    Market Cap (intraday) 40.58B
         Enterprise Value 44.43B
             Trailing P/E  45.01
              Forward P/E  34.25
PEG Ratio (5 yr expected)   2.28
        Price/Sales (ttm)  17.56
         Price/Book (mrq)    NaN
 Enterprise Value/Revenue  18.90
  Enterprise Value/EBITDA  30.71</t>
  </si>
  <si>
    <t>Tinder Is Rolling Out a $500 Monthly Subscription: Here's What It Means for Match Group Stock
This exclusive tier will offer unique features to avid Tinder users willing and able to pay its hefty price. The CEO says he's had success with this model in the past.
Tinder Puts a Price on Love With $499 Membership
As dating apps look to drive more revenue from their most active users, adding premium subscription tiers, Tinder is reportedly launching a VIP membership for as much as $499 a month.
Match Group's (MTCH) Tinder Unveils $500 Monthly Subscription
Match Group's (MTCH) Tinder is providing a $500 monthly subscription option to its most engaged users.
Tinder snobs can now pay $499 per month to be matched with the ‘most-sought after' profiles
Tinder has rolled out its promised high-end membership, a pricey $499 per month subscription dubbed “Tinder Select,” which includes unique perks like the ability to be seen by more users, including Tinder's “most sought after profiles,” the ability to direct message others without matching, and other VIP-level features.</t>
  </si>
  <si>
    <t>Match Group</t>
  </si>
  <si>
    <t xml:space="preserve">
    Market Cap (intraday) 10.89B
         Enterprise Value 13.99B
             Trailing P/E  23.89
              Forward P/E  13.68
PEG Ratio (5 yr expected)   0.62
        Price/Sales (ttm)   3.58
         Price/Book (mrq)  10.97
 Enterprise Value/Revenue   4.36
  Enterprise Value/EBITDA  17.81</t>
  </si>
  <si>
    <t>Dow Stocks To Trade In October
This long and short equity strategy has generated superior returns based upon cycles and relative strength.
2 Breakout Growth Stocks You Can Buy and Hold for the Next Decade
Intel is embarking on a multiyear turnaround plan to position itself to better compete against rivals Nvidia and AMD. With its famous brands and robust growth, Alphabet is a stock every growth investor should consider.
Intel's Turnaround: A Buy Approaching The New Age Of AI
There are arguments to be optimistic about a INTC turnaround, and share price rebound. I note that Intel has been making some smart moves in its turnaround plans, such as shedding some non-core businesses. With a booming AI semiconductor market, Intel is one of the few firms with a diverse enough portfolio to serve multiple needs in the AI revolution.
Intel Corporation (INTC) Is a Trending Stock: Facts to Know Before Betting on It
Recently, Zacks.com users have been paying close attention to Intel (INTC). This makes it worthwhile to examine what the stock has in store.
Intel: We Expect A Successful Transformation
Intel's financial turnaround is showing positive signs, with an uptrend in share price and a recovery in revenue and earnings. The success of Intel's plan to achieve 4 nodes in 5 years will determine its ability to compete with TSMC and regain its strength. The key factor to watch is whether Intel can meet its targets, as failure to do so could negatively impact its core business and foundry plans.
Buy This, Not That: 5 Growth Stocks to Own, 2 to Avoid
The case for investing in growth stocks has been muddled for quite some time. For example, 2022 was a terrible year for growth stocks across the board.
How AMD and Intel Are Teaming Up With FAANG to Take On Nvidia
Nvidia's CUDA is seen a core part of its moat in AI. However, the entire large-cap tech space appears to be building an open-source alternative.
Intel's stock scores its hottest quarterly winning streak since 2010
Intel Corp. INTC, +1.05% shares rose for a fourth consecutive quarter Friday, giving the chip maker its longest quarterly winning streak in 13-and-a-half years. Intel shares rose 1.1% Friday to close at $35.55, for the stock's fourth straight quarter of gains, its longest quarterly winning streak since the five-quarter streak ending with the first quarter of 2010, according to Dow Jones Market Data.
9 Stocks Turn $10,000 Into $141,941 In 9 Months
Stocks tanked right on cue in September. But nimble S&amp;P 500 investors are still finding ways to make big money.
Intel's New Fab in Ireland Begins High-Volume Production of Intel 4 Technology
LEIXLIP, Ireland--(BUSINESS WIRE)--Intel celebrates the arrival of Intel 4 technology using extreme ultraviolet (EUV), and the first use of EUV in high-volume manufacturing in Europe.
Don't Miss the Boom: 7 Dow Stocks Set to Explode Higher
The top Dow stocks serve as a bellwether for the health of the U.S. economy. This year, the Dow has trailed the other two major U.S. indices with a 1% gain.
Ticking Time Bombs: 3 Dow Stocks to Dump Before the Damage Is Done
The Dow 30 is a select group of stocks representing prominent companies in a variety of industries and sectors. A common characteristic of Dow stocks is their status as blue-chip stocks.
U.S.-China Chip War Over Taiwan Nears Moment Of Truth For S&amp;P 500, Nvidia, Apple And The World
The U.S.-China tech war centers on advanced chips from Nvidia and other companies — almost all made by Taiwan Semiconductor Manufacturing. Upcoming Taiwan elections could be a turning point.
Intel Chief Communications Officer, Tara Smith, to Join Voxus PR as Managing Partner
SEATTLE--(BUSINESS WIRE)--Voxus PR, a B2B tech marketing agency, today announced that Tara Smith, current Chief Communications Officer (CCO) at Intel Corporation, will join the agency as a managing partner and equity stake holder in November. With her extensive semiconductor, software, cybersecurity, and enterprise communications expertise as well as global leadership experience, Smith will be an invaluable addition to the Voxus team as the agency looks to expand on its record growth from 2022.
Titanic Turnarounds: 3 Stocks Bouncing Back Stronger than Ever
In the world of technology, some stocks shine brighter than others, even amidst challenges and uncertainties. The article delves into the fascinating progression of three tech giants as they embark on remarkable turnarounds propelled by innovative strategies and cutting-edge technology.
Intel, TSM And Samsung Are Point Players In U.S. Construction Boom
Spending on manufacturing facility construction is around 60-year highs as legislation and tense geopolitics are spurring an American manufacturing boom.
Intel Will Bring Its AI-Infused Meteor Lake Chips to Desktops in 2024
The Meteor Lake chips feature multiple innovations, including a tile-based architecture, dedicated AI hardware, and the new Intel 4 manufacturing process. Those looking for high-powered desktop CPUs may have to wait for Arrow Lake in late 2024.
Don't Miss the Boom: 7 Large-Cap Stocks Set to Explode Higher
Wall Street has been very upset about the results of the Federal Reserve meeting earlier this month. However, there are still many reasons to be optimistic about U.S. stocks — especially safer large-cap stocks — going forward.
Media Alert: Intel Starts High-Volume EUV Production in Ireland
LEIXLIP, Ireland--(BUSINESS WIRE)--At an event in Ireland, Intel celebrates the arrival of its Intel 4 technology and the use of EUV technology in high-volume manufacturing in Europe.
Big Tech Titans Feel the Chill as AI Stocks Slide
You only need to look at the one-month decline in AI chip powerhouse Nvidia Corp. NASDAQ: NVDA to understand that something has changed. Is Nvidia's pullback a sign that the AI rally that fueled big tech sector gains is taking a breather as interest rates rise?
Better Chip Stock: Arm Holdings vs. Intel
Arm has finally returned to the public markets in a new IPO. Intel continues to struggle with the PC market's post-pandemic slowdown.
Intel Remains A Compelling Trade War Buy
Intel's stock has increased by 23% since a bad Q4 2022 earnings report, outperforming the Nasdaq, Dow and S&amp;P 500. The market is valuing Intel at under 3x TTM revenue, but the company still faces challenges in generating positive cash flow. Despite the numbers, we believe Intel is a wise investment due to potential US protectionist measures and the new CEO's ability to improve performance.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1 Massive Overlooked Risk for Intel and AMD
The semiconductor industry is in for some big changes as new design architectures come to bear. Arm chips made headway in markets traditionally dominated by Intel and AMD, and RISC-V chips could be next to do so.
2 Charts That Show Semiconductor Stocks Are Poised to Drop
The S&amp;P Semiconductors Select Industry Index has topped both price-wise and on a relative basis. That bodes poorly for the sector.
Intel Editorial: Intel Addresses Semiconductor Workforce Shortage
SANTA CLARA, Calif.--(BUSINESS WIRE)--The future of the semiconductor industry depends on the education of students, and Intel is working to make sure those students are ready.
3 Chip Stocks Crushing the Market With More Room to Run
The semiconductor field evolves rapidly, requiring yearly product upgrades. It's a complex, costly and vital industry, particularly in the AI and Web 3.0 era, offering growth and security opportunities for top-performing companies.
Intel's Meteor Lake Gamble Could Pay Off
Intel is moving to a tile-based architecture with its Meteor Lake chips. The chips will feature AI hardware, be assembled with advanced packaging technology, and use the Intel 4 manufacturing process.
Better AI Value Stock: Micron vs. Intel
Both Intel and Micron trade at single-digit multiples of past peak earnings levels. Both are in the midst of a turnaround after the tech bear market of 2022.</t>
  </si>
  <si>
    <t>Intel</t>
  </si>
  <si>
    <t xml:space="preserve">
    Market Cap (intraday) 148.88B
         Enterprise Value 173.67B
             Trailing P/E     NaN
              Forward P/E   20.20
PEG Ratio (5 yr expected)    1.73
        Price/Sales (ttm)    2.73
         Price/Book (mrq)    1.47
 Enterprise Value/Revenue    3.21
  Enterprise Value/EBITDA   19.53</t>
  </si>
  <si>
    <t>Here are 11 stocks Jim Cramer is watching, including Buffett's Berkshire and restaurant stocks
Here are some of the tickers on my radar for Friday, Sept. 29, taken directly from my reporter's notebook.
Intuit (INTU) Hosts Investor Day, Reiterates Q1 &amp; FY24 Outlook
Intuit (INTU) reiterates its first-quarter and full-fiscal 2024 guidance on the Investor Day.
5 Upcoming Dividend Increases
The article provides insights on upcoming dividend increases, indicating strong business performance and commitment to rewarding shareholders. The list includes companies with at least five years of consistent dividend growth and higher total annual dividends. The article also includes tables and metrics for investors to prioritize current yield, historical dividend growth rates, and historical returns compared to a benchmark.
Intuit Hosts Investor Day, Reaffirms First-quarter and Fiscal 2024 Guidance
MOUNTAIN VIEW, Calif.--(BUSINESS WIRE)--Intuit Inc. (Nasdaq: INTU) the global financial technology platform that makes Intuit TurboTax, Credit Karma, QuickBooks, and Mailchimp, reaffirmed its financial guidance for the first quarter and full fiscal year 2024 in conjunction with its Investor Day, being held today at the company's Mountain View, CA, headquarters. The meeting begins at 8:00 a.m. PT. Intuit leaders will discuss the company's plan to accelerate innovation and drive durable growth. S.
Intuit QuickBooks Introduces Two New Payroll Plans to Streamline Payroll and Time Tracking for Canadian Businesses
TORONTO--(BUSINESS WIRE)--Intuit (Nasdaq: INTU), the global financial technology platform that makes Intuit TurboTax, Credit Karma, QuickBooks, and Mailchimp, announced today the launch of two additional QuickBooks Payroll plans in Canada. The new offering is designed to help small-to-medium sized businesses with employees streamline their payroll, making it easy to manage cash flow and boost their efficiency. It also meets a need in the market for integrated time-tracking, HR services, and tru.</t>
  </si>
  <si>
    <t>Intuit</t>
  </si>
  <si>
    <t xml:space="preserve">
    Market Cap (intraday) 143.20B
         Enterprise Value 146.22B
             Trailing P/E   60.68
              Forward P/E   31.25
PEG Ratio (5 yr expected)    2.21
        Price/Sales (ttm)   10.06
         Price/Book (mrq)    8.29
 Enterprise Value/Revenue   10.18
  Enterprise Value/EBITDA   36.17</t>
  </si>
  <si>
    <t>3 Stocks Gearing Up for an E-Commerce Liftoff
In line with my previous predictions calling for an e-commerce rebound in the second half of this year, it appears that the e-commerce sector is recovering. In a note to investors in July, investment advisor Bernstein wrote, “with (foreign exchange) headwinds abating and a more durable online consumer, count us in that camp of anticipating further eCommerce recovery.
International Paper to Release Third Quarter 2023 Earnings on October 26, 2023
MEMPHIS, Tenn. , Sept. 29, 2023 /PRNewswire/ -- International Paper (NYSE: IP) will release third-quarter 2023 earnings on October 26, 2023, before the opening of the New York Stock Exchange.</t>
  </si>
  <si>
    <t>International Paper</t>
  </si>
  <si>
    <t xml:space="preserve">
    Market Cap (intraday) 12.27B
         Enterprise Value 17.65B
             Trailing P/E   8.78
              Forward P/E  16.89
PEG Ratio (5 yr expected)   2.33
        Price/Sales (ttm)   0.62
         Price/Book (mrq)   1.46
 Enterprise Value/Revenue   0.87
  Enterprise Value/EBITDA   7.09</t>
  </si>
  <si>
    <t>3 Stocks Set to Get Pinched by the Weight Loss Shot Trend
The past few years have seen several breakthroughs in the field of weight-loss drugs, as the FDA moved to approve two new medications that promise to help people shed pounds without major side effects. These drugs, called Liraglutide and Semaglutide, work by mimicking a hormone that regulates appetite and blood sugar levels, and they can help people lose up to 15% of their body weight in a year, according to clinical trials.
Big Food vs. Big Pharma: Companies bet on snacking just as weight loss drugs boom
Kellogg, J.M. Smucker and other food companies are making big bets on snacking, but the rise of Wegovy and Ozempic could pose a threat to future sales growth.
2 Magnificent S&amp;P 500 Dividend Stocks Down 31% and 26% to Buy Hand Over Fist in October
Nike and Hershey both maintain steady profitability and impressive returns. Their dividends are sustainable, using less than half of each company's net income.
Ticking Time Bombs: 3 Value Stocks to Dump Before the Damage Is Done
Value stocks can have a lot of benefits for investors. Typically, they are larger, well-established companies that are profitable and have a record of delivering solid financial results.
Low Beta Stocks To Offset A Possible Hard Landing
The markets just went through a relatively peaceful period. For the purpose of this article, I'll define that as a period where the VIX (volatility index) remained below 15 for more than a week.
Hershey (HSY) Fuels Innovation With Vegan Chocolate in Canada
Hershey Canada, a wholly owned subsidiary of Hershey (HSY), unveils the launch of HERSHEY'S OAT MADE, the company's first plant-based chocolate.
REV Recreation Group Reports Successful Hershey Show, America's Largest RV Show
BROOKFIELD, Wis.--(BUSINESS WIRE)--REV Recreation Group announces strong show results at America's Largest RV Show in Hershey, Pennsylvania. From September 13 – 17, 2023, customers were able to order and purchase new units from brands including Fleetwood RV®, Holiday Rambler®, American Coach®, Renegade RV™, Midwest Automotive Designs™, and Lance®. “We had an excellent show at Hershey. The teams reported positive consumer feedback for our new floorplans and innovation across the brands,” said Mi.</t>
  </si>
  <si>
    <t>Hershey's</t>
  </si>
  <si>
    <t xml:space="preserve">
    Market Cap (intraday) 40.91B
         Enterprise Value 45.74B
             Trailing P/E  23.02
              Forward P/E  19.42
PEG Ratio (5 yr expected)   2.55
        Price/Sales (ttm)   3.80
         Price/Book (mrq)  11.07
 Enterprise Value/Revenue   4.21
  Enterprise Value/EBITDA  17.72</t>
  </si>
  <si>
    <t>Dow Stocks To Trade In October
This long and short equity strategy has generated superior returns based upon cycles and relative strength.
IBM's Collaboration With Rapidus Will Likely Ignite Japan's Semiconductor Industry
Japan's chip venture Rapidus plans to manufacture 2nm logic chips through a licensing agreement with IBM in late 2022. Rapidus aims to set up a prototype production line for 2nm semiconductors by the first half of 2025. The partnership between Rapidus and IBM has the potential to impact the semiconductor industry and revitalize Japan's semiconductor manufacturing industry.
Ticking Time Bombs: 3 Dow Stocks to Dump Before the Damage Is Done
The Dow 30 is a select group of stocks representing prominent companies in a variety of industries and sectors. A common characteristic of Dow stocks is their status as blue-chip stocks.
Best Stocks To Invest In Right Now? 3 High Dividend Stocks To Watch
High dividend stocks to check out in the stock market today.
IBM Tries to Ease Customers' Qualms About Using Generative A.I.
The company will assume the legal risk of businesses that use its A.I. systems and will publish the technology's underlying data.
5 Safe Stocks to Buy Amid Plummeting U.S. Consumer Confidence
We have narrowed our search to five large-cap low-beta stocks with a solid dividend yield. These are: AWK, ADP, KO, KMB, IBM.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IBM Announces Availability of watsonx Granite Model Series, Client Protections for IBM watsonx Models
- Enterprise-ready, IBM-developed watsonx Granite model series now generally available to help businesses build and scale generative AI - IBM provides its standard intellectual property protections for IBM-developed watsonx models - Demonstrates commitment to transparency and responsible AI with newly published details of its training data sets for Granite models ARMONK, N.Y. , Sept. 28, 2023 /PRNewswire/ -- Today, IBM (NYSE: IBM) announced the general availability of the first models in the watsonx Granite model series — a collection of generative AI models to advance the infusion of generative AI into business applications and workflows.
Don't Miss the Boom: 3 Quantum Computing Stocks Set to Explode Higher
In the dynamic investment realm, excitement for quantum computing stocks is steadily amplifying. As the sector gains momentum, investors are on the lookout for quantum computing stocks to buy.
Is IBM Stock a Good Long-Term Investment?
Several factors contribute to the bull case for Big Blue, such as its focus on the red-hot artificial intelligence sector. Other factors may give pause to investors, such as a drop in quarterly revenue.
4 Stocks to Watch in a Challenging Technology Solutions Industry
Industry players like IBM, HPE, NCR and AGYS are gaining from the increased demand for integrated solutions and the growing adoption of the multi-cloud model, despite persistent supply chain constraints.
IBM: High Hopes Could Meet Harsh Reality Next
IBM stock has surged over 30% from its October 2022 lows, potentially setting up a re-test of its December 2022 highs. However, don't be tempted to rush in now. IBM has a solid IT consulting business, supported by robust software margins. However, its hardware business could impede a significant valuation re-rating. IBM's valuation is no longer that cheap. It has also surged well above its 10Y averages as investors reflected near-term optimism on its AI offerings.
Best Artificial Intelligence (AI) Stock to Buy Now: AMD vs. IBM
Artificial intelligence is in its early stages of capturing investors' imagination and enthusiasm.
Government Shutdown? 3 Stocks to Buy as the Sept.
If Congress fails to reach an agreement before 12:01 a.m. on Oct. 1, the government will experience a shutdown since the current spending laws are set to expire on Sept.
International Business Machines Corporation (IBM) is Attracting Investor Attention: Here is What You Should Know
IBM (IBM) has been one of the stocks most watched by Zacks.com users lately. So, it is worth exploring what lies ahead for the stock.
Could IBM Stock Soar 30%?
IBM stock got a $188 price target from a Wall Street analyst last week. A leaner IBM focused on software and consulting is well-positioned to benefit from cloud computing and artificial intelligence.
IBM: Why This Industry Dinosaur Might Be The Next Nvidia
On the face of it, IBM looks like a value stock: High yield, low P/E. But IBM is transitioning their business, and one field in particular - quantum computing - offers exciting prospects for the future. In this analysis, I discuss what leading the charge in the next computer industry revolution could be worth to investors.</t>
  </si>
  <si>
    <t xml:space="preserve">
    Market Cap (intraday) 127.81B
         Enterprise Value 171.82B
             Trailing P/E   59.70
              Forward P/E   13.87
PEG Ratio (5 yr expected)    2.14
        Price/Sales (ttm)    2.12
         Price/Book (mrq)    5.76
 Enterprise Value/Revenue    2.84
  Enterprise Value/EBITDA   22.26</t>
  </si>
  <si>
    <t>Essex Property Trust: Dividend Yield At A High
Essex Property Trust is currently paying out a record dividend yield of 4.34%. The apartment REIT is also trading at its lowest valuation multiple in years with a price-to-free cash flow of 17.21x. Focus on the West Coast could be beneficial as technology job growth recovers.
You Gotta Pay The Landlord First
The housing market has remained resilient despite elevated interest rates, and rents have been rising steadily. Apartment REITs, such as AvalonBay Communities, AIR Communities, Camden Property Trust, and Essex Property Trust, are undervalued and present good investment opportunities. These REITs have strong balance sheets, liquidity, and growth prospects, making them attractive for investors.
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Don't Miss the Boom: 7 Dividend Stocks Set to Explode Higher
The economic outlook is increasingly uncertain. Between inflation, high-interest rates, and an aggressive Federal Reserve, there is plenty that could hamper the market's returns over the next year.</t>
  </si>
  <si>
    <t>Essex Property Trust</t>
  </si>
  <si>
    <t xml:space="preserve">
    Market Cap (intraday) 13.61B
         Enterprise Value 19.46B
             Trailing P/E  25.83
              Forward P/E  35.59
PEG Ratio (5 yr expected)   2.70
        Price/Sales (ttm)   8.29
         Price/Book (mrq)   2.44
 Enterprise Value/Revenue  11.77
  Enterprise Value/EBITDA  14.89</t>
  </si>
  <si>
    <t>Why You Should Retain Eastman Chemical (EMN) in Your Portfolio
While Eastman Chemical (EMN) faces headwinds from soft demand and customer inventory de-stocking, it benefits from cost-management and pricing actions and innovation.
Eastman Named to Fortune's Change the World List
KINGSPORT, Tenn.--(BUSINESS WIRE)--Eastman (NYSE: EMN) today announced it has been recognized as part of Fortune's Change the World list highlighting the companies that embrace corporate purpose and recognize how it can add value to business and society. The list recognizes companies that have had a positive social impact through activities that are part of their core business strategy. Fortune evaluates the companies by measurable social impact, business results, and degree of innovation. The.</t>
  </si>
  <si>
    <t>Eastman Chemical Company</t>
  </si>
  <si>
    <t>Diversified Chemicals</t>
  </si>
  <si>
    <t xml:space="preserve">
    Market Cap (intraday)  9.10B
         Enterprise Value 14.12B
             Trailing P/E  12.96
              Forward P/E   9.18
PEG Ratio (5 yr expected)   1.01
        Price/Sales (ttm)   0.94
         Price/Book (mrq)   1.72
 Enterprise Value/Revenue   1.44
  Enterprise Value/EBITDA   9.58</t>
  </si>
  <si>
    <t>Weight-Loss-Drug Stock Sting May Be Easing for Device Makers
Wall Street says insulin pump maker Insulet and Tandem Diabetes, as well as glucose-monitor maker DexCom, look ready to rise after pressure from Novo Nordisk's Wegovy and Eli Lilly.
Dexcom Solidifies Global Leadership in Continuous Glucose Monitoring With New Clinical Data Presented at EASD
SAN DIEGO--(BUSINESS WIRE)---- $DXCM #COMISAIR--Dexcom Solidifies Global Leadership in Continuous Glucose Monitoring with New Clinical Data Presented at EASD.
Dexcom Schedules Third Quarter 2023 Earnings Release and Conference Call for October 26, 2023 at 4:30 p.m. Eastern Time.
SAN DIEGO--(BUSINESS WIRE)--DexCom, Inc. (NASDAQ:DXCM) today announced that it plans to release its third quarter 2023 financial results after market close on Thursday, October 26, 2023. Management will hold a conference call to review the company's third quarter 2023 performance starting at 4:30 p.m. (Eastern Time) on the same day. The conference call will be concurrently webcast. The link to the webcast will be available on the Dexcom investor relations website at investors.dexcom.com and wil.
DexCom (DXCM) Partners With RxFood for Automated Dietary Monitoring
DexCom's (DXCM) CGM systems will make dietary assessment through AI-enabled RxFood app, which automatically interprets food images for calorie count in Canada.
Wall Street analysts expect the S&amp;P 500 to rise 19% over the next 12 months. Here are their 10 favorite stocks.
Outside of a handful of highflying technology stocks, U.S. stocks have been practically flat in 2023, but on Wall Street, some analysts remain as bullish as ever.
Analysts Predict A 19% Surge For The S&amp;P 500 Soon — Lifted By 10 Stocks
It's been a rough half of the year for the S&amp;P 500 — with it slipping nearly 3%. But that's not stopping analysts from bullish calls.</t>
  </si>
  <si>
    <t>Dexcom</t>
  </si>
  <si>
    <t xml:space="preserve">
    Market Cap (intraday) 36.19B
         Enterprise Value 35.92B
             Trailing P/E 108.49
              Forward P/E  55.56
PEG Ratio (5 yr expected)   1.96
        Price/Sales (ttm)  12.44
         Price/Book (mrq)  17.23
 Enterprise Value/Revenue  11.23
  Enterprise Value/EBITDA  52.54</t>
  </si>
  <si>
    <t>Will Electronic Arts Stock Offer Better Returns Than PPG Industries In The Next Three Years?
We believe Electronic Arts stock (NASDAQ: EA) is a better pick than PPG Industries stock (NYSE: PPG), a paints, coatings, and specialty materials supplier, given its b
EA SPORTS FC 24 Launches Worldwide Today - A New Era Begins for the World's Game
REDWOOD CITY, Calif.--(BUSINESS WIRE)-- #FC24--EA SPORTS FC 24 LAUNCHES WORLDWIDE TODAY - A NEW ERA BEGINS FOR THE WORLD'S GAME.
Quectel Introduces EM060K-EA LTE-Advanced Cat 6 Module
BELGRADE, Serbia--(BUSINESS WIRE)--Quectel Wireless Solutions, a global IoT solutions provider, is pleased to introduce the EM060K-EA LTE-Advanced Cat 6 module, offered for the EMEA, APAC and Brazil markets. The module, which is available in the M.2 form factor, measuring 30.0mm x 42.0mm x 2.3mm and powered by the Snapdragon® X12 LTE Modem from Qualcomm Technologies Inc, adopts 3GPP Release 12 technology and supports a theoretical peak date rate of 300 Mbps downlink and 50 Mbps uplink. The EM06.
Striking Hollywood actors vote to authorize new walkout against videogame makers
LOS ANGELES — Striking actors have voted to expand their walkout to include the lucrative videogame market, a step that could put new pressure on Hollywood studios to make a deal with the performers who provide voices and stunts for games.
Videogame Actors Vote to Authorize Strike
The union's next bargaining session with videogame companies and producers is scheduled for Sept. 26, Sept. 27, and Sept.
Videogame stocks mostly hold steady as actors strike threatens to spread to game publishers
Videogame stocks performed slightly better than the broader market Tuesday after striking actors voted late Monday to expand their strike to work on videogames, which constitutes an even larger market than movies or television.
Actors' guild authorizes strike against video game developers over similar AI concerns to those seen in Hollywood
The SAG-AFTRA strike is expanding beyond just Hollywood studios after its members voted decisively on Monday to authorize a strike against 10 of the largest video game companies in the US.  More than 98% of voting members, which include actors and television/radio artists, voted in favor of authorizing the strike.
The World's Game Is in Your Pocket With the Launch of EA SPORTS FC™ Mobile
REDWOOD CITY, Calif.--(BUSINESS WIRE)-- #EASPORTSFCMOBILE--THE WORLD'S GAME IS IN YOUR POCKET WITH THE LAUNCH OF EA SPORTS FC™ MOBILE.</t>
  </si>
  <si>
    <t>Electronic Arts</t>
  </si>
  <si>
    <t xml:space="preserve">
    Market Cap (intraday) 32.62B
         Enterprise Value 31.96B
             Trailing P/E  37.16
              Forward P/E  17.92
PEG Ratio (5 yr expected)   0.99
        Price/Sales (ttm)   4.39
         Price/Book (mrq)   4.45
 Enterprise Value/Revenue   4.22
  Enterprise Value/EBITDA  16.01</t>
  </si>
  <si>
    <t>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Here's Why You Should Retain Ecolab (ECL) Stock for Now
Ecolab's (ECL) strength in its business raises optimism about the stock.</t>
  </si>
  <si>
    <t>Ecolab</t>
  </si>
  <si>
    <t xml:space="preserve">
    Market Cap (intraday) 48.28B
         Enterprise Value 56.80B
             Trailing P/E  41.22
              Forward P/E  27.25
PEG Ratio (5 yr expected)   1.82
        Price/Sales (ttm)   3.28
         Price/Book (mrq)   6.39
 Enterprise Value/Revenue   3.85
  Enterprise Value/EBITDA  21.18</t>
  </si>
  <si>
    <t>Dow: A Modest Buy With 5.4% Dividend Yield And Strong Liquidity
Dow Inc gets a Buy Rating today. Strengths: dividends, capital &amp; liquidity, share price vs moving average, performance vs S&amp;P 500 index. Offsetting factors: valuation, revenue growth, net income and EPS.
Nine Dow Stocks Are So Oversold They're 'Falling Off The Page'
The September sell-off in Dow Jones and S&amp;P 500 stocks is getting so intense, some wonder if it's already overdone.
Why Investors Need to Take Advantage of These 2 Basic Materials Stocks Now
Why investors should use the Zacks Earnings ESP tool to help find stocks that are poised to top quarterly earnings estimates.
Ticking Time Bombs: 3 Industrial Stocks to Dump Before the Damage Is Done
Despite the industrial sector playing a less outsized role in the American economy, it still is a major force in global economy. The industrial sector simply refers to companies at the heart of the economy.
DOW Launches Lower Carbon, Bio-Based PG Solutions in Europe
DOW witnesses higher demand for the use of renewable materials to decrease carbon and enable circularity.
Buy Dow's stock for its high dividend at a ‘reasonable' price, analyst says
Dow Inc. shares should be bought, J.P. Morgan analyst Jeffrey Zekauskas says, as the specialty chemicals and plastics company's stock offers an attractive dividend, a strong balance sheet and the potential to get a nice, delayed boost from higher oil prices.</t>
  </si>
  <si>
    <t>Dow Inc.</t>
  </si>
  <si>
    <t>Commodity Chemicals</t>
  </si>
  <si>
    <t xml:space="preserve">
    Market Cap (intraday) 36.25B
         Enterprise Value 49.62B
             Trailing P/E  21.04
              Forward P/E  12.66
PEG Ratio (5 yr expected)   3.57
        Price/Sales (ttm)   0.75
         Price/Book (mrq)   1.81
 Enterprise Value/Revenue   1.01
  Enterprise Value/EBITDA   8.61</t>
  </si>
  <si>
    <t>Piedmont Natural Gas forecasts lower monthly winter bills for customers
Piedmont estimates an average decrease of approximately $3 to $26 per month for the typical residential natural gas customer Financial assistance and energy-saving tips and tools are available to help customers manage seasonal bills CHARLOTTE, N.C. , Sept. 29, 2023 /PRNewswire/ -- Piedmont Natural Gas today issued its annual winter bills forecast for the upcoming winter period.
Duke Energy Progress receives approval for new rates in North Carolina, implements new programs to help customers
Rates include upgrades to make the grid more resilient and shorten the duration of outages New programs will give customers more control over energy use, support low-income customers Approval includes performance incentive mechanisms to hold the utility accountable for reliability, encourage renewables and reduce peak system loads CHARLOTTE, N.C. , Sept. 29, 2023 /PRNewswire/ -- Duke Energy Progress will implement new rates for North Carolina customers on Oct. 1 as approved by the North Carolina Utilities Commission (NCUC).
Don't Miss the Boom: 7 Utilities Stocks Set to Explode Higher
Amid a still-stubbornly high backdrop of inflation, the narrative for utilities stocks to buy stands as a cynical bright spot. Basically, everyone must pay their bills associated with core services.
Duke Vs. NextEra: The Power Plays Changing Florida's Energy
NextEra Energy and Duke Energy are dominant players in Florida's electricity sector and present compelling investment opportunities. NextEra's focus on renewable energy aligns with the global push for sustainability, while Duke's diversification across multiple states offers a hedge against state-specific challenges. The ongoing shift to renewable energy requires significant capital expenditure, which can affect valuations and creditworthiness of utility companies.
High-potential industrial sites in Jennings, Tippecanoe counties selected for Duke Energy's 2023 Site Readiness Program
Program's 21 project wins in Indiana have resulted in more than 6,000 new jobs, $5.78 billion in capita l investment since 2013 PLAINFIELD, Ind. , Sept. 25, 2023 /PRNewswire/ -- Duke Energy has selected two properties in Jennings and Tippecanoe counties for inclusion in its 2023 Site Readiness Program, which prepares high-potential business and industrial sites for economic development investments and markets them nationwide to companies looking to expand or relocate their operations.</t>
  </si>
  <si>
    <t>Duke Energy</t>
  </si>
  <si>
    <t xml:space="preserve">
    Market Cap (intraday)  68.02B
         Enterprise Value 148.43B
             Trailing P/E   18.90
              Forward P/E   14.79
PEG Ratio (5 yr expected)    2.42
        Price/Sales (ttm)    2.34
         Price/Book (mrq)    1.47
 Enterprise Value/Revenue    5.11
  Enterprise Value/EBITDA   11.63</t>
  </si>
  <si>
    <t>10 Cheap Value Stocks Are Poised To Report Massive Profit Growth
Just because a stock is considered a "value" doesn't mean it can't grow like crazy. In fact, many S&amp;P 500 value stocks may do just that.
Buy These 3 Low-Beta Stocks to Navigate Volatility
Stocks have faced pressure over the last several weeks, with continued uncertainty surrounding the economy weighing on investors' minds.</t>
  </si>
  <si>
    <t>DaVita Inc.</t>
  </si>
  <si>
    <t xml:space="preserve">
    Market Cap (intraday)  8.63B
         Enterprise Value 19.77B
             Trailing P/E  18.98
              Forward P/E  12.71
PEG Ratio (5 yr expected)   0.77
        Price/Sales (ttm)   0.75
         Price/Book (mrq)   8.48
 Enterprise Value/Revenue   1.68
  Enterprise Value/EBITDA   9.79</t>
  </si>
  <si>
    <t>Oil and Gas Stocks Topped S&amp;P 500 Returns This Quarter as Crude Prices Surged
Oil and gas companies featured heavily in the list of top-performing S&amp;P 500 companies in the third quarter, as rising crude prices lifted the outlook for profits.
Phillips 66: As Good As It Gets
Phillips 66 is a complex business with stakes in refinery, midstream, chemical and other energy sectors. The stock has had a nice recent run and is up some 33% over the past three months of trading. However, some insiders have started selling their equity in September, raising concerns about the stock's future performance.
Phillips 66 (PSX) Just Overtook the 20-Day Moving Average
From a technical perspective, Phillips 66 (PSX) is looking like an interesting pick, as it just reached a key level of support. PSX recently overtook the 20-day moving average, and this suggests a short-term bullish trend.</t>
  </si>
  <si>
    <t>Phillips 66</t>
  </si>
  <si>
    <t xml:space="preserve">
    Market Cap (intraday) 53.50B
         Enterprise Value 70.34B
             Trailing P/E   5.18
              Forward P/E   8.61
PEG Ratio (5 yr expected)    NaN
        Price/Sales (ttm)   0.37
         Price/Book (mrq)   1.79
 Enterprise Value/Revenue   0.45
  Enterprise Value/EBITDA   4.06</t>
  </si>
  <si>
    <t>Here's Why You Should Hold Pentair (PNR) Stock in Portfolio
Pentair (PNR) is well-poised for growth, backed by its transformation initiatives, focus on innovation, automation and growth in the areas of pool, residential and commercial water treatment.</t>
  </si>
  <si>
    <t>Pentair</t>
  </si>
  <si>
    <t xml:space="preserve">
    Market Cap (intraday) 10.69B
         Enterprise Value 12.76B
             Trailing P/E  21.73
              Forward P/E  15.34
PEG Ratio (5 yr expected)   1.59
        Price/Sales (ttm)   2.57
         Price/Book (mrq)   3.64
 Enterprise Value/Revenue   3.06
  Enterprise Value/EBITDA  16.03</t>
  </si>
  <si>
    <t>Reasons to Add Pinnacle West Capital (PNW) to Your Portfolio Now
Pinnacle West Capital (PNW) makes a strong case for investment, given its growth prospects, strong ROE and increase in earnings estimate.</t>
  </si>
  <si>
    <t>Pinnacle West</t>
  </si>
  <si>
    <t xml:space="preserve">
    Market Cap (intraday)  8.35B
         Enterprise Value 18.44B
             Trailing P/E  20.64
              Forward P/E  14.84
PEG Ratio (5 yr expected)   2.36
        Price/Sales (ttm)   1.84
         Price/Book (mrq)   1.40
 Enterprise Value/Revenue   4.11
  Enterprise Value/EBITDA  11.21</t>
  </si>
  <si>
    <t>Weight-Loss-Drug Stock Sting May Be Easing for Device Makers
Wall Street says insulin pump maker Insulet and Tandem Diabetes, as well as glucose-monitor maker DexCom, look ready to rise after pressure from Novo Nordisk's Wegovy and Eli Lilly.
Healthcare Equipment Stock Climbs on Upgrade
The shares of Insulet Corporation (NASDAQ:PODD) are higher before this morning's open, after Jefferies upgraded the medical equipment distributor to "buy" from "hold," with a price-target cut to $240 from $260.
Insulet shares rise as analysts say weight-loss drug fears may be overblown
Insulet Corp. shares PODD, -2.67% gained 4% premarket on Monday after Jefferies analysts upgraded the stock to buy from hold, saying its valuation looks attractive after the shares were dragged down by fears that the weight-loss drug craze would hurt the insulin pump maker's business. Diabetes stocks have been widely seen as risky due to the popularity of the diabetes and weight-loss treatments known as GLP-1s, yet the diabetes market remains large and underpenetrated, Jefferies analysts wrote in a note Monday.
Insulet to Present Extended Real-World Evidence and Best Practices for Optimizing Care with Omnipod® 5
ACTON, Mass.--(BUSINESS WIRE)--Insulet Corporation (NASDAQ: PODD) (Insulet or the Company), the global leader in tubeless insulin pump technology with its Omnipod® brand of products, today announced its schedule of events and presentations at EASD 2023, taking place today through October 6 in Hamburg, Germany, and online. The Company will present extended real-world evidence (RWE) of improved outcomes and optimization of care using the Omnipod 5 Automated Insulin Delivery System, one full year.
Is It Time to Buy the S&amp;P 500's 4 Worst-Performing Stocks This Year?
Dollar General continues to struggle in the current macroeconomic environment. Enphase Energy and SolarEdge are facing challenges from higher interest rates.
Insulet to Announce Third Quarter 2023 Financial Results on November 2, 2023
ACTON, Mass.--(BUSINESS WIRE)--Insulet Corporation (NASDAQ: PODD) (Insulet or the Company), the global leader in tubeless insulin pump technology with its Omnipod® brand of products, today announced plans to release its financial results for the third quarter of 2023 on November 2, 2023 after the close of the financial markets. In connection with the release, management will host a conference call that day at 4:30 p.m. (Eastern Time). The link to the live call will be available on the Investor.
Will Insulet (PODD) Stock Recover To Its Pre-Inflation Shock Highs Of $300?
Returning to the pre-inflation shock level of $318 means that PODD stock will have to gain more than 100% from here.
Wall Street analysts expect the S&amp;P 500 to rise 19% over the next 12 months. Here are their 10 favorite stocks.
Outside of a handful of highflying technology stocks, U.S. stocks have been practically flat in 2023, but on Wall Street, some analysts remain as bullish as ever.
These 20 growth stocks are worth considering on a pullback, says Citi
Citi has released a list of 20 large-cap growth stocks that it says present opportunities in the event of a pullback.
Analysts Predict A 19% Surge For The S&amp;P 500 Soon — Lifted By 10 Stocks
It's been a rough half of the year for the S&amp;P 500 — with it slipping nearly 3%. But that's not stopping analysts from bullish calls.</t>
  </si>
  <si>
    <t>Insulet</t>
  </si>
  <si>
    <t xml:space="preserve">
    Market Cap (intraday) 11.14B
         Enterprise Value 11.89B
             Trailing P/E 177.21
              Forward P/E  74.63
PEG Ratio (5 yr expected)   0.52
        Price/Sales (ttm)   7.65
         Price/Book (mrq)  20.10
 Enterprise Value/Revenue   8.11
  Enterprise Value/EBITDA  69.89</t>
  </si>
  <si>
    <t>PSEG To Announce Third Quarter 2023 Financial Results On October 31
NEWARK, N.J., Sept. 26, 2023 /PRNewswire/ -- Public Service Enterprise Group Incorporated (PSEG) will host its third quarter 2023 earnings call at 11:00 a.m.
Top Wall Street analysts are bullish on these dividend stocks
TipRanks' analyst ranking service pinpoints Wall Street's best-performing stocks, including Chevron and Broadcom.</t>
  </si>
  <si>
    <t>Public Service Enterprise Group</t>
  </si>
  <si>
    <t xml:space="preserve">
    Market Cap (intraday) 28.40B
         Enterprise Value 47.69B
             Trailing P/E  10.24
              Forward P/E  15.38
PEG Ratio (5 yr expected)   1.44
        Price/Sales (ttm)   2.46
         Price/Book (mrq)   1.89
 Enterprise Value/Revenue   4.12
  Enterprise Value/EBITDA   8.96</t>
  </si>
  <si>
    <t>HII's Ingalls Shipbuilding Hosts Project MFG Welding Competition
PASCAGOULA, Miss., Sept. 28, 2023 (GLOBE NEWSWIRE) -- HII's (NYSE: HII) Ingalls Shipbuilding division, in partnership with Jackson County's Passion, Purpose, Paycheck (P3) program and the Department of Defense's (DOD) Project MFG, hosted an inaugural welding competition Sept. 22 at Ingalls Shipbuilding. Students from local career and technical training programs were invited to demonstrate their proficiency in a timed competition.
HII Marks Arkansas (SSN 800) Construction Milestone at Newport News Shipbuilding
NEWPORT NEWS, Va., Sept. 27, 2023 (GLOBE NEWSWIRE) -- HII shared today (NYSE: HII) that its Newport News Shipbuilding (NNS) division has reached a significant milestone in the construction of Virginia-class submarine Arkansas (SSN 800).
First Flight III Destroyer Jack H. Lucas (DDG 125) Sails Away From HII's Ingalls Shipbuilding
PASCAGOULA, Miss., Sept. 26, 2023 (GLOBE NEWSWIRE) -- The first Flight III Arleigh Burke-class guided-missile destroyer Jack H. Lucas (DDG 125) departed HII's (NYSE: HII) Ingalls Shipbuilding division Tuesday. DDG 125 will be commissioned Oct. 7, 2023 at a ceremony in Tampa, Florida, before sailing to its homeport in San Diego.
HII Partners to Advance Additive Manufacturing on a Virginia-Class Submarine
NEWPORT NEWS, Va., Sept. 25, 2023 (GLOBE NEWSWIRE) -- HII's (NYSE: HII) Newport News Shipbuilding division and General Dynamics Electric Boat (GDEB) announced today that the companies have advanced efforts to integrate additive manufacturing technology, also known as 3D printing, into the shipbuilding process for nuclear-powered submarines. The use of certified 3D-printed parts has the potential to accelerate construction and delivery of submarines to the U.S. Navy by cutting lead times for critical components.</t>
  </si>
  <si>
    <t>Huntington Ingalls Industries</t>
  </si>
  <si>
    <t xml:space="preserve">
    Market Cap (intraday)  8.16B
         Enterprise Value 10.95B
             Trailing P/E  15.74
              Forward P/E  11.68
PEG Ratio (5 yr expected)   0.94
        Price/Sales (ttm)   0.75
         Price/Book (mrq)   2.24
 Enterprise Value/Revenue   1.02
  Enterprise Value/EBITDA   9.40</t>
  </si>
  <si>
    <t>4 Solid Stocks to Buy on Jump in Personal Income, Spending
Stocks like Guess?, Inc. (GES), Sonos, Inc. (SONO), Bragg Gaming Group Inc. (BRAG) and Hilton Worldwide Holdings Inc. (HLT) should benefit from the rise in personal spending and income.
Hilton Announces Third Quarter 2023 Earnings Release Date
MCLEAN, Va.--(BUSINESS WIRE)--Hilton Worldwide Holdings Inc. (NYSE: HLT) will report third quarter 2023 financial results before the stock market opens on Wednesday, Oct. 25, 2023, followed by a conference call at 9 a.m. EDT. Christopher J. Nassetta, president &amp; chief executive officer, Hilton, and Kevin Jacobs, chief financial officer &amp; president, global development, Hilton, will discuss the company's performance and lead a question-and-answer session. Participants may listen to the li.</t>
  </si>
  <si>
    <t>Hilton Worldwide</t>
  </si>
  <si>
    <t xml:space="preserve">
    Market Cap (intraday) 39.27B
         Enterprise Value 48.04B
             Trailing P/E  31.48
              Forward P/E  21.69
PEG Ratio (5 yr expected)   1.07
        Price/Sales (ttm)   4.15
         Price/Book (mrq)    NaN
 Enterprise Value/Revenue   4.92
  Enterprise Value/EBITDA  19.97</t>
  </si>
  <si>
    <t>Hologic to Expand Outreach During Breast Cancer Awareness Month
MARLBOROUGH, Mass.--(BUSINESS WIRE)---- $HOLX #bcam--Hologic, Inc. (Nasdaq: HOLX), a global leader in women's health, today announced a series of activities promoting the importance of breast cancer screenings throughout Breast Cancer Awareness Month, including a global partnership with Know Your Lemons, a nonprofit organization committed to improving early detection of breast cancer worldwide through creative and empowering education. To kick off the month, Hologic Chairman, President and CEO Steve MacMillan.
Here's Why You Should Retain Hologic (HOLX) Stock for Now
Investors continue to remain optimistic about Hologic (HOLX), backed by the Breast Health business' performance and international execution.
Here is What to Know Beyond Why Hologic, Inc. (HOLX) is a Trending Stock
Hologic (HOLX) has been one of the stocks most watched by Zacks.com users lately. So, it is worth exploring what lies ahead for the stock.</t>
  </si>
  <si>
    <t>Hologic</t>
  </si>
  <si>
    <t xml:space="preserve">
    Market Cap (intraday) 17.00B
         Enterprise Value 17.07B
             Trailing P/E  35.59
              Forward P/E  17.12
PEG Ratio (5 yr expected)    NaN
        Price/Sales (ttm)   4.30
         Price/Book (mrq)   3.28
 Enterprise Value/Revenue   4.23
  Enterprise Value/EBITDA  15.04</t>
  </si>
  <si>
    <t>Dow Stocks To Trade In October
This long and short equity strategy has generated superior returns based upon cycles and relative strength.
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Honeywell raises dividend, to boost yield above 2.3%
Honeywell International Inc. HON, -0.38% announced Friday a 5% increase in its dividend, starting in the fourth quarter. Shareholders of record on Nov. 10 will receive the new quarterly dividend of $1.08 a share, up from $1.03 a share, on Dec. 1.
HONEYWELL TO INCREASE DIVIDEND EFFECTIVE FOURTH QUARTER 2023
CHARLOTTE, N.C. , Sept. 29, 2023 /PRNewswire/ -- Honeywell (NASDAQ: HON) today announced that its Board of Directors has approved an increase in the company's regular annual cash dividend from $4.12 to $4.32 per share.
HONEYWELL TO RELEASE THIRD QUARTER FINANCIAL RESULTS AND HOLD ITS INVESTOR CONFERENCE CALL ON THURSDAY, OCTOBER 26
CHARLOTTE, N.C., Sept. 28, 2023 /PRNewswire/ -- Honeywell (NASDAQ: HON) will issue its third quarter financial results before the opening of the Nasdaq Stock Market on Thursday, October 26.
Don't Miss the Boom: 3 Quantum Computing Stocks Set to Explode Higher
In the dynamic investment realm, excitement for quantum computing stocks is steadily amplifying. As the sector gains momentum, investors are on the lookout for quantum computing stocks to buy.
Innovative Solutions: Deal With Honeywell International Could Accelerate Business
Innovative Solutions and Support, Inc. recently signed a deal with a large conglomerate, acquiring new intellectual property, contracts, and recognition. Shipments of displays for retrofit programs to commercial air transport customers are accelerating, and the ThrustSense Autothrottle systems are receiving positive industry feedback. The company's financial position is healthy, with increased assets and a successful acquisition financed by long-term debt.
Honeywell invests $27.5M into Oregon battery company ESS
New partnership: Oregon battery manufacturer ESS Inc. has a deal with international conglomerate Honeywell that includes a $27.5 million investment with the possibility of an additional $20 million in capital in a second phase. Perhaps even more importantly, the partnership includes an agreement that Honeywell will become a buyer, seller and reseller of ESS technology, with an initial target of $300 million in sales.
Honeywell (HON), ESS Tech to Accelerate IFB Energy Storage
Honeywell (HON) collaborates with ESS Tech to meet the growing demand for LDES globally, thanks to the rapid increase in renewable power generation.
Honeywell Investment in Battery Storage Sends This Stock Soaring
Honeywell is investing in ESS Tech, an iron flow battery company that can provide backup power storage for utilities.
Honeywell partners with ESS Tech to fast-track commercialization of iron flow battery energy storage systems
Honeywell (NYSE:HON) has invested in ESS Tech as part of a strategic collaboration with the energy technology company to advance the development and commercialization of iron flow battery (IFB) energy storage systems. The company said in a statement that the strategic collaboration brings together Honeywell (NYSE:HON)'s experience in advanced materials and energy systems with ESS' patented IFB design with the aim of tapping into growing global demand for long-duration energy storage solutions.
3 High-Quality Stocks to Buy on the Dip According to AI
This article is an excerpt from the InvestorPlace Digest newsletter. To get news like this delivered straight to your inbox, click here.
Honeywell and ESS Tech, Inc. Collaborate to Accelerate Commercial Deployment of Iron Flow Battery Energy Storage Systems
CHARLOTTE, N.C. &amp; WILSONVILLE, Ore.--(BUSINESS WIRE)--Honeywell (Nasdaq: HON) today announced a strategic collaboration with ESS Tech, Inc. (ESS) (NYSE: GWH) to advance technology development and market adoption of iron flow battery (IFB) energy storage systems. Honeywell has made an investment in ESS as part of this collaboration. The relationship builds upon each company's development of energy storage systems, and brings together ESS' market-leading, patented IFB design with Honeywell's adva.</t>
  </si>
  <si>
    <t>Honeywell</t>
  </si>
  <si>
    <t xml:space="preserve">
    Market Cap (intraday) 122.66B
         Enterprise Value 135.26B
             Trailing P/E   22.86
              Forward P/E   18.28
PEG Ratio (5 yr expected)    1.85
        Price/Sales (ttm)    3.45
         Price/Book (mrq)    7.09
 Enterprise Value/Revenue    3.74
  Enterprise Value/EBITDA   15.69</t>
  </si>
  <si>
    <t>Drugmakers sign on to negotiate Medicare prices under protest
All the drugmakers that make the 10 prescription medicines subject to the first-ever price negotiations for the U.S. Medicare health program, including Amgen and Novartis , said they signed on to participate in the talks by the Oct. 1 deadline.
Q4 Stock Predictions: 3 Pharma Stocks Ready to Roar Into 2024
With a few exceptions, pharmaceutical stocks have underperformed the broader market this year. The S&amp;P Pharmaceutical Index is down 3% year to date versus a 12% gain in the benchmark S&amp;P 500.
Stable Giants: 3 Bigwig Biotech Stocks for Consistent Returns
Biotech stocks have had a rough post-pandemic. In a year where the S&amp;P500 is up more than 10% year to date, the biotech sector is still negative to flat.
Eli Lilly Gets FDA Letter About Eczema Drug Concerns. The Stock Shrugs.
The pharmaceutical company says the letter cited no worries about the safety of its lebrikizumab skin treatment.
Eli Lilly gets FDA complete response letter for skin treatment after inspection of third-party facility
Eli Lilly &amp; Co. said Monday the U.S. Food and Drug Administration has issued a complete response letter for its lebrikizumab, a treatment for moderate-to-severe atopic dermatitis, after an inspection at a third-party manufacturer. The letter, which means the FDA cannot approve the drug for now, was based on findings from an inspection of a plant that included the monoclonal antibody drug substance for Lilly's lebrikizumab.
U.S. FDA declines to approve Eli Lilly's skin disease drug
The U.S. Food and Drug Administration has declined to approve Eli Lilly's drug to treat a type of skin disease due to certain findings during an inspection of a contract manufacturer, the company said on Monday.
U.S. Food and Drug Administration Issues Complete Response Letter for Lebrikizumab Based on Inspection Findings at Third-Party Manufacturer
In the letter, the FDA stated no concerns about the clinical data package, safety or label for lebrikizumab INDIANAPOLIS , Oct. 2, 2023 /PRNewswire/ -- Eli Lilly and Company (NYSE: LLY) announced that the U.S. Food and Drug Administration (FDA) has issued a complete response letter for the lebrikizumab biologic license application (BLA) for the treatment of moderate-to-severe atopic dermatitis (eczema). The letter cited findings that arose during a multi-sponsor inspection of a third-party, contract manufacturing organization that included the monoclonal antibody drug substance for Lilly's lebrikizumab.
These 5 Stocks Are Setting Up This Buying Opportunity After Strong Runs
After a run, stocks can offer a new buying opportunity with a pullback to the 50-day line. Novo Nordisk and 4 S&amp;P 500 stocks have done that.
3 Stocks to Focus on as Demand for Obesity Drugs Booms
The market for obesity and weight management drugs is attracting a lot of interest lately in the United States. Patients are gradually understanding the benefits of obesity drugs like Novo Nordisk's NVO Wegovy.
Eli Lilly settles whistleblower lawsuit over manufacturing problems
Eli Lilly and Co and a former employee agreed to settle a lawsuit in which the worker claimed she was terminated after pointing out poor manufacturing practices and data falsification involving one of its blockbuster diabetes drugs, according to court filings.
3 Biotech Stocks to Watch Ahead of Potential Obesity Drug Approvals
The companies that already have obesity drugs can't keep up with the demand for their treatments, and the demand for the drugs is only likely to become more intense. That's because over 42% of the U.S. population was obese as of 2020, while the pervasive publicity around these drugs will make them more popular, and the social and political pressure for insurers to cover the treatments will become more intense.
US judge overturns Eli Lilly's $176.5 million loss in Teva patent case
Drugmaker Eli Lilly convinced a federal judge in Massachusetts on Tuesday to overturn a $176.5 million jury verdict for Teva Pharmaceutical that found Lilly's migraine drug Emgality infringed three patents related to Teva's rival drug Ajovy.
Don't Miss the Boom: 3 Biotech Stocks Set to Explode Higher
In the dynamic investment realm, one sector that continues to stand out is the area of biotech stocks. Though risky, especially when assessing established firms with market-ready drugs and vast research and development (R&amp;D), the rewards can be significant.
2 Magnificent Dividend Stocks to Buy Right Now
High-quality dividend stocks frequently produce market-beating returns over the long term. Eli Lilly and Novo Nordisk are two blue-chip dividend stocks with rock-solid payouts and strong growth prospects.
FDA Expands Lilly (LLY) Jardiance Label in Chronic Kidney Disease
Following the latest approval, Lilly's (LLY) Jardiance can access a target market that affects more than 35 million adults in the United States.
Eli Lilly and Company (LLY) is Attracting Investor Attention: Here is What You Should Know
Zacks.com users have recently been watching Lilly (LLY) quite a bit. Thus, it is worth knowing the facts that could determine the stock's prospects.
The disruptive effect of weight loss drugs like Ozempic could have surprising impacts on the stock market. Here are potential winners and losers.
The potential ripple effects of GLP-1 weight loss drugs like Ozempic and Wegovy are far-reaching. There could be reduced demand for junk food and increased demand for athletic brands.
3 Magnificent Growth Stocks to Buy Right Now
Some might overlook AstraZeneca, but the stock has strong growth prospects. Eli Lilly continues to fire on all cylinders, with especially big opportunities for Mounjaro.</t>
  </si>
  <si>
    <t>Eli Lilly and Company</t>
  </si>
  <si>
    <t xml:space="preserve">
    Market Cap (intraday) 509.89B
         Enterprise Value 525.89B
             Trailing P/E   74.81
              Forward P/E   42.19
PEG Ratio (5 yr expected)    1.42
        Price/Sales (ttm)   16.45
         Price/Book (mrq)   46.09
 Enterprise Value/Revenue   17.82
  Enterprise Value/EBITDA   57.56</t>
  </si>
  <si>
    <t>Kraft Heinz (KHC) Poised on Pricing &amp; Transformation Efforts
The Kraft Heinz Company (KHC) is committed to accelerating its profit and enhancing the long-term shareholders' value with the AGILE@SCALE strategy.
83% of Warren Buffett's $347 Billion Portfolio Is Invested in Only 8 Stocks
The Oracle of Omaha has effectively doubled-up the annualized total return of the benchmark S&amp;P 500 since the mid-1960s. Portfolio concentration has played a key role in Warren Buffett's sizable outperformance.
3 Warren Buffett Stocks That are Moving into the Buy Zone
Warren Buffett is known for his penchant for buying “forever" stocks. The legendary investor has a strategy that may be boring for many investors.
October Is Very Scary for the Stock Market: 7 ‘Strong Buy' Warren Buffett Dividend Stocks Are Very Safe Bets
Wall Street is all about statistics. One of the grim ones is the fact that the last 10 trading days of September are typically the worst of the year.
Caffeinate Your Returns: 3 Coffee Stocks to Own for the Long Haul
The three coffee stocks recommended in this article were inspired by Robert Kirby, a portfolio manager for nearly his entire working career. He co-founded Capital Guardian Trust Co., a subsidiary of Capital Group.</t>
  </si>
  <si>
    <t>Kraft Heinz</t>
  </si>
  <si>
    <t xml:space="preserve">
    Market Cap (intraday) 41.32B
         Enterprise Value 60.37B
             Trailing P/E  13.14
              Forward P/E  11.24
PEG Ratio (5 yr expected)   1.45
        Price/Sales (ttm)   1.52
         Price/Book (mrq)   0.83
 Enterprise Value/Revenue   2.23
  Enterprise Value/EBITDA  10.72</t>
  </si>
  <si>
    <t>3 Unstoppable Dividend Stocks That Can Provide Passive Income for a Lifetime
A leading provider of industrial gases, Air Products has delivered dividends to investors for decades. A sustainable dividend and long-term growth prospects more than offset temporary weakness at Johnson Controls.
Johnson Controls cybersecurity incident disrupts operations, could delay earnings
Johnson Controls International PLC JCI, +0.66% said late Wednesday a recent cybersecurity incident disrupted operations and could possibly interfere with earnings. In a filing late Wednesday with the Securities and Exchange Commission, the building infrastructure supplier said it is investigating an undated cybersecurity incident along with outside experts.
Johnson Controls Named to Fortune's 2023 Change the World List
CORK, Ireland , Sept. 27, 2023 /PRNewswire/ -- Johnson Controls (NYSE: JCI), the global leader for smart, healthy, and sustainable buildings, has been named to the 2023 Fortune Change the World list for its innovative and transformative heat pump technology.</t>
  </si>
  <si>
    <t>Johnson Controls</t>
  </si>
  <si>
    <t xml:space="preserve">
    Market Cap (intraday) 36.20B
         Enterprise Value 44.91B
             Trailing P/E  17.86
              Forward P/E  13.30
PEG Ratio (5 yr expected)   0.70
        Price/Sales (ttm)   1.38
         Price/Book (mrq)   2.22
 Enterprise Value/Revenue   1.69
  Enterprise Value/EBITDA  15.54</t>
  </si>
  <si>
    <t>Ingersoll Rand Announces Addition of Julie Schertell and JoAnna Sohovich to Board of Directors
DAVIDSON, N.C.--(BUSINESS WIRE)--Ingersoll Rand Inc. (NYSE:IR), a global provider of mission-critical flow creation and industrial solutions, today announced the appointment of Julie Schertell and JoAnna Sohovich to its Board of Directors effective October 2, 2023. Schertell currently serves as the president and chief executive officer (CEO) for Mativ (NYSE: MATV), a leading global manufacturer of specialty materials, and serves on its Board of Directors. She brings more than three decades of e.</t>
  </si>
  <si>
    <t>Ingersoll Rand</t>
  </si>
  <si>
    <t xml:space="preserve">
    Market Cap (intraday) 25.77B
         Enterprise Value 27.36B
             Trailing P/E  37.93
              Forward P/E  19.92
PEG Ratio (5 yr expected)   1.33
        Price/Sales (ttm)   4.04
         Price/Book (mrq)   2.74
 Enterprise Value/Revenue   4.24
  Enterprise Value/EBITDA  18.80</t>
  </si>
  <si>
    <t>Iron Mountain (IRM) Shares Rally 20% YTD: Will the Trend Last?
Strong cash flows in the storage and records management business and a focus on data center business growth augur well for Iron Mountain (IRM).
Iron Mountain Incorporated (IRM) RBC Capital Markets Global Communications Infrastructure Conference (Transcript)
Call Start: 14:00 January 1, 0000 2:33 PM ET Iron Mountain Incorporated (NYSE:IRM ) RBC Capital Markets Global Communications Infrastructure Conference Call September 27, 2023 14:00 ET Company Participants Barry Hytinen - Executive Vice President &amp; Chief Financial Officer Conference Call Participants Jonathan Atkin - RBC Capital Markets Jonathan Atkin Welcome to the afternoon fireside chat. If you have any conversations going on, you might want to take it to the hallway.</t>
  </si>
  <si>
    <t>Iron Mountain</t>
  </si>
  <si>
    <t>Other Specialized REITs</t>
  </si>
  <si>
    <t xml:space="preserve">
    Market Cap (intraday) 17.35B
         Enterprise Value 30.96B
             Trailing P/E  46.09
              Forward P/E  35.59
PEG Ratio (5 yr expected)    NaN
        Price/Sales (ttm)   3.33
         Price/Book (mrq)  41.69
 Enterprise Value/Revenue   5.91
  Enterprise Value/EBITDA  17.63</t>
  </si>
  <si>
    <t>Why Illinois Tool Works (ITW) is a Top Dividend Stock for Your Portfolio
Dividends are one of the best benefits to being a shareholder, but finding a great dividend stock is no easy task. Does Illinois Tool Works (ITW) have what it takes?
FERG vs. ITW: Which Stock Is the Better Value Option?
Investors with an interest in Manufacturing - General Industrial stocks have likely encountered both Ferguson plc (FERG) and Illinois Tool Works (ITW). But which of these two stocks offers value investors a better bang for their buck right now?</t>
  </si>
  <si>
    <t>Illinois Tool Works</t>
  </si>
  <si>
    <t xml:space="preserve">
    Market Cap (intraday) 69.64B
         Enterprise Value 76.94B
             Trailing P/E  22.80
              Forward P/E  21.93
PEG Ratio (5 yr expected)   2.52
        Price/Sales (ttm)   4.40
         Price/Book (mrq)  22.52
 Enterprise Value/Revenue   4.79
  Enterprise Value/EBITDA  16.73</t>
  </si>
  <si>
    <t>Invesco Ltd. To Announce Third Quarter 2023 Results
ATLANTA , Oct. 2, 2023 /PRNewswire/ -- Invesco Ltd. (NYSE: IVZ) will release its third quarter 2023 results on Tuesday, Oct. 24, 2023.
Invesco Mortgage Capital Inc. Announces Quarterly Common Dividend
ATLANTA , Sept. 26, 2023  /PRNewswire/ -- Invesco Mortgage Capital Inc. (the "Company") (NYSE: IVR) today announced that its Board of Directors declared a cash dividend of $0.40 per share of common stock for the third quarter of 2023.
Should You Consider Invesco (IVZ) for Its Dividend Yield?
Amid uncertain macroeconomic conditions, investors may accumulate solid dividend-yielding stocks like Invesco (IVZ) in their portfolios.</t>
  </si>
  <si>
    <t>Invesco</t>
  </si>
  <si>
    <t xml:space="preserve">
    Market Cap (intraday)  6.51B
         Enterprise Value 17.61B
             Trailing P/E  10.37
              Forward P/E   7.73
PEG Ratio (5 yr expected)   2.59
        Price/Sales (ttm)   1.16
         Price/Book (mrq)   0.58
 Enterprise Value/Revenue   3.06
  Enterprise Value/EBITDA  12.81</t>
  </si>
  <si>
    <t>Is the Grinch Stealing This Year's Holiday Season Jobs?
United Parcel Service Inc. NYSE: UPS is among logistics companies that are proceeding cautiously this year, in anticipation of a slower holiday season.
3 Trucking Stocks to Keep an Eye on Amid Industry Challenges
Escalating operating expenses are hurting the Zacks Transportation-Truck industry's prospects. However, stocks like ODFL, JBHT and ARCB are better positioned to escape the industry challenges.
Here are the 18 stocks Jim Cramer is watching, including names in EVs, beauty and oil
Here are some of the tickers on my radar for Wednesday, Sept. 27, taken directly from my reporter's notebook.
Trucking Industry Up 26.6% Year to Date: More Room to Run?
Improvement in freight demand and consistent shareholder-friendly initiatives bode well for the stocks in the trucking industry.
Road to Riches: 3 Transportation Stocks Set to Outpace the Market
Transportation stocks are typically viewed as moving in sync with the economy as a whole. Despite what the very stubborn bears say,  I would argue that this characteristic makes transportation stocks very attractive at the current time, as the Fed projects that the U.S. economy will grow at an extremely rapid 4.9% in the current quarter.</t>
  </si>
  <si>
    <t>J.B. Hunt</t>
  </si>
  <si>
    <t xml:space="preserve">
    Market Cap (intraday) 19.48B
         Enterprise Value 20.63B
             Trailing P/E  23.02
              Forward P/E  20.53
PEG Ratio (5 yr expected)   4.02
        Price/Sales (ttm)   1.43
         Price/Book (mrq)   4.98
 Enterprise Value/Revenue   1.49
  Enterprise Value/EBITDA  10.93</t>
  </si>
  <si>
    <t>Energy Drinks &amp; New Products Aid Monster Beverage (MNST) Sales
Despite elevated costs, Monster Beverage's (MNST) continued momentum in the energy drinks category and robust new product pipeline will likely drive growth.
Is It Too Late to Buy These 2 Stock-Split Stocks?
Stock splits or not, it's most important to pay attention to a company's fundamentals. Amazon is focusing more on cost-cutting now as its huge size hampers growth.
These 3 Stocks Have Annualized +15% Returns Over the Last Decade
Not all high-flying stocks come from the Technology sector, with many widely outperforming the general market over the last decade. And that's precisely the case for these three.</t>
  </si>
  <si>
    <t>Monster Beverage</t>
  </si>
  <si>
    <t xml:space="preserve">
    Market Cap (intraday) 55.47B
         Enterprise Value 52.18B
             Trailing P/E  39.08
              Forward P/E  29.59
PEG Ratio (5 yr expected)   1.48
        Price/Sales (ttm)   8.40
         Price/Book (mrq)   7.07
 Enterprise Value/Revenue   7.80
  Enterprise Value/EBITDA  27.69</t>
  </si>
  <si>
    <t>Playing Defense With Low-Debt Dividend Growers
The article discusses miserly managers of money. Large cap-picks with ultra low debt-to-equity ratios and nice sized, well covered, growing dividends. These companies also have ample interest expense coverage, an essential when the forward cost of capital is ever-increasing. Insurance, oil &amp; gas seem to be the best operators at the moment with the least need for debt in their capital stacks.</t>
  </si>
  <si>
    <t>Snap-on</t>
  </si>
  <si>
    <t xml:space="preserve">
    Market Cap (intraday) 13.50B
         Enterprise Value 13.88B
             Trailing P/E  14.14
              Forward P/E  13.42
PEG Ratio (5 yr expected)   1.88
        Price/Sales (ttm)   2.98
         Price/Book (mrq)   2.84
 Enterprise Value/Revenue   3.00
  Enterprise Value/EBITDA   9.72</t>
  </si>
  <si>
    <t>Roper Technologies announces dividend
SARASOTA, Fla., Sept. 27, 2023 (GLOBE NEWSWIRE) -- Roper Technologies, Inc. (Nasdaq: ROP) announced that its Board of Directors has approved a dividend of $0.6825 per share payable on October 23, 2023 to stockholders of record on October 9, 2023.</t>
  </si>
  <si>
    <t>Roper Technologies</t>
  </si>
  <si>
    <t xml:space="preserve">
    Market Cap (intraday) 51.68B
         Enterprise Value 56.88B
             Trailing P/E  44.31
              Forward P/E  27.40
PEG Ratio (5 yr expected)   2.04
        Price/Sales (ttm)   8.96
         Price/Book (mrq)   3.09
 Enterprise Value/Revenue   9.84
  Enterprise Value/EBITDA  24.07</t>
  </si>
  <si>
    <t>Revvity's (RVTY) New Launch to Widen Access to Editing Technology
Revvity's (RVTY) latest offering is likely to improve access to new-generation editing technology and bridge both preclinical and clinical discoveries with the same technology platform.
Revvity Expands Access to Base Editing Technology With Aim to Accelerate Discovery to Cure
WALTHAM, Mass.--(BUSINESS WIRE)--Revvity, Inc., (NYSE: RVTY) today unveils its groundbreaking Pin-point™ base editing platform reagents, providing researchers with unparalleled access to implement the advanced gene editing technique in their preclinical laboratories. Base editing represents a pivotal advancement in CRISPR gene editing, providing the capability for complex and safe multi-gene editing, which can result in enhanced functional genomics insights for optimizing drug development, as w.</t>
  </si>
  <si>
    <t>Revvity</t>
  </si>
  <si>
    <t xml:space="preserve">
    Market Cap (intraday) 13.74B
         Enterprise Value 16.18B
             Trailing P/E  55.91
              Forward P/E  19.68
PEG Ratio (5 yr expected)   3.82
        Price/Sales (ttm)   4.92
         Price/Book (mrq)   1.75
 Enterprise Value/Revenue   5.70
  Enterprise Value/EBITDA  19.13</t>
  </si>
  <si>
    <t>Will ResMed Stock Rebound To Its Pre-Inflation Shock Highs Of $300?
This compares with the Sharpe of 1.3 for the Trefis Reinforced Value portfolio.
Here are 11 stocks Jim Cramer is watching, including Buffett's Berkshire and restaurant stocks
Here are some of the tickers on my radar for Friday, Sept. 29, taken directly from my reporter's notebook.
ResMed (RMD) Stock Jumps 3.8%: Will It Continue to Soar?
ResMed (RMD) was a big mover last session on higher-than-average trading volume. The latest trend in earnings estimate revisions might not help the stock continue moving higher in the near term.
Wall Street analysts expect the S&amp;P 500 to rise 19% over the next 12 months. Here are their 10 favorite stocks.
Outside of a handful of highflying technology stocks, U.S. stocks have been practically flat in 2023, but on Wall Street, some analysts remain as bullish as ever.
ResMed (RMD) Gains From Mask Sales Amid Macro Headwinds
ResMed's (RMD) respiratory care business continues to drive growth, courtesy of the adoption of bilevel and other non-invasive ventilator solutions worldwide.
Analysts Predict A 19% Surge For The S&amp;P 500 Soon — Lifted By 10 Stocks
It's been a rough half of the year for the S&amp;P 500 — with it slipping nearly 3%. But that's not stopping analysts from bullish calls.</t>
  </si>
  <si>
    <t>ResMed</t>
  </si>
  <si>
    <t xml:space="preserve">
    Market Cap (intraday) 21.75B
         Enterprise Value 23.10B
             Trailing P/E  24.28
              Forward P/E  21.60
PEG Ratio (5 yr expected)   1.06
        Price/Sales (ttm)   5.16
         Price/Book (mrq)   5.27
 Enterprise Value/Revenue   5.47
  Enterprise Value/EBITDA  17.12</t>
  </si>
  <si>
    <t>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3 Robotics Stocks Set to Explode Higher
The AI boom has been nothing short of remarkable, with companies like OpenAI reaching meteoric valuations almost overnight. But while the hype around generative text models like ChatGPT is red-hot, I believe the stratospheric growth of these large language models is unsustainable.
These 20 growth stocks are worth considering on a pullback, says Citi
Citi has released a list of 20 large-cap growth stocks that it says present opportunities in the event of a pullback.
11 Beaten-Up Growth Stocks That Look Like Buys, Says Citi
Chipotle, Draftkings, Lam Research and eight other stocks may be underappreciated by investors, according to a screen run by Citi analysts.</t>
  </si>
  <si>
    <t>Rockwell Automation</t>
  </si>
  <si>
    <t xml:space="preserve">
    Market Cap (intraday) 32.84B
         Enterprise Value 36.49B
             Trailing P/E  23.34
              Forward P/E  21.19
PEG Ratio (5 yr expected)   2.23
        Price/Sales (ttm)   3.84
         Price/Book (mrq)   9.82
 Enterprise Value/Revenue   4.23
  Enterprise Value/EBITDA  17.57</t>
  </si>
  <si>
    <t>Should Value Investors Buy Quest Diagnostics (DGX) Stock?
Here at Zacks, our focus is on the proven Zacks Rank system, which emphasizes earnings estimates and estimate revisions to find great stocks. Nevertheless, we are always paying attention to the latest value, growth, and momentum trends to underscore strong picks.</t>
  </si>
  <si>
    <t>Quest Diagnostics</t>
  </si>
  <si>
    <t>Health Care Services</t>
  </si>
  <si>
    <t xml:space="preserve">
    Market Cap (intraday) 13.68B
         Enterprise Value 18.51B
             Trailing P/E  17.61
              Forward P/E  13.21
PEG Ratio (5 yr expected)   2.79
        Price/Sales (ttm)   1.48
         Price/Book (mrq)   2.19
 Enterprise Value/Revenue   1.95
  Enterprise Value/EBITDA  11.25</t>
  </si>
  <si>
    <t>Late night shows return as actors restart negotiations with Hollywood studios
Late night hosts return to TV on Monday, as striking Hollywood actors resume talks with major studios.
Ticking Time Bombs: 3 Large-Cap Stocks to Dump Before the Damage Is Done
Large-cap stocks are some of the largest corporations on the planet. Many of these stocks are household names that offer investors more safety than small and mid-cap stocks.
3 Dates for Disney Stock Investors to Circle in October
After more than two years, Disney+ hit "Loki" gets a second season on the premium streaming service. Double-digit subscription rate hikes await for three popular streaming services.
Are You Keeping Up? These Are All the Important Things Investors Should Know About Disney Stock Right Now
The parks segment is back to strong growth, and Disney plans a major expansion. Its film business has been a mixed bag lately with some flops and some successes.
5 Top Stocks for October
These five stocks could hardly be more different, but they have one important thing in common: All look like great buys in October 2023. From retail to biotech, these stocks showcase their resilience and strategic adaptability amid unpredictable market fluctuations.
Disney's Weakness Means Opportunity
Disney is facing challenges due to the overall Hollywood strike and increased competition from wealthy media companies. The company is targeting to regain its core reputation and refocus on growth, particularly through new creative titles and original content. Disney's streaming business is facing losses and slower growth, but its park business and core portfolio are expected to drive strong earnings.
Top Stock to Buy Now: Disney Stock vs. Roku Stock
The rise in popularity of streaming is causing major disruptions in the content industry.
Disney World Will Learn From Its Big-Ticket Failure
Star Wars: Galactic Starcruiser officially closes this weekend, ending its 19-month run as Disney World's most expensive lodging experience. Despite recent 30% discounts for the two-night stays, the price points were too high for a business model that couldn't afford to be much cheaper.
Why YouTube Is the Real Threat to Disney
YouTube is the real threat to Disney.
Bob Iger Is Reshaping Disney Before Our Eyes
Disney is going through changes that may make it almost unrecognizable in a decade.
Disney+ password-sharing crackdown reportedly coming soon
Disney has updated the terms of its streaming service for Canadian subscribers, prohibiting the sharing of passwords with other households starting in November.
Disney Plus announces crackdown on password sharing in Canada
Password-sharing crackdowns are becoming more and more common in the streaming world today. And Disney Plus is following suit.
Disney (DIS) Set to Start Password Sharing Crackdown in Canada
Disney (DIS) is set to start restricting password sharing for Disney+ in Canada.
The Walt Disney Company (DIS) Is a Trending Stock: Facts to Know Before Betting on It
Disney (DIS) has been one of the stocks most watched by Zacks.com users lately. So, it is worth exploring what lies ahead for the stock.
Disney Is Investing $60 Billion Into Its Parks and Cruises. Is That a Mistake?
Disney has over 1,000 acres worth of space it can develop to enhance its parks experience for guests. However, an unprofitable streaming business and other challenges suggest there could be other needs for cash.
Latest News: UAW, PGA, Disney, Nike, Apple
United Auto Workers president Shawn Fain will announce the union's next move at 10 am ET on Friday.
Better Buy: Amazon Stock vs. Disney Stock
Amazon has made key improvements to its e-commerce business that are driving faster delivery while cutting costs. Disney is still mired in streaming losses and linear network challenges.
Don't Miss the Boom: 3 Stocks Set to Explode Higher
The imminent possibility of a U.S. government shutdown has raised concerns among economists. Yet, our economy has consistently demonstrated resilience in the face of similar challenges.
Don't Miss the Boom: 7 Dow Stocks Set to Explode Higher
The top Dow stocks serve as a bellwether for the health of the U.S. economy. This year, the Dow has trailed the other two major U.S. indices with a 1% gain.
Disney: Brace For Uncertain Future
Disney's stock is at a 9-year low due to underperformance in its media division, particularly its streaming service Disney+. The company's parks and resorts segment is performing well, but it is not enough to offset the decline in subscribers for Disney+. Despite being undervalued, Disney's stock could remain a value trap until it finds a solution to revive subscriber growth for Disney+.
Where Will Disney Stock Be in 1 Year?
Disney hit a fresh three-year low on Wednesday. It's 1% away from touching a nine-year low.
Here's how much Disney stock is down in 2023
Walt Disney Company (NYSE: DIS) is experiencing a challenging year in 2023, marked by simultaneous labor disputes within the writing and acting sectors, as well as a lack of profitability in its streaming business. These difficulties come at a time when the company is commemorating its centennial year in business.
Disney Faces Decisions In India: Do Nothing, Sell Assets Or Find A Partner?
Putting Disney+ Hotstar on the block after subscriber losses may be a smart strategy. So could mimicking the Reliance model of partnership.
Report: Disney+ Canadian Subscriber Agreement Reveals Crackdown on Account Sharing
The Walt Disney Co. has reportedly begun taking steps to restrict account sharing on its Disney+ streaming platform. The subscriber agreement for the upcoming launch of its ad-supported service tier in Canada provides insight into the company's approach, Seeking Alpha reported Wednesday (Sept.
Byron Allen On His $10B Offer For ABC And Other Disney Networks: “Capital's Not An Issue”, But Bob Iger “Is Not Ready” Yet To Pursue Linear Sale
Media entrepreneur Byron Allen, one of many parties interested in acquiring ABC and other linear TV assets from Disney, said he has “access to plenty of capital,” and Disney's internal deliberations are the next hurdle to be cleared. “Capital's not an issue,” he said of securing financial backing for his $10 billion bid.
Media Stocks Rise as Hollywood Writers' Strike Ends
Shares of major media companies rose Wednesday morning after the Writers Guild of America (WGA) ended a five-month writers strike after finalizing a contract with studios.
Here's Why We're Calling Bottom For Disney
The Disney stock has been trading at new lows, as investors mull on the prospects of its linear-to-DTC transition amid an accelerating pace of cord-cutting and intensifying streaming competition. Recent news on Disney's doubled capex commitment to parks amid the already capital-intensive linear-to-DTC transition is also weighing on confidence in the company's FCF prospects. However, the Disney stock creates a compelling risk-reward opportunity at $80 apiece, which in our opinion already captures company-specific and broader industry and macroeconomic considerations.
Warning: Here's 1 Reason Why You Should Avoid Disney Stock
Disney+, as well as the entire direct-to-consumer segment, trails an industry rival in key metrics. Disney is undergoing a major restructuring to position itself for a streaming future, but profitability is a question mark.
Disney Stock: Is It Ready to Sink or Swim?
Walt Disney stock is about 60% off its previous highs. The entertainment powerhouse has dug itself into a financial hole.
2 Stocks I Bought Last Week
Disney is going through a tough period as it shifts to streaming, but its world-class collection of intellectual property should see it through. American Tower is suffering a slowdown in capital investments from telecom companies, but the long-term story remains unchanged.
Should You Really Buy Disney Now?
Disney's progressing along the path to recovery, and the company even plans to make a major investment in its parks business. However, the share price hasn't reflected any of this positive news.
3 No-Brainer Stocks to Buy With $200 Right Now
Although the major stock indexes have rallied in 2023, they remain well below record-closing highs. Most online brokerages have removed investment barriers, making it easier than ever for everyday investors to put their money to work.
Hollywood writers strike to end on Wednesday as WGA, AMPTP finalize labor contract
Hollywood writers and studios have finalized the language of a tentative contract that will lead to the end to a nearly 150-day labor strike.
Striking Hollywood actors vote to authorize new walkout against videogame makers
LOS ANGELES — Striking actors have voted to expand their walkout to include the lucrative videogame market, a step that could put new pressure on Hollywood studios to make a deal with the performers who provide voices and stunts for games.
Why Disney Is Betting $60 Billion on Parks and Cruise Liners
The media business isn't what it used to be, and now Disney is doubling down on parks and cruises.
Disney Stock Continues To Fade Amid Ongoing Battle With DeSantis, Economic Worries: A Technical Analysis - Walt Disney (NYSE:DIS)
Walt Disney Co DIS was falling slightly lower on Tuesday, in tandem with the general market, which saw the S&amp;P 500 ticking over 1% lower amid the continued fallout from last week's Federal Reserve meeting, which sparked an uptick in concern over the economy.
Videogame Actors Vote to Authorize Strike
The union's next bargaining session with videogame companies and producers is scheduled for Sept. 26, Sept. 27, and Sept.
What Does This Major Shift Mean for Disney Shareholders?
The segment featuring its unmatched theme parks is typically a huge revenue driver. Meanwhile, streaming is still bleeding money while linear networks continue to falter.
3 Stocks Near 52-Week Lows to Buy Hand Over Fist
Fiverr's digital marketplace for hiring freelancers has seen steadily rising revenue. PubMatic's digital ad platform for website owners should recover as the economy does.
Disney: Looks A Lot Better With A Synthetic Dividend
Disney stock price has been performing poorly recently, leading to concerns about the stock's medium-term prospects. The company's brand and unique assets can translate into long-term strength, but the lack of a dividend makes waiting out difficult issues risky. The article provides a way to create a synthetic dividend strategy on Disney using covered calls (and potentially cash-covered puts).
4 Entertainment Stocks Gurus Are Tuning Into as Writers Strike Agreement Reached
After nearly 150 days, the Hollywood writers strike appears to be coming to an end.
Hollywood prepares for partial return to work after writers' deal
Producers of television talk shows were making plans on Monday to return to the air for the first time in five months after Hollywood writers reached a tentative deal to end a work stoppage that had shut down production.
Big Media Stocks Backtrack In Jittery Market; Theater Chains Soar On Tentative WGA Deal
Big media shares, which rose in pre-market trading Monday, opened lower at the bell and are still trending down midday after the Writers Guild reached a tentative deal with studios to end their prolonged strike.
Disney laid off hundreds of Beijing employees ahead of meeting with US congressman over data privacy: report
Disney laid off hundreds of employees in its Beijing office ahead of a meeting with a US congressman who chairs a committee focused on US competition with China and data privacy, according to a report.
Media Stocks Fluctuate After Writers Guild Reaches Tentative Deal With Studios
Shares of media companies jumped in pre-market trading on Monday before giving back those gains, after Hollywood writers reached a tentative agreement with major studios over the weekend.
Disney: Stellar Comeback Is Approaching
Disney stock is substantially underperforming the broader market this year due to fears regarding the ability of the company to successfully execute its transformation. Recent trends in financial performance suggest that the management is on the right path to making a stellar comeback for this iconic company. My valuation analysis suggests a massive upside potential for the stock price.
Amazon Buys Into AI, Writers Strike, $100 Oil
If you can not be first on board, at least catch the train before it leaves the station.
Beware! 3 Dow Stocks Waving Massive Red Flags Right Now
The Dow Jones Industrial Average has a lengthy history. Charles Dow created the index in 1896 and introduced it in the Wall Street Journal.
Disney, Netflix, Other Stocks Rise With End in Sight for Hollywood Writers Strike
A tentative agreement has been reached to cease the labor action that has shut down production of TV shows and movies.
Tentative deal reached to end Hollywood writers strike, union says
LOS ANGELES — Union leaders and Hollywood studios reached a tentative agreement Sunday to end a historic screenwriters strike after nearly five months, though no deal is yet in the works for striking actors.
Striking Hollywood writers reach tentative deal with studios
Hollywood writers reached a tentative labor agreement with major studios on Sunday, the Writers Guild of America said, a deal expected to end one of two strikes that have halted most film and television production and cost the California economy billions.
Hollywood writers and studios reach tentative deal to end strike after nearly 150 days
Talks between the Writers Guild of America and the Alliance of Motion Picture and Television Producers resumed this week after months of starts and stops.
Disney Is Leading the Debundling of Cable TV. Is It the Right Move for Shareholders?
Look for cable plans to shrink going forward, and for channels to be sold on a more a la carte basis. The highly competitive nature of the streaming business will make life tough for Disney.
You Don't Have to Pick a Winner in Streaming Services. Here's Why.
It's hard to understate Netflix's dominance of the streaming landscape, something its profitability demonstrates. Thanks to its valuable intellectual property, Walt Disney has quickly become a major player in streaming too.
Huge News for Disney Stock Investors
The House of Mouse is doubling down on its theme park segment.
Disney's Road To Recovery: Streaming, Experiences, And Future Profits
Disney's operating losses in its Media and Entertainment segments have led to a shrinking margin, but if margins improve, it could be a good investment opportunity. Disney dominates the box office and holds a significant market share in the entertainment industry. The streaming boom presents a potential for Disney to increase its margins, and the expansion of in-person experiences like theme parks and cruises can contribute to its growth.</t>
  </si>
  <si>
    <t>Disney</t>
  </si>
  <si>
    <t xml:space="preserve">
    Market Cap (intraday) 148.30B
         Enterprise Value 184.03B
             Trailing P/E   65.89
              Forward P/E   15.85
PEG Ratio (5 yr expected)    0.73
        Price/Sales (ttm)    1.69
         Price/Book (mrq)    1.52
 Enterprise Value/Revenue    2.10
  Enterprise Value/EBITDA   16.26</t>
  </si>
  <si>
    <t>Digital Realty (DLR) Up 26.8% in 6 Months: Will the Trend Last?
Robust data-center demand, strategic expansions and capital-recycling moves are likely to continue driving Digital Realty's (DLR) stock. However, stiff competition and high interest rates are woes.
Digital Realty Trust, Inc. (DLR) RBC Global Communications Infrastructure Conference (Transcript)
Digital Realty Trust, Inc. (NYSE:DLR ) RBC Global Communications Infrastructure Conference September 27, 2023 3:20 PM ET Company Participants Matt Mercier - CFO Jordan Sadler - SVP of Public and Private Investor Relations Conference Call Participants Jonathan Atkin - RBC Jonathan Atkin Presenting to our afternoon session, I'm Jon Atkin with RBC. We're going to spend the next 30 minutes doing some Q&amp;A with Digital Realty, Digital Realty Trust.
Don't Miss the Boom: 7 AI Stocks Set to Explode Higher
Amidst the ever-shifting landscape of technology, artificial intelligence (AI) has been one of the biggest catalysts for the tech sphere in 2023. Even as the fanfare subsides, AI's stronghold remains undeniable, especially when eyeing the Nasdaq impressive 35% surge this year, fueled predominantly by AI tailwinds.</t>
  </si>
  <si>
    <t>Digital Realty</t>
  </si>
  <si>
    <t xml:space="preserve">
    Market Cap (intraday) 36.63B
         Enterprise Value 56.39B
             Trailing P/E  95.29
              Forward P/E 101.01
PEG Ratio (5 yr expected)   2.78
        Price/Sales (ttm)   7.26
         Price/Book (mrq)   2.17
 Enterprise Value/Revenue  10.99
  Enterprise Value/EBITDA  22.44</t>
  </si>
  <si>
    <t>Will CVS Health (CVS) Beat Estimates Again in Its Next Earnings Report?
CVS Health (CVS) has an impressive earnings surprise history and currently possesses the right combination of the two key ingredients for a likely beat in its next quarterly report.
Aetna 2024 Medicare plans offer more choices, flexibility and simplicity
Plans feature expanded money-saving benefits that matter most to members WOONSOCKET, R.I. , Oct. 1, 2023 /PRNewswire/ -- Aetna®, a CVS Health® company (NYSE: CVS), announces our 2024 Medicare products ― the largest Medicare offering in our history1 ― featuring more choices, flexible benefit allowances, a strong provider network and further simplified medical and prescription drug plans that support members' overall health and well-being.
2 Exceptional Dividend Stocks to Buy in October and Hold Forever
A couple of beaten-down dividend stocks in the healthcare sector deserve more attention than they've been getting lately. Kenvue is the consumer health business Johnson &amp; Johnson spun off earlier this year, and it offers a 4% yield at recent prices.
Here's the Michael Burry Stock That Could Be the Biggest Winner Over the Next 5 Years
Michael Burry is best known for his short positions but is long on nearly 30 stocks. One of his contrarian picks appears to be most likely to succeed because of its attractive valuation and long-term tailwinds.
Here's Why You Should Retain CVS Health (CVS) Stock for Now
Investors continue to remain optimistic about CVS Health (CVS) due to the new acquisitions and the strong execution of the pharmacy business.
Can Undervalued Healthcare Stocks Add Yield To Your Portfolio?
Health insurer UnitedHealth Group Inc. NYSE: UNH has a market capitalization of $466.61 billion, ranking it as the tenth largest company in the S&amp;P 500.
CVS Shares Fall Following Pharmacist Walkout Threat at Kansas City Locations
CVS Health (CVS) shares dropped 2.2% on Wednesday after pharmacists at the drugstore chain in Kansas City, Mo. threatened to walk off the job for the second time in a week to protest working conditions.
CVS pharmacies face another staff walkout as wait times for COVID vaccines grow
Last week, more than a dozen locations were forced to close as pharmacists protest against years of understaffing. Last week, more than a dozen CVS Pharmacy locations around the Kansas City metro area temporarily closed after pharmacists walked out on the job.
Drugstore Downsizing: CVS, Walgreens And Rite Aid To Close Nearly 1,500 Stores
All three of the nation's leading drugstore chains have different reasons for closing stores, but the downsizing prescription is the same.
These 2 Retail and Wholesale Stocks Could Beat Earnings: Why They Should Be on Your Radar
Investors looking for ways to find stocks that are set to beat quarterly earnings estimates should check out the Zacks Earnings ESP.
CVS Health Corporation (CVS) Is a Trending Stock: Facts to Know Before Betting on It
Zacks.com users have recently been watching CVS Health (CVS) quite a bit. Thus, it is worth knowing the facts that could determine the stock's prospects.
3 Best Stocks to Buy in September and Hold Forever
Kenvue is poised to make its mark as a great business with a new name. Abbott Labs has long-term upside in key healthcare end markets.</t>
  </si>
  <si>
    <t>CVS Health</t>
  </si>
  <si>
    <t xml:space="preserve">
    Market Cap (intraday)  89.68B
         Enterprise Value 154.93B
             Trailing P/E   31.88
              Forward P/E    8.12
PEG Ratio (5 yr expected)    0.31
        Price/Sales (ttm)    0.27
         Price/Book (mrq)    1.23
 Enterprise Value/Revenue    0.46
  Enterprise Value/EBITDA   14.67</t>
  </si>
  <si>
    <t>Caesars Entertainment (CZR) Unveils Sportsbook App in Kentucky
Caesars Entertainment (CZR) to boost sports betting by introducing its flagship sports wagering app in Bluegrass State, Kentucky.
Caesars Entertainment, Inc. to Report 2023 Third Quarter Results on October 31, 2023
LAS VEGAS &amp; RENO, Nev.--(BUSINESS WIRE)--Caesars Entertainment, Inc. (NASDAQ: CZR) will release its financial results for the third quarter 2023 after the market closes on Tuesday, October 31, 2023. The company will also host a conference call on October 31, 2023 at 5:00 p.m. Eastern Time, 2:00 p.m. Pacific Time, to discuss its results and other matters related to the company. Participants may register for the call by clicking here. Once registered, participants will receive an email with the d.
Caesars Sportsbook Live on Mobile and Desktop in Kentucky
LEXINGTON, Ky.--(BUSINESS WIRE)--Following the launch of retail sports betting in Kentucky earlier this month, Caesars Entertainment, Inc. (NASDAQ: CZR) (“Caesars”) today announced that its flagship sports wagering app, Caesars Sportsbook, is now available on mobile and desktop in the Bluegrass State. Sports fans can download the Caesars Sportsbook app on iOS and Android or visit caesars.com/sportsbook on desktop for a premier sports wagering experience with unmatched rewards. “Building on the.
Why Caesars Entertainment (CZR) is a Top Growth Stock for the Long-Term
Wondering how to pick strong, market-beating stocks for your investment portfolio? Look no further than the Zacks Style Scores.</t>
  </si>
  <si>
    <t>Caesars Entertainment</t>
  </si>
  <si>
    <t xml:space="preserve">
    Market Cap (intraday)  9.98B
         Enterprise Value 21.40B
             Trailing P/E  14.53
              Forward P/E  11.95
PEG Ratio (5 yr expected)    NaN
        Price/Sales (ttm)   0.87
         Price/Book (mrq)   2.20
 Enterprise Value/Revenue   1.87
  Enterprise Value/EBITDA   6.46</t>
  </si>
  <si>
    <t>DuPont (DD) Benefits From Innovation and Spectrum Acquisition
While DuPont (DD) faces headwinds from sluggishness in some markets, it benefits from innovation, the Spectrum Plastics acquisition and pricing and productivity actions.
DuPont Leaders to Discuss Sustainability and Innovation in Semiconductor Materials at Strategic Materials Conference
Randy King Will Give Keynote; Scott Collick to Join Sustainability Session WILMINGTON, Del. , Sept. 28, 2023 /PRNewswire/ -- DuPont (NYSE: DD) today announced that Randal (Randy) King, PhD, Vice President of R&amp;D, DuPont Electronics &amp; Industrial, and Scott Collick , Vice President, Sustainability, will deliver presentations on sustainability and innovation in the semiconductor industry at the SEMI Strategic Materials Conference in San Jose, California, Oct. 2-4, 2023.
DuPont (DD) Offers Ion Exchange Resin for Green Hydrogen
AmberLite P2X110 Ion Exchange Resin by DuPont (DD) represents a first step into the Green Hydrogen market.
DuPont Opens New Adhesives Manufacturing Facility
East China facility to produce advanced solutions enabling the transition to electric vehicles SHANGHAI , Sept. 27, 2023 /PRNewswire/ -- DuPont (NYSE: DD) today held a ceremony to officially open its new adhesives production facility in Zhangjiagang (ZJG), East China.
DuPont Introduces First Ion Exchange Resin for Green Hydrogen Production
Newly designed ion exchange resin with extended service time designed to enhance electrolyzer operation WILMINGTON, Del. , Sept. 26, 2023 /PRNewswire/ -- DuPont (NYSE:DD) today announced the launch of its first product dedicated to the production of green hydrogen – the DuPont™ AmberLite™ P2X110 Ion Exchange Resin.</t>
  </si>
  <si>
    <t>DuPont</t>
  </si>
  <si>
    <t xml:space="preserve">
    Market Cap (intraday) 34.24B
         Enterprise Value 37.36B
             Trailing P/E  36.74
              Forward P/E  17.95
PEG Ratio (5 yr expected)   2.20
        Price/Sales (ttm)   2.82
         Price/Book (mrq)   1.31
 Enterprise Value/Revenue   2.98
  Enterprise Value/EBITDA  12.42</t>
  </si>
  <si>
    <t>Deere Stock: Bull vs. Bear
Analyst downgrades and falling crop prices suggest Deere's about to hit a cyclical peak. Those with a long investing horizons can benefit from the near-term pessimism about the stock's outlook.
Deere: Buy, Sell, or Hold?
Falling crop prices and pressure on farmers' income could lead to slowing sales growth. Deere has improved its margin profile and has a secular growth opportunity from its precision agriculture solutions.
Beyond Cars: Top 3 EV-Related Stocks to Invest In Now
When considering electric vehicle (EV) stocks, investors generally start with sector behemoth Tesla (NASDAQ: TSLA ) and fan out from there. Most of the time, it comes down to choosing between electric vehicle maker A and maker B.
Deere Is Trading At A No-Growth Price: There Is An Adequate Margin Of Safety
The article analyzes Deere &amp; Company's sustainable growth rate based on fundamental measures and compares it to actual growth rates achieved. The estimated sustainable growth rate for Deere &amp; Co. is between 7% and 9%. The current share price of Deere does not give it credit for its growth prospects. It is trading at a price that assumes zero growth.</t>
  </si>
  <si>
    <t>John Deere</t>
  </si>
  <si>
    <t>Agricultural &amp; Farm Machinery</t>
  </si>
  <si>
    <t xml:space="preserve">
    Market Cap (intraday) 108.69B
         Enterprise Value 163.44B
             Trailing P/E   11.18
              Forward P/E   11.64
PEG Ratio (5 yr expected)    1.02
        Price/Sales (ttm)    1.86
         Price/Book (mrq)    4.72
 Enterprise Value/Revenue    2.71
  Enterprise Value/EBITDA    9.71</t>
  </si>
  <si>
    <t>Cognizant Appoints Jatin Dalal as Chief Financial Officer
Seasoned public company executive brings strong financial and industry-specific expertise TEANECK, N.J. , Sept. 28, 2023 /PRNewswire/ -- Cognizant (Nasdaq: CTSH), one of the world's leading professional services companies, today announced the appointment of Jatin Dalal as Chief Financial Officer, with the appointment anticipated to be effective in December 2023.</t>
  </si>
  <si>
    <t>Cognizant</t>
  </si>
  <si>
    <t xml:space="preserve">
    Market Cap (intraday) 34.21B
         Enterprise Value 33.60B
             Trailing P/E  15.83
              Forward P/E  14.43
PEG Ratio (5 yr expected)   1.37
        Price/Sales (ttm)   1.79
         Price/Book (mrq)   2.65
 Enterprise Value/Revenue   1.73
  Enterprise Value/EBITDA   9.77</t>
  </si>
  <si>
    <t>3 Catalysts for October to Regain Momentum: Top 5 Picks
At this stage, it will be prudent to invest in momentum stocks. Five such stocks are: CAT, EMR, CPRT, VRT, PXD.</t>
  </si>
  <si>
    <t>Copart</t>
  </si>
  <si>
    <t xml:space="preserve">
    Market Cap (intraday) 41.25B
         Enterprise Value 39.01B
             Trailing P/E  33.66
              Forward P/E  30.21
PEG Ratio (5 yr expected)   3.04
        Price/Sales (ttm)  10.76
         Price/Book (mrq)   6.89
 Enterprise Value/Revenue  10.08
  Enterprise Value/EBITDA  23.70</t>
  </si>
  <si>
    <t>Why Camden (CPT) is a Great Dividend Stock Right Now
Dividends are one of the best benefits to being a shareholder, but finding a great dividend stock is no easy task. Does Camden (CPT) have what it takes?
You Gotta Pay The Landlord First
The housing market has remained resilient despite elevated interest rates, and rents have been rising steadily. Apartment REITs, such as AvalonBay Communities, AIR Communities, Camden Property Trust, and Essex Property Trust, are undervalued and present good investment opportunities. These REITs have strong balance sheets, liquidity, and growth prospects, making them attractive for investors.
Ticking Time Bombs: 3 New Stocks to Dump Before the Damage Is Done (IPO)
The IPO market in 2023 has been anything but hot. After a record-breaking year in 2021, the appetite for new listings has cooled down significantly, first in 2022 and continuing into the current year.
Buy This, Not That: 2 Dividend Stocks to Own, 1 to Avoid
It's been a challenging year in for dividend stocks. A number of notable companies have cut their dividends.
Camden Property: Moderate Upside Alongside A Solid Dividend
Camden Property Trust shares are at a 52-week low due to higher interest rates and concerns about slowing rental inflation. The company has a concentrated footprint in faster-growing Southern states, which is positive for its investment case. While rental growth is slowing, Camden is still posting blended rental rate gains and has a solid balance sheet.
$436 Billion In Troubled Debt And 2 Buying Opportunities
The multifamily residential real estate industry is facing challenges such as rising vacancy rates and slowing rent growth. However, there are buying opportunities in two residential REITs, Mid-America Apartment Communities and Camden Property Trust, which have strong balance sheets and consistent dividend growth. Investors should adopt a gradual buying strategy and focus on building a top-tier portfolio for long-term wealth creation.</t>
  </si>
  <si>
    <t>Camden Property Trust</t>
  </si>
  <si>
    <t xml:space="preserve">
    Market Cap (intraday) 10.10B
         Enterprise Value 13.76B
             Trailing P/E  50.31
              Forward P/E  40.49
PEG Ratio (5 yr expected)    NaN
        Price/Sales (ttm)   6.78
         Price/Book (mrq)   2.05
 Enterprise Value/Revenue   9.09
  Enterprise Value/EBITDA  14.69</t>
  </si>
  <si>
    <t>Why Ball Stock Popped on Friday
An analyst upgraded his recommendation on the stock. He also bumped his price target higher.</t>
  </si>
  <si>
    <t>Ball Corporation</t>
  </si>
  <si>
    <t>Metal, Glass &amp; Plastic Containers</t>
  </si>
  <si>
    <t xml:space="preserve">
    Market Cap (intraday) 15.68B
         Enterprise Value 24.94B
             Trailing P/E  19.83
              Forward P/E  15.08
PEG Ratio (5 yr expected)   1.70
        Price/Sales (ttm)   1.08
         Price/Book (mrq)   4.09
 Enterprise Value/Revenue   1.71
  Enterprise Value/EBITDA  12.48</t>
  </si>
  <si>
    <t>Late night shows return as actors restart negotiations with Hollywood studios
Late night hosts return to TV on Monday, as striking Hollywood actors resume talks with major studios.
Comcast (CMCSA) Expands Xfinity 10G Network in Rural Caruthers
Comcast (CMCSA) invests $3.6 million to transform Caruthers, California, with Xfinity 10G, bridging the digital divide in rural Fresno County.
Is Comcast (CMCSA) Stock Undervalued Right Now?
Here at Zacks, our focus is on the proven Zacks Rank system, which emphasizes earnings estimates and estimate revisions to find great stocks. Nevertheless, we are always paying attention to the latest value, growth, and momentum trends to underscore strong picks.
Comcast NBCUniversal Foundation Awards $40,000 Grant to Veterans Coding Program in Jackson
JACKSON, Miss.--(BUSINESS WIRE)--Comcast NBCUniversal Foundation Awards $40,000 Grant to Veterans Coding Program in Jackson.
Hollywood writers strike to end on Wednesday as WGA, AMPTP finalize labor contract
Hollywood writers and studios have finalized the language of a tentative contract that will lead to the end to a nearly 150-day labor strike.
Comcast Promotes Edward Zimmermann to President of Comcast Business
PHILADELPHIA--(BUSINESS WIRE)--Comcast Corporation today announced Ed Zimmermann has been named President of Comcast Business. Zimmermann will focus on driving continued long-term growth and strategic innovation for the $10 Billion commercial services business unit. He succeeds Bill Stemper who transitions to Chairman Emeritus, Comcast Business. “Ed is an outstanding executive with a track record of building strong teams, driving transformation, and achieving results,” said David Watson, Presid.
Big Media Stocks Backtrack In Jittery Market; Theater Chains Soar On Tentative WGA Deal
Big media shares, which rose in pre-market trading Monday, opened lower at the bell and are still trending down midday after the Writers Guild reached a tentative deal with studios to end their prolonged strike.
Media Stocks Fluctuate After Writers Guild Reaches Tentative Deal With Studios
Shares of media companies jumped in pre-market trading on Monday before giving back those gains, after Hollywood writers reached a tentative agreement with major studios over the weekend.
Disney, Netflix, Other Stocks Rise With End in Sight for Hollywood Writers Strike
A tentative agreement has been reached to cease the labor action that has shut down production of TV shows and movies.
Tentative deal reached to end Hollywood writers strike, union says
LOS ANGELES — Union leaders and Hollywood studios reached a tentative agreement Sunday to end a historic screenwriters strike after nearly five months, though no deal is yet in the works for striking actors.
Striking Hollywood writers reach tentative deal with studios
Hollywood writers reached a tentative labor agreement with major studios on Sunday, the Writers Guild of America said, a deal expected to end one of two strikes that have halted most film and television production and cost the California economy billions.
Hollywood writers and studios reach tentative deal to end strike after nearly 150 days
Talks between the Writers Guild of America and the Alliance of Motion Picture and Television Producers resumed this week after months of starts and stops.</t>
  </si>
  <si>
    <t>Comcast</t>
  </si>
  <si>
    <t xml:space="preserve">
    Market Cap (intraday) 182.91B
         Enterprise Value 273.26B
             Trailing P/E   27.89
              Forward P/E   10.54
PEG Ratio (5 yr expected)    0.76
        Price/Sales (ttm)    1.57
         Price/Book (mrq)    2.17
 Enterprise Value/Revenue    2.27
  Enterprise Value/EBITDA    9.41</t>
  </si>
  <si>
    <t>Steady Eddies: 3 Low Beta Stocks for Long-Haul Gains
Low-beta stocks allow investors to sleep well at night as the latest developments on interest rate hikes and their effects on the market cause anxiety. Despite things being slightly better than in previous years, central banks are still open to increasing interest rates, and oil prices are still rising.
CME Group (CME) Rises 19% YTD: Can It Retain the Bull Run?
CME Group's (CME) global presence, compelling product portfolio and focus on over-the-counter clearing services and effective capital deployment poise it well for growth.
CME Group to Launch Micro Henry Hub Futures and Options on November 6
CHICAGO , Sept. 27, 2023 /PRNewswire/ -- CME Group, the world's leading derivatives marketplace, today announced that it will launch Micro Henry Hub futures and options on November 6, pending all relevant regulatory reviews.</t>
  </si>
  <si>
    <t>CME Group</t>
  </si>
  <si>
    <t xml:space="preserve">
    Market Cap (intraday) 72.03B
         Enterprise Value 73.47B
             Trailing P/E  24.48
              Forward P/E  21.93
PEG Ratio (5 yr expected)   4.43
        Price/Sales (ttm)  13.73
         Price/Book (mrq)   2.59
 Enterprise Value/Revenue  14.03
  Enterprise Value/EBITDA  16.70</t>
  </si>
  <si>
    <t>FORVIA AND CUMMINS SUCCESSFULLY COMPLETE DEAL TRANSFERRING FORVIA S COMMERCIAL VEHICLE BUSINESS IN EUROPE AND NORTH AMERICA TO CUMMINS
NANTERRE (FRANCE) OCTOBER 02nd, 2023 FORVIA AND CUMMINS SUCCESSFULLY COMPLETE DEAL TRANSFERRING PARTS OF FORVIA'S COMMERCIAL VEHICLE BUSINESS IN EUROPE AND NORTH AMERICA TO CUMMINS  FORVIA confirms the successful completion of the transaction first announced on 23 May 2023 transferring designated parts of FORVIA's commercial vehicle exhaust aftertreatment business in Europe and in the United States, for a total transaction value of EUR 199.2 million, to its longstanding partner Cummins. As part of this transaction, Cummins acquired two plants located in Roermond (Netherlands) and Columbus South (Indiana, USA) as well as their related programs.
Cummins Acquires Portions of Faurecia's Commercial Vehicle Exhaust Aftertreatment Business in Europe and the United States
COLUMBUS, Ind.--(BUSINESS WIRE)--Cummins Inc. (NYSE: CMI) today announced that Cummins Emission Solutions completed its acquisition of two Faurecia commercial vehicle manufacturing plants and their related activities, one in Columbus, Indiana (U.S.), and one in Roermond, Netherlands. Faurecia is a global automotive technology leader and company of the FORVIA Group. “We announced our intent to acquire this portion of Faurecia's business in May of 2023, and the Cummins, Faurecia and FORVIA teams.
Knight Transportation, Cummins, and Clean Energy Demonstrate Potential of Ultra-Low Carbon Fuel Through Cummins X15N Natural Gas Powertrains in California
PHOENIX--(BUSINESS WIRE)--Knight Transportation, Cummins, and Clean Energy Demonstrate Potential of Ultra-Low Carbon Fuel Through Cummins X15N Natural Gas Powertrains.
Cummins: A Dividend Growth Stock That Can Keep Your Portfolio Trucking Along
Cummins' diluted EPS payout ratio is poised to improve from the high 30% range in 2022 to the low 30% range in 2023. The company logged double-digit net sales and diluted EPS growth through the first half of the year. Cummins' admirable financial positioning earns it solidly investment-grade credit ratings from S&amp;P and Moody's.
Better Dividend Stock to Buy? Caterpillar Stock or Cummins Stock
Investing in dividend stocks can help you increase your wealth in the long run.</t>
  </si>
  <si>
    <t>Cummins</t>
  </si>
  <si>
    <t xml:space="preserve">
    Market Cap (intraday) 32.36B
         Enterprise Value 38.27B
             Trailing P/E  12.79
              Forward P/E  12.03
PEG Ratio (5 yr expected)   1.58
        Price/Sales (ttm)   1.01
         Price/Book (mrq)   3.13
 Enterprise Value/Revenue   1.27
  Enterprise Value/EBITDA   8.68</t>
  </si>
  <si>
    <t>CenterPoint (CNP) Rewards Shareholders With a 5.3% Dividend Hike
CenterPoint (CNP) increases the quarterly dividend to 20 cents per share, reflecting a rise of 5.3% from the previous payout.
CenterPoint Energy declares regular Common Stock dividend of $0.2000
HOUSTON , Sept. 28, 2023 /PRNewswire/ -- CenterPoint Energy, Inc.'s (NYSE: CNP) Board of Directors today declared a regular quarterly cash dividend of $0.2000 per share on the issued and outstanding shares of Common Stock payable on December 14, 2023 to shareholders of record at the close of business on November 16, 2023.</t>
  </si>
  <si>
    <t>CenterPoint Energy</t>
  </si>
  <si>
    <t xml:space="preserve">
    Market Cap (intraday) 16.95B
         Enterprise Value 33.97B
             Trailing P/E  23.35
              Forward P/E  16.39
PEG Ratio (5 yr expected)   2.02
        Price/Sales (ttm)   1.83
         Price/Book (mrq)   1.77
 Enterprise Value/Revenue   3.67
  Enterprise Value/EBITDA  11.52</t>
  </si>
  <si>
    <t>Consumer Confidence Plummets on Recession Fears: 5 Stocks to Buy
Consumer confidence is declining on recession fears. Defensive stocks like ALLETE (ALE), Consolidated Water (CWCO), American Water Works Company (AWK), Kimberly-Clark (KMB) and Colgate-Palmolive (CL) are safe bets.
Colgate-Palmolive: Dividend King With Limited Growth
Colgate-Palmolive's dividend has been increased for 60 consecutive years. The company is well-positioned to mitigate inflationary pressures through price adjustments, volume optimization, and improved operational efficiency. Colgate-Palmolive's sideways price movement for the last decade makes it hard to recommend.
Colgate Bright Smiles, Bright Futures® Teams up With U.S. Soccer Foundation's “Soccer for Success Program” to Teach Habits That Improve Health Outcomes
NEW YORK--(BUSINESS WIRE)--As summer fades to memory, students across the country are returning to school, studies, and recreational sports programs, including youth soccer. Today the Colgate Bright Smiles, Bright Futures (BSBF) oral health education initiative announced that it is teaming up with the U.S. Soccer Foundation's Soccer for Success program for a partnership focused on the links between oral health and overall health and wellbeing. The initiative will provide children with informati.</t>
  </si>
  <si>
    <t>Colgate-Palmolive</t>
  </si>
  <si>
    <t xml:space="preserve">
    Market Cap (intraday) 58.79B
         Enterprise Value 66.96B
             Trailing P/E  39.73
              Forward P/E  20.66
PEG Ratio (5 yr expected)   2.35
        Price/Sales (ttm)   3.18
         Price/Book (mrq) 156.16
 Enterprise Value/Revenue   3.59
  Enterprise Value/EBITDA  19.09</t>
  </si>
  <si>
    <t>Constellation Energy</t>
  </si>
  <si>
    <t xml:space="preserve">
    Market Cap (intraday) 35.08B
         Enterprise Value 42.01B
             Trailing P/E  46.03
              Forward P/E  18.25
PEG Ratio (5 yr expected)    NaN
        Price/Sales (ttm)   1.36
         Price/Book (mrq)   3.12
 Enterprise Value/Revenue   1.59
  Enterprise Value/EBITDA  12.16</t>
  </si>
  <si>
    <t>Time to Buy These Popular High-Dividend Yielding Stocks?
Three stocks that are able to lure investors in with their lofty dividends are Simon Property Group (SPG), Altria (MO), and OneMain Holdings (OMF).
Cardless Unveils Enhanced Simon Card with 5% Cash Back at Every Store At Simon Centers
The Simon® American Express® Credit Card will now begin offering 5% cash back on all purchases made at Simon centers alongside 1% cash back on purchases made elsewhere. SAN FRANCISCO , Sept.
Simon® Announces Date For Its Third Quarter 2023 Earnings Release And Conference Call
INDIANAPOLIS , Sept. 28, 2023 /PRNewswire/ -- Simon®, a real estate investment trust engaged in the ownership of premier shopping, dining, entertainment and mixed-use destinations, today announced details for its third quarter earnings release and conference call.
Is It Wise to Retain Simon Property (SPG) Stock Right Now?
Simon Property (SPG) is poised to benefit from its portfolio of premium assets, a focus on omnichannel retailing and strategic buyouts, though higher e-commerce adoption and high rates are worrisome.</t>
  </si>
  <si>
    <t>Simon Property Group</t>
  </si>
  <si>
    <t xml:space="preserve">
    Market Cap (intraday) 35.35B
         Enterprise Value 60.03B
             Trailing P/E  16.42
              Forward P/E  19.12
PEG Ratio (5 yr expected)  13.56
        Price/Sales (ttm)   6.50
         Price/Book (mrq)  12.49
 Enterprise Value/Revenue  11.04
  Enterprise Value/EBITDA  13.11</t>
  </si>
  <si>
    <t>Steel Dynamics Announces Third Quarter 2023 Earnings Conference Call and Webcast
FORT WAYNE, Ind. , Oct. 2, 2023 /PRNewswire/ -- Steel Dynamics, Inc. (NASDAQ/GS: STLD), one of the largest domestic steel producers and metals recyclers in the United States, today announced it intends to release Third Quarter 2023 financial results after market close on Wednesday, October 18, 2023.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t>
  </si>
  <si>
    <t>Steel Dynamics</t>
  </si>
  <si>
    <t xml:space="preserve">
    Market Cap (intraday) 17.76B
         Enterprise Value 18.74B
             Trailing P/E   6.21
              Forward P/E  12.11
PEG Ratio (5 yr expected)  10.91
        Price/Sales (ttm)   0.92
         Price/Book (mrq)   2.04
 Enterprise Value/Revenue   0.92
  Enterprise Value/EBITDA   4.26</t>
  </si>
  <si>
    <t>US employers plan more modest compensation increases in 2024
NEW YORK--(BUSINESS WIRE)--Today, Mercer, a global leader in redefining the world of work, reshaping retirement and investment outcomes, and unlocking real health and well-being, and a business of Marsh McLennan (NYSE: MMC), released the results of its August 2023 Mercer QuickPulse™ US Compensation Planning Survey. According to the survey, employers in the US plan to raise their compensation budgets by 3.5% for merit increases for 2024 and 3.9% for their total salary increase budgets for non-un.</t>
  </si>
  <si>
    <t>Marsh McLennan</t>
  </si>
  <si>
    <t xml:space="preserve">
    Market Cap (intraday)  94.00B
         Enterprise Value 107.46B
             Trailing P/E   28.92
              Forward P/E   22.52
PEG Ratio (5 yr expected)    2.16
        Price/Sales (ttm)    4.41
         Price/Book (mrq)    7.86
 Enterprise Value/Revenue    4.98
  Enterprise Value/EBITDA   19.06</t>
  </si>
  <si>
    <t>1 Reason, Among Many, Investors Prefer Home Depot Over Lowe's
Home Depot consistently outperforms Lowe's in this critical metric.
Lowe's Announces Partnership with Carhartt to Outfit Hardworking Pros
Home improvement retailer rolls out premium workwear collection online and at stores across U.S. MOORESVILLE, N.C. , Oct. 2, 2023 /PRNewswire/ -- Lowe's and Carhartt, the uniform of hard work since 1889, today announced a partnership that will bring an assortment of Carhartt products to Lowes.com and select stores nationwide.
LOWE'S TO EXTEND EXCLUSIVE SAVINGS OFFER TO FIRST RESPONDER COMMUNITY
Throughout October, Lowe's will provide a coupon book with offers for up to $1,500 in savings* for eligible first responders, plus nationwide fire safety demos and community service projects MOORESVILLE, N.C. , Sept. 28, 2023 /PRNewswire/ -- As first responders continue to show up daily to support communities across the country, Lowe's will once again recognize their selfless efforts.
Lowe's: Still A Dividend Aristocrat - Reversal May Be Delayed
LOW remains a great Buy at these levels, thanks to the excellent 5Y dividend growth at a CAGR of +19.97% and potential upside potential to our long-term PT of $252.91. However, since the DIY and DIFM customers comprise 75% of its sales in 2022, it is unsurprising that the tighter housing market has triggered its lowered FY2023 guidance. Based on the Fed's commentary, the higher interest rate environment may continue for a little longer, with the 2% inflation rate target likely only achieved by 2026.
2 Home Improvement Stocks With Promising Dividend Record
Homeowners' interest in updating their homes through technology upgrades positions the home improvement industry for growth. Handsome dividend payouts make players in the industry more attractive.
3 Dividend Growers Investors Can Buy Now and Hold Forever
Lowe's is paying six times the dividends it was 10 years ago. PepsiCo's durable brands give the company remarkable pricing power.
Lowe's: Hold Onto This Long-Term Compounder
The exact definition of 'Compounder' is oft-debated, but in our view it means a stock that can increase an investment's value at above average rates for long periods of time. Compounder businesses increase the value of their stock by increasing demand for shares while also reducing the supply of them. Lowe's is a compounder due to its consistent revenue and net income growth, as well as its significant reduction in outstanding shares through stock buybacks.
Lowe's: Seizing Downturns For Future Fortunes
Lowe's has a strong track record of dividend growth and has compounded wealth at 17.7% per year since 1986. The company is focusing on targeting the Pro market, optimizing online penetration, and expanding into segments like appliances and rural customer offerings. Despite recent stock price fluctuations and potential economic challenges, Lowe's remains well-positioned for growth and offers a promising opportunity for long-term dividend growth.</t>
  </si>
  <si>
    <t>Lowe's</t>
  </si>
  <si>
    <t xml:space="preserve">
    Market Cap (intraday) 119.95B
         Enterprise Value 157.03B
             Trailing P/E   20.12
              Forward P/E   15.82
PEG Ratio (5 yr expected)    1.36
        Price/Sales (ttm)    1.34
         Price/Book (mrq)     NaN
 Enterprise Value/Revenue    1.68
  Enterprise Value/EBITDA   13.31</t>
  </si>
  <si>
    <t>These 3 Materials Stocks Delivering High-Dividend Yields Are Recommended By Wall Street's Most Accurate Analysts - Chemours (NYSE:CC), FMC (NYSE:FMC)
During times of turbulence and uncertainty in the markets, many investors turn to dividend-yielding stocks. These are often companies that have high free cash flows and reward shareholders with a high dividend payout.
Buy these Highly Ranked Stocks Poised to Beat Earnings Expectations
Rising quarterly and annual earnings estimates are starting to make these companies stand out among their respective sectors with now looking like a great time to buy their stocks.</t>
  </si>
  <si>
    <t>WestRock</t>
  </si>
  <si>
    <t xml:space="preserve">
    Market Cap (intraday)  9.18B
         Enterprise Value 17.89B
             Trailing P/E  12.56
              Forward P/E  12.14
PEG Ratio (5 yr expected) 404.52
        Price/Sales (ttm)   0.44
         Price/Book (mrq)   0.92
 Enterprise Value/Revenue   0.86
  Enterprise Value/EBITDA  27.82</t>
  </si>
  <si>
    <t>Reasons to Retain West Pharmaceutical (WST) in Your Portfolio
West Pharmaceutical (WST) continues to gain momentum due to its strength in the Proprietary Products business. However, forex concerns persist.
These Are The 12 Stocks Driving The S&amp;P 500 Higher In 2023
The S&amp;P 500 is up 12.5% so far in 2023, even with the market correction. But an equal-weight ETF is up just 1%.</t>
  </si>
  <si>
    <t>West Pharmaceutical Services</t>
  </si>
  <si>
    <t>Health Care Supplies</t>
  </si>
  <si>
    <t xml:space="preserve">
    Market Cap (intraday) 27.71B
         Enterprise Value 27.23B
             Trailing P/E  54.62
              Forward P/E  42.55
PEG Ratio (5 yr expected)   6.03
        Price/Sales (ttm)   9.90
         Price/Book (mrq)  10.09
 Enterprise Value/Revenue   9.50
  Enterprise Value/EBITDA  36.64</t>
  </si>
  <si>
    <t>Should You Retain Willis Towers (WTW) in Your Portfolio?
Willis Towers (WTW) stands to gain from growth across the global lines of business, strategic inorganic expansion, higher demand for products and advisory work and a solid balance sheet.
WTW Increases Share Repurchase Program by $1 Billion
LONDON, Sept. 26, 2023 (GLOBE NEWSWIRE) -- WTW (NASDAQ: WTW), a leading global advisory, broking and solutions company, announced that its Board of Directors approved an increase to the existing share repurchase authority in the amount of $1 billion. The $1 billion increase is in addition to the approximately $545 million remaining on the current open-ended repurchase authority. The Company is authorized to repurchase shares, by way of redemption or otherwise, and will consider whether to do so from time to time, based on many factors, including market and economic conditions, applicable legal requirements and other business considerations.</t>
  </si>
  <si>
    <t>Willis Towers Watson</t>
  </si>
  <si>
    <t xml:space="preserve">
    Market Cap (intraday) 21.90B
         Enterprise Value 26.49B
             Trailing P/E  21.32
              Forward P/E  12.85
PEG Ratio (5 yr expected)   0.83
        Price/Sales (ttm)   2.49
         Price/Book (mrq)   2.24
 Enterprise Value/Revenue   2.92
  Enterprise Value/EBITDA  12.92</t>
  </si>
  <si>
    <t>PAM vs. WEC: Which Stock Is the Better Value Option?
Investors with an interest in Utility - Electric Power stocks have likely encountered both Pampa Energia (PAM) and WEC Energy Group (WEC). But which of these two stocks is more attractive to value investors?</t>
  </si>
  <si>
    <t>WEC Energy Group</t>
  </si>
  <si>
    <t xml:space="preserve">
    Market Cap (intraday) 25.41B
         Enterprise Value 43.46B
             Trailing P/E  18.86
              Forward P/E  16.42
PEG Ratio (5 yr expected)   2.57
        Price/Sales (ttm)   2.74
         Price/Book (mrq)   2.18
 Enterprise Value/Revenue   4.68
  Enterprise Value/EBITDA  12.71</t>
  </si>
  <si>
    <t>Welltower: Strong Vital Signs, But Better Opportunities Elsewhere
Welltower has seen strong fundamentals and stock price performance over the past 12 months. Its higher revenue than expense growth has resulted in higher operating leverage and NOI growth. WELL's strong balance sheet and lower competition from new supply position it for healthy growth.
Welltower: Set To Benefit From Aging Population
Welltower Inc. is the largest Healthcare REIT, focusing on senior housing, post-acute care, and medical office buildings. The upfront yield is only 3%, but the total returns have been exceptional. The aging population and limited supply growth in senior housing present an opportunity for Welltower to capitalize on long-term occupancy gains.
Why Should You Retain Welltower (WELL) in Your Portfolio Now?
Welltower (WELL) is likely to benefit from a rebounding senior housing industry, its portfolio-repositioning efforts and a solid balance sheet. However, high interest rates are concerning.</t>
  </si>
  <si>
    <t>Welltower</t>
  </si>
  <si>
    <t xml:space="preserve">
    Market Cap (intraday) 42.49B
         Enterprise Value 56.63B
             Trailing P/E 315.08
              Forward P/E  67.11
PEG Ratio (5 yr expected)   1.67
        Price/Sales (ttm)   6.42
         Price/Book (mrq)   2.00
 Enterprise Value/Revenue   9.11
  Enterprise Value/EBITDA  25.82</t>
  </si>
  <si>
    <t>Stable Giants: 3 Bigwig Biotech Stocks for Consistent Returns
Biotech stocks have had a rough post-pandemic. In a year where the S&amp;P500 is up more than 10% year to date, the biotech sector is still negative to flat.
Thermo Fisher Scientific: Transforming Healthcare Leadership Post-COVID-19 Pandemic
Thermo Fisher Scientific is a leading research and development company and provider of laboratory products and services headquartered in Waltham. On August 23, Reuters announced that Novo Nordisk has entered into a partnership agreement with Thermo Fisher Scientific, under which it will be responsible for filling the Wegovy injection pens. Moreover, Thermo Fisher Scientific's Non-GAAP P/E [TTM] is 24.35x, which is 32.17% higher than the sector average and 1.1% lower than the average over the past five years.
Thermo Fisher: I'm Waiting For A Better Valuation In This High-Quality Business
Thermo Fisher Scientific provides laboratory instruments, reagents, and consumables for scientific research and healthcare applications. These are the 'picks and shovels' for healthcare and life sciences sectors. Thermo Fisher generates recurring revenue through the adoption of single-use systems in the pharmaceutical industry, increasing. The current valuation offers me an annualized return of between 8% and 9% over the next 5 years, so I decided to assign a 'hold' rating.
Thermo Fisher: An Up To 35% Undervalued Healthcare Gem I Like On Weakness
Thermo Fisher Scientific stands strong in the healthcare sector, prioritizing growth, innovation, and sustainability, justifying its valuation despite recent market challenges. TMO showcases resilience, leveraging long-term healthcare market trends, hinting at consistent annual growth potential despite the current stock price decline. TMO's strategic strengths, including market localization in China and M&amp;A proficiency, along with favorable valuation projections and a robust balance sheet, set the stage for continued outperformance.</t>
  </si>
  <si>
    <t>Thermo Fisher Scientific</t>
  </si>
  <si>
    <t xml:space="preserve">
    Market Cap (intraday) 195.36B
         Enterprise Value 226.23B
             Trailing P/E   34.60
              Forward P/E   20.08
PEG Ratio (5 yr expected)    1.93
        Price/Sales (ttm)    4.55
         Price/Book (mrq)    4.47
 Enterprise Value/Revenue    5.20
  Enterprise Value/EBITDA   21.26</t>
  </si>
  <si>
    <t>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My Top 10 High Yield Dividend Stocks For October 2023
The market slide continues in September with the SPDR S&amp;P 500 Trust ETF dropping by 4.74%. The top 10 stocks on the watchlist for October 2023 offer a 4.33% dividend yield, more than double the S&amp;P 500. My top 10 list of high dividend yield stocks has generated an annualized rate of return of 10.29% since its inception in November 2020.</t>
  </si>
  <si>
    <t>Skyworks Solutions</t>
  </si>
  <si>
    <t xml:space="preserve">
    Market Cap (intraday) 15.71B
         Enterprise Value 16.69B
             Trailing P/E  15.19
              Forward P/E  10.78
PEG Ratio (5 yr expected)   1.13
        Price/Sales (ttm)   3.18
         Price/Book (mrq)   2.67
 Enterprise Value/Revenue   3.36
  Enterprise Value/EBITDA   8.68</t>
  </si>
  <si>
    <t>Stryker to announce financial results for its third quarter of fiscal year 2023
Kalamazoo, Michigan, Oct. 02, 2023 (GLOBE NEWSWIRE) -- Stryker (NYSE:SYK) announced that it will report financial results for third quarter of fiscal year 2023 on Thursday, November 2, 2023.  A press release will be issued at approximately 4:05pm ET and available at Stryker - Press Releases that day. The press release will include summary financial information for the company's third quarter of fiscal year 2023, that ended September 30, 2023.
HAE vs. SYK: Which Stock Is the Better Value Option?
Investors with an interest in Medical - Products stocks have likely encountered both Haemonetics (HAE) and Stryker (SYK). But which of these two stocks is more attractive to value investors?</t>
  </si>
  <si>
    <t>Stryker Corporation</t>
  </si>
  <si>
    <t xml:space="preserve">
    Market Cap (intraday) 103.78B
         Enterprise Value 115.25B
             Trailing P/E   38.60
              Forward P/E   23.87
PEG Ratio (5 yr expected)    2.69
        Price/Sales (ttm)    5.38
         Price/Book (mrq)    5.98
 Enterprise Value/Revenue    5.92
  Enterprise Value/EBITDA   25.46</t>
  </si>
  <si>
    <t>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October Dividend Kings: 5 To Buy And 5 To Watch
"There is only one-criterion to be included among the Dividend Kings: a publicly-traded company must increase its total fiscal-year dividend-payout for a minimum of 50 consecutive-years."--Dogs of the Dow. The 49 Dividend Kings screened as of September 26 represented seven of eleven Morningstar Sectors. Broker targeted-top-ten net-gainers ranged 24.77%-38.84% topped-by Northwest Natural, and Target. By yield, Altria tops-all. Top-ten Kingly October yields from SWK, TGT, BKH, FRT, NWN, CDUAF, MMM, UVV, LEG, &amp; MO averaged 5.86%.</t>
  </si>
  <si>
    <t>Sysco</t>
  </si>
  <si>
    <t>Food Distributors</t>
  </si>
  <si>
    <t xml:space="preserve">
    Market Cap (intraday) 33.35B
         Enterprise Value 43.77B
             Trailing P/E  19.03
              Forward P/E  15.15
PEG Ratio (5 yr expected)   1.61
        Price/Sales (ttm)   0.44
         Price/Book (mrq)  16.60
 Enterprise Value/Revenue   0.57
  Enterprise Value/EBITDA  11.83</t>
  </si>
  <si>
    <t>Baker Hughes Announces Major Gas Technology Equipment Order for Venture Global LNG
HOUSTON &amp; LONDON, Oct. 02, 2023 (GLOBE NEWSWIRE) -- Baker Hughes (NASDAQ: BKR), an energy technology company, announced Monday that it has been awarded a major contract, to be booked in the third quarter of 2023, to provide a modularized liquefied natural gas (LNG) system and power island. The contract was awarded under a master equipment supply agreement between Venture Global LNG and Baker Hughes for more than 100 million tons per annum (MTPA) of production capacity, which was expanded from 70 MTPA and recently announced during Gastech in Singapore.
Oil Stocks Sink as the White House Offers Fewest Offshore Drilling Leases Ever
Energy stocks sank on Friday after the Biden administration proposed to allow a maximum of three sales of oil and gas drilling leases in the Gulf of Mexico over the next five years, the fewest in history.
Stocks to Tap the Hot Wall Street Stories
Herein we discuss some hot events of 2023 so far in detail along with some stocks that investors can tap to make the most of the trends.
Baker Hughes Strengthens Norway Presence with 2 Major Contracts from Vår Energi
HOUSTON and LONDON, Sept. 29, 2023 (GLOBE NEWSWIRE) -- Baker Hughes (NASDAQ: BKR), an energy technology company, announced Friday two awards from Vår Energi that expand its regional presence in the North Sea for exploration logging, well intervention technology and subsea production systems.
Goldman Sachs Pounds the Table on 5 Sizzling Oilfield Services Leaders as Oil Surges Toward $100
The relentless climb of Brent and West Texas Intermediate crude since the summer has been one of the biggest stories on Wall Street recently, and with good reason.
Permian Oil Rig Count Falls After 2 Straight Weeks of Increase
In its weekly release, Baker Hughes (BKR) reports that its count of oil and gas rigs declines after increasing for two straight weeks.
Baker Hughes (BKR) Unveils Druck Hydrogen Pressure Sensor Tech
Baker Hughes (BKR) incorporates advanced high-performance barrier coating technology in its latest Druck hydrogen pressure sensors.
Why Baker Hughes (BKR) is a Top Momentum Stock for the Long-Term
The Zacks Style Scores offers investors a way to easily find top-rated stocks based on their investing style. Here's why you should take advantage.
Charting the Course: Buying Opportunity or More Pain Ahead?
While a host of concerns remain, historical statistics support a rally into year-end.</t>
  </si>
  <si>
    <t>Baker Hughes</t>
  </si>
  <si>
    <t xml:space="preserve">
    Market Cap (intraday) 35.67B
         Enterprise Value 39.51B
             Trailing P/E  30.71
              Forward P/E  17.15
PEG Ratio (5 yr expected)    NaN
        Price/Sales (ttm)   1.53
         Price/Book (mrq)   2.34
 Enterprise Value/Revenue   1.70
  Enterprise Value/EBITDA  12.47</t>
  </si>
  <si>
    <t>Boston Scientific Announces Conference Call Discussing Third Quarter 2023 Results
MARLBOROUGH, Mass. , Oct. 2, 2023 /PRNewswire/ -- Boston Scientific Corporation (NYSE: BSX) will webcast its conference call discussing financial results and business highlights for the third quarter ending September 30, 2023, on Thursday, October 26, 2023, at 8:00 a.m.
Stock Plays for October: 3 to Watch, According to J.P. Morgan
The bank has updated its Focus List, the compilation of its analysts' top ideas. These three shares could help a portfolio rebound.
Is Boston Scientific (BSX) Outperforming Other Medical Stocks This Year?
Here is how Boston Scientific (BSX) and Conmed (CNMD) have performed compared to their sector so far this year.
Boston Scientific (BSX) Set to Acquire Relievant Medsystems
Boston Scientific's (BSX) new M&amp;A deal is likely to broaden the Neuromodulation business portfolio.</t>
  </si>
  <si>
    <t>Boston Scientific</t>
  </si>
  <si>
    <t xml:space="preserve">
    Market Cap (intraday) 77.31B
         Enterprise Value 86.34B
             Trailing P/E  88.00
              Forward P/E  23.58
PEG Ratio (5 yr expected)   1.64
        Price/Sales (ttm)   5.70
         Price/Book (mrq)   4.24
 Enterprise Value/Revenue   6.44
  Enterprise Value/EBITDA  29.44</t>
  </si>
  <si>
    <t>6 Goldman Sachs Conviction List Top Growth Stock Picks With Massive Upside Potential
The artificial intelligence rally this year led by the “Magnificent 7” has been awesome if you owned those stocks.
Retailers Ramp Up Staffing With a Focus on the Holiday Season
Retailers such as Target (TGT), Macy's (M), Bath &amp; Body Works (BBWI) and Amazon (AMZN) are deploying a reasonable number of seasonal associates to deal with the holiday rush.
Bath &amp; Body Works: Execution Record So Far Is Positive
Buy rating recommended for Bath &amp; Body Works due to management's execution abilities, innovation in new categories, and success in the loyalty program. BBWI saw a drop in revenue in 2Q24 but gained market share and exhibited growth in all product categories compared to 2019 figures. Management's ability to expand into new categories, such as men's products, and maintain focus on core competencies is a strategic advantage.</t>
  </si>
  <si>
    <t>Bath &amp; Body Works, Inc.</t>
  </si>
  <si>
    <t xml:space="preserve">
    Market Cap (intraday)  7.69B
         Enterprise Value 12.79B
             Trailing P/E  11.19
              Forward P/E  11.45
PEG Ratio (5 yr expected)   0.96
        Price/Sales (ttm)   1.04
         Price/Book (mrq)    NaN
 Enterprise Value/Revenue   1.72
  Enterprise Value/EBITDA   8.38</t>
  </si>
  <si>
    <t>Neptune-GBX® &amp; Fiduciary Trust International Team Up to Provide Precious Metals Investors with Institutional-Quality Custodian, Cash Management &amp; Reporting Services
Strategic Relationship Between Physical-Bullion Trading Platform &amp; Global Wealth Management Provider Work Together to Simplify Investing in Precious Metals  WILMINGTON, Del. , Sept. 26, 2023 /PRNewswire/ -- Neptune-GBX®, an international precious metals dealer and exchange operator, is enhancing its dynamic suite of products and services through a strategic relationship with Fiduciary Trust International, a wholly-owned subsidiary of Franklin Templeton.</t>
  </si>
  <si>
    <t>Franklin Templeton</t>
  </si>
  <si>
    <t xml:space="preserve">
    Market Cap (intraday) 12.26B
         Enterprise Value 19.72B
             Trailing P/E  15.36
              Forward P/E   9.41
PEG Ratio (5 yr expected)    NaN
        Price/Sales (ttm)   1.54
         Price/Book (mrq)   1.03
 Enterprise Value/Revenue   2.53
  Enterprise Value/EBITDA  10.87</t>
  </si>
  <si>
    <t>American Water Named Champion of Board Diversity by The Forum of Executive Women for the Seventh Consecutive Year
CAMDEN, N.J.--(BUSINESS WIRE)--American Water (NYSE: AWK), the largest regulated water and wastewater utility company in the U.S., today announced its designation as a Champion of Board Diversity by The Forum of Executive Women for the seventh consecutive year. The Forum of Executive Women, the Greater Philadelphia Region's premier women's organization, honors the top public companies with 30 percent or more women on their respective boards, annually. "American Water is honored to once again re.
West Virginia American Water Completes Acquisition of Jefferson Utilities
KEARNEYSVILLE, W. Va.--(BUSINESS WIRE)--West Virginia American Water, a subsidiary of American Water (NYSE: AWK), announced today that it has completed the acquisition of Jefferson Utilities, including the assets of Jefferson Utilities, Inc., Valley Water and Sewer Services, Shenandoah Junction Public Sewer and East Jefferson Sewer Services for $27 million. The combined systems serve 3,978 customer connections in Jefferson, Berkeley and Morgan counties. “West Virginia American Water is thrilled.
American Water's (AWK) Pennsylvania Arm to Buy Water Assets
American Water's (AWK) unit, Pennsylvania American Water, decides to acquire Appalachian Utilities, further expanding its operations.
American Water Works (AWK) Could Be a Great Choice
Dividends are one of the best benefits to being a shareholder, but finding a great dividend stock is no easy task. Does American Water Works (AWK) have what it takes?
Pennsylvania American Reaches Agreement to Acquire Appalachian Utilities, Inc.
MECHANICSBURG, Pa.--(BUSINESS WIRE)---- $AWK #ConsumerConfidenceReport--Pennsylvania American Water announced today that an agreement has been reached for it to acquire Appalachian Utilities, Inc. (Appalachian). Under the terms of the transaction, an affiliate of Pennsylvania American Water will merge with Appalachian and, subsequently, Appalachian will merge into Pennsylvania American Water. Appalachian is a private, investor-owned system serving approximately 1,450 customers in Avis Borough, Pine Creek Township, and Dunnstable.
New Jersey American Water Cuts the Ribbon on New Lawnside Operations Center
CAMDEN, N.J.--(BUSINESS WIRE)--Joined by New Jersey Board of Public Utilities Commissioners Mary-Anna Holden and Marian Abdou, and Lawnside Mayor Mary Ann Wardlow, New Jersey American Water today cut the ribbon on its new Operations Center in Lawnside. Serving the company's Southwest region, the Lawnside Operations Center brings 83 employees to Lawnside with the possibility of growing by upwards of 20 percent in the future. The company's Southwest Operations region services approximately 400,00.
Consumer Confidence Plummets on Recession Fears: 5 Stocks to Buy
Consumer confidence is declining on recession fears. Defensive stocks like ALLETE (ALE), Consolidated Water (CWCO), American Water Works Company (AWK), Kimberly-Clark (KMB) and Colgate-Palmolive (CL) are safe bets.
5 Safe Stocks to Buy Amid Plummeting U.S. Consumer Confidence
We have narrowed our search to five large-cap low-beta stocks with a solid dividend yield. These are: AWK, ADP, KO, KMB, IBM.
Down -7.45% in 4 Weeks, Here's Why You Should You Buy the Dip in American Water Works (AWK)
American Water Works (AWK) has become technically an oversold stock now, which implies exhaustion of the heavy selling pressure on it. This, combined with strong agreement among Wall Street analysts in revising earnings estimates higher, indicates a potential trend reversal for the stock in the near term.
American Water to Ring Closing Bell at The New York Stock Exchange
CAMDEN, N.J.--(BUSINESS WIRE)--American Water (NYSE: AWK), the largest regulated water and wastewater utility company in the U.S., today announced M. Susan Hardwick, President and Chief Executive Officer, joined by the American Water Board of Directors and other American Water leadership, will ring the Closing Bell® today, Wednesday, September 27, 2023. “American Water has had the privilege of serving customers and communities across the nation for more than 135 years. Our 15-year journey as a.
American Water Participates in American Water Works Association's Third Annual Source Water Protection Week
CAMDEN, N.J.--(BUSINESS WIRE)--American Water (NYSE: AWK), the largest regulated water and wastewater utility company in the U.S., today announced its participation in American Water Works Association's (“AWWA”) Annual Source Water Protection Week – September 24 - September 30. “Protecting drinking water sources requires community engagement and effort. By sharing information and taking action, utilities, local organizations and customers can work together to protect this vital resource," said.
5 Low-Beta Stocks to Sail Through a Choppy Market
Market volatility will stay for a longer time. Invest in socks like American Water Works Company (AWK), PepsiCo (PEP), Vistra Corp. (VST), McKesson Corporation (MCK) and J&amp;J Snack Foods (JJSF).</t>
  </si>
  <si>
    <t>American Water Works</t>
  </si>
  <si>
    <t xml:space="preserve">
    Market Cap (intraday) 24.11B
         Enterprise Value 35.57B
             Trailing P/E  25.74
              Forward P/E  24.10
PEG Ratio (5 yr expected)   3.07
        Price/Sales (ttm)   5.69
         Price/Book (mrq)   2.48
 Enterprise Value/Revenue   8.79
  Enterprise Value/EBITDA  15.86</t>
  </si>
  <si>
    <t>Advisor With $170 Million in Assets Joins Ameriprise Financial to Fulfill Growth Aspirations
MINNEAPOLIS--(BUSINESS WIRE)--Financial advisor Nicole Boulais, AAMS®, recently joined the independent channel of Ameriprise Financial, Inc. (NYSE: AMP) from Raymond James where she managed $170 million in client assets. Boulais joined an established Ameriprise practice, The McCulla Group, in Pella, Iowa, which is led by Ameriprise private wealth advisor Matthew McCulla, CFP®. Boulais and McCulla were originally introduced through a mutual friend. When Boulais decided to pursue a new broker-dea.</t>
  </si>
  <si>
    <t>Ameriprise Financial</t>
  </si>
  <si>
    <t xml:space="preserve">
    Market Cap (intraday) 33.83B
         Enterprise Value 32.38B
             Trailing P/E  14.99
              Forward P/E   9.87
PEG Ratio (5 yr expected)   1.18
        Price/Sales (ttm)   2.47
         Price/Book (mrq)   8.29
 Enterprise Value/Revenue   2.19
  Enterprise Value/EBITDA    NaN</t>
  </si>
  <si>
    <t>Sherwin-Williams to Announce Third Quarter 2023 Financial Results on October 24, 2023
CLEVELAND , Sept. 29, 2023 /PRNewswire/ -- The Sherwin-Williams Company (NYSE: SHW) will issue a press release announcing its financial results for the third quarter ended September 30, 2023, prior to the opening of the market on Tuesday, October 24, 2023.
Don't Miss the Boom: 3 Materials Stocks Set to Explode Higher
In these moments of the market where volatility is returning to its territory, it is when good investment opportunities arise because there are good discounts in companies with incredible performance that we can take advantage of for the moments when they explode to the upside. This upside also includes materials stocks.
Sherwin-Williams (SHW) Rides on Demand Strength &amp; Cost Actions
Sherwin-Williams (SHW) is witnessing strong domestic demand and is committed to increasing its retail network.</t>
  </si>
  <si>
    <t>Sherwin-Williams</t>
  </si>
  <si>
    <t xml:space="preserve">
    Market Cap (intraday) 65.59B
         Enterprise Value 77.72B
             Trailing P/E  28.31
              Forward P/E  24.27
PEG Ratio (5 yr expected)   2.56
        Price/Sales (ttm)   2.89
         Price/Book (mrq)  18.06
 Enterprise Value/Revenue   3.38
  Enterprise Value/EBITDA  19.25</t>
  </si>
  <si>
    <t>Here's Why Investors Should Retain STERIS (STE) Stock for Now
STERIS' (STE) healthcare segment benefits from procedure recovery, boosting investors' optimism.</t>
  </si>
  <si>
    <t>Steris</t>
  </si>
  <si>
    <t xml:space="preserve">
    Market Cap (intraday) 21.67B
         Enterprise Value 24.59B
             Trailing P/E 181.34
              Forward P/E    NaN
PEG Ratio (5 yr expected)    NaN
        Price/Sales (ttm)   4.31
         Price/Book (mrq)   3.51
 Enterprise Value/Revenue   4.83
  Enterprise Value/EBITDA  28.86</t>
  </si>
  <si>
    <t>Seagate Technology: The Future of AI and Storage
Seagate Technology Holdings PLC ( STX , Financial) reported revenue of $1.6 billion, in line with expectations, and a non-GAAP loss of 18 cents per share, slightly better than the midpoint of the guided range. Total hard disk drive revenue declined 14% sequentially to $1.4 billion, primarily due to softer demand in the cloud nearline market.</t>
  </si>
  <si>
    <t>Seagate Technology</t>
  </si>
  <si>
    <t xml:space="preserve">
    Market Cap (intraday) 13.71B
         Enterprise Value 18.76B
             Trailing P/E    NaN
              Forward P/E  58.48
PEG Ratio (5 yr expected)   0.54
        Price/Sales (ttm)   1.85
         Price/Book (mrq)    NaN
 Enterprise Value/Revenue   2.54
  Enterprise Value/EBITDA  56.84</t>
  </si>
  <si>
    <t>T. Rowe Price and Oak Hill Advisors Launch "OCREDIT" Private Credit Fund
BALTIMORE, Oct. 2, 2023 /PRNewswire/ -- T. Rowe Price and Oak Hill Advisors (OHA) are pleased to announce the launch of their joint investment offering, the T. Rowe Price OHA Select Private Credit Fund (OCREDIT). OCREDIT provides an OHA-managed private credit investment solution for income-oriented individual investors with the convenience of a non-traded, perpetual-life business development company (BDC) structure.
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Ticking Time Bombs: 3 Blue-Chip Stocks to Dump Before the Damage Is Done
While it's an uncomfortable topic, investors need to get serious about certain blue-chip stocks to sell. As some of the biggest and most popular enterprises, the blue chips don't inherently seem a place to look for red flags.
3 Stocks to Sell Ahead of the Coming VIX Spike
Uncertainty is something that we can evaluate in the financial markets in general. There are many tools and indicators that we can monitor to visualize and quantify uncertainty at a general level in the markets, but there is something that is completely individual and that is risk aversion.
T. ROWE PRICE PUBLISHES NEW STUDY SHOWING THAT 401(k) LOANS ARE ON THE RISE AND EMERGENCY SAVINGS ARE LOW AMID INFLATION IN FIRST HALF 2023
New report also shows low exchange activity, especially among target date investors BALTIMORE , Sept. 26, 2023 /PRNewswire/ -- T.</t>
  </si>
  <si>
    <t>T. Rowe Price</t>
  </si>
  <si>
    <t xml:space="preserve">
    Market Cap (intraday) 23.52B
         Enterprise Value 21.60B
             Trailing P/E  15.63
              Forward P/E  14.41
PEG Ratio (5 yr expected)    NaN
        Price/Sales (ttm)   3.77
         Price/Book (mrq)   2.54
 Enterprise Value/Revenue   3.45
  Enterprise Value/EBITDA   8.16</t>
  </si>
  <si>
    <t>3 Stocks to Buy Ahead of the Coming VIX Spike
There are already many pieces of the puzzle that point to volatile times ahead. Undoubtedly, volatility can be a trader's best friend, but for investors, volatility paints a completely different scenario.</t>
  </si>
  <si>
    <t>Ventas</t>
  </si>
  <si>
    <t xml:space="preserve">
    Market Cap (intraday) 16.95B
         Enterprise Value 30.37B
             Trailing P/E 191.50
              Forward P/E    NaN
PEG Ratio (5 yr expected)    NaN
        Price/Sales (ttm)   3.98
         Price/Book (mrq)   1.70
 Enterprise Value/Revenue   7.11
  Enterprise Value/EBITDA  16.83</t>
  </si>
  <si>
    <t>These 2 Dividend Stocks Yield Over 8% — And Morgan Stanley Sees Major Upside Ahead
When the stock market was soaring, dividends of a few percent probably didn't seem like much. But in 2022 — when the benchmark S&amp;P 500 tumbled nearly 20% — many investors learned the hard way that stocks don't always go up.
SHAREHOLDER ALERT: The Law Offices of Vincent Wong Remind Verizon Investors of a Lead Plaintiff Deadline of October 2, 2023
NEW YORK , Oct. 2, 2023 /PRNewswire/ -- Attention Verizon Communications Inc. ("Verizon") (NYSE: VZ) shareholders: The Law Offices of Vincent Wong announce that a class action lawsuit has commenced on behalf of investors who purchased between October 30, 2018 and July 26, 2023. If you suffered a loss on your investment in Verizon, contact us about potential recovery by using the link below.
Verizon: Don't Buy The High-Yield Madness
High-yield investments come with enormous risks. And even investors looking strictly at income have much better alternatives. Is Verizon Communications Inc. a value trap, and what type of dividend stocks perform the best for income investors?
Verizon Communications: Buy The Drop And Lock In A Covered 8% Yield
Verizon's stock price weakness presents a compelling opportunity for passive income investors. The company's dividend sustainability is unjustifiably doubted, despite covering its dividend with free cash flow in Q2 and raising the dividend by 2%. Verizon's valuation is attractive, and its free cash flow rebound reduces the risk of a dividend cut.
SHAREHOLDER ALERT: Pomerantz Law Firm Investigates Claims On Behalf of Investors of Verizon Communications Inc. - VZ
NEW YORK , Sept. 29, 2023 /PRNewswire/ -- Pomerantz LLP is investigating claims on behalf of investors of Verizon Communications Inc. ("Verizon" or the "Company") (NYSE: VZ).
Verizon Communications Inc. (VZ) Is a Trending Stock: Facts to Know Before Betting on It
Zacks.com users have recently been watching Verizon (VZ) quite a bit. Thus, it is worth knowing the facts that could determine the stock's prospects.
3 High Yield Stocks For Dividend Growth And Income
Market turmoil continues in 2023 due to higher interest rates and the Federal Reserve's actions to contain inflation. Dividend yields have climbed, particularly in interest rate-sensitive industries, presenting opportunities for income investors. Three undervalued high-yield stocks with reasonable valuations are Verizon Communications, Washington Trust Bancorp, and Walgreens Boots Alliance.
These 7 Dividend Stocks Pay $98 Billion Annually, Combined, to Their Shareholders
Over the long run, dividend stocks have run circles around public companies that don't offer a payout. These seven income juggernauts are parsing out some of the largest nominal-dollar dividends in the world.
SHAREHOLDER ACTION ALERT: The Schall Law Firm Encourages Investors in Verizon Communications Inc. with Losses of $500,000 to Contact the Firm
LOS ANGELES, CA / ACCESSWIRE / September 29, 2023 / The Schall Law Firm, a national shareholder rights litigation firm, reminds investors of a class action lawsuit against Verizon Communications Inc. ("Verizon" or "the Company") (NYSE:VZ) for violations of §§10(b) and 20(a) of the Securities Exchange Act of 1934 and Rule 10b-5 promulgated thereunder by the U.S. Securities and Exchange Commission. Investors who purchased the Company's securities between February 4, 2020 and July 26, 2023, inclusive (the "Class Period"), are encouraged to contact the firm before October 2, 2023.
5 Upcoming Dividend Increases
The article provides insights on upcoming dividend increases, indicating strong business performance and commitment to rewarding shareholders. The list includes companies with at least five years of consistent dividend growth and higher total annual dividends. The article also includes tables and metrics for investors to prioritize current yield, historical dividend growth rates, and historical returns compared to a benchmark.
Verizon Communications: Uncovering The Telecom Giant's Hidden Potential
Verizon Communications is a global telecommunications company providing wireless communications and digital entertainment services. Verizon Communications' financial results for the second quarter of 2023 presented a mix of positives and negatives. For seventeen years, Verizon has consistently adhered to a policy of progressively boosting its dividend payouts annually, providing investors with a notably generous 8% dividend yield.
Verizon Threat Research Advisory Center (VTRAC) Celebrates 20th Anniversary
NEW YORK, Sept. 28, 2023 (GLOBE NEWSWIRE) -- Cybersecurity Awareness Month kicks off next week, and with the continued rise in cyberthreats worldwide, for businesses to help protect their assets, they need a fail-proof security architecture, and the expert insights and partner to help stay ahead of bad actors. For the past two decades the Verizon Threat Research Center ( VTRAC ), a specialized division within the company's cyber security consulting organization, celebrating 20 years, has been at the forefront in the battle against cyberthreat actors.
3 Dividend Stocks to Buy and Hold Until Retirement
Bristol Myers, Apple, and Verizon have been increasing their dividends in recent years. All three companies have sustainable payouts that should also rise in the future.
Don't Miss the Boom: 3 Communication Stocks Set to Explode Higher
Communication has entrenched itself deeply within the fabric of our daily existence. Whether we're engrossed in a high-speed broadband connection, shooting off a quick text, or attending a voice mail, our dependence on these channels is unmistakable.
It's The Best Time In History To Buy 8% Yielding Verizon
Verizon Communications Inc. faces a perfect storm of negative headwinds, from rising rates to lead cable liability fears. The company is trading at the lowest P/E in 23 years, and the highest yield ever. It's now 43% undervalued and trading at just 6.5X cash-adjusted earnings. That prices in -4% long-term growth, while analysts expect 3.2%. Verizon has an 84% upside potential to fair value next year.
Better Dividend Stock: Verizon vs. AT&amp;T
The dividend yields are high but appear to be safe. The stocks have been slammed as Treasury yields rose.
SHAREHOLDER ALERT: Levi &amp; Korsinsky Notifies Verizon Communications Inc.(VZ) Investors of a Class Action Lawsuit and Upcoming Deadline
NEW YORK , Sept. 28, 2023 /PRNewswire/ -- Levi &amp; Korsinsky, LLP notifies investors in Verizon Communications Inc. ("Verizon" or the "Company") (NYSE: VZ) of a class action securities lawsuit.
SHAREHOLDER ACTION ALERT: The Schall Law Firm Encourages Investors in Verizon Communications Inc. with Losses of $100,000 to Contact the Firm
LOS ANGELES, CA / ACCESSWIRE / September 28, 2023 / The Schall Law Firm, a national shareholder rights litigation firm, reminds investors of a class action lawsuit against Verizon Communications Inc. ("Verizon" or "the Company") (NYSE:VZ) for violations of §§10(b) and 20(a) of the Securities Exchange Act of 1934 and Rule 10b-5 promulgated thereunder by the U.S. Securities and Exchange Commission. Investors who purchased the Company's securities between February 4, 2020 and July 26, 2023, inclusive (the "Class Period"), are encouraged to contact the firm before October 2, 2023.
INVESTOR ACTION NOTICE: The Schall Law Firm Encourages Investors in Verizon Communications Inc. with Losses of $100,000 to Contact the Firm
LOS ANGELES, CA / ACCESSWIRE / September 27, 2023 / The Schall Law Firm, a national shareholder rights litigation firm, reminds investors of a class action lawsuit against Verizon Communications Inc. ("Verizon" or "the Company") (NYSE:VZ) for violations of §§10(b) and 20(a) of the Securities Exchange Act of 1934 and Rule 10b-5 promulgated thereunder by the U.S. Securities and Exchange Commission. Investors who purchased the Company's securities between February 4, 2020 and July 26, 2023, inclusive (the "Class Period"), are encouraged to contact the firm before October 2, 2023.
Can Verizon (VZ) Ride on Multi-Year Network Upgrade Plans?
Verizon's (VZ) improved network capabilities have proven to be a boon for customers, creating a scalable platform to manage the exponential growth in data usage with higher network efficiency and enhanced security.
Should You Buy the 5 Highest-Paying Dividend Stocks in the S&amp;P 500?
The five S&amp;P 500 stocks with the highest dividend yields represent several sectors and industries. Their yields are so high in part due to poor stock performances this year, but there are other factors as well.
SHAREHOLDER ALERT: The Gross Law Firm Notifies Shareholders of Verizon Communications Inc. of a Class Action Lawsuit and a Lead Plaintiff Deadline of October 2, 2023 - (NYSE: VZ)
NEW YORK , Sept. 27, 2023 /PRNewswire/ -- The Gross Law Firm issues the following notice to shareholders of Verizon Communications Inc..
Is Verizon's 8% Dividend Yield Safe?
Verizon's business model generates billions in recurring revenue that supports a strong dividend payment.
Don't Miss the Boom: 3 Metaverse Stocks Set to Explode Higher
Whether you're skeptical of the metaverse's long-term vision or not, it's undeniably evolving at leaps and bounds. The groundwork has been set and continues to develop.
DEADLINE ACTION ALERT: The Schall Law Firm Encourages Investors in Verizon Communications Inc. with Losses of $100,000 to Contact the Firm
LOS ANGELES, CA / ACCESSWIRE / September 26, 2023 / The Schall Law Firm, a national shareholder rights litigation firm, reminds investors of a class action lawsuit against Verizon Communications Inc. ("Verizon" or "the Company") (NYSE:VZ) for violations of §§10(b) and 20(a) of the Securities Exchange Act of 1934 and Rule 10b-5 promulgated thereunder by the U.S. Securities and Exchange Commission. Investors who purchased the Company's securities between February 4, 2020 and July 26, 2023, inclusive (the "Class Period"), are encouraged to contact the firm before October 2, 2023.
Verizon's CEO has been tracking his mood out of 10 in a spreadsheet every day since 2009, and if he gives himself less than 3, he works alone for the day
Verizon's CEO Hans Vestman ranks his mood from one to 10 every day to get into the right mindset for work.  "If you want to lead other people, you need to start with yourself," Vestman said at a Fast Company event.
Massive, multi-year transformation of Verizon's network yields major benefits for customers
Introduction of 5G, expansion of Home Internet, upgrades in the fiber network, in-building enhancements and transformation of the network core have led to customers having a better experience on Verizon's network. Introduction of 5G, expansion of Home Internet, upgrades in the fiber network, in-building enhancements and transformation of the network core have led to customers having a better experience on Verizon's network.
Verizon Stock: The 8% Dividend Yield Looks Juicy
Verizon's dividend yield has climbed above 8% on the back of a significant decline in its stock over the last three years. Compared to its peers, Verizon's dividend yield is 127% higher and is currently well above its own 5-year average of ~5%. Verizon has a strong dividend yield rating of "A-" and a solid dividend consistency grade of "A", but its dividend safety rating is only a "C+".
Why Verizon's Dividend Increase Might Actually Be Reason to Sell the Stock
Verizon's dividend increases have badly trailed inflation. Despite a sky-high yield of 7.2%, the stock has delivered negative total returns.
4 Dow Stocks Are Down Over 15% in 2023. Here's My Top Pick of the 4 to Buy Now.
Verizon, Walgreens Boots Alliance, and 3M have dividends all yielding over 6%. Business fundamentals are deteriorating for all three companies.
ROSEN, NATIONAL INVESTOR COUNSEL, Encourages Verizon Communications Inc. Investors to Secure Counsel Before Important October 2 Deadline in Securities Class Action First Filed by the Firm - VZ
NEW YORK , Sept. 25, 2023 /PRNewswire/ -- WHY: Rosen Law Firm, a global investor rights law firm, reminds purchasers of the securities of Verizon Communications Inc. (NYSE: VZ) between February 4, 2020 and July 26, 2023, both dates inclusive (the "Class Period"), of the important October 2, 2023 lead plaintiff deadline in the securities class action commenced by the Firm.
5G Future Forum completes first-ever transatlantic real-time 5G holographic meeting using MATSUKO
LAS VEGAS, Sept. 25, 2023 (GLOBE NEWSWIRE) -- The 5G Future Forum ( 5GFF ) and MATSUKO will lead the first-ever real-time transatlantic holographic collaborative meeting, connecting multiple people as holograms. The holograms will be connected from New York in the U.S. using Verizon's 5G network; Toronto, Canada, using Bell Canada's 5G network and from London, UK using Vodafone's 5G network. The first-of-its-kind demonstration will be available to see at Mobile World Congress Las Vegas in Booth #1533, located in GSMA's Open Gateway Zone.
3 Blue Chip Safe Havens to Shield Your Portfolio
The market had one of its worst weeks of the year, as the SPDR S&amp;P 500 ETF Trust NYSE: SPY tumbled almost 3% lower. The selloff swept the market last week after the Federal Reserve signaled that interest rates will likely stay higher for longer than previously anticipated.</t>
  </si>
  <si>
    <t>Verizon</t>
  </si>
  <si>
    <t xml:space="preserve">
    Market Cap (intraday) 136.25B
         Enterprise Value 309.10B
             Trailing P/E    6.48
              Forward P/E    6.85
PEG Ratio (5 yr expected)    6.23
        Price/Sales (ttm)    1.01
         Price/Book (mrq)    1.43
 Enterprise Value/Revenue    2.29
  Enterprise Value/EBITDA    6.22</t>
  </si>
  <si>
    <t>Which Is A Better Pick – Western Digital Stock Or Expedia?
Given its better prospects, we believe Western Digital stock (NYSE: WDC) is a better pick than Expedia stock (NASDAQ: EXPE).</t>
  </si>
  <si>
    <t>Western Digital</t>
  </si>
  <si>
    <t xml:space="preserve">
    Market Cap (intraday) 14.69B
         Enterprise Value 20.61B
             Trailing P/E    NaN
              Forward P/E    NaN
PEG Ratio (5 yr expected)    NaN
        Price/Sales (ttm)   1.18
         Price/Book (mrq)   1.35
 Enterprise Value/Revenue   1.67
  Enterprise Value/EBITDA -49.07</t>
  </si>
  <si>
    <t>Global Plastic Waste Management Market to Reach USD 46.84 Billion By 2032 | Emergen Research
The increasing level of pollution caused by plastic waste, implementation of sustainable development, and awareness regarding hazardous effects of plastic waste are significant factors influencing the market for plastic waste management The increasing level of pollution caused by plastic waste, implementation of sustainable development, and awareness regarding hazardous effects of plastic waste are significant factors influencing the market for plastic waste management
Sydney's CBD Waste Achieves Significant Revenue Growth in Sustainable Waste Management
Sydney, Australia--(Newsfile Corp. - September 29, 2023) -  CBD Waste, a boutique waste management and recycling company, announced a remarkable 149% total company revenue growth for the fiscal year 2023. The Sydney-based firm specialises in servicing office towers and businesses in Sydney's CBDs and surrounding suburbs.
Waste Management: A Solid Business, But Valuation Is Stretched
Waste Management's share price has seen an increase of 74% in the past 5 years but is down over 5% in the past year. The company is focusing on renewable natural gas from landfills as a potential area for future growth. WM is implementing automation measures to lower operating costs.
WM Sets Date for Third Quarter Earnings Release Conference Call
HOUSTON--(BUSINESS WIRE)---- $WM--WM (NYSE: WM) announced that it will release third quarter financial results after the close of the market on Tuesday, October 24, 2023 and host its investor conference call Wednesday, October 25 at 10 a.m. ET. Listeners can access a live audio webcast of the conference call by visiting investors.wm.com and selecting “Events &amp; Presentations” from the website menu. A replay of the audio webcast will be available at the same location following the conclusion of the c.</t>
  </si>
  <si>
    <t>Waste Management</t>
  </si>
  <si>
    <t>Environmental &amp; Facilities Services</t>
  </si>
  <si>
    <t xml:space="preserve">
    Market Cap (intraday) 61.75B
         Enterprise Value 76.97B
             Trailing P/E  27.42
              Forward P/E  22.88
PEG Ratio (5 yr expected)   2.39
        Price/Sales (ttm)   3.13
         Price/Book (mrq)   8.94
 Enterprise Value/Revenue   3.84
  Enterprise Value/EBITDA  14.01</t>
  </si>
  <si>
    <t>KMI or WMB: Which Is the Better Value Stock Right Now?
Investors with an interest in Oil and Gas - Production and Pipelines stocks have likely encountered both Kinder Morgan (KMI) and Williams Companies, Inc. (The) (WMB). But which of these two stocks offers value investors a better bang for their buck right now?
Energy Market Volatility Bothers You? Watch These 3 Stocks
Amid heightened volatility, it would be wise for investors to keep an eye on midstream stocks like Kinder Morgan (KMI), The Williams Companies (WMB) and MPLX.
7 High-Yield Energy Stocks to Buy as Oil Prices Rise
Energy stocks are getting stronger as oil prices gush higher. Granted, 2023 didn't begin as strongly for the sector with prices cooling.</t>
  </si>
  <si>
    <t>Williams Companies</t>
  </si>
  <si>
    <t xml:space="preserve">
    Market Cap (intraday) 40.98B
         Enterprise Value 64.87B
             Trailing P/E  15.11
              Forward P/E  17.95
PEG Ratio (5 yr expected)   2.01
        Price/Sales (ttm)   3.58
         Price/Book (mrq)   3.52
 Enterprise Value/Revenue   5.63
  Enterprise Value/EBITDA   9.44</t>
  </si>
  <si>
    <t>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W. R. Berkley Corporation Names John J. Forte President of Berkley Public Entity
GREENWICH, Conn.--(BUSINESS WIRE)--W. R. Berkley Corporation (NYSE: WRB) today announced the appointment of John J. Forte as president of Berkley Public Entity, a Berkley Company. Mr. Forte joined Berkley Public Entity as senior vice president, chief underwriting officer and chief operating officer in 2018. He has over 20 years of experience in the property and casualty insurance industry, where he has served in various technical and leadership roles with a particular focus in the public entity.
W. R. Berkley Corporation to Announce Third Quarter 2023 Earnings on October 23, 2023
GREENWICH, Conn.--(BUSINESS WIRE)--W. R. Berkley Corporation (NYSE: WRB) will release its third quarter 2023 earnings after the market closes on Monday, October 23, 2023. A copy of the earnings release will be available on the Company's website at www.berkley.com. The Company has scheduled its quarterly conference call with analysts and investors to discuss its earnings and other information on Monday, October 23, 2023 at 5:00 p.m. eastern time. A live audio webcast of the conference call may b.</t>
  </si>
  <si>
    <t>Berkley</t>
  </si>
  <si>
    <t xml:space="preserve">
    Market Cap (intraday) 16.35B
         Enterprise Value 17.36B
             Trailing P/E  13.98
              Forward P/E  10.94
PEG Ratio (5 yr expected)    NaN
        Price/Sales (ttm)   1.52
         Price/Book (mrq)   2.37
 Enterprise Value/Revenue   1.49
  Enterprise Value/EBITDA    NaN</t>
  </si>
  <si>
    <t>Weyerhaeuser: Buying Lumber On Price Weakness
Physical lumber futures have been trading around the $500 per 1,000 board feet level since early August 2023. Lumber prices have experienced a significant correction from the 2021 and 2022 highs but remain above the pre-2018 all-time peak. Lumber is highly sensitive to interest rates, and stable rates in 2024 could cause another rally in wood prices and benefit Weyerhaeuser Company shares.
Weyerhaeuser to Release Third Quarter Results on October 26
Webcast and conference call on October 27 at 7 a.m. PT (10 a.m.</t>
  </si>
  <si>
    <t>Weyerhaeuser</t>
  </si>
  <si>
    <t>Timber REITs</t>
  </si>
  <si>
    <t xml:space="preserve">
    Market Cap (intraday) 22.40B
         Enterprise Value 26.46B
             Trailing P/E  31.94
              Forward P/E  26.67
PEG Ratio (5 yr expected)    NaN
        Price/Sales (ttm)   2.83
         Price/Book (mrq)   2.21
 Enterprise Value/Revenue   3.32
  Enterprise Value/EBITDA  17.17</t>
  </si>
  <si>
    <t>Should Investors Buy Lam Research Stock at Current Valuations?
Industry headwinds are slowing demand for Lam Research.
U.S.-China Chip War Over Taiwan Nears Moment Of Truth For S&amp;P 500, Nvidia, Apple And The World
The U.S.-China tech war centers on advanced chips from Nvidia and other companies — almost all made by Taiwan Semiconductor Manufacturing. Upcoming Taiwan elections could be a turning point.
Lam Research Corporation Announces September 2023 Quarter Financial Conference Call
FREMONT, Calif. , Sept. 27, 2023 /PRNewswire/ -- Lam Research Corp. (NASDAQ: LRCX) today announced that the company will host its quarterly financial conference call and webcast on Wednesday, October 18, 2023, beginning at 2:00 p.m.
Is Lam Research Stock a Buy Now?
Technologies like AI and the desire to build more fabrication plants will undoubtedly boost Lam Research. Earnings will likely fall in the next fiscal year.
These 20 growth stocks are worth considering on a pullback, says Citi
Citi has released a list of 20 large-cap growth stocks that it says present opportunities in the event of a pullback.
11 Beaten-Up Growth Stocks That Look Like Buys, Says Citi
Chipotle, Draftkings, Lam Research and eight other stocks may be underappreciated by investors, according to a screen run by Citi analysts.
FIRST Global, Title Sponsor Lam Research to Host the World's Most International Innovation Challenge to Inspire Kids in STEM, Future Solutions for Climate Change
WASHINGTON and FREMONT, Calif. , Sept. 25, 2023 /PRNewswire/ -- The 2023 FIRST Global Challenge will in a few weeks bring together thousands of teens from across the globe to compete in robotics and collaborate to find renewable energy solutions.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Better AI Stock: Lam Research vs. Marvell Technology
Both companies are feeling the pinch from a downturn in storage investment. However, both have tantalizing upside from new AI chips and chipmaking techniques.
Is It Too Late to Buy Lam Research Stock?
Lam's growth slowed down significantly in fiscal 2023. The stock has risen in anticipation of its eventual cyclical recovery.
2 Charts That Show Semiconductor Stocks Are Poised to Drop
The S&amp;P Semiconductors Select Industry Index has topped both price-wise and on a relative basis. That bodes poorly for the sector.</t>
  </si>
  <si>
    <t>Lam Research</t>
  </si>
  <si>
    <t xml:space="preserve">
    Market Cap (intraday) 82.87B
         Enterprise Value 82.51B
             Trailing P/E  18.87
              Forward P/E  23.09
PEG Ratio (5 yr expected)   2.30
        Price/Sales (ttm)   4.88
         Price/Book (mrq)  10.09
 Enterprise Value/Revenue   4.73
  Enterprise Value/EBITDA  14.63</t>
  </si>
  <si>
    <t>Microchip (MCHP) Expands Portfolio With FPGA &amp; SOC Solutions
Microchip (MCHP) is expanding its portfolio with the launch of PolarFire 2 FPGA and Intelligent Edge Solution Stacks for PolarFire FPGAs and System-on-Chip (SoC).
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Microchip FPGAs Speed Intelligent Edge Designs and Reduce Development Cost and Risk with Tailored PolarFire® FPGA and SoC Solution Stacks
Ten collections—spanning the industrial and communications sectors and smart embedded vision, motor control and optical access technologies—feature IP, reference designs, development kits, application notes, demo guides and more Ten collections—spanning the industrial and communications sectors and smart embedded vision, motor control and optical access technologies—feature IP, reference designs, development kits, application notes, demo guides and more
GlobalFoundries® and Microchip Announce Microchip's 28-nm SuperFlash® Embedded Flash Memory Solution in Production
Widely deployed Non-Volatile Memory (NVM) solution is optimized for microcontrollers (MCUs), smart cards and IoT chips Widely deployed Non-Volatile Memory (NVM) solution is optimized for microcontrollers (MCUs), smart cards and IoT chips
3 Dividend Stocks to Double Up On Right Now
The technology-sector pullback could be a buying opportunity for high-quality names. The following three stocks are run by top-notch CEOs Their dividends today, while modest, should grow a lot in the future.
Microchip Introduces Industry's First Low Pin Count MCU Family With I3C Support
Leading I3C integration, Microchip has released its PIC18-Q20 family of MCUs, the industry's first low pin count MCUs with I3C peripherals and MVIO.</t>
  </si>
  <si>
    <t>Microchip Technology</t>
  </si>
  <si>
    <t xml:space="preserve">
    Market Cap (intraday) 42.49B
         Enterprise Value 48.28B
             Trailing P/E  18.03
              Forward P/E  12.76
PEG Ratio (5 yr expected)   2.84
        Price/Sales (ttm)   4.94
         Price/Book (mrq)   6.22
 Enterprise Value/Revenue   5.72
  Enterprise Value/EBITDA  11.77</t>
  </si>
  <si>
    <t>McCormick Declares $0.39 Quarterly Dividend
HUNT VALLEY, Md., Sept. 28, 2023 /PRNewswire/ -- The Board of Directors of McCormick &amp; Company, Incorporated (NYSE:MKC) declared a quarterly dividend of $0.39 per share on its common stocks, payable October 24, 2023 to shareholders of record October 10, 2023.
What Awaits McCormick (MKC) as It Queues for Q3 Earnings?
McCormick's (MKC) third-quarter results are likely to reflect the impacts of cost inflation and high SG&amp;A costs. However, a focus on the CCI and GOE programs bodes well.
Earnings Preview: McCormick (MKC) Q3 Earnings Expected to Decline
McCormick (MKC) doesn't possess the right combination of the two key ingredients for a likely earnings beat in its upcoming report. Get prepared with the key expectations.</t>
  </si>
  <si>
    <t>McCormick &amp; Company</t>
  </si>
  <si>
    <t xml:space="preserve">
    Market Cap (intraday) 20.35B
         Enterprise Value 25.09B
             Trailing P/E  29.20
              Forward P/E  25.32
PEG Ratio (5 yr expected)   2.74
        Price/Sales (ttm)   3.13
         Price/Book (mrq)   4.11
 Enterprise Value/Revenue   3.85
  Enterprise Value/EBITDA  20.42</t>
  </si>
  <si>
    <t>Drugmakers opt in to Medicare drug price negotiations – here's what happens next
The lengthy negotiation process with Medicare won't end until August 2024, with reduced prices going into effect in January 2026.
FDA Accepts Merck's (MRK) Filing for Sotatercept in PAH Disease
The FDA grants priority review to Merck's (MRK) FDA filing for sotatercept to treat adults with pulmonary arterial hypertension. A final decision is expected before March 2023-end.
Big Pharma Can't Stop the Price-Negotiation Program. What's Next.
A federal judge dealt a blow to hopes for a near-term injunction to halt the federal government plan to let Medicare to pay less for a few expensive medicines.
Brokers Suggest Investing in Merck (MRK): Read This Before Placing a Bet
When deciding whether to buy, sell, or hold a stock, investors often rely on analyst recommendations. Media reports about rating changes by these brokerage-firm-employed (or sell-side) analysts often influence a stock's price, but are they really important?
As Merck, AstraZeneca and other drugmakers sign on, Medicare price negotiations face critical moment
Several major drugmakers, including Merck &amp; Co. Inc. MRK and AstraZeneca PLC AZN, say they're moving forward with the Medicare drug-price negotiation process ahead of this Sunday's deadline to sign agreements to participate–but industry players are also waiting for a key legal ruling that could put the program on pause ahead of that date.
Merck's blood vessel disorder therapy receives US FDA's priority review
Merck said on Thursday the U.S. Food and Drug Administration (FDA) has accepted under priority review the company's application for an experimental therapy to treat pulmonary arterial hypertension (PAH) in adults.
Merck Receives Priority Review from FDA for New Biologics License Application for Sotatercept, an Activin Signaling Inhibitor to Treat Adults with Pulmonary Arterial Hypertension (PAH)
RAHWAY, N.J.--(BUSINESS WIRE)---- $MRK #MRK--Merck Receives Priority Review from FDA for Biologics License Application for Sotatercept, an Activin Signaling Inhibitor to Treat Adults with PAH.
The 12 Best Stocks to Buy Now
Our list of the best stocks to buy now reflect the lesson of the past few years: Be ready for anything.
Merck's COVID antiviral may be linked to virus mutations, study finds
An antiviral drug that was granted an emergency use authorization by the U.S. Food and Drug Administration in December 2021 may be linked to mutations in the virus, according to a new study released on Monday.
Merck Covid drug linked to virus mutations that can spread between people, new study says
A new study said Merck's widely used antiviral Covid pill can cause mutations in the virus that occasionally spread to other people. But there is no evidence that molnupiravir, sold under the brand name Lagevrio, has produced more transmissible or severe variants of Covid, according to the study. The findings may increase scrutiny about the usefulness of the treatment, molnupiravir, which was one of the first Covid drugs available to doctors worldwide during the pandemic.
Merck (MRK), Eisai Combo Therapy Fail Two Lung Cancer Studies
Data from both late-stage studies evaluating Merck's (MRK) Keytruda and Eisai's Lenvima combination in certain types of metastatic non-small cell lung cancer, fail to achieve their primary endpoints.</t>
  </si>
  <si>
    <t>Merck &amp; Co.</t>
  </si>
  <si>
    <t xml:space="preserve">
    Market Cap (intraday) 261.24B
         Enterprise Value 291.77B
             Trailing P/E   84.39
              Forward P/E   12.21
PEG Ratio (5 yr expected)    0.86
        Price/Sales (ttm)    4.49
         Price/Book (mrq)    6.75
 Enterprise Value/Revenue    5.00
  Enterprise Value/EBITDA   28.73</t>
  </si>
  <si>
    <t>Cardinal Health Launches Kangaroo OMNI™ Enteral Feeding Pump
The next generation in enteral feeding, Kangaroo OMNI™ delivers nutrition and hydration from hospital to home. DUBLIN, Ohio , Sept.
5 Stocks Favored by Brokers Amid the Current Turbulence
We believe that stocks like CVR Energy (CVI), Delek US Holdings (DK), Bread Financial (BFH), Dish Network (DISH) and Cardinal Health (CAH) should be on an investor's watchlist.
Cardinal Health to Announce First-Quarter Results for Fiscal Year 2024 on November 3
DUBLIN, Ohio , Sept. 26, 2023 /PRNewswire/ -- Cardinal Health (NYSE: CAH) plans to release first-quarter financial results for its fiscal year 2024 on November 3, prior to the opening of trading on the New York Stock Exchange.</t>
  </si>
  <si>
    <t>Cardinal Health</t>
  </si>
  <si>
    <t xml:space="preserve">
    Market Cap (intraday) 21.39B
         Enterprise Value 22.05B
             Trailing P/E  86.82
              Forward P/E  13.02
PEG Ratio (5 yr expected)   1.66
        Price/Sales (ttm)   0.11
         Price/Book (mrq)    NaN
 Enterprise Value/Revenue   0.11
  Enterprise Value/EBITDA  15.49</t>
  </si>
  <si>
    <t>Carrier's (CARR) Nlyte Boosts HVAC Segment With New Solution
Carrier's (CARR) Nlyte software eases data center sustainability compliance reporting with the new solution.
Carrier Sponsors Habitat for Humanity's Carter Work Project
Home comfort system donations bring Carrier's total contributions to Habitat in 2023 to more than  $1.5 million PALM BEACH GARDENS, Fla. , Sept. 28, 2023 /PRNewswire/ -- Carrier Global Corporation (NYSE: CARR), global leader in intelligent climate and energy solutions, will once again participate in Habitat for Humanity's 37th Jimmy &amp; Rosalynn Carter Work Project.
Carrier Global Running Hot and Cold
Spin offs, breakups, and divestitures often make good investment opportunities as the smaller company becomes more focused on higher growth avenues and intelligent cost cutting. This appears to be the case for Carrier Global Corp ( CARR , Financial) after its spin-off from United Technologies Corporation in 2020.</t>
  </si>
  <si>
    <t>Carrier Global</t>
  </si>
  <si>
    <t xml:space="preserve">
    Market Cap (intraday) 46.24B
         Enterprise Value 52.30B
             Trailing P/E  21.90
              Forward P/E  19.12
PEG Ratio (5 yr expected)   1.94
        Price/Sales (ttm)   2.16
         Price/Book (mrq)   5.80
 Enterprise Value/Revenue   2.40
  Enterprise Value/EBITDA  14.58</t>
  </si>
  <si>
    <t>First Trust Advisors L.P. Announces Distribution for FT Cboe Vest Gold Strategy Target Income ETF®
WHEATON, Ill.--(BUSINESS WIRE)--First Trust Advisors L.P. ("FTA") announces the declaration of the Monthly distribution for FT Cboe Vest Gold Strategy Target Income ETF®, a series of First Trust Exchange-Traded Fund. The following dates apply to today's distribution declaration: Expected Ex-Dividend Date: October 2, 2023 Record Date: October 3, 2023 Payable Date: October 4, 2023 Ticker Exchange Fund Name Frequency Ordinary Income Per Share Amount   ACTIVELY MANAGED EXCHANGE-TRADED FUNDS   First.
Cboe Global Markets Announces Date of Third-Quarter 2023 Earnings Release and Conference Call
CHICAGO , Sept. 28, 2023 /PRNewswire/ -- Cboe Global Markets, Inc. (Cboe: CBOE), the world's leading derivatives and securities exchange network, will announce its financial results for the third quarter of 2023 before the market opens on Friday, November 3, 2023.
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Cboe Global Markets and S&amp;P Dow Jones Indices to Launch the Cboe S&amp;P 500 Dispersion Index on September 27
New Cboe S&amp;P 500 Dispersion Index (DSPX) expands Cboe's leading suite of volatility indices The first-of-its-kind index designed to measure expected dispersion in the S&amp;P 500 Index Aims to provide deeper insights into volatility of S&amp;P 500 Index vs. those of its components CHICAGO , Sept.</t>
  </si>
  <si>
    <t>Cboe Global Markets</t>
  </si>
  <si>
    <t xml:space="preserve">
    Market Cap (intraday) 16.48B
         Enterprise Value 17.71B
             Trailing P/E  25.65
              Forward P/E  20.37
PEG Ratio (5 yr expected)    NaN
        Price/Sales (ttm)   4.27
         Price/Book (mrq)   4.50
 Enterprise Value/Revenue   4.55
  Enterprise Value/EBITDA  14.90</t>
  </si>
  <si>
    <t>CBRE Group: Watch Recent Investment And 2024 Guidance
I like CBRE Group's recent investment in a carbon accounting software company, and CBRE appears to have other investments lined up. The current consensus FY 2024 bottom line estimate for CBRE is below what the company guided for, and this leaves room for positive surprises. CBRE still warrants a Buy rating, considering its investment pipeline and 2024 earnings guidance.
This High-Yield Real Estate Stock Is Eliminating Its Office Exposure. Here's What That Means for Investors.
Commercial real estate has come under pressure over the last year due to multidecade high interest rates. W.P. Carey recently announced it would exit all of its office properties by the first quarter of next year.</t>
  </si>
  <si>
    <t>CBRE Group</t>
  </si>
  <si>
    <t>Real Estate Services</t>
  </si>
  <si>
    <t xml:space="preserve">
    Market Cap (intraday) 22.88B
         Enterprise Value 27.00B
             Trailing P/E  27.77
              Forward P/E  16.00
PEG Ratio (5 yr expected)   1.72
        Price/Sales (ttm)   0.76
         Price/Book (mrq)   2.83
 Enterprise Value/Revenue   0.88
  Enterprise Value/EBITDA  17.49</t>
  </si>
  <si>
    <t>50 Large-Cap High-Yield Stocks For October
Dogsofthedow.com recently published this list of 50 large-cap high-dividend stocks as of 9/28/23. The DOD list targeted investors who “don't want to simply focus on a high dividend yield only to discover that the stock price has plunged or that the corporation went belly-up”. Investors reduce volatility/risk by limiting high-dividend search to large well-established companies.
There Might Not Be Another REIT Opportunity Like This For Years
Today, you are offered a rare chance to win big with REITs. They are priced at their lowest valuations since 2008-2009. I explain why this is a historic opportunity for contrarian investors.
How The U.S. Government Shutdown Could Impact REITs
The U.S. government appears headed for a shutdown. I look at four ways that this could disrupt the REIT sector. I also share my approach to REITs right now and share my top picks.
Ticking Time Bombs: 3 REITs to Dump Before the Damage Is Done
REITs are Real Estate Investment Trusts, and they offer unique opportunities for investors. First, REITs provide exposure to the real estate market without the need to purchase a home and otherwise get into buying some type of property, which typically comes with a considerable upfront cost.
Crown Castle Inc. (CCI) 2023 RBC Capital Markets Global Communications Infrastructure Conference Transcript
Crown Castle Inc. (NYSE:CCI ) 2023 RBC Capital Markets Global Communications Infrastructure Conference September 27, 2023 9:30 AM ET Company Participants Daniel K. Schlanger - EVP and CFO Conference Call Participants Jonathan Atkin - RBC Capital Markets Unidentified Analyst - Jonathan Atkin Let's get Started.
Here are the 18 stocks Jim Cramer is watching, including names in EVs, beauty and oil
Here are some of the tickers on my radar for Wednesday, Sept. 27, taken directly from my reporter's notebook.
Billionaire Investors Buy When There Is Blood In The StREITs
Legendary investors advise buying assets when market sentiment is at its worst. REITs have experienced a significant decline in value recently, causing many to panic sell their holdings. We discuss why investors should buy the panic in REITs and share our top picks.</t>
  </si>
  <si>
    <t>Crown Castle</t>
  </si>
  <si>
    <t xml:space="preserve">
    Market Cap (intraday) 39.91B
         Enterprise Value 68.15B
             Trailing P/E  23.42
              Forward P/E  22.99
PEG Ratio (5 yr expected)   3.03
        Price/Sales (ttm)   5.59
         Price/Book (mrq)   5.66
 Enterprise Value/Revenue   9.53
  Enterprise Value/EBITDA  16.17</t>
  </si>
  <si>
    <t>Cadence (CDNS) Unveils Enhanced System Prototyping Flows
Cadence's (CDNS) latest Integrity 3D-IC Platform is expected to allow customers to model system prototypes and improve productivity and performance.
Cadence Digital and Custom/Analog Design Flows Achieve the Latest TSMC N2 Certification
SAN JOSE, Calif.--(BUSINESS WIRE)--Cadence Design Systems, Inc. (Nasdaq: CDNS) today announced its digital and custom/analog flows have achieved certification for TSMC's latest N2 Design Rule Manual (DRM). Through this latest collaboration, the companies delivered new N2 process design kits (PDKs) to make it easy for customers to leverage the latest technologies from both companies, including Cadence® AI technologies that improve designer productivity. Mutual customers are already designing inn.
Cadence Expands Support for 3Dblox 2.0 Standard with New System Prototyping Flows
SAN JOSE, Calif.--(BUSINESS WIRE)--Cadence Design Systems, Inc. (Nasdaq: CDNS) today announced the availability of new system prototyping flows based on the Cadence® Integrity™ 3D-IC Platform that support the 3Dblox 2.0 standard. The Integrity 3D-IC Platform is fully compliant with the 3Dblox 2.0 standard language extensions, and the flows have been optimized for all of TSMC's latest 3DFabric™ offerings, including Integrated Fan-Out (InFO), Chip-on-Wafer-on-Substrate (CoWoS®) and System-on-Inte.
Are Computer and Technology Stocks Lagging Cadence Design Systems (CDNS) This Year?
Here is how Cadence Design Systems (CDNS) and Meta Platforms (META) have performed compared to their sector so far this year.
Cadence (CDNS) &amp; TMSC Collaborate to Enhance RFIC Design
Cadence (CDNS) collaborates with TSMC to help customers streamline the integration of critical RF functionality into designs.
Interested in Arm Holdings? These 2 Chip Stocks Are Growing Even Faster and Are More Reasonably Valued.
Arm Holdings, which just debuted on the market, looks overvalued given its growth prospects. Synopsys and Cadence are two other attractive bets on the future of chip design.
Wall Street Bulls Look Optimistic About Cadence (CDNS): Should You Buy?
Investors often turn to recommendations made by Wall Street analysts before making a Buy, Sell, or Hold decision about a stock. While media reports about rating changes by these brokerage-firm employed (or sell-side) analysts often affect a stock's price, do they really matter?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2 Charts That Show Semiconductor Stocks Are Poised to Drop
The S&amp;P Semiconductors Select Industry Index has topped both price-wise and on a relative basis. That bodes poorly for the sector.</t>
  </si>
  <si>
    <t>Cadence Design Systems</t>
  </si>
  <si>
    <t xml:space="preserve">
    Market Cap (intraday) 63.68B
         Enterprise Value 63.46B
             Trailing P/E  71.87
              Forward P/E  40.82
PEG Ratio (5 yr expected)   3.01
        Price/Sales (ttm)  16.86
         Price/Book (mrq)  21.89
 Enterprise Value/Revenue  16.70
  Enterprise Value/EBITDA  50.83</t>
  </si>
  <si>
    <t>IQVIA Appoints Richard Staub III President of Research &amp; Development Solutions
RESEARCH TRIANGLE PARK, N.C.--(BUSINESS WIRE)--IQVIA™ (NYSE:IQV), a leading global provider of advanced analytics, technology solutions and clinical research services to the life sciences industry, today announced it has appointed Richard Staub III, currently senior advisor to the Chairman and CEO, as president of its Research &amp; Development Solutions (R&amp;DS) business unit. Richard is a vastly experienced executive with 34 years in the life science sector and has held numerous senior exec.</t>
  </si>
  <si>
    <t>IQVIA</t>
  </si>
  <si>
    <t xml:space="preserve">
    Market Cap (intraday) 36.03B
         Enterprise Value 48.56B
             Trailing P/E  33.81
              Forward P/E  16.53
PEG Ratio (5 yr expected)   1.44
        Price/Sales (ttm)   2.52
         Price/Book (mrq)   6.27
 Enterprise Value/Revenue   3.31
  Enterprise Value/EBITDA  16.00</t>
  </si>
  <si>
    <t>7 Stock Picks (Mostly) Under $10 Billion: Why They're Best-of-Breed Bisons
Investment bank D.A. Davidson, which has adopted the bison as a brand, picked 17 “high quality” stocks—a few giant, most smaller.
Marstone and Jack Henry Collaboration Combines Seamless Access to Digital Wealth and Digital Banking
NEW YORK--(BUSINESS WIRE)-- #banking--Marstone, Inc., a leading digital wealth technology firm, today announced its collaboration with Jack Henry™ (Nasdaq: JKHY). The partnership allows bank customers who use Jack Henry's Banno™ digital banking platform to also access Marstone's digital wealth platform via a single sign-on (SSO). Marstone leveraged the Banno Digital Toolkit™, the same set of APIs the Banno Digital Platform™ is built on, to embed its technology into the digital experiences offered by commu.</t>
  </si>
  <si>
    <t>Jack Henry &amp; Associates</t>
  </si>
  <si>
    <t xml:space="preserve">
    Market Cap (intraday) 11.02B
         Enterprise Value 11.29B
             Trailing P/E  30.11
              Forward P/E  29.24
PEG Ratio (5 yr expected)   3.03
        Price/Sales (ttm)   5.32
         Price/Book (mrq)   6.85
 Enterprise Value/Revenue   5.43
  Enterprise Value/EBITDA  16.59</t>
  </si>
  <si>
    <t>Dimon: JPMorgan Wants More VC and Startup Banking Clients
J.P. Morgan Chase reportedly wants to expand its startup and venture capital (VC) customer base. Speaking during a conference Monday (Oct. 2), CEO Jamie Dimon said the country's largest bank is courting these customers, a move that comes in the wake of a series of high-profile bank failures earlier this year.
Apple and 4 More Quality Stocks to Buy After the Stock Market Selloff
High-quality names Apple, Amazon, Starbucks, Netflix, and JPMorgan are all in the discount bin after a brutal September. Here's why it's time to buy.
US CFTC orders 3 major US banks to pay over $50 mln for swap reporting failures
The U.S. Commodity Futures Trading Commission on Friday ordered Goldman Sachs , Bank of America and JPMorgan to pay a total of over $50 million for swap reporting failures and other violations, the agency said in a statement.
J.P. Morgan Asset Management Launches Hedged Equity Laddered Overlay ETF: HELO
Funds seek to deliver JPM active management expertise and risk controls through ETF structure NEW YORK , Sept. 29, 2023 /PRNewswire/ -- J.P.
JPMorgan (JPM) Offers Account Validation Services to Treasury
JPMorgan (JPM) has been chosen by the U.S Treasury Department to provide account validation services for federal agencies.
These 7 Dividend Stocks Pay $98 Billion Annually, Combined, to Their Shareholders
Over the long run, dividend stocks have run circles around public companies that don't offer a payout. These seven income juggernauts are parsing out some of the largest nominal-dollar dividends in the world.
5 Upcoming Dividend Increases
The article provides insights on upcoming dividend increases, indicating strong business performance and commitment to rewarding shareholders. The list includes companies with at least five years of consistent dividend growth and higher total annual dividends. The article also includes tables and metrics for investors to prioritize current yield, historical dividend growth rates, and historical returns compared to a benchmark.
JPMorgan Chase to offer 6% interest rate for minimum of $5 million in high-end CD product: WSJ
Those wealthy enough to park $5 million in a certificate of deposit for six months will earn a lofty 6% interest rate at JPMorgan Chase &amp; Co., The Wall Street Journal reported Thursday in an exclusive story.
Want a 6% CD From JPMorgan Chase? You Need to Have $5 Million
The bank paid customers almost no interest for years. Now it is paying up—strategically.
JPMorgan Chase names new investment-bank boss and sets up digital bank in flurry of personnel moves
JPMorgan Chase &amp; Co. is promoting a 17-year insider to lead the financial giant's major investment-banking business and is setting up a new unit within that franchise to focus on digital banking services, according to an internal memo seen by MarketWatch.
JPMorgan Chase: Steepest Decline Since March - But One That You Shouldn't Miss Buying
I upgraded JPMorgan stock in mid-March amid the throes of the regional banking crisis. That thesis has played out accordingly, as JPM outperformed its 5Y total return. However, JPM suffered its steepest pullback since March recently, as investors adjusted to structural and cyclical headwinds that could affect its earnings momentum. Despite that, I assessed robust dip-buying support over the past three weeks, suggesting buying sentiment is increasingly robust.
Investors Heavily Search JPMorgan Chase &amp; Co. (JPM): Here is What You Need to Know
Zacks.com users have recently been watching JPMorgan Chase &amp; Co. (JPM) quite a bit. Thus, it is worth knowing the facts that could determine the stock's prospects.
JPMorgan to Verify Payment Information for Federal Government
J.P. Morgan has been chosen by the United States Treasury Department to provide account validation services for federal government agencies. This selection comes after a competitive process and will last for at least five years, the global provider of banking and securities services said in a Wednesday (Sept.
The Entreprenista 100 Awards Calls for Applications from Successful Female Founders
Presented by Chase Ink, The Entreprenista 100 Awards seek to recognize the Top 100 Women Business Owners of 2023 NEW YORK , Sept. 27, 2023 /PRNewswire/ -- The Entreprenista League, a leading membership community for ambitious, entrepreneurial women, is excited to announce that applications are now open for its second annual Entreprenista 100 Awards.
JPMorgan Chase wins U.S. contract to validate Treasury payments
JPMorgan Chase &amp; Co. JPM, -1.04% said Wednesday it won a competitive process to provide account validation services for the U.S. Treasury Department under a financial agency agreement for a minimum of five years. Terms of the deal were not disclosed in a statement by the bank.
JPMorgan to provide account validation services for US government
U.S. banking giant J.P. Morgan said on Wednesday it has been designated by the United States Treasury Department under a financial agency agreement to provide account validation services for federal government agencies.
JPMorgan Chase Settles Jeffrey Epstein Lawsuit For $75 Million - Stock Dives In Response
JPMorgan Chase has already paid out $290 million this year to Epstein's victims, in a class action civil suit that was filed along similar lines
JP Morgan to pay millions to US Virgin Islands to settle Epstein lawsuit
JPMorgan Chase &amp; Co (NYSE:JPM) has agreed to pay a US$75 million settlement to the US Virgin Islands in a case relating to its association with sex offender Jeffrey Epstein. Legal proceedings had been due to start between JP Morgan and the territory in late October, following scrutiny of the bank's previous business dealings with Epstein.
JP Morgan to pay millions to settle Epstein US Virgin Islands lawsuit
JPMorgan Chase &amp; Co (NYSE:JPM) has agreed to pay a US$75 million settlement to the US Virgin Islands in a case relating to its association with sex offender Jeffrey Epstein. Legal proceedings had been due to start between JP Morgan and the territory in late October, following scrutiny of the bank's previous business dealings with Epstein.
JPMorgan's $365 Million Epstein Victims Settlement Won't Teach Banks A Lesson
JPMorgan's and Deutsche Bank's Epstein Victims Settlements are unlikely to teach banks the importance of operational risk management. The fines are not high enough.
Exclusive: JPMorgan shuffles bosses as Rivas to retire as head of North American investment banking -memo
JPMorgan Chase reorganized the leadership in its investment bank, promoting a new head in North America to succeed Fernando Rivas, who plans to retire, according to a memo seen by Reuters.
Chase UK to Block Cryptocurrency Transactions Amid Rising Fraud Concerns
Chase UK told customers that it will block them from making cryptocurrency transactions in a bid to protect them from the increasing number of frauds and scams associated with crypto. The bank told customers in a Tuesday (Sept.
Chase U.K. restricts crypto purchases despite JPMorgan's blockchain push
(Kitco News) - Chase Bank U.K. sent a letter to customers informing them that beginning Oct. 16, all cryptocurrency purchases will be declined, citing the risks posed by fraud and scams.
JPMorgan reaches settlement with ex-Barclays chief in Epstein case
America's largest bank says it has resolved its final lawsuits relating to the Jeffrey Epstein scandal, including a case it brought against former executive Jes Staley.
JPMorgan's UK digital bank blocks customers from buying crypto
From Oct. 16, Chase UK customers will "no longer be able to make crypto transactions via debit card or by outgoing bank transfer."
JPMorgan pays US Virgin Islands $75 million to settle lawsuit alleging the bank aided Jeffrey Epstein's sex trafficking
JPMorgan Chase reached a settlement with the US Virgin Islands over a lawsuit alleging the bank enabled Jeffrey Epstein's sex-trafficking crimes.
JP Morgan will pay $75 million to settle US Virgin Islands Jeffrey Epstein sex-trafficking claims
JPMorgan Chase has agreed to pay $75 million to settle a civil lawsuit from the US Virgin Islands over claims that it facilitated Jeffrey Epstein's sex-trafficking operation, the bank announced in a statement Tuesday. The financial institution said it would donate $30 million to charitable organizations in the US Virgin Islands that address "social ills, including fighting human trafficking and other sex crimes" and help their survivors.
JPMorgan Will Pay Virgin Islands $75 Million Settlement Over Jeffrey Epstein Lawsuit
The lawsuit had alleged the bank was “complicit” in Jeffrey Epstein's crimes and had obstructed law enforcement investigating him.
JP Morgan settles Jeffrey Epstein lawsuits with US Virgin Islands for $75m
Bank reaches settlements with US Virgin Islands and Jes Staley to resolve lawsuits over sex trafficking by Epstein
JPMorgan to pay $75M to settle Jeffrey Epstein lawsuits with US Virgin Islands
JPMorgan Chase agreed on Tuesday to pay the US Virgin Islands $75 million to settle a lawsuit alleging the Wall Street behemoth enabled Jeffrey Epstein's sex trafficking ring by “knowingly” ignoring red flags related to Epstein's accounts at the investment bank.
JPMorgan agrees to a $75 million settlement on Jeffrey Epstein lawsuit
JPMorgan Chase &amp; Co has agreed to a $75 million settlement with the U.S. Virgin Islands on a lawsuit related to its association with Jeffrey Epstein. This is a developing story.
JPMorgan Chase's stock drops after WSJ report of $75 million payment to settle suit over ties to Jeffrey Epstein
Shares of JPMorgan Chase &amp; Co. JPM, -0.57% dropped 0.5% in morning trading Tuesday, after The Wall Street Journal reported that the bank agreed to pay $75 million to the U.S. Virgin Islands to settle a lawsuit over ties to Jeffrey Epstein's sex trafficking. The WSJ report said as part of the settlement, the bank did not admit any wrongdoing.
JPMorgan pays $75 million to settle lawsuit over Jeffrey Epstein ties
JPMorgan Chase agreed to pay $75 million to settle claims by the U.S. Virgin Islands that the bank aided in the disgraced financier Jeffrey Epstein's sex trafficking.
JPMorgan Paying $75 Million to Settle Suit Over Jeffrey Epstein Ties
Deal ends a legal battle that had exposed the disgraced financier's close ties to the bank and the island territory.
Jamie Dimon says India optimism is 'completely justified'
JPMorgan Chase Chairman and CEO Jamie Dimon struck a bullish tone at the India Investor Summit.
Interest Rates Were Held Steady Last Week: Here Are 3 Stocks to Buy Now
Feeling Fed fatigue? In the last year, stocks have been highly reactive to the Federal Reserve's monetary policy shifts, which have overshadowed other economic factors.
JPMorgan (JPM) Completes 14 First Republic Branch Closures
JPMorgan (JPM) closes 14 First Republic Bank branches in California, completing its initial plan to trim the failed bank's branch network. More closures are expected to follow.
The End of Policy Rate Hikes? Global Week Ahead
The Fed kept interest rates steady last week, but projected monetary policy will remain significantly tighter through 2024 than previously expected.</t>
  </si>
  <si>
    <t>JPMorgan Chase</t>
  </si>
  <si>
    <t xml:space="preserve">
    Market Cap (intraday) 421.44B
         Enterprise Value     NaN
             Trailing P/E    9.33
              Forward P/E    9.81
PEG Ratio (5 yr expected)    2.97
        Price/Sales (ttm)    2.99
         Price/Book (mrq)    1.48
 Enterprise Value/Revenue     NaN
  Enterprise Value/EBITDA     NaN</t>
  </si>
  <si>
    <t>Here's Why Kellanova Stock -- Formerly Kellogg -- Dropped Today
Kellogg has split into two companies, trying to unlock better growth for Kellanova. The market appears to have overcompensated for the spinoff.
Kelloggs brand split goes into effect Monday but shares of both companies fall
Kellogg's cereal business began trading as “WK Kellogg Co” on the New York Stock Exchange Monday after spinning off from its parent company.  The remaining business, which includes snack brands such as Pringles and Cheez-It plus North American frozen food brands like Morningstar Farms, has been renamed Kellanova.
Kellogg's Cereal Business Split Becomes Official
Kellanova — the company once known as Kellogg — said the spin-off of its cereal business is official. The company announced Monday (Oct. 2) that it had completed the separation, with WK Kellogg Co. now trading on the New York Stock Exchange, allowing Kellanova to focus on its snack business.
KLG Stock Alert: 7 Things to Know as WK Kellogg Starts Trading
WK Kellogg (NYSE: KLG ) stock made its public debut today as the cereal company completes its spinoff from Kellogg. Let's go over everything investors in Kellogg need to know about this split and how it affects the company.
Stocks of both former-Kellogg Kellanova, and new WK Kellogg fall on first day after separation completed
Kellanova K, -4.39%, formerly known as Kellogg Co., didn't receive a warm reception on the first day as a snacks, frozen foods and international cereals company, and the new North America cereals business WK Kellogg Co. KLG didn't either, as the new stocks started trading following the completion the separation into two independent public companies. Kellanova's stock, which was trading under the previous Kellogg ticker of “K,” fell 4.0% in morning trading, while WK Kellogg's stock under the new ticker “KLG” was down 9.4%.
Kellogg's cereal business begins trading as standalone company W.K. Kellogg
As part of the separation, Kellogg has been renamed Kellanova but is still trading under the ticker "K."
KELLANOVA, FORMERLY KELLOGG COMPANY, ANNOUNCES COMPLETION OF THE SEPARATION OF ITS NORTH AMERICAN CEREAL BUSINESS
CHICAGO , Oct. 2, 2023 /PRNewswire/ -- Today, Kellanova, formerly known as Kellogg Company, (NYSE: K), announced the completion of the previously announced separation of its North American cereal business, WK Kellogg Co, resulting in two independent, public companies, each better positioned to unlock its full standalone potential. The separation was achieved through the distribution of all of the shares of WK Kellogg Co to holders of Kellanova common stock at 12:01 a.m.
Big Food vs. Big Pharma: Companies bet on snacking just as weight loss drugs boom
Kellogg, J.M. Smucker and other food companies are making big bets on snacking, but the rise of Wegovy and Ozempic could pose a threat to future sales growth.
Veralto Set to Join S&amp;P 500; Vestis to Join S&amp;P MidCap 400; Others to Join S&amp;P SmallCap 600
NEW YORK, Sept. 28, 2023 /PRNewswire/ -- S&amp;P Dow Jones Indices will make the following changes to the S&amp;P 500, the S&amp;P MidCap 400 and the S&amp;P SmallCap 600 indices
Kellogg Company Sets Date for 2023 Third Quarter Results Webcasts for Kellanova and WK Kellogg Co
BATTLE CREEK, Mich. , Sept. 28, 2023 /PRNewswire/ -- Kellogg Company (NYSE: K) announced that 2023 third quarter financial results, which includes financial results for the period ended September 30, 2023, for both Kellanova and WK Kellogg Co, will be issued at approximately 8:00 am EST on Wednesday, November 8, 2023.
The Kellogg Split
Kellogg is spinning off its core cereal business to focus on the fast-growing snacks market.
Moe's Southwest Grill® and Eggo® Unveil the "Eggo Taco" For National Taco Day
Moe's Taco Featuring Eggo Homestyle Waffle Available In Select Markets on October 4 ATLANTA , Sept. 26, 2023 /PRNewswire/ -- To celebrate National Taco Day, Moe's Southwest Grill® and Eggo® are teaming up to release a limited-time Eggo Taco.</t>
  </si>
  <si>
    <t>Kellogg's</t>
  </si>
  <si>
    <t xml:space="preserve">
    Market Cap (intraday) 20.37B
         Enterprise Value 27.40B
             Trailing P/E  23.80
              Forward P/E  13.83
PEG Ratio (5 yr expected)   2.17
        Price/Sales (ttm)   1.30
         Price/Book (mrq)   5.14
 Enterprise Value/Revenue   1.73
  Enterprise Value/EBITDA  15.00</t>
  </si>
  <si>
    <t>Keurig Dr Pepper to Report Third Quarter 2023 Results and Host Conference Call
BURLINGTON, Mass. and FRISCO, Texas , Sept.
Keurig (KDP) Eyes Sustained Organic Growth: Stock to Gain
Keurig (KDP) is poised to gain momentum due to its focus on driving organic sales growth through efforts to create value across three key dimensions.
Which Is A Better Pick – Keurig Dr Pepper Stock Or Zoetis?
We believe that Zoetis stock (NYSE: ZTS), an animal health company, is a better pick than Keurig Dr Pepper stock (NASDAQ: KDP), given its better prospects.
4 Stocks With Recent Dividend Hikes Amid a Choppy Market
Keurig Dr Pepper Inc. (KDP), PNM Resources, Inc. (PNM), Texas Instruments Incorporated (TXN) and Microsoft Corporation (MSFT) hike dividends.</t>
  </si>
  <si>
    <t>Keurig Dr Pepper</t>
  </si>
  <si>
    <t xml:space="preserve">
    Market Cap (intraday) 44.11B
         Enterprise Value 58.00B
             Trailing P/E  27.94
              Forward P/E  16.45
PEG Ratio (5 yr expected)   2.70
        Price/Sales (ttm)   3.08
         Price/Book (mrq)   1.75
 Enterprise Value/Revenue   3.98
  Enterprise Value/EBITDA  18.28</t>
  </si>
  <si>
    <t>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U.S.-China Chip War Over Taiwan Nears Moment Of Truth For S&amp;P 500, Nvidia, Apple And The World
The U.S.-China tech war centers on advanced chips from Nvidia and other companies — almost all made by Taiwan Semiconductor Manufacturing. Upcoming Taiwan elections could be a turning point.
These 20 growth stocks are worth considering on a pullback, says Citi
Citi has released a list of 20 large-cap growth stocks that it says present opportunities in the event of a pullback.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2 Charts That Show Semiconductor Stocks Are Poised to Drop
The S&amp;P Semiconductors Select Industry Index has topped both price-wise and on a relative basis. That bodes poorly for the sector.</t>
  </si>
  <si>
    <t>KLA Corporation</t>
  </si>
  <si>
    <t xml:space="preserve">
    Market Cap (intraday) 62.53B
         Enterprise Value 65.35B
             Trailing P/E  18.99
              Forward P/E  19.42
PEG Ratio (5 yr expected)   2.57
        Price/Sales (ttm)   6.13
         Price/Book (mrq)  21.41
 Enterprise Value/Revenue   6.23
  Enterprise Value/EBITDA  14.52</t>
  </si>
  <si>
    <t>Kimberly-Clark: Still Not Worth It.
Kimberly-Clark has improved margins and gained market share, but margins may have crested. The company's revenue growth in its baby and childcare segment may be a challenge due to the global drop in birth rates. The stock is richly valued and investors may have to wait for a pullback in the consumer staples sector before investing.
Kimberly-Clark: Improving Fundamentals Amid A Tough Macro Environment
Kimberly-Clark Corporation stock price has decreased in recent years due to macro headwinds such as inflation and also higher U.S. Treasury yields. In recent quarters, the company's quarterly volume declines are moderating, and the company's gross margins are recovering. The stock trades at a fairly attractive forward P/E of 18.88 and has growth potential given its increasing market share in emerging markets such as China and Indonesia.
Investors Heavily Search Kimberly-Clark Corporation (KMB): Here is What You Need to Know
Kimberly-Clark (KMB) has been one of the stocks most watched by Zacks.com users lately. So, it is worth exploring what lies ahead for the stock.
Consumer Confidence Plummets on Recession Fears: 5 Stocks to Buy
Consumer confidence is declining on recession fears. Defensive stocks like ALLETE (ALE), Consolidated Water (CWCO), American Water Works Company (AWK), Kimberly-Clark (KMB) and Colgate-Palmolive (CL) are safe bets.
5 Safe Stocks to Buy Amid Plummeting U.S. Consumer Confidence
We have narrowed our search to five large-cap low-beta stocks with a solid dividend yield. These are: AWK, ADP, KO, KMB, IBM.
ACI or KMB: Which Is the Better Value Stock Right Now?
Investors looking for stocks in the Consumer Products - Staples sector might want to consider either Albertsons Companies, Inc. (ACI) or Kimberly-Clark (KMB). But which of these two stocks presents investors with the better value opportunity right now?
Kimberly-Clark's (KMB) Focus on Core Strategies Fuels Growth
Kimberly-Clark (KMB) has been adapting to changing consumer preferences and market dynamics by focusing on innovation, market growth, cost control and digital transformation.</t>
  </si>
  <si>
    <t>Kimberly-Clark</t>
  </si>
  <si>
    <t xml:space="preserve">
    Market Cap (intraday) 40.87B
         Enterprise Value 48.42B
             Trailing P/E  24.92
              Forward P/E  17.89
PEG Ratio (5 yr expected)   2.26
        Price/Sales (ttm)   2.01
         Price/Book (mrq)  81.74
 Enterprise Value/Revenue   2.38
  Enterprise Value/EBITDA  16.44</t>
  </si>
  <si>
    <t>Labcorp to Announce Third Quarter Financial Results on October 26, 2023
BURLINGTON, N.C. , Sept. 29, 2023 /PRNewswire/ -- Labcorp (NYSE: LH), a global leader of innovative and comprehensive laboratory services, will release its financial results for the third quarter of 2023 before the market opens on Thursday, October 26, 2023.
Here's Why Investors Should Retain Labcorp (LH) Stock for Now
Investors are increasingly optimistic about Labcorp (LH) due to its progress in hospital partnerships.
Graves Gilbert, Circuit Clinical, and Labcorp Join Forces to Bring Clinical Trials to Patients across South Central Kentucky
BUFFALO, N.Y., Sept. 27, 2023 /PRNewswire/ -- Graves Gilbert , a multispecialty clinic comprised of more than 200 providers representing over 30 medical specialties in Bowling Green, Kentucky, and surrounding counties, is proud to announce a collaboration with  Circuit Clinical , an integrated research organization, to bring clinical trials to patients in South Central Kentucky.</t>
  </si>
  <si>
    <t>LabCorp</t>
  </si>
  <si>
    <t xml:space="preserve">
    Market Cap (intraday) 17.81B
         Enterprise Value 22.09B
             Trailing P/E  18.84
              Forward P/E  13.89
PEG Ratio (5 yr expected)   3.12
        Price/Sales (ttm)   1.21
         Price/Book (mrq)   2.03
 Enterprise Value/Revenue   1.48
  Enterprise Value/EBITDA  11.10</t>
  </si>
  <si>
    <t>Dow Stocks To Trade In October
This long and short equity strategy has generated superior returns based upon cycles and relative strength.
My Top 10 High Yield Dividend Stocks For October 2023
The market slide continues in September with the SPDR S&amp;P 500 Trust ETF dropping by 4.74%. The top 10 stocks on the watchlist for October 2023 offer a 4.33% dividend yield, more than double the S&amp;P 500. My top 10 list of high dividend yield stocks has generated an annualized rate of return of 10.29% since its inception in November 2020.
US CFTC orders 3 major US banks to pay over $50 mln for swap reporting failures
The U.S. Commodity Futures Trading Commission on Friday ordered Goldman Sachs , Bank of America and JPMorgan to pay a total of over $50 million for swap reporting failures and other violations, the agency said in a statement.
Don't Miss the Boom: 7 Dow Stocks Set to Explode Higher
The top Dow stocks serve as a bellwether for the health of the U.S. economy. This year, the Dow has trailed the other two major U.S. indices with a 1% gain.
Goldman (GS), Omers Partner for Private Credit in Asia Pacific
Goldman's (GS) asset management arm, Goldman Sachs Asset Management, is set to co-invest in private credit transactions in the Asia Pacific region with Ontario Municipal Employees Retirement System.
U.S. SEC nearing settlement with Wall Street firms over WhatsApp probe -sources
The U.S. Securities and Exchange Commission (SEC) is finalizing settlements with around two dozen Wall Street firms to resolve investigations into record-keeping lapses, said two people with knowledge of the matter.
Goldman Sachs' Petershill trust structure is putting off investors, says UBS
Petershill Partners PLC (LSE:PHLL), the closed-ended private equity fund run by Goldman Sachs, has been downgraded by UBS as the shares' large discount is not expected to improve much in the foreseeable future.  At the start of the month UBS flagged the near-50% discount to the theoretical valuation the company would warrant as an "actual private market manager".
Goldman (GS), Others Team up for Client Disclosure Reporting
Goldman (GS), along with HSBC, BCS and other banks, forms a consortium named Endoxa to adopt a unified global approach for disclosing clients' stock positions.
Goldman (GS) Is Fined $6M for Deficient Blue Sheet Submissions
Goldman (GS) is charged a fine of $6 million by SEC for incomplete and inadequate blue sheet submissions.
SEC Fines Deutsche Bank Fund Unit for Money Laundering, ESG Misstatements
The bank's investment arm agreed to pay $25 million for overstating how it used environmental, social and governance factors in its funds.
Goldman Sachs SEC Drama Deepens As Regulator Fines Bank For $6 Million Over Incomplete Trading Info
The bank is closing in on finding a buyer for its nightmare GreenSky acquisition, which is expected to sell for only $500 million
3 High-Quality Stocks to Buy on the Dip According to AI
This article is an excerpt from the InvestorPlace Digest newsletter. To get news like this delivered straight to your inbox, click here.
Goldman, HSBC join forces with other banks on client disclosures
Goldman Sachs and HSBC are among a group of five banks adopting a common global approach to disclosing clients' stock positions, a move which participants say could help cut costs and bolster transparency.</t>
  </si>
  <si>
    <t>Goldman Sachs</t>
  </si>
  <si>
    <t xml:space="preserve">
    Market Cap (intraday) 106.67B
         Enterprise Value     NaN
             Trailing P/E   13.77
              Forward P/E    8.61
PEG Ratio (5 yr expected)    1.76
        Price/Sales (ttm)    2.50
         Price/Book (mrq)    1.01
 Enterprise Value/Revenue     NaN
  Enterprise Value/EBITDA     NaN</t>
  </si>
  <si>
    <t>Here are 11 stocks Jim Cramer is watching, including Buffett's Berkshire and restaurant stocks
Here are some of the tickers on my radar for Friday, Sept. 29, taken directly from my reporter's notebook.
Buffett Says Make Money In Your Sleep: 2 Dividends For A Retirement Dream
Passive income is your ticket to financial independence and a life on your own terms. Warren Buffett's portfolio reliably produces billions in dividend income. Secure your retirement with these two discounted +5% yielding dividend growers.</t>
  </si>
  <si>
    <t>Huntington Bancshares</t>
  </si>
  <si>
    <t xml:space="preserve">
    Market Cap (intraday) 15.06B
         Enterprise Value    NaN
             Trailing P/E   6.71
              Forward P/E   7.82
PEG Ratio (5 yr expected)   7.11
        Price/Sales (ttm)   2.00
         Price/Book (mrq)   0.92
 Enterprise Value/Revenue    NaN
  Enterprise Value/EBITDA    NaN</t>
  </si>
  <si>
    <t>4 Stocks to Watch in a Challenging Technology Solutions Industry
Industry players like IBM, HPE, NCR and AGYS are gaining from the increased demand for integrated solutions and the growing adoption of the multi-cloud model, despite persistent supply chain constraints.</t>
  </si>
  <si>
    <t>Hewlett Packard Enterprise</t>
  </si>
  <si>
    <t xml:space="preserve">
    Market Cap (intraday) 22.28B
         Enterprise Value 32.72B
             Trailing P/E  20.93
              Forward P/E   8.08
PEG Ratio (5 yr expected)   1.35
        Price/Sales (ttm)   0.77
         Price/Book (mrq)   1.08
 Enterprise Value/Revenue   1.10
  Enterprise Value/EBITDA   7.90</t>
  </si>
  <si>
    <t>Howmet Aerospace Elects Gunner Smith to Board of Directors
PITTSBURGH--(BUSINESS WIRE)--Howmet Aerospace Inc. (NYSE:HWM) announces that its Board of Directors has elected Gunner Smith, President – Roofing, Owens Corning, to serve as an independent director on the Board, effective September 29, 2023. “Gunner brings to the Howmet Board extensive business perspectives and manufacturing and sales expertise that will be complementary to our current board and which are highly valued in our evolving, competitive environment,” said John C. Plant, Executive Cha.
Howmet Aerospace Board Approves Quarterly Common Stock Dividend
PITTSBURGH--(BUSINESS WIRE)--The Board of Directors of Howmet Aerospace (NYSE:HWM) declared a quarterly dividend of 5 cents per share on the outstanding Common Stock of the Company, to be paid on November 27, 2023, to the holders of record of the Common Stock at the close of business on November 10, 2023. The quarterly dividend represents a 25% increase from the third quarter 2023 dividend of 4 cents per share. About Howmet Aerospace Howmet Aerospace Inc., headquartered in Pittsburgh, Pennsylva.</t>
  </si>
  <si>
    <t>Howmet Aerospace</t>
  </si>
  <si>
    <t xml:space="preserve">
    Market Cap (intraday) 19.06B
         Enterprise Value 22.68B
             Trailing P/E  36.71
              Forward P/E  22.03
PEG Ratio (5 yr expected)   0.80
        Price/Sales (ttm)   3.12
         Price/Book (mrq)   5.12
 Enterprise Value/Revenue   3.66
  Enterprise Value/EBITDA  18.76</t>
  </si>
  <si>
    <t>3 Stocks Ready to Rocket on These Global Mega Trends
Many investors are used to looking for sectors to make bets on. Technology.</t>
  </si>
  <si>
    <t>Idexx Laboratories</t>
  </si>
  <si>
    <t xml:space="preserve">
    Market Cap (intraday) 36.30B
         Enterprise Value 37.32B
             Trailing P/E  46.37
              Forward P/E  42.55
PEG Ratio (5 yr expected)   3.65
        Price/Sales (ttm)  10.45
         Price/Book (mrq)  33.18
 Enterprise Value/Revenue  10.62
  Enterprise Value/EBITDA  32.10</t>
  </si>
  <si>
    <t>Azenta Announces CFO Transition
Industry Veteran Herman Cueto Named CFO Azenta CFO Lindon Robertson to Retire Company Reaffirms Guidance for Fourth Quarter Fiscal 2023 BURLINGTON, Mass. , Sept. 26, 2023 /PRNewswire/ -- Azenta, Inc. (Nasdaq: AZTA) today announced that Herman Cueto will join Azenta as Executive Vice President and Chief Financial Officer, effective October 16.</t>
  </si>
  <si>
    <t>Becton Dickinson</t>
  </si>
  <si>
    <t xml:space="preserve">
    Market Cap (intraday) 75.00B
         Enterprise Value 90.85B
             Trailing P/E  46.75
              Forward P/E  18.87
PEG Ratio (5 yr expected)   1.39
        Price/Sales (ttm)   3.89
         Price/Book (mrq)   2.89
 Enterprise Value/Revenue   4.83
  Enterprise Value/EBITDA  20.47</t>
  </si>
  <si>
    <t>These 5 Stocks Are Setting Up This Buying Opportunity After Strong Runs
After a run, stocks can offer a new buying opportunity with a pullback to the 50-day line. Novo Nordisk and 4 S&amp;P 500 stocks have done that.
EU Squashes $1.7 Billion Buyout But Travel Stock Keeps Booking
While the European Commission has blocked it buyout of ETraveli, Booking.com parent Booking eyes a breakout and will appeal the ruling.
Booking.com to Appeal EU's Veto of Etraveli Deal
Booking Holdings (BKNG) said Monday it plans to appeal EU regulators' veto of its acquisition of Etraveli Group, a Swedish online travel agency that specializes in tracking flights.
Booking's Etraveli acquisition blocked by Europe
Booking Holdings Inc (NASDAQ:BKNG) has had its $1.8 billion acquisition of Swedish flight booking firm Etraveli blocked by the European Union, which says could cause prices to rise for consumers. According to the EU, the acquisition would increase Booking.com's dominant position in the market.
European Union blocks Booking Holding's $1.8 billion acquisition
BRUSSELS (AP) — The European Union's executive arm said Monday it is blocking leading U.S. online travel agency Booking from acquiring Sweden's flight booking provider Etraveli Group because it would have allowed it to increase its dominant position on the market on the continent.
Booking Holdings Intends to Appeal European Commission Decision to Prohibit the Company's Acquisition of Etraveli Group
The Company Also Announces Extension of Its Partnership Agreement with Etraveli Group NORWALK, Conn. , Sept. 25, 2023 /PRNewswire/ -- Booking Holdings Inc. (NASDAQ: BKNG) today announced that it intends to appeal the European Commission's recently announced decision to prohibit the Company's acquisition of Etraveli Group, from CVC Capital Partners ("CVC"), to the European courts.</t>
  </si>
  <si>
    <t>Booking Holdings</t>
  </si>
  <si>
    <t xml:space="preserve">
    Market Cap (intraday) 110.07B
         Enterprise Value 109.42B
             Trailing P/E   27.05
              Forward P/E   18.55
PEG Ratio (5 yr expected)    0.71
        Price/Sales (ttm)    6.11
         Price/Book (mrq)   34.36
 Enterprise Value/Revenue    6.02
  Enterprise Value/EBITDA   17.62</t>
  </si>
  <si>
    <t>IDEX Corporation to Webcast Third Quarter 2023 Earnings Call
NORTHBROOK, Ill.--(BUSINESS WIRE)--IDEX Corporation (NYSE:IEX) announced today that it has scheduled the broadcast of the company's third quarter earnings conference call over the internet on Thursday, October 26, 2023 at 9:30 a.m. CT. Chief Executive Officer and President Eric Ashleman and Interim Chief Financial Officer Allison Lausas will discuss the company's third quarter financial performance, and respond to questions from the financial community. IDEX invites interested investors to list.
SXI or IEX: Which Is the Better Value Stock Right Now?
Investors looking for stocks in the Manufacturing - General Industrial sector might want to consider either Standex International (SXI) or Idex (IEX). But which of these two stocks is more attractive to value investors?</t>
  </si>
  <si>
    <t>IDEX Corporation</t>
  </si>
  <si>
    <t xml:space="preserve">
    Market Cap (intraday) 15.73B
         Enterprise Value 16.86B
             Trailing P/E  26.95
              Forward P/E  23.70
PEG Ratio (5 yr expected)   2.06
        Price/Sales (ttm)   4.74
         Price/Book (mrq)   4.80
 Enterprise Value/Revenue   5.07
  Enterprise Value/EBITDA  18.04</t>
  </si>
  <si>
    <t>Incyte to Present Multiple Studies from Dermatology Portfolio at 2023 European Academy of Dermatology and Venereology (EADV) Congress
WILMINGTON, Del.--(BUSINESS WIRE)---- $INCY--Incyte to Present Multiple Studies from Dermatology Portfolio at 2023 European Academy of Dermatology and Venereology (EADV) Congress.</t>
  </si>
  <si>
    <t>Incyte</t>
  </si>
  <si>
    <t xml:space="preserve">
    Market Cap (intraday) 12.95B
         Enterprise Value  9.56B
             Trailing P/E  35.44
              Forward P/E  12.90
PEG Ratio (5 yr expected)   0.43
        Price/Sales (ttm)   3.70
         Price/Book (mrq)   2.73
 Enterprise Value/Revenue   2.72
  Enterprise Value/EBITDA  15.05</t>
  </si>
  <si>
    <t>AEROMEXICO-DELTA PARTNERSHIP TO INCREASE TRANSBORDER SEAT OFFERING BY MORE THAN 30%
- Aeromexico in 2024 will launch 17 routes departing from seven airports in Mexico using many of the more than 50 new aircraft added to its fleet in the last two years. This expansion will benefit customers and enhance transborder flying options enabled by Aeromexico and Delta's Joint Cooperation Agreement (JCA). - Aeromexico in 2024 will launch 17 routes departing from seven airports in Mexico using many of the more than 50 new aircraft added to its fleet in the last two years. This expansion will benefit customers and enhance transborder flying options enabled by Aeromexico and Delta's Joint Cooperation Agreement (JCA).
Investors Heavily Search Delta Air Lines, Inc. (DAL): Here is What You Need to Know
Delta (DAL) has been one of the stocks most watched by Zacks.com users lately. So, it is worth exploring what lies ahead for the stock.
10 Cheap Value Stocks Are Poised To Report Massive Profit Growth
Just because a stock is considered a "value" doesn't mean it can't grow like crazy. In fact, many S&amp;P 500 value stocks may do just that.
A Glimpse of Patient Capital's Samantha McLemore's Stock Recommendations
Patient Capital, a recently established independent asset management firm, was previously a part of Miller Value Partners. It upholds an investment philosophy and methodology initially conceived many years ago by the renowned guru investor Bill Miller during his tenure at Legg Mason.
Here's Why Investors Should Retain Delta (DAL) Stock Now
The resumption of the payment of the quarterly dividend highlights Delta's (DAL) shareholder-friendly stance.
Airline Stocks Alert: What a Government Shutdown Means for Air Travel
With a federal government shutdown looming, airline stocks could be negatively affected by the closure. That's because, although air travel wouldn't be canceled during a shutdown, air traffic controllers and other government employees who facilitate air travel will not be paid during the shutdown.
Delta Hopes to Soar Again with Customer Loyalty Tweaks
Delta Air Lines Inc. NYSE: DAL finished higher for the first time since September 19 after the company's CEO said it would make changes to its customer loyalty program.
Metropolitan Issues Statement on Proposed Voluntary Agreements in Update of Bay-Delta Plan
LOS ANGELES--(BUSINESS WIRE)--Adel Hagekhalil, general manager of the Metropolitan Water District of Southern California, issues the following statement on the State Water Board's release of its draft staff report and Substitute Environmental Document for the Bay-Delta Water Quality Control Plan, which includes proposed Agreements to Support Healthy Rivers and Landscapes, also known as the Voluntary Agreements. The agreements will be considered by the State Water Board in its update of the Bay-.
Following uproar, Delta CEO says airline went ‘too far' with SkyMiles crackdown
Delta Air Lines' CEO admitted on Monday the airline “probably went too far” in clamping down on its SkyMiles reward program and access to its 50-plus Sky Clubs — and signaled the company plans to relax some restrictions.
Delta Air Lines Declares Quarterly Dividend
ATLANTA , Sept. 28, 2023 /PRNewswire/ -- Delta Air Lines' (NYSE: DAL) Board of Directors today declared a quarterly dividend of $0.10 per share.
Delta CEO: We went 'too far' in restricting Sky Club access
Delta Air Lines (NYSE:DAL) CEO Ed Bastian said Monday that the airline plans to moderate some of the recently announced changes to its rewards program after backlash from customers.  Last month, Delta announced sweeping changes that would make it harder for travelers to earn elite status and gain access to airport lounges starting in January 2024.
Delta CEO says airline will modify SkyMiles changes: 'Probably went too far'
Delta Air Lines said it is rethinking the overhaul of its loyalty program after receiving feedback from customers. It's now planning on making modifications.
Delta CEO says airline went ‘too far' with SkyMiles clampdown, plans to roll it back with ‘modifications'
"There will be modifications that we will make, and you will hear about it sometime over the next few weeks," Delta chief Ed Bastian said at an event at Atlanta's Rotary Club this week. "I think we moved too fast, and we are looking at it now.
Delta Air Lines Announces Webcast of September Quarter 2023 Financial Results
ATLANTA , Sept. 28, 2023 /PRNewswire/ -- Delta Air Lines (NYSE: DAL) will hold a live conference call and webcast to discuss its September quarter 2023 financial results at 10 a.m.
Which Airlines Stock Will Offer Better Returns – American Or United?
If we look at stock returns, United Airlines, with 13% returns this year, has fared better than American Airlines, up 0%, and the broader S&amp;P 500 index, up 11%.
Time to Buy the Recent Dip in Airline Stocks?
Domestically, the three largest airlines by revenue Delta Air Lines (DAL), American Airlines (AAL), and United Airlines (UAL) have all seen their stocks fall of late after seeing 52-week highs in July.
Delta CEO says carrier went 'too far' in SkyMiles changes, promises modifications after frequent flyer backlash
Delta's CEO said the carrier wanted to "rip the Band-Aid off" with changes to SkyMiles program.
Delta CEO: Company went 'too far' with its SkyMiles rewards program changes
Delta CEO Ed Bastian said the company probably went "too far" in its controversial changes to the SkyMiles loyalty program and said there are plans for modifications.
Delta Air Lines to Modify Frequent-Flier Program Following Negative Feedback
Delta Air Lines has said that recent changes to its frequent-flier program have received mostly negative feedback from travelers.
Delta says it 'went too far' with SkyMiles changes that caused an uproar
Delta CEO Ed Bastian said the airline went "too far" in its recent changes to its SkyMiles program.  He said the airline will announce modifications in the next few weeks.
Delta Air Lines Stock Ready for Takeoff
The shares of Delta Air Lines, Inc. (NYSE:DAL) were last seen up 0.2% at $36.83.
Airline stocks fall again, with Southwest and JetBlue shares at multiyear lows
The airline sector was suffering another broad selloff Tuesday, amid worries over how a government shutdown will hurt the industry and as falling ticket prices raise concerns over profitability.
Delta (DAL) Expands 2024 Trans-Atlantic Summer Schedule
An uptick in air-travel demand prompts Delta (DAL) to announce the huge trans-Atlantic schedule for the next year.</t>
  </si>
  <si>
    <t>Delta Air Lines</t>
  </si>
  <si>
    <t xml:space="preserve">
    Market Cap (intraday) 23.81B
         Enterprise Value 45.32B
             Trailing P/E   7.94
              Forward P/E   5.17
PEG Ratio (5 yr expected)   0.17
        Price/Sales (ttm)   0.43
         Price/Book (mrq)   2.94
 Enterprise Value/Revenue   0.81
  Enterprise Value/EBITDA   9.42</t>
  </si>
  <si>
    <t>Veralto: Thoughts On The Danaher Spinoff
Veralto Corporation, the former Environmental &amp; Applied Solutions segment of Danaher Corporation, has started trading as a publicly traded entity. Veralto is a $5 billion business focused on water and product quality, with 60% of sales generated from water quality services. The spinoff has resulted in Veralto commanding a premium valuation, although marking an interesting business to keep track of.
Why Shares of Danaher Are Down Monday
Danaher's revenues declined in the second quarter. Its spinoff, Veralto, began trading on Monday.
Should Danaher Investors Sell New Veralto Shares?
Danaher Corporation will complete the spin-off of its Environmental &amp; Applied Solutions business, which will be called Veralto. Veralto is divided into two segments: Water Quality and Product Quality &amp; Innovation, with a focus on safe drinking water and environmentally-friendly packaging. Veralto will use a derivative of Danaher's value creation framework and prioritize M&amp;A for growth, but debt and lower credit rating may pose challenges.
Danaher Corporation Completes Separation of Veralto Corporation
WASHINGTON , Sept. 30, 2023 /PRNewswire/ -- Danaher Corporation (NYSE: DHR) announced today that it has completed the separation of its Environmental &amp; Applied Solutions segment, through the spin-off of Veralto Corporation.
Veralto Set to Join S&amp;P 500; Vestis to Join S&amp;P MidCap 400; Others to Join S&amp;P SmallCap 600
NEW YORK, Sept. 28, 2023 /PRNewswire/ -- S&amp;P Dow Jones Indices will make the following changes to the S&amp;P 500, the S&amp;P MidCap 400 and the S&amp;P SmallCap 600 indices
Veralto stock to join S&amp;P 500, Kohl's to join S&amp;P SmallCap 600
Danaher Corp. DHR, -0.10% spinoff Veralto Corp. VLTO.WI, +5.02% will be added to the S&amp;P 500 before trading Monday, when it replaces DXC Technology Co. DXC, +0.59%, which in turn will move to the S&amp;P SmallCap 600 prior to Tuesday trading. DXC Technologies will replace Ebix Inc. EBIX, -2.48% in the S&amp;P SmallCap 600, also effective before trading Tuesday.
Jonathan Milner issues Open Letter to shareholders of Abcam plc
Jonathan Milner issues Open Letter to shareholders of Abcam plc U rges shareholders to Vote AGAINST the proposed acquisition of Abcam by Danaher Corporation CAMBRIDGE, England, 2 8 September 2023 – Dr. Jonathan Milner, the founder and one of the largestinvestors in Abcam plc (“Abcam” or the “Company”) (NYSE: ABCM) with ownership of 6.15%, todayissued an open letter to the Company's shareholders announcing his “Vote AGAINST” campaign and providing them with the opportunity to send a clear message to the Board that they are dissatisfied with the proposed acquisition of Abcam by Danaher Corporation (NYSE: DHR) or its affiliates (“Danaher”) and Abcam's governance, execution and cost control. Find out more and read the full text of the letter at the Focus Abcam website.
Danaher Schedules Third Quarter 2023 Earnings Conference Call
WASHINGTON, Sept. 26, 2023 /PRNewswire/ -- Danaher Corporation (NYSE: DHR) announced that it will webcast its quarterly earnings conference call for the third quarter 2023 on Tuesday, October 24, 2023 beginning at 8:00 a.m.</t>
  </si>
  <si>
    <t>Danaher Corporation</t>
  </si>
  <si>
    <t xml:space="preserve">
    Market Cap (intraday) 183.19B
         Enterprise Value 194.49B
             Trailing P/E   29.12
              Forward P/E   25.06
PEG Ratio (5 yr expected)    5.28
        Price/Sales (ttm)    6.04
         Price/Book (mrq)    3.54
 Enterprise Value/Revenue    6.41
  Enterprise Value/EBITDA   19.89</t>
  </si>
  <si>
    <t>My Wife Says Buy Dollar Tree Weakness: The Cult Hangout For Crafters
Dollar Tree's summer price swoon has made the company an interesting growth-at-a-reasonable-price, GARP selection. Stores are a regular hangout/destination for home decor and crafting supplies, at ultra-low pricing. New customers may appear during a recession, as cost-cutting consumers look for cheaper alternatives.
Walmart Shines As Dollar Tree, Dollar General, Big Lots Stumble
Going by the performance of discount retailers, Wall Street sees more potential in Walmart Inc. NYSE: WMT than Dollar Tree Inc. NASDAQ: DLTR, Dollar General Corp. NYSE: DG or Big Lots Inc. NYSE: BIG
Can Store Initiatives Aid Dollar Tree (DLTR) Amid Cost Hike?
Despite inflationary headwinds, Dollar Tree's (DLTR) store optimization and expansion strategies are likely to help the stock get back on track.</t>
  </si>
  <si>
    <t>Dollar Tree</t>
  </si>
  <si>
    <t xml:space="preserve">
    Market Cap (intraday) 23.42B
         Enterprise Value 33.26B
             Trailing P/E  19.35
              Forward P/E  17.67
PEG Ratio (5 yr expected)   1.66
        Price/Sales (ttm)   0.81
         Price/Book (mrq)   2.59
 Enterprise Value/Revenue   1.13
  Enterprise Value/EBITDA  13.35</t>
  </si>
  <si>
    <t>Is Regions Financial (RF) Stock Undervalued Right Now?
Here at Zacks, our focus is on the proven Zacks Rank system, which emphasizes earnings estimates and estimate revisions to find great stocks. Nevertheless, we are always paying attention to the latest value, growth, and momentum trends to underscore strong picks.
Regions Financial to Announce Third Quarter 2023 Financial Results on Oct. 20, 2023
BIRMINGHAM, Ala.--(BUSINESS WIRE)--Regions Financial Corp. announced the company is scheduled to release its third quarter 2023 financial results on Friday, Oct. 20, 2023.</t>
  </si>
  <si>
    <t>Regions Financial Corporation</t>
  </si>
  <si>
    <t xml:space="preserve">
    Market Cap (intraday) 16.14B
         Enterprise Value    NaN
             Trailing P/E   7.32
              Forward P/E   7.38
PEG Ratio (5 yr expected)   3.08
        Price/Sales (ttm)   2.08
         Price/Book (mrq)   1.08
 Enterprise Value/Revenue    NaN
  Enterprise Value/EBITDA    NaN</t>
  </si>
  <si>
    <t>Republic Services, Inc. Sets Date for Third Quarter 2023 Earnings Release and Conference Call
PHOENIX , Sept. 26, 2023 /PRNewswire/ -- Republic Services, Inc. (NYSE: RSG) will release its third quarter 2023 financial results after market close on Thursday, Oct. 26, 2023, and host an investor conference call at 5 p.m.</t>
  </si>
  <si>
    <t>Republic Services</t>
  </si>
  <si>
    <t xml:space="preserve">
    Market Cap (intraday) 45.08B
         Enterprise Value 57.26B
             Trailing P/E  28.67
              Forward P/E  24.33
PEG Ratio (5 yr expected)   2.47
        Price/Sales (ttm)   3.13
         Price/Book (mrq)   4.42
 Enterprise Value/Revenue   3.97
  Enterprise Value/EBITDA  14.43</t>
  </si>
  <si>
    <t>RTX and Timken Hit the Casualty List
The harsh market climate of August and September has left quite a few stocks selling for what I consider bargain prices.
RTX Corporation (RTX) is Attracting Investor Attention: Here is What You Should Know
RTX (RTX) has been one of the stocks most watched by Zacks.com users lately. So, it is worth exploring what lies ahead for the stock.
RTX Secures $306M Contract to Support F135 Propulsion Systems
RTX is set to procure long-lead time materials to support the low-rate initial production of the 18th lot of F135 propulsion systems, for the F-35 fighter aircraft.
SHAREHOLDER ALERT: The Law Offices of Vincent Wong Remind RTX Investors of a Lead Plaintiff Deadline of October 2, 2023
NEW YORK , Oct. 2, 2023 /PRNewswire/ -- Attention RTX Corporation f/k/a Raytheon Technologies Corporation ("RTX") (NYSE: RTX) shareholders: The Law Offices of Vincent Wong announce that a class action lawsuit has commenced on behalf of investors who purchased between February 8, 2021 and July 25, 2023. If you suffered a loss on your investment in RTX, contact us about potential recovery by using the link below.
FINAL DEADLINE TODAY: The Schall Law Firm Encourages Investors in RTX Corporation with Losses of $100,000 to Contact the Firm
LOS ANGELES, CA / ACCESSWIRE / October 1, 2023 / The Schall Law Firm, a national shareholder rights litigation firm, reminds investors of a class action lawsuit against RTX Corporation f/k/a Raytheon Technologies ("RTX" or "the Company") (NYSE:RTX) for violations of §§10(b) and 20(a) of the Securities Exchange Act of 1934 and Rule 10b-5 promulgated thereunder by the U.S. Securities and Exchange Commission. Investors who purchased the Company's securities between February 8, 2021 and July 25, 2023, inclusive (the "Class Period"), are encouraged to contact the firm before October 2, 2023.
RTX Corp Stock Is Down 31%: This Competitor Is a Better Buy-on-the-Dip Stock
RTX is still struggling from a big merger, while its competitor is delivering the goods.
RTX Monday Deadline: ROSEN, Top Ranked Investor Counsel, Encourages RTX Corporation f/k/a Raytheon Technologies Corporation Investors with Losses in Excess of $500K to Secure Counsel Before Important October 2 Deadline in Securities Class Action Initiated by the Firm - RTX
NEW YORK , Sept. 29, 2023 /PRNewswire/ -- WHY: Rosen Law Firm, a global investor rights law firm, reminds purchasers of the securities of RTX Corporation f/k/a Raytheon Technologies Corporation (NYSE: RTX) between February 8, 2021 and September 8, 2023, both dates inclusive (the "Class Period"), of the important October 2, 2023 lead plaintiff deadline in the securities class action commenced by the firm.
SHAREHOLDER ALERT: Pomerantz Law Firm Investigates Claims On Behalf of Investors of RTX Corporation (f/k/a Raytheon Technologies Corporation) (RTX)
NEW YORK , Sept. 29, 2023 /PRNewswire/ -- Pomerantz LLP is investigating claims on behalf of investors of RTX Corporation f/k/a Raytheon Technologies Corporation ("RTX" or the "Company") (NYSE: RTX).
DEADLINE ACTION ALERT: The Schall Law Firm Encourages Investors in RTX Corporation with Losses of $500,000 to Contact the Firm
LOS ANGELES, CA / ACCESSWIRE / September 29, 2023 / The Schall Law Firm, a national shareholder rights litigation firm, reminds investors of a class action lawsuit against RTX Corporation f/k/a Raytheon Technologies ("RTX" or "the Company") (NYSE:RTX) for violations of 10(b) and 20(a) of the Securities Exchange Act of 1934 and Rule 10b-5 promulgated thereunder by the U.S. Securities and Exchange Commission. Investors who purchased the Company's securities between February 8, 2021 and July 25, 2023, inclusive (the "Class Period"), are encouraged to contact the firm before October 2, 2023.
Labaton Sucharow LLP Announces Expanded Securities Class Action Lawsuit Filed Against RTX Corporation and Certain Executives
NEW YORK--(BUSINESS WIRE)--Labaton Sucharow LLP (“Labaton Sucharow”) announces that, on September 28, 2023, it filed a securities class action lawsuit (the “Complaint”) on behalf of its client New England Teamsters Pension Fund (“New England Teamsters”) against RTX Corporation (“RTX” or the “Company”) (NYSE: RTX) and certain RTX officers (collectively, “Defendants”). The action, which is captioned New England Teamsters Pension Fund v. RTX Corporation, No. 3:23-cv-1274 (D. Conn.), asserts claims.
RTX to optimize water prediction capabilities for NOAA
Next-Gen Water Prediction framework will help communities prepare for and respond to weather, water and climate-dependent events ARLINGTON, Va. , Sept. 28, 2023  /PRNewswire/ -- Raytheon, an RTX (NYSE: RTX) business, has been awarded a contract from the National Oceanic and Atmospheric Administration (NOAA) to develop and optimize the nation's water resources prediction capabilities.
SHAREHOLDER ALERT: Levi &amp; Korsinsky Notifies RTX Corporation f/k/a Raytheon Technologies Corporation(RTX) Investors of a Class Action Lawsuit and Upcoming Deadline
NEW YORK , Sept. 28, 2023 /PRNewswire/ -- Levi &amp; Korsinsky, LLP notifies investors in RTX Corporation f/k/a Raytheon Technologies Corporation ("RTX" or the "Company") (NYSE: RTX) of a class action securities lawsuit.
RTX Corporation: The Stock Price Crash Provides Opportunity
RTX Corporation stock has lost nearly 25% of its value due to issues with the geared turbofan engine. The problem with the PW1100G-JM engine is contamination in the high pressure turbine discs, affecting durability and time-on-wing. The company announced an increased number of engines to be inspected with estimated costs of $3.2 billion to $4.5 billion.
OCTOBER 2 DEADLINE: The Schall Law Firm Encourages Investors in RTX Corporation with Losses of $100,000 to Contact the Firm
LOS ANGELES, CA / ACCESSWIRE / September 28, 2023 / The Schall Law Firm, a national shareholder rights litigation firm, reminds investors of a class action lawsuit against RTX Corporation f/k/a Raytheon Technologies ("RTX" or "the Company") (NYSE:RTX) for violations of §§10(b) and 20(a) of the Securities Exchange Act of 1934 and Rule 10b-5 promulgated thereunder by the U.S. Securities and Exchange Commission. Investors who purchased the Company's securities between February 8, 2021 and July 25, 2023, inclusive (the "Class Period"), are encouraged to contact the firm before October 2, 2023.
INVESTOR ACTION NOTICE: The Schall Law Firm Encourages Investors in RTX Corporation with Losses of $100,000 to Contact the Firm
LOS ANGELES, CA / ACCESSWIRE / September 27, 2023 / The Schall Law Firm, a national shareholder rights litigation firm, reminds investors of a class action lawsuit against RTX Corporation f/k/a Raytheon Technologies ("RTX" or "the Company") (NYSE:RTX) for violations of §§10(b) and 20(a) of the Securities Exchange Act of 1934 and Rule 10b-5 promulgated thereunder by the U.S. Securities and Exchange Commission. Investors who purchased the Company's securities between February 8, 2021 and July 25, 2023, inclusive (the "Class Period"), are encouraged to contact the firm before October 2, 2023.
Military aid to Ukraine gives a shot in the arm to the U.S. economy
American military support for Ukraine as it fends off Russia has given a lift to the struggling industrial side of the U.S. economy.
RTX Secures $163M Contract to Aid F135 Propulsion Systems
RTX is set to procure spare engines, power modules, special test equipment and special tooling to support F135 propulsion systems for the F-35 Lighting II Joint Strike Fighter aircraft.
RTX: Buy, Sell, or Hold?
The commercial aerospace market remains in growth mode. Defense spending is ramping up in light of global geopolitical tensions, but supply chain problems remain.
Worried About a Stock Market Sell-Off? Consider These Dividend Stocks
American Electric Power is a leading electric utility that has a long history of rewarding shareholders. Dominion Energy is riddled with uncertainty but could be a nice turnaround play.
SHAREHOLDER ALERT: The Gross Law Firm Notifies Shareholders of RTX Corporation f/k/a Raytheon Technologies Corporation of a Class Action Lawsuit and a Lead Plaintiff Deadline of October 2, 2023 - (NYSE: RTX)
NEW YORK , Sept. 27, 2023 /PRNewswire/ -- The Gross Law Firm issues the following notice to shareholders of RTX Corporation f/k/a Raytheon Technologies Corporation.
Best Dividend Stock for Passive Income Investors: 3M Stock vs. RTX Stock
3M and Raytheon offer investors unique choices in building passive income.
7 Rock-Solid Dividend Stocks to Ride Out the Rest of 2023
In the unpredictable financial landscape of 2023, leaning into dividend stocks to buy may be one of the wisest decisions an investor can make. It's not about sidelining the thrilling potential of tech pioneers; instead, it's about understanding the evolving market dynamics.
FINAL DEADLINE IMMINENT: The Schall Law Firm Encourages Investors in RTX Corporation with Losses of $100,000 to Contact the Firm
LOS ANGELES, CA / ACCESSWIRE / September 26, 2023 / The Schall Law Firm, a national shareholder rights litigation firm, reminds investors of a class action lawsuit against RTX Corporation f/k/a Raytheon Technologies ("RTX" or "the Company") (NYSE:RTX) for violations of §§10(b) and 20(a) of the Securities Exchange Act of 1934 and Rule 10b-5 promulgated thereunder by the U.S. Securities and Exchange Commission. Investors who purchased the Company's securities between February 8, 2021 and July 25, 2023, inclusive (the "Class Period"), are encouraged to contact the firm before October 2, 2023.
RTX Secures Navy Contract to Support V-22 Osprey Aircraft
RTX clinches a $19.7 million contract to procure APU in support of the V-22 Osprey aircraft.
7 Buffett-Style A-Rated Dividend Aristocrat Bargains
The stock market suffered the worst week in 7 months due to the Fed bursting the dreams of rapid rate cuts. Higher for longer rates is a major threat to big tech, trading at 36X forward earnings, a 31% historical premium. But A-rated dividend aristocrat bargains represent world-beater, Buffett-style "wonderful companies at wonderful prices".
Pratt &amp; Whitney to Expand GTF MRO Capacity in Singapore
SINGAPORE , Sept. 26, 2023 /PRNewswire/ -- MRO Asia Pacific -- Pratt &amp; Whitney, an RTX (NYSE: RTX) business, today announced plans to increase the capacity of its Singapore engine center, Eagle Services Asia (ESA).
Don't Miss the Boom: 3 Defense Stocks Set to Explode Higher
Once again, Washington D.C. is gridlocked.
DEADLINE ACTION ALERT: The Schall Law Firm Encourages Investors in RTX Corporation with Losses of $100,000 to Contact the Firm
LOS ANGELES, CA / ACCESSWIRE / September 24, 2023 / TThe Schall Law Firm, a national shareholder rights litigation firm, reminds investors of a class action lawsuit against RTX Corporation f/k/a Raytheon Technologies ("RTX" or "the Company") (NYSE: RTX) for violations of §§10(b) and 20(a) of the Securities Exchange Act of 1934 and Rule 10b-5 promulgated thereunder by the U.S. Securities and Exchange Commission. Investors who purchased the Company's securities between February 8, 2021 and July 25, 2023, inclusive (the "Class Period"), are encouraged to contact the firm before October 2, 2023.</t>
  </si>
  <si>
    <t>RTX Corporation</t>
  </si>
  <si>
    <t xml:space="preserve">
    Market Cap (intraday) 104.75B
         Enterprise Value 136.29B
             Trailing P/E   19.09
              Forward P/E   13.42
PEG Ratio (5 yr expected)    4.18
        Price/Sales (ttm)    1.50
         Price/Book (mrq)    1.45
 Enterprise Value/Revenue    1.93
  Enterprise Value/EBITDA   11.19</t>
  </si>
  <si>
    <t>Here's Why You Should Retain Interpublic (IPG) Stock for Now
Interpublic's (IPG) increasingly diverse workforce gives the company a key competitive edge.</t>
  </si>
  <si>
    <t>Interpublic Group of Companies (The)</t>
  </si>
  <si>
    <t>Advertising</t>
  </si>
  <si>
    <t xml:space="preserve">
    Market Cap (intraday) 11.03B
         Enterprise Value 14.06B
             Trailing P/E  11.94
              Forward P/E   9.99
PEG Ratio (5 yr expected)   2.89
        Price/Sales (ttm)   1.03
         Price/Book (mrq)   2.99
 Enterprise Value/Revenue   1.30
  Enterprise Value/EBITDA   8.40</t>
  </si>
  <si>
    <t>Micron Reports More Progress on Recovery -- Is It Too Late to Buy the Stock?
Micron reported another mixed quarter, with ongoing losses the primary focus. Management sees new memory chip market highs in 2025.
Micron Technology Stock: Bear vs. Bull
Micron's Q4 earnings easily beat Wall Street's expectations. It expects revenue to finally rise again in the first quarter of fiscal 2024.
Micron Technology, Inc. (MU) Post Q4 2023 Earnings Analyst Call Transcript
Micron Technology, Inc. (NASDAQ:MU ) Post Q4 2023 Earnings Analyst Conference Call September 27, 2023 6:00 PM ET Company Participants Samir Patodia - IR Mark Murphy - EVP &amp; CFO Manish Bhatia - EVP of Global Operations Sumit Sadana - EVP &amp; Chief Business Officer Conference Call Participants Harlan Sur - JPMorgan Ambrish Srivastava - BMO Capital Markets Chris Danely - Citigroup Aaron Rakers - Wells Fargo Securities Vivek Arya - Bank of America Merrill Lynch Karl Ackerman - BNP Paribas Exane Brian Chin - Stifel Quinn Bolton - Needham &amp; Company Operator Thank you for standing by, and welcome to Micron's Post-Earnings Analyst Call. At this time, all participants are in listen-only mode.
Micron's Recovery Will Likely Take More Time Than Investors Expect
Micron Technology, Inc. stock has performed well despite its cyclical nature and unpredictable short-term earnings. Investors should focus on a 2-5 year time frame and ignore short-term earnings predictions. The current decline in Micron's stock price could potentially take several more years to recover from, especially if a recession occurs.
Why Digital Infrastructure Stocks Such As Micron Are Outperforming
Our theme of Internet Infrastructure Stocks – which includes a diverse set of companies that sell hardware and software that underpin the Internet - has fared well thi
Micron's profitability might take another year despite AI chip frenzy — and the stock is suffering
Analysts are praising Micron Technology Inc.'s progress on its year-long turnaround in a tough memory-chip market, but even with a boost from artificial-intelligence sales, it could take another year for the company to break even.
Micron Shares Fall Following Weaker-Than-Expected Guidance
Micron Technology (MU) shares tumbled more than 3% in early trading Thursday after the company issued weaker-than-expected guidance for the current quarter, despite beating revenue and profit expectations for the quarter ended August 31.
AI Isn't Saving These 2 Tech Stocks Thursday
Investors have wanted AI stocks to rise en masse. Yet Micron stock fell even as it hopes to build a stronger relationship with Nvidia.
Micron (MU) Q4 Loss Narrower Than Estimates, Revenues Beat
Micron's (MU) Q4 fiscal 2023 results reflect an improving industry trend as key metrics, including revenues, the non-GAAP gross margin and non-GAAP earnings per share, improve sequentially.
3 Reasons Micron is a Buy on Market Weakness
Shares of Micron NASDAQ: MU are down about 5% following the Q4 release and guidance, but this is not the time to trim positions. The stock is down on a lackluster report that points to industry normalization, a return to growth, and a record-high total addressable market for microchips.
Micron Stock Drops. It's Time to Buy, UBS Says.
Micron might have disappointed investors with its margin outlook but investors should still want to be positioned for a memory-chip upturn, UBS says.
Micron: Cyclical Semiconductor Giant, but a Long-Term Winner
As the fourth-largest semiconductor company in the world, Micron Technology Inc. ( MU , Financial) is a leader in DRAM (dynamic random access memory) and NAND (flash memory). Both are essential components of all computers, from your laptop to smartphones and even your connected vehicle.
Peloton stock climbs on Lululemon deal, Workday shares slide on targets, and more stocks on the move
Peloton Interactive's PTON, +0.65% stock jumped 14% after the connected-exercise-bike maker and yoga-wear giant Lululemon Athletica LULU, -0.40% announced a five-year partnership.
Micron's AI-focused chip won't help financial results anytime soon
Investors counting on a boost from AI to help Micron Technology Inc. offset any near-term losses in the next quarter or two saw their hopes dashed in a good news/bad news call with Wall Street analysts Wednesday.
Micron Technology, Inc. (MU) Q4 2023 Earnings Call Transcript
Micron Technology, Inc. (NASDAQ:MU ) Q4 2023 Earnings Conference Call September 27, 2023 4:30 PM ET Company Participants Samir Patodia - IR Sanjay Mehrotra - President and CEO Mark Murphy - CFO Conference Call Participants Tom O'Malley - Barclays Toshiya Hari - Goldman Sachs Timothy Arcuri - UBS Mehdi Hosseini - Susquehanna Financial Group Operator Thank you for standing. Welcome to Micron's Fourth Quarter 2023 Financial Call.
Micron (MU) Reports Q4 Earnings: What Key Metrics Have to Say
The headline numbers for Micron (MU) give insight into how the company performed in the quarter ended August 2023, but it may be worthwhile to compare some of its key metrics to Wall Street estimates and the year-ago actuals.
Micron sees nine-figure data-center sales in 2024, but another quarter of negative margins
Micron Technology Inc. is far from out of the woods yet when it comes to profitability as quarterly results came in better than expected Wednesday, but the memory-chip maker's chief executive was upbeat about data-center sales in 2024 as AI fever rages on.
Micron (MU) Reports Q4 Loss, Tops Revenue Estimates
Micron (MU) came out with a quarterly loss of $1.07 per share versus the Zacks Consensus Estimate of a loss of $1.18. This compares to earnings of $1.45 per share a year ago.
Micron (MU) Mixed After the Bell, Shares -3%
Markets fought to stay in the green today, though in the end we saw the S&amp;P 500 come in flat (+0.02%) and the Nasdaq +0.22% on the day while the Dow was -0.20%. Only the small-cap Russell 2000 had a decent day, +0.94%, though it is still the worst-performing of the four major indices over the past month and past six months.
Micron disappoints on earnings outlook: ‘I want to be a buyer here'
Micron Technology Inc (NASDAQ: MU) lost about 5.0% in extended trading even though its reported better-than-expected results for its fiscal fourth quarter. Why is Micron stock down in after-hours?
Memory-Chip Maker Micron's Earnings Top Views, Outlook Mixed
Memory-chip maker Micron Technology (MU) fell late Wednesday after it reported fiscal fourth-quarter profit and revenue that topped analyst estimates amid a cyclical industry downturn. But the company's outlook came in mixed as pricing slowly stabilizes. MU stock fell more than 5% on the news.
Micron stock sputters on soft fiscal Q1 guidance despite demand for AI chips
Micron Technology, Inc. (NASDAQ:MU) shares tumbled 4.5% in extended trading Wednesday after posting a fiscal fourth-quarter revenue that came in short of expectations.  The chipmaker posted an adjusted loss of $1.07 per share on revenue of $4.01 billion, compared to earnings of $1.45 per share on revenue of $6.44 billion in the year-ago quarter.
Micron Technology, Inc. Reports Results for the Fourth Quarter and Full Year of Fiscal 2023
BOISE, Idaho, Sept. 27, 2023 (GLOBE NEWSWIRE) -- Micron Technology, Inc. (Nasdaq: MU) today announced results for its fourth quarter and full year of fiscal 2023, which ended August 31, 2023.
Micron Earnings Will Be Terrible. But a Turnaround Is Coming.
The memory chip company has projected a 41% revenue decline for its latest quarter.
2 Top AI Stocks Ready for a Bull Run
Micron Technology should see a major turnaround in the new fiscal year, with AI expected to be a big catalyst. Marvell Technology's AI-related revenue is growing at a faster-than-expected pace.
Earnings Previews: Accenture, CarMax, Micron
After U.S. markets close on Tuesday and before they open again Wednesday morning,  Costco and Paychex will report quarterly earnings results.
Micron (MU) to Report Q4 Earnings: What's in the Offing?
Customer inventory adjustment actions amid declining consumer spending and growing recession concerns are likely to have weighed on Micron's (MU) Q4 performance.
Micron Earnings: Investors Will Be Focused On HBM Upside Potential
Micron's new HBM technology could be a big earner, with improvements in performance, capacity, and power efficiency. MU expects "meaningful revenues" from HBM3 in fiscal 2024 and has received strong feedback from customers. The Company's entry into the HBM market could lead to a more favorable valuation and potential market share gains.
Government Shutdown? 3 Stocks to Buy as the Sept.
If Congress fails to reach an agreement before 12:01 a.m. on Oct. 1, the government will experience a shutdown since the current spending laws are set to expire on Sept.
Ticking Time Bombs: 7 S&amp;P 500 Stocks to Dump Before the Damage Is Done
It's been a tough month for S&amp;P 500 stocks. September slumps are common, and this month is historically the worst for the index.
Micron earnings preview: How much has AI benefited the memory-chip maker?
Micron Technology Inc. appears to be turning the corner after the memory-chip maker called the bottom in a tough market just as artificial-intelligence tech caught fire this year, and investors will get soon get to see the impact.
Micron headed for fifth-straight quarterly revenue drop this week
Micron Technology, Inc. (NASDAQ:MU) is due to report earrings after the market closes on Wednesday, when it largely expected that the company will post its fifth consecutive revenue decline.  This time around, revenue is expected to plunge roughly 40% year-over-year to $3.91 billion.
The 2 Stocks Investors Must Watch This Week
Markets have been struggling for direction lately. Nike's earnings report is likely to show continued sluggishness in sales growth and pressure on profits.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2 Charts That Show Semiconductor Stocks Are Poised to Drop
The S&amp;P Semiconductors Select Industry Index has topped both price-wise and on a relative basis. That bodes poorly for the sector.
Better AI Value Stock: Micron vs. Intel
Both Intel and Micron trade at single-digit multiples of past peak earnings levels. Both are in the midst of a turnaround after the tech bear market of 2022.</t>
  </si>
  <si>
    <t>Micron Technology</t>
  </si>
  <si>
    <t xml:space="preserve">
    Market Cap (intraday) 74.51B
         Enterprise Value 78.85B
             Trailing P/E  10.05
              Forward P/E    NaN
PEG Ratio (5 yr expected)    NaN
        Price/Sales (ttm)   4.78
         Price/Book (mrq)   1.69
 Enterprise Value/Revenue   5.07
  Enterprise Value/EBITDA  31.72</t>
  </si>
  <si>
    <t>Should You Invest in NextEra (NEE) Based on Bullish Wall Street Views?
When deciding whether to buy, sell, or hold a stock, investors often rely on analyst recommendations. Media reports about rating changes by these brokerage-firm-employed (or sell-side) analysts often influence a stock's price, but are they really important?
My Top 10 High Yield Dividend Stocks For October 2023
The market slide continues in September with the SPDR S&amp;P 500 Trust ETF dropping by 4.74%. The top 10 stocks on the watchlist for October 2023 offer a 4.33% dividend yield, more than double the S&amp;P 500. My top 10 list of high dividend yield stocks has generated an annualized rate of return of 10.29% since its inception in November 2020.
You Don't Have to Pick a Winner in Clean Energy
The world is shifting toward lower-carbon energy sources, which will likely require decades of investment. If you are looking at clean energy, how do you decide which technologies will be winners?
Why NextEra Energy Stock Plunged to 3-Year Lows This Week
NextEra Energy's subsidiary slashed its long-term dividend growth guidance to 5% to 8%. NextEra Energy itself, however, still expects to grow annual dividend by 10% through 2024 at least.
NextEra Energy: Still Likely To Underperform XLU Despite Large Price Correction
NextEra Energy and the utility sector represented by the Utilities Select Sector SPDR Fund ETF have experienced large price corrections. Particularly, NEE's stock price has dropped by about 15% in the past 5 trading days as NextEra Energy Partners lowered its growth outlook. However, NEE is still trading at a large premium.
Opportunities Abound In These Dividend Stalwarts
Market timers come out in force when stocks are soaring or plummeting, but often miss out on long-term investment opportunities by waiting to make sure stocks have definitively bottomed. I like to keep it simple by buying high-quality dividend growth companies at discounted prices during bear markets. If they get cheaper, I buy more. I highlight a handful of high-quality, investment grade-rated dividend growth stalwarts to consider for your portfolio.
Don't Miss the Boom: 7 Utilities Stocks Set to Explode Higher
Amid a still-stubbornly high backdrop of inflation, the narrative for utilities stocks to buy stands as a cynical bright spot. Basically, everyone must pay their bills associated with core services.
Don't Miss the Boom: 3 Renewable Energy Stocks Set to Explode Higher
Renewable energy is the future. Solar capacity across the world will grow by 600 gigawatts by 2024 and renewable energy resources will make up for 30% of the world's electricity today by 2030, as per data from earth.org.
NextEra Energy downgraded by analysts after slashing growth outlook
Shares of NextEra Energy (NYSE:NEE) continued to slide on Thursday after the diversified energy company said a day earlier that it was cutting its long-term growth forecast, resulting in two analyst downgrades. The company slashed its limited partner distribution per unit growth rate to a target of 5% to 8% from its prior goal of 12% to 15%, citing tighter monetary policy and higher interest rates.
Got Solar? How You Can Play The Industry's Value Chain Perfectly
Whenever a new exciting industry hits the television screens of various market participants, investors crowd around a handful of names, typically those being popularized by talking heads and other quote-unquote professionals.
NextEra Energy Subsidiary Cuts Its Distribution Growth Outlook and Shares of Both Sink
NextEra Energy (NEE) was the worst-performing stock in the S&amp;P 500 on Wednesday with shares tumbling over 8% after the renewable energy provider's subsidiary, NextEra Energy Partners, LP (NEP), significantly reduced its distribution growth outlook, blaming Federal Reserve moves to fight inflation. NextEra Energy Partners shares plunged 20%.
NextEra Energy (NEE) Stock Falls on Plans to Sell Florida City Gas
NextEra Energy (NYSE: NEE ) is among the companies in focus for many investors today. Shares of NEE stock are down more than 7% in early afternoon trading after the company announced the surprise sale of its Florida City Gas business yesterday.
NextEra Energy shares tumble on slashed growth outlook
NextEra Energy (NYSE:NEE) shares fell almost 7% after the diversified energy company slashed its long-term growth forecast. The company said Wednesday it was downwardly revising its limited partner distribution per unit growth rate to 5% to 8% per year through 2026, with a target growth rate of 6%.
ALE vs. NEE: Which Stock Is the Better Value Option?
Investors interested in stocks from the Utility - Electric Power sector have probably already heard of Allete (ALE) and NextEra Energy (NEE). But which of these two stocks is more attractive to value investors?
NextEra (NEE) to Sell Natural Gas Assets, Reaffirms Outlook
NextEra Energy (NEE) continues to focus on its core operations and decides to sell its non-core unit, Florida City Gas, for $923 million to Chesapeake Utilities Corporation.
NextEra Energy Partners, LP revises growth expectations and limits equity needs
Revises limited partner distribution per unit growth expectations to 5% to 8% per year through at least 2026, with a target of 6% growth Expects no growth equity until 2027 JUNO BEACH, Fla. , Sept. 27, 2023 /PRNewswire/ -- NextEra Energy Partners, LP (NYSE: NEP) today announced that it is revising its growth rate to better position the partnership to continue to deliver long-term value for unitholders.
3 No-Brainer Stocks to Buy With $200 Right Now
Although the major stock indexes have rallied in 2023, they remain well below record-closing highs. Most online brokerages have removed investment barriers, making it easier than ever for everyday investors to put their money to work.
NextEra Energy announces sale agreement for Florida City Gas and reaffirms long-term outlook
JUNO BEACH, Fla. , Sept. 26, 2023 /PRNewswire/ -- NextEra Energy, Inc. (NYSE: NEE) today announced its Florida Power &amp; Light Company (FPL) subsidiary has entered into a definitive agreement to sell Florida City Gas (FCG) to Chesapeake Utilities Corporation (NYSE: CPK) (Chesapeake Utilities) for $923 million in cash.
Chesapeake Utilities Corporation to Acquire Florida City Gas
Transformative acquisition more than doubles operations in high-growth Florida service areas Positions CPK to execute on additional growth opportunities in regulated and unregulated businesses Supports long-term earnings and dividend growth; increases capital investment plan; financing plan maintains strong balance sheet DOVER, Del., Sept. 26, 2023 /PRNewswire/ -- Chesapeake Utilities Corporation (NYSE: CPK) ("Chesapeake Utilities" or "the Company") today announced it has entered into a definitive agreement to acquire Florida City Gas ("FCG") from NextEra Energy, Inc. (NYSE: NEE) for $923 million in cash.
7 Rock-Solid Dividend Stocks to Ride Out the Rest of 2023
In the unpredictable financial landscape of 2023, leaning into dividend stocks to buy may be one of the wisest decisions an investor can make. It's not about sidelining the thrilling potential of tech pioneers; instead, it's about understanding the evolving market dynamics.
Duke Vs. NextEra: The Power Plays Changing Florida's Energy
NextEra Energy and Duke Energy are dominant players in Florida's electricity sector and present compelling investment opportunities. NextEra's focus on renewable energy aligns with the global push for sustainability, while Duke's diversification across multiple states offers a hedge against state-specific challenges. The ongoing shift to renewable energy requires significant capital expenditure, which can affect valuations and creditworthiness of utility companies.
NextEra Energy: A Compelling Dividend Growth Stock For The Future
NextEra Energy's share price has declined by -19.24% in 2023, presenting a potential buying opportunity. The company is well positioned to capitalize on the growth of renewables, particularly in solar and wind energy. NextEra is a profitable company with a strong dividend growth profile, making it an attractive investment option.
3 Climate Change Stocks to Profit From the Eco-Trends Boom
After a summer of record heat, raging wildfires, and extreme flooding around the globe. And the impacts of climate change are being felt even more acutely.
NextEra Energy announces appointment of Maria G. Henry to board of directors
JUNO BEACH, Fla. , Sept. 25, 2023 /PRNewswire/ -- NextEra Energy, Inc. (NYSE: NEE) announced the appointment of Maria G.
NextEra: Shares Fall To GARP Status, Technical Risks Remain In Play
The utilities sector is the worst-performing area of the S&amp;P 500 this year but has shown recent relative strength. NextEra Energy is the sector's biggest component and has a buy rating due to its growth story and appealing dividend strength. NEE reported strong Q2 results, with net income doubling and operating revenue jumping 42% from the same period last year.
The 3 Best Wind Stocks to Buy Now: September 2023
With the goal of reducing fossil fuels and achieving a cleaner climate, many nations have committed themselves to net zero status. The term refers to the balance between the amount of greenhouse gas (GHG) that's produced and the amount that's removed from the atmosphere.</t>
  </si>
  <si>
    <t>NextEra Energy</t>
  </si>
  <si>
    <t xml:space="preserve">
    Market Cap (intraday) 115.94B
         Enterprise Value 186.53B
             Trailing P/E   14.15
              Forward P/E   16.86
PEG Ratio (5 yr expected)    1.37
        Price/Sales (ttm)    4.25
         Price/Book (mrq)    2.59
 Enterprise Value/Revenue    6.92
  Enterprise Value/EBITDA   11.76</t>
  </si>
  <si>
    <t>Don't Miss the Boom: 7 Utilities Stocks Set to Explode Higher
Amid a still-stubbornly high backdrop of inflation, the narrative for utilities stocks to buy stands as a cynical bright spot. Basically, everyone must pay their bills associated with core services.
NiSource Inc. Announces Decision to Postpone the Remarketing of its Series C Mandatory Convertible Preferred Stock Due to Market Conditions
MERRILLVILLE, Ind. , Sept. 28, 2023 /PRNewswire/ -- NiSource Inc. (NYSE: NI) ("NiSource") announced today that due to market conditions it has decided to postpone at its option the remarketing of up to 862,500 shares of its Series C Mandatory Convertible Preferred Stock, par value $0.01 per share, with a liquidation preference of $1,000 per share (the "Mandatory Convertible Preferred Stock"), originally issued on April 19, 2021 as part of NiSource's equity units.</t>
  </si>
  <si>
    <t>NiSource</t>
  </si>
  <si>
    <t xml:space="preserve">
    Market Cap (intraday) 10.20B
         Enterprise Value 23.82B
             Trailing P/E  17.14
              Forward P/E  14.77
PEG Ratio (5 yr expected)   2.04
        Price/Sales (ttm)   1.88
         Price/Book (mrq)   1.68
 Enterprise Value/Revenue   4.07
  Enterprise Value/EBITDA  11.26</t>
  </si>
  <si>
    <t>The 7 Top Stocks to Buy for a Q4 Rebound
September lived up to its billing as the worst month of the year. Pulled lowered by the threat of higher interest rates, a looming government shutdown, and rising energy prices, U.S. indices ended September in the red.
Dow Stocks To Trade In October
This long and short equity strategy has generated superior returns based upon cycles and relative strength.
SKX vs. NKE: Which Stock Is the Better Value Option?
Investors looking for stocks in the Shoes and Retail Apparel sector might want to consider either Skechers (SKX) or Nike (NKE). But which of these two stocks is more attractive to value investors?
Ticking Time Bombs: 3 Large-Cap Stocks to Dump Before the Damage Is Done
Large-cap stocks are some of the largest corporations on the planet. Many of these stocks are household names that offer investors more safety than small and mid-cap stocks.
These 3 Dow Stocks Are Set to Soar in 2023 and Beyond
Salesforce should continue riding the economy's digital transformation. Visa is built to thrive through inflation.
3 Stocks to Avoid This Week
There are near-term concerns for RH, Cal-Maine, and Carvana this week. Revenue declines continue at RH, and a huge recent stock buyback looks like a big miss.
2 Stocks Under $100 You Can Buy and Hold Forever
Understanding a company's key strength can lead investors to stocks worthy of holding forever. Nike is the leading footwear brand, with a growing digital business.
2 Magnificent S&amp;P 500 Dividend Stocks Down 31% and 26% to Buy Hand Over Fist in October
Nike and Hershey both maintain steady profitability and impressive returns. Their dividends are sustainable, using less than half of each company's net income.
NIKE (NKE) Q1 Earnings Beat on Strong Retail Sales, Stock Gains
NIKE's (NKE) Q1 results reflect gains from strong retail sales across Nike Direct and the wholesale business, as well as compelling product innovation and digital leadership.
Nike's growth trajectory underestimated by the market, broker says, as shares sprint higher
Shares of Nike Inc (NYSE:NKE) added almost 7% late morning on Friday after the athletic apparel and footwear company posted a first quarter fiscal 2024 earnings beat driven by increased sales in the Latin America and Europe, Middle East and Africa (EMEA) regions. Analysts at UBS reiterated their ‘Buy' rating on Nike stock and US$150 price target following Nike's earnings report.
Why Nike Stock Popped Today
Nike easily beat bottom-line estimates in its fiscal first-quarter earnings report. The sportswear giant expects results to improve in the second half of the fiscal year.
Nike Shares Jump After Beating Profit Estimates and Cutting Inventory
Nike (NKE) shares were up over 6% in early trading on Friday as of 11 a.m. ET after the athletic apparel retailer posted better-than-expected profit and gross margin, and slashed its inventory.
Nike Is Soaring, but This Stock Has Been the Dow's Best in 2023
Markets regained some lost ground on Friday morning. Nike's latest financial results showed that it has made progress on getting its inventory down to more manageable levels while setting itself up for long-term growth.
NKE Stock Alert: 3 Key Reasons Nike Is Up 7% After Earnings
Shares of Nike (NYSE: NKE ) opened the day higher by about 10% after the apparel and footwear corporation reported its first-quarter earnings for fiscal year 2024. As evidenced by the share price appreciation, investors were quite happy with the numbers.
Nike Stock Bounces Off 2023 Lows After Profit Beat
Nike Inc  (NYSE:NKE ) announced better-than-expected fiscal first-quarter earnings of 94 cents per share after yesterday's close, though revenue missed estimates.
Inflation In Line With Expectations And Positive Nike News
It's been a tough quarter for investors, with interest rates soaring to levels not seen in over a decade.
Nike's earnings draw analyst praise as stock rallies
Nike Inc.'s results cheered Wall Street Friday as the stock notched double-digit percentage gains on its stronger-than-expected results and positive outlook.
Can Investors Win the Race with Dividend Achiever Nike?
Nike NYSE: NKE shares are sprinting higher after its FQ1 release. The takeaway from the report is that this leading shoe and apparel manufacturer's business is normalizing in the wake of the COVID bubble, and the stage is set for continued, long-term growth.
Nike Up 9% Premarket as Earnings Report Sparks Confidence
Nike reported fiscal Q1 2024 earnings and gross margins that beat Wall Street estimates, sending the shares up over 9% in the Friday premarket. The company's revenue missed analysts' expectations, but a broadly positive quarterly report offset the metric.
JD Sports, Adidas, Puma all soar as Nike update highlights decent US sales
JD Sports, Adidas and Pumas all benefitted as investors read across from a strong trading update from rival Nike overnight. UK-listed JD was one of the top blue-chip risers adding though more direct competitors Adidas, up 7% and Puma, up 6.5%, did even better.
Latest News: UAW, PGA, Disney, Nike, Apple
United Auto Workers president Shawn Fain will announce the union's next move at 10 am ET on Friday.
Nike Clears a Low Bar With Investors
Manageable expectations and an attractive valuation set the stage for a post-earnings bounce
Nike Rises on Sportswear Hopes. What Analysts Say.
Nike's earnings boosted rivals such as On Holding, Foot Locker and Under Armour. Here's what Wall Street think the report means for the sportswear sector.
Nike stock rallies after earnings beat, boosting Foot Locker shares
Nike shares NKE, +0.23% rallied 8% as the apparel maker that's also part of the Dow Jones Industrial Average DJIA reported better-than-expected earnings, news that also lifted shares of European rivals including Adidas ADS, +6.12%.
NIKE, Inc. (NKE) Q1 2024 Earnings Call Transcript
NIKE, Inc. (NYSE:NKE ) Q1 2024 Earnings Conference Call September 28, 2023 5:00 PM ET Company Participants Paul Trussell - VP, IR and Strategic Finance John Donahoe - President and CEO Matt Friend - CFO Conference Call Participants Robert Drbul - Guggenheim Partners Adrienne Yih - Barclays Alex Straton - Morgan Stanley Matthew Boss - JPMorgan Jay Sole - UBS Piral Dadhania - RBC Jonathan Komp - Baird Aneesha Sherman - Bernstein Operator Good afternoon, everyone. Welcome to NIKE, Inc.'s Fiscal 2024 First Quarter Conference Call.
Markets Fight into the Green; NIKE Mixed After-Hours
Gross Margins for NIKE (NKE) dipped a tad to 44.2% from 44.3% in the year-ago quarter -- still decent considering the inflation headwinds.
Nike (NKE) Q1 Earnings: Taking a Look at Key Metrics Versus Estimates
The headline numbers for Nike (NKE) give insight into how the company performed in the quarter ended August 2023, but it may be worthwhile to compare some of its key metrics to Wall Street estimates and the year-ago actuals.
Nike (NKE) Q1 Earnings Beat Estimates
Nike (NKE) came out with quarterly earnings of $0.94 per share, beating the Zacks Consensus Estimate of $0.74 per share. This compares to earnings of $0.93 per share a year ago.
Nike Q1 earnings: ‘I think this brand is still very solid'
Nike Inc (NYSE: NKE) is trending up in extended hours even though its revenue came in shy of Street estimates in the fiscal first quarter. Why is Nike stock holding up?
Nike stock pushes higher on 3Q earnings beat, growing European sales
Nike Inc (NYSE:NKE) shares climbed 3.5% in extended trading Thursday after the shoe and apparel retailer topped earnings expectations with its fiscal third-quarter results.  For the quarter ended August 31, adjusted earnings came in at $0.94 per share, compared to $0.93 a year earlier and above expectations of $0.75 per share.
Nike stock rises as profit beats estimates and inventories fall
Nike Inc. on Thursday reported a fiscal first-quarter profit that beat expectations, although revenue came up just shy of Wall Street's estimates, amid a drop in sales for Converse sneakers.
Nike misses revenue expectations for the first time in two years, beats on earnings and gross margin
Nike fell short of revenue expectations during its fiscal first quarter but beat on earnings and margins.
NIKE, Inc. Reports Fiscal 2024 First Quarter Results
BEAVERTON, Ore.--(BUSINESS WIRE)--NIKE, Inc. (NYSE:NKE) today reported fiscal 2024 financial results for its first quarter ended August 31, 2023. First quarter revenues were $12.9 billion, up 2 percent compared to prior year on a reported and currency-neutral basis* NIKE Direct revenues were $5.4 billion, up 6 percent compared to prior year on a reported and currency-neutral basis with growth across all geographies NIKE Brand Digital sales increased 2 percent on a reported and currency-neutral.
Nine Dow Stocks Are So Oversold They're 'Falling Off The Page'
The September sell-off in Dow Jones and S&amp;P 500 stocks is getting so intense, some wonder if it's already overdone.
Is It Time to Buy This Forever Stock on the Dip?
A powerful and durable brand has made Nike successful year after year. Management's focus on digital investments will help the company maintain its standing.
Smart Picks: 7 Blue-Chips Trading Below True Value
Blue-chip stocks are shares of well-established, stable firms that pay dividends in most cases. It's that combination of stability and dividend income that makes them so attractive.
Is It Time to Buy the Dow's 3 Worst-Performing Stocks This Year?
Walgreens' expansion efforts haven't boosted profits. Nike's growth has slowed, but it still retains a powerful brand.
Nike Earnings Are Today. Wall Street Is Torn Over What to Expect.
With demand for athletic wear slowing, the debate between the bears and the bulls rages on.
What Stocks To Buy Today? 2 Consumer Discretionary Stocks To Watch
Consumer discretionary stocks to watch in the stock market now.
Earnings Previews: BlackBerry, Carnival, Nike
After U.S. markets closed on Tuesday, Costco reported revenue and earnings per share (EPS) that were better than expected.
Nike Stock: Analysts Slash Price Targets On Battered Dow Giant Ahead Of Earnings
Dow giant Nike faces soft U.S. sales and China macroeconomic headwinds with Q1 results due Thursday.
4 Dow Stocks Are Down Over 15% in 2023. Here's My Top Pick of the 4 to Buy Now.
Verizon, Walgreens Boots Alliance, and 3M have dividends all yielding over 6%. Business fundamentals are deteriorating for all three companies.
Nike will look to China, Latin America to make up for shrinking North America revenue when it reports Thursday
Nike Inc (NYSE:NKE) plans to report earnings after the closing bell on Thursday, an investors will be watching for the apparel company's regional revenue mix.  Revenue for the period is expected to climb 2.5% year-over-year to $13.01 billion.
Jefferies Warns End of Student Loan Forgiveness Could Impact Nike's Sales
Nike (NKE) shares were lower in early trading on Monday after Jefferies indicated the athletic apparel retailer's sales could be hurt as the ending of the student loan payback moratorium cuts into spending by younger customers.
Nike Stock: 3 Reasons To Buy Ahead Of Q1 Earnings
NKE looks attractive ahead of its Q1 earnings report following a sharp selloff in recent months. Expectations for Nike's earnings are low, but we see potential for the company to beat estimates. NKE appears over-sold and undervalued setting up a potential rally going forward.
The 2 Stocks Investors Must Watch This Week
Markets have been struggling for direction lately. Nike's earnings report is likely to show continued sluggishness in sales growth and pressure on profits.
Analyst: Chinese Macro Headwinds Threaten Blue-Chip Stock
Jefferies downgraded blue-chip apparel maker Nike Inc (NYSE:NKE) to "hold" from "buy," and cut its price target to $100 from $140.
3 Stocks to Avoid This Week
There are near-term concerns for Opendoor, Nike, and Carvana this week. Revenue declines continue at Opendoor and Carvana, and last week's Fed moves make these even more challenging business models.
Beware! 3 Dow Stocks Waving Massive Red Flags Right Now
The Dow Jones Industrial Average has a lengthy history. Charles Dow created the index in 1896 and introduced it in the Wall Street Journal.
3 Top E-Commerce Stocks to Buy Right Now
Nike is primed to boost profitability in the coming year. Shopify is becoming more efficient now that it has exited the logistics business.
Paramount Global and Netflix stock boosted by possible end to writer's strike as Nike shares slip on downgrade
Paramount Global PARA stock rose 3% and Netflix shares NFLX rose 1%, as the Writers Guild of America said a tentative deal has been reached to end the screenwriters strike after nearly five months.
High Quality Dividend Growth Near 52-Week Lows: Nike Is Still Next-Level
Several high-quality dividend growth stocks that are trading near 52-week lows and at a discount to their fair value based on Historical and Future valuations are highlighted. An in-depth update for Nike is completed, and it appears to be attractively valued for long-term investment. Other companies that may also be attractively valued include: ResMed, MarketAxess, NextEra Energy, QUALCOMM, Pfizer, Bristol-Myers Squibb, and Elevance Health.
Costco, Nike, and More Stocks to Watch This Week
Earnings reports from Costco, Cintas, Micron, Accenture, CarMax, Nike, and Carnival. Plus, core PCE inflation data, consumer confidence, and more.</t>
  </si>
  <si>
    <t>Nike, Inc.</t>
  </si>
  <si>
    <t xml:space="preserve">
    Market Cap (intraday) 146.30B
         Enterprise Value 149.68B
             Trailing P/E   29.51
              Forward P/E   25.84
PEG Ratio (5 yr expected)    1.77
        Price/Sales (ttm)    2.90
         Price/Book (mrq)   10.47
 Enterprise Value/Revenue    2.91
  Enterprise Value/EBITDA   25.70</t>
  </si>
  <si>
    <t>Northern Trust Poised to Support MiFID II Managers Responding to Upcoming Regulatory Changes
LONDON--(BUSINESS WIRE)--Following the expiration of the U.S. Securities and Exchange Commission's (SEC) No Action Letter relating to research payments on July 3, 2023, Northern Trust (Nasdaq: NTRS) is working to find solutions for MiFID II managers facing potential difficulties paying US bank research providers. “The recent US regulatory developments combined with potential changes in research funding regulations in the UK and EU may present both challenges and opportunities for asset managers.</t>
  </si>
  <si>
    <t>Northern Trust</t>
  </si>
  <si>
    <t xml:space="preserve">
    Market Cap (intraday) 14.38B
         Enterprise Value    NaN
             Trailing P/E  12.45
              Forward P/E  10.81
PEG Ratio (5 yr expected)   1.42
        Price/Sales (ttm)   2.14
         Price/Book (mrq)   1.34
 Enterprise Value/Revenue    NaN
  Enterprise Value/EBITDA    NaN</t>
  </si>
  <si>
    <t>Regulators expand investigation into 700K Ford trucks, SUVs over engine issues
U.S. safety regulators are widening a probe into certain Ford and Lincoln truck and SUV models built with a faulty valve that can lead to catastrophic engine failures.
US expands probe of 709,000 Ford SUVs, trucks over engine failures
Regulators said that under normal driving conditions the engines can lose power due to catastrophic engine failure related to allegedly faulty valves.
UAW strike against Ford, GM, Stellantis cost US economy nearly $4B so far
The United Auto Workers' strike against Detroit's Big Three automakers is in its third week, and has so far cost $3.95 billion in losses to the U.S. economy.
Best Income Stocks to Buy for October 2nd
ASC, F and EMR made it to the Zacks Rank #1 (Strong Buy) income stocks list on October 2, 2023.
Best Value Stocks to Buy for October 2nd
F, ASC and SM made it to the Zacks Rank #1 (Strong Buy) value stocks list on October 2, 2023.
From UPS to Detroit Three automakers, US labor unions flex muscle
A tight U.S. labor market, the expiry of union contracts and high living costs have led to tough negotiations for pay hikes and benefits from workers and triggered strikes and protests across industries.
10 Cheap Value Stocks Are Poised To Report Massive Profit Growth
Just because a stock is considered a "value" doesn't mean it can't grow like crazy. In fact, many S&amp;P 500 value stocks may do just that.
US expands, upgrades probe into 708,000 Ford SUVs over engine failures
The National Highway Traffic Safety Administration said on Monday it is upgrading and expanding its investigation into 708,000 Ford Motor sport utility vehicles over catastrophic engine failures tied to a faulty valve.
U.S. Auto Sales Set To Rise In Q3. Here's How Much GM, Ford May Gain.
Citing expectations for strong auto sales in Q3, some analysts have hiked their forecast for the full year.
Ticking Time Bombs: 3 Auto Stocks to Dump Before the Damage Is Done
The so-called “Big Three” auto companies have become auto stocks to sell. They have been impacted very negatively as a result of the ongoing United Auto Worker (UAW) strikes.
UAW Reaches Deal With Mack Trucks. What It Means for Ford and GM.
The union says that nearly 4,000 of the truck maker's workers in Pennsylvania, Maryland and Florida struck a tentative deal just before the Sunday deadline.
UAW strike, jobs report and Tesla deliveries top Wall Street's week ahead
Wall Street is keeping close tabs on the UAW strike against Ford, GM and Stellantis as it drags into its third week as well as three key reports on the job market.
Amid CEO Controversy, Ford's Stock Holds Strong
Based on comments by Ford management, their stock should be plummeting. The CEO, Jim Farley, made inaccurate remarks about the company facing bankruptcy and accused the UAW of holding a labor contract hostage, referring to negotiations over pay and benefits.
Ford CEO says UAW holding labor deal 'hostage' over fate of battery plants
Ford Motor Chief Executive Jim Farley on Friday accused the United Auto Workers union of holding up a new U.S. labor agreement in a bid to force the automaker to pay workers at new battery plants the same top wages as workers at assembly plants.
Ford To Make An Electric Mustang Mach-E, For Fans Of Off-Highway Road Rallies
Ford says the Mustang Mach-E Rally is the first EV with a trim and equipment package aimed at the road rally performance niche.
The Score: Ford, Amazon, Target and More Stocks That Defined the Week
Here are some of the major companies whose stocks moved on the week's news.
Ford warns extended UAW strike could result in up to 500,000 employee layoffs
Following the United Auto Workers' announcement extending strike to another Ford assembly plant, the automaker's supply chain chief said up to 500,000 jobs are at risk.
Ford: No Way Out From The UAW Pain
Ford's prospects remain mixed due to the lack of EV production scale, pulling down the company's overall profitability. Its EV adoption is plateauing as demonstrated by the growing inventory/slower sales, worsened by the higher borrowing costs of 7.4% compared to the 2019 average of 4.63%. The UAW strike has already triggered furloughed headcounts and idled production, potentially impacting its near-term deliveries.
Ford: Why UAW-Driven Bankruptcy Concerns Are Overblown
Ford Motor Company is better prepared to avoid bankruptcy than shrill headlines surrounding the UAW strikes would suggest. Finding opportunities for alpha rarely involves buying opportunities that feel risk-free, but overly negative sentiment is a great opportunity. Identifying and countertrading the crowd's false assumptions and beliefs can be a way to find alpha in the market.
Ford's Battery Saga: A Glimpse Into The Turbulent EV Transition
The chairs of the three most powerful House committees have threatened to subpoena Ford if it does not provide documents detailing a deal with China's CATL battery maker.
UAW Strike Is Effectively Messy Now, But End Game May Not Turn Out Well
United Auto Workers president Shawn Fain is using unprecedented tactics and fiery rhetoric in the strike. But that may not save the union in the long run.
United Auto Workers ratchet up strikes against GM and Ford, leave Stellantis as is
The United Auto Workers has expanded its strike against the big three automakers with workers at an additional General Motors Company (NYSE:GM) and Ford Motor Company (NYSE:F) plant each joining the cause, UAW President Shawn Fain announced Friday.  Specifically, new strikes are targeting GM's Lansing Delta Township plant in Michigan which builds the Buick Enclave and Chevrolet Traverse crossovers, and Ford's Chicago Assembly plant in Illinois, which produces the Ford Explorer and Lincoln Aviator SUVs.
Ford CEO says UAW is 'holding the deal hostage' over EV battery plants
Multibillion-dollar EV battery plants are crucial to the automotive industry's future and uniquely positioned to have wide-ranging implications for the UAW,
Detroit Three facilities where UAW is on strike
The United Auto Workers will walk off the job at an additional plant each at General Motors and Ford Motor , but will spare Chrysler parent Stellantis after last-minute concessions, chief Shawn Fain said on Friday.
Explainer: UAW expands strike against GM, Ford in Week 3, spares Stellantis
The United Auto Workers (UAW) union on Friday expanded its coordinated U.S. strike, this time targeting a plant at General Motors and Ford Motor but refraining from an additional walkout from Chrysler parent Stellantis.
VIEW UAW set to expand strike at Ford, GM
The United Auto Workers will walk off the job at an additional plant each at General Motors and Ford , but will spare Stellantis after last-minutes concessions by the Chrysler parent, union president Shawn Fain said on Friday.
UAW Expands Strike Against GM and Ford, Sparing Stellantis After Last-Minute Progress
The United Auto Workers (UAW) expanded its strike against General Motors (GM) and Ford (F), but not Stellantis (STLA), citing progress in negotiations right before Friday's deadline.
UAW expanding strike to Ford, GM plants in Chicago, Lansing — picket lines at 25K
"Despite our willingness to bargain Ford and GM have refused to make meaningful progress," UAW President Shawn Fain said.
‘Fed up' US autoworkers expand strikes against GM and Ford
UAW president Shawn Fain says members ‘fed up with corporate greed' as another 7,000 workers to strike at GM and Ford plants
UAW Widens Strike, Adds Ford, Gives Stellantis a Break
In a Friday morning announcement, United Auto Workers union President Shawn Fain announced that a total of 7,000 more UAW members will strike Ford Motor Co. (NYSE: F) and General Motors Co. (NYSE: GM) assembly plants in Chicago and Lansing, Michigan, respectively, beginning at noon ET Friday.
UAW to expand strike at Ford, General Motors
The United Auto Workers (UAW) union will walk off the job at an additional plant at General Motors and at Ford, President Shawn Fain said on Friday, as the first-ever simultaneous strike against the Detroit Three automakers enters its third week.
UAW strike expands to 25,000 workers after new call for walkouts at GM, Ford plants
The United Auto Workers strike is set to expand Friday at noon Eastern time at a Ford Motor assembly plant in Chicago and a General Motors plant in Delta Township, Mich., a move that would bring the total number of striking auto workers to about 25,000.
Autoworkers Expand Strike At Ford And GM—But Not Stellantis
UAW's strike against the big three is entering its third week.
UAW to expand strike at Ford and GM, Fain says
The United Auto Workers union is expanding its strike to additional facilities of automakers Ford and GM, the UAW head said on Friday, adding that additional Stellantis members will not be called to go on strike.
Autoworkers Union Expands Strike To More Factories
The union's president called on more workers to walk out at Ford and General Motors, but cited progress at Stellantis.
U.A.W. Will Expand Strikes at Ford and G.M.
The United Automobile Workers union said more of its members would walk off the job two weeks after it began strikes at the Big Three automakers.
UAW announces new strikes at GM and Ford plants, spares Stellantis citing 'momentum' in talks
The additional strikes come one week after a similar strike expansion at GM and Stellantis.
Autoworkers strike could expand significantly again
The United Auto Workers' strike against General Motors, Ford and Stellantis, which makes cars under the Chrysler, Dodge, Jeep and Ram brands, has entered its 15th day. Follow here for the latest.
Latest News: UAW, PGA, Disney, Nike, Apple
United Auto Workers president Shawn Fain will announce the union's next move at 10 am ET on Friday.
Automakers grow frustrated over pace of UAW negotiations as new deadline looms
Frustrations remain around key economic demands and what some see as a lack of urgency by the union to reach a deal, according to people familiar.
UAW Strike Compromise Hopes Rise, Lifting Auto Stocks. But It Could Get Worse.
Auto stocks rose Thursday on a report that striking autoworkers are lowering pay raise demands. But a Friday deadline looms.
What Would Happen To Michigan's Communities If Ford And GM Left?
The closing of a factory or plant does not have to be the end of the story. Places can reinvent themselves, and in the process build an even stronger community.
GM reportedly slammed Ford over its plan to use Chinese battery technology in EVs
General Motors and Ford appear to be feuding over the use of Chinese battery technology in electric cars.  GM executives have reportedly warned that Ford's use of the tech could give China a boost.
U.A.W. Strike Strains a Fragile Auto Supply Chain
Prolonged and expanding strikes by the United Automobile Workers union could hurt drivers, car dealers and auto parts suppliers.
Ford Family Gets $42 Million, GM Management $3 Million
24/7 Wall St. asked Ford management to tell us how much the Ford family makes from the dividends on the shares they own.
Ford's Factory Halt Is a Loss for Auto Workers and Consumers. Here's Why.
Ford is pausing construction of a Michigan battery plant. It's a complicated decision based on labor and geopolitics, and there are no clear winners.
Ford: Block Out The Negative Headlines And Follow The Buy Signals
Since my previous update, Ford Motor Company investors have outperformed the S&amp;P 500 well before the historic UAW strike even started. The Company has made more constructive progress with the UAW than its peers, but a favorable outcome is not guaranteed. F could be more exposed to UAW demands if the union adds more pressure, potentially impacting the company's bottom line and EV transition ambitions.
GM, Ford, Stellantis could reportedly see more UAW strikes this week
United Auto Workers strikes at more plants belonging to General Motors, Stellantis and Ford could reportedly come Friday, depending on the status of negotiations.
More UAW Strikes Could Be Coming. Why This Might Not End Soon.
The UAW said it is prepared to announce more strike targets on Friday, "barring significant progress."
UAW could expand strike again on Friday
United Auto Workers President Shawn Fain is scheduled to address union members at 10 a.m. Eastern time on Friday and could announce new strike targets if there's no progress in the negotiations, the union said Wednesday.
Autoworkers union may expand its strike again
The United Auto Workers union is preparing to announce a possible expansion of its strike against General Motors, Stellantis and maybe Ford this Friday if there isn't more progress in talks, a union source familiar with plans said Wednesday.
UAW again threatens to expand strikes at Detroit automakers if progress isn't made by Friday
Auto workers initially went on strike on Sept. 15, shutting down one assembly plant each for GM, Ford and Stellantis.
UAW plans to strike additional auto targets absent serious progress Friday -- source
The United Auto Workers (UAW) union plans to strike additional Detroit Three automotive facilities on Friday absent serious progress, a source told Reuters.
US lawmakers push Ford to hand over documents on battery deal with China's CATL
Ford may have paused its plans to build a $3.5 billion EV battery factory with CATL, but it hasn't relieved pressure from Republican U.S. lawmakers who are investigating the automaker's agreement with the Chinese company.
Republicans threaten to subpoena Ford over project involving Chinese company
Ford Motor Company is facing a congressional subpoena over its partnership with a Chinese battery company to build a factory in southern Michigan.
Biden supports UAW bargaining for a 40% raise — Elon Musk says it would bankrupt the automakers
After President Biden joined the United Auto Workers picket line and expressed his support for a 40% wage increase, Elon Musk took to X to align himself with the automakers.  UAW workers, which are striking General Motors Company (NYSE:GM), Ford Motor Company (NYSE:F) and Stellantis NV (NYSE:STLA, EPA:STLA)simultaneously, “deserve a significant raise,” Biden told picketers.
Ford Motor Company (F) Is a Trending Stock: Facts to Know Before Betting on It
Recently, Zacks.com users have been paying close attention to Ford Motor Company (F). This makes it worthwhile to examine what the stock has in store.
UAW strikes threaten already vulnerable auto parts suppliers
In the face of prolonged strikes, some smaller suppliers are cutting workers or announcing plans to do so.
Ford (F) Pauses $3.5B Battery Plant Amid EV Tech Conundrum
Criticism over the use of Chinese tech and the UAW strike may be the reason behind Ford's (F) temporary suspension of its EV battery plant in the Marshall area.
Better Dividend Stock to Buy Today: Ford vs. UPS
Investing in either of these stocks could increase passive income.
Elon Musk says UAW demands will ‘bankrupt' auto makers ‘in the fast lane'
Elon Musk said demands by the United Auto Workers could quickly bankrupt the big auto makers as the strike by the UAW drew unprecedented support from President Joe Biden.
Elon Musk says the UAW's strike demands will drive America's big 3 automakers 'bankrupt'
Elon Musk hit out at the United Auto Workers in a post on X on Tuesday.  The Tesla CEO said the union's demands would "drive GM, Ford and Chrysler bankrupt".
US lawmakers demand documents on Ford battery partnership with CATL
The chairs of three U.S. House of Representatives committees demanded Ford Motor turn over documents tied to its partnership with Chinese battery company CATL and threatened to call CEO Jim Farley to testify before Congress.
Analysis: Tesla's rivals scrap for thin slices of US EV sales
Ford Motor's decision to hit the brakes on a planned $3.5 billion battery plant in Michigan highlights a challenge for Tesla's growing crowd of rivals in the U.S. market: Tesla is pushing most of them into unprofitable, low-volume niches.
Rocket Stocks: 3 Investments Primed to Skyrocket by Year's End
Some companies stand out as genuine contenders for explosive growth and substantial gains in the stock market. The article lists three stocks to buy now that have thrived thanks to their innovative strategies and adaptability in the face of change.
This Ford vs. GM Feud Could Shape the Future of EVs in America
The Biden administration's decision on a $7,500 tax credit could determine China's role in the U.S. electric-vehicle industry.
Tesla CEO Elon Musk Says UAW Demands Could Bankrupt Ford, GM
President Biden supported the UAW's demands for a 40% pay increase as he joined the picket line in Michigan.
House CCP chair applauds Ford for pausing China-linked project amid congressional probes
The top Republican of the House Select Committee on the Chinese Communist Party applauded Ford's move to pause construction of a factory in conjunction with a Chinese company.
UAW strike brings fight to consumers, worsening car-parts shortages already plaguing the industry
The United Auto Workers strike has brought the threat of service and maintenance disruptions, just as wait times at the dealerships were already getting long.
Biden tells UAW picket line: ‘Stick with it, because you deserve a significant raise'
President Joe Biden offered praise and encouragement Tuesday to striking members of the United Auto Workers union, as he took the unprecedented step of joining them at a picket line in Belleville, Mich.
Ford (F) Suspends $3.5B Michigan Battery Plant's Production
Ford (F) halts production at its $3.5-billion battery facility in Michigan amid the UAW strike.
The UAW Strike Is Not All Bad News for Consumers: Here's Why
The United States is experiencing a significant surge in labor strikes, involving various unions and industries. The result of these strikes is a cumulative 4.1 million lost workdays last month, the highest in over two decades.
Ford (F) Strikes a Three-Year Collective Agreement With Unifor
Ford (F) clinches a pivotal three-year deal with Canada's Unifor union, promising significant wage hikes and enhanced benefits. The move might set the tone for deals with Stellantis and General Motors.
EV Stocks Alert: Is Ford Giving Up on Electric Vehicles?
Ford (NYSE: F ) recently paused work on its $3.5 billion battery plant in Michigan as analysts fret about the legacy automaker's future in electric vehicles (EVs). Now, F stock is trading slightly lower today.
Ford Motor ‘pauses' construction of Michigan EV battery plant
Ford Motor Co announced on Monday that it is “pausing” construction of a $3.5 billion electric vehicle (EV) battery plant in Marshall, Michigan until it is confident it can run the factory competitively.   The auto giant said the move comes as it plans to limit spending for the time being, although according to a Ford spokesperson no final decisions have been made about its investment in a new lithium iron phosphate (LFP) EV battery plant about 100 miles west of Detroit, The Detroit News reported.
Ford Puts $3.5 Billion Michigan EV Battery Plant on Hold
Amid heightened political scrutiny and a strike by the United Auto Workers (UAW) union, Ford (F) said it will put on hold its $3.5 billion electric vehicle (EV) battery plant in Michigan.
Ford: Don't Be Fooled By The Smoke And Mirrors Show
Ford Motor Company stock and the dividend are at risk of falling and being cut due to the UAW strike and increased costs. The high prices of Ford's electric vehicle lineup and the lack of demand for EVs among the majority of Americans pose challenges for the company. The inadequate charging infrastructure and the possibility of an upcoming recession further contribute to Ford's troubles.
Biden Heads for the Barricades
After little more than a week, the United Auto Workers (UAW) strike gets a visit Tuesday from President Biden, who will travel to Michigan to join the picket line.
Why Ford Has Been More Willing to Work With the UAW Than GM or Stellantis.
Ford is doing better with labor than either GM or Stellantis. How Come? And is that good news for the stock?
Time to Buy or Stay Clear of General Motors and Ford Stock as UAW Strike Continues?
Investors may be wondering if they should still buy General Motors (GM) and Ford (F) stock for longer-term opportunities or stay clear at the moment.
Ford halts work on $3.5B EV battery factory with China's CATL
Ford confirmed Monday it has immediately stopped work at a $3.5 billion factory in Michigan that was supposed to make cheaper lithium iron phosphate batteries using tech from China's CATL.
Ford pausing work on $3.5 billion Michigan electric vehicle battery plant
Ford is pausing work on a new, $3.5 billion electric vehicle battery plant in Michigan, even as the transition to electric vehicles has become a major sticking point in a United Auto Workers strike against automakers Ford, GM and Stellantis.
Ford pauses $3.5 billion battery plant in Michigan
Ford Motor Co. said late Monday it has halted work on a $3.5 billion battery factory in Michigan, just days after the carmaker made concessions to its striking workers.
Ford suddenly pauses massive EV battery project that Republicans are probing over CCP ties
Ford Motor Company is backtracking on a billion-dollar project that it has received heavy criticism for over its ties to a Chinese battery company.
Ford says ‘significant gaps' remain in UAW strike negotiations
Ford says that despite progress there are "significant gaps" between the company and the UAW on key economic issues amid the union's strike against Detroit's Big Three.
Ford pauses work on $3.5 billion battery plant in Michigan
Ford Motor said Monday it has paused work on a $3.5 billion battery plant in Michigan, citing concerns about its ability to competitively operate the plant.
Ford Deal With Canada's Unifor Could Add Pressure on Big Three Negotiations With UAW
Canadian labor union Unifor ratified a new contract with Ford on Sunday, in a move that could add pressure on the Big Three automakers to reach an agreement with striking auto workers in the U.S.
7 Stocks to Buy for the Blue-Collar Bull Market
Labor and industry and flexing their muscles right now in what is being called a worker's market. Autoworkers are on strike.
UAW Strike Escalates: Who Stands to Gain and Lose?
UAW strike intensifies, affecting the U.S. auto industry, legacy automakers, suppliers, and the steel industry. Tesla and other non-unionized manufacturers may gain, but consumers may feel the pinch if the strike drags on.
Ford Didn't Make a Deal
As the United Auto Workers (UAW) union expanded its strike from a few plants operated by Ford, General Motors and Stellantis to more plants that provide parts, the union said Ford Motor Co.
Ford says ‘significant gaps' remain in UAW talks as it ratifies agreement with Canadian union
Ford Motor Company (NYSE:F) said that although “significant progress” has been made in some areas, there are still “significant gaps” to close on key economic issues as works to reach a new labor agreement with auto workers represented by the United Auto Workers (UAW) union.  “In the end, the issues are interconnected and must work within an overall agreement that supports our mutual success,” Ford said in a statement following negotiations over the weekend.
One Auto Union Has Settled. Here Is What It Got From Ford.
Ford Motor and Unifor, a union representing Canadian hourly employees, reach a new, three-year labor deal.
Unifor reaches agreement with Ford in Canada, represented workers to receive wage, pension gains
Canadian labor union Unifor announced Sunday its members voted to ratify a three-year contract with Ford Motor, which includes gains in wages and pension plans.
Ford says 'significant gaps' remain to reach UAW contract deal
Ford Motor said late on Sunday that it still has "significant gaps to close" on key economic issues to reach a new labor agreement with the United Auto Workers union.
Canadian autoworkers ratify new labor agreement with Ford
Canadian autoworkers ratified a new labor agreement with Ford Motor Co. on Sunday, averting a threatened strike and potentially setting a precedent that could play out in the United Auto Workers' strike at automaker facilities in the U.S.
Workers with Canadian union Unifor vote in favor of Ford contract
Canadian labor union Unifor said on Sunday its members had voted to ratify a new contract with Ford Motor , a relief for the Detroit automaker locked in a separate tussle with its U.S. union over demands for better pay and benefits in the country.
Fed's Wall of Worry: Government shutdown, UAW strike, student loan repayments and $90 oil
While the Federal Reserve has been busy battling inflation, a new crop of headwinds have emerged that could spell trouble for the U.S. economy</t>
  </si>
  <si>
    <t>Ford Motor Company</t>
  </si>
  <si>
    <t xml:space="preserve">
    Market Cap (intraday)  49.71B
         Enterprise Value 151.74B
             Trailing P/E   12.06
              Forward P/E    6.25
PEG Ratio (5 yr expected)    0.65
        Price/Sales (ttm)    0.29
         Price/Book (mrq)    1.14
 Enterprise Value/Revenue    0.89
  Enterprise Value/EBITDA    7.39</t>
  </si>
  <si>
    <t>Fortive Schedules Third Quarter 2023 Earnings Conference Call
EVERETT, Wash.--(BUSINESS WIRE)--Fortive Corporation (“Fortive”) (NYSE: FTV) today announced that it will webcast its earnings conference call for the third quarter 2023 on Wednesday, October 25, 2023 beginning at 12:00 p.m. ET and lasting approximately 1 hour. The call and an accompanying slide presentation will be webcast on the "Investors" section of Fortive's website, www.fortive.com, under "Events/Presentations." A replay of the webcast will be available at the same location shortly after.</t>
  </si>
  <si>
    <t>Fortive</t>
  </si>
  <si>
    <t xml:space="preserve">
    Market Cap (intraday) 26.11B
         Enterprise Value 28.37B
             Trailing P/E  33.11
              Forward P/E  19.72
PEG Ratio (5 yr expected)   1.81
        Price/Sales (ttm)   4.43
         Price/Book (mrq)   2.62
 Enterprise Value/Revenue   4.75
  Enterprise Value/EBITDA  18.76</t>
  </si>
  <si>
    <t>The 7 Top Stocks to Buy for a Q4 Rebound
September lived up to its billing as the worst month of the year. Pulled lowered by the threat of higher interest rates, a looming government shutdown, and rising energy prices, U.S. indices ended September in the red.
Big Food vs. Big Pharma: Companies bet on snacking just as weight loss drugs boom
Kellogg, J.M. Smucker and other food companies are making big bets on snacking, but the rise of Wegovy and Ozempic could pose a threat to future sales growth.
General Mills: Still A Tough Place
General Mills is facing volume challenges and weaker underlying trends, leading to a re-rating of its stock. General Mills' first quarter sales increased, but volume trends and moderating inflation are causing pressure on margins. The composition of growth and higher interest rates makes me cautious to buy just yet, although we are nearing interesting entry opportunities.
Down About 30%, Yielding 4% - How Attractive Is General Mills?
General Mills faces challenges with its stock price due to concerns over inflation and declining consumer confidence. The company's 1Q24 results showed promise in terms of net sales growth, but market share and competition remain challenges. General Mills is actively working on business improvements, has increased its dividend, and has strong free cash flow, making it an attractive option for income investors.
4 Dividend Stocks to Buy in Fall 2023
The American stock market has struggled in September 2023, a historically volatile month. The combination of higher interest rates and oil prices has taken the wind out of the market's momentum.
Should Investors Buy General Electric or General Mills Stock Right Now?
Adding industry conglomerates to the portfolio is typically a sound decision and seeing if General Electric (GE) or General Mills (GIS) fit the bill is a worthy conversation.
General Mills Quarterly Dividend Declared
MINNEAPOLIS--(BUSINESS WIRE)--The General Mills Board of Directors has declared a quarterly dividend at the prevailing rate of $0.59 per share, payable November 1, 2023, to shareholders of record as of October 10, 2023. General Mills (NYSE: GIS) and its predecessor company have paid dividends without interruption for 125 years. # # # About General Mills General Mills makes food the world loves. The company is guided by its Accelerate strategy to drive shareholder value by boldly building its br.</t>
  </si>
  <si>
    <t>General Mills</t>
  </si>
  <si>
    <t xml:space="preserve">
    Market Cap (intraday) 37.20B
         Enterprise Value 48.99B
             Trailing P/E  15.61
              Forward P/E  14.06
PEG Ratio (5 yr expected)   1.91
        Price/Sales (ttm)   1.89
         Price/Book (mrq)   3.62
 Enterprise Value/Revenue   2.42
  Enterprise Value/EBITDA  11.23</t>
  </si>
  <si>
    <t>Have $500? 2 Absurdly Cheap Stocks Long-Term Investors Should Buy Right Now
Etsy's unique marketplace continues to attract more sellers and buyers. One of China's leading e-commerce companies is laying the foundation for profitable growth that could send its stock soaring.
3 Top Stocks to Buy for the Long Haul
Roku is benefiting from the shift to television streaming. Etsy is tapping into the growth of e-commerce.
3 Magnificent Growth Stocks That Can Turn $250,000 Into $1 Million by 2035
Time has long been investors' greatest ally. Three fast-paced companies have the tools and intangibles necessary to quadruple investors' money over the coming 12 years.
2 Top Growth Stocks Down 16% and 43% to Invest $1,000 in Right Now
Many former high-flyers have been beaten down over the past 12 to 18 months. Teladoc looks to be getting back on track after a series of tough financial reports.
Ticking Time Bombs: 3 E-Commerce Stocks to Dump Before the Damage Is Done
Inflation has been a recurring theme of the economy, but it's gotten extra hot in recent years. Reckless money printing is the primary catalyst for higher prices and higher interest rates, and the return of student loan payments doesn't make matters any better.
Investors Heavily Search Etsy, Inc. (ETSY): Here is What You Need to Know
Zacks.com users have recently been watching Etsy (ETSY) quite a bit. Thus, it is worth knowing the facts that could determine the stock's prospects.
1 Undervalued Growth Stock That Could Soar 66%, According to Wall Street
Etsy has significantly underperformed its e-commerce peers and the broad stock market so far this year. Revenue growth has slowed and the company's acquisition strategy has backfired.
Wall Street analysts expect the S&amp;P 500 to rise 19% over the next 12 months. Here are their 10 favorite stocks.
Outside of a handful of highflying technology stocks, U.S. stocks have been practically flat in 2023, but on Wall Street, some analysts remain as bullish as ever.
Analysts Predict A 19% Surge For The S&amp;P 500 Soon — Lifted By 10 Stocks
It's been a rough half of the year for the S&amp;P 500 — with it slipping nearly 3%. But that's not stopping analysts from bullish calls.
1 Artificial Intelligence Growth Stock to Buy Now With More Upside Than Nvidia, According to Wall Street
Artificial intelligence has been all the rage this year, but not all AI stocks are obvious. At first glance, Esty is simply an e-commerce company, but AI factors into everything it does.
3 Unrivaled Stocks That Can Generate Life-Changing Money by 2040
Big declines in the major stock indexes represent the perfect time for opportunistic long-term investors to pounce. Three highly innovative companies have the sustained growth catalysts needed to make their long-term shareholders notably richer.</t>
  </si>
  <si>
    <t>Etsy</t>
  </si>
  <si>
    <t xml:space="preserve">
    Market Cap (intraday)  7.94B
         Enterprise Value  9.26B
             Trailing P/E    NaN
              Forward P/E  16.47
PEG Ratio (5 yr expected)   1.32
        Price/Sales (ttm)   3.03
         Price/Book (mrq)    NaN
 Enterprise Value/Revenue   3.46
  Enterprise Value/EBITDA -16.30</t>
  </si>
  <si>
    <t>Evergy reaches unanimous settlement with parties to Kansas rate case
KANSAS CITY, Mo.--(BUSINESS WIRE)--Evergy, Inc. (NASDAQ: EVRG) today announced that a unanimous agreement has been reached with parties to its Kansas rate case. The agreement was filed Friday with the Kansas Corporation Commission and must be approved by the state's Commissioners, who are scheduled to issue an order in December. "This settlement is a very strong result for our customers," said David Campbell, Evergy president and chief executive. "As a result of this settlement, average retail.</t>
  </si>
  <si>
    <t>Evergy</t>
  </si>
  <si>
    <t xml:space="preserve">
    Market Cap (intraday) 11.65B
         Enterprise Value 24.52B
             Trailing P/E  15.41
              Forward P/E  12.97
PEG Ratio (5 yr expected)   2.47
        Price/Sales (ttm)   2.00
         Price/Book (mrq)   1.22
 Enterprise Value/Revenue   4.20
  Enterprise Value/EBITDA  10.55</t>
  </si>
  <si>
    <t>Don't Miss the Boom: 7 Utilities Stocks Set to Explode Higher
Amid a still-stubbornly high backdrop of inflation, the narrative for utilities stocks to buy stands as a cynical bright spot. Basically, everyone must pay their bills associated with core services.
US SEC says Exelon settles fraud charges related to political corruption scheme
The U.S. Securities and Exchange Commission on Thursday settled fraud charges over a political corruption scheme against Exelon Corp and its unit Commonwealth Edison Company (ComEd).
SEC Charges Exelon, its Subsidiary Commonwealth Edison, and Subsidiary's Former CEO Anne Pramaggiore with Fraud in Connection with Political Corruption Scheme
Washington, D.C.--(Newsfile Corp. - September 28, 2023) - The Securities and Exchange Commission today charged Exelon Corporation, electric utility company Commonwealth Edison Company (ComEd), which is Exelon's subsidiary, and former ComEd CEO Anne Pramaggiore with fraud in connection with a multi-year scheme to corruptly influence and reward then-Speaker of the Illinois House of Representatives Michael Madigan.</t>
  </si>
  <si>
    <t>Exelon</t>
  </si>
  <si>
    <t xml:space="preserve">
    Market Cap (intraday) 37.61B
         Enterprise Value 79.83B
             Trailing P/E  17.68
              Forward P/E  14.99
PEG Ratio (5 yr expected)   2.23
        Price/Sales (ttm)   1.89
         Price/Book (mrq)   1.50
 Enterprise Value/Revenue   4.01
  Enterprise Value/EBITDA  10.78</t>
  </si>
  <si>
    <t>9 Stocks Turn $10,000 Into $141,941 In 9 Months
Stocks tanked right on cue in September. But nimble S&amp;P 500 investors are still finding ways to make big money.
3 Reasons to Hold Catalent (CTLT) Stock in Your Portfolio
Catalent's (CTLT) product and service launches and a slew of strategic deals raise optimism about the stock.
Melt Pharmaceuticals Announces Exclusive Development and License Agreement with Catalent for Its Zydis® Fast-Dissolve Technology for Use in MELT-300 for Needle- and Opioid-Free Procedural Sedation
NASHVILLE, Tenn.--(BUSINESS WIRE)--Melt Pharmaceuticals, Inc., a clinical-stage pharmaceutical company developing novel approaches for procedural sedation, today announced it recently entered into an exclusive development and license agreement with Catalent, the global leader in enabling the development and supply of better treatments across multiple modalities. Under the terms of the agreement, Melt Pharmaceuticals will utilize Catalent's proprietary Zydis® orally disintegrating tablet (ODT) f.</t>
  </si>
  <si>
    <t>Catalent</t>
  </si>
  <si>
    <t xml:space="preserve">
    Market Cap (intraday)  8.21B
         Enterprise Value 12.78B
             Trailing P/E    NaN
              Forward P/E  51.55
PEG Ratio (5 yr expected)   2.51
        Price/Sales (ttm)   1.93
         Price/Book (mrq)   1.77
 Enterprise Value/Revenue   2.99
  Enterprise Value/EBITDA -97.53</t>
  </si>
  <si>
    <t>Big Rig Bememoth Revs Up As Tesla Semi Gets Rolling
As Tesla Semis hit the road, big rig leader Paccar revs up new buy point while strategically rolling out EV trucks.</t>
  </si>
  <si>
    <t>Paccar</t>
  </si>
  <si>
    <t xml:space="preserve">
    Market Cap (intraday) 44.45B
         Enterprise Value 50.20B
             Trailing P/E  12.22
              Forward P/E  12.82
PEG Ratio (5 yr expected)   8.44
        Price/Sales (ttm)   1.37
         Price/Book (mrq)   2.95
 Enterprise Value/Revenue   1.54
  Enterprise Value/EBITDA   8.61</t>
  </si>
  <si>
    <t>Top 4 Real Estate Stocks That Are Set To Fly In September - Healthpeak Properties (NYSE:PEAK), Mid-America Apartment (NYSE:MAA)
The most oversold stocks in the real estate sector presents an opportunity to buy into undervalued companies.</t>
  </si>
  <si>
    <t>Healthpeak</t>
  </si>
  <si>
    <t xml:space="preserve">
    Market Cap (intraday) 10.04B
         Enterprise Value 16.71B
             Trailing P/E  18.73
              Forward P/E 105.26
PEG Ratio (5 yr expected)    NaN
        Price/Sales (ttm)   4.71
         Price/Book (mrq)   1.54
 Enterprise Value/Revenue   7.90
  Enterprise Value/EBITDA  11.35</t>
  </si>
  <si>
    <t>4 Packaging Stocks Poised to Counter Industry Challenges
Low consumer spending amid inflationary pressures dampens the near-term prospects for the Zacks Containers-Paper and Packaging industry. However, the likes of PKG, ATR, GEF and KRT are poised well to tackle the challenges.</t>
  </si>
  <si>
    <t>Packaging Corporation of America</t>
  </si>
  <si>
    <t xml:space="preserve">
    Market Cap (intraday) 13.81B
         Enterprise Value 16.01B
             Trailing P/E  16.21
              Forward P/E  20.08
PEG Ratio (5 yr expected)    NaN
        Price/Sales (ttm)   1.74
         Price/Book (mrq)   3.59
 Enterprise Value/Revenue   1.99
  Enterprise Value/EBITDA   9.44</t>
  </si>
  <si>
    <t>Can Undervalued Healthcare Stocks Add Yield To Your Portfolio?
Health insurer UnitedHealth Group Inc. NYSE: UNH has a market capitalization of $466.61 billion, ranking it as the tenth largest company in the S&amp;P 500.
Elevance Health (ELV) Hits Pause on $2.5B BCBSLA Acquisition
Elevance Health (ELV) and BCBS Louisiana have opted to withdraw the acquisition application from the Louisiana Department of Insurance.</t>
  </si>
  <si>
    <t>Elevance Health</t>
  </si>
  <si>
    <t xml:space="preserve">
    Market Cap (intraday) 102.61B
         Enterprise Value 117.74B
             Trailing P/E   16.21
              Forward P/E   11.72
PEG Ratio (5 yr expected)    0.94
        Price/Sales (ttm)    0.63
         Price/Book (mrq)    2.69
 Enterprise Value/Revenue    0.71
  Enterprise Value/EBITDA     NaN</t>
  </si>
  <si>
    <t>Celanese (CE) Closes Food Ingredients JV Formation With Mitsui
Celanese (CE) monetizes the majority of its Food Ingredients business while maintaining the demand benefits of raw material integration with the Acetyl Chain.
Celanese Completes the Formation of Nutrinova, a Food Ingredients Joint Venture with Mitsui
DALLAS--(BUSINESS WIRE)---- $CE--Celanese Completes the Formation of Nutrinova, a Food Ingredients Joint Venture with Mitsui.</t>
  </si>
  <si>
    <t>Celanese</t>
  </si>
  <si>
    <t xml:space="preserve">
    Market Cap (intraday) 13.66B
         Enterprise Value 27.22B
             Trailing P/E  10.78
              Forward P/E   9.43
PEG Ratio (5 yr expected)   4.19
        Price/Sales (ttm)   1.33
         Price/Book (mrq)   2.43
 Enterprise Value/Revenue   2.64
  Enterprise Value/EBITDA  14.34</t>
  </si>
  <si>
    <t>Church &amp; Dwight to Webcast Discussion of Third Quarter 2023 Earnings Results on November 3
EWING, N.J.--(BUSINESS WIRE)--Church &amp; Dwight Co., Inc. (NYSE: CHD) will webcast a discussion of its third quarter earnings results on Friday, November 3, 2023, beginning at 10:00 a.m. ET. Media and investors may access the live audio webcast at https://investor.churchdwight.com/ beginning at 10:00 a.m. ET. The webcast will also be available for replay. Church &amp; Dwight Co., Inc., founded in 1846, is the leading U.S. producer of sodium bicarbonate, popularly known as baking soda. The Com.</t>
  </si>
  <si>
    <t>Church &amp; Dwight</t>
  </si>
  <si>
    <t xml:space="preserve">
    Market Cap (intraday) 22.55B
         Enterprise Value 24.55B
             Trailing P/E  50.62
              Forward P/E  26.95
PEG Ratio (5 yr expected)   3.45
        Price/Sales (ttm)   4.01
         Price/Book (mrq)   5.76
 Enterprise Value/Revenue   4.36
  Enterprise Value/EBITDA  27.85</t>
  </si>
  <si>
    <t>Ticking Time Bombs: 3 Healthcare Stocks to Dump Before the Damage Is Done
The healthcare industry has historically provided significant returns to investors. And, it is currently boasting a compounding annual growth rate prediction of 10.4% until 2027.
Can Undervalued Healthcare Stocks Add Yield To Your Portfolio?
Health insurer UnitedHealth Group Inc. NYSE: UNH has a market capitalization of $466.61 billion, ranking it as the tenth largest company in the S&amp;P 500.
Centene Layoffs Will See Health Insurance Provider Cut 2,000 Jobs
Looking to cut costs, Centene has confirmed that they'll be cutting 2,000 members of staff, despite recording Q2 profits of over $1 billion.
Why Centene (CNC) is a Top Momentum Stock for the Long-Term
The Zacks Style Scores offers investors a way to easily find top-rated stocks based on their investing style. Here's why you should take advantage.
2023 Layoff Tracker: Centene Cuts 2,000 Employees
Layoffs continue apace after more than 136,000 employees were cut by major U.S. companies in the first quarter of 2023.
Peach State Health Plan and Georgia Primary Care Association Announce First Awards for School-Based Health Center Grant Program
ATLANTA , Sept. 27, 2023 /PRNewswire/ -- Peach State Health Plan , a care management organization that helps Georgians live healthier lives through innovative healthcare solutions, and the Georgia Primary Care Association (GPCA) today awarded five Federally Qualified Health Centers (FQHC) grants in support of school-based health centers (SBHC) in Georgia.
Centene to cut about 2,000 jobs
Health insurer Centene will lay off 3% of its workforce, or about 2,000 employees, a company spokesperson said on Tuesday as the company tries to lower costs.</t>
  </si>
  <si>
    <t>Centene Corporation</t>
  </si>
  <si>
    <t xml:space="preserve">
    Market Cap (intraday) 37.30B
         Enterprise Value 39.27B
             Trailing P/E  14.11
              Forward P/E  10.30
PEG Ratio (5 yr expected)   0.43
        Price/Sales (ttm)   0.26
         Price/Book (mrq)   1.45
 Enterprise Value/Revenue   0.27
  Enterprise Value/EBITDA   6.50</t>
  </si>
  <si>
    <t>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t>
  </si>
  <si>
    <t>Amphenol</t>
  </si>
  <si>
    <t xml:space="preserve">
    Market Cap (intraday) 50.10B
         Enterprise Value 52.91B
             Trailing P/E  27.36
              Forward P/E  26.32
PEG Ratio (5 yr expected)   5.03
        Price/Sales (ttm)   4.14
         Price/Book (mrq)   6.67
 Enterprise Value/Revenue   4.21
  Enterprise Value/EBITDA  17.75</t>
  </si>
  <si>
    <t>Canadian Natural Resources: A Comparison With EOG Resources
I will examine Canadian Natural Resources via a comparison to EOG Resources across various metrics. Both companies have performed well and are similarly sized companies, yet one focuses primarily on shale oil and the other focuses mainly on Canadian oil sands. Canadian Natural Resources touts its oil sands project as a premier oil project and so a comparison to a shale oil company will provide a beneficial understanding of their claim.
Tap Into Energy Momentum With These 3 Stocks
The Zacks Oils and Energy sector has displayed notable relative strength over the last three months, adding +12% compared to the S&amp;P 500's modest gain. Rising energy prices have helped shift sentiment, with buyers stepping up after a rough first half.</t>
  </si>
  <si>
    <t>EOG Resources</t>
  </si>
  <si>
    <t xml:space="preserve">
    Market Cap (intraday) 73.81B
         Enterprise Value 73.19B
             Trailing P/E   8.54
              Forward P/E   9.51
PEG Ratio (5 yr expected)   2.61
        Price/Sales (ttm)   2.96
         Price/Book (mrq)   2.81
 Enterprise Value/Revenue   2.91
  Enterprise Value/EBITDA   4.98</t>
  </si>
  <si>
    <t>4 Dividend Stocks to Buy in Fall 2023
The American stock market has struggled in September 2023, a historically volatile month. The combination of higher interest rates and oil prices has taken the wind out of the market's momentum.
Ticking Time Bombs: 3 Utilities Stocks to Dump Before the Damage Is Done
Investing is more than just researching various stocks and choosing to buy based on technical and fundamental analysis. Sometimes, it's going with your gut on when to walk away from an investment.</t>
  </si>
  <si>
    <t>Eversource</t>
  </si>
  <si>
    <t xml:space="preserve">
    Market Cap (intraday) 20.30B
         Enterprise Value 45.08B
             Trailing P/E  17.26
              Forward P/E  12.50
PEG Ratio (5 yr expected)   1.95
        Price/Sales (ttm)   1.60
         Price/Book (mrq)   1.31
 Enterprise Value/Revenue   3.56
  Enterprise Value/EBITDA  13.09</t>
  </si>
  <si>
    <t>Why Prologis (PLD) is a Great Dividend Stock Right Now
Dividends are one of the best benefits to being a shareholder, but finding a great dividend stock is no easy task. Does Prologis (PLD) have what it takes?
3 REITs For Long-Term And Prudent Dividend Investors
REITs in general are less attractive to investors due to high risk-free rates. Investors can approach this by either taking on higher risks for higher yields or investing in REITs with robust and growing cash flows. Prologis, Realty Income, and Alexandria Real Estate Equities are three specific REITs that offer attractive initial dividend yields and have strong fundamentals for dividend growth.
Like A Smart Kid In A REIT Candy Store
REITs are currently trading at low prices, presenting a great buying opportunity for investors. The article advises investors to focus on quality and proper diversification when buying REIT stocks. I recommend three specific REITs: MidAmerica Apartment Communities, Realty Income, and Prologis.
4 Top Stocks To Buy In October 2023
September was a rough month for stocks, with the technology sector down 8% and high valuations causing concern. Despite the pullback, stocks are now more attractive and there are opportunities for long-term investors. All 4 stocks we cover today are all trading at great valuations following a pullback over the past month.
Prologis to Announce Third Quarter 2023 Results October 17
SAN FRANCISCO , Sept. 28, 2023 /PRNewswire/ -- Prologis, Inc. (NYSE: PLD), the global leader in logistics real estate, will host a webcast and conference call with senior management to discuss third quarter results, current market conditions and future outlook on Tuesday, October 17, 2023, at 9:00 a.m.
Supply Chain Industry Leaders: Embrace AI or Get Left Behind
Technology, Energy and Logistics Leaders Gathered for GROUNDBREAKERS 2023 SAN FRANCISCO , Sept. 27, 2023 /PRNewswire/ -- Prologis, Inc. (NYSE: PLD), the global leader in logistics real estate, today hosted its annual GROUNDBREAKERS thought leadership forum featuring leaders in technology, global commerce, energy and supply chain transformation at the company's global headquarters in San Francisco.
Prologis: Look To Buy Under $80
Prologis, Inc. is a highly regarded REIT with a strong balance sheet and impressive long-term returns. However, three metrics suggest that Prologis may face downside in the bear market. We go over outlook and tell you why the worst might be dead ahead for Prologis.</t>
  </si>
  <si>
    <t>Prologis</t>
  </si>
  <si>
    <t xml:space="preserve">
    Market Cap (intraday) 103.67B
         Enterprise Value 131.33B
             Trailing P/E   30.33
              Forward P/E   42.92
PEG Ratio (5 yr expected)    0.52
        Price/Sales (ttm)   13.14
         Price/Book (mrq)    1.94
 Enterprise Value/Revenue   17.01
  Enterprise Value/EBITDA   20.82</t>
  </si>
  <si>
    <t>Quanta: Valuation Is Off The Grid
Quanta Services has a strategy of constant acquisitions leading to good long-term growth. The company has a diverse portfolio of energy infrastructure solutions and a well-diversified client base as a result of constant acquisitions. The stock price has rallied significantly in the past years - after the rally, my DCF model estimates the stock to be overvalued, constituting my sell rating.
4 Infrastructure Stocks That Will Thrive Even if There's a Recession in 2024
Sterling Infrastructure and other obvious beneficiaries of massive governmental spending have already seen their stocks surge in anticipation. Here are some others.</t>
  </si>
  <si>
    <t>Quanta Services</t>
  </si>
  <si>
    <t xml:space="preserve">
    Market Cap (intraday) 27.16B
         Enterprise Value 31.32B
             Trailing P/E  47.84
              Forward P/E  21.74
PEG Ratio (5 yr expected)   0.99
        Price/Sales (ttm)   1.51
         Price/Book (mrq)   4.75
 Enterprise Value/Revenue   1.71
  Enterprise Value/EBITDA  20.31</t>
  </si>
  <si>
    <t>Dover Operating Companies to Feature Several New Technologies at Leading Convenience Store and Retail Fueling Trade Show
DOWNERS GROVE, Ill. , Sept. 27, 2023 /PRNewswire/ -- Dover (NYSE: DOV) today announced that the Company will feature multiple brands at the National Association of Convenience Stores Trade Show ("NACS Show") and Petroleum Equipment Institute Convention ("PEI Convention") – the leading industry event of the year and the largest of its kind in the U.S. – in Atlanta, GA, on October 3-6, 2023.</t>
  </si>
  <si>
    <t>Dover Corporation</t>
  </si>
  <si>
    <t xml:space="preserve">
    Market Cap (intraday) 19.51B
         Enterprise Value 22.65B
             Trailing P/E  19.35
              Forward P/E  14.16
PEG Ratio (5 yr expected)   1.13
        Price/Sales (ttm)   2.33
         Price/Book (mrq)   4.19
 Enterprise Value/Revenue   2.67
  Enterprise Value/EBITDA  13.30</t>
  </si>
  <si>
    <t>DTE Energy announces its plan to improve electric reliability by over 60% in the next five years
Detailed roadmap for dramatically increasing reliability through a $9 billion investment will be submitted today to the Michigan Public Service Commission Detailed roadmap for dramatically increasing reliability through a $9 billion investment will be submitted today to the Michigan Public Service Commission</t>
  </si>
  <si>
    <t>DTE Energy</t>
  </si>
  <si>
    <t xml:space="preserve">
    Market Cap (intraday) 20.47B
         Enterprise Value 40.31B
             Trailing P/E  15.44
              Forward P/E  14.81
PEG Ratio (5 yr expected)   1.81
        Price/Sales (ttm)   1.24
         Price/Book (mrq)   1.95
 Enterprise Value/Revenue   2.49
  Enterprise Value/EBITDA  10.88</t>
  </si>
  <si>
    <t>CON EDISON LEADERSHIP TO PRESENT WEBCAST ABOUT OUR CLEAN ENERGY FUTURE ON OCTOBER 3rd
NEW YORK , Oct. 2, 2023 /PRNewswire/ -- Consolidated Edison, Inc. (NYSE: ED) will make a clean energy presentation from 9 a.m. to 10 a.m.</t>
  </si>
  <si>
    <t>Consolidated Edison</t>
  </si>
  <si>
    <t xml:space="preserve">
    Market Cap (intraday) 29.50B
         Enterprise Value 51.38B
             Trailing P/E  12.27
              Forward P/E  16.29
PEG Ratio (5 yr expected)   2.46
        Price/Sales (ttm)   1.95
         Price/Book (mrq)   1.42
 Enterprise Value/Revenue   3.21
  Enterprise Value/EBITDA   8.47</t>
  </si>
  <si>
    <t>Reasons to Retain Equifax (EFX) Stock in Your Portfolio
Equifax's (EFX) ongoing cloud data and technology transformation is aimed at driving innovation and product development.
CORRECTING and REPLACING Mitek Teams Up With Equifax to Take on Emerging Digital Fraud Threats and Protect Online Consumers and Businesses
SAN DIEGO--(BUSINESS WIRE)--Please replace the release dated September 21, 2023, with the following corrected version due to a new headline, removal of the subheadline and multiple revisions in the text. Headline of release should read: Mitek Teams Up With Equifax to Take on Emerging Digital Fraud Threats and Protect Online Consumers and Businesses (instead of Equifax and Mitek Join Forces to Protect Consumers Online). The updated release reads: MITEK TEAMS UP WITH EQUIFAX TO TAKE ON EMERGING D.</t>
  </si>
  <si>
    <t>Equifax</t>
  </si>
  <si>
    <t>Research &amp; Consulting Services</t>
  </si>
  <si>
    <t xml:space="preserve">
    Market Cap (intraday) 22.48B
         Enterprise Value 27.99B
             Trailing P/E  43.00
              Forward P/E  20.88
PEG Ratio (5 yr expected)   1.26
        Price/Sales (ttm)   4.47
         Price/Book (mrq)   5.36
 Enterprise Value/Revenue   5.53
  Enterprise Value/EBITDA  18.45</t>
  </si>
  <si>
    <t>Tyler's (TYL) Payment Solution Selected by Harris County
Tyler's (TYL) digital payment software - Tyler Disbursements - is likely to provide Harris County with a hassle-free solution to pay jurors accurately and on time.
Harris County, Texas, Implements Digital Disbursements for Jurors with Tyler Technologies' Solution
PLANO, Texas--(BUSINESS WIRE)---- $TYL #TylerTech--Tyler Technologies announced that Harris County in Texas has successfully gone live with Tyler Disbursements.</t>
  </si>
  <si>
    <t>Tyler Technologies</t>
  </si>
  <si>
    <t xml:space="preserve">
    Market Cap (intraday) 16.25B
         Enterprise Value 17.04B
             Trailing P/E 100.04
              Forward P/E  43.29
PEG Ratio (5 yr expected)   3.08
        Price/Sales (ttm)   8.64
         Price/Book (mrq)   5.87
 Enterprise Value/Revenue   8.96
  Enterprise Value/EBITDA  44.26</t>
  </si>
  <si>
    <t>Are You Looking for a High-Growth Dividend Stock?
Dividends are one of the best benefits to being a shareholder, but finding a great dividend stock is no easy task. Does Ameren (AEE) have what it takes?
Ameren Missouri outlines least-cost approach to reliably meet customer energy needs in an environmentally responsible manner
ST. LOUIS , Sept. 26, 2023 /PRNewswire/ -- Today Ameren Missouri, a subsidiary of Ameren Corporation (NYSE: AEE), announced its updated 20-year plan to provide reliable, affordable and resilient energy to its customers.</t>
  </si>
  <si>
    <t>Ameren</t>
  </si>
  <si>
    <t xml:space="preserve">
    Market Cap (intraday) 19.66B
         Enterprise Value 35.66B
             Trailing P/E  17.52
              Forward P/E  15.90
PEG Ratio (5 yr expected)   2.21
        Price/Sales (ttm)   2.39
         Price/Book (mrq)   1.84
 Enterprise Value/Revenue   4.36
  Enterprise Value/EBITDA  10.80</t>
  </si>
  <si>
    <t>AES Announces Minority Sell-Downs of LNG Businesses in the Dominican Republic and Panama
With Transactions, AES Secures All Planned External Funding for 2023 ARLINGTON, Va. , Sept. 26, 2023 /PRNewswire/ -- The AES Corporation (NYSE: AES) announced today that it has agreed to minority sell-downs of its businesses in the Dominican Republic and Panama, as an expansion of its existing strategic partnership with Grupo Linda and a new partnership with Grupo Popular's subsidiary, AFI Popular, through one of its closed end funds.</t>
  </si>
  <si>
    <t>AES Corporation</t>
  </si>
  <si>
    <t xml:space="preserve">
    Market Cap (intraday) 10.18B
         Enterprise Value 35.52B
             Trailing P/E    NaN
              Forward P/E   7.79
PEG Ratio (5 yr expected)   1.06
        Price/Sales (ttm)   0.81
         Price/Book (mrq)   6.15
 Enterprise Value/Revenue   2.73
  Enterprise Value/EBITDA  17.10</t>
  </si>
  <si>
    <t>Fast-food drive-thru lanes speed up as fewer drivers wait in line
The average total time spent in a drive-thru lane shrank by 29 seconds this year, according to Intouch Insight.
3 Dividend Growth Stocks for Long-Term Returns
Dividend growth investors consider multiple things when buying a stock, such as dividend yields and price-to-earnings (P/E) ratios. These investors should also incorporate a company's future growth potential into their analysis.</t>
  </si>
  <si>
    <t>Yum! Brands</t>
  </si>
  <si>
    <t xml:space="preserve">
    Market Cap (intraday) 35.01B
         Enterprise Value 46.14B
             Trailing P/E  25.24
              Forward P/E  21.10
PEG Ratio (5 yr expected)   1.55
        Price/Sales (ttm)   5.13
         Price/Book (mrq)    NaN
 Enterprise Value/Revenue   6.60
  Enterprise Value/EBITDA  19.38</t>
  </si>
  <si>
    <t>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Brown &amp; Brown, Inc. announces 2023 third-quarter earnings release and conference call dates
DAYTONA BEACH, Fla., Oct. 02, 2023 (GLOBE NEWSWIRE) --  Brown &amp; Brown, Inc. (NYSE: BRO) announces it will release its 2023 third-quarter earnings on Monday, October 23, 2023, after the close of the market. On Tuesday, October 24, 2023, J. Powell Brown, Brown &amp; Brown's president and chief executive officer, and R. Andrew Watts, Brown &amp; Brown's executive vice president and chief financial officer, will host an investor update conference call concerning Brown &amp; Brown's third-quarter 2023 financial results. You are invited to listen to the call, which will be broadcast live on Brown &amp; Brown's website at 8:00 a.m. EDT. Simply log on to www.bbinsurance.com and click on "Investor Relations" and then "Calendar of Events."
10 Dividend Growth Stocks For September 2023
In this monthly series, I rank a selection of dividend growth stocks in Dividend Radar and present the ten top-ranked stocks for consideration. To rank stocks, I do a quality assessment and sort stocks by quality scores, breaking ties with additional metrics. This month, I'm presenting stocks with A+ Dividend Quality Grades and strictly increasing dividends, earnings, and revenue over the past decade.</t>
  </si>
  <si>
    <t>Brown &amp; Brown</t>
  </si>
  <si>
    <t xml:space="preserve">
    Market Cap (intraday) 19.81B
         Enterprise Value 23.17B
             Trailing P/E  27.07
              Forward P/E  24.45
PEG Ratio (5 yr expected)    NaN
        Price/Sales (ttm)   4.90
         Price/Book (mrq)   3.90
 Enterprise Value/Revenue   5.82
  Enterprise Value/EBITDA  17.08</t>
  </si>
  <si>
    <t>Packed With Performance, Backed by Full Lifetime Warranty: CRAFTSMAN® Introduces OVERDRIVE™ Mechanics Tool Sets
New OVERDRIVE™ mechanics tools, sockets, ratchets and wrenches deliver reliable, innovative performance for automotive enthusiasts Backed by CRAFTSMAN's full lifetime warranty, OVERDRIVE™ mechanics tools offer 180-tooth count ratchets, patented Tight Torque Technology™ wrenches for rounded fastener removal and prevention, a sleek finish and easy-to-read markings for a variety of tasks TOWSON, Md. , Oct. 2, 2023 /PRNewswire/ -- CRAFTSMAN® , an American icon that homeowners, home builders, auto enthusiasts and master mechanics have trusted since 1927, announces OVERDRIVE™ mechanics tools, an innovative new line of sockets, wrenches and ratchets designed to provide access in confined spaces and rounded bolt removal for common automotive and maintenance tasks.
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October Dividend Kings: 5 To Buy And 5 To Watch
"There is only one-criterion to be included among the Dividend Kings: a publicly-traded company must increase its total fiscal-year dividend-payout for a minimum of 50 consecutive-years."--Dogs of the Dow. The 49 Dividend Kings screened as of September 26 represented seven of eleven Morningstar Sectors. Broker targeted-top-ten net-gainers ranged 24.77%-38.84% topped-by Northwest Natural, and Target. By yield, Altria tops-all. Top-ten Kingly October yields from SWK, TGT, BKH, FRT, NWN, CDUAF, MMM, UVV, LEG, &amp; MO averaged 5.86%.
Now Open: DEWALT Trades Scholarship Application
To support the need for skilled trade workers, DEWALT will award $200,000 in scholarships to up to 40 students across the U.S. and Canada Scholarships will help support trade education in a variety of fields including construction technology, electrical and plumbing DEWALT Scholarship Program celebrates its fifth year in helping to address the trade skills gap; to date, 80 students across 30 states and the District of Columbia have benefitted from the program TOWSON, Md. , Sept. 27, 2023 /PRNewswire/ -- DEWALT, a Stanley Black &amp; Decker (NYSE: SWK) brand and leader in total jobsite solutions, today announced it is accepting applications for the 2024 DEWALT Trades Scholarship.
Don't Miss the Boom: 7 Dividend Stocks Set to Explode Higher
The economic outlook is increasingly uncertain. Between inflation, high-interest rates, and an aggressive Federal Reserve, there is plenty that could hamper the market's returns over the next year.</t>
  </si>
  <si>
    <t>Stanley Black &amp; Decker</t>
  </si>
  <si>
    <t xml:space="preserve">
    Market Cap (intraday) 12.81B
         Enterprise Value 20.30B
             Trailing P/E    NaN
              Forward P/E  19.68
PEG Ratio (5 yr expected)    NaN
        Price/Sales (ttm)   0.78
         Price/Book (mrq)   1.34
 Enterprise Value/Revenue   1.25
  Enterprise Value/EBITDA  29.19</t>
  </si>
  <si>
    <t>3 Cannabis Stocks to Watch in the ‘Green Zone'
As reform in federal cannabis laws continues to move forward (albeit slowly), it may be worthwhile to keep an eye on the cannabis stocks to watch. Big developments in this area could drive correspondingly large moves among stocks in the cannabis space, but are any of these names in the “Green Zone?
Here's Why Molson Coors Brewing (TAP) is a Strong Value Stock
Whether you're a value, growth, or momentum investor, finding strong stocks becomes easier with the Zacks Style Scores, a top feature of the Zacks Premium research service.
Here's Why Molson Coors Brewing (TAP) is a Strong Growth Stock
Wondering how to pick strong, market-beating stocks for your investment portfolio? Look no further than the Zacks Style Scores.</t>
  </si>
  <si>
    <t>Molson Coors Beverage Company</t>
  </si>
  <si>
    <t>Brewers</t>
  </si>
  <si>
    <t xml:space="preserve">
    Market Cap (intraday) 13.76B
         Enterprise Value 19.41B
             Trailing P/E 334.68
              Forward P/E  12.56
PEG Ratio (5 yr expected)   3.39
        Price/Sales (ttm)   1.23
         Price/Book (mrq)   1.06
 Enterprise Value/Revenue   1.74
  Enterprise Value/EBITDA  16.99</t>
  </si>
  <si>
    <t>TJX Companies (TJX) Gains From Business Strength Amid Risks
TJX Companies (TJX) has been gaining from its strength across businesses and e-commerce initiatives. Rising costs and expenses, along with a high debt level, remain concerns.
Tapping Into Trends: 7 Consumer Discretionary Stocks Set to Skyrocket
Recent comments by Bank of America (NYSE: BAC ) CEO Brian Moynihan have increased my confidence in my thesis that the U.S. is heading for “a soft landing.” Specifically, Moynihan said the U.S. Federal Reserve already achieved “a soft landing.
These 5 Stocks Are Setting Up This Buying Opportunity After Strong Runs
After a run, stocks can offer a new buying opportunity with a pullback to the 50-day line. Novo Nordisk and 4 S&amp;P 500 stocks have done that.
5 Retail Trends to Watch During the Holiday Shopping Season
The 2023 holiday shopping season is fast approaching, and the expectations are for a sluggish season. Surveys from numerous consumer watchdogs suggest consumers continue to cut spending and plan to be frugal during the holidays.
Walmart Shines As Dollar Tree, Dollar General, Big Lots Stumble
Going by the performance of discount retailers, Wall Street sees more potential in Walmart Inc. NYSE: WMT than Dollar Tree Inc. NASDAQ: DLTR, Dollar General Corp. NYSE: DG or Big Lots Inc. NYSE: BIG</t>
  </si>
  <si>
    <t>TJX Companies</t>
  </si>
  <si>
    <t xml:space="preserve">
    Market Cap (intraday) 101.69B
         Enterprise Value 109.70B
             Trailing P/E   26.06
              Forward P/E   24.27
PEG Ratio (5 yr expected)    1.98
        Price/Sales (ttm)    2.03
         Price/Book (mrq)   15.39
 Enterprise Value/Revenue    2.14
  Enterprise Value/EBITDA   17.61</t>
  </si>
  <si>
    <t>Targa Resources Corp. to Participate in Wolfe Research Utilities, Midstream and Clean Energy Conference
HOUSTON, Sept. 25, 2023 (GLOBE NEWSWIRE) -- Targa Resources Corp. (NYSE: TRGP) ("Targa" or the "Company") announced today that representatives from the Company will participate in investor meetings at the Wolfe Research Utilities, Midstream and Clean Energy Conference on Wednesday, September 27, 2023 in New York City, NY.</t>
  </si>
  <si>
    <t>Targa Resources</t>
  </si>
  <si>
    <t xml:space="preserve">
    Market Cap (intraday) 19.18B
         Enterprise Value 31.45B
             Trailing P/E  23.29
              Forward P/E  12.53
PEG Ratio (5 yr expected)   1.87
        Price/Sales (ttm)   1.10
         Price/Book (mrq)   7.17
 Enterprise Value/Revenue   1.76
  Enterprise Value/EBITDA   8.44</t>
  </si>
  <si>
    <t>The Executive Leadership Council Honors Synchrony for Outstanding Commitment to DEI at 2023 ELC Annual Recognition Gala
The company recognized for its investment in increasing the diversity of its leadership and creating economic opportunity for employees, vendors and communities. WASHINGTON , Sept.
Synchrony to Announce Third Quarter 2023 Financial Results on October 24, 2023
STAMFORD, Conn. , Sept. 26, 2023 /PRNewswire/ -- Synchrony (NYSE: SYF) plans to report its third quarter 2023 results on Tuesday, October 24, 2023.</t>
  </si>
  <si>
    <t>Synchrony Financial</t>
  </si>
  <si>
    <t xml:space="preserve">
    Market Cap (intraday) 12.78B
         Enterprise Value    NaN
             Trailing P/E   5.56
              Forward P/E   5.56
PEG Ratio (5 yr expected)    NaN
        Price/Sales (ttm)   1.08
         Price/Book (mrq)   1.01
 Enterprise Value/Revenue    NaN
  Enterprise Value/EBITDA    NaN</t>
  </si>
  <si>
    <t>Tapestry's Stock Down 27% This Year, What's Next?
TPR stock has declined from around $38 to $28 YTD, compared to an 11% rise in the S&amp;P index.
CAPRI HOLDINGS INVESTOR ALERT by the Former Attorney General of Louisiana: Kahn Swick &amp; Foti, LLC Investigates Adequacy of Price and Process in Proposed Sale of Capri Holdings Limited - CPRI
NEW ORLEANS--(BUSINESS WIRE)--Former Attorney General of Louisiana Charles C. Foti, Jr., Esq. and the law firm of Kahn Swick &amp; Foti, LLC (“KSF”) are investigating the proposed sale of Capri Holdings Limited (NYSE: CPRI) to Tapestry, Inc. (NYSE: TPR). Under the terms of the proposed transaction, shareholders of Capri will receive $57.00 in cash for each share of Capri that they own. KSF is seeking to determine whether this consideration and the process that led to it are adequate, or whether.</t>
  </si>
  <si>
    <t>Tapestry, Inc.</t>
  </si>
  <si>
    <t xml:space="preserve">
    Market Cap (intraday) 6.59B
         Enterprise Value 9.14B
             Trailing P/E  7.41
              Forward P/E  6.93
PEG Ratio (5 yr expected)  1.05
        Price/Sales (ttm)  1.04
         Price/Book (mrq)  2.89
 Enterprise Value/Revenue  1.37
  Enterprise Value/EBITDA  6.75</t>
  </si>
  <si>
    <t>United Airlines (UAL) to Offer Jobs to US Military Pilots
United Airlines' (UAL) new program gives U.S. military pilots access to conditional job offers as First Officers.
10 Cheap Value Stocks Are Poised To Report Massive Profit Growth
Just because a stock is considered a "value" doesn't mean it can't grow like crazy. In fact, many S&amp;P 500 value stocks may do just that.
United Pilots Approve 40% Pay Hike In the Largest Contract In US Airline History
United Airlines (UAL) pilots have approved a new contract valued at $10.2 billion, the largest for any U.S. airline in history.
United Pilots Win 40% Raise As Union Ratifies New Contract
The agreement marks the latest major pay raise for unionized workers in the United States.
United Airlines pilots flying high after accepting new $10B labor deal
The Air Line Pilots Association said Friday that 82% of pilots who took part in the voting favored the agreement.
United Airlines pilots approve new contract with up to 40% raises
United Airlines pilots approved a new labor contract with raises that could top 40% over four years.
United Airlines' pilots accept new labor contract
United Airlines' pilots have ratified a new four-year contract that includes a significant pay increase and other benefits, the union representing the pilots said on Friday.
Don't Miss the Boom: 7 Blue-Chip Stocks Set to Explode Higher
Looking for the best blue-chip stocks to buy might seem boring, especially compared to stocks that make big moves. In fortifying your investment portfolio, dipping your toes into the volatile waters of penny and small-cap stocks can be incredibly tempting.
United Airlines to give conditional job offers to active-duty military pilots
United Airlines said on Thursday it will give conditional job offers to active-duty U.S. military pilots to join the airline as a first officer once they complete service.
Ticking Time Bombs: 3 Travel Stocks to Dump Before the Damage Is Done
Travel is once again booming in the United States. A whopping 90% of Americans traveled in the last three months, according to a recent survey.
United Airlines Enhancing Wheelchair Accessibility After Federal Complaint: Here's What Will Change
United Airlines and United Express carriers mishandled wheelchairs at a rate of 1.2% over the last four years.
United Airlines: When Others Give Up, Dip Buyers Load Up
United Airlines investors have suffered significant losses as the stock plunged nearly 30% from its July highs. The sharp recovery in oil prices has impacted the airline industry, as investors fear the worst is not over for UAL and its peers. Despite the escalating headwinds, I'm confident that UAL's March lows should be defended, suggesting a highly favorable risk/reward upside as it closes in against that level.
United Airlines agrees to improve flight access for wheelchair users
United Airlines on Thursday said it will improve air travel for passengers using wheelchairs under an agreement with the U.S. Transportation Department following a government investigation into a disability complaint.
Which Airlines Stock Will Offer Better Returns – American Or United?
If we look at stock returns, United Airlines, with 13% returns this year, has fared better than American Airlines, up 0%, and the broader S&amp;P 500 index, up 11%.
Time to Buy the Recent Dip in Airline Stocks?
Domestically, the three largest airlines by revenue Delta Air Lines (DAL), American Airlines (AAL), and United Airlines (UAL) have all seen their stocks fall of late after seeing 52-week highs in July.
United Airlines Is The Industry's Most Vulnerable Player (Rating Downgrade)
United Airlines Holdings, Inc. has been one of the strongest U.S. airlines during the pandemic recovery, but there are signs of trouble looming. The airline faces increasing fuel and labor costs, which could impact its profits. United also faces challenges in the changing revenue environment, particularly in the international market, where it has been strong.
Airline stocks fall again, with Southwest and JetBlue shares at multiyear lows
The airline sector was suffering another broad selloff Tuesday, amid worries over how a government shutdown will hurt the industry and as falling ticket prices raise concerns over profitability.
Wall Street analysts expect the S&amp;P 500 to rise 19% over the next 12 months. Here are their 10 favorite stocks.
Outside of a handful of highflying technology stocks, U.S. stocks have been practically flat in 2023, but on Wall Street, some analysts remain as bullish as ever.
Don't Miss the Boom: 3 Travel Stocks Set to Explode Higher
Writing about travel stocks may seem odd at a time when inflation is on the rise in lockstep with rising oil prices. However, information from the United States Travel Association may make you reconsider.
United to Hold Webcast of Third-Quarter 2023 Financial Results
CHICAGO, Sept. 25, 2023 /PRNewswire/ -- United will hold a conference call to discuss third-quarter 2023 financial results on Wednesday, October 18 at 9:30 a.m. CT/10:30 a.m. ET.
United Airlines (UAL) Picks Michael Leskinen as the New CFO
Michael Leskinen has been appointed as the new CFO of United Airlines (UAL).
Analysts Predict A 19% Surge For The S&amp;P 500 Soon — Lifted By 10 Stocks
It's been a rough half of the year for the S&amp;P 500 — with it slipping nearly 3%. But that's not stopping analysts from bullish calls.</t>
  </si>
  <si>
    <t>United Airlines Holdings</t>
  </si>
  <si>
    <t xml:space="preserve">
    Market Cap (intraday) 13.87B
         Enterprise Value 30.58B
             Trailing P/E   5.22
              Forward P/E   3.40
PEG Ratio (5 yr expected)   0.09
        Price/Sales (ttm)   0.28
         Price/Book (mrq)   1.80
 Enterprise Value/Revenue   0.60
  Enterprise Value/EBITDA   5.89</t>
  </si>
  <si>
    <t>Dentsply Sirona Announces Planned Board Succession
CHARLOTTE, N.C., Sept. 29, 2023 (GLOBE NEWSWIRE) -- DENTSPLY SIRONA Inc. (“Dentsply Sirona” or the “Company”) (Nasdaq: XRAY) today announced that, as part of its planned succession process and consistent with the Company's Board of Directors' (the “Board”) commitment to periodic Board refreshment in line with its Corporate Governance Guidelines, the Board has appointed Gregory T. Lucier as Chairman of the Board and as a member of the Corporate Governance and Nominating Committee, effective January 1, 2024. Following six years as Chairman of the Board, Eric K. Brandt will rotate from his role as non-Executive Chairman at the end of the year and will continue to serve as a member of both the Board and the Corporate Governance and Nominating Committee.
Dentsply Sirona to Host Investor Day on November 9, 2023
CHARLOTTE, N.C., Sept. 25, 2023 (GLOBE NEWSWIRE) -- DENTSPLY SIRONA Inc. (“Dentsply Sirona” or the "Company") (Nasdaq: XRAY) today announced that the Company will host its Investor Day in Charlotte, North Carolina, on November 9, 2023. The event will begin at 8:30 AM ET.</t>
  </si>
  <si>
    <t>Dentsply Sirona</t>
  </si>
  <si>
    <t xml:space="preserve">
    Market Cap (intraday)  7.23B
         Enterprise Value  9.18B
             Trailing P/E 126.19
              Forward P/E  14.95
PEG Ratio (5 yr expected)   1.87
        Price/Sales (ttm)   1.86
         Price/Book (mrq)   1.95
 Enterprise Value/Revenue   2.33
  Enterprise Value/EBITDA -11.32</t>
  </si>
  <si>
    <t>October Dividend Kings: 5 To Buy And 5 To Watch
"There is only one-criterion to be included among the Dividend Kings: a publicly-traded company must increase its total fiscal-year dividend-payout for a minimum of 50 consecutive-years."--Dogs of the Dow. The 49 Dividend Kings screened as of September 26 represented seven of eleven Morningstar Sectors. Broker targeted-top-ten net-gainers ranged 24.77%-38.84% topped-by Northwest Natural, and Target. By yield, Altria tops-all. Top-ten Kingly October yields from SWK, TGT, BKH, FRT, NWN, CDUAF, MMM, UVV, LEG, &amp; MO averaged 5.86%.
ADM and Syngenta Group Sign MoU to Support Low-Carbon Next-Generation Oilseeds and Improved Varieties to Meet Growing Demand for Biofuels and Other Products
CHICAGO &amp; BASEL, Switzerland--(BUSINESS WIRE)--ADM (NYSE: ADM), a global leader in nutrition and agricultural origination and processing, and Syngenta Group, one of the world's biggest agricultural technology companies, announced today they have signed a memorandum of understanding (MoU) to collaborate in scaling research and commercialization of low carbon-intensity next-generation oilseeds and improved varieties to help meet skyrocketing demand for biofuels and other sustainably-sourced produ.
The 12 Best Stocks to Buy Now
Our list of the best stocks to buy now reflect the lesson of the past few years: Be ready for anything.
Wall Street Analysts See ADM (ADM) as a Buy: Should You Invest?
When deciding whether to buy, sell, or hold a stock, investors often rely on analyst recommendations. Media reports about rating changes by these brokerage-firm-employed (or sell-side) analysts often influence a stock's price, but are they really important?</t>
  </si>
  <si>
    <t xml:space="preserve">
    Market Cap (intraday) 40.43B
         Enterprise Value 48.83B
             Trailing P/E  10.06
              Forward P/E  11.26
PEG Ratio (5 yr expected)    NaN
        Price/Sales (ttm)   0.42
         Price/Book (mrq)   1.62
 Enterprise Value/Revenue   0.49
  Enterprise Value/EBITDA   7.44</t>
  </si>
  <si>
    <t>Align Technology: Expectations Run Hot(ter) Again
Align Technology, Inc. shares saw a significant pullback in 2022 after a boom in 2021. The company's performance has stabilized, but the current valuation is not appealing. Align is on track to generate $4 billion in sales this year, but earnings power falls short of 2021 levels, and short of levels to see appeal here.
Are Medical Stocks Lagging Align Technology (ALGN) This Year?
Here is how Align Technology (ALGN) and Aurinia Pharmaceuticals (AUPH) have performed compared to their sector so far this year.
Will Align Technology (ALGN) Stock Rebound To Its Pre-Inflation Shock Level Of Over $700?
ALGN stock was trading at around $237 in early June 2022, just before the Fed started increasing rates, and is now 26% above that level, compared to 13% gains for the
Here's Why You Should Buy Align Technology (ALGN) Stock Now
The rapid expansion of Align Technology's (ALGN) business in international markets remains a key growth driver.
CNMD vs. ALGN: Which Stock Is the Better Value Option?
Investors interested in Medical - Dental Supplies stocks are likely familiar with Conmed (CNMD) and Align Technology (ALGN). But which of these two stocks is more attractive to value investors?</t>
  </si>
  <si>
    <t>Align Technology</t>
  </si>
  <si>
    <t xml:space="preserve">
    Market Cap (intraday) 23.37B
         Enterprise Value 22.49B
             Trailing P/E  75.02
              Forward P/E  29.85
PEG Ratio (5 yr expected)   1.89
        Price/Sales (ttm)   6.33
         Price/Book (mrq)   6.42
 Enterprise Value/Revenue   6.02
  Enterprise Value/EBITDA  31.65</t>
  </si>
  <si>
    <t>Allstate to Discuss Third Quarter 2023 Earnings With Investors
NORTHBROOK, Ill.--(BUSINESS WIRE)--The Allstate Corporation (NYSE: ALL) will conduct a conference call and webcast at 9 a.m. Eastern on Thursday, Nov. 2, 2023, to discuss third quarter 2023 earnings. The company plans to file a current report on Form 8-K with the Securities and Exchange Commission announcing quarterly results at or after 4:15 p.m. Eastern on Wednesday, Nov. 1. To view Allstate's quarterly results after their filing, including the earnings release and investor supplement, visit.
Allstate Gets Hold Rating As Net Losses Pile Up, But Dividends Grow
Allstate Corp gets hold rating, in line with the consensus from the quant system and SA analysts. Positives: dividend stability &amp; growth, company financial strength, attractive share price. Negatives: price-to-book value high vs sector average, net losses 5 straight quarters.</t>
  </si>
  <si>
    <t>Allstate</t>
  </si>
  <si>
    <t xml:space="preserve">
    Market Cap (intraday) 29.14B
         Enterprise Value 38.39B
             Trailing P/E    NaN
              Forward P/E   8.98
PEG Ratio (5 yr expected)    NaN
        Price/Sales (ttm)   0.54
         Price/Book (mrq)   2.16
 Enterprise Value/Revenue   0.70
  Enterprise Value/EBITDA    NaN</t>
  </si>
  <si>
    <t>PPL: Still A 'Hold', Despite A Double-Digit Downturn
PPL Corporation's valuation relative to potential upside in the current macro environment does not make sense. PPL has a strong balance sheet and offers 6-8% annual EPS and dividend growth until 2026E. The company's valuation is still above 16x normalized, making it difficult to achieve a 15% annualized rate of return.
PPL: A Similar Story Again
PPL made transformative moves in 2021, divesting its UK assets and acquiring Narragansett in the US. The company's focus on dividends has hurt its long-term prospects, with high payout ratios and increasing net debt levels. Second quarter results were weaker than expected, with net debt ticking up and capital spending set to rise further.</t>
  </si>
  <si>
    <t>PPL Corporation</t>
  </si>
  <si>
    <t xml:space="preserve">
    Market Cap (intraday) 17.37B
         Enterprise Value 31.85B
             Trailing P/E  24.29
              Forward P/E  13.85
PEG Ratio (5 yr expected)   1.26
        Price/Sales (ttm)   2.01
         Price/Book (mrq)   1.24
 Enterprise Value/Revenue   3.68
  Enterprise Value/EBITDA  11.12</t>
  </si>
  <si>
    <t>DXC Technology Adds Industry Veteran Andrew Wilson to Senior Leadership Team
Wilson brings more than 35 years' experience in all aspects of IT services Third senior leadership addition under new offering-led operating model highlights company's focus on financial growth and expansion ASHBURN, Va. , Oct. 2, 2023 /PRNewswire/ - DXC Technology (NYSE: DXC) announced that Andrew Wilson has been appointed Executive Vice President and Global Lead, Modern Workplace effective October 1, 2023, reporting directly to DXC Chairman, President and Chief Executive Officer Mike Salvino.
Veralto Set to Join S&amp;P 500; Vestis to Join S&amp;P MidCap 400; Others to Join S&amp;P SmallCap 600
NEW YORK, Sept. 28, 2023 /PRNewswire/ -- S&amp;P Dow Jones Indices will make the following changes to the S&amp;P 500, the S&amp;P MidCap 400 and the S&amp;P SmallCap 600 indices
Veralto stock to join S&amp;P 500, Kohl's to join S&amp;P SmallCap 600
Danaher Corp. DHR, -0.10% spinoff Veralto Corp. VLTO.WI, +5.02% will be added to the S&amp;P 500 before trading Monday, when it replaces DXC Technology Co. DXC, +0.59%, which in turn will move to the S&amp;P SmallCap 600 prior to Tuesday trading. DXC Technologies will replace Ebix Inc. EBIX, -2.48% in the S&amp;P SmallCap 600, also effective before trading Tuesday.</t>
  </si>
  <si>
    <t>DXC Technology</t>
  </si>
  <si>
    <t xml:space="preserve">
    Market Cap (intraday) 4.27B
         Enterprise Value 8.18B
             Trailing P/E   NaN
              Forward P/E  6.00
PEG Ratio (5 yr expected)   NaN
        Price/Sales (ttm)  0.33
         Price/Book (mrq)  1.30
 Enterprise Value/Revenue  0.58
  Enterprise Value/EBITDA 10.18</t>
  </si>
  <si>
    <t>EPA Names Clorox as 2023 Safer Choice Partner of the Year for Advancing Ingredient and Product Safety
Clorox receives honorary distinction for sixth time, demonstrating continued commitment to product stewardship OAKLAND, Calif. , Oct. 2, 2023 /PRNewswire/ -- The Clorox Company (NYSE: CLX) was named a 2023 Safer Choice Partner of the Year award winner for its outstanding achievement in the manufacturing of products with ingredients that the Environmental Protection Agency (EPA) designates as safer for families, pets, workplaces, communities, and the environment.
2 Ultra-Safe High-Yield Dividend Stocks to Buy Like There's No Tomorrow
Southern Company and Clorox aren't the most popular dividend stocks out there. However, they have the balance sheets, cash flows, and earnings to support higher payouts.
3 Unstoppable Dividend Stocks That Can Provide Passive Income for a Lifetime
A leading provider of industrial gases, Air Products has delivered dividends to investors for decades. A sustainable dividend and long-term growth prospects more than offset temporary weakness at Johnson Controls.
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Clorox shares are on their biggest losing streak since 2009 following cyberattack
Shares of Clorox Co. CLX, -0.67% are on pace for their longest losing streak since 2009, after the cleaning-products maker this month said the fallout from a cybersecurity attack would have a “material” impact on first-quarter results. Shares were down 0.5% on Wednesday.
Clorox Pullback Presents a Chance to Clean Up on a 3.6% Dividend
Since The Clorox Company NYSE: CLX rode a pandemic ‘clean freak' wave to nearly $240 per share in August 2021, its market value has been bleached by over $13 billion.
Clorox: Still Struggling
The Clorox Company shares hit 52-week lows, prompting an update on the investment case. The company's performance has been stagnant, with an IT incident expected to impact 2024. Despite some positive momentum in sales and earnings, the outlook for 2024 is not impressive, leading to skepticism about investing in Clorox.</t>
  </si>
  <si>
    <t>Clorox</t>
  </si>
  <si>
    <t xml:space="preserve">
    Market Cap (intraday) 16.23B
         Enterprise Value 18.79B
             Trailing P/E 109.22
              Forward P/E  22.27
PEG Ratio (5 yr expected)   1.46
        Price/Sales (ttm)   2.20
         Price/Book (mrq)  73.77
 Enterprise Value/Revenue   2.54
  Enterprise Value/EBITDA  33.31</t>
  </si>
  <si>
    <t>SHAREHOLDER ALERT: Pomerantz Law Firm Investigates Claims On Behalf of Investors of Generac Holdings Inc. - GNRC
NEW YORK , Sept. 29, 2023 /PRNewswire/ -- Pomerantz LLP is investigating claims on behalf of investors of Generac Holdings Inc. ("Generac" or the "Company") (NYSE: GNRC).
Michael Burry's $1.6 billion bet against stock market is backfiring
In a dramatic return to the financial spotlight, legendary investor Michael Burry, famed for his eerily accurate prediction of the 2008 market crash, seized headlines once more in August.
Generac (GNRC) to Launch a Manufacturing Facility in Nevada
Generac (GNRC) announces that it will set up an engineering center in Nevada to focus on clean energy and residential energy storage solutions.</t>
  </si>
  <si>
    <t>Generac</t>
  </si>
  <si>
    <t xml:space="preserve">
    Market Cap (intraday) 6.78B
         Enterprise Value 8.53B
             Trailing P/E 45.59
              Forward P/E 14.24
PEG Ratio (5 yr expected)  1.44
        Price/Sales (ttm)  1.72
         Price/Book (mrq)  2.80
 Enterprise Value/Revenue  2.12
  Enterprise Value/EBITDA 17.56</t>
  </si>
  <si>
    <t>Otis Appoints Tracy Embree President, Otis Americas and Enrique Miñarro Viseras as President, Otis Europe, Middle East and Africa
Jim Cramer and Bernardo Calleja to retire in early 2024 FARMINGTON, Conn. , Sept. 28, 2023 /PRNewswire/ -- Otis Worldwide Corporation (NYSE: OTIS) announces the appointment of Tracy Embree as President, Otis Americas and Enrique Miñarro Viseras as President, Otis Europe, Middle East and Africa (EMEA), reporting directly to Otis Chair, CEO &amp; President, Judy Marks.</t>
  </si>
  <si>
    <t>Otis Worldwide</t>
  </si>
  <si>
    <t xml:space="preserve">
    Market Cap (intraday) 33.07B
         Enterprise Value 39.02B
             Trailing P/E  25.25
              Forward P/E  20.12
PEG Ratio (5 yr expected)   1.71
        Price/Sales (ttm)   2.43
         Price/Book (mrq)    NaN
 Enterprise Value/Revenue   2.82
  Enterprise Value/EBITDA  16.92</t>
  </si>
  <si>
    <t>Late night shows return as actors restart negotiations with Hollywood studios
Late night hosts return to TV on Monday, as striking Hollywood actors resume talks with major studios.
Spin Master Inks Global Toy Agreement with Paramount Consumer Products for Dora, An Upcoming, All-New Animated Paramount+ Original Preschool Series in Award-Winning Dora the Explorer Franchise
TORONTO , Oct. 2, 2023 /PRNewswire/ - Spin Master Corp. (TSX: TOY); www.spinmaster.com), a leading global children's entertainment company, announced today it has been awarded the global toy license for Paramount+ original Dora, an upcoming all-new preschool series that marks the return of the groundbreaking Latina heroine and the newest property in Nickelodeon's award-winning Dora the Explorer franchise. Spin Master's diverse toy collection, expected to launch in Fall 2024, will include figures, dolls, playsets, vehicles, plush, roleplay, games and puzzles, inspired by Dora, her companion Boots and other beloved characters and locales they explore.
Paramount Global (PARA), CBS Sports to Elevate Social Initiative
Paramount Global's (PARA) Content for Change and CBS Sports team up on a series of short-form vignettes, which will highlight the social impacts of NFL players and teams.
Paramount: It's Not Quite Showtime Yet
Paramount has made it a strategic priority to improve its DTC segment economics significantly by next year. This includes increasing Paramount+ ARPU by 20%, while also penetrating further in growing opportunities in digital advertising and improving operating leverage by leaning-in on existing assets. However, management's ambitions have not sufficiently de-risked for rapidly evolving competitive dynamics and company-specific weaknesses in its DTC foray, in our opinion.
This Warren Buffett Stock Is Near a 52-Week Low. Is It a Buy?
Berkshire Hathaway owns Paramount stock, but the investment hasn't paid off this year. Paramount aims to grow its streaming business, transitioning away from traditional TV.
Paramount and Warner Bros stock rises as writers' strike ends
Paramount Global (NASDAQ:PARA) and Warner Bros Discovery Inc (NASDAQ:WBD) shares both finished higher Wednesday after the 148-day Writers Guild of America (WGA) strike officially ended at 12:01 AM Pacific Daylight Time.  The WGA and the AMPTP, which represents Hollywood's studios and streamers, reached a tentative agreement for a new three-year contract for film and television writers, ending the second-longest labor action in the guild's history that began on May 2.
Media Stocks Rise as Hollywood Writers' Strike Ends
Shares of major media companies rose Wednesday morning after the Writers Guild of America (WGA) ended a five-month writers strike after finalizing a contract with studios.
Hollywood writers strike to end on Wednesday as WGA, AMPTP finalize labor contract
Hollywood writers and studios have finalized the language of a tentative contract that will lead to the end to a nearly 150-day labor strike.
Spin Master Entertainment, Nickelodeon Movies and Paramount Pictures Announce Third PAW Patrol® Feature Film In the Works
TORONTO and HOLLYWOOD, Calif. , Sept. 26, 2023 /PRNewswire/ - Spin Master Corp. (TSX: TOY) (www.spinmaster.com), a leading global children's entertainment company, announced today that it will produce a third feature film for its preschool powerhouse franchise PAW Patrol.
4 Entertainment Stocks Gurus Are Tuning Into as Writers Strike Agreement Reached
After nearly 150 days, the Hollywood writers strike appears to be coming to an end.
Hollywood prepares for partial return to work after writers' deal
Producers of television talk shows were making plans on Monday to return to the air for the first time in five months after Hollywood writers reached a tentative deal to end a work stoppage that had shut down production.
Big Media Stocks Backtrack In Jittery Market; Theater Chains Soar On Tentative WGA Deal
Big media shares, which rose in pre-market trading Monday, opened lower at the bell and are still trending down midday after the Writers Guild reached a tentative deal with studios to end their prolonged strike.
Media Stocks Fluctuate After Writers Guild Reaches Tentative Deal With Studios
Shares of media companies jumped in pre-market trading on Monday before giving back those gains, after Hollywood writers reached a tentative agreement with major studios over the weekend.
PARA Stock Alert: Paramount Gains on Tentative Writer Strike Deal
Paramount Global (NASDAQ: PARA ) stock and other Hollywood studios rose slightly on word of a tentative agreement in the writers' strike. Since the strike began May 2, PARA stock has fallen 46%.
Hollywood writers deal pushes Warner Bros and Paramount stocks higher as the strike nears its end after 146 days
Paramount and Warner Bros. Discovery stocks climbed on Monday on news of a deal to end the writers strike.
Even as Nio Keeps Falling, These Stocks Are Bouncing Back Monday
Nio shares fell further as the EV maker closed on its $1 billion financing package. Media stocks got a boost on reports of a possible resolution to the screenwriters' strike.
At $13, Is Paramount Stock Deeply Undervalued?
Paramount Global stock (NASDAQ: PARA) has had a tough year, declining by about 21% year-to-date, underperforming the S&amp;P 500 which has risen by about 13% over the same
Paramount Global and Netflix stock boosted by possible end to writer's strike as Nike shares slip on downgrade
Paramount Global PARA stock rose 3% and Netflix shares NFLX rose 1%, as the Writers Guild of America said a tentative deal has been reached to end the screenwriters strike after nearly five months.
Hollywood writers and studios reach tentative deal to end strike after nearly 150 days
Talks between the Writers Guild of America and the Alliance of Motion Picture and Television Producers resumed this week after months of starts and stops.</t>
  </si>
  <si>
    <t>Paramount Global</t>
  </si>
  <si>
    <t xml:space="preserve">
    Market Cap (intraday)   8.52B
         Enterprise Value  23.94B
             Trailing P/E     NaN
              Forward P/E    9.62
PEG Ratio (5 yr expected)    0.53
        Price/Sales (ttm)    0.28
         Price/Book (mrq)    0.39
 Enterprise Value/Revenue    0.80
  Enterprise Value/EBITDA -127.36</t>
  </si>
  <si>
    <t>California Climate Credit Helps PG&amp;E Customers Transition to Low-Carbon Future
PG&amp;E Residential Customers Will Receive a $38.39 Bill Credit OAKLAND, Calif. , Oct. 2, 2023 /PRNewswire/ -- For the second time this year, more than five million Pacific Gas and Electric Company (PG&amp;E) customers will automatically receive the California Climate Credit on their energy bill.
PG&amp;E's $6 Billion Plan to Prevent Wildfires Is in Peril
California regulators are likely to significantly restrict the number of power lines the company can bury in the coming years in favor of other ways to reduce fire risk.
PG&amp;E Reminds Customers to Stay Focused on Safety When Traveling
OAKLAND, Calif. , Sept. 29, 2023 /PRNewswire/ -- With the holiday travel season just around the corner, Pacific Gas and Electric Company (PG&amp;E) reminds its customers to prepare for the unexpected when traveling away from home.
Don't Miss the Boom: 7 Utilities Stocks Set to Explode Higher
Amid a still-stubbornly high backdrop of inflation, the narrative for utilities stocks to buy stands as a cynical bright spot. Basically, everyone must pay their bills associated with core services.
Driving a Clean Energy Future: PG&amp;E Celebrates National Drive Electric Week
PG&amp;E Advancing EV Technology to Unlock California's Clean Energy Future; Helping to Make EV Ownership More Affordable for All Customers  OAKLAND, Calif. , Sept. 26, 2023 /PRNewswire/ -- In recognition of National Drive Electric Week (Sept.
Ticking Time Bombs: 3 Energy Stocks to Dump Before the Damage Is Done
The energy market in 2023 is facing a paradoxical situation. On one hand, oil and gas prices have largely rebounded from their historic lows in 2020 and 2021, thanks to geopolitics around the Russian-Ukrainian war and the supply constraints imposed by OPEC and its allies.</t>
  </si>
  <si>
    <t>PG&amp;E Corporation</t>
  </si>
  <si>
    <t xml:space="preserve">
    Market Cap (intraday) 40.35B
         Enterprise Value 95.25B
             Trailing P/E  17.73
              Forward P/E  11.95
PEG Ratio (5 yr expected)   1.28
        Price/Sales (ttm)   1.54
         Price/Book (mrq)   1.70
 Enterprise Value/Revenue   4.28
  Enterprise Value/EBITDA  13.98</t>
  </si>
  <si>
    <t>Investors Heavily Search PulteGroup, Inc. (PHM): Here is What You Need to Know
PulteGroup (PHM) has been one of the stocks most watched by Zacks.com users lately. So, it is worth exploring what lies ahead for the stock.
Dive Into Dividends: Top 5 Bargain Growth Stocks to Buy
Applied Materials (AMAT), PulteGroup (PHM), Arcos Dorados (ARCO), McKesson (MCK) and NetEase (NTES) could be compelling picks for investors in the current scenario.
U.S. new-home sales fall 8.7% in August amid high mortgage rates
The numbers: Sales of newly built homes in the U.S. fell in August as interest rates and home prices stayed elevated, dampening buyer demand.
The End of Policy Rate Hikes? Global Week Ahead
The Fed kept interest rates steady last week, but projected monetary policy will remain significantly tighter through 2024 than previously expected.
These Are The 12 Stocks Driving The S&amp;P 500 Higher In 2023
The S&amp;P 500 is up 12.5% so far in 2023, even with the market correction. But an equal-weight ETF is up just 1%.</t>
  </si>
  <si>
    <t>PulteGroup</t>
  </si>
  <si>
    <t xml:space="preserve">
    Market Cap (intraday) 16.25B
         Enterprise Value 16.87B
             Trailing P/E   6.16
              Forward P/E   6.54
PEG Ratio (5 yr expected)   0.41
        Price/Sales (ttm)   0.99
         Price/Book (mrq)   1.67
 Enterprise Value/Revenue   0.99
  Enterprise Value/EBITDA   4.55</t>
  </si>
  <si>
    <t>Exclusive: Edwards Lifesciences targeted in EU antitrust raid last week - sources
Edwards Lifesciences was raided by EU antitrust regulators at one of its facilities in an EU country a week ago, two people with direct knowledge of the matter told Reuters on Tuesday.</t>
  </si>
  <si>
    <t>Edwards Lifesciences</t>
  </si>
  <si>
    <t xml:space="preserve">
    Market Cap (intraday) 42.12B
         Enterprise Value 41.29B
             Trailing P/E  30.65
              Forward P/E  24.63
PEG Ratio (5 yr expected)   4.08
        Price/Sales (ttm)   7.54
         Price/Book (mrq)   6.61
 Enterprise Value/Revenue   7.30
  Enterprise Value/EBITDA  21.49</t>
  </si>
  <si>
    <t>Capital One: Macro Uncertainty Warrants Caution Despite Cheap Valuation
Capital One trades at an attractive valuation but faces risks from consumer credit trends, stress tests, and an uncertain economic environment. Provisions for credit losses are rising, and the bank may confront regulatory constraints on capital returns. The macroeconomic environment adds complications that could negatively impact credit performance, but earnings upside is possible due to higher interest rates and solid cost control.
These 7 Stocks Show How Warren Buffett Is Zigging While Most Investors Zag
While many investors avoided bank stocks because of the banking crisis, Buffett saw an opportunity. He has also upped Berkshire Hathaway's stake in five stocks that most U.S. investors know little about.
Banks Have Problems but Their Stocks Are Cheap. 5 Worth a Look.
Higher interest rates, which were supposed to be a savior for the sector, have instead led to many problems.
3 Warren Buffett Stocks That are Moving into the Buy Zone
Warren Buffett is known for his penchant for buying “forever" stocks. The legendary investor has a strategy that may be boring for many investors.</t>
  </si>
  <si>
    <t>Capital One</t>
  </si>
  <si>
    <t xml:space="preserve">
    Market Cap (intraday) 37.02B
         Enterprise Value    NaN
             Trailing P/E   7.39
              Forward P/E   7.29
PEG Ratio (5 yr expected)   5.21
        Price/Sales (ttm)   1.04
         Price/Book (mrq)   0.68
 Enterprise Value/Revenue    NaN
  Enterprise Value/EBITDA    NaN</t>
  </si>
  <si>
    <t>Insider Trouble: 3 Stocks to Exit ASAP
Inherently an uncomfortable topic, the concept of stocks to sell arouses significant emotions. Much like sports fans hearing criticisms about their favorite team, a sense of honor is perceived to be violated.
Ticking Time Bombs: 3 Blue-Chip Stocks to Dump Before the Damage Is Done
While it's an uncomfortable topic, investors need to get serious about certain blue-chip stocks to sell. As some of the biggest and most popular enterprises, the blue chips don't inherently seem a place to look for red flags.
Campbell Soup (CPB) Benefits From Savings Plan Amid High Costs
Campbell Soup's (CPB) strategy of concentrating on supply-chain efficiencies and curtailing costs and reinvesting part of these savings in areas with high-growth potential bodes well.</t>
  </si>
  <si>
    <t>Campbell Soup Company</t>
  </si>
  <si>
    <t xml:space="preserve">
    Market Cap (intraday) 12.24B
         Enterprise Value 17.02B
             Trailing P/E  14.41
              Forward P/E  13.24
PEG Ratio (5 yr expected)   2.34
        Price/Sales (ttm)   1.32
         Price/Book (mrq)   3.34
 Enterprise Value/Revenue   1.82
  Enterprise Value/EBITDA   9.99</t>
  </si>
  <si>
    <t>Here are 11 stocks Jim Cramer is watching, including Buffett's Berkshire and restaurant stocks
Here are some of the tickers on my radar for Friday, Sept. 29, taken directly from my reporter's notebook.
Should You Pick Humana Over CSX Stock For The Next Three Years?
We believe Humana stock (NYSE: HUM) is a better pick than CSX stock (NYSE: CSX), given its better prospects.</t>
  </si>
  <si>
    <t xml:space="preserve">
    Market Cap (intraday) 61.69B
         Enterprise Value 79.05B
             Trailing P/E  15.53
              Forward P/E  15.02
PEG Ratio (5 yr expected)   2.52
        Price/Sales (ttm)   4.24
         Price/Book (mrq)   5.03
 Enterprise Value/Revenue   5.26
  Enterprise Value/EBITDA  10.26</t>
  </si>
  <si>
    <t>Is the Grinch Stealing This Year's Holiday Season Jobs?
United Parcel Service Inc. NYSE: UPS is among logistics companies that are proceeding cautiously this year, in anticipation of a slower holiday season.
3 Stocks to Sell Ahead of the Coming VIX Spike
Uncertainty is something that we can evaluate in the financial markets in general. There are many tools and indicators that we can monitor to visualize and quantify uncertainty at a general level in the markets, but there is something that is completely individual and that is risk aversion.</t>
  </si>
  <si>
    <t>Expeditors International</t>
  </si>
  <si>
    <t xml:space="preserve">
    Market Cap (intraday) 16.95B
         Enterprise Value 15.78B
             Trailing P/E  17.11
              Forward P/E  22.03
PEG Ratio (5 yr expected)    NaN
        Price/Sales (ttm)   1.43
         Price/Book (mrq)   6.63
 Enterprise Value/Revenue   1.25
  Enterprise Value/EBITDA  10.46</t>
  </si>
  <si>
    <t>Fastenal Company Announces Conference Call to Review 2023 Third Quarter Earnings
WINONA, Minn.--(BUSINESS WIRE)--Fastenal Company (Nasdaq:FAST) announced the date and time for its conference call to review 2023 third quarter results, as well as current operations. The conference call will be broadcast live over the Internet on Thursday, October 12, 2023 at 9:00 a.m. central time. To access the call, please visit the following Web address: https://investor.fastenal.com/events.cfm Our conference call presentation (which includes information, supplemental to that contained in.</t>
  </si>
  <si>
    <t>Fastenal</t>
  </si>
  <si>
    <t xml:space="preserve">
    Market Cap (intraday) 31.22B
         Enterprise Value 31.59B
             Trailing P/E  27.88
              Forward P/E  25.19
PEG Ratio (5 yr expected)   2.97
        Price/Sales (ttm)   4.33
         Price/Book (mrq)   9.23
 Enterprise Value/Revenue   4.36
  Enterprise Value/EBITDA  18.80</t>
  </si>
  <si>
    <t>SEC to Settle WhatsApp Probe With Fifth Third (FITB) &amp; Others
Under the deals being finalized with the SEC over the use of unauthorized messaging tools, Fifth Third (FITB), TFC and others are likely to pay fines and admit wrongdoing.
Dividend Growth Predictions For 15 Companies Announcing Annual Boosts In October
Fifteen long-term dividend growth companies, AbbVie among them, will announce their annual increases in October. Most of the increases will be in the single digit range, with 10%+ increases expected from A. O. Smith, Lincoln Electric and Waste Connections. Microsoft announced a 10% dividend increase in September, and we're still waiting for announcements from McDonald's and Lockheed Martin.
U.S. SEC nearing settlement with Wall Street firms over WhatsApp probe -sources
The U.S. Securities and Exchange Commission (SEC) is finalizing settlements with around two dozen Wall Street firms to resolve investigations into record-keeping lapses, said two people with knowledge of the matter.</t>
  </si>
  <si>
    <t>Fifth Third Bank</t>
  </si>
  <si>
    <t xml:space="preserve">
    Market Cap (intraday) 17.25B
         Enterprise Value    NaN
             Trailing P/E   7.24
              Forward P/E   7.81
PEG Ratio (5 yr expected)   5.58
        Price/Sales (ttm)   2.01
         Price/Book (mrq)   1.10
 Enterprise Value/Revenue    NaN
  Enterprise Value/EBITDA    NaN</t>
  </si>
  <si>
    <t>Harvesting Security: 3 Agriculture Stocks to Buy for a Storm-Steady Portfolio
If you have your finger on the geopolitical pulse, your next best move could potentially be to target agriculture or Ag stocks. Why? Fundamentally, the underlying ag stocks industry responds to supply and demand.
These 3 Materials Stocks Delivering High-Dividend Yields Are Recommended By Wall Street's Most Accurate Analysts - Chemours (NYSE:CC), FMC (NYSE:FMC)
During times of turbulence and uncertainty in the markets, many investors turn to dividend-yielding stocks. These are often companies that have high free cash flows and reward shareholders with a high dividend payout.
INVESTOR ACTION ALERT: The Schall Law Firm Announces it is Investigating Claims Against FMC Corporation and Encourages Investors with Losses to Contact the Firm
LOS ANGELES, CA / ACCESSWIRE / October 2, 2023 / The Schall Law Firm, a national shareholder rights litigation firm, announces that it is investigating claims on behalf of investors of FMC Corporation ("FMC" or "the Company") (NYSE:FMC) for violations of the securities laws. The investigation focuses on whether the Company issued false and/or misleading statements and/or failed to disclose information pertinent to investors.
SHAREHOLDER ALERT: Pomerantz Law Firm Investigates Claims On Behalf of Investors of FMC Corporation -- FMC
NEW YORK , Sept. 29, 2023 /PRNewswire/ -- Pomerantz LLP is investigating claims on behalf of investors of FMC Corporation ("FMC" or the "Company") (NYSE: FMC).
Why FMC Could Fly Once Demand Improves
FMC Corporation, a major player in the agriculture input sector, has experienced a decline in stock price but is poised for a comeback. Weakness in sales volume and adverse market conditions have impacted FMC, but the company's innovative portfolio and product pipeline offer potential for growth. FMC Corporation's positive outlook, improved margins, and healthy balance sheet suggest a brighter future, but investors should be cautious of potential cyclical risks.
FMC Corp (FMC) Gains on Pricing &amp; New Products Amid Demand Woes
While FMC Corp (FMC) faces headwinds from inventory de-stocking, it benefits from its portfolio strength, new product launches and pricing actions.
INVESTOR ACTION NOTICE: The Schall Law Firm Announces it is Investigating Claims Against FMC Corporation and Encourages Investors with Losses In Excess of $100,000 to Contact the Firm
LOS ANGELES, CA / ACCESSWIRE / September 27, 2023 / The Schall Law Firm, a national shareholder rights litigation firm, announces that it is investigating claims on behalf of investors of FMC Corporation ("FMC" or "the Company") (NYSE:FMC) for violations of the securities laws. The investigation focuses on whether the Company issued false and/or misleading statements and/or failed to disclose information pertinent to investors.
Wall Street analysts expect the S&amp;P 500 to rise 19% over the next 12 months. Here are their 10 favorite stocks.
Outside of a handful of highflying technology stocks, U.S. stocks have been practically flat in 2023, but on Wall Street, some analysts remain as bullish as ever.
Top 4 Materials Stocks Which Could Rescue Your Portfolio This Month - Albemarle (NYSE:ALB), FMC (NYSE:FMC)
The most oversold stocks in the materials sector presents an opportunity to buy into undervalued companies.
INVESTIGATION ALERT: The Schall Law Firm Announces it is Investigating Claims Against FMC Corporation and Encourages Investors with Losses to Contact the Firm
LOS ANGELES, CA / ACCESSWIRE / September 25, 2023 / The Schall Law Firm, a national shareholder rights litigation firm, announces that it is investigating claims on behalf of investors of FMC Corporation ("FMC" or "the Company") (NYSE:FMC) for violations of the securities laws. The investigation focuses on whether the Company issued false and/or misleading statements and/or failed to disclose information pertinent to investors.
Analysts Predict A 19% Surge For The S&amp;P 500 Soon — Lifted By 10 Stocks
It's been a rough half of the year for the S&amp;P 500 — with it slipping nearly 3%. But that's not stopping analysts from bullish calls.
FMC Corporation names Jacqueline Scanlan as new chief human resources officer
PHILADELPHIA , Sept. 25, 2023  /PRNewswire/ -- FMC Corporation (NYSE: FMC) announced today that Jacqueline (Jackie) Scanlan has been named executive vice president and chief human resources officer (CHRO).</t>
  </si>
  <si>
    <t>FMC Corporation</t>
  </si>
  <si>
    <t xml:space="preserve">
    Market Cap (intraday)  8.35B
         Enterprise Value 12.09B
             Trailing P/E  11.67
              Forward P/E   9.43
PEG Ratio (5 yr expected)   2.78
        Price/Sales (ttm)   1.58
         Price/Book (mrq)   2.49
 Enterprise Value/Revenue   2.26
  Enterprise Value/EBITDA  10.00</t>
  </si>
  <si>
    <t>GM Financial to Release Third Quarter 2023 Operating Results
FORT WORTH, Texas--(BUSINESS WIRE)--GENERAL MOTORS FINANCIAL COMPANY, INC. (“GM Financial” or the “Company”) will release its third quarter 2023 operating results on Tuesday, October 24, 2023. The press release and earnings presentation for fixed income investors will be posted to the Investor Relations section of the Company's website at www.gmfinancial.com. Questions on the materials should be directed to GM Financial's Investor Relations Department. The company's subsequent earnings announce.
GM lays off 164 more workers due to UAW strike
General Motors furloughed another 160 workers on Monday as a result of the United Auto Workers union's strike against the automaker and rivals Ford and Stellantis.
GM, Stellantis face $9.5 billion in fuel economy fines -- letter
The Biden administration proposal to hike fuel economy standards through 2032 would cost General Motors $6.5 billion in fuel economy fines and Chrysler parent Stellantis $3 billion, according to a letter seen by Reuters.
GM vs. FOXF: Which Stock Is the Better Value Option?
Investors with an interest in Automotive - Domestic stocks have likely encountered both General Motors Company (GM) and Fox Factory Holding (FOXF). But which of these two companies is the best option for those looking for undervalued stocks?
UAW strike against Ford, GM, Stellantis cost US economy nearly $4B so far
The United Auto Workers' strike against Detroit's Big Three automakers is in its third week, and has so far cost $3.95 billion in losses to the U.S. economy.
GM furloughs another 160 workers due to UAW strike
General Motors said Monday it is indefinitely laying off about 160 workers at plants in Indiana and Ohio because of the impact of the United Auto Workers strike of some facilities.
Ticking Time Bombs: 3 ESG Stocks to Dump Before the Damage Is Done
The jury is still out on ESG stocks from the perspective of judging their returns. Some shares have outperformed while others have not.
From UPS to Detroit Three automakers, US labor unions flex muscle
A tight U.S. labor market, the expiry of union contracts and high living costs have led to tough negotiations for pay hikes and benefits from workers and triggered strikes and protests across industries.
U.S. Auto Sales Set To Rise In Q3. Here's How Much GM, Ford May Gain.
Citing expectations for strong auto sales in Q3, some analysts have hiked their forecast for the full year.
Ticking Time Bombs: 3 Auto Stocks to Dump Before the Damage Is Done
The so-called “Big Three” auto companies have become auto stocks to sell. They have been impacted very negatively as a result of the ongoing United Auto Worker (UAW) strikes.
UAW Reaches Deal With Mack Trucks. What It Means for Ford and GM.
The union says that nearly 4,000 of the truck maker's workers in Pennsylvania, Maryland and Florida struck a tentative deal just before the Sunday deadline.
UAW strike, jobs report and Tesla deliveries top Wall Street's week ahead
Wall Street is keeping close tabs on the UAW strike against Ford, GM and Stellantis as it drags into its third week as well as three key reports on the job market.
Ticking Time Bombs: 3 Warren Buffett Stocks to Dump Before the Damage Is Done
In every sport in the world there is always a great exemplary sportsman, someone that everyone admires and wants to follow in his footsteps, in our world of financial markets, that great exemplar and teacher for everyone is the great Warren Buffett, better known as the Oracle of Omaha. Following in his footsteps, studying his investment portfolio and continuously analyzing his movements, can help us make good investment choices, but it can also help us prevent substantial losses.
3 Warren Buffett Stocks That Could Rocket at Least 34% Higher, According to Wall Street
GM is making big moves in EVs and AVs, but has yet to get credit for it. Amazon is making changes to ramp up its profitability.
Tapping Into Trends: 7 Consumer Discretionary Stocks Set to Skyrocket
Recent comments by Bank of America (NYSE: BAC ) CEO Brian Moynihan have increased my confidence in my thesis that the U.S. is heading for “a soft landing.” Specifically, Moynihan said the U.S. Federal Reserve already achieved “a soft landing.
UAW drops unfair labor practice charges against GM, Stellantis
The United Auto Workers dropped unfair labor practice charges against General Motors and Chrysler-parent Stellantis on Friday.
UAW Strike Is Effectively Messy Now, But End Game May Not Turn Out Well
United Auto Workers president Shawn Fain is using unprecedented tactics and fiery rhetoric in the strike. But that may not save the union in the long run.
United Auto Workers ratchet up strikes against GM and Ford, leave Stellantis as is
The United Auto Workers has expanded its strike against the big three automakers with workers at an additional General Motors Company (NYSE:GM) and Ford Motor Company (NYSE:F) plant each joining the cause, UAW President Shawn Fain announced Friday.  Specifically, new strikes are targeting GM's Lansing Delta Township plant in Michigan which builds the Buick Enclave and Chevrolet Traverse crossovers, and Ford's Chicago Assembly plant in Illinois, which produces the Ford Explorer and Lincoln Aviator SUVs.
Detroit Three facilities where UAW is on strike
The United Auto Workers will walk off the job at an additional plant each at General Motors and Ford Motor , but will spare Chrysler parent Stellantis after last-minute concessions, chief Shawn Fain said on Friday.
Explainer: UAW expands strike against GM, Ford in Week 3, spares Stellantis
The United Auto Workers (UAW) union on Friday expanded its coordinated U.S. strike, this time targeting a plant at General Motors and Ford Motor but refraining from an additional walkout from Chrysler parent Stellantis.
VIEW UAW set to expand strike at Ford, GM
The United Auto Workers will walk off the job at an additional plant each at General Motors and Ford , but will spare Stellantis after last-minutes concessions by the Chrysler parent, union president Shawn Fain said on Friday.
UAW Expands Strike Against GM and Ford, Sparing Stellantis After Last-Minute Progress
The United Auto Workers (UAW) expanded its strike against General Motors (GM) and Ford (F), but not Stellantis (STLA), citing progress in negotiations right before Friday's deadline.
UAW expanding strike to Ford, GM plants in Chicago, Lansing — picket lines at 25K
"Despite our willingness to bargain Ford and GM have refused to make meaningful progress," UAW President Shawn Fain said.
‘Fed up' US autoworkers expand strikes against GM and Ford
UAW president Shawn Fain says members ‘fed up with corporate greed' as another 7,000 workers to strike at GM and Ford plants
UAW Widens Strike, Adds Ford, Gives Stellantis a Break
In a Friday morning announcement, United Auto Workers union President Shawn Fain announced that a total of 7,000 more UAW members will strike Ford Motor Co. (NYSE: F) and General Motors Co. (NYSE: GM) assembly plants in Chicago and Lansing, Michigan, respectively, beginning at noon ET Friday.
UAW to expand strike at Ford, General Motors
The United Auto Workers (UAW) union will walk off the job at an additional plant at General Motors and at Ford, President Shawn Fain said on Friday, as the first-ever simultaneous strike against the Detroit Three automakers enters its third week.
UAW strike expands to 25,000 workers after new call for walkouts at GM, Ford plants
The United Auto Workers strike is set to expand Friday at noon Eastern time at a Ford Motor assembly plant in Chicago and a General Motors plant in Delta Township, Mich., a move that would bring the total number of striking auto workers to about 25,000.
Autoworkers Expand Strike At Ford And GM—But Not Stellantis
UAW's strike against the big three is entering its third week.
UAW to expand strike at Ford and GM, Fain says
The United Auto Workers union is expanding its strike to additional facilities of automakers Ford and GM, the UAW head said on Friday, adding that additional Stellantis members will not be called to go on strike.
Autoworkers Union Expands Strike To More Factories
The union's president called on more workers to walk out at Ford and General Motors, but cited progress at Stellantis.
U.A.W. Will Expand Strikes at Ford and G.M.
The United Automobile Workers union said more of its members would walk off the job two weeks after it began strikes at the Big Three automakers.
UAW announces new strikes at GM and Ford plants, spares Stellantis citing 'momentum' in talks
The additional strikes come one week after a similar strike expansion at GM and Stellantis.
Autoworkers strike could expand significantly again
The United Auto Workers' strike against General Motors, Ford and Stellantis, which makes cars under the Chrysler, Dodge, Jeep and Ram brands, has entered its 15th day. Follow here for the latest.
Ticking Time Bombs: 3 Manufacturing Stocks to Dump Before the Damage Is Done
The manufacturing sector is one of the pillars of the global economy, producing goods and services that are essential for various industries and consumers. However, the sector is facing multiple challenges in 2023, as the worsened economic outlook, rising geopolitical risks, and volatility in the energy and commodities markets will put pressure on manufacturers' performances.
Latest News: UAW, PGA, Disney, Nike, Apple
United Auto Workers president Shawn Fain will announce the union's next move at 10 am ET on Friday.
Automakers grow frustrated over pace of UAW negotiations as new deadline looms
Frustrations remain around key economic demands and what some see as a lack of urgency by the union to reach a deal, according to people familiar.
Canadian union Unifor sets Oct 9 deadline for GM negotiations
Canadian union Unifor said on Thursday it has informed General Motors that Oct. 9 has been set as the deadline for negotiating a deal with the automaker.
UAW Strike Compromise Hopes Rise, Lifting Auto Stocks. But It Could Get Worse.
Auto stocks rose Thursday on a report that striking autoworkers are lowering pay raise demands. But a Friday deadline looms.
What Would Happen To Michigan's Communities If Ford And GM Left?
The closing of a factory or plant does not have to be the end of the story. Places can reinvent themselves, and in the process build an even stronger community.
GM reportedly slammed Ford over its plan to use Chinese battery technology in EVs
General Motors and Ford appear to be feuding over the use of Chinese battery technology in electric cars.  GM executives have reportedly warned that Ford's use of the tech could give China a boost.
U.A.W. Strike Strains a Fragile Auto Supply Chain
Prolonged and expanding strikes by the United Automobile Workers union could hurt drivers, car dealers and auto parts suppliers.
Ford Family Gets $42 Million, GM Management $3 Million
24/7 Wall St. asked Ford management to tell us how much the Ford family makes from the dividends on the shares they own.
GM, Ford, Stellantis could reportedly see more UAW strikes this week
United Auto Workers strikes at more plants belonging to General Motors, Stellantis and Ford could reportedly come Friday, depending on the status of negotiations.
More UAW Strikes Could Be Coming. Why This Might Not End Soon.
The UAW said it is prepared to announce more strike targets on Friday, "barring significant progress."
UAW could expand strike again on Friday
United Auto Workers President Shawn Fain is scheduled to address union members at 10 a.m. Eastern time on Friday and could announce new strike targets if there's no progress in the negotiations, the union said Wednesday.
Autoworkers union may expand its strike again
The United Auto Workers union is preparing to announce a possible expansion of its strike against General Motors, Stellantis and maybe Ford this Friday if there isn't more progress in talks, a union source familiar with plans said Wednesday.
Teamsters union asks NHTSA to deny GM's bid to exempt Cruise from safety standards
The Teamsters union said on Wednesday it has asked the National Highway Traffic Safety Administration to deny General Motors' request to exempt the company's autonomous vehicle unit Cruise Origin from the federal government's vehicle safety standards.
UAW again threatens to expand strikes at Detroit automakers if progress isn't made by Friday
Auto workers initially went on strike on Sept. 15, shutting down one assembly plant each for GM, Ford and Stellantis.
UAW plans to strike additional auto targets absent serious progress Friday -- source
The United Auto Workers (UAW) union plans to strike additional Detroit Three automotive facilities on Friday absent serious progress, a source told Reuters.
Biden supports UAW bargaining for a 40% raise — Elon Musk says it would bankrupt the automakers
After President Biden joined the United Auto Workers picket line and expressed his support for a 40% wage increase, Elon Musk took to X to align himself with the automakers.  UAW workers, which are striking General Motors Company (NYSE:GM), Ford Motor Company (NYSE:F) and Stellantis NV (NYSE:STLA, EPA:STLA)simultaneously, “deserve a significant raise,” Biden told picketers.
Dubai to start robotaxi trials next month in major autonomous push
Dubai is rolling out its first round of robotaxis next month, as a part of a plan to alleviate congestion and accidents.
Investors Heavily Search General Motors Company (GM): Here is What You Need to Know
General Motors Company (GM) has been one of the stocks most watched by Zacks.com users lately. So, it is worth exploring what lies ahead for the stock.
UAW strikes threaten already vulnerable auto parts suppliers
In the face of prolonged strikes, some smaller suppliers are cutting workers or announcing plans to do so.
Elon Musk says UAW demands will ‘bankrupt' auto makers ‘in the fast lane'
Elon Musk said demands by the United Auto Workers could quickly bankrupt the big auto makers as the strike by the UAW drew unprecedented support from President Joe Biden.
Elon Musk says the UAW's strike demands will drive America's big 3 automakers 'bankrupt'
Elon Musk hit out at the United Auto Workers in a post on X on Tuesday.  The Tesla CEO said the union's demands would "drive GM, Ford and Chrysler bankrupt".
Striking UAW members hit by car outside Michigan GM plant
Five UAW members who were striking outside of a General Motors plant near Flint suffered minor injuries after being struck by a vehicle, reports say.
Analysis: Tesla's rivals scrap for thin slices of US EV sales
Ford Motor's decision to hit the brakes on a planned $3.5 billion battery plant in Michigan highlights a challenge for Tesla's growing crowd of rivals in the U.S. market: Tesla is pushing most of them into unprofitable, low-volume niches.
This Ford vs. GM Feud Could Shape the Future of EVs in America
The Biden administration's decision on a $7,500 tax credit could determine China's role in the U.S. electric-vehicle industry.
Tesla CEO Elon Musk Says UAW Demands Could Bankrupt Ford, GM
President Biden supported the UAW's demands for a 40% pay increase as he joined the picket line in Michigan.
3 No-Brainer Stocks to Buy With $200 Right Now
Although the major stock indexes have rallied in 2023, they remain well below record-closing highs. Most online brokerages have removed investment barriers, making it easier than ever for everyday investors to put their money to work.
UAW strike brings fight to consumers, worsening car-parts shortages already plaguing the industry
The United Auto Workers strike has brought the threat of service and maintenance disruptions, just as wait times at the dealerships were already getting long.
Biden tells UAW picket line: ‘Stick with it, because you deserve a significant raise'
President Joe Biden offered praise and encouragement Tuesday to striking members of the United Auto Workers union, as he took the unprecedented step of joining them at a picket line in Belleville, Mich.
The UAW Strike Is Not All Bad News for Consumers: Here's Why
The United States is experiencing a significant surge in labor strikes, involving various unions and industries. The result of these strikes is a cumulative 4.1 million lost workdays last month, the highest in over two decades.
Biden Heads for the Barricades
After little more than a week, the United Auto Workers (UAW) strike gets a visit Tuesday from President Biden, who will travel to Michigan to join the picket line.
UAW Unrest: 3 Auto Stocks to Avoid as the Labor Strike Drags On
The United Auto Workers (UAW) strike is expanding in a move that will surely hurt the U.S. economy and auto stocks as a whole. Investment bank Morgan Stanley (NYSE: MS ) recently estimated that a full month of lost automotive production would cost General Motors (NYSE: GM ), Ford Motor (NYSE: F ) and Stellantis (NYSE: STLA ) combined $7 billion to $8 billion in lost profits.
Why Ford Has Been More Willing to Work With the UAW Than GM or Stellantis.
Ford is doing better with labor than either GM or Stellantis. How Come? And is that good news for the stock?
Time to Buy or Stay Clear of General Motors and Ford Stock as UAW Strike Continues?
Investors may be wondering if they should still buy General Motors (GM) and Ford (F) stock for longer-term opportunities or stay clear at the moment.
Canadian auto workers to target GM next, after union ratifies deal with Ford
DETROIT — Canadian auto workers say General Motors will be their next target after members ratified a new three-year labor contract with Ford.
Auto Workers' Strike Hits 11 Days. The Economic Cost Is Spiraling.
GM and Stellantis are grappling with a widening U.S. auto workers' strike. Ford has been spared the strike's expansion to auto parts plants.
Canadian union Unifor names GM its second bargaining 'target' among Detroit Three
Canadian union Unifor on Monday announced General Motors as its second bargaining "target" in contract talks with the Detroit Three, a day after ratifying a new three-year contract with Ford Motor.
UAW Strike Escalates: Who Stands to Gain and Lose?
UAW strike intensifies, affecting the U.S. auto industry, legacy automakers, suppliers, and the steel industry. Tesla and other non-unionized manufacturers may gain, but consumers may feel the pinch if the strike drags on.
Betting Big: 3 Unloved Stocks Primed for a Breakout.
In the ever-dynamic stock market, where trending equities often grab headlines, there's a compelling case for turning to unloved stocks to buy now. As the allure of top performers captures most investors, the market's subtle changes hint that these overlooked equities might soon have their day.
Fed's Wall of Worry: Government shutdown, UAW strike, student loan repayments and $90 oil
While the Federal Reserve has been busy battling inflation, a new crop of headwinds have emerged that could spell trouble for the U.S. economy</t>
  </si>
  <si>
    <t>General Motors</t>
  </si>
  <si>
    <t xml:space="preserve">
    Market Cap (intraday)  45.36B
         Enterprise Value 130.78B
             Trailing P/E    4.60
              Forward P/E    4.86
PEG Ratio (5 yr expected)    4.86
        Price/Sales (ttm)    0.28
         Price/Book (mrq)    0.63
 Enterprise Value/Revenue    0.77
  Enterprise Value/EBITDA    5.28</t>
  </si>
  <si>
    <t>Navigating M&amp;T Bank: A Hidden Gem Or A Lost Cause?
M&amp;T Bank is a nuanced hold with a $155 price target, suggesting limited upside. Sturdy foundation: Conservative lending, robust capital, consistent dividend. Challenges: Increased nonperforming loans, low credit allowance, projected negative revenue growth.
M&amp;T Bank Provides $1.22 Million to Community Revitalization Programs in Pennsylvania
Funding dedicated to 42 initiatives approved for state's Neighborhood Assistance Program HARRISBURG, Pa. , Sept. 27, 2023 /PRNewswire/ -- M&amp;T Bank (NYSE: MTB) has provided $1.22 million this year to 42 initiatives aimed at serving distressed communities or low-income neighborhoods in Pennsylvania through the state's Neighborhood Assistance Program (NAP).</t>
  </si>
  <si>
    <t>M&amp;T Bank</t>
  </si>
  <si>
    <t xml:space="preserve">
    Market Cap (intraday) 20.98B
         Enterprise Value    NaN
             Trailing P/E   7.38
              Forward P/E   8.76
PEG Ratio (5 yr expected)   1.73
        Price/Sales (ttm)   2.26
         Price/Book (mrq)   0.88
 Enterprise Value/Revenue    NaN
  Enterprise Value/EBITDA    NaN</t>
  </si>
  <si>
    <t>Mettler-Toledo: Precision Maker Is Off The Marks
Mettler-Toledo, a dominant player in weight instruments, has experienced significant valuation multiple compression due to a stagnant share price and lower earnings power. The company's sales have grown modestly over the years, with operating margins rising and share buybacks increasing earnings per share. Despite a falling share price, valuation multiples remain demanding at 26-27 times earnings, as higher interest rates reduce the appeal of investing in the stock.</t>
  </si>
  <si>
    <t>Mettler Toledo</t>
  </si>
  <si>
    <t xml:space="preserve">
    Market Cap (intraday) 24.23B
         Enterprise Value 26.30B
             Trailing P/E  27.90
              Forward P/E  23.53
PEG Ratio (5 yr expected)   2.20
        Price/Sales (ttm)   6.26
         Price/Book (mrq)    NaN
 Enterprise Value/Revenue   6.65
  Enterprise Value/EBITDA  20.60</t>
  </si>
  <si>
    <t>Dollar General Celebrates First Montana Store Grand Opening
COLUMBIA FALLS, Mont.--(BUSINESS WIRE)--Today, Dollar General marked a major milestone as it celebrated the grand opening of its first store in Montana. With the addition of the Columbia Falls store in Montana, DG now serves all 48 continental U.S. states. “Today marks an exciting milestone in our history as we extend our ability to provide customers with convenient and affordable access to household essentials throughout all 48 continental states,” said Steve Deckard, Dollar General's executiv.
Don't Miss the Boom: 3 Retail Stocks Set to Explode Higher
Right now, retail is undergoing a major shakeup. Consumer shopping habits have changed, perhaps permanently.
4 Dividend Stocks to Buy in Fall 2023
The American stock market has struggled in September 2023, a historically volatile month. The combination of higher interest rates and oil prices has taken the wind out of the market's momentum.
5 Stocks That Have Massive Upside According to Analysts
Analyst ratings are not perfect, but they're one of the better ways for investors to forecast future stock price movement. Here are five stocks that analysts believe have massive upside for patient, long-term investors.
Is It Time to Buy the S&amp;P 500's 4 Worst-Performing Stocks This Year?
Dollar General continues to struggle in the current macroeconomic environment. Enphase Energy and SolarEdge are facing challenges from higher interest rates.
Is Dollar General a Buy Now?
Dollar General sells low-cost necessities to local customers. The discount retailer has been seeing a shift in the way its customers shop.
Better Bargain Stock: Dollar General vs. Chewy
Chewy is growing sales at a faster clip, but it's less profitable. Investors might still prefer Chewy stock today given its bright long-term outlook.
Walmart Shines As Dollar Tree, Dollar General, Big Lots Stumble
Going by the performance of discount retailers, Wall Street sees more potential in Walmart Inc. NYSE: WMT than Dollar Tree Inc. NASDAQ: DLTR, Dollar General Corp. NYSE: DG or Big Lots Inc. NYSE: BIG
Is Now the Time to Go All In on Dollar General Stock?
Down 55% year to date, is DG stock a buy now?
7 Stocks That Should Be on Every Investor's Radar This Fall
As we head into Fall, it's a good time for investors to rebuild their watch list for the coming months. Despite the recent volatility, quality companies are still trading at reasonable prices, and many such companies have solid fundamentals.
What the Heck Is Happening With Dollar General Stock?
Dollar General's margins are compressing along as same-store sales growth stagnates. The company may finally be seeing a greater threat from e-commerce competition.</t>
  </si>
  <si>
    <t>Dollar General</t>
  </si>
  <si>
    <t xml:space="preserve">
    Market Cap (intraday) 23.22B
         Enterprise Value 40.90B
             Trailing P/E  10.84
              Forward P/E  13.48
PEG Ratio (5 yr expected)   2.06
        Price/Sales (ttm)   0.61
         Price/Book (mrq)   3.69
 Enterprise Value/Revenue   1.05
  Enterprise Value/EBITDA  10.52</t>
  </si>
  <si>
    <t>3 Warren Buffett Stocks That Could Rocket at Least 34% Higher, According to Wall Street
GM is making big moves in EVs and AVs, but has yet to get credit for it. Amazon is making changes to ramp up its profitability.
3 Underrated Warren Buffett Stocks That Are Smart Buys Right Now
Berkshire Hathaway recently initiated positions in three homebuilders: D.R. Horton, Lennar, and NVR.
Ticking Time Bombs: 3 Homebuilder Stocks to Dump Before the Damage Is Done
The housing market is in a tricky spot right now. Higher interest rates are causing problems and distortions in the market.
D.R. Horton Chicago Announces New Townhomes for Rent in Hampshire, IL
HAMPSHIRE, Ill.--(BUSINESS WIRE)--D.R. Horton's Chicago division announces its first townhome rental community which is being professionally managed by Greystar.
D.R. Horton, Inc. to Release 2023 Fourth Quarter and Fiscal Year-end Earnings on November 7, 2023
ARLINGTON, Texas--(BUSINESS WIRE)---- $DHI #earnings--D.R. Horton announced that it will release financial results for its fourth quarter and fiscal year ended September 30, 2023 on November 7, 2023.
U.S. new-home sales fall 8.7% in August amid high mortgage rates
The numbers: Sales of newly built homes in the U.S. fell in August as interest rates and home prices stayed elevated, dampening buyer demand.
Should Value Investors Buy D.R. Horton (DHI) Stock?
Here at Zacks, our focus is on the proven Zacks Rank system, which emphasizes earnings estimates and estimate revisions to find great stocks. Nevertheless, we are always paying attention to the latest value, growth, and momentum trends to underscore strong picks.</t>
  </si>
  <si>
    <t>D.R. Horton</t>
  </si>
  <si>
    <t xml:space="preserve">
    Market Cap (intraday) 36.36B
         Enterprise Value 39.13B
             Trailing P/E   7.65
              Forward P/E   8.26
PEG Ratio (5 yr expected)   0.61
        Price/Sales (ttm)   1.07
         Price/Book (mrq)   1.68
 Enterprise Value/Revenue   1.13
  Enterprise Value/EBITDA   6.21</t>
  </si>
  <si>
    <t>Advent International and Warburg Pincus Complete Acquisition of Baxter's BioPharma Solutions Business
BOSTON &amp; NEW YORK--(BUSINESS WIRE)--Advent International (“Advent”), one of the largest and most experienced global private equity investors, and Warburg Pincus, a leading global growth investor, today announced the completion of their previously announced acquisition of Baxter International Inc.'s (NYSE:BAX) BioPharma Solutions (BPS) business. The business will now be a standalone contract development and manufacturing organization (CDMO) operating under the name Simtra BioPharma Solutions (“S.</t>
  </si>
  <si>
    <t>Baxter International</t>
  </si>
  <si>
    <t xml:space="preserve">
    Market Cap (intraday) 19.11B
         Enterprise Value 34.31B
             Trailing P/E    NaN
              Forward P/E  12.79
PEG Ratio (5 yr expected)   2.64
        Price/Sales (ttm)   1.26
         Price/Book (mrq)   3.43
 Enterprise Value/Revenue   2.26
  Enterprise Value/EBITDA -35.97</t>
  </si>
  <si>
    <t>My Top 10 High Yield Dividend Stocks For October 2023
The market slide continues in September with the SPDR S&amp;P 500 Trust ETF dropping by 4.74%. The top 10 stocks on the watchlist for October 2023 offer a 4.33% dividend yield, more than double the S&amp;P 500. My top 10 list of high dividend yield stocks has generated an annualized rate of return of 10.29% since its inception in November 2020.
Tapping Into Trends: 7 Consumer Discretionary Stocks Set to Skyrocket
Recent comments by Bank of America (NYSE: BAC ) CEO Brian Moynihan have increased my confidence in my thesis that the U.S. is heading for “a soft landing.” Specifically, Moynihan said the U.S. Federal Reserve already achieved “a soft landing.
Ticking Time Bombs: 3 Dividend Stocks to Dump Before the Damage Is Done
Undoubtedly, investors are getting nervous with ongoing concerns of higher interest rates, inflation, and a weakening economy. However, one way to improve peace of mind is selling risky dividend stocks.
T-Mobile Plans to Pay a Dividend. Does That Make It the Best Buy Compared to Other Telecom Stocks?
T-Mobile is officially going to become a dividend stock. The company is going to pay its first dividend in the fourth quarter of 2023.
3 Retail Stocks to Sell Before the Damage Is Done
With recession fears on the rise, now might be a good time to consider the top retail stocks to sell in 2023. Indeed, with retail buyer's consumption patterns shifting, many investors are beginning to take a step back.
Why Is Best Buy (BBY) Down 10% Since Last Earnings Report?
Best Buy (BBY) reported earnings 30 days ago. What's next for the stock?
As Target, Best Buy and Walmart sales loom, foot traffic data indicates pent-up demand
Foot-traffic data points to pent-up demand ahead of October sales at Target Corp., Best Buy Co. Inc. and Walmart Inc., according to analytics company Placer.ai.
Ticking Time Bombs: 7 S&amp;P 500 Stocks to Dump Before the Damage Is Done
It's been a tough month for S&amp;P 500 stocks. September slumps are common, and this month is historically the worst for the index.</t>
  </si>
  <si>
    <t>Best Buy</t>
  </si>
  <si>
    <t>Computer &amp; Electronics Retail</t>
  </si>
  <si>
    <t xml:space="preserve">
    Market Cap (intraday) 15.12B
         Enterprise Value 18.06B
             Trailing P/E  11.98
              Forward P/E  11.42
PEG Ratio (5 yr expected)   1.61
        Price/Sales (ttm)   0.35
         Price/Book (mrq)   5.33
 Enterprise Value/Revenue   0.41
  Enterprise Value/EBITDA   6.83</t>
  </si>
  <si>
    <t>Drugmakers opt in to Medicare drug price negotiations – here's what happens next
The lengthy negotiation process with Medicare won't end until August 2024, with reduced prices going into effect in January 2026.
Drugmakers sign on to negotiate Medicare prices under protest
All the drugmakers that make the 10 prescription medicines subject to the first-ever price negotiations for the U.S. Medicare health program, including Amgen and Novartis , said they signed on to participate in the talks by the Oct. 1 deadline.
Big Pharma Can't Stop the Price-Negotiation Program. What's Next.
A federal judge dealt a blow to hopes for a near-term injunction to halt the federal government plan to let Medicare to pay less for a few expensive medicines.
Q4 Stock Predictions: 3 Pharma Stocks Ready to Roar Into 2024
With a few exceptions, pharmaceutical stocks have underperformed the broader market this year. The S&amp;P Pharmaceutical Index is down 3% year to date versus a 12% gain in the benchmark S&amp;P 500.
Bristol-Myers: Out Of Favor (Rating Upgrade)
Bristol-Myers Squibb stock has hit a new low and is currently out of favor in the market. The company's revenue has been affected by the loss of a key drug, but it has a strong pipeline of new drugs with potential for significant sales growth. The company announced a $4 billion ASR and already offers a nearly 4% dividend yield.
3 Dividend Stocks to Buy and Hold Until Retirement
Bristol Myers, Apple, and Verizon have been increasing their dividends in recent years. All three companies have sustainable payouts that should also rise in the future.
Will Bristol Myers Squibb Stock Rebound To Its Pre-Inflation Shock Level Of $80?
Returning to the pre-inflation shock level of over $80 means that BMY stock will have to gain more than 35% from here, and we think it will likely materialize over time.
Amphista Therapeutics Achieves First Milestone in Second Discovery Programme with Bristol Myers Squibb
PRESS RELEASE Amphista Therapeutics Achieves First Milestone in Second Discovery Programme with Bristol Myers Squibb Cambridge, UK, September 26 th , 2023 – Amphista Therapeutics (“the Company” or “Amphista”), a leader in next generation targeted protein degradation (TPD) approaches, today announces it has achieved the first milestone in the second active discovery programme under its strategic collaboration and license agreement with Bristol Myers Squibb (NYSE: BMY), triggering a payment for achieving the milestone. This follows the announcement of the first milestone achieved in the first discovery programme on May 4, 2023.
Bristol Myers Squibb to Report Results for Third Quarter 2023 on October 26, 2023
PRINCETON, N.J.--(BUSINESS WIRE)---- $bmy #bristolmyerssquibb--Bristol Myers Squibb to Report Results for Third Quarter 2023 on October 26, 2023.
Bristol Myers Squibb: Undervalued Already, But Could Go Lower
Following a potential false breakout, Bristol Myers Squibb declined about 27% from its previous all-time high, and the stock might decline further. The company is facing several risks - including political risks like Medicare trying to lower prices or Bristol Myers Squibb struggling to grow (aside from the Celgene acquisition). Even when assuming rather low growth rates, the stock still seems undervalued, and BMY seems like a solid investment.
Bristol Myers Squibb: Close To Fair Value, Headwinds For Next Few Years
Since Bristol Myers Squibb acquired Celgene for $74 billion in 2019, the stock price has faced challenges and stagnation. The company's defensive strategy to defend the value of its legacy products may not be successful, given impending patent expirations and pricing pressures. BMY envisions a transformation in its revenue composition by 2030, driven by a new product portfolio, but significant changes are unlikely in the next three years.
Week In Review: Everest Acquires Novel Autoimmune Therapy In $132 Million Agreement
Shanghai Everest Medicines acquired China/Asian rights to a novel therapy for autoimmune diseases from Kezar Life Sciences of South San Francisco in a deal worth $132.5 million. Once again, a big pharma has returned partnership rights for BeiGene's anti-PD-1 candidate to the China company. Shanghai AffaMed Therapeutics has treated the first patient in a China Phase III registrational study that will test the efficacy and safety of Dextenza as a therapy for ocular inflammation and pain following ophthalmic surgery.
Beware! 3 Healthcare Stocks Waving Massive Red Flags Right Now.
Healthcare stocks generally offer a lot of upside. The cost of healthcare is incredibly expensive in the United States and the companies that deliver it tend to do very well overall.
Top Wall Street analysts are bullish on these dividend stocks
TipRanks' analyst ranking service pinpoints Wall Street's best-performing stocks, including Chevron and Broadcom.</t>
  </si>
  <si>
    <t>Bristol Myers Squibb</t>
  </si>
  <si>
    <t xml:space="preserve">
    Market Cap (intraday) 121.25B
         Enterprise Value 151.71B
             Trailing P/E   15.44
              Forward P/E    7.35
PEG Ratio (5 yr expected)    0.47
        Price/Sales (ttm)    2.72
         Price/Book (mrq)    3.79
 Enterprise Value/Revenue    3.36
  Enterprise Value/EBITDA    7.65</t>
  </si>
  <si>
    <t>Are You Looking for a High-Growth Dividend Stock?
Dividends are one of the best benefits to being a shareholder, but finding a great dividend stock is no easy task. Does Invitation Home (INVH) have what it takes?</t>
  </si>
  <si>
    <t>Invitation Homes</t>
  </si>
  <si>
    <t>Single-Family Residential REITs</t>
  </si>
  <si>
    <t xml:space="preserve">
    Market Cap (intraday) 19.39B
         Enterprise Value 26.74B
             Trailing P/E  44.01
              Forward P/E  38.02
PEG Ratio (5 yr expected)   5.04
        Price/Sales (ttm)   8.30
         Price/Book (mrq)   1.89
 Enterprise Value/Revenue  11.44
  Enterprise Value/EBITDA  19.04</t>
  </si>
  <si>
    <t>L3Harris Sets Date for Third Quarter Earnings Release
MELBOURNE, Fla.--(BUSINESS WIRE)--L3Harris Technologies (NYSE:LHX) will release financial results for its third quarter on Thursday, Oct. 26, 2023, after market close. The company's results will be published in an Investor Letter and made available at L3Harris.com. The company will host a call on Friday, Oct. 27, 2023, at 8:30 a.m. ET. The call will last approximately 45 minutes and be focused on questions and answers. The dial-in numbers for the teleconference are (U.S.) 877-407-6184 and (Inte.
NASA to Taxpayers: The Boeing/Lockheed Space Launch System Is "Unaffordable"
Cost estimates for NASA's SLS moon rocket have quadrupled over just the past several years. Crunching the numbers, the GAO is all but ready to conclude that NASA cannot afford to keep building SLS rockets.</t>
  </si>
  <si>
    <t>L3Harris</t>
  </si>
  <si>
    <t xml:space="preserve">
    Market Cap (intraday) 32.93B
         Enterprise Value 42.09B
             Trailing P/E  41.16
              Forward P/E  13.18
PEG Ratio (5 yr expected)   0.56
        Price/Sales (ttm)   1.85
         Price/Book (mrq)   1.79
 Enterprise Value/Revenue   2.34
  Enterprise Value/EBITDA  18.36</t>
  </si>
  <si>
    <t>Axon Enterprise, Inc (AXON) is Attracting Investor Attention: Here is What You Should Know
Recently, Zacks.com users have been paying close attention to Axon (AXON). This makes it worthwhile to examine what the stock has in store.
Investment Time Machine: 3 Growth Stocks for a Regret-Free 2033
In 2020 and 2022, all the major market indices experienced two bear markets. In between, they enjoyed a period of incredible euphoria.</t>
  </si>
  <si>
    <t>Axon Enterprise</t>
  </si>
  <si>
    <t xml:space="preserve">
    Market Cap (intraday) 14.88B
         Enterprise Value 14.45B
             Trailing P/E 148.50
              Forward P/E  49.02
PEG Ratio (5 yr expected)    NaN
        Price/Sales (ttm)  10.75
         Price/Book (mrq)  10.30
 Enterprise Value/Revenue  10.58
  Enterprise Value/EBITDA 104.65</t>
  </si>
  <si>
    <t>3 Underrated Warren Buffett Stocks That Are Smart Buys Right Now
Berkshire Hathaway recently initiated positions in three homebuilders: D.R. Horton, Lennar, and NVR.
Lennar Corporation Declares Quarterly Dividends
MIAMI , Sept. 27, 2023 /PRNewswire/ -- Lennar Corporation (NYSE: LEN and LEN.B), one of the nation's leading homebuilders, announced that its Board of Directors has declared a quarterly cash dividend of $0.375 per share for both Class A and Class B common stock payable on October 26, 2023 to holders of record at the close of business on October 12, 2023.
U.S. new-home sales fall 8.7% in August amid high mortgage rates
The numbers: Sales of newly built homes in the U.S. fell in August as interest rates and home prices stayed elevated, dampening buyer demand.
3 Homebuilding Stocks to Skip as Sector Confidence Slides
Homebuilding stocks, traditionally seen as indicators of economic health and consumer confidence, may currently be sending cautionary signals to discerning investors. The once-vibrant real estate market seems to be on a tenuous footing, with recent data suggesting potential headwinds.</t>
  </si>
  <si>
    <t>Lennar</t>
  </si>
  <si>
    <t xml:space="preserve">
    Market Cap (intraday) 31.57B
         Enterprise Value 31.92B
             Trailing P/E   8.33
              Forward P/E   7.96
PEG Ratio (5 yr expected)   2.26
        Price/Sales (ttm)   0.96
         Price/Book (mrq)   1.24
 Enterprise Value/Revenue   0.95
  Enterprise Value/EBITDA   5.92</t>
  </si>
  <si>
    <t>Conagra's (CAG) Frozen &amp; Snacks Strength Aids, High Costs Ail
Conagra (CAG) benefits from its thriving frozen and snacks divisions. Though cost inflation is a concern, the company's justified pricing actions offer relief.
Levi's, Conagra, and More to Watch This Week
Earnings reports this week from McCormick, Conagra, Constellation, Lamb Weston, and Levi Strauss. Plus, economic data on jobs, manufacturing, and services.
Meat-processor stocks fall after DoJ brings antitrust suit against data provider Agri Stats
The Justice Department has filed a civil antitrust lawsuit against meat data provider Agri Stats, charging it with organizing and managing anticompetitive information exchanges among broiler chicken, pork and turkey processors.
Conagra Brands (CAG) Earnings Expected to Grow: What to Know Ahead of Next Week's Release
Conagra Brands (CAG) possesses the right combination of the two key ingredients for a likely earnings beat in its upcoming report. Get prepared with the key expectations.
Mrs. Butterworth's and Warner Bros. Discovery Team Up to Celebrate 20 Years of the Holiday Movie Classic "Elf"
Sugar Cookie Pancake Kit and Pancake Syrup Offer a Festive Look for the Season CHICAGO , Sept. 27, 2023 /PRNewswire/ -- Mrs.
Conagra Brands: If Only Cheap Were Enough Of A Reason
Conagra Brands shares have been trading in a stagnant range since 2021, with low earnings multiples and high leverage. The company's growth has been driven by pricing rather than volume, raising concerns about the composition of growth. Corporate activism or divestment of assets may be needed to improve the company's performance and attract investors.</t>
  </si>
  <si>
    <t>Conagra Brands</t>
  </si>
  <si>
    <t xml:space="preserve">
    Market Cap (intraday) 13.10B
         Enterprise Value 22.43B
             Trailing P/E  19.31
              Forward P/E  10.03
PEG Ratio (5 yr expected)   1.20
        Price/Sales (ttm)   1.07
         Price/Book (mrq)   1.50
 Enterprise Value/Revenue   1.83
  Enterprise Value/EBITDA  15.23</t>
  </si>
  <si>
    <t>Holland America Line Successfully Installs SpaceX's Starlink Internet Aboard More Than Half Its Fleet
Remainder of ships scheduled to have next generation of internet by the end of 2023             SEATTLE , Oct. 2, 2023 /PRNewswire/ -- Holland America Line is more than halfway through updating internet to SpaceX's Starlink across its fleet of 11 ships. The first ship to receive this next-generation technology was Koningsdam, and now Oosterdam, Volendam, Westerdam, Zaandam and Zuiderdam all have the high-speed internet on board.
Carnival Corporation: More Compelling, Still Not Getting Onboard
Carnival Corporation shares have fallen by a third since July despite delivering on promises and narrowing operating losses. Revenues have recovered, but the company has dug a huge hole in terms of massive shareholder dilution and leverage taken on the balance sheet in recent years. The risk-reward for Carnival shares is better now, but the company is still breaking even at best and faces potential challenges if demand retreats.
Earnings Beat of the Week: Carnival Cruise Line Posts First Profit Since 2020
Cruise line operator Carnival Corporation (CCL) posted record revenue and its first quarterly profit since 2020 as bookings surged, but shares fell on a weaker-than-expected profit outlook, as rising fuel costs could start to weigh on margins.
Is It Finally Time to Buy Carnival Stock?
The cruise line was devastated by the onset of the pandemic but bounced back in recent quarters.
Carnival (CCL) Q3 Earnings &amp; Revenues Top Estimates, Rise Y/Y
Carnival's (CCL) third-quarter fiscal 2023 performance benefits from solid bookings backed by improved commercial execution and demand generation initiatives.
Carnival Just Reported Record Revenue. Why Is CCL Stock Down?
Despite posting better-than-expected results for the third quarter, cruise ship operator Carnival (NYSE: CCL ) suffered significant red ink. While many of the Q3 line items offered much encouragement, the leadership team offered a muted profit forecast.
Carnival Corporation &amp; plc (CCL) Q3 2023 Earnings Call Transcript
Carnival Corporation &amp; plc (NYSE:CCL ) Q3 2023 Earnings Conference Call September 29, 2023 10:00 AM ET Company Participants Josh Weinstein - President, Chief Executive Officer and Chief Climate Officer David Bernstein - Chief Financial Officer and Chief Accounting Officer Beth Roberts - Senior Vice President of Investor Relations Conference Call Participants Steven Wieczynski - Stifel Nicolaus Capital Markets Patrick Scholes - Truist Securities Brandt Montour - Barclays Bank PLC Robin Farley - UBS David Katz - Jefferies LLC Daniel Politzer - Wells Fargo Securities Jaime Katz - Morningstar, Inc. Assia Georgieva - Infinity Research Matthew Boss - JPMorgan Chase &amp; Co. Conor Cunningham - Melius Research LLC Christopher Stathoulopoulos - Susquehanna Financial Group Josh Weinstein Good morning. This is Josh Weinstein.
Cruise operators' stocks are sliding after Carnival warns of rising fuel costs
Cruise operators' stocks are slumping after Carnival Corp. CCL, -7.83% on Friday warned of rising fuel prices that impacted the company's earnings. Carnival's stock plunged 8% in early-afternoon trading, while shares of Royal Caribbean Group RCL, -2.91% dipped 3%.
Is the Travel Boom Ending? These 2 Stocks Point to Yes.
Travel stocks have done well recently. Carnival shares fell despite the cruise line operator posting record sales.
Carnival (CCL) Surpasses Q3 Earnings and Revenue Estimates
Carnival (CCL) came out with quarterly earnings of $0.86 per share, beating the Zacks Consensus Estimate of $0.73 per share. This compares to loss of $0.58 per share a year ago.
Here's What Key Metrics Tell Us About Carnival (CCL) Q3 Earnings
Although the revenue and EPS for Carnival (CCL) give a sense of how its business performed in the quarter ended August 2023, it might be worth considering how some key metrics compare with Wall Street estimates and the year-ago numbers.
Carnival posts first profit since pre-Covid as bookings leap
Carnival Corporation (NYSE:CCL) (Carnival Corporation (NYSE:CCL)) reported record third quarter revenue helping the cruise operator book its first quarterly profit since before the Covid pandemic.  "We delivered over $1 billion to the bottom line with revenue reaching an all-time high" said chief executive Josh Weinstein.
Carnival Beat Earnings Estimates in Record Quarter. Why the Stock Isn't Soaring.
Offsetting the positive news was guidance from management pointing to a bigger loss in the curent quarter than investors had expected.
Carnival books first profit since before COVID as revenue reached a record high
Shares of Carnival Corp. rallied Friday after the cruise operator booked its first quarterly profit since before the COVID pandemic, as “significantly elevated” demand led to record revenue and bookings.
CARNIVAL CORPORATION &amp; PLC REPORTS ALL-TIME RECORD REVENUE AND DEMONSTRATES STRONG THIRD QUARTER 2023 EARNINGS MOMENTUM
MIAMI , Sept. 29, 2023 /PRNewswire/ -- Carnival Corporation &amp; plc (NYSE/LSE: CCL; NYSE: CUK) reports third quarter 2023 earnings and provides an outlook for the full year and fourth quarter 2023.
9 Stocks Turn $10,000 Into $141,941 In 9 Months
Stocks tanked right on cue in September. But nimble S&amp;P 500 investors are still finding ways to make big money.
Holland America Line Completes Shore Power Connectivity Installation Across Fleet
Volendam is the last ship to add shore power, all 11 ships now shore power-ready and connecting in outfitted ports worldwide SEATTLE , Sept. 28, 2023 /PRNewswire/ -- With the completion of shore power installation on Volendam, Holland America Line's entire fleet is now shore power-capable.
CCL Stock Sails 74% In 2023 On Travel Rebound. Will Carnival Turn Around Its Earnings Slump?
Carnival reports Q3 results Friday. Analysts expect the cruise giant to post its first positive earnings since 2022.
Will Ticket Revenues Drive Carnival's (CCL) Q3 Earnings?
Carnival's (CCL) third-quarter fiscal 2023 results benefit from robust passenger ticket revenues.
Earnings Previews: BlackBerry, Carnival, Nike
After U.S. markets closed on Tuesday, Costco reported revenue and earnings per share (EPS) that were better than expected.
Proceed With Caution When Considering These 5 Ultra-Popular Stocks
Many stocks are up big in 2023. Always consider the financial state and valuation of a company before buying.
Carnival likely to report buoyant 3Q revenue and earnings
Carnival Corporation (NYSE:CCL) reports third-quarter results before the opening bell on September 29 and analysts expect the company to sail into calmer waters as bookings hit a record high and yields return to pre-pandemic levels. The cruise operator has reported sequential record highs for bookings this year as demand for leisure travel returns.
A Bull Market Could Be Here: 3 Reasons to Buy Carnival Stock.
The current headwind is likely to slowly give way to rekindled, longer-term economic strength. Some members of the analyst community are willing to stick their necks out, even when they don't have to.
These 2 Stocks Carry a Lot of Risk, but Their Upside Is Huge
Carnival and Medical Properties Trust have lots of debt, increasing their risk. While they have plans to reduce debt, they face risks in executing their plans.
2 Long Streaks Should Come to an End at Carnival This Week
Carnival is expected to post a quarterly profit after 14 consecutive losses. After eight quarters of more than doubling revenue, analysts see a slowdown to 37% growth.
These Are The 12 Stocks Driving The S&amp;P 500 Higher In 2023
The S&amp;P 500 is up 12.5% so far in 2023, even with the market correction. But an equal-weight ETF is up just 1%.</t>
  </si>
  <si>
    <t>Carnival</t>
  </si>
  <si>
    <t xml:space="preserve">
    Market Cap (intraday) 17.92B
         Enterprise Value 47.71B
             Trailing P/E   5.99
              Forward P/E  13.91
PEG Ratio (5 yr expected)    NaN
        Price/Sales (ttm)   0.86
         Price/Book (mrq)   2.57
 Enterprise Value/Revenue   2.73
  Enterprise Value/EBITDA  57.27</t>
  </si>
  <si>
    <t>These 20 growth stocks are worth considering on a pullback, says Citi
Citi has released a list of 20 large-cap growth stocks that it says present opportunities in the event of a pullback.
11 Beaten-Up Growth Stocks That Look Like Buys, Says Citi
Chipotle, Draftkings, Lam Research and eight other stocks may be underappreciated by investors, according to a screen run by Citi analysts.</t>
  </si>
  <si>
    <t>Las Vegas Sands</t>
  </si>
  <si>
    <t xml:space="preserve">
    Market Cap (intraday) 35.04B
         Enterprise Value 44.19B
             Trailing P/E 654.86
              Forward P/E  14.90
PEG Ratio (5 yr expected)    NaN
        Price/Sales (ttm)   5.17
         Price/Book (mrq)   8.09
 Enterprise Value/Revenue   6.51
  Enterprise Value/EBITDA  22.66</t>
  </si>
  <si>
    <t>Masco Corporation Announces Date for Earnings Release and Conference Call for 2023 Third Quarter
LIVONIA, Mich.--(BUSINESS WIRE)--Masco Corporation (NYSE: MAS) announced today that it will hold a conference call regarding 2023 third quarter results on Thursday, October 26, 2023 at 8:00 a.m. ET. The conference call will be hosted by Masco President and Chief Executive Officer Keith Allman. Participants in the call are asked to register five to ten minutes prior to the scheduled start time by dialing 888-259-6580 and from outside the U.S. at 416-764-8624. Please use the conference identifica.
Ticking Time Bombs: 3 Homebuilder Stocks to Dump Before the Damage Is Done
The housing market is in a tricky spot right now. Higher interest rates are causing problems and distortions in the market.</t>
  </si>
  <si>
    <t>Masco</t>
  </si>
  <si>
    <t xml:space="preserve">
    Market Cap (intraday) 12.02B
         Enterprise Value 14.92B
             Trailing P/E  15.06
              Forward P/E  13.85
PEG Ratio (5 yr expected)   1.92
        Price/Sales (ttm)   1.47
         Price/Book (mrq)    NaN
 Enterprise Value/Revenue   1.81
  Enterprise Value/EBITDA  12.04</t>
  </si>
  <si>
    <t>Is FirstEnergy A Better Pick Than Verisign Stock?
We believe FirstEnergy stock (NYSE: FE), an Ohio-based electric utility company, is a better pick than Verisign stock (NASDAQ: VRSN), given its better prospects.</t>
  </si>
  <si>
    <t>Verisign</t>
  </si>
  <si>
    <t>Internet Services &amp; Infrastructure</t>
  </si>
  <si>
    <t xml:space="preserve">
    Market Cap (intraday) 20.89B
         Enterprise Value 21.74B
             Trailing P/E  29.96
              Forward P/E  23.58
PEG Ratio (5 yr expected)   1.91
        Price/Sales (ttm)  14.60
         Price/Book (mrq)    NaN
 Enterprise Value/Revenue  14.87
  Enterprise Value/EBITDA  20.65</t>
  </si>
  <si>
    <t>Walgreens and Cooler Screens Clash Over Digital Advertising Technology
Cooler Screens, a company that sells digital advertising space on refrigerator door screens, is reportedly involved in a legal dispute with Walgreens. The dispute arose after Walgreens installed Cooler Screens' technology, which replaces traditional cooler doors with digital screens that play targeted ads, The Wall Street Journal (WSJ) reported Monday (Oct. 2).
Walgreens Unveils myW™ days Offers October 4 - 7
DEERFIELD, Ill.--(BUSINESS WIRE)--Walgreens is hosting a myW days member exclusive event October 4 through October 7 offering extraordinary bonus offers and Walgreens Cash rewards instore and online. Members can start clipping offers now to their myWalgreens account online at walgreens.com/mywdays. “We saw high engagement and a positive response from customers and team members for the July myW days event,” said Linh Peters, Walgreens Chief Marketing Officer. “We are building on this excitement.
50 Large-Cap High-Yield Stocks For October
Dogsofthedow.com recently published this list of 50 large-cap high-dividend stocks as of 9/28/23. The DOD list targeted investors who “don't want to simply focus on a high dividend yield only to discover that the stock price has plunged or that the corporation went belly-up”. Investors reduce volatility/risk by limiting high-dividend search to large well-established companies.
Don't Miss the Boom: 3 Retail Stocks Set to Explode Higher
Right now, retail is undergoing a major shakeup. Consumer shopping habits have changed, perhaps permanently.
3 High Yield Stocks For Dividend Growth And Income
Market turmoil continues in 2023 due to higher interest rates and the Federal Reserve's actions to contain inflation. Dividend yields have climbed, particularly in interest rate-sensitive industries, presenting opportunities for income investors. Three undervalued high-yield stocks with reasonable valuations are Verizon Communications, Washington Trust Bancorp, and Walgreens Boots Alliance.
Growth Stock Fortified By Walgreens Alliance, Hovers Near All-Time High
Growth stock and Big Cap 20 Cencora is approaching an all time high and a buy point. A long-term partnership with Walgreens is a tailwind.
3 Retail Stocks to Sell Before the Damage Is Done
With recession fears on the rise, now might be a good time to consider the top retail stocks to sell in 2023. Indeed, with retail buyer's consumption patterns shifting, many investors are beginning to take a step back.
Here are the 12 stocks Jim Cramer is watching, including a dire consumer forecast
Here are some of the tickers on my radar for Thursday, Sept. 28, taken directly from my reporter's notebook.
How Much Lower Can Walgreens Boots Alliance Stock Go?
Walgreens' market capitalization has fallen below its book value this year. The stock is trading even below the low point of Wall Street's price targets.
Investment Time Machine: 3 Growth Stocks for a Regret-Free 2033
In 2020 and 2022, all the major market indices experienced two bear markets. In between, they enjoyed a period of incredible euphoria.
Is It Time to Buy the Dow's 3 Worst-Performing Stocks This Year?
Walgreens' expansion efforts haven't boosted profits. Nike's growth has slowed, but it still retains a powerful brand.
Drugstore Downsizing: CVS, Walgreens And Rite Aid To Close Nearly 1,500 Stores
All three of the nation's leading drugstore chains have different reasons for closing stores, but the downsizing prescription is the same.
Should You Buy the 5 Highest-Paying Dividend Stocks in the S&amp;P 500?
The five S&amp;P 500 stocks with the highest dividend yields represent several sectors and industries. Their yields are so high in part due to poor stock performances this year, but there are other factors as well.
4 Dow Stocks Are Down Over 15% in 2023. Here's My Top Pick of the 4 to Buy Now.
Verizon, Walgreens Boots Alliance, and 3M have dividends all yielding over 6%. Business fundamentals are deteriorating for all three companies.
7 Value Stocks That Should Be on Every Investor's Radar This Fall
As the year began, institutional investors fled growth stocks to the relative safety of value stocks. In the second quarter, some of that money moved back to growth stocks.</t>
  </si>
  <si>
    <t>Walgreens Boots Alliance</t>
  </si>
  <si>
    <t>Drug Retail</t>
  </si>
  <si>
    <t xml:space="preserve">
    Market Cap (intraday) 19.20B
         Enterprise Value 54.67B
             Trailing P/E   5.98
              Forward P/E   5.90
PEG Ratio (5 yr expected)   3.55
        Price/Sales (ttm)   0.14
         Price/Book (mrq)   0.65
 Enterprise Value/Revenue   0.40
  Enterprise Value/EBITDA -17.45</t>
  </si>
  <si>
    <t>Late night shows return as actors restart negotiations with Hollywood studios
Late night hosts return to TV on Monday, as striking Hollywood actors resume talks with major studios.
Warner Bros. Discovery's (WBD) REAL TIME WITH BILL MAHER Returns
Warner Bros. Discovery's (WBD) HBO confirms the return of REAL TIME WITH BILL MAHER, which is premiering on Sep 29.
1 Obvious Reason to Avoid Warner Bros. Discovery Stock Like the Plague
Thanks to last year's merger, Warner Bros. Discovery has a massive debt burden.
9 Stocks Turn $10,000 Into $141,941 In 9 Months
Stocks tanked right on cue in September. But nimble S&amp;P 500 investors are still finding ways to make big money.
Warner Bros. Discovery (WBD) Sports UK Rides on Cycling Coverage
Warner Bros. Discovery (WBD) Sports Europe reports record-breaking streaming figures following its coverage of Grand Tours, such as Giro d'Italia, Tour de France and La Vuelta.
Paramount and Warner Bros stock rises as writers' strike ends
Paramount Global (NASDAQ:PARA) and Warner Bros Discovery Inc (NASDAQ:WBD) shares both finished higher Wednesday after the 148-day Writers Guild of America (WGA) strike officially ended at 12:01 AM Pacific Daylight Time.  The WGA and the AMPTP, which represents Hollywood's studios and streamers, reached a tentative agreement for a new three-year contract for film and television writers, ending the second-longest labor action in the guild's history that began on May 2.
I Was Wrong About Warner Bros. Discovery (Rating Upgrade)
Warner Bros. Discovery has significant potential with its streaming platform, Max, offering the best original content globally. WBD's recent success with the movie Barbie and its upcoming movie lineup contribute to its competitive advantage. The company's streaming service, Max, has room for growth, especially internationally, and subscriber growth is expected to improve in the coming years.
Media Stocks Rise as Hollywood Writers' Strike Ends
Shares of major media companies rose Wednesday morning after the Writers Guild of America (WGA) ended a five-month writers strike after finalizing a contract with studios.
How You Can Reverse Engineer Michael Burry's Latest Buy
When the prominent investing names on Wall Street decide to move, everyday investors will benefit from keeping an ear to the ground, especially when these positions are broadcasted publicly via mandatory 13-F filings.
6 Goldman Sachs Conviction List Top Growth Stock Picks With Massive Upside Potential
The artificial intelligence rally this year led by the “Magnificent 7” has been awesome if you owned those stocks.
Hollywood writers strike to end on Wednesday as WGA, AMPTP finalize labor contract
Hollywood writers and studios have finalized the language of a tentative contract that will lead to the end to a nearly 150-day labor strike.
Striking Hollywood actors vote to authorize new walkout against videogame makers
LOS ANGELES — Striking actors have voted to expand their walkout to include the lucrative videogame market, a step that could put new pressure on Hollywood studios to make a deal with the performers who provide voices and stunts for games.
4 Entertainment Stocks Gurus Are Tuning Into as Writers Strike Agreement Reached
After nearly 150 days, the Hollywood writers strike appears to be coming to an end.
Hollywood prepares for partial return to work after writers' deal
Producers of television talk shows were making plans on Monday to return to the air for the first time in five months after Hollywood writers reached a tentative deal to end a work stoppage that had shut down production.
Big Media Stocks Backtrack In Jittery Market; Theater Chains Soar On Tentative WGA Deal
Big media shares, which rose in pre-market trading Monday, opened lower at the bell and are still trending down midday after the Writers Guild reached a tentative deal with studios to end their prolonged strike.
Media Stocks Fluctuate After Writers Guild Reaches Tentative Deal With Studios
Shares of media companies jumped in pre-market trading on Monday before giving back those gains, after Hollywood writers reached a tentative agreement with major studios over the weekend.
Hollywood writers deal pushes Warner Bros and Paramount stocks higher as the strike nears its end after 146 days
Paramount and Warner Bros. Discovery stocks climbed on Monday on news of a deal to end the writers strike.
Even as Nio Keeps Falling, These Stocks Are Bouncing Back Monday
Nio shares fell further as the EV maker closed on its $1 billion financing package. Media stocks got a boost on reports of a possible resolution to the screenwriters' strike.
Amazon Buys Into AI, Writers Strike, $100 Oil
If you can not be first on board, at least catch the train before it leaves the station.
Tentative deal reached to end Hollywood writers strike, union says
LOS ANGELES — Union leaders and Hollywood studios reached a tentative agreement Sunday to end a historic screenwriters strike after nearly five months, though no deal is yet in the works for striking actors.
Striking Hollywood writers reach tentative deal with studios
Hollywood writers reached a tentative labor agreement with major studios on Sunday, the Writers Guild of America said, a deal expected to end one of two strikes that have halted most film and television production and cost the California economy billions.
Hollywood writers and studios reach tentative deal to end strike after nearly 150 days
Talks between the Writers Guild of America and the Alliance of Motion Picture and Television Producers resumed this week after months of starts and stops.</t>
  </si>
  <si>
    <t>Warner Bros. Discovery</t>
  </si>
  <si>
    <t>Broadcasting</t>
  </si>
  <si>
    <t xml:space="preserve">
    Market Cap (intraday) 26.47B
         Enterprise Value 70.72B
             Trailing P/E    NaN
              Forward P/E  25.25
PEG Ratio (5 yr expected)   1.26
        Price/Sales (ttm)   0.63
         Price/Book (mrq)   0.58
 Enterprise Value/Revenue   1.71
  Enterprise Value/EBITDA   3.94</t>
  </si>
  <si>
    <t>Big Food vs. Big Pharma: Companies bet on snacking just as weight loss drugs boom
Kellogg, J.M. Smucker and other food companies are making big bets on snacking, but the rise of Wegovy and Ozempic could pose a threat to future sales growth.
Ticking Time Bombs: 3 Value Stocks to Dump Before the Damage Is Done
Value stocks can have a lot of benefits for investors. Typically, they are larger, well-established companies that are profitable and have a record of delivering solid financial results.
The J.M. Smucker Co. Issues 2023 Corporate Impact Report Detailing Progress on its Thriving Together Agenda
ORRVILLE, Ohio , Sept. 29, 2023 /PRNewswire/ -- The J.M.
Why Is Smucker (SJM) Down 12.8% Since Last Earnings Report?
Smucker (SJM) reported earnings 30 days ago. What's next for the stock?
J.M. Smucker's (SJM) Sale of Sahale Snacks to Refine Portfolio
The J.M. Smucker (SJM) will offload its Sahale Snacks brand to Second Nature Brands to focus on areas with greater potential.
J.M. Smucker to sell Sahale Snacks to Second Nature Brands
J.M. Smucker SJM, -2.31% will sell its Sahale Snacks brand to Second Nature Brands for $34 million in cash.
The J.M. Smucker Co. Announces Agreement to Divest Sahale Snacks® Brand to Sharpen Focus and Support Continued Growth in Consumer Foods Business
ORRVILLE, Ohio , Sept. 27, 2023 /PRNewswire/ -- The J.M.</t>
  </si>
  <si>
    <t>J.M. Smucker Company (The)</t>
  </si>
  <si>
    <t xml:space="preserve">
    Market Cap (intraday) 12.55B
         Enterprise Value 16.34B
             Trailing P/E    NaN
              Forward P/E  13.28
PEG Ratio (5 yr expected)   1.48
        Price/Sales (ttm)   1.53
         Price/Book (mrq)   1.79
 Enterprise Value/Revenue   1.93
  Enterprise Value/EBITDA  25.40</t>
  </si>
  <si>
    <t>Hipgnosis Songs publishes Blackstone deal letter but 'deal looks dead' say analysts
Hipgnosis Songs Fund Limited (LSE:SONG) has published a promised letter to shareholders about its proposed US$440 million music rights sale but the deal could be as dead as the company's prostrate elephant logo, according to analysts. After missed yesterday's scheduled publication date, the fund issued a statement this morning saying the circular for the proposed deal has been approved by the UK Financial Conduct Authority and now been published.
Blackstone Surges From A Solid Foundation (Technical Analysis)
Blackstone has shown strong financial performance in Q2 2023, with improvements in various metrics and significant growth in asset management. The company's financial position in different segments suggests sustained profitability in the future. The stock price of BX demonstrates a robust revival within a pronounced bullish trajectory, indicating potential investment opportunities for long-term investors.
Blackstone Stock: 3 Reasons To Sell It Right Now
Blackstone stock has delivered strong returns and has $1 trillion in assets under management. That said, we believe that there are three compelling reasons to sell the stock right now. We also discuss what we would do with the proceeds from selling BX stock.
SEC intensifies probe of Wall Street's WhatsApp usage
The Securities and Exchange Commission (SEC) has escalated its investigation into Wall Street's use of private messaging applications, collecting thousands of staff messages from over a dozen major investment companies. As per Reuters, the SEC's heightened scrutiny is aimed at assessing potential breaches of record-keeping rules and ensuring compliance within the financial sector.
SEC obtains thousands of Wall Street staffers' WhatsApp messages as probe widens: sources
In the latest phase of the probe of more than a dozen investment advisers, the SEC has in recent months asked for messages on personal devices or applications during the first half of 2021 that discuss business, sources said.
Exclusive: SEC collects Wall Street's private messages as WhatsApp probe escalates -sources
The U.S. securities regulator has collected thousands of staff messages from more than a dozen major investment companies, escalating its probe into Wall Street's use of private messaging apps, said four people with direct knowledge of the matter.</t>
  </si>
  <si>
    <t>Blackstone</t>
  </si>
  <si>
    <t xml:space="preserve">
    Market Cap (intraday) 80.82B
         Enterprise Value    NaN
             Trailing P/E  64.54
              Forward P/E  17.39
PEG Ratio (5 yr expected)   2.36
        Price/Sales (ttm)  12.80
         Price/Book (mrq)  11.19
 Enterprise Value/Revenue   9.96
  Enterprise Value/EBITDA    NaN</t>
  </si>
  <si>
    <t>Citi GPS: Evolving Demand for Skills Places Premium on Collaborative Leadership and Continuous Learning in Data Science
LONDON--(BUSINESS WIRE)--Citi has launched its latest Global Perspectives &amp; Solutions (Citi GPS) report titled: ‘SKILLS THAT PAY – The Returns from Specific Skills as Demanded in Job Adverts.' The report is the result of a collaboration between Citi, the London School of Economics, and the Oxford Martin School. Leveraging data from job advertisements, the authors examine the skills that are rising and falling in demand and explore how wages for these skills are changing. “In the face of rap.
A Glimpse of Patient Capital's Samantha McLemore's Stock Recommendations
Patient Capital, a recently established independent asset management firm, was previously a part of Miller Value Partners. It upholds an investment philosophy and methodology initially conceived many years ago by the renowned guru investor Bill Miller during his tenure at Legg Mason.
Citigroup Announces Full Redemption of Series A Preferred Stock
NEW YORK--(BUSINESS WIRE)--Citigroup Inc. is redeeming, in whole, all $1.5 billion aggregate liquidation preference of Series A Depositary Shares representing interests in its 5.950% Fixed Rate / Floating Rate Noncumulative Preferred Stock, Series A (the “Preferred Stock”). The redemption date for the Preferred Stock and related Depositary Shares is October 30, 2023 (the “Redemption Date”). The cash redemption price, payable on the Redemption Date for each Depositary Share, will equal $1,000. A.
Citigroup CEO Jane Fraser on layoffs, major overhaul: ‘Don't have room for bystanders'
"The case for change is pretty clear - our people want to succeed and our highest performers got behind this very quickly," CEO Fraser told CNBC.
Citigroup has 'no room for bystanders' in reorganization, CEO says
Citigroup CEO Jane Fraser said on Friday that top employees were on board with the company's sweeping reorganization, and that there was "no room for bystanders" in the bank's biggest overhaul in almost two decades.
Citigroup CEO Jane Fraser sees 'cracks' emerging among some consumers as savings dry up
Lower-end consumers have shifted buying patterns to save money as their bank accounts dwindle in size, according to Citigroup CEO Jane Fraser.
SEC fines Citigroup, former unit over customer disclosures
Citigroup and a former unit were fined $1.975 million by the U.S. Securities and Exchange Commission on Thursday for making securities recommendations to retail customers without complying with disclosure obligations.
Citigroup (C) is Planning to Reduce its Workforce in Tampa
Citigroup (C) is likely to reduce its workforce in Tampa as part of the major strategic reform including efforts to revamp the company's corporate structure.
Citigroup (C) Plans to Sell China Retail Wealth Unit to HSBC
Citigroup (C) is in talks to sell its China retail wealth management business to HSBC Holdings as part of its plan to exit from consumer banking outside of the United States.
Citigroup in talks to sell China retail-wealth unit to HSBC: Reports
Citigroup Inc. could announce as early as next month a deal to sell its consumer-wealth business in China to HSBC Plc some two years after it announced plans to scale back its overseas retail banking business, according to reports on Thursday.
This Is the Highest-Yielding Warren Buffett Stock. Should You Own It?
It's a company in a sector that's known for being miserly with its payouts -- banking. This lender has been a laggard when compared to its peers.
Exclusive: HSBC to acquire Citigroup China consumer wealth business -sources
HSBC is set to acquire Citigroup's China consumer wealth management business, which manages more than $3 billion in assets, two sources with knowledge of the matter said, in a major boost to the London-based bank's business in that country.
U.S. SEC nearing settlement with Wall Street firms over WhatsApp probe -sources
The U.S. Securities and Exchange Commission (SEC) is finalizing settlements with around two dozen Wall Street firms to resolve investigations into record-keeping lapses, said two people with knowledge of the matter.
Citi LIBOR Transition Update
NEW YORK--(BUSINESS WIRE)--On June 30, 2023 (the “Cessation Date”), ICE Benchmark Administration (“IBA”) ceased publication of all ICE Swap Rate settings based on USD LIBOR. This cessation followed the announcement by the UK Financial Conduct Authority on March 5, 2021, that all USD LIBOR settings would either cease or no longer be representative after the Cessation Date. The USD LIBOR ICE Swap Rate is also referred to as a constant maturity swap (or “CMS”) rate, and in this press release is re.
Citigroup readying $5B bond offering as first such deal in four years, source says
A Citigroup Inc. C, -1.95% unit is raising $5 billion in debt in a bond offering in its first such deal in four years, a person familiar with the bank told MarketWatch. The deal has launched and is expected to settle as early as Wednesday.
Citigroup (C) Warns of Potential Layoffs in Its UK Business
As part of the previously announced reorganization efforts, Citigroup (C) alerts employees in the U.K. of probable job cuts.
Citigroup stock price is dirt cheap: Is it a buy during the turnaround?
Citigroup (NYSE: C) stock price has underperformed its peers in the past decade. It has risen by more than 80% since 2009 while the SPDR S&amp;P Bank ETF (KBE) and SPDR S&amp;P Regional Banking ETF (KRE) have risen by more than 230% and 160%, respectively.
Citi Foundation Announces Recipients of Inaugural Global Innovation Challenge
NEW YORK--(BUSINESS WIRE)--Today, the Citi Foundation announced the grant recipients of its first-ever Global Innovation Challenge, a new model to identify and provide philanthropic support to community organizations that are developing innovative solutions to social and economic challenges facing low-income communities. Initially previewed at the Global Citizen Festival this weekend, the inaugural Global Innovation Challenge is providing a total of $25 million to 50 community organizations wor.</t>
  </si>
  <si>
    <t>Citigroup</t>
  </si>
  <si>
    <t xml:space="preserve">
    Market Cap (intraday) 79.20B
         Enterprise Value    NaN
             Trailing P/E   6.52
              Forward P/E   6.49
PEG Ratio (5 yr expected)    NaN
        Price/Sales (ttm)   1.04
         Price/Book (mrq)   0.42
 Enterprise Value/Revenue    NaN
  Enterprise Value/EBITDA    NaN</t>
  </si>
  <si>
    <t>Texas Instruments to webcast Q3 2023 earnings conference call
DALLAS , Oct. 2, 2023 /PRNewswire/ -- Texas Instruments Incorporated (TI) (Nasdaq: TXN) will webcast its third quarter 2023 earnings conference call on Tuesday, Oct. 24, at 3:30 p.m. Central time.
3 Semiconductor Stocks To Watch In October 2023
Semiconductor stocks for your October 2023 watchlist.
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My Top 10 High Yield Dividend Stocks For October 2023
The market slide continues in September with the SPDR S&amp;P 500 Trust ETF dropping by 4.74%. The top 10 stocks on the watchlist for October 2023 offer a 4.33% dividend yield, more than double the S&amp;P 500. My top 10 list of high dividend yield stocks has generated an annualized rate of return of 10.29% since its inception in November 2020.
Better Stock Buy: Marvell Technology vs. Texas Instruments
Marvell's strong sales of AI chips offset its slower sales of legacy chips. Texas Instruments' expansion of its 300mm plants is squeezing its near-term margins.
4 Stocks With Recent Dividend Hikes Amid a Choppy Market
Keurig Dr Pepper Inc. (KDP), PNM Resources, Inc. (PNM), Texas Instruments Incorporated (TXN) and Microsoft Corporation (MSFT) hike dividends.
5 Oversold Semiconductor Stocks to Nibble On Ahead of Q3 Earnings
Semiconductor stocks have struggled over the past few months and present an opportunity for traders as the Q3 earnings season approaches. Many of these stocks have been beaten down hard and are oversold, presenting an above-average opportunity for a rebound.
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2 Charts That Show Semiconductor Stocks Are Poised to Drop
The S&amp;P Semiconductors Select Industry Index has topped both price-wise and on a relative basis. That bodes poorly for the sector.</t>
  </si>
  <si>
    <t>Texas Instruments</t>
  </si>
  <si>
    <t xml:space="preserve">
    Market Cap (intraday) 144.38B
         Enterprise Value 146.04B
             Trailing P/E   19.09
              Forward P/E   19.92
PEG Ratio (5 yr expected)    2.55
        Price/Sales (ttm)    7.76
         Price/Book (mrq)    9.06
 Enterprise Value/Revenue    7.76
  Enterprise Value/EBITDA   14.39</t>
  </si>
  <si>
    <t>Earn Double-Digit Income With Options (October 2023)
We explain why selling cash-covered puts and covered calls are relatively safe choices for earning a high income. We will discuss how to formulate a sustainable and repeatable options income strategy. In this monthly series, we present how to go about selecting the right kind of stocks for options income. We present two lists of 10 stocks with multiple scenarios: PUT options, CALL options, and deep-in-the-money CALL options.
Agilent Not As Agile As Hoped As Life Sciences Demand Proves To Be Less Than Invincible
Demand from biopharmas for life sciences equipment has not sustained high expectations in 2023, leading to weaker growth and negative revisions for companies like Agilent. Biopharma and industrial companies have significantly pulled back on spending for tools, and Agilent's above-average leverage to capex makes it more vulnerable. Growth in the services business is encouraging, and I like the ongoing investments in oligonucleotide production capabilities as mRNA and siRNA pipelines continue to grow.
Agilent: Dips Into GARP Territory, Shares At A Crucial Spot On The Chart
The Healthcare sector has seen a modest bid since mid-July compared to the S&amp;P 500, with a reach for perceived safety. Agilent Technologies is a leading supplier in the Life Sciences Tools and Services industry. Agilent's earnings and valuation outlooks are mixed, with weak near-term growth but potential for improvement in the future.</t>
  </si>
  <si>
    <t>Agilent Technologies</t>
  </si>
  <si>
    <t xml:space="preserve">
    Market Cap (intraday) 32.72B
         Enterprise Value 34.18B
             Trailing P/E  29.27
              Forward P/E  19.57
PEG Ratio (5 yr expected)   2.62
        Price/Sales (ttm)   4.74
         Price/Book (mrq)   5.89
 Enterprise Value/Revenue   4.89
  Enterprise Value/EBITDA  19.51</t>
  </si>
  <si>
    <t>Can Akamai (AKAM) Benefit From Decentralized Cloud Networks?
Akamai (AKAM) has opened 13 new core compute regions across the globe in the past 90 days, connecting them to its wide edge network that has a distributed footprint spanning 131 countries.
Akamai Research Finds 65% Increase in Web Application and API Attacks on Financial Services
Financial services has surpassed gaming as the top vertical for DDoS attacks CAMBRIDGE, Mass. , Sept. 27, 2023 /PRNewswire/ -- Akamai Technologies, Inc. (NASDAQ: AKAM), the cloud company that powers and protects life online, today released  a new State of the Internet report that explores existing and emerging cyberattacks against the financial services industry.
Akamai Expands World's Most Distributed Cloud Network with New Core Compute Regions Across Asia, Europe, North America, and Latin America
New regions in Amsterdam, Jakarta, Los Angeles, Miami, Milan, Osaka, and São Paulo build momentum for Akamai's vision for a more modern, decentralized cloud CAMBRIDGE, Mass. , Sept. 27, 2023 /PRNewswire/ -- Akamai Technologies (NASDAQ: AKAM), the cloud company that powers and protects life online, today announced seven upcoming new core compute regions across Europe, Asia, North America, and Latin America.
Ateme Joins Akamai Qualified Computing Partner Program
CAMBRIDGE, Mass. , Sept. 26, 2023 /PRNewswire/ -- Akamai Technologies Inc. (NASDAQ: AKAM), the cloud company that powers and protects life online, announced today that Ateme is the latest organization to join the  Akamai Qualified Computing Partner Program.
Charting the Course: Buying Opportunity or More Pain Ahead?
While a host of concerns remain, historical statistics support a rally into year-end.</t>
  </si>
  <si>
    <t>Akamai</t>
  </si>
  <si>
    <t xml:space="preserve">
    Market Cap (intraday) 16.16B
         Enterprise Value 18.66B
             Trailing P/E  34.93
              Forward P/E  16.64
PEG Ratio (5 yr expected)   2.08
        Price/Sales (ttm)   4.56
         Price/Book (mrq)   3.77
 Enterprise Value/Revenue   5.10
  Enterprise Value/EBITDA  15.73</t>
  </si>
  <si>
    <t>Tyson Foods: Rated Hold As Dividend Yield Overshadowed By Net Losses
Tyson Foods is rated Hold/Neutral today. Strengths: dividends, capital &amp; liquidity, share price vs. moving average. Offsetting factors: valuation, YoY revenue growth, YoY net income &amp; EPS growth, performance vs. S&amp;P 500 index.
Meat-processor stocks fall after DoJ brings antitrust suit against data provider Agri Stats
The Justice Department has filed a civil antitrust lawsuit against meat data provider Agri Stats, charging it with organizing and managing anticompetitive information exchanges among broiler chicken, pork and turkey processors.
Tyson Foods, Perdue Farms seeing scrutiny from Labor Department
Two companies, Perdue Farms and Tyson Foods, are seeing scrutiny from the Department of Labor, something first reported by the New York Times.</t>
  </si>
  <si>
    <t>Tyson Foods</t>
  </si>
  <si>
    <t xml:space="preserve">
    Market Cap (intraday) 17.95B
         Enterprise Value 26.57B
             Trailing P/E  53.71
              Forward P/E  16.84
PEG Ratio (5 yr expected)  11.53
        Price/Sales (ttm)   0.34
         Price/Book (mrq)   0.96
 Enterprise Value/Revenue   0.50
  Enterprise Value/EBITDA  12.41</t>
  </si>
  <si>
    <t>Regency Centers Invites You to Join Its Third Quarter 2023 Earnings Conference Call
JACKSONVILLE, Fla., Sept. 29, 2023 (GLOBE NEWSWIRE) -- Regency Centers Corporation (The “Company”) (NASDAQ: REG) will announce its Third Quarter 2023 earnings results on Thursday, November 2, 2023, after the market closes. The Company's earnings release and supplemental information package will be posted on the Investor Relations section of the Company's website – investors.regencycenters.com . The Company will host an earnings conference call on Friday, November 3, 2023, at 11:00 a.m. ET.</t>
  </si>
  <si>
    <t>Regency Centers</t>
  </si>
  <si>
    <t xml:space="preserve">
    Market Cap (intraday) 10.76B
         Enterprise Value 14.67B
             Trailing P/E  27.78
              Forward P/E  27.93
PEG Ratio (5 yr expected)   5.88
        Price/Sales (ttm)   8.15
         Price/Book (mrq)   1.78
 Enterprise Value/Revenue  11.73
  Enterprise Value/EBITDA  17.33</t>
  </si>
  <si>
    <t>BXP Exercises $315.0 Million Accordion Feature Increasing Its Revolving Credit Facility Capacity to More Than $1.8 Billion
BOSTON--(BUSINESS WIRE)--BXP (NYSE: BXP), the largest publicly traded developer, owner, and manager of premier workplaces in the United States, announced today that its operating partnership, Boston Properties Limited Partnership (“BPLP”), has exercised a portion of the accordion feature under its existing revolving credit facility to increase the available borrowing capacity by an aggregate amount of $315.0 million, increasing the facility's maximum borrowing capacity to $1.815 billion. The fa.
Ticking Time Bombs: 3 Dividend Stocks to Dump Before the Damage Is Done
Undoubtedly, investors are getting nervous with ongoing concerns of higher interest rates, inflation, and a weakening economy. However, one way to improve peace of mind is selling risky dividend stocks.
3 Ways to Profit from 2023's Turbulent Commercial Real Estate Market
This year's commercial real estate market is in a tough spot. High interest rates and remote work's newfound permanence in corporate culture combine to make commercial real estate a tough sell.</t>
  </si>
  <si>
    <t>Boston Properties</t>
  </si>
  <si>
    <t xml:space="preserve">
    Market Cap (intraday)  9.33B
         Enterprise Value 23.66B
             Trailing P/E  14.06
              Forward P/E  24.94
PEG Ratio (5 yr expected)   4.12
        Price/Sales (ttm)   2.92
         Price/Book (mrq)   1.54
 Enterprise Value/Revenue   7.39
  Enterprise Value/EBITDA  11.11</t>
  </si>
  <si>
    <t>2 Stocks Trading at 3-Year Lows After Bear Notes
Target Corp (NYSE:TGT) stock is trading at three-year lows today, after BofA Global Research lowered its price target on the retailer to $120 from $135, citing continued sales decline.
2 Top Dividend Stocks You Can Buy and Hold Forever
Procter &amp; Gamble and Target are Dividend Kings. Procter &amp; Gamble's products generate consistent sales and strong cash flow.
5 Top Stocks for October
These five stocks could hardly be more different, but they have one important thing in common: All look like great buys in October 2023. From retail to biotech, these stocks showcase their resilience and strategic adaptability amid unpredictable market fluctuations.
Ticking Time Bombs: 3 Value Stocks to Dump Before the Damage Is Done
Value stocks can have a lot of benefits for investors. Typically, they are larger, well-established companies that are profitable and have a record of delivering solid financial results.
The Score: Ford, Amazon, Target and More Stocks That Defined the Week
Here are some of the major companies whose stocks moved on the week's news.
Is the Grinch Stealing This Year's Holiday Season Jobs?
United Parcel Service Inc. NYSE: UPS is among logistics companies that are proceeding cautiously this year, in anticipation of a slower holiday season.
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My Top 2 High-Yield Dividend Stocks for Building Generational Wealth
Target stock deserved to fall, but the sell-off has gone too far. A slowing economy is bad news for Target and UPS.
Oakland Target to close after over 100 police calls to report retail theft in 2023
Retail giant Target will close its only location in Oakland, Calif. next month after the downtown location received over 100 emergency calls from thefts to hit-and-run incidents.
October Dividend Kings: 5 To Buy And 5 To Watch
"There is only one-criterion to be included among the Dividend Kings: a publicly-traded company must increase its total fiscal-year dividend-payout for a minimum of 50 consecutive-years."--Dogs of the Dow. The 49 Dividend Kings screened as of September 26 represented seven of eleven Morningstar Sectors. Broker targeted-top-ten net-gainers ranged 24.77%-38.84% topped-by Northwest Natural, and Target. By yield, Altria tops-all. Top-ten Kingly October yields from SWK, TGT, BKH, FRT, NWN, CDUAF, MMM, UVV, LEG, &amp; MO averaged 5.86%.
How Target's $1 billion crime losses could crash TGT stock
Over the last few quarters, retailers have called out shrink as one of the main reasons for a drain on profits and mostly blamed theft for those losses. Shrink is what inventory losses are called in the retail industry, accounted for by the costs of items that left a store or warehouse without being paid for.
As Target, Best Buy and Walmart sales loom, foot traffic data indicates pent-up demand
Foot-traffic data points to pent-up demand ahead of October sales at Target Corp., Best Buy Co. Inc. and Walmart Inc., according to analytics company Placer.ai.
Target Blames Organized Crime For Closing Doors On Nine Stores
Target Corp confirmed this week that it is to permanently shutter nine stores in cities across four states, blaming rising thefts and organized retail crime.
Business community speaks out after Target blames crime for store closures
Business leaders are expressing alarm after Target became the latest retailer to blame crime for pulling the plug on stores.
Down 27% to 58%, These Monster Dividend Stocks Could Be Picking Up Steam
Target's dividend yield has expanded to 3.9% as the stock has drifted lower. Home Depot is facing slower demand as the housing market has taken a breather.
Target (TGT) Plans to Close Nine Stores &amp; Boost Store Security
Target (TGT) plans to close nine stores in four states owing to increased theft and organized retail crimes. It continues to invest in securing the safety of its stores and workers.
Ticking Time Bombs: 3 E-Commerce Stocks to Dump Before the Damage Is Done
Inflation has been a recurring theme of the economy, but it's gotten extra hot in recent years. Reckless money printing is the primary catalyst for higher prices and higher interest rates, and the return of student loan payments doesn't make matters any better.
Target's NYC store closure should be ‘wakeup call' — as plans for nearby outpost delayed: sources
Target's decision to shutter its first Manhattan location amid rampant shoplifting should serve as a "wakeup call to city officials," an industry expert said.
Target citing crime for closing stores shows retailers are fighting an uphill battle
Target's decision to close nine of its stores in major cities, citing persistent large-scale theft at those locations is the latest signal that retailers may be struggling in their battle to contain a growing and dangerous problem.
Target to Shutter 9 Stores Due to Retail Theft Wave
Target is blaming an apparent wave of shoplifting for the closure of nine of its stores. The retailer is shuttering locations Oct. 21 in New York City; San Francisco; Seattle; and Portland, Oregon, according to a Tuesday (Sept.
Target to close nine stores due to rise of organised theft
Target Corp is to close nine stores across four states next month saying that organised retail theft had threatened the safety of its employees and customers. The big-box retailer said organised retail crime was “threatening the safety of our team and guests.
Which Target stores are closing? 4 cities to see locations shutter soon due to crime and safety fears
The retail giant said it will close a number of locations next month. Target has announced that it will close nine of its locations in four states next month.
Target Shuttering Nine Locations Over Retail Theft Concerns Shared By Other Retailers
Dick's Sporting Goods, Ulta and Walgreens have attributed slumping earnings numbers to theft and return fraud.
Target says it will close nine stores in four states due to theft and organized retail crime
Target is closing nine stores across four states, claiming theft and organized retail crime are creating an unsustainable business environment.
Target to close 9 stores — including NYC location — citing ‘theft' and employee ‘safety'
Target said it is closing nine stores in major markets across the country — including its Harlem location in New York City — because of rampant theft and violence.
Target to Close 9 Stores Across Major Cities, Citing Rise in Theft
The retailer is the latest to curb its operations in city centers in response to safety concerns.
Target to close 9 stores across 4 states, citing theft
Big-box retail chain Target Corp. on Tuesday said it would close nine of its stores across four states next month, saying that organized retail theft had threatened the safety of its employees and customers.
Target to close 9 stores across 4 states, citing retail crime
Target will close nine stores in New York, Seattle, Portland, and the Bay Area due to crime. "Theft and organized retail crime are threatening the safety of our team and guests," the company said.
Retailers Ramp Up Staffing With a Focus on the Holiday Season
Retailers such as Target (TGT), Macy's (M), Bath &amp; Body Works (BBWI) and Amazon (AMZN) are deploying a reasonable number of seasonal associates to deal with the holiday rush.
1 Bargain Stock at a 52-Week Low to Buy Right Now
Target stock is now trading at its lowest point since the start of the pandemic. Macro challenges and some operational issues have dogged the company.
Target's Stock Is Down 20% This Year, What's Next?
After a 20% decline year-to-date, at the current price of around $119 per share, we believe Target (NYSE: TGT), the second-largest discount chain in the U.S.
3 Stocks That Flourish In The Fall
Autumn also means that Starbucks Corp. NASDAQ: SBUX, TJX Companies NYSE: TJXand Target Corp. NYSE: TGT should perform well, based on their historical returns.
Target Circle Week Returns Oct. 1-7 with Deep Savings on Thousands of Items and up to 40% off for Target Circle Members
The week-long event features savings of up to 40% off top brands like Beats, Native and Dyson The event also features 50% off annual Shipt memberships, plus exclusive offers from Ulta Beauty at Target and Tripadvisor Members of Target Circle, Target's free-to-join loyalty program, can shop the deals in stores, online and via the Target app Guests who aren't Target Circle members can access the deals by joining Target Circle at Target.com/circle — it's quick and easy MINNEAPOLIS , Sept. 25, 2023 /PRNewswire/ -- Target Corporation (NYSE: TGT) today unveiled plans for its Target Circle Week event Oct. 1-7, exclusively for members of Target Circle, its free-to-join loyalty program.</t>
  </si>
  <si>
    <t>Target Corporation</t>
  </si>
  <si>
    <t xml:space="preserve">
    Market Cap (intraday) 51.04B
         Enterprise Value 68.25B
             Trailing P/E  15.17
              Forward P/E  15.60
PEG Ratio (5 yr expected)   1.00
        Price/Sales (ttm)   0.47
         Price/Book (mrq)   4.26
 Enterprise Value/Revenue   0.63
  Enterprise Value/EBITDA   9.11</t>
  </si>
  <si>
    <t>Semiconductor companies are in denial about this sea-change with their biggest customers
The world is experiencing a multi-trillion-dollar shift in the semiconductor industry. The semiconductor revolution (which I have discussed for years) has enabled much of the technological progress we have witnessed over the past 50 years.
2 Charts That Show Semiconductor Stocks Are Poised to Drop
The S&amp;P Semiconductors Select Industry Index has topped both price-wise and on a relative basis. That bodes poorly for the sector.</t>
  </si>
  <si>
    <t>Analog Devices</t>
  </si>
  <si>
    <t xml:space="preserve">
    Market Cap (intraday) 87.25B
         Enterprise Value 93.08B
             Trailing P/E  23.82
              Forward P/E  20.88
PEG Ratio (5 yr expected)   2.36
        Price/Sales (ttm)   6.95
         Price/Book (mrq)   2.43
 Enterprise Value/Revenue   7.25
  Enterprise Value/EBITDA  13.99</t>
  </si>
  <si>
    <t>Rollins (ROL) Rides on Strong Operating Platform and Buyouts
Shareholder-friendly behavior and a healthy demand situation bode well for Rollins (ROL).
10 Dividend Growth Stocks For September 2023
In this monthly series, I rank a selection of dividend growth stocks in Dividend Radar and present the ten top-ranked stocks for consideration. To rank stocks, I do a quality assessment and sort stocks by quality scores, breaking ties with additional metrics. This month, I'm presenting stocks with A+ Dividend Quality Grades and strictly increasing dividends, earnings, and revenue over the past decade.</t>
  </si>
  <si>
    <t>Rollins, Inc.</t>
  </si>
  <si>
    <t xml:space="preserve">
    Market Cap (intraday) 18.07B
         Enterprise Value 18.54B
             Trailing P/E  47.25
              Forward P/E  35.59
PEG Ratio (5 yr expected)   2.69
        Price/Sales (ttm)   6.41
         Price/Book (mrq)  13.46
 Enterprise Value/Revenue   6.46
  Enterprise Value/EBITDA  29.08</t>
  </si>
  <si>
    <t>Better Buy: Estee Lauder vs. Crocs
Estee Lauder is one of the best-known, high-end beauty product companies. Crocs makes comfortable and reasonably priced footwear for the masses.
Estée Lauder Stock Down 49%: Phenomenal Upside, But Here's What Could Go Wrong
Tying its growth to China hasn't gone well in recent years.
Here are the 18 stocks Jim Cramer is watching, including names in EVs, beauty and oil
Here are some of the tickers on my radar for Wednesday, Sept. 27, taken directly from my reporter's notebook.</t>
  </si>
  <si>
    <t>Estée Lauder Companies (The)</t>
  </si>
  <si>
    <t xml:space="preserve">
    Market Cap (intraday) 51.73B
         Enterprise Value 57.87B
             Trailing P/E  51.81
              Forward P/E  39.22
PEG Ratio (5 yr expected)   3.92
        Price/Sales (ttm)   3.28
         Price/Book (mrq)   9.26
 Enterprise Value/Revenue   3.64
  Enterprise Value/EBITDA  24.15</t>
  </si>
  <si>
    <t>eBay Announces Fourth Annual Up &amp; Running Grants Recipients
Since 2020, more than $2 million in funds, plus mentorship, training and business equipment, awarded to hundreds of entrepreneurs SAN JOSE, Calif. , Sept. 28, 2023 /PRNewswire/ -- eBay Inc. today announced the recipients of its fourth annual Up &amp; Running Grants, a program established in 2020 to further eBay's mission of connecting people and building communities to create economic opportunity for all.
Jeff Staple Auctions Sneakers, Streetwear &amp; Collectibles from His Personal Collection on eBay
The drop is the latest in eBay's "From the Collection" series, which brings exclusive items from renowned designers, artists, athletes and entertainers to eBay's communities of enthusiasts SAN JOSE, Calif. , Sept. 28, 2023 /PRNewswire/ -- Today, eBay announces "From the Collection: Jeff Staple" – an exclusive drop of sneakers, streetwear, trading cards and other collectibles straight from the archives of one of the creative industry's most influential figures.
INVESTIGATION ALERT: The Schall Law Firm Announces it is Investigating Claims Against eBay Inc. and Encourages Investors with Losses to Contact the Firm
LOS ANGELES, CA / ACCESSWIRE / September 28, 2023 / The Schall Law Firm, a national shareholder rights litigation firm, announces that it is investigating claims on behalf of investors in eBay Inc. ("eBay" or "the Company") (NASDAQ:EBAY) for potential breaches of fiduciary duty on the part of its directors and management. The investigation focuses on determining if the eBay board breached its fiduciary duties to shareholders.
DOJ Accuses eBay of Selling Products That Violate Environmental Laws
The United States Justice Department has filed a complaint against eBay, accusing the online marketplace of unlawfully selling and distributing products that violate environmental regulations. The complaint, filed on behalf of the U.S.
Justice Department targets eBay for alleged unlawful sales of pesticides and other toxins
The U.S. Justice Department filed a civil complaint against eBay, claiming the online marketplace unlawfully sold and distributed hundreds of thousands of products like pesticides and motor vehicle emission-evading devices that violate environmental laws.
EBay charged with allowing sale of illegal pesticides and emission bypass devices for vehicles
Online auction giant eBay Inc. is being accused by the Environmental Protection Agency of looking the other way for years as its customers sold illegal pesticides and hundreds of thousands of devices that allow drivers to bypass the emission controls on their vehicles.
Feds sue EBay over alleged sales of products violating environmental laws
The US government sued eBay, accusing the online platform of violating the Clean Air Act and other environmental laws by allowing the sale of several harmful products.
eBay Issues Statement Responding to U.S. Department of Justice Lawsuit
SAN JOSE, Calif. , Sept. 27, 2023 /PRNewswire/ -- eBay Inc. (Nasdaq: EBAY), a global commerce leader that connects millions of buyers and sellers around the world, today responded to the filing of a complaint by the U.S. Department of Justice (DOJ) seeking to hold eBay liable for the sale of products alleged to violate certain laws administered by the Environmental Protection Agency.
U.S. sues eBay over sale of harmful products
The U.S. government on Wednesday sued eBay , accusing it of violating federal environmental laws for failing to stop the sale of several harmful products on its platform.</t>
  </si>
  <si>
    <t>eBay</t>
  </si>
  <si>
    <t xml:space="preserve">
    Market Cap (intraday) 23.46B
         Enterprise Value 24.57B
             Trailing P/E  18.60
              Forward P/E   9.91
PEG Ratio (5 yr expected)   3.68
        Price/Sales (ttm)   2.40
         Price/Book (mrq)   4.45
 Enterprise Value/Revenue   2.47
  Enterprise Value/EBITDA  10.20</t>
  </si>
  <si>
    <t>Ticking Time Bombs: 3 Warren Buffett Stocks to Dump Before the Damage Is Done
In every sport in the world there is always a great exemplary sportsman, someone that everyone admires and wants to follow in his footsteps, in our world of financial markets, that great exemplar and teacher for everyone is the great Warren Buffett, better known as the Oracle of Omaha. Following in his footsteps, studying his investment portfolio and continuously analyzing his movements, can help us make good investment choices, but it can also help us prevent substantial losses.
Striking Hollywood actors vote to authorize new walkout against videogame makers
LOS ANGELES — Striking actors have voted to expand their walkout to include the lucrative videogame market, a step that could put new pressure on Hollywood studios to make a deal with the performers who provide voices and stunts for games.
Videogame stocks mostly hold steady as actors strike threatens to spread to game publishers
Videogame stocks performed slightly better than the broader market Tuesday after striking actors voted late Monday to expand their strike to work on videogames, which constitutes an even larger market than movies or television.
Actors' guild authorizes strike against video game developers over similar AI concerns to those seen in Hollywood
The SAG-AFTRA strike is expanding beyond just Hollywood studios after its members voted decisively on Monday to authorize a strike against 10 of the largest video game companies in the US.  More than 98% of voting members, which include actors and television/radio artists, voted in favor of authorizing the strike.
Facing ‘extinction' to AI, video game performers approve strike action
The video games industry is emerging as the latest frontline in the long-running industrial relations conflict between unions and executives in the US entertainment industry. Members of SAG-AFTRA, the trade union representing over 100,000 actors and performers, voted in favour of a strike authorisation on the Interactive Media Agreement that covers members' work on video games.</t>
  </si>
  <si>
    <t>Activision Blizzard</t>
  </si>
  <si>
    <t xml:space="preserve">
    Market Cap (intraday) 73.67B
         Enterprise Value 64.20B
             Trailing P/E  34.30
              Forward P/E  21.93
PEG Ratio (5 yr expected)   2.17
        Price/Sales (ttm)   8.52
         Price/Book (mrq)   3.54
 Enterprise Value/Revenue   7.37
  Enterprise Value/EBITDA  20.90</t>
  </si>
  <si>
    <t>Is the Grinch Stealing This Year's Holiday Season Jobs?
United Parcel Service Inc. NYSE: UPS is among logistics companies that are proceeding cautiously this year, in anticipation of a slower holiday season.</t>
  </si>
  <si>
    <t>C.H. Robinson</t>
  </si>
  <si>
    <t xml:space="preserve">
    Market Cap (intraday) 10.03B
         Enterprise Value 11.92B
             Trailing P/E  19.31
              Forward P/E  19.12
PEG Ratio (5 yr expected)    NaN
        Price/Sales (ttm)   0.52
         Price/Book (mrq)   7.22
 Enterprise Value/Revenue   0.59
  Enterprise Value/EBITDA  14.14</t>
  </si>
  <si>
    <t>Discover Financial jumps 7% after agreeing with FDIC to improve consumer compliance
Shares of Discover Financial Services climbed 7% on Monday after the bank agreed to improve its consumer compliance and related corporate governance as part of a consent order with the Federal Deposit Insurance Corp (FDIC).
My Top 15 High Growth Dividend Stocks For October 2023
September has historically been a bad month for equities, with the SPDR S&amp;P 500 Trust ETF and Vanguard's Dividend Appreciation ETF both posting losses during the last 4 Septembers. The top 15 dividend growth stocks for October offer an average dividend yield of 1.94% and appear to be about 35% undervalued based on dividend yield theory. Since inception, September 2020, the watchlist is outperforming VIG by 2.92% and SPY by 2.34%, on an annualized basis.
SHAREHOLDER ACTION ALERT: The Schall Law Firm Encourages Investors in Discover Financial Services with Losses of $100,000 to Contact the Firm
LOS ANGELES, CA / ACCESSWIRE / October 1, 2023 / The Schall Law Firm, a national shareholder rights litigation firm, reminds investors of a class action lawsuit against Discover Financial Services ("Discover" or "the Company") (NYSE:DFS) for violations of §§10(b) and 20(a) of the Securities Exchange Act of 1934 and Rule 10b-5 promulgated thereunder by the U.S. Securities and Exchange Commission. Investors who purchased the Company's securities between February 21, 2019 and August 14, 2023, inclusive (the "Class Period"), are encouraged to contact the firm before October 31, 2023.
My Top 10 High Yield Dividend Stocks For October 2023
The market slide continues in September with the SPDR S&amp;P 500 Trust ETF dropping by 4.74%. The top 10 stocks on the watchlist for October 2023 offer a 4.33% dividend yield, more than double the S&amp;P 500. My top 10 list of high dividend yield stocks has generated an annualized rate of return of 10.29% since its inception in November 2020.
ROSEN, A GLOBALLY RESPECTED LAW FIRM, Encourages Discover Financial Services Investors with Losses in Excess of $100K to Secure Counsel Before Important Deadline in Securities Class Action - DFS
NEW YORK , Sept. 30, 2023 /PRNewswire/ --  WHY: Rosen Law Firm, a global investor rights law firm, reminds purchasers of common stock of Discover Financial Services (NYSE: DFS) between February 21, 2019 and August 14, 2023, both dates inclusive (the "Class Period") of the important October 31, 2023 lead plaintiff deadline.
DFS Investors Have Opportunity to Lead Discover Financial Services Securities Fraud Lawsuit
LOS ANGELES , Sept. 29, 2023 /PRNewswire/ -- Glancy Prongay &amp; Murray LLP ("GPM") announces that investors with substantial losses have opportunity to lead the securities fraud class action lawsuit against Discover Financial Services ("Discover" or the "Company") (NYSE: DFS).
SHAREHOLDER ALERT: Pomerantz Law Firm Reminds Shareholders with Losses on their Investment in Discover Financial Services of Class Action Lawsuit and Upcoming Deadline - DFS
NEW YORK , Sept. 29, 2023 /PRNewswire/ -- Pomerantz LLP announces that a class action lawsuit has been filed against Discover Financial Services ("DFS" or the "Company") (NYSE: DFS) and certain officers.
Discover Financial Services Announces Third Quarter 2023 Earnings Release on October 18, 2023, and Conference Call on October 19, 2023
RIVERWOODS, Ill.--(BUSINESS WIRE)--Discover Financial Services (NYSE: DFS) plans to report its third quarter 2023 results after the market closes on Wednesday, October 18, 2023. The earnings release will be available through Discover's Investor Relations website at https://investorrelations.discover.com. A conference call to discuss the firm's results, outlook and related matters will be held on Thursday, October 19, 2023, at 7:00 a.m. Central Time. The live audio webcast will be accessible to.
Kessler Topaz Meltzer &amp; Check, LLP: Important Deadline Reminder for Discover Financial Services Investors in Securities Fraud Class Action Lawsuit
RADNOR, Pa. , Sept. 27, 2023 /PRNewswire/ -- The law firm of Kessler Topaz Meltzer &amp; Check, LLP (www.ktmc.com) informs investors that a securities class action lawsuit has been against Discover Financial Services ("DFS") (NYSE: DFS).
INVESTOR ACTION NOTICE: The Schall Law Firm Encourages Investors in Discover Financial Services with Losses of $100,000 to Contact the Firm
LOS ANGELES, CA / ACCESSWIRE / September 27, 2023 / The Schall Law Firm, a national shareholder rights litigation firm, reminds investors of a class action lawsuit against Discover Financial Services ("Discover" or "the Company") (NYSE:DFS) for violations of §§10(b) and 20(a) of the Securities Exchange Act of 1934 and Rule 10b-5 promulgated thereunder by the U.S. Securities and Exchange Commission. Investors who purchased the Company's securities between February 21, 2019 and August 14, 2023, inclusive (the "Class Period"), are encouraged to contact the firm before October 31, 2023.
DEADLINE ACTION ALERT: The Schall Law Firm Encourages Investors in Discover Financial Services with Losses of $100,000 to Contact the Firm
LOS ANGELES, CA / ACCESSWIRE / September 26, 2023 / The Schall Law Firm, a national shareholder rights litigation firm, reminds investors of a class action lawsuit against Discover Financial Services ("Discover" or "the Company") (NYSE:DFS) for violations of §§10(b) and 20(a) of the Securities Exchange Act of 1934 and Rule 10b-5 promulgated thereunder by the U.S. Securities and Exchange Commission. Investors who purchased the Company's securities between February 21, 2019 and August 14, 2023, inclusive (the "Class Period"), are encouraged to contact the firm before October 31, 2023.
DISCOVER SHAREHOLDER ACTION REMINDER: Securities Litigation Partner James (Josh) Wilson Encourages Investors Who Suffered Losses Exceeding $100,000 In Discover To Contact Him Directly To Discuss Their Options
NEW YORK , Sept. 26, 2023 /PRNewswire/ -- Faruqi &amp; Faruqi, LLP, a leading national securities law firm, is investigating potential claims against Discover Financial Services ("Discover" or the "Company") (NYSE: DFS) and reminds investors of the October 31, 2023 deadline to seek the role of lead plaintiff in a federal securities class action that has been filed against the Company.
SHAREHOLDER ACTION ALERT: The Schall Law Firm Encourages Investors in Discover Financial Services with Losses of $100,000 to Contact the Firm
LOS ANGELES, CA / ACCESSWIRE / September 24, 2023 / The Schall Law Firm, a national shareholder rights litigation firm, reminds investors of a class action lawsuit against Discover Financial Services ("Discover" or "the Company") (NYSE: DFS) for violations of §§10(b) and 20(a) of the Securities Exchange Act of 1934 and Rule 10b-5 promulgated thereunder by the U.S. Securities and Exchange Commission. Investors who purchased the Company's securities between February 21, 2019 and August 14, 2023, inclusive (the "Class Period"), are encouraged to contact the firm before October 31, 2023.</t>
  </si>
  <si>
    <t>Discover Financial</t>
  </si>
  <si>
    <t xml:space="preserve">
    Market Cap (intraday) 21.65B
         Enterprise Value    NaN
             Trailing P/E   5.99
              Forward P/E   6.73
PEG Ratio (5 yr expected)  11.22
        Price/Sales (ttm)   1.55
         Price/Book (mrq)   1.69
 Enterprise Value/Revenue    NaN
  Enterprise Value/EBITDA    NaN</t>
  </si>
  <si>
    <t>UAW Strike 2023: 7 Stocks That Could Actually Benefit From the Disruption
Ford Motor (NYSE: F ) may be making some progress in its negotiations with the United Auto Workers labor union, yet for the automaker and its two “Detroit Three” peers, General Motors (NYSE: GM ) and Chrysler parent Stellantis (NYSE: STLA ), the ongoing UAW strike remains a serious headwind. Beyond just causing operational disruptions in the near-term, this labor action could have a lasting negative effect on each of these companies.</t>
  </si>
  <si>
    <t>LKQ Corporation</t>
  </si>
  <si>
    <t xml:space="preserve">
    Market Cap (intraday) 13.25B
         Enterprise Value 16.67B
             Trailing P/E  13.17
              Forward P/E  11.42
PEG Ratio (5 yr expected)   6.04
        Price/Sales (ttm)   1.04
         Price/Book (mrq)   2.23
 Enterprise Value/Revenue   1.29
  Enterprise Value/EBITDA   9.42</t>
  </si>
  <si>
    <t>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Meat-processor stocks fall after DoJ brings antitrust suit against data provider Agri Stats
The Justice Department has filed a civil antitrust lawsuit against meat data provider Agri Stats, charging it with organizing and managing anticompetitive information exchanges among broiler chicken, pork and turkey processors.
Hormel Foods, Jennie-O Turkey Store Celebrate Completion of Latest Community Solar Project
Global branded food company and its leading turkey brand continue to advance renewable energy projects at their Montevideo, Minn., plant MONTEVIDEO, Minn.
Don't Miss the Boom: 7 Dividend Stocks Set to Explode Higher
The economic outlook is increasingly uncertain. Between inflation, high-interest rates, and an aggressive Federal Reserve, there is plenty that could hamper the market's returns over the next year.
Hormel Foods Corporation Declares Quarterly Dividend
AUSTIN, Minn. , Sept. 25, 2023 /PRNewswire/ -- Hormel Foods Corporation (NYSE: HRL), a Fortune 500 global branded food company, today announced its quarterly dividend on the common stock, authorized by the Board of Directors at 27.5 cents ($0.275) a share on September 25, 2023, will be paid November 15, 2023, to stockholders of record at the close of business on October 16, 2023.
Hormel Foods (HRL) Appears Dull on Supply-Chain, Cost Woes
Hormel Foods (HRL) continues to operate in a volatile, complex and high-cost environment. Weakness in the International segment is a hurdle.</t>
  </si>
  <si>
    <t>Hormel Foods</t>
  </si>
  <si>
    <t xml:space="preserve">
    Market Cap (intraday) 20.78B
         Enterprise Value 23.40B
             Trailing P/E  23.77
              Forward P/E  21.74
PEG Ratio (5 yr expected)   2.95
        Price/Sales (ttm)   1.71
         Price/Book (mrq)   2.69
 Enterprise Value/Revenue   1.92
  Enterprise Value/EBITDA  15.76</t>
  </si>
  <si>
    <t>JAS Worldwide Reduces Workers' Walking Time by 40% with Zebra Technologies
LINCOLNSHIRE, Ill.--(BUSINESS WIRE)--Contract logistics leader drives efficiency with its first U.S. implementation of autonomous mobile robots from Zebra Technologies.
INVESTOR ACTION NOTICE: The Schall Law Firm Announces it is Investigating Claims Against Zebra Technologies Corporation and Encourages Investors with Losses to Contact the Firm
LOS ANGELES, CA / ACCESSWIRE / September 27, 2023 / The Schall Law Firm, a national shareholder rights litigation firm, announces that it is investigating claims on behalf of investors of Zebra Technologies Corporation ("Zebra" or "the Company") (NASDAQ:ZBRA) for violations of the securities laws. The investigation focuses on whether the Company issued false and/or misleading statements and/or failed to disclose information pertinent to investors.</t>
  </si>
  <si>
    <t>Zebra Technologies</t>
  </si>
  <si>
    <t xml:space="preserve">
    Market Cap (intraday) 12.14B
         Enterprise Value 14.48B
             Trailing P/E  18.98
              Forward P/E  17.21
PEG Ratio (5 yr expected)   4.65
        Price/Sales (ttm)   2.23
         Price/Book (mrq)   4.06
 Enterprise Value/Revenue   2.63
  Enterprise Value/EBITDA  13.03</t>
  </si>
  <si>
    <t>3 Stocks to Buy Before the Holiday Shopping Boom
The fourth and final quarter of 2023 is upon us and the year-end holidays are fast approaching. That could mean a boost in the sales of many businesses, from retailers to airlines and e-commerce companies.
Which Airlines Stock Will Offer Better Returns – American Or United?
If we look at stock returns, United Airlines, with 13% returns this year, has fared better than American Airlines, up 0%, and the broader S&amp;P 500 index, up 11%.
UK regulator to assess IAG-American Airlines partnership
Britain's competition regulator said it planned to assess a transatlantic partnership deal between British Airways-owner IAG , American Airlines and Finnair in the context of the post-COVID recovery of the aviation market.
Time to Buy the Recent Dip in Airline Stocks?
Domestically, the three largest airlines by revenue Delta Air Lines (DAL), American Airlines (AAL), and United Airlines (UAL) have all seen their stocks fall of late after seeing 52-week highs in July.
7 Perfect Stock Picks for a Moody Market
The broader market indexes would have you believe we're in the midst of a steady, long-term recovery. But those of us trading individual stocks, especially more speculative penny and growth names, know the truth.
3 Household Names With RSIs That Scream Oversold
With the benchmark S&amp;P 500 index continuing to trade down from its summer highs, there are plenty of stocks feeling the worst for wear. It's easy for a rally to begin, or indeed for an existing one to be pushed higher, when investors are buying, but the exact opposite is true when they're selling.
3 Value Stocks That Are Trading at a Discount to Their Fair Value
Savvy investors are always on the lookout for value stocks. The dream of finding solid companies going through a rough patch and trading much lower than their appropriate valuation.
Airline stocks fall again, with Southwest and JetBlue shares at multiyear lows
The airline sector was suffering another broad selloff Tuesday, amid worries over how a government shutdown will hurt the industry and as falling ticket prices raise concerns over profitability.
American Airlines: Profitability Remains a Concern
American Airlines Group Inc ( AAL , Financial) has found itself navigating turbulent skies as it grapples with several factors that threaten its profitability. The latest blow comes in the form of escalating fuel and labor costs, stemming from its recent collective bargaining agreement with the Allied Pilots Association union.</t>
  </si>
  <si>
    <t>American Airlines Group</t>
  </si>
  <si>
    <t xml:space="preserve">
    Market Cap (intraday)  8.37B
         Enterprise Value 38.89B
             Trailing P/E   3.30
              Forward P/E   3.86
PEG Ratio (5 yr expected)   0.06
        Price/Sales (ttm)   0.17
         Price/Book (mrq)    NaN
 Enterprise Value/Revenue   0.74
  Enterprise Value/EBITDA   6.99</t>
  </si>
  <si>
    <t>75% of Companies Struggling with IT Operational Challenges in a Hybrid World, According to HP Study
HP Inc. (NYSE: HPQ) today announced the findings of a new commissioned study, conducted by Forrester Consulting, highlighting the need for companies to ado
Warren Buffett's Berkshire Hathaway dumped $400 million of HP stock in under 3 weeks
Warren Buffett's Berkshire Hathaway made another cut to its HP position this week. Buffett's company has now sold more than 12% of its stake for about $400 million this month.
Warren Buffett Is Selling Shares of This High-Yield Dividend Stock and, Likely, Buying Shares of His Favorite Stock (No, Not Apple!)
Riding the Oracle of Omaha's coattails has been a profitable venture for more than 50 years. A high-yield stock with a compelling value proposition is beginning to lose its luster.
Berkshire Hathaway (BRK.B) Continues to Offload HP (HPQ) Shares
Berkshire Hathaway (BRK.B) offloads a further $130 million worth of its stake in HP (HPQ) shares over three days in the last week, per filings.
Is Warren Buffett Giving Up on HP (HPQ) Stock?
HP (NYSE: HPQ ) stock investors are feeling the heat on Monday morning after Warren Buffett sold shares of HPQ. A filing with the Securities and Exchange Commission (SEC) reveals that Buffett's Berkshire Hathaway (NYSE: BRK-A ,NYSE: BRK-B ) sold shares of HPQ stock through a few transactions last week.
HP Inc. to Host Securities Analyst Meeting on October 10
PALO ALTO, Calif., Sept. 25, 2023 (GLOBE NEWSWIRE) -- HP Inc. (NYSE: HPQ) will host its 2023 Securities Analyst Meeting on Oct. 10, 2023.
Warren Buffett's Berkshire Hathaway just dumped another $130 million of HP stock - and has now sold nearly $300 million worth this month
Warren Buffett's Berkshire Hathaway sold another chunk of its HP position last week, a filing shows. Buffett's company cashed out $130 million worth of the PC maker's stock, cutting its stake to 11.2%.</t>
  </si>
  <si>
    <t>HP Inc.</t>
  </si>
  <si>
    <t xml:space="preserve">
    Market Cap (intraday) 25.40B
         Enterprise Value 33.36B
             Trailing P/E  11.03
              Forward P/E   7.32
PEG Ratio (5 yr expected)   8.51
        Price/Sales (ttm)   0.47
         Price/Book (mrq)    NaN
 Enterprise Value/Revenue   0.61
  Enterprise Value/EBITDA   7.08</t>
  </si>
  <si>
    <t>Dow Stocks To Trade In October
This long and short equity strategy has generated superior returns based upon cycles and relative strength.
3M stock descends toward an 11-year low as PFAS concerns continue
Shares of 3M Co. MMM, -3.80% took a 3.8% hit Monday, enough to lead the Dow Jones Industrial Average's DJIA, -0.59% losers, as they continued to feel the weight of investor concerns over PFAS (per- and polyfluoroalkyl substances) exposure. The stock, which was headed for the 11th decline over the past 12 sessions, was on track for the lowest close since Nov. 21, 2012, according to Dow Jones Market Data.
Ticking Time Bombs: 3 ESG Stocks to Dump Before the Damage Is Done
The jury is still out on ESG stocks from the perspective of judging their returns. Some shares have outperformed while others have not.
Buy These 2 Dividend Stocks to Boost Your Passive Income
Passive income investors owe it to themselves to consider these excellent dividend stocks.
Ticking Time Bombs: 3 Manufacturing Stocks to Dump Before the Damage Is Done
The manufacturing sector is one of the pillars of the global economy, producing goods and services that are essential for various industries and consumers. However, the sector is facing multiple challenges in 2023, as the worsened economic outlook, rising geopolitical risks, and volatility in the energy and commodities markets will put pressure on manufacturers' performances.
3M: A 7%-Yielding, 30% Undervalued Dumpster Fire
3M Company's stock is trading significantly below its all-time high, down 22% year-to-date. The company recently settled a historic $6 billion lawsuit related to "forever chemicals" and faces thousands of other lawsuits. 3M has outlined a three-pillar strategy, including a healthcare spin-off and risk reduction initiatives, to potentially turn the company around.
My Best Dividend Aristocrats For October 2023
The ProShares S&amp;P 500 Dividend Aristocrat ETF fell by 2.34% in August and is down 6.25% in September bringing its year-to-date return down to -0.70%. I present 3 strategies that can theoretically beat the dividend aristocrat index in the long term. After 26 months of tracking these strategies, only 1 strategy is beating NOBL but all 3 continue to outperform SPY.
Nine Dow Stocks Are So Oversold They're 'Falling Off The Page'
The September sell-off in Dow Jones and S&amp;P 500 stocks is getting so intense, some wonder if it's already overdone.
October Dividend Kings: 5 To Buy And 5 To Watch
"There is only one-criterion to be included among the Dividend Kings: a publicly-traded company must increase its total fiscal-year dividend-payout for a minimum of 50 consecutive-years."--Dogs of the Dow. The 49 Dividend Kings screened as of September 26 represented seven of eleven Morningstar Sectors. Broker targeted-top-ten net-gainers ranged 24.77%-38.84% topped-by Northwest Natural, and Target. By yield, Altria tops-all. Top-ten Kingly October yields from SWK, TGT, BKH, FRT, NWN, CDUAF, MMM, UVV, LEG, &amp; MO averaged 5.86%.
Ticking Time Bombs: 3 Dow Stocks to Dump Before the Damage Is Done
The Dow 30 is a select group of stocks representing prominent companies in a variety of industries and sectors. A common characteristic of Dow stocks is their status as blue-chip stocks.
Is It Time to Buy the Dow's 3 Worst-Performing Stocks This Year?
Walgreens' expansion efforts haven't boosted profits. Nike's growth has slowed, but it still retains a powerful brand.
Is 3M's 6.1% Dividend Yield Sustainable for Passive Income Investors?
The industrial giant is facing legal troubles, which have lowered its stock price.
Should You Pick Starbucks Over 3M Stock For Next Three Years?
Looking at stock returns, both have underperformed vis-a-vis broader markets amid slowing economic growth.
Best Dividend Stock for Passive Income Investors: 3M Stock vs. RTX Stock
3M and Raytheon offer investors unique choices in building passive income.
4 Dow Stocks Are Down Over 15% in 2023. Here's My Top Pick of the 4 to Buy Now.
Verizon, Walgreens Boots Alliance, and 3M have dividends all yielding over 6%. Business fundamentals are deteriorating for all three companies.
3M agrees to pay almost $10 million to settle apparent Iran sanctions violations
3M has agreed to pay almost $10 million to settle apparent violations of Iranian sanctions, the US Office of Foreign Assets Control said last week.
3M stock drops as Belgium plant remains idled from PFAS chemical production
3M Co (NYSE:MMM) announced its intention Monday to speed up the removal of PFAS “forever chemicals” from its Zwijndrecht facility in Belgium.  Use of PFAS at the facility has been idled, the company said.
3M idles all manufacturing of forever chemicals at Belgian plant
3M Co. said Monday it has idled all manufacturing of PFAS, also known as “forever chemicals,” at a plant in Belgium as it works to fully exit PFAS manufacturing by the end of 2025.
3 Seriously Oversold Tech Stocks Worth Buying Now
In the complexities of the market, finding stocks at lower prices that promise both stability and growth can be daunting. However, three tech giants belong in the seriously oversold tech stocks category, amidst the market's ups and downs.</t>
  </si>
  <si>
    <t>3M</t>
  </si>
  <si>
    <t xml:space="preserve">
    Market Cap (intraday) 51.68B
         Enterprise Value 64.16B
             Trailing P/E  16.99
              Forward P/E   9.77
PEG Ratio (5 yr expected)   3.59
        Price/Sales (ttm)   1.58
         Price/Book (mrq)   6.63
 Enterprise Value/Revenue   1.94
  Enterprise Value/EBITDA -81.02</t>
  </si>
  <si>
    <t>Dominion Energy Recommends Shareholders Reject 'Mini-Tender' Offer By TRC Capital Investment Corporation
RICHMOND, Va., Oct. 2, 2023 /PRNewswire/ -- Dominion Energy, Inc. (NYSE: D), has received notice of an unsolicited "mini-tender" offer by TRC Capital Investment Corporation (TRC Capital) to purchase up to 2 million shares of Dominion Energy's common stock at a price of $44.00 per share in cash.
New Strong Sell Stocks for September 29th
BSET, DRCT and D have been added to the Zacks Rank #5 (Strong Sell) List on September 29, 2023.
Worried About a Stock Market Sell-Off? Consider These Dividend Stocks
American Electric Power is a leading electric utility that has a long history of rewarding shareholders. Dominion Energy is riddled with uncertainty but could be a nice turnaround play.
Dominion (D) Progresses Virginia Offshore Wind Commercial Project
Dominion (D) advances its offshore wind commercial project, off the coast of Virginia, after the completion of the environmental analysis.
Dominion Energy Advances Coastal Virginia Offshore Wind Commercial Project; Announces Federal Regulatory Agency Completes Environmental Analysis
Bureau of Ocean Energy Management issues Final Environmental Impact Statement (EIS) for Coastal Virginia Offshore Wind (CVOW) commercial project Final EIS analyzes potential environmental impacts and mitigation measures of CVOW CVOW remains on budget and on schedule; Dominion Energy expects to begin offshore construction in early 2024 and is expected to conclude in late 2026 RICHMOND, Va. , Sept. 25, 2023 /PRNewswire/ -- Dominion Energy's Coastal Virginia Offshore Wind (CVOW) commercial project reached a major regulatory milestone today when the Bureau of Ocean Energy Management announced it has completed its environmental analysis of the 2.6-gigawatt project planned off the Virginia Beach coast.</t>
  </si>
  <si>
    <t>Dominion Energy</t>
  </si>
  <si>
    <t xml:space="preserve">
    Market Cap (intraday) 37.38B
         Enterprise Value 87.62B
             Trailing P/E  16.54
              Forward P/E  14.08
PEG Ratio (5 yr expected)    NaN
        Price/Sales (ttm)   2.03
         Price/Book (mrq)   1.40
 Enterprise Value/Revenue   4.78
  Enterprise Value/EBITDA  11.17</t>
  </si>
  <si>
    <t>INVESTOR ACTION ALERT: The Schall Law Firm Announces it is Investigating Claims Xylem Inc. and Encourages Investors with Losses to Contact the Firm
LOS ANGELES, CA / ACCESSWIRE / October 2, 2023 / The Schall Law Firm, a national shareholder rights litigation firm, announces that it is investigating claims on behalf of investors of Xylem Inc. ("Xylem" or "the Company") (NYSE:XYL) who were Evoqua (NYSE: AQUA) shareholders who received shares of Xylem, Inc. through the 2023 merger for violations of the securities laws. The investigation focuses on whether the Company issued false and/or misleading statements and/or failed to disclose information pertinent to investors.
Xylem Awarded for Innovation at WEFTEC
WASHINGTON--(BUSINESS WIRE)--Xylem is recognized with the 2023 Innovative Technology Award for its Flygt 4200 Compact Adaptive Mixers series from Water Environment Federation.
INVESTOR ACTION ALERT: The Schall Law Firm Announces it is Investigating Claims Xylem Inc. and Encourages Investors with Losses to Contact the Firm
LOS ANGELES, CA / ACCESSWIRE / September 29, 2023 / The Schall Law Firm, a national shareholder rights litigation firm, announces that it is investigating claims on behalf of investors of Xylem Inc. ("Xylem" or "the Company") (NYSE:XYL) who were Evoqua (NYSE:AQUA) shareholders who received shares of Xylem, Inc. through the 2023 merger for violations of the securities laws. The investigation focuses on whether the Company issued false and/or misleading statements and/or failed to disclose information pertinent to investors.
The Law Offices of Frank R. Cruz Announces Investigation of Xylem Inc. (XYL) on Behalf of Investors
LOS ANGELES--(BUSINESS WIRE)--The Law Offices of Frank R. Cruz announces an investigation of Xylem Inc. (“Xylem” or the “Company”) (NYSE: XYL) on behalf of investors concerning the Company's possible violations of federal securities laws. If you are a shareholder who suffered a loss, click here to participate. On August 9, 2023, Spruce Point Capital published a report raising “concerns about the accuracy of the Company's cash liquidity.” Spruce Point Capital also alleged, among other things, th.
INVESTIGATION ALERT: The Schall Law Firm Announces it is Investigating Claims Xylem Inc. and Encourages Investors with Losses to Contact the Firm
LOS ANGELES, CA / ACCESSWIRE / September 28, 2023 / The Schall Law Firm, a national shareholder rights litigation firm, announces that it is investigating claims on behalf of investors of Xylem Inc. ("Xylem" or "the Company") (NYSE: XYL) who were Evoqua (NYSE:AQUA) shareholders who received shares of Xylem, Inc. through the 2023 merger for violations of the securities laws. The investigation focuses on whether the Company issued false and/or misleading statements and/or failed to disclose information pertinent to investors.
XYL EQUITY ALERT: ROSEN, TOP RANKED INVESTOR COUNSEL, Encourages Xylem Inc. Investors with Losses to Inquire About Securities Class Action Investigation - XYL
NEW YORK , Sept. 27, 2023 /PRNewswire/ --  WHY: Rosen Law Firm, a global investor rights law firm, announces an investigation of potential securities claims on behalf of shareholders of Xylem Inc. (NYSE: XYL) resulting from allegations that Xylem may have issued materially misleading business information to the investing public.
INVESTOR ACTION NOTICE: The Schall Law Firm Announces it is Investigating Claims Xylem Inc. and Encourages Investors with Losses to Contact the Firm
LOS ANGELES, CA / ACCESSWIRE / September 27, 2023 / The Schall Law Firm, a national shareholder rights litigation firm, announces that it is investigating claims on behalf of investors of Xylem Inc. ("Xylem" or "the Company") (NYSE:XYL) who were Evoqua (NYSE:AQUA) shareholders who received shares of Xylem, Inc. through the 2023 merger for violations of the securities laws. The investigation focuses on whether the Company issued false and/or misleading statements and/or failed to disclose information pertinent to investors.
XYL INVESTOR NEWS: ROSEN, A LEADING LAW FIRM, Encourages Xylem Inc. Investors With Losses to Inquire About Securities Class Action Investigation – XYL
NEW YORK--(BUSINESS WIRE)--WHY: Rosen Law Firm, a global investor rights law firm, announces an investigation of potential securities claims on behalf of shareholders of Xylem Inc. (NYSE: XYL) resulting from allegations that Xylem may have issued materially misleading business information to the investing public. SO WHAT: If you purchased Xylem securities you may be entitled to compensation without payment of any out of pocket fees or costs through a contingency fee arrangement. The Rosen Law F.
Xylem to Release Third Quarter 2023 Financial Results on October 31, 2023
WASHINGTON--(BUSINESS WIRE)-- #LetsSolveWater--Xylem Inc. (NYSE: XYL), a leading global water technology company dedicated to solving the world's most challenging water issues, will release its third quarter 2023 results at 6:55 a.m. (ET) on Tuesday, October 31, 2023. At 9:00 a.m. (ET), Xylem's senior management team will host a conference call with investors. The call can be accessed by calling +1 (800) 225-9448 (US) or +1 (203) 518-9783 (INTL) (ID # XYLQ323) or by visiting Investors Events | Xylem US. A replay.</t>
  </si>
  <si>
    <t>Xylem Inc.</t>
  </si>
  <si>
    <t xml:space="preserve">
    Market Cap (intraday) 21.92B
         Enterprise Value 23.82B
             Trailing P/E  48.68
              Forward P/E  22.78
PEG Ratio (5 yr expected)   1.70
        Price/Sales (ttm)   2.82
         Price/Book (mrq)   2.21
 Enterprise Value/Revenue   3.93
  Enterprise Value/EBITDA  31.26</t>
  </si>
  <si>
    <t>Verisk's ISO Businessowners Program Adds Nearly 160 New Classifications to Help Insurers Keep Pace with Evolving Risks
JERSEY CITY, N.J, Sept. 27, 2023 (GLOBE NEWSWIRE) -- To help insurers keep pace with the changing nature of today's business exposures, as well as increase profitability and expand into new markets, Verisk (Nasdaq: VRSK), a leading global data analytics and technology provider, has announced the launch of its latest update to the ISO Businessowners (BOP) program. With more than 300,000 new small businesses created annually over four of the past five years,i this update is essential to the industry and marks one of the most significant enhancements to the ISO BOP program.</t>
  </si>
  <si>
    <t>Verisk</t>
  </si>
  <si>
    <t xml:space="preserve">
    Market Cap (intraday) 34.26B
         Enterprise Value 37.03B
             Trailing P/E  46.32
              Forward P/E  35.59
PEG Ratio (5 yr expected)    NaN
        Price/Sales (ttm)  14.11
         Price/Book (mrq) 116.53
 Enterprise Value/Revenue  14.43
  Enterprise Value/EBITDA  26.26</t>
  </si>
  <si>
    <t>Reasons Why You Should Avoid Betting on Allegion (ALLE) Now
Weakness in the Allegion International unit due to lower volumes in the Global Portable Securities business, increasing costs and forex woes are weighing on Allegion's (ALLE) performance.</t>
  </si>
  <si>
    <t>Allegion</t>
  </si>
  <si>
    <t xml:space="preserve">
    Market Cap (intraday)  9.15B
         Enterprise Value 10.88B
             Trailing P/E  17.81
              Forward P/E  15.36
PEG Ratio (5 yr expected)   1.49
        Price/Sales (ttm)   2.55
         Price/Book (mrq)   8.03
 Enterprise Value/Revenue   3.01
  Enterprise Value/EBITDA  13.75</t>
  </si>
  <si>
    <t>GRAIL SHAREHOLDER ALERT: The Schall Law Firm Announces it is Investigating Claims Against Illumina, Inc. and Encourages Investors with Losses to Contact the Firm
LOS ANGELES, CA / ACCESSWIRE / October 2, 2023 / The Schall Law Firm, a national shareholder rights litigation firm, announces that it is investigating claims on behalf of investors in Illumina, Inc. ("Illumina" or "the Company") (NASDAQ:ILMN) for potential breaches of fiduciary duty on the part of its directors and management. The investigation focuses on determining if the Stratasys board breached its fiduciary duties to shareholders.
GRAIL SHAREHOLDER INVESTIGATION ALERT: The Schall Law Firm Announces it is Investigating Claims Against Illumina, Inc. and Encourages Investors with Losses to Contact the Firm
LOS ANGELES, CA / ACCESSWIRE / September 29, 2023 / The Schall Law Firm, a national shareholder rights litigation firm, announces that it is investigating claims on behalf of investors in Illumina, Inc. ("Illumina" or "the Company") (NASDAQ:ILMN) for potential breaches of fiduciary duty on the part of its directors and management. The investigation focuses on determining if the Stratasys board breached its fiduciary duties to shareholders.
INVESTOR ACTION NOTICE: The Schall Law Firm Announces it is Investigating Claims Against Illumina, Inc. and Encourages Investors with Losses to Contact the Firm
LOS ANGELES, CA / ACCESSWIRE / September 27, 2023 / The Schall Law Firm, a national shareholder rights litigation firm, announces that it is investigating claims on behalf of investors in Illumina, Inc. ("Illumina" or "the Company") (NASDAQ:ILMN) for potential breaches of fiduciary duty on the part of its directors and management. The investigation focuses on determining if the Stratasys board breached its fiduciary duties to shareholders.
2 of Carl Icahn's Holdings Approach 52-Week Lows
As the market continues to juggle high interest rates and inflation and the third quarter prepares to come to a close later this week, a couple stocks in Carl Icahn (Trades, Portfolio)'s equity portfolio have retreated near their 52-week lows.</t>
  </si>
  <si>
    <t>Illumina</t>
  </si>
  <si>
    <t xml:space="preserve">
    Market Cap (intraday) 21.73B
         Enterprise Value 23.22B
             Trailing P/E    NaN
              Forward P/E  59.52
PEG Ratio (5 yr expected)   1.27
        Price/Sales (ttm)   4.85
         Price/Book (mrq)   3.32
 Enterprise Value/Revenue   5.21
  Enterprise Value/EBITDA  -6.58</t>
  </si>
  <si>
    <t>Cruise operators' stocks are sliding after Carnival warns of rising fuel costs
Cruise operators' stocks are slumping after Carnival Corp. CCL, -7.83% on Friday warned of rising fuel prices that impacted the company's earnings. Carnival's stock plunged 8% in early-afternoon trading, while shares of Royal Caribbean Group RCL, -2.91% dipped 3%.
Oceania Cruises Announces 2025 Summer Collection of Voyages with Extensive Lineup of Immersive Itineraries
On Sale October 4, Travelers May Choose From More Than 100 New Voyages, with 320 Captivating Ports of Call Across All Eight Ships, Promising Unforgettable Travel Experiences MIAMI , Sept. 27, 2023 /PRNewswire/ -- Oceania Cruises, the world's leading culinary- and destination-focused cruise line, revealed its 2025 Summer Collection of voyages, featuring an extensive and diverse lineup of more than 100 itineraries, plus nearly 50 Grand Voyages, to alluring corners of the world.</t>
  </si>
  <si>
    <t>Norwegian Cruise Line Holdings</t>
  </si>
  <si>
    <t xml:space="preserve">
    Market Cap (intraday)  7.01B
         Enterprise Value 19.87B
             Trailing P/E   3.81
              Forward P/E  11.44
PEG Ratio (5 yr expected)    NaN
        Price/Sales (ttm)   0.97
         Price/Book (mrq) 460.61
 Enterprise Value/Revenue   2.77
  Enterprise Value/EBITDA  30.50</t>
  </si>
  <si>
    <t>Cruise operators' stocks are sliding after Carnival warns of rising fuel costs
Cruise operators' stocks are slumping after Carnival Corp. CCL, -7.83% on Friday warned of rising fuel prices that impacted the company's earnings. Carnival's stock plunged 8% in early-afternoon trading, while shares of Royal Caribbean Group RCL, -2.91% dipped 3%.
3 Stocks to Avoid With Oil Prices Near 10-Month Highs
The price of West Texas Intermediate oil has retreated slightly from its recent high of $91.48, which was the most elevated price for the commodity since November 2022. As of the morning of Sept.
Technical Pressure Could Anchor Cruise Stock
Royal Caribbean Cruises Ltd (NYSE:RCL) stock has been drifting lower since a July post-earnings bull gap. That peak was double RCL's 2023 closing low, with the shares now back below their pre-earnings closing low. The $98 level was resistance in mid-September before the recent technical breakdown, and $98.86 marked double the stock's 2022 close.
These Are The 12 Stocks Driving The S&amp;P 500 Higher In 2023
The S&amp;P 500 is up 12.5% so far in 2023, even with the market correction. But an equal-weight ETF is up just 1%.</t>
  </si>
  <si>
    <t>Royal Caribbean Group</t>
  </si>
  <si>
    <t xml:space="preserve">
    Market Cap (intraday) 23.60B
         Enterprise Value 43.90B
             Trailing P/E  57.31
              Forward P/E  11.14
PEG Ratio (5 yr expected)    NaN
        Price/Sales (ttm)   1.97
         Price/Book (mrq)   7.02
 Enterprise Value/Revenue   3.66
  Enterprise Value/EBITDA  15.23</t>
  </si>
  <si>
    <t>Ticking Time Bombs: 3 Materials Stocks to Dump Before the Damage Is Done
Investors should stay away from companies continually declining in share price and return just as much as they should be looking to find stocks to invest in for the long term, hoping to see a substantial return eventually. The last thing you want to do is buy into a company that is a sinking ship and will continue to decline.</t>
  </si>
  <si>
    <t>Sealed Air</t>
  </si>
  <si>
    <t xml:space="preserve">
    Market Cap (intraday) 4.76B
         Enterprise Value 9.55B
             Trailing P/E 12.49
              Forward P/E 10.03
PEG Ratio (5 yr expected)  2.24
        Price/Sales (ttm)  0.86
         Price/Book (mrq) 11.55
 Enterprise Value/Revenue  1.72
  Enterprise Value/EBITDA  9.28</t>
  </si>
  <si>
    <t>SHAREHOLDER ALERT: The Law Offices of Vincent Wong Remind Comerica Investors of a Lead Plaintiff Deadline of October 20, 2023
NEW YORK , Oct. 2, 2023 /PRNewswire/ -- Attention Comerica Incorporated ("Comerica") (NYSE: CMA) shareholders: The Law Offices of Vincent Wong announce that a class action lawsuit has commenced on behalf of investors who purchased between February 9, 2021 and May 29, 2023. If you suffered a loss on your investment in Comerica, contact us about potential recovery by using the link below.
SHAREHOLDER ACTION ALERT: The Schall Law Firm Encourages Investors in Comerica Incorporated with Losses of $100,000 to Contact the Firm
LOS ANGELES, CA / ACCESSWIRE / October 1, 2023 / The Schall Law Firm, a national shareholder rights litigation firm, reminds investors of a class action lawsuit against Comerica Incorporated ("Comerica" or "the Company") (NYSE:CMA) for violations of §§10(b) and 20(a) of the Securities Exchange Act of 1934 and Rule 10b-5 promulgated thereunder by the U.S. Securities and Exchange Commission. Investors who purchased the Company's securities between February 9, 2021 and May 29, 2023, inclusive (the "Class Period"), are encouraged to contact the firm before October 20, 2023.
SHAREHOLDER ALERT: Pomerantz Law Firm Investigates Claims On Behalf of Investors of Comerica Incorporated - CMA
NEW YORK , Sept. 29, 2023 /PRNewswire/ -- Pomerantz LLP is investigating claims on behalf of investors of Comerica Incorporated ("Comerica" or the "Company") (NYSE: CMA).
DEADLINE ACTION ALERT: The Schall Law Firm Encourages Investors in Comerica Incorporated with Losses of $100,000 to Contact the Firm
LOS ANGELES, CA / ACCESSWIRE / September 29, 2023 / The Schall Law Firm, a national shareholder rights litigation firm, reminds investors of a class action lawsuit against Comerica Incorporated ("Comerica" or "the Company") (NYSE:CMA) for violations of §§10(b) and 20(a) of the Securities Exchange Act of 1934 and Rule 10b-5 promulgated thereunder by the U.S. Securities and Exchange Commission. Investors who purchased the Company's securities between February 9, 2021 and May 29, 2023, inclusive (the "Class Period"), are encouraged to contact the firm before October 20, 2023.
ROSEN, A TOP RANKED LAW FIRM, Encourages Comerica Incorporated Investors with Losses to Secure Counsel Before Important Deadline in Securities Class Action First Filed by the Firm - CMA
NEW YORK , Sept. 28, 2023 /PRNewswire/ -- WHY: Rosen Law Firm, a global investor rights law firm, reminds purchasers of the securities of Comerica Incorporated (NYSE: CMA) between February 9, 2021 and May 29, 2023, both dates inclusive (the "Class Period"), of the important October 20, 2023 lead plaintiff deadline in the securities class action commenced by the Firm.
CMA Investors Have Opportunity to Lead Comerica Incorporated Securities Fraud Lawsuit
LOS ANGELES , Sept. 28, 2023 /PRNewswire/ -- The Law Offices of Frank R.
SHAREHOLDER ALERT: Levi &amp; Korsinsky Notifies Comerica Incorporated(CMA) Investors of a Class Action Lawsuit and Upcoming Deadline
NEW YORK , Sept. 28, 2023 /PRNewswire/ -- Levi &amp; Korsinsky, LLP notifies investors in Comerica Incorporated ("Comerica" or the "Company") (NYSE: CMA) of a class action securities lawsuit.
SHAREHOLDER ACTION ALERT: The Schall Law Firm Encourages Investors in Comerica Incorporated with Losses of $100,000 to Contact the Firm
LOS ANGELES, CA / ACCESSWIRE / September 28, 2023 / The Schall Law Firm, a national shareholder rights litigation firm, reminds investors of a class action lawsuit against Comerica Incorporated ("Comerica" or "the Company") (NYSE:CMA) for violations of §§10(b) and 20(a) of the Securities Exchange Act of 1934 and Rule 10b-5 promulgated thereunder by the U.S. Securities and Exchange Commission. Investors who purchased the Company's securities between February 9, 2021 and May 29, 2023, inclusive (the "Class Period"), are encouraged to contact the firm before October 20, 2023.
INVESTOR ACTION NOTICE: The Schall Law Firm Encourages Investors in Comerica Incorporated with Losses of $100,000 to Contact the Firm
LOS ANGELES, CA / ACCESSWIRE / September 27, 2023 / The Schall Law Firm, a national shareholder rights litigation firm, reminds investors of a class action lawsuit against Comerica Incorporated ("Comerica" or "the Company") (NYSE:CMA) for violations of §§10(b) and 20(a) of the Securities Exchange Act of 1934 and Rule 10b-5 promulgated thereunder by the U.S. Securities and Exchange Commission. Investors who purchased the Company's securities between February 9, 2021 and May 29, 2023, inclusive (the "Class Period"), are encouraged to contact the firm before October 20, 2023.
SHAREHOLDER ALERT: The Gross Law Firm Notifies Shareholders of Comerica Incorporated of a Class Action Lawsuit and a Lead Plaintiff Deadline of October 20, 2023 - (NYSE: CMA)
NEW YORK , Sept. 27, 2023 /PRNewswire/ -- The Gross Law Firm issues the following notice to shareholders of Comerica Incorporated.
Banks Have Problems but Their Stocks Are Cheap. 5 Worth a Look.
Higher interest rates, which were supposed to be a savior for the sector, have instead led to many problems.
Comerica's Volunteerism Initiative Receives National Recognition During American Bankers Association Community Impact Awards
DALLAS , Sept. 26, 2023 /PRNewswire/ -- Comerica Bank and its commitment to building stronger communities earned national recognition as the American Bankers Association (ABA) Foundation named the Comerica Cares program a recipient of a 2023 ABA Foundation Community Commitment Award.
COMERICA SHAREHOLDER ACTION REMINDER: Securities Litigation Partner James (Josh) Wilson Encourages Investors Who Suffered Losses Exceeding $100,000 In Comerica To Contact Him Directly To Discuss Their Options
NEW YORK , Sept. 26, 2023 /PRNewswire/ -- Faruqi &amp; Faruqi, LLP, a leading national securities law firm, is investigating potential claims against Comerica Incorporated ("Comerica" or the "Company") (NYSE: CMA) and reminds investors of the October 20, 2023 deadline to seek the role of lead plaintiff in a federal securities class action that has been filed against the Company.
SHAREINVESTOR ACTION ALERT: The Schall Law Firm Encourages Investors in Comerica Incorporated with Losses of $100,000 to Contact the Firm
LOS ANGELES, CA / ACCESSWIRE / September 25, 2023 / The Schall Law Firm, a national shareholder rights litigation firm, reminds investors of a class action lawsuit against Comerica Incorporated ("Comerica" or "the Company") (NYSE:CMA) for violations of §§10(b) and 20(a) of the Securities Exchange Act of 1934 and Rule 10b-5 promulgated thereunder by the U.S. Securities and Exchange Commission. Investors who purchased the Company's securities between February 9, 2021 and May 29, 2023, inclusive (the "Class Period"), are encouraged to contact the firm before October 20, 2023.</t>
  </si>
  <si>
    <t>Comerica</t>
  </si>
  <si>
    <t xml:space="preserve">
    Market Cap (intraday) 5.48B
         Enterprise Value   NaN
             Trailing P/E  4.34
              Forward P/E  6.93
PEG Ratio (5 yr expected)   NaN
        Price/Sales (ttm)  1.40
         Price/Book (mrq)  1.05
 Enterprise Value/Revenue   NaN
  Enterprise Value/EBITDA   NaN</t>
  </si>
  <si>
    <t>Andy Florance Honored with Gold Globee for CEO of the Year by Globee Business Awards
WASHINGTON--(BUSINESS WIRE)--Andy Florance, Founder and Chief Executive Officer of CoStar Group (NASDAQ: CSGP), a leading provider of online real estate marketplaces, information, and analytics in the property markets, today was named a Gold Globee winner for CEO of the Year at the 11th Annual Globee Awards for Leadership. Since the company's founding in 1986, Andy has led CoStar Group to its market-leading position today as a dominant provider of commercial and residential real estate informat.</t>
  </si>
  <si>
    <t>CoStar Group</t>
  </si>
  <si>
    <t xml:space="preserve">
    Market Cap (intraday) 31.40B
         Enterprise Value 27.29B
             Trailing P/E  80.94
              Forward P/E  62.11
PEG Ratio (5 yr expected)   2.96
        Price/Sales (ttm)  13.38
         Price/Book (mrq)   4.42
 Enterprise Value/Revenue  11.76
  Enterprise Value/EBITDA  55.78</t>
  </si>
  <si>
    <t>The Law Offices of Frank R. Cruz Reminds Investors of Looming Deadline in the Class Action Lawsuit Against Live Nation Entertainment, Inc. (LYV)
LOS ANGELES--(BUSINESS WIRE)--The Law Offices of Frank R. Cruz reminds investors of the upcoming October 3, 2023 deadline to file a lead plaintiff motion in the class action filed on behalf of investors who acquired Live Nation Entertainment, Inc. (“Live Nation” or the “Company”) (NYSE: LYV) securities between February 23, 2022 and July 28, 2023, inclusive (the “Class Period”). If you are a shareholder who suffered a loss, click here to participate. On November 18, 2022, The New York Times repo.
SHAREHOLDER ALERT: The Law Offices of Vincent Wong Remind Live Nation Investors of a Lead Plaintiff Deadline of October 3, 2023
NEW YORK , Oct. 2, 2023 /PRNewswire/ -- Attention Live Nation Entertainment, Inc. ("Live Nation") (NYSE: LYV) shareholders: The Law Offices of Vincent Wong announce that a class action lawsuit has commenced on behalf of investors who purchased between February 23, 2022 and July 28, 2023. If you suffered a loss on your investment in Live Nation, contact us about potential recovery by using the link below.
SHAREHOLDER ACTION ALERT: The Schall Law Firm Encourages Investors in Live Nation Entertainment, Inc. with Losses of $100,000 to Contact the Firm
LOS ANGELES, CA / ACCESSWIRE / October 1, 2023 / The Schall Law Firm, a national shareholder rights litigation firm, reminds investors of a class action lawsuit against Live Nation Entertainment, Inc. ("Live Nation" or "the Company") (NYSE:LYV) for violations of §§10(b) and 20(a) of the Securities Exchange Act of 1934 and Rule 10b-5 promulgated thereunder by the U.S. Securities and Exchange Commission. Investors who purchased the Company's securities between February 23, 2022 and July 28, 2023, inclusive (the "Class Period"), are encouraged to contact the firm before October 3, 2023.
LYV Investors Have Opportunity to Lead Live Nation Entertainment, Inc. Securities Fraud Lawsuit
LOS ANGELES , Sept. 29, 2023 /PRNewswire/ -- The Law Offices of Frank R.
SHAREHOLDER ALERT: Pomerantz Law Firm Investigates Claims On Behalf of Investors of Live Nation Entertainment, Inc. - LYV
NEW YORK , Sept. 29, 2023 /PRNewswire/ -- Pomerantz LLP is investigating claims on behalf of investors of  Live Nation Entertainment, Inc. ("Live Nation" or the "Company") (NYSE: LYV).
DEADLINE ACTION ALERT: The Schall Law Firm Encourages Investors in Live Nation Entertainment, Inc. with Losses of $100,000 to Contact the Firm
LOS ANGELES, CA / ACCESSWIRE / September 29, 2023 / The Schall Law Firm, a national shareholder rights litigation firm, reminds investors of a class action lawsuit against Live Nation Entertainment, Inc. ("Live Nation" or "the Company") (NYSE:LYV) for violations of 10(b) and 20(a) of the Securities Exchange Act of 1934 and Rule 10b-5 promulgated thereunder by the U.S. Securities and Exchange Commission. Investors who purchased the Company's securities between February 23, 2022 and July 28, 2023, inclusive (the "Class Period"), are encouraged to contact the firm before October 3, 2023.
SHAREHOLDER ALERT: Levi &amp; Korsinsky Notifies Live Nation Entertainment, Inc.(LYV) Investors of a Class Action Lawsuit and Upcoming Deadline
NEW YORK , Sept. 28, 2023 /PRNewswire/ -- Levi &amp; Korsinsky, LLP notifies investors in Live Nation Entertainment, Inc. ("Live Nation" or the "Company") (NYSE: LYV) of a class action securities lawsuit.
SHAREHOLDER ACTION ALERT: The Schall Law Firm Encourages Investors in Live Nation Entertainment, Inc. with Losses of $100,000 to Contact the Firm
LOS ANGELES, CA / ACCESSWIRE / September 28, 2023 / The Schall Law Firm, a national shareholder rights litigation firm, reminds investors of a class action lawsuit against Live Nation Entertainment, Inc. ("Live Nation" or "the Company") (NYSE:LYV) for violations of §§10(b) and 20(a) of the Securities Exchange Act of 1934 and Rule 10b-5 promulgated thereunder by the U.S. Securities and Exchange Commission. Investors who purchased the Company's securities between February 23, 2022 and July 28, 2023, inclusive (the "Class Period"), are encouraged to contact the firm before October 3, 2023.
INVESTOR ACTION NOTICE: The Schall Law Firm Encourages Investors in Live Nation Entertainment, Inc. with Losses of $100,000 to Contact the Firm
LOS ANGELES, CA / ACCESSWIRE / September 27, 2023 / The Schall Law Firm, a national shareholder rights litigation firm, reminds investors of a class action lawsuit against Live Nation Entertainment, Inc. ("Live Nation" or "the Company") (NYSE:LYV) for violations of §§10(b) and 20(a) of the Securities Exchange Act of 1934 and Rule 10b-5 promulgated thereunder by the U.S. Securities and Exchange Commission. Investors who purchased the Company's securities between February 23, 2022 and July 28, 2023, inclusive (the "Class Period"), are encouraged to contact the firm before October 3, 2023.
SHAREHOLDER ALERT: The Gross Law Firm Notifies Shareholders of Live Nation Entertainment, Inc. of a Class Action Lawsuit and a Lead Plaintiff Deadline of October 3, 2023 - (NYSE: LYV)
NEW YORK , Sept. 27, 2023 /PRNewswire/ -- The Gross Law Firm issues the following notice to shareholders of Live Nation Entertainment, Inc..
These 3 Stocks Have Annualized +15% Returns Over the Last Decade
Not all high-flying stocks come from the Technology sector, with many widely outperforming the general market over the last decade. And that's precisely the case for these three.
The End of Policy Rate Hikes? Global Week Ahead
The Fed kept interest rates steady last week, but projected monetary policy will remain significantly tighter through 2024 than previously expected.</t>
  </si>
  <si>
    <t>Live Nation Entertainment</t>
  </si>
  <si>
    <t xml:space="preserve">
    Market Cap (intraday) 19.11B
         Enterprise Value 20.40B
             Trailing P/E  74.14
              Forward P/E  49.51
PEG Ratio (5 yr expected)   1.00
        Price/Sales (ttm)   1.00
         Price/Book (mrq)  31.01
 Enterprise Value/Revenue   1.06
  Enterprise Value/EBITDA  13.39</t>
  </si>
  <si>
    <t>CarMax's (KMX) Q2 Earnings On Par With Estimates, Decline Y/Y
CarMax's (KMX) second-quarter comparable store used-vehicle units declined by 9%, while revenues fell by 12.5% from the prior-year level.
2 Stocks Under $100 You Can Buy and Hold Forever
Understanding a company's key strength can lead investors to stocks worthy of holding forever. Nike is the leading footwear brand, with a growing digital business.
CarMax Slides On Earnings Disappointment, Time To Celebrate?
Many investors are familiar with that uneasy feeling you can get in the pit of your stomach when a stock dives after a bad earnings announcement. It may still be a great brand and business, but this temporary - hopefully temporary - blip in the chart is often enough to send potential buyers running for the door.
CarMax Reports Shoppers ‘Staying on Sidelines' Amid High Interest Rates
Some would-be car buyers are putting off purchases due to higher interest rates, according to used auto retailer CarMax. They are “staying on the sidelines” due to both interest rates and affordability issues in today's car market, CarMax President and CEO Bill Nash said Thursday (Sept.
CarMax, Inc. (KMX) Q2 2024 Earnings Call Transcript
CarMax, Inc. (NYSE:KMX ) Q2 2024 Earnings Conference Call September 28, 2023 9:00 AM ET Company Participants David Lowenstein - Assistant Vice President, Investor Relations Bill Nash - President and Chief Executive Officer Enrique Mayor-Mora - Executive Vice President and Chief Financial Officer Jon Daniels - Senior Vice President, CarMax Auto Finance Operations Conference Call Participants Craig Kennison - Baird Brian Nagel - Oppenheimer Seth Basham - Wedbush Securities John Healy - Northcoast Research Scot Ciccarelli - Truist Sharon Zackfia - William Blair Michael Montani - Evercore ISI John Murphy - Bank of America Chris Bottiglieri - BNP Paribas Rajat Gupta - JP Morgan Daniel Imbro - Stephens David Whiston - Morningstar Operator Ladies and gentlemen, thank you for standing by. Welcome to the Second Quarter Fiscal Year 2024 CarMax Earnings Release Conference Call.
CarMax Shares Sink as Used Car Demand Falls Amid Rising Loan Costs
CarMax (KMX) shares tumbled over 9% in early trading on Thursday after reporting a profit below forecasts as demand for used vehicles slowed and the company spent more to cover potential losses from bad loans.
Why CarMax Stock Crashed 9.8% Today
CarMax reported lower Q2 earnings this morning, and much lower sales. Management is making the best of a bad situation.
CarMax shares in reverse as ‘vehicle affordability challenges' drag on 2Q earnings
CarMax, Inc (NYSE:KMX) shares tumbled more than 11% after its second quarter fiscal 2024 results highlighted the continued impact of the challenging economic environment on the used car industry. Shares of the used car retailer were down 11.3% at US$71.68 mid-morning on Thursday.
CarMax (KMX) Reports Q2 Earnings: What Key Metrics Have to Say
The headline numbers for CarMax (KMX) give insight into how the company performed in the quarter ended August 2023, but it may be worthwhile to compare some of its key metrics to Wall Street estimates and the year-ago actuals.
CarMax (KMX) Q2 Earnings Meet Estimates
CarMax (KMX) came out with quarterly earnings of $0.75 per share, in line with the Zacks Consensus Estimate. This compares to earnings of $0.79 per share a year ago.
CarMax Stock Slides as Quarterly Revenue Declines 13%
The used-car seller says 'vehicle affordability' weighed on second-quarter sales.
CarMax's stock slides 6.5% after earnings reflect pressures on used car industry
CarMax Inc.'s stock KMX, +1.84% slid 6.5% in premarket trade Thursday, after the used car retailer's second-quarter earnings fell from a year ago amid continued pressure in the sector.
CarMax quarterly profit slips on slow used-vehicle demand
CarMax on Thursday posted a lower quarterly profit amid tepid demand for preowned vehicles.
CarMax Reports Second Quarter Fiscal 2024 Results
RICHMOND, Va.--(BUSINESS WIRE)--CarMax, Inc. (NYSE:KMX) today reported results for the second quarter ended August 31, 2023. Highlights: Net revenues were $7.1 billion, down 13.1% compared with the prior year second quarter. Retail used unit sales decreased 7.4% and comparable store used unit sales declined 9.0% from the prior year's second quarter; wholesale units declined 11.2% from the prior year's second quarter. Delivered strong margins in retail and wholesale; gross profit per retail used.
The 'Yield Curve' Is Improving. These Types of Stocks Should Benefit.
Concerns about the economy aren't completely going away, but the 10-year Treasury yield has risen substantially in the past several months.
CarMax: We Bought Amidst The UAW Strike
UAW strike leads to decreased new car inventory, potentially benefiting used car market. Manheim Index shows used car prices stabilizing. Cox Automotive data indicates a 4.5% rise in used car sales for the first eight months of 2023 compared to last year.
CarMax Earnings Due As Auto Strike Threatens To Lift Used Car Prices
CarMax earnings are expected to fall for a seventh straight quarter. The ongoing UAW strike could lift used-car prices.
Earnings Previews: Accenture, CarMax, Micron
After U.S. markets close on Tuesday and before they open again Wednesday morning,  Costco and Paychex will report quarterly earnings results.
CarMax Stock Upgraded Before Earnings
CarMax Inc (NYSE:KMX) is enjoying a boost today, after an upgrade from Wedbush to "outperform" from "neutral," with a price-target hike to $90 from $85.</t>
  </si>
  <si>
    <t>CarMax</t>
  </si>
  <si>
    <t xml:space="preserve">
    Market Cap (intraday) 11.22B
         Enterprise Value 30.40B
             Trailing P/E  24.73
              Forward P/E  25.25
PEG Ratio (5 yr expected)   1.09
        Price/Sales (ttm)   0.42
         Price/Book (mrq)   1.87
 Enterprise Value/Revenue   1.13
  Enterprise Value/EBITDA  20.72</t>
  </si>
  <si>
    <t>Boeing Stock Was Awful in September. The Case for Staying Invested.
Boeing stock dropped 14% in September. J.P. Morgan analyst Seth Seifman has a Buy on the stock and says its drop has made it more attractive.
Boeing Stock: Buy, Sell, or Hold?
Boeing is continuing to work through challenging supply chain conditions. Ramping up airplane production has proved more challenging than expected this year.
SHAREHOLDER ALERT: Pomerantz Law Firm Investigates Claims on Behalf of Investors of The Boeing Company - BA
NEW YORK , Sept. 29, 2023 /PRNewswire/ -- Pomerantz LLP is investigating claims on behalf of investors of The Boeing Company ("Boeing" or the "Company") (NYSE: BA).
4 Top Stocks To Buy In October 2023
September was a rough month for stocks, with the technology sector down 8% and high valuations causing concern. Despite the pullback, stocks are now more attractive and there are opportunities for long-term investors. All 4 stocks we cover today are all trading at great valuations following a pullback over the past month.
Ticking Time Bombs: 3 Manufacturing Stocks to Dump Before the Damage Is Done
The manufacturing sector is one of the pillars of the global economy, producing goods and services that are essential for various industries and consumers. However, the sector is facing multiple challenges in 2023, as the worsened economic outlook, rising geopolitical risks, and volatility in the energy and commodities markets will put pressure on manufacturers' performances.
Boeing resolves US charges of false statements in connection with military contract
The U.S. Justice Department said on Thursday Boeing agreed to pay $8.1 million to resolve charges it violated U.S. law by submitting false claims and making false statements in connection with contracts with the U.S. Navy to manufacture a military aircraft.
Ryanair cancels flights as Boeing underdelivers
Ryanair Holdings PLC (LSE:RYA) has announced further cuts to its winter schedule due to delayed deliveries of several new aircraft from The Boeing Company (NYSE:BA). Just 14 of an expected 27 aircraft will arrive over the coming months, Ryanair said in a statement, as manufacturer Boeing and its own supplier Spirit AreoSystems face production delays.
Ticking Time Bombs: 3 Industrial Stocks to Dump Before the Damage Is Done
Despite the industrial sector playing a less outsized role in the American economy, it still is a major force in global economy. The industrial sector simply refers to companies at the heart of the economy.
Boeing delivery delays disrupt Ryanair flights again
Ryanair has announced cuts to its winter schedule due to delays in the delivery of Boeing aircraft, but Europe's largest airline by passenger numbers said its full-year traffic forecast was unaffected "as yet."
Ryanair cuts winter schedule after Boeing delivery delays
European airline Ryanair on Thursday announced a number of cuts to its winter schedule due to the Boeing delivery delays, but added that its full year traffic forecast was unaffected "as yet".
Ryanair expects delivery disruptions from Boeing to linger through mid-2024 - Bloomberg News
Ryanair faces broad delivery delays of the 737 Max aircraft as Boeing deals with the latest supplier glitch afflicting the jet, with disruptions poised to linger through mid-2024, Bloomberg News reported on Wednesday.
Boeing Suffers Big Loss On Air France-KLM Blow
Boeing's stock has lost momentum due to supply chain issues and continued problems at Spirit AeroSystems, overshadowing positive news such as higher Boeing 737 MAX deliveries. Boeing is losing out on orders to Airbus in campaigns where they go head-to-head, such as with Air France-KLM. Air France-KLM is favoring Airbus for its fleet plan, with Boeing losing its single aisle share and Airbus dominating the wide body segment.
Military aid to Ukraine gives a shot in the arm to the U.S. economy
American military support for Ukraine as it fends off Russia has given a lift to the struggling industrial side of the U.S. economy.
3 Household Names With RSIs That Scream Oversold
With the benchmark S&amp;P 500 index continuing to trade down from its summer highs, there are plenty of stocks feeling the worst for wear. It's easy for a rally to begin, or indeed for an existing one to be pushed higher, when investors are buying, but the exact opposite is true when they're selling.
3 Dow Jones Industrial Average Stocks To Watch Ahead Of October 2023
Dow Jones Industrial Average stocks to watch now.
7 Stocks to Buy for the Blue-Collar Bull Market
Labor and industry and flexing their muscles right now in what is being called a worker's market. Autoworkers are on strike.
Air Canada places big Boeing Dreamliner order
Air Canada (TSX:AC.B) has finalized a substantial order for 30 The Boeing Company (NYSE:BA) 787-10 Dreamliner aircraft, as the airline looks to enhance its fleet with modern, fuel-efficient aircraft. The deal encompasses a firm order for 18 jets, and options for an additional 12, aiming to replace aging wide-body aircraft and bolster the airline's long-haul capabilities.
Boeing (BA) Wins $221M Deal to Support F/A-18E/F &amp; E/A-18G Jets
Boeing (BA) secures a $221.4 million contract to support F/A-18 E/F and EA-18G aircraft production.
Air Canada to buy 18 Boeing 787 jets
Air Canada said on Monday it had signed an agreement with Boeing to buy 18 widebody 787 Dreamliner jets, as the carrier looks to capitalize on strong travel demand and deploy fuel-efficient airplanes.
Boeing receives ‘firm order' from Air Canada for 18 Dreamliners
Air Canada said Monday that it has placed a “firm order” with Boeing Co. for 18 Boeing 787-10 Dreamliner aircraft, with deliveries scheduled to begin in the fourth quarter of 2025.
Air Canada to fly every model in 787 Dreamliner family, orders 18 Boeing 787-10s
SEATTLE , Sept. 25, 2023 /PRNewswire/ -- Boeing [NYSE: BA] and Air Canada announced today the carrier is selecting the 787 Dreamliner to further modernize and grow its fleet with an order for 18 787-10 widebody jets, with the option to purchase 12 more.
NASA to Taxpayers: The Boeing/Lockheed Space Launch System Is "Unaffordable"
Cost estimates for NASA's SLS moon rocket have quadrupled over just the past several years. Crunching the numbers, the GAO is all but ready to conclude that NASA cannot afford to keep building SLS rockets.</t>
  </si>
  <si>
    <t>Boeing</t>
  </si>
  <si>
    <t xml:space="preserve">
    Market Cap (intraday) 115.62B
         Enterprise Value 154.13B
             Trailing P/E     NaN
              Forward P/E   34.84
PEG Ratio (5 yr expected)    6.53
        Price/Sales (ttm)    1.56
         Price/Book (mrq)     NaN
 Enterprise Value/Revenue    2.09
  Enterprise Value/EBITDA -595.09</t>
  </si>
  <si>
    <t>Reasons Why You Should Avoid Betting on Avery Dennison (AVY)
Avery Dennison (AVY) faces low volumes due to apparel inventory reductions.</t>
  </si>
  <si>
    <t>Avery Dennison</t>
  </si>
  <si>
    <t xml:space="preserve">
    Market Cap (intraday) 14.72B
         Enterprise Value 18.05B
             Trailing P/E  26.32
              Forward P/E  17.76
PEG Ratio (5 yr expected)   2.79
        Price/Sales (ttm)   1.75
         Price/Book (mrq)   7.30
 Enterprise Value/Revenue   2.12
  Enterprise Value/EBITDA  15.78</t>
  </si>
  <si>
    <t>Stock Plays for October: 3 to Watch, According to J.P. Morgan
The bank has updated its Focus List, the compilation of its analysts' top ideas. These three shares could help a portfolio rebound.
Ticking Time Bombs: 7 Consumer Stocks to Dump Before the Damage Is Done
With the potential for consumer spending to decrease in the months ahead, uncertainty is rising with consumer stocks. Sure, U.S. consumers have been resilient despite challenges such as high inflation and rising interest rates.
7 Vice Stocks to Buy Ahead of a Possible Recession
Ahead of a possible recession, investors may want to consider certain vice stocks to buy. To be sure, the main reason centers on cynicism.
Will Wynn Stock Recover To Pre-Inflation Shock Highs Of $140?
The stock has been impacted by the Macau operations, which saw business largely collapse over 2021 and 2022, due to China's stringent Covid-19 restrictions which hurt</t>
  </si>
  <si>
    <t>Wynn Resorts</t>
  </si>
  <si>
    <t xml:space="preserve">
    Market Cap (intraday) 10.53B
         Enterprise Value 20.34B
             Trailing P/E  52.91
              Forward P/E  21.83
PEG Ratio (5 yr expected)   0.53
        Price/Sales (ttm)   2.12
         Price/Book (mrq)  12.01
 Enterprise Value/Revenue   4.14
  Enterprise Value/EBITDA  15.58</t>
  </si>
  <si>
    <t>Airline Stocks Alert: What a Government Shutdown Means for Air Travel
With a federal government shutdown looming, airline stocks could be negatively affected by the closure. That's because, although air travel wouldn't be canceled during a shutdown, air traffic controllers and other government employees who facilitate air travel will not be paid during the shutdown.
Which Airlines Stock Will Offer Better Returns – American Or United?
If we look at stock returns, United Airlines, with 13% returns this year, has fared better than American Airlines, up 0%, and the broader S&amp;P 500 index, up 11%.
Ticking Time Bombs: 3 Transportation Stocks to Dump Before the Damage Is Done
While up on the year, transportation stocks continue to trail the market. The S&amp;P Transportation Index is up 10% in 2023, but over five years, the index is up only 12%.
Ticking Time Bombs: 3 Airline Stocks to Dump Before the Damage Is Done
The skies haven't exactly been clear for the aviation world. Casting our gaze back, we recall the catastrophic impact of the pandemic, a time when the sector came to an abrupt halt, and carriers had to grapple with long spells of contracted operations.
Southwest Airlines Suffers Through Its Annus Horribilis (Rating Upgrade)
Southwest Airlines Co. has faced numerous challenges, including an operational meltdown and self-inflicted internal issues. The airline has made efforts to fix its operational problems and improve its performance, but its complaint ratio remains elevated. Southwest is also dealing with higher fuel costs and labor cost challenges.
Airline stocks fall again, with Southwest and JetBlue shares at multiyear lows
The airline sector was suffering another broad selloff Tuesday, amid worries over how a government shutdown will hurt the industry and as falling ticket prices raise concerns over profitability.
Southwest Airlines lawyers win reprieve from religious liberty training order
Three lawyers at Southwest Airlines have received a last-minute reprieve from a judge's order requiring them to attend a "religious-liberty training" set to be conducted on Tuesday by the conservative Christian legal group Alliance Defending Freedom.
SOUTHWEST AIRLINES CELEBRATES WEEK OF WOW WITH 50% OFF LIMITED BASE FARES AND DAILY DEALS FOR FALL AND WINTER TRAVEL
DALLAS , Sept. 26, 2023 /PRNewswire/ -- Southwest Airlines Co.  (NYSE: LUV) today launched one of its largest sales of the year as part of its Week of WOW.</t>
  </si>
  <si>
    <t>Southwest Airlines</t>
  </si>
  <si>
    <t xml:space="preserve">
    Market Cap (intraday) 16.12B
         Enterprise Value 13.27B
             Trailing P/E  28.80
              Forward P/E   9.42
PEG Ratio (5 yr expected)   0.35
        Price/Sales (ttm)   0.69
         Price/Book (mrq)   1.49
 Enterprise Value/Revenue   0.53
  Enterprise Value/EBITDA   5.45</t>
  </si>
  <si>
    <t>Ticking Time Bombs: 3 Bank Stocks to Dump Before the Damage Is Done
Bank stocks have had a difficult year, and things aren't looking much brighter in the next few months either. From the regional banking crisis earlier this year to stress in the commercial real estate market, to the threat of a deeper than expected recession, banks have been stuck between a rock and a hard place.
Here are 11 stocks Jim Cramer is watching, including Buffett's Berkshire and restaurant stocks
Here are some of the tickers on my radar for Friday, Sept. 29, taken directly from my reporter's notebook.
9 Stocks Turn $10,000 Into $141,941 In 9 Months
Stocks tanked right on cue in September. But nimble S&amp;P 500 investors are still finding ways to make big money.
Is the Options Market Predicting a Spike in Zions Bancorporation (ZION) Stock?
Investors need to pay close attention to Zions Bancorporation (ZION) stock based on the movements in the options market lately.
Here are the 18 stocks Jim Cramer is watching, including names in EVs, beauty and oil
Here are some of the tickers on my radar for Wednesday, Sept. 27, taken directly from my reporter's notebook.</t>
  </si>
  <si>
    <t>Zions Bancorporation</t>
  </si>
  <si>
    <t xml:space="preserve">
    Market Cap (intraday) 5.17B
         Enterprise Value   NaN
             Trailing P/E  6.15
              Forward P/E  8.21
PEG Ratio (5 yr expected)  0.71
        Price/Sales (ttm)  1.56
         Price/Book (mrq)  1.07
 Enterprise Value/Revenue   NaN
  Enterprise Value/EBITDA   NaN</t>
  </si>
  <si>
    <t>The Law Offices of Frank R. Cruz Reminds Investors of Looming Deadline in the Class Action Lawsuit Against KeyCorp (KEY)
LOS ANGELES--(BUSINESS WIRE)--The Law Offices of Frank R. Cruz reminds investors of the upcoming October 3, 2023 deadline to file a lead plaintiff motion in the class action filed on behalf of investors who acquired KeyCorp (“Key” or the “Company”) (NYSE: KEY) securities between February 27, 2020 and June 9, 2023, inclusive (the “Class Period”). If you are a shareholder who suffered a loss, click here to participate. On March 6, 2023, Key disclosed that it had revised its Full Year 2023 financi.
Final Deadline: Calling All KeyCorp (KEY) Investors With Losses Exceeding $100K to Contact Bronstein, Gewirtz &amp; Grossman, LLC Today!
NEW YORK--(BUSINESS WIRE)---- $KEY #classaction--Bronstein, Gewirtz &amp; Grossman, LLC, a nationally recognized law firm, notifies investors that a class action lawsuit has been filed against KeyCorp (“KeyCorp” or the “Company”) (NYSE: KEY) and certain of its officers. Class Definition: This lawsuit seeks to recover damages against Defendants for alleged violations of the federal securities laws on behalf of all persons and entities that purchased or otherwise acquired KeyCorp securities between February 27, 2020 a.
SHAREHOLDER ALERT: The Law Offices of Vincent Wong Remind Key Investors of a Lead Plaintiff Deadline of October 3, 2023
NEW YORK , Oct. 2, 2023 /PRNewswire/ -- Attention KeyCorp ("Key") (NYSE: KEY) shareholders: The Law Offices of Vincent Wong announce that a class action lawsuit has commenced on behalf of investors who purchased between February 27, 2020 and June 9, 2023. If you suffered a loss on your investment in Key, contact us about potential recovery by using the link below.
FINAL DEADLINE TOMORROW: The Schall Law Firm Encourages Investors in KeyCorp with Losses of $100,000 to Contact the Firm
LOS ANGELES, CA / ACCESSWIRE / October 1, 2023 / The Schall Law Firm, a national shareholder rights litigation firm, reminds investors of a class action lawsuit against KeyCorp ("Key" or "the Company") (NYSE:KEY) for violations of §§10(b) and 20(a) of the Securities Exchange Act of 1934 and Rule 10b-5 promulgated thereunder by the U.S. Securities and Exchange Commission. Investors who purchased the Company's securities between February 27, 2020 and June 9, 2023, inclusive (the "Class Period"), are encouraged to contact the firm before October 3, 2023.
Ticking Time Bombs: 3 Bank Stocks to Dump Before the Damage Is Done
Bank stocks have had a difficult year, and things aren't looking much brighter in the next few months either. From the regional banking crisis earlier this year to stress in the commercial real estate market, to the threat of a deeper than expected recession, banks have been stuck between a rock and a hard place.
DEADLINE ACTION ALERT: The Schall Law Firm Encourages Investors in KeyCorp with Losses of $100,000 to Contact the Firm
LOS ANGELES, CA / ACCESSWIRE / September 29, 2023 / The Schall Law Firm, a national shareholder rights litigation firm, reminds investors of a class action lawsuit against KeyCorp ("Key" or "the Company") (NYSE:KEY) for violations of 10(b) and 20(a) of the Securities Exchange Act of 1934 and Rule 10b-5 promulgated thereunder by the U.S. Securities and Exchange Commission. Investors who purchased the Company's securities between February 27, 2020 and June 9, 2023, inclusive (the "Class Period"), are encouraged to contact the firm before October 3, 2023.
SHAREHOLDER ALERT: Levi &amp; Korsinsky Notifies KeyCorp(KEY) Investors of a Class Action Lawsuit and Upcoming Deadline
NEW YORK , Sept. 28, 2023 /PRNewswire/ -- Levi &amp; Korsinsky, LLP notifies investors in KeyCorp ("Key" or the "Company") (NYSE: KEY) of a class action securities lawsuit.
SHAREHOLDER ACTION ALERT: The Schall Law Firm Encourages Investors in KeyCorp with Losses of $100,000 to Contact the Firm
LOS ANGELES, CA / ACCESSWIRE / September 28, 2023 / The Schall Law Firm, a national shareholder rights litigation firm, reminds investors of a class action lawsuit against KeyCorp ("Key" or "the Company") (NYSE:KEY) for violations of §§10(b) and 20(a) of the Securities Exchange Act of 1934 and Rule 10b-5 promulgated thereunder by the U.S. Securities and Exchange Commission. Investors who purchased the Company's securities between February 27, 2020 and June 9, 2023, inclusive (the "Class Period"), are encouraged to contact the firm before October 3, 2023.
KEY Investors Have Opportunity to Lead KeyCorp Securities Fraud Lawsuit
LOS ANGELES , Sept. 27, 2023 /PRNewswire/ --  Glancy Prongay &amp; Murray LLP ("GPM") announces that investors with substantial losses have opportunity to lead the securities fraud class action lawsuit against KeyCorp ("Key" or the "Company") (NYSE: KEY).
INVESTOR ACTION NOTICE: The Schall Law Firm Encourages Investors in KeyCorp with Losses of $100,000 to Contact the Firm
LOS ANGELES, CA / ACCESSWIRE / September 27, 2023 / The Schall Law Firm, a national shareholder rights litigation firm, reminds investors of a class action lawsuit against KeyCorp ("Key" or "the Company") (NYSE:KEY) for violations of §§10(b) and 20(a) of the Securities Exchange Act of 1934 and Rule 10b-5 promulgated thereunder by the U.S. Securities and Exchange Commission. Investors who purchased the Company's securities between February 27, 2020 and June 9, 2023, inclusive (the "Class Period"), are encouraged to contact the firm before October 3, 2023.
Should You Buy the 5 Highest-Paying Dividend Stocks in the S&amp;P 500?
The five S&amp;P 500 stocks with the highest dividend yields represent several sectors and industries. Their yields are so high in part due to poor stock performances this year, but there are other factors as well.
SHAREHOLDER ALERT: The Gross Law Firm Notifies Shareholders of KeyCorp of a Class Action Lawsuit and a Lead Plaintiff Deadline of October 3, 2023 - (NYSE: KEY)
NEW YORK , Sept. 27, 2023 /PRNewswire/ -- The Gross Law Firm issues the following notice to shareholders of KeyCorp. Shareholders who purchased shares of KEY during the class period listed are encouraged to contact the firm regarding possible lead plaintiff appointment.
KeyBank Partners With the National Association of Hispanic Real Estate Professionals (NAHREP®) to Advance Hispanic Homeownership
Key's President of Home Lending appointed to NAHREP Advisory Board CLEVELAND, Sept. 26, 2023 /PRNewswire/ -- KeyBank and NAHREP, a member-based business trade association committed to advancing sustainable homeownership and the economic mobility of Hispanics in America, today announced plans to partner to make homeownership more accessible to Hispanics across Key's footprint.
KeyCorp: Good Bank, And Respectable Yield At Adequate Price
KeyCorp is a pillar of the Midwest economy with a vast network of retail branches and ATMs. The bank's loan portfolio is well diversified and holds a low percentage of CRE. The banks have low exposure to HTM securities and high to short-term debt instruments. The former mitigate the liquidity risk, while the latter improves net interest income. KEY offers a tiny margin of safety calculated with the Dividend Discount Model. However, it is cheaper than its peers. Given all the facts, I give KEY a buy rating.
ROSEN, GLOBALLY RESPECTED INVESTOR COUNSEL, Encourages KeyCorp Investors with Losses to Secure Counsel Before Important October 3 Deadline in Securities Class Action - KEY
NEW YORK , Sept. 25, 2023 /PRNewswire/ --  WHY: Rosen Law Firm, a global investor rights law firm, reminds purchasers of securities of KeyCorp (NYSE: KEY) between February 27, 2020 and June 9, 2023, both dates inclusive (the "Class Period"), of the important October 3, 2023 lead plaintiff deadline.
INVESTOR ACTION ALERT: The Schall Law Firm Encourages Investors in KeyCorp with Losses of $100,000 to Contact the Firm
LOS ANGELES, CA / ACCESSWIRE / September 25, 2023 / The Schall Law Firm, a national shareholder rights litigation firm, reminds investors of a class action lawsuit against KeyCorp ("Key" or "the Company") (NYSE:KEY) for violations of §§10(b) and 20(a) of the Securities Exchange Act of 1934 and Rule 10b-5 promulgated thereunder by the U.S. Securities and Exchange Commission. Investors who purchased the Company's securities between February 27, 2020 and June 9, 2023, inclusive (the "Class Period"), are encouraged to contact the firm before October 3, 2023.
Is KeyCorp Stock a Buy?
High interest rates have weighed on KeyCorp this year. S&amp;P Global Ratings recently downgraded the bank as its rising deposit costs compress its margins.</t>
  </si>
  <si>
    <t>KeyCorp</t>
  </si>
  <si>
    <t xml:space="preserve">
    Market Cap (intraday) 10.07B
         Enterprise Value    NaN
             Trailing P/E   7.22
              Forward P/E   8.38
PEG Ratio (5 yr expected)   6.44
        Price/Sales (ttm)   1.46
         Price/Book (mrq)   0.89
 Enterprise Value/Revenue    NaN
  Enterprise Value/EBITDA    NaN</t>
  </si>
  <si>
    <t>Score: 75
The biotechnology sector presents a promising investment opportunity, given the anticipation of new drugs that could significantly impact the obesity epidemic. However, the overall economic uncertainty and potential volatility in the market due to the Federal Reserve's actions and the ongoing geopolitical issues warrant a cautious approach. Hence, the score is not at the highest end.</t>
  </si>
  <si>
    <t>Score: 75
The personal care products sector is expected to perform well despite the current economic uncertainties. This sector is often considered as defensive because the demand for personal care products tends to remain stable even during economic downturns. Furthermore, the rise in consumer spending, as indicated in the June report, could potentially benefit this sector. However, the ongoing supply chain disruptions due to the war in Ukraine and the potential for increased volatility in the market could pose challenges. Therefore, while the sector has good potential, investors should remain cautious.</t>
  </si>
  <si>
    <t>Score: 75
The Independent Power and Renewable Electricity Producers sector is likely to have a good investment value. The ongoing global focus on sustainability and the transition to clean energy sources is driving growth in this sector. However, the sector's performance can be influenced by regulatory changes and government policies, which can introduce some level of uncertainty. Additionally, the sector may also be impacted by the broader economic conditions and the potential for a recession.</t>
  </si>
  <si>
    <t>Score: 75
The ongoing war in Ukraine has caused a significant spike in energy prices, which could potentially benefit the oil, gas, and consumable fuels sector. However, the potential for a recession and the uncertainty surrounding the US government's funding debates could introduce volatility into this sector. Therefore, while there is potential for high returns, there is also a significant level of risk.</t>
  </si>
  <si>
    <t>Score: 75
The pharmaceutical sector presents a promising investment opportunity, particularly in the biotech sub-sector. The anticipation of novel drugs for obesity treatment could potentially lead to significant gains. However, the overall economic uncertainty and potential volatility in the market due to the Fed's actions warrant a cautious approach.</t>
  </si>
  <si>
    <t>Score: 75
The semiconductor sector is expected to perform well despite the overall economic uncertainty. This is due to the ongoing global chip shortage and the increasing demand for advanced technology in various industries, including automotive, consumer electronics, and telecommunications. However, potential supply chain disruptions due to the war in Ukraine and the impact of inflation could pose risks to the sector.</t>
  </si>
  <si>
    <t>Score: 75
The Life Sciences Tools &amp; Services sector is expected to perform well due to the ongoing demand for COVID-19 related research and testing, as well as the development of novel drugs for various health conditions such as obesity. However, the sector may face some volatility due to the overall economic uncertainty and potential impact of the Fed's interest rate hikes.</t>
  </si>
  <si>
    <t>Score: 75
The professional services sector, which includes a wide range of businesses such as consulting, legal, and marketing services, is expected to perform well in the current economic environment. The growth in AI and digital technologies is driving demand for these services, as businesses seek to adapt and innovate. However, the potential for a recession and the ongoing political instability could pose risks to this sector. Therefore, while the sector has strong potential, investors should proceed with caution.</t>
  </si>
  <si>
    <t>Score: 75
The technology sector, particularly hardware, storage, and peripherals, is expected to perform well despite the overall economic uncertainty. This is largely due to the continued growth and investment in AI and other technological developments. However, the potential for increased market volatility and the impact of the ongoing conflict in Ukraine on global supply chains could pose challenges for this sector. Therefore, while the sector has strong potential, these risks have resulted in a slightly reduced score.</t>
  </si>
  <si>
    <t>Score: 75
The health care providers and services sector is expected to remain resilient despite the economic uncertainties. The ongoing COVID-19 pandemic continues to drive demand for health services. Additionally, the potential introduction of novel drugs against obesity could provide a significant boost to the sector. However, the sector could face headwinds from potential policy changes and cost pressures, hence the score is not at the highest end.</t>
  </si>
  <si>
    <t>Score: 75
The software sector, particularly those involved in AI and other advanced technologies, is expected to continue growing due to the increasing adoption of these technologies across various industries. However, the overall economic uncertainty and potential for increased market volatility could pose risks to this sector. Therefore, while the sector has strong growth potential, investors should also be mindful of these risks.</t>
  </si>
  <si>
    <t>Score: 75
The Electronic Equipment, Instruments &amp; Components sector is likely to benefit from the ongoing technological advancements and increased investment in AI. However, the potential economic downturn and the impact of the war in Ukraine on global supply chains could pose challenges. The sector's score reflects these opportunities and risks.</t>
  </si>
  <si>
    <t>Score: 75
The IT Services sector is expected to perform well despite the overall economic uncertainty. The explosive growth of generative AI tools and increased investment in AI overall indicate a strong demand for IT services. However, the potential for a recession and the ongoing geopolitical tensions could impact corporate spending on IT services, which is why the score is not higher.</t>
  </si>
  <si>
    <t>Score: 75
The health care equipment and supplies sector is expected to perform well due to the ongoing demand for medical supplies and equipment in the wake of the COVID-19 pandemic. Additionally, the sector could potentially benefit from the development of novel drugs, as mentioned in the biotech news. However, the overall economic uncertainty and potential volatility in the market could pose some risks, hence the score is not at the highest end.</t>
  </si>
  <si>
    <t>Score: 75
The wireless telecommunication services sector is expected to perform well despite the mixed economic outlook. This is due to the increasing reliance on digital communication and remote work solutions, which have been accelerated by the COVID-19 pandemic. Furthermore, the explosive growth of AI tools and the continued importance of social media in business and everyday life are likely to drive demand for wireless telecommunication services. However, potential economic instability and the risk of a recession could impact consumer spending and corporate investment in this sector, hence the score is not at the highest end.</t>
  </si>
  <si>
    <t>Score: 75
The Interactive Media &amp; Services sector, which includes social media platforms, has shown resilience and growth despite the overall economic uncertainty. The continued importance of these platforms in both personal and business contexts suggests a strong potential for sustained demand. However, the sector may face headwinds from potential regulatory changes and the broader economic slowdown.</t>
  </si>
  <si>
    <t>Score: 75
The health care technology sector presents a promising investment opportunity, given the ongoing advancements in biotech and the anticipation of novel drugs to combat obesity. However, the overall economic uncertainty and potential volatility in the market due to factors such as the Fed's interest rate hikes and the ongoing conflict in Ukraine may pose risks. Therefore, while the sector has strong potential, these broader economic factors have led to a slightly reduced score.</t>
  </si>
  <si>
    <t>Score: 70
The insurance sector is expected to perform moderately well. Despite the economic uncertainties, insurance companies are likely to benefit from rising interest rates, which can enhance their investment income. However, the potential for a recession and the ongoing impact of the COVID-19 pandemic could increase claims and negatively impact profitability. Therefore, while the sector has potential, it also carries a fair amount of risk.</t>
  </si>
  <si>
    <t>Score: 70
The Multi-Utilities sector could be a relatively safe bet in the current economic climate. With the potential for a recession and the ongoing war in Ukraine causing disruptions in supply chains, utilities are often seen as a defensive sector. They provide essential services that people need regardless of the state of the economy, which can provide a steady stream of revenue and dividends. However, the sector could be negatively impacted by rising interest rates, as utilities companies often carry high levels of debt.</t>
  </si>
  <si>
    <t>Score: 70
Water utilities are generally considered a safe investment, especially during times of economic uncertainty. They provide a necessary service that is always in demand, regardless of the state of the economy. Furthermore, they often operate as regulated monopolies, which can provide stable and predictable cash flows. However, the sector may not offer as much growth potential as others, especially in a recovering economy. Additionally, rising interest rates could increase borrowing costs for these companies, which could impact their profitability.</t>
  </si>
  <si>
    <t>Score: 70
The Consumer Staples Distribution &amp; Retail sector is expected to perform moderately well. Despite the economic uncertainties, this sector is typically considered defensive and tends to be more stable during economic downturns. The rise in consumer spending, particularly on durable goods, indicates a positive trend for this sector. However, the potential for a recession and the ongoing effects of the COVID-19 pandemic could impact consumer behavior and spending patterns, which could limit growth in this sector.</t>
  </si>
  <si>
    <t>Score: 70
The Air Freight &amp; Logistics sector could potentially benefit from the current economic conditions. The disruptions in supply chains due to the war in Ukraine could increase demand for air freight services, as companies look for faster and more reliable ways to transport goods. Additionally, the growth in e-commerce, driven in part by the continued prevalence of social media and digital platforms, could also boost demand for logistics services. However, the sector could be negatively impacted by rising energy prices and potential interest rate hikes, which could increase operating costs and reduce profit margins. Therefore, while the sector has potential, it also carries a fair amount of risk.</t>
  </si>
  <si>
    <t>Score: 70
The Diversified Telecommunication Services sector is expected to perform well due to the continued reliance on digital platforms and the growth of AI technologies. However, the potential economic downturn and the ongoing geopolitical tensions could impact the sector negatively. Therefore, while the sector has strong potential, it also carries some risk.</t>
  </si>
  <si>
    <t>Score: 70
The Aerospace &amp; Defense sector is typically considered a safe haven during times of geopolitical unrest. Given the ongoing conflict in Ukraine, this sector could see increased demand. However, the potential for a recession and the impact of the Fed's tightening could negatively affect this sector. Therefore, while there is potential for growth, there are also significant risks, hence the score of 70.</t>
  </si>
  <si>
    <t>Score: 70
The Containers &amp; Packaging sector could potentially benefit from the current economic conditions. The ongoing disruptions in supply chains due to the war in Ukraine could increase demand for packaging solutions, as businesses seek to secure their supply chains and protect their goods. Additionally, the growth in e-commerce and online shopping, driven in part by the continued prevalence of social media and digital platforms, could also boost demand for packaging. However, the sector could face challenges due to rising energy prices and potential inflationary pressures.</t>
  </si>
  <si>
    <t>Score: 70
The ongoing war in Ukraine has led to a significant spike in energy prices. This could potentially increase the profitability of energy equipment and services companies, as higher energy prices could lead to increased demand for their products and services. However, the potential for a recession and the uncertainty surrounding the US government's funding debates could negatively impact this sector. Therefore, while there is potential for high returns, there is also a significant amount of risk.</t>
  </si>
  <si>
    <t>Score: 70
The Communications Equipment sector is expected to perform well due to the ongoing digital transformation and increased reliance on remote work and online activities. However, the sector may face challenges due to potential supply chain disruptions caused by the war in Ukraine and the ongoing effects of the COVID-19 pandemic. Additionally, the sector could be impacted by the Fed's interest rate hikes and the overall bearish sentiment in the stock market.</t>
  </si>
  <si>
    <t>Score: 70
The ongoing war in Ukraine has led to a significant increase in energy prices. This, coupled with the potential for a colder winter, could lead to increased demand for gas utilities. However, the overall economic uncertainty and potential for a recession could negatively impact this sector. Therefore, while there is potential for growth, there is also a significant amount of risk.</t>
  </si>
  <si>
    <t>Score: 70
The food products sector is likely to see increased demand due to the ongoing war in Ukraine causing food shortages. However, disruptions in supply chains could pose challenges. The sector's performance may also be affected by the overall economic uncertainty and potential recession risks.</t>
  </si>
  <si>
    <t>Score: 70
The beverage sector is generally considered a defensive sector, meaning it tends to perform well even during economic downturns as consumers continue to purchase these goods. Given the current economic uncertainty and potential for a recession, this sector could provide a safe haven for investors. However, supply chain disruptions due to the war in Ukraine and inflationary pressures could impact profit margins, hence the score is not higher.</t>
  </si>
  <si>
    <t>Score: 70
The Household Products sector could be a relatively safe bet in the current economic climate. Despite the potential for a recession and the ongoing geopolitical tensions, this sector tends to be more resilient as it deals with essential goods that people continue to buy regardless of the economic situation. However, supply chain disruptions due to the war in Ukraine could impact this sector, hence the score is not higher.</t>
  </si>
  <si>
    <t>Score: 70
Industrial REITs could potentially benefit from the ongoing disruptions in global supply chains, as companies may need to increase their warehouse and distribution capacity. However, the potential crisis in the commercial real estate market and the overall economic uncertainty could pose significant risks. Therefore, while there is potential for gains, investors should proceed with caution.</t>
  </si>
  <si>
    <t>Score: 70
The Broadline Retail sector could potentially benefit from the increase in consumer spending, particularly on durable goods. However, the sector could be negatively impacted by the slowdown in wage growth and the potential for a recession. The ongoing debates about government funding and the impact of the war in Ukraine on global supply chains could also create uncertainty for this sector. Therefore, while there are opportunities for growth, there are also significant risks, hence the score of 70.</t>
  </si>
  <si>
    <t>Score: 70
Electric utilities sector is traditionally considered a safe haven during times of economic uncertainty due to its stable demand. Despite the potential recession and ongoing geopolitical tensions, the demand for electricity remains relatively constant. Furthermore, the sector could potentially benefit from the increased focus on clean energy and infrastructure development. However, the rising interest rates and inflation could put pressure on the sector's profitability.</t>
  </si>
  <si>
    <t>Score: 70
The Electrical Equipment sector is expected to perform well due to the ongoing technological advancements and increased demand for energy-efficient products. However, the sector might face challenges due to potential supply chain disruptions caused by the war in Ukraine and the ongoing COVID-19 pandemic. The sector's performance is also tied to the overall health of the economy, which is currently mixed with both positive and negative trends. Therefore, while the sector has good potential, investors should proceed with caution.</t>
  </si>
  <si>
    <t>Score: 65
The ground transportation sector is likely to experience moderate growth given the current economic conditions. The resilience of the U.S. economy and the stabilization of home prices could lead to increased consumer spending, which would benefit this sector. However, the potential for a recession and the ongoing conflict in Ukraine could disrupt global supply chains, which could negatively impact this sector. Additionally, the sector could be affected by the Fed's interest rate hikes and the potential crisis in the commercial real estate market. Therefore, while there are opportunities for growth, there are also significant risks that investors should consider.</t>
  </si>
  <si>
    <t>Score: 65
The Metals &amp; Mining sector could potentially benefit from the current economic conditions. The ongoing war in Ukraine and the resulting disruptions in supply chains could increase demand for domestically produced metals. Additionally, the sector could benefit from the increased investment in AI and other technological developments, which could improve efficiency and reduce costs. However, the potential for a recession and the bearish sentiment in the stock market could negatively impact this sector. Therefore, while there are opportunities for growth, there are also significant risks.</t>
  </si>
  <si>
    <t>Score: 65
The construction materials sector could potentially benefit from the stable home prices and the moderate increase in real disposable income, which could lead to increased consumer spending on home improvements and construction. However, the sector could be negatively impacted by the slowdown in GDP growth and the potential dangers in the stock market. The ongoing debates about government funding could also impact infrastructure spending, which could affect the construction materials sector. Therefore, while there are some positive indicators, there are also significant risks, leading to a score of 65.</t>
  </si>
  <si>
    <t>Score: 65
The Paper &amp; Forest Products sector could potentially benefit from the current economic conditions. The sector is generally considered to be a defensive one, which means it could perform well if the economy slows down or enters a recession. Additionally, the sector could benefit from the increased demand for packaging materials due to the growth of e-commerce, which has been accelerated by the COVID-19 pandemic. However, the sector could face challenges due to potential supply chain disruptions caused by the war in Ukraine and the ongoing pandemic.</t>
  </si>
  <si>
    <t>Score: 65
Residential REITs could potentially benefit from stable home prices and increased consumer spending. However, the potential crisis in the commercial real estate market and the Fed's aggressive interest rate hikes could negatively impact this sector. The overall economic uncertainty and potential for a recession also add risk.</t>
  </si>
  <si>
    <t>Score: 65
The financial services sector could face some challenges due to the current economic climate. The Federal Reserve's interest rate hikes could potentially lead to decreased borrowing and lending activities, which would negatively impact the revenues of financial institutions. However, the sector could also benefit from increased trading activities due to market volatility. Furthermore, financial institutions could potentially benefit from the increased use of AI and digital platforms. Therefore, while there are some risks, there are also potential opportunities for the financial services sector.</t>
  </si>
  <si>
    <t>Score: 65
The construction and engineering sector is expected to perform moderately well. The stability in home prices since mid-2022 suggests a steady demand for housing, which could benefit construction companies. However, the potential economic slowdown and the ongoing debates about government funding could impact public sector construction projects. Additionally, the high inflation and interest rates could increase the cost of construction materials and borrowing, potentially squeezing profit margins. Therefore, while there are opportunities in this sector, there are also significant risks that investors need to consider.</t>
  </si>
  <si>
    <t>Score: 65
The automobile sector is currently facing a mixed bag of opportunities and challenges. On one hand, the demand for vehicles remains strong, especially for electric vehicles, which is a positive sign. However, the sector is also grappling with supply chain disruptions caused by the war in Ukraine and the ongoing effects of the COVID-19 pandemic. Additionally, the rising inflation and potential interest rate hikes could put pressure on consumer spending and auto loans. Therefore, while there are growth opportunities in the sector, especially in the electric vehicle market, investors should also be aware of the potential risks.</t>
  </si>
  <si>
    <t>Score: 65
The machinery sector is likely to experience moderate growth due to the ongoing recovery of the US economy. The sector is expected to benefit from increased consumer spending and government spending on infrastructure. However, the sector could be negatively impacted by rising interest rates and potential supply chain disruptions due to the war in Ukraine. Additionally, the sector's performance could be affected by the overall bearish sentiment in the stock market.</t>
  </si>
  <si>
    <t>Score: 65
The Trading Companies &amp; Distributors sector could potentially benefit from the current economic conditions. The sector is likely to be influenced by the ongoing debates about further funding, particularly related to aid for Ukraine. This could potentially lead to increased demand for goods and services provided by trading companies and distributors. However, the sector could also be negatively impacted by the potential recession and the ongoing war in Ukraine, which has caused disruptions in supply chains. Therefore, while there are opportunities for growth, there are also significant risks, which is reflected in the score of 65.</t>
  </si>
  <si>
    <t>Score: 65
The banking sector could potentially benefit from the Federal Reserve's interest rate hikes, as higher interest rates generally lead to increased profitability for banks. However, the potential crisis in the commercial real estate market and the overall bearish sentiment in the market could negatively impact the sector. Additionally, the ongoing political unrest and potential economic fallout from the war in Ukraine could create further uncertainty for banks. Therefore, while there are some positive factors for the banking sector, there are also significant risks, leading to a moderate score.</t>
  </si>
  <si>
    <t>Score: 65
The Textiles, Apparel &amp; Luxury Goods sector could potentially face challenges due to the ongoing supply chain disruptions caused by the war in Ukraine. However, the sector may also benefit from the resilience of the US economy and the continued growth in consumer spending. The sector's performance may also be influenced by social media trends, as these platforms play a significant role in influencing consumer behavior. However, the potential for a recession and the impact of the Fed's interest rate hikes could pose risks to the sector. Therefore, while there are opportunities for growth, investors should also be aware of the potential risks.</t>
  </si>
  <si>
    <t>Score: 65
The score reflects the mixed signals from the macroeconomic indicators and the stock market. While there are positive signs such as the resilience of the economy and the growth in the technology sector, there are also significant risks such as the potential for a recession, the ongoing political unrest, and the impact of the war in Ukraine. The capital markets sector is likely to experience volatility due to these factors. However, the growth in AI and the continued importance of social media could provide investment opportunities within this sector.</t>
  </si>
  <si>
    <t>Score: 65
The Chemicals sector could potentially benefit from the current economic conditions. The sector is often seen as a bellwether for the broader economy due to its wide range of end-market applications. The expected slowdown in economic growth could potentially lead to lower demand for chemicals, which would be negative for the sector. However, the sector could also benefit from the recent spike in energy prices, as many chemical companies are also major energy producers. Furthermore, the ongoing supply chain disruptions could potentially lead to higher prices for chemicals, which would be positive for the sector. However, the sector also faces risks from the potential recession and the ongoing political unrest, which could lead to increased volatility and uncertainty.</t>
  </si>
  <si>
    <t>Score: 65
The media sector, particularly digital and social media, continues to play a significant role in the digital landscape. Despite the overall economic uncertainty, these platforms remain integral to many aspects of life and business. However, potential economic downturn and the ongoing political instability could impact advertising revenues, a major income source for this sector. Therefore, while the sector holds potential, it also carries a fair amount of risk.</t>
  </si>
  <si>
    <t>Score: 65
The automobile components sector could present a moderate investment opportunity. The sector is likely to benefit from the ongoing recovery in the auto industry, which has been driven by strong consumer demand. However, the sector could face headwinds from supply chain disruptions caused by the war in Ukraine and the ongoing effects of the COVID-19 pandemic. Additionally, the sector could be negatively impacted by the Fed's tightening monetary policy, which could lead to higher borrowing costs and slower economic growth.</t>
  </si>
  <si>
    <t>Score: 65
The Distributors sector could potentially benefit from the current economic conditions. The increase in consumer spending, particularly on durable goods, suggests that distributors could see increased demand for their services. However, the ongoing supply chain disruptions due to the war in Ukraine and the potential for a recession could negatively impact this sector. The sector's performance may also be affected by the Fed's interest rate hikes and the potential volatility in the stock market. Therefore, while there are opportunities for growth, there are also significant risks, hence the score of 65.</t>
  </si>
  <si>
    <t>Score: 65
The Hotels, Restaurants &amp; Leisure sector is likely to experience moderate growth given the current economic conditions. The resilience of the U.S. economy and the stabilization of home prices could lead to increased consumer spending in this sector. However, the potential for a recession and the ongoing impact of the COVID-19 pandemic may limit growth. Additionally, the sector could be negatively impacted by the rising energy prices and supply chain disruptions caused by the war in Ukraine.</t>
  </si>
  <si>
    <t>Score: 65
The Diversified Consumer Services sector is expected to perform moderately well. The increase in consumer spending, particularly on services, indicates a positive trend for this sector. However, the potential for a recession and the ongoing impact of the COVID-19 pandemic could negatively affect consumer confidence and spending. Additionally, the rise in inflation and the Fed's interest rate hikes could put pressure on businesses in this sector. Therefore, while there are opportunities for growth, there are also significant risks.</t>
  </si>
  <si>
    <t>Score: 65
The health care sector, particularly Real Estate Investment Trusts (REITs), presents a moderate investment opportunity. The sector is generally considered defensive and can provide stable returns during economic downturns. However, the potential crisis in the commercial real estate market and the ongoing debates about government funding could impact the sector. Additionally, the high inflation rate and the Fed's aggressive interest rate hikes could also affect the performance of REITs. On the positive side, the strong labor market and the growth in disposable income could support the demand for health care services, which would be beneficial for health care REITs.</t>
  </si>
  <si>
    <t>Score: 65
The transportation infrastructure sector could potentially benefit from the government's ongoing debates about further funding, which may include infrastructure spending. However, the sector could also be negatively impacted by the disruptions in supply chains caused by the war in Ukraine. The sector's performance is also likely to be influenced by the overall economic conditions and the state of the stock market. Therefore, while there are opportunities for growth, there are also significant risks, leading to a moderate score of 65.</t>
  </si>
  <si>
    <t>Score: 65
Industrial conglomerates are typically diversified and can weather economic downturns better than more specialized sectors. However, the current economic uncertainty, potential recession, and the ongoing war in Ukraine which disrupts global supply chains could negatively impact this sector. The sector's score reflects these mixed conditions.</t>
  </si>
  <si>
    <t>Score: 65
The Consumer Finance sector is expected to perform moderately well. The solid GDP growth and increased consumer spending indicate a healthy economy, which is beneficial for consumer finance companies. However, the potential for a recession and the ongoing political unrest could negatively impact consumer confidence and spending, which would be detrimental for this sector. Additionally, the Fed's interest rate hikes could increase borrowing costs for consumers, which could potentially lead to a decrease in demand for consumer finance products. Therefore, while there are positive indicators, there are also significant risks that warrant a moderate score.</t>
  </si>
  <si>
    <t>Score: 65
The household durables sector could present moderate investment opportunities. The increase in consumer spending, particularly on durable goods, indicates a positive trend for this sector. However, the overall economic uncertainty, potential for a recession, and the ongoing effects of the COVID-19 pandemic may impact consumer confidence and spending habits. Additionally, the potential volatility in the stock market and the Fed's interest rate hikes could also affect this sector. Therefore, while there are positive indicators, caution is advised due to these potential risks.</t>
  </si>
  <si>
    <t>Score: 65
The entertainment sector has shown resilience during the pandemic, with streaming services and gaming companies seeing increased demand. However, the sector is also facing challenges due to the ongoing economic uncertainty and potential recession. The sector's performance may also be affected by the Fed's interest rate hikes and the overall bearish sentiment in the stock market. Therefore, while the sector has potential, it also carries a moderate level of risk.</t>
  </si>
  <si>
    <t>Score: 65
The building products sector could potentially benefit from the stable home prices and the moderate increase in real disposable income, which could lead to increased consumer spending on home improvement and construction. However, the sector could be negatively impacted by the slowdown in GDP growth and the potential volatility in the stock market. The ongoing supply chain disruptions due to the war in Ukraine could also pose a risk to this sector. Therefore, while there are some positive indicators, there are also significant risks, leading to a moderate investment value score.</t>
  </si>
  <si>
    <t>Score: 65
The Commercial Services &amp; Supplies sector is expected to perform moderately well. The sector is likely to benefit from the increased consumer spending and stable disposable income. However, the potential economic slowdown and the ongoing geopolitical tensions could pose risks. The sector's performance is also tied to the broader economy, and the current mixed economic signals suggest a cautious outlook.</t>
  </si>
  <si>
    <t>Score: 65
The Marine Transportation sector is expected to experience moderate growth due to the ongoing global economic recovery. However, the sector is also facing challenges due to supply chain disruptions caused by the war in Ukraine and the COVID-19 pandemic. Additionally, rising energy prices could increase operating costs for companies in this sector. Therefore, while there are opportunities for growth, there are also significant risks that investors should consider.</t>
  </si>
  <si>
    <t>Score: 65
The Specialty Retail sector could present moderate investment opportunities. The sector is likely to benefit from the increase in consumer spending, particularly on durable goods. However, the potential for a recession and the ongoing uncertainty surrounding the Fed's interest rate hikes could pose risks. The sector's performance may also be impacted by the broader market volatility and the potential slowdown in wage growth. Therefore, while there are opportunities, investors should proceed with caution.</t>
  </si>
  <si>
    <t>Score: 65
The Leisure Products sector could potentially benefit from the increase in consumer spending, particularly on durable goods. However, the overall economic uncertainty, potential for a recession, and the ongoing effects of the COVID-19 pandemic could negatively impact discretionary spending on leisure products. The sector's performance may also be affected by supply chain disruptions due to the war in Ukraine. Therefore, while there are opportunities for growth, there are also significant risks, leading to a moderate score.</t>
  </si>
  <si>
    <t>Score: 60
The specialized REITs sector could face some challenges in the current economic climate. The potential crisis in the commercial real estate market, with $1.5 trillion of debt having accumulated, could negatively impact this sector. However, the resilience of the economy and the potential for a soft landing could provide some support. The sector's performance will likely depend on the specific types of properties these REITs invest in and how they are affected by the broader economic trends.</t>
  </si>
  <si>
    <t>Score: 45
The retail real estate investment trusts (REITs) sector is currently facing significant challenges due to the potential crisis in the commercial real estate market. With $1.5 trillion of debt having accumulated, there could be significant losses for investors if the market were to collapse. Additionally, the ongoing debates about government funding and the potential for a recession could further impact this sector. However, the resilience of the economy and the potential for a soft landing could provide some support for retail REITs.</t>
  </si>
  <si>
    <t>Score: 45
The Hotel &amp; Resort REITs sector is currently facing significant challenges due to the ongoing economic uncertainty. The potential crisis in the commercial real estate market, coupled with the high level of accumulated debt, could lead to significant losses for investors in this sector. Additionally, the ongoing COVID-19 pandemic and the war in Ukraine are causing disruptions in global travel, which could negatively impact the hotel and resort industry. However, the sector could potentially benefit from the easing of inflation pressures and the resilience of the economy.</t>
  </si>
  <si>
    <t>Score: 45
The score reflects the potential risks associated with the commercial real estate market, which has accumulated $1.5 trillion of debt. This could lead to significant losses if the market were to collapse. Additionally, the ongoing debates about government funding and the potential for a recession could further impact this sector. However, the sector could still offer some investment value due to the resilience of the economy and the potential for a soft landing.</t>
  </si>
  <si>
    <t>Score: 45
Mortgage REITs are highly sensitive to interest rate changes. With the Federal Reserve's aggressive interest rate hikes and the potential crisis in the commercial real estate market, the sector could face significant challenges. However, if the economy manages a "soft landing" and inflation moderates, these trusts could offer value due to their high dividend yields. Investors should proceed with caution.</t>
  </si>
  <si>
    <t>Score: 45
The real estate sector is currently facing a potential crisis with $1.5 trillion of accumulated debt. This, coupled with the overall economic uncertainty and the potential for a recession, makes the sector a risky investment at this time. However, the stability in home prices since mid-2022 offers some positive outlook for the sector.</t>
  </si>
  <si>
    <t>Score: 40
The office real estate investment trusts (REITs) sector is currently facing significant challenges due to the ongoing uncertainty in the commercial real estate market. The accumulated debt of $1.5 trillion could potentially lead to significant losses if the market were to collapse. Additionally, the shift towards remote work due to the COVID-19 pandemic has reduced demand for office spaces, further impacting the sector. However, the sector could potentially benefit from a soft landing of the US economy and the moderation of inflation trends.</t>
  </si>
  <si>
    <t>Score: 40
The passenger airlines sector is currently facing significant challenges due to the ongoing impacts of the COVID-19 pandemic and the war in Ukraine. The pandemic has led to a significant reduction in global travel, which has directly impacted the revenues of airlines. The war in Ukraine has led to increased fuel prices, which is a major cost for airlines. Furthermore, the potential for a recession in the US could further reduce demand for air travel. Therefore, the investment value of this sector is relatively low at this time.</t>
  </si>
  <si>
    <t>Score: 40
The tobacco sector is traditionally considered a defensive sector, meaning it tends to perform well during economic downturns. However, the sector faces significant headwinds. Increasing health consciousness, stricter regulations, and the rise of alternatives like e-cigarettes are negatively impacting traditional tobacco companies. Furthermore, the sector is not likely to benefit from the current macroeconomic trends, such as the growth in AI and social media. Therefore, the potential investment value of the sector is relatively low.</t>
  </si>
  <si>
    <t>Score: 85
UnitedHealth Group (UNH) presents a strong investment opportunity given the current economic climate. The company's robust growth in membership, expanding government business, strategic acquisitions, and improving operating margin position it well for growth. The healthcare sector is known for its resilience and potential for growth, which is particularly relevant given the ongoing COVID-19 pandemic and the increased focus on healthcare. Furthermore, the company's strong financials, including a forward P/E ratio of 17.09 and a trailing P/E of 21.52, suggest it is reasonably valued. The company also offers a dividend yield of 1.47%, adding to its attractiveness for investors seeking income. However, the ongoing war in Ukraine and potential supply chain disruptions, as well as the broader economic uncertainty, warrant a degree of caution.</t>
  </si>
  <si>
    <t>Score: 85
Regeneron's stock has been performing well, with a 6% rise in a month, outperforming the broader S&amp;P500 index. The company has also been highlighted as a growth stock with potential for further upward movement. The company's financials are strong, with a market cap of 90.427B and a PE Ratio of 21.89, indicating a healthy valuation. The company's management transition seems to be well-planned, which is a positive sign for stability. Furthermore, the company's involvement in AI in healthcare, a sector expected to see significant growth, adds to its investment appeal. However, the ongoing war in Ukraine and potential supply chain disruptions could pose some risks.</t>
  </si>
  <si>
    <t>Score: 85
Qualcomm's recent agreement with Apple to supply 5G chips until 2026 provides a significant boost to the company's outlook. This deal not only secures a steady revenue stream but also indicates a strong vote of confidence from a major industry player. Furthermore, Qualcomm's expansion into AI, AR/VR, and automotive chips shows promising diversification efforts. The company's financials are also strong, with a low P/E ratio and a healthy dividend yield. However, the ongoing geopolitical tensions and potential supply chain disruptions due to the war in Ukraine, as well as the company's challenges in China, pose risks that slightly dampen the investment score.</t>
  </si>
  <si>
    <t>Score: 85
Salesforce has been making significant strides in integrating AI into its business segments, which aligns with the current trend of AI adoption across various sectors. The company's recent partnerships and investments in education and workforce development signal a strong commitment to AI and tech growth. Despite some concerns about AI's democratization posing a risk to Salesforce's CRM moat, the company's consistent performance, strategic investments, and the growing market for AI software suggest a high potential for growth. However, the ongoing war in Ukraine and its impact on global economies, along with the recent downgrade of federal debt, introduce some uncertainty that slightly tempers the investment score.</t>
  </si>
  <si>
    <t>Score: 85
ExxonMobil's potential investment value is high due to several factors. The ongoing war in Ukraine has caused spikes in energy prices, which benefits ExxonMobil as a major player in the oil and gas industry. The company has also shown adaptability in the face of a changing energy landscape, investing in lower carbon initiatives and carbon capture and storage. Furthermore, ExxonMobil's financial data shows strong performance with a healthy market cap and positive earnings. However, the potential for further escalation in the Ukraine conflict and the persistent inflation could pose risks, hence the score is not at the maximum.</t>
  </si>
  <si>
    <t>Score: 85
Pioneer Natural Resources (PXD) is a strong investment candidate due to several factors. The company is well-positioned to benefit from the rising oil prices, which are expected to continue due to the ongoing conflict in Ukraine and Saudi Arabia's extended production cuts. The company's dividend is tied to its performance, meaning that as oil prices rise, so too will its dividend, making it an attractive option for income-focused investors. The company's financials are also strong, with a low P/E ratio of 9.99 and a high dividend yield of 6.90%. The company's stock is also trending, indicating increased investor interest. However, the ongoing war in Ukraine and potential for further economic disruption warrant a degree of caution, hence the score is not at the maximum.</t>
  </si>
  <si>
    <t>Score: 85
Valero Energy's potential investment value is high due to several factors. The ongoing war in Ukraine has caused spikes in energy prices, which benefits oil and gas companies like Valero. The company's financial data shows strong performance with a low P/E ratio, indicating it may be undervalued. The recent bull market in oil and the company's inclusion in top-rated energy stocks also contribute to its high score. However, the lowered fourth-quarter GDP growth forecast and potential supply chain disruptions due to the war could pose some risks, preventing a perfect score.</t>
  </si>
  <si>
    <t>Score: 85
T. Rowe Price's potential investment value is high due to several factors. The company is a Dividend Aristocrat, consistently raising its annual payouts for at least 25 consecutive years, which indicates a strong and stable financial position. The recent Defined Contribution Consultant Research Study shows that T. Rowe Price is actively engaging with market trends and client needs, which could lead to innovative product offerings and increased market share. The company's stock is also considered undervalued, with a potential upside of 18% to 45%, and it has been upgraded to a 'Strong Buy'. The firm's financial data shows a healthy market cap, a reasonable P/E ratio, and a good dividend yield. However, the ongoing war in Ukraine and the potential for increased inflation could introduce some volatility and risk.</t>
  </si>
  <si>
    <t>Score: 85
Paccar's recent joint venture with Cummins and Daimler to advance battery cell production in the United States is a positive development, indicating the company's strategic move towards electric commercial vehicles. This aligns with the growing trend of AI and automation in the manufacturing sector. The company's strong financial performance, as indicated by its Zacks Rank #1 (Strong Buy) status, and its reasonable P/E ratio also suggest a good investment opportunity. However, the ongoing war in Ukraine and its potential impact on global supply chains, as well as the recent downgrade of federal debt by Fitch, introduce some uncertainty and risk.</t>
  </si>
  <si>
    <t>Score: 85
Eli Lilly and Company has shown strong potential for growth, particularly with its type 2 diabetes treatment, Mounjaro, which is also being fast-tracked for weight-loss approval by the FDA. The weight-loss drug market is expected to hit $100 billion, and Eli Lilly is poised to split this market with Novo Nordisk. This, coupled with the company's ventures into Alzheimer's and pain markets, suggests a promising future. 
The company's financial data also supports this positive outlook, with a 1-year target estimate of 559.87 and a market cap of 565.571B. The company's P/E ratio is high, indicating that investors are willing to pay a high price for the stock due to expectations of high earnings growth in the future. 
However, the ongoing war in Ukraine and the potential for further economic disruption, as well as the persistent inflation, could pose risks. Additionally, the company's high valuation could be a concern if the company does not meet growth expectations. 
Overall, Eli Lilly and Company presents a strong investment opportunity in the pharmaceutical industry, but investors should monitor global economic conditions and the company's growth progress.</t>
  </si>
  <si>
    <t>Score: 85
General Dynamics (GD) presents a strong investment opportunity due to several factors. The ongoing war in Ukraine and the U.S.'s commitment to providing military aid to the country could potentially benefit defense companies like GD. The company's steady revenue stream from long-term government contracts provides stability, making it less vulnerable to economic downturns. Additionally, GD's record-high backlog supports its near-term growth prospects. The company's financial data also indicates a healthy performance with a reasonable P/E ratio and a stable dividend yield. However, the broader economic uncertainty and potential disruptions in supply chains due to the war in Ukraine slightly temper the investment score.</t>
  </si>
  <si>
    <t>Score: 85
Thermo Fisher Scientific has shown strong performance and innovation in the life sciences sector. The company's recent launch of the next-generation Gibco CTS Detachable Dynabeads platform and recognition by the R&amp;D 100 Awards for three unique innovations demonstrate its commitment to advancing science and technology. Furthermore, its collaboration with the National Minority Quality Forum to make clinical research more accessible to historically underserved communities shows a commitment to social responsibility. 
The company's financial data also supports a positive outlook. With a market cap of 199.285B and a forward P/E ratio of 20.79, the company appears to be valued reasonably given its earnings potential. The company's beta of 0.77 suggests it is less volatile than the market, which could be appealing to risk-averse investors. 
However, the ongoing war in Ukraine and its impact on global economies, including potential disruptions in supply chains, could pose risks. Additionally, the Federal Reserve's aggressive rate hikes could increase borrowing costs and potentially impact the company's growth. 
Overall, Thermo Fisher Scientific appears to be a solid investment in the life sciences tools &amp; services industry, but investors should monitor global economic developments and their potential impact on the company.</t>
  </si>
  <si>
    <t>Score: 85
Visa Inc. has a strong position in the digital payments industry, with robust growth and profitability metrics. The company's consistent dividend growth and effective capital allocation make it an attractive investment. Despite potential risks from a weakening consumer environment and regulatory changes, Visa's stable operating environment and growth opportunities in international transactions and new technologies, such as AI and blockchain, support a positive investment outlook. However, the ongoing war in Ukraine and its impact on global economies, along with the potential for further inflation and interest rate hikes, could introduce some volatility.</t>
  </si>
  <si>
    <t>Score: 85
Devon Energy's potential investment value is high due to several factors. The ongoing war in Ukraine has caused spikes in energy prices, which benefits oil and gas companies like Devon Energy. The company's strong financials, efficient operations, and deep reserves in the Delaware Basin make it a top pick in the oil and gas sector. Furthermore, the company prioritizes shareholders, offering generous returns through fixed and variable dividends and substantial share buybacks. The company's low P/E ratio and high dividend yield also make it an attractive investment. However, the ongoing COVID-19 pandemic and potential supply chain disruptions due to the war in Ukraine could pose risks.</t>
  </si>
  <si>
    <t>Score: 85
ON Semiconductor has been performing well, with a strong buy recommendation from Zacks and a positive outlook from Citi's 2023 Global Technology Conference. The company's P/E ratio is attractive, and its EPS is rising, indicating potential for growth. The company's high ROE also suggests it is effectively generating profit. The ongoing war in Ukraine and the potential for supply chain disruptions could pose some risk, but the company's strong financials and positive industry trends suggest it is well-positioned to navigate these challenges. The growth of AI and its adoption in various sectors could also provide additional growth opportunities for ON Semiconductor. However, the company's high beta indicates a higher level of volatility, which could increase investment risk.</t>
  </si>
  <si>
    <t>Score: 85
Adobe Inc. has a strong position in the Application Software industry, with a robust market cap of 253.949B and a positive earnings per share (EPS) of 10.48. The company's AI transformation is expected to enhance its digital content creation capabilities, which could drive future growth. The company's stock has been upgraded to "buy" from "neutral" by Mizuho, indicating positive market sentiment. However, the company's high Price/Earnings (P/E) ratio of 53.16 suggests that the stock may be overvalued, which could limit its short-term growth potential. The ongoing war in Ukraine and the potential for increased inflation could also introduce some volatility into the market. However, given Adobe's strong financial performance and the positive outlook for the AI sector, the company's stock has a high potential investment value for the next month.</t>
  </si>
  <si>
    <t>Score: 85
Synopsys (SNPS) is a strong investment candidate based on the provided information. The company is well-positioned in the AI sector, which is expected to see significant growth. The recent extension to Synopsis.ai indicates the company's commitment to innovation and its ability to leverage AI to optimize processes. The company's stock has been upgraded to a Zacks Rank #1 (Strong Buy), reflecting optimism about its earnings prospects. The firm's financial data also supports a positive outlook, with a 1-year target estimate of 485.23, indicating potential for growth. However, the ongoing war in Ukraine and the potential for further economic disruption could introduce some risk, hence the score is not at the maximum.</t>
  </si>
  <si>
    <t>Score: 85
Fiserv's position as a leading global provider of payments and financial technology solutions, coupled with its top spot on the 2023 IDC FinTech Top 100 Rankings, indicates a strong market presence and potential for growth. The company's financial data shows a healthy market cap and enterprise value, and its P/E ratios suggest a reasonable valuation. The fintech sector is expected to grow at a rate of over 25% annually for the next few years, which bodes well for Fiserv. However, the ongoing war in Ukraine and potential for further economic instability slightly dampen the investment outlook.</t>
  </si>
  <si>
    <t>Score: 85
Oracle Corporation (ORCL) is a strong investment candidate in the Application Software industry. The company's stock is set to open at a record high before earnings, and it is on track to meet its 1Q organic growth expectations. The company is expected to report a 10.7% increase in earnings per share, which is a positive sign for investors. 
Moreover, Oracle has been upgraded by Barclays due to its potential to be a leader in artificial intelligence, a sector that is currently in high gear and attracting significant investment. The company's stock has also been boosted by a bullish AI cloud outlook. 
However, the ongoing war in Ukraine and the potential for further economic disruption could pose risks to Oracle's performance. Additionally, the company's high P/E ratio suggests that its stock may be overvalued. 
Overall, Oracle's strong performance and potential in the AI sector make it a promising investment, but investors should be aware of potential macroeconomic risks.</t>
  </si>
  <si>
    <t>Score: 85
CME Group has shown strong performance recently, with record volumes in its WTI weekly options and U.S. Treasury Futures. The company's average daily volume has increased by 14% from 2022, indicating a growing demand for its services. The firm's financial data also shows a stable position, with a forward P/E ratio of 22.42, suggesting that the market has positive expectations for its future earnings. The company's beta of 0.43 indicates that it is less volatile than the market, which could be a positive factor for investors looking for stable returns in the current uncertain economic environment. However, the ongoing war in Ukraine and potential changes in AI regulations could introduce some risks.</t>
  </si>
  <si>
    <t>Score: 85
Constellation Energy (CEG) presents a strong investment opportunity due to its strategic positioning in the carbon-free energy sector, which is increasingly important given the current global focus on sustainability. The company's impressive financial performance, including significant adjusted EBITDA and a 100% increase in dividend payment history, further strengthens its investment potential. The stock's recent bullish run and its listing as a Zacks Rank #1 (Strong Buy) also indicate strong momentum. However, the ongoing war in Ukraine and its potential impact on energy prices, as well as the broader economic uncertainty, slightly dampen the investment outlook.</t>
  </si>
  <si>
    <t>Score: 75
General Electric (GE) has shown strong performance with a 36% increase year-to-date and a positive outlook in its Aerospace unit. The company's recent dividend declaration and its selection by Bell Textron for work on the V-280 Valor further strengthen its position. The upcoming bilateral talks between U.S. President Joe Biden and India Prime Minister Narendra Modi, which are expected to see progress on GE jet engines and civil nuclear technology, also bode well for the company. 
However, the ongoing war in Ukraine and its impact on global economies, including potential disruptions in supply chains, could pose risks. The company's forward P/E ratio is also relatively high, indicating that the stock may be overvalued. 
Overall, while there are some risks, GE's strong performance and positive news suggest a good potential for investment in the short term.</t>
  </si>
  <si>
    <t>Score: 75
Fortinet's recent partnership with Wiz to enhance cloud-native security protections, its strong position in the cybersecurity industry, and its potential for recovery after a recent decline in share prices all contribute to a positive investment outlook. The company's robust growth in revenue and net income, along with a promising trajectory for free cash flow, further support this view. However, the recent drop in stock price due to disappointing forward guidance and a deceleration in growth, as well as concerns about short-term growth prospects, slightly dampen the investment potential. The company's strong position in the growing AI and cybersecurity sectors, however, make it a solid investment for the future.</t>
  </si>
  <si>
    <t>Score: 75
First Solar's potential investment value is relatively high due to several factors. The company has recently been upgraded to a "buy" rating by Deutsche Bank, indicating positive sentiment from financial analysts. The company is also hosting its first analyst meeting in five years, which could potentially reveal new strategic directions or positive developments. The solar power industry is expected to install a record amount of solar panels in the U.S. this year, indicating strong industry growth. However, the performance of solar stocks has not met expectations, which could be a potential risk. The company's financial data also shows a high PE ratio, suggesting that the stock may be overvalued. However, the forward PE is much lower, indicating expected earnings growth. The company's market cap is also substantial, suggesting a large and potentially stable company.</t>
  </si>
  <si>
    <t>Score: 75
GE Healthcare is well-positioned in the healthcare technology industry, with a strong focus on AI, as evidenced by their collaboration with Mass General Brigham. This collaboration aims to increase operational effectiveness and productivity, which could potentially boost profitability. The company's financial data shows a healthy market cap and a reasonable PE ratio, suggesting that the stock is not overvalued. The company's focus on AI aligns with the current trend of AI adoption in healthcare, which is expected to drive growth. However, the ongoing war in Ukraine and the potential for increased regulatory scrutiny around AI pose risks that could impact the company's performance.</t>
  </si>
  <si>
    <t>Score: 75
Globe Life's potential investment value is relatively high, given the current economic outlook and the company's financial data. The company has a stable market cap of $10.371B and a reasonable PE Ratio of 14.86, indicating that it is not overvalued. The company's Beta of 0.78 suggests it is less volatile than the market, which could be beneficial in the current uncertain economic climate. 
However, the ongoing war in Ukraine and the potential for further economic disruption could pose risks. Additionally, the company's involvement in the life and health insurance industry could be impacted by the ongoing COVID-19 pandemic and potential changes in healthcare related to AI advancements. 
Warren Buffet's investment in the company also adds credibility to its potential value. However, the company's forward dividend yield is relatively low at 0.82%, which may not be attractive for income-focused investors. 
Overall, while there are some potential risks, Globe Life appears to be a relatively stable investment with potential for growth, hence the score of 75.</t>
  </si>
  <si>
    <t>Score: 75
Gilead Sciences presents a promising investment opportunity in the biotechnology sector. The company's recent clinical trials have shown positive results, particularly in the treatment of non-small cell lung cancer, which could potentially lead to new revenue streams. Furthermore, Gilead's leadership in HIV treatment is underappreciated, and its stable revenue, despite the decline in COVID-19 product demand, demonstrates resilience. The company's stock appears to be undervalued according to BofA analysts, and its recent $2 billion senior unsecured notes offering could provide additional financial flexibility. However, the ongoing war in Ukraine and potential disruptions in global supply chains, along with the broader economic uncertainty, may pose risks. Therefore, while Gilead presents a good investment opportunity, these factors have been considered in the score.</t>
  </si>
  <si>
    <t>Score: 75
Pfizer's investment value is relatively high due to several factors. The company has been making strategic acquisitions to bolster its drug pipeline, which could lead to future growth. Despite a decline in COVID-19 vaccine sales, Pfizer's other products, such as Paxlovid, have seen significant sales. The company's recent positive results for its Lyme disease vaccine candidate also show promise. However, the ongoing war in Ukraine and potential regulatory changes in the pharmaceutical industry could pose risks. Additionally, Pfizer's stock is currently trading at a lower price, which could present a buying opportunity for investors.</t>
  </si>
  <si>
    <t>Score: 75
Prologis has a strong position in the logistics real estate market, which is likely to benefit from the ongoing growth in e-commerce and global trade. The company's recent declaration of dividends indicates a stable financial position. The firm's participation in industry conferences could potentially lead to new partnerships and growth opportunities. However, the ongoing war in Ukraine and its impact on global supply chains could pose a risk to Prologis, given its international operations. The company's relatively high P/E ratio suggests that its stock may be overvalued, which could limit its short-term investment potential. The Federal Reserve's recent interest rate hikes could also increase the company's borrowing costs, potentially affecting its profitability. However, the firm's strong market position and stable financial performance suggest that it could offer solid investment value over the long term.</t>
  </si>
  <si>
    <t>Score: 75
PepsiCo's strong brand portfolio, robust share gains, improved pricing, and digital growth make it a promising investment. The company's recent innovative marketing strategies, such as the Cheetos 75th birthday bash, demonstrate its ability to engage consumers and maintain brand relevance. The company's financial data shows a healthy market cap and a stable P/E ratio, indicating a solid financial position. However, the ongoing war in Ukraine and its impact on global supply chains, coupled with the Federal Reserve's aggressive rate hikes, may pose challenges. The company's involvement in AI, particularly in streamlining manufacturing, could also provide a competitive edge.</t>
  </si>
  <si>
    <t>Score: 75
Alphabet Inc. (Class C) remains a strong investment opportunity despite the current economic climate. The company's robust financial performance, coupled with its strategic positioning in the AI sector, makes it a promising investment. The company's involvement in diverse sectors such as healthcare, finance, retail, and manufacturing, which are increasingly adopting AI, provides a solid growth trajectory. 
However, the ongoing antitrust trial against Google, a subsidiary of Alphabet, introduces a degree of uncertainty. Additionally, the broader economic context, including the war in Ukraine and its impact on global economies, as well as the Federal Reserve's aggressive rate hikes, could potentially dampen investment returns in the short term. 
The company's strong involvement in AI, particularly in areas like generative AI, self-driving cars, and AI in healthcare and manufacturing, is expected to drive its growth in the long term. Therefore, despite some short-term risks, Alphabet Inc. (Class C) presents a good investment opportunity for investors with a long-term perspective.</t>
  </si>
  <si>
    <t>Score: 75
Alphabet Inc. (Class A) remains a strong investment opportunity despite the current economic climate. The company's robust financial performance, coupled with its strategic positioning in the AI sector, makes it a promising investment. The company's involvement in diverse sectors such as healthcare, finance, retail, and manufacturing through AI integration provides a broad base for potential growth. 
However, the ongoing antitrust trial against Google, a subsidiary of Alphabet, introduces a degree of uncertainty. Additionally, the broader economic context, including the war in Ukraine and its impact on global economies, as well as the recent downgrade of federal debt by Fitch, may introduce volatility in the market. 
The company's strong involvement in AI, particularly in trending areas such as generative AI, self-driving cars, AI in healthcare, and AI in manufacturing, provides potential for growth and resilience against these challenges. 
Therefore, while Alphabet Inc. (Class A) presents a strong investment opportunity, investors should remain cautious of potential market volatility and legal uncertainties.</t>
  </si>
  <si>
    <t>Score: 75
Global Payments has shown strong performance with a market cap of 32.281B and a forward P/E of 10.64, indicating that the stock is reasonably priced relative to its earnings growth. The company's strategic partnership with Zip Co and Primer to expand its payment stack in the US market is a positive development. The company's involvement in the growing AI sector, particularly in secure global payments, is promising given the current trends in AI adoption across various sectors. However, the ongoing war in Ukraine and its impact on global economies, along with the potential for increased Federal Reserve rates, could introduce some volatility and risk.</t>
  </si>
  <si>
    <t>Score: 75
Palo Alto Networks is a leading player in the cybersecurity industry, which is expected to grow significantly due to the increasing digitization of businesses and the proliferation of AI technologies. The company has a strong growth outlook, as evidenced by its recent earnings beat and positive commentary from financial analysts. The ongoing war in Ukraine and the persistent COVID-19 pandemic could potentially increase the demand for cybersecurity solutions, further benefiting the company. However, the company's high P/E ratio suggests that it may be overvalued, which could limit its short-term upside potential. Additionally, the recent interest rate hikes by the Federal Reserve could put pressure on high-growth stocks like Palo Alto Networks.</t>
  </si>
  <si>
    <t>Score: 75
Occidental Petroleum (OXY) presents a promising investment opportunity for the next month. The company's stock has been favored by Warren Buffett, a renowned investor, which is a positive signal. The ongoing war in Ukraine has led to disruptions in global supply chains and spikes in energy prices, which could benefit oil and gas companies like OXY. Furthermore, Saudi Arabia and Russia's decision to extend their voluntary production cuts could lead to higher oil prices, potentially boosting OXY's revenues. The company's financial data also looks solid, with a reasonable P/E ratio and a substantial market cap. However, the overall economic uncertainty, including the potential for zero growth in the fourth quarter, tempers the investment potential slightly.</t>
  </si>
  <si>
    <t>Score: 75
Halliburton's potential investment value is relatively high due to several factors. The company operates in the Oil &amp; Gas Equipment &amp; Services industry, which is expected to benefit from solid crude prices and strong demand for oilfield services. The ongoing war in Ukraine has caused spikes in energy prices, which could further boost Halliburton's profitability. The company's financial data also looks promising, with a forward P/E ratio of 11.70 suggesting that the stock may be undervalued. However, the company's high beta of 2.19 indicates a higher level of volatility, which could pose a risk to investors. Additionally, the Federal Reserve's recent rate hikes could put pressure on the stock market, potentially affecting Halliburton's stock price.</t>
  </si>
  <si>
    <t>Score: 75
Hasbro has shown strong performance over the past six months, with its stock up 40% and a recent gain of 12% in August. The company's transformation from a toy maker to a vertically integrated family entertainment enterprise, along with successful new product introductions and strategic collaborations, suggest a positive outlook. The company's forward P/E ratio of 13.99 indicates that the stock may be undervalued given its earnings growth potential. However, the ongoing war in Ukraine and potential supply chain disruptions, along with the broader economic uncertainty, pose risks. The company's negative EPS (TTM) and the downgrade of federal debt could also impact investor sentiment. Therefore, while Hasbro presents a promising investment opportunity, these factors moderate the potential investment value.</t>
  </si>
  <si>
    <t>Score: 75
Procter &amp; Gamble (PG) has shown a strong performance over the past year with a 10% increase in its stock price. The company's focus on productivity and cost-saving plans, along with pricing actions, are expected to boost margins. As a blue-chip stock and a Dividend King, PG offers stability and reliable dividends, making it an attractive investment for long-term investors and retirees. The company's recent efforts to provide relief to hurricane-affected residents also demonstrate its commitment to corporate social responsibility, which could enhance its reputation and brand value. However, the ongoing war in Ukraine and the potential for further economic disruption could pose risks to PG's performance. Additionally, the company's relatively high P/E ratio suggests that its stock may be overvalued.</t>
  </si>
  <si>
    <t>Score: 75
Gartner's position as a leading research and advisory company, particularly in the field of AI, makes it a potentially strong investment given the current economic climate and the growing importance of AI across various sectors. The company's financial data shows a stable performance with a healthy market cap of 27.691B and a PE Ratio of 30.15, indicating a reasonable valuation. However, the ongoing war in Ukraine and its potential impact on global economies, along with the recent downgrade of federal debt by Fitch, introduce elements of uncertainty that could affect Gartner's performance. Therefore, while Gartner presents a good investment opportunity, these risk factors slightly lower its potential investment value.</t>
  </si>
  <si>
    <t>FLT</t>
  </si>
  <si>
    <t>Score: 75
Fleetcor Technologies (FLT) has shown strong performance recently, with a 31% gain in stock value over the past six months and a 5.9% increase since the last earnings report. The company's top line remains healthy, driven by both organic and inorganic growth. The recent partnership with Aston Villa Football Club also indicates potential for further growth and expansion. The company's P/E ratio is relatively high, suggesting that investors expect higher earnings in the future. However, the ongoing war in Ukraine and the potential for further economic disruption could pose risks. Additionally, the company's involvement in the transaction and payment processing industry could be affected by changes in AI technology and regulations.</t>
  </si>
  <si>
    <t>Score: 75
Raymond James has shown a strong performance with a PE Ratio of 13.53, which is lower than the industry average, indicating that it is undervalued. The company's recent merger with Solus Trust could potentially increase its market share and profitability. The firm's forward dividend yield of 1.58% is also attractive for income-focused investors. However, the ongoing war in Ukraine and the potential for further economic disruption could pose risks to the company's performance. The firm's involvement in the AI sector, particularly in finance, could provide growth opportunities given the current trends in AI adoption and capabilities.</t>
  </si>
  <si>
    <t>Score: 75
Revvity's recent launch of new preclinical imaging technologies indicates a strong potential for growth and innovation in the healthcare sector, which aligns with the current trend of AI adoption in healthcare. The company's financial data shows a stable performance with a reasonable P/E ratio and a healthy market cap. However, the ongoing war in Ukraine and its potential impact on global economies, along with the Federal Reserve's rate hikes, introduce some uncertainty into the investment landscape. Therefore, while Revvity presents a promising investment opportunity, these macroeconomic factors slightly dampen the potential investment value for the next month.</t>
  </si>
  <si>
    <t>Score: 75
Dover Corporation (DOV) is a solid investment choice in the Industrial Machinery &amp; Supplies &amp; Components industry. The company's recent product launch indicates its commitment to innovation and market leadership. Furthermore, the company's involvement in AI, a rapidly growing sector, is a positive sign. The firm's financial data shows a healthy market cap and a reasonable P/E ratio, suggesting that the stock is fairly valued. The company's dividend yield also provides an additional income stream for investors. However, the ongoing war in Ukraine and its impact on global supply chains could pose a risk to the company's operations and profitability. Additionally, the recent downgrade of federal debt could potentially impact the overall market sentiment.</t>
  </si>
  <si>
    <t>Score: 75
Republic Services operates in an industry that is resilient to economic conditions, providing stability in the face of the current economic uncertainties. The company's strong pricing power, high barriers to entry, and consistent recognition as a great place to work all contribute to its investment potential. Furthermore, the company's financial data shows a healthy market cap, a reasonable P/E ratio, and a stable dividend yield. However, the ongoing war in Ukraine and potential supply chain disruptions could pose some risks. Additionally, while AI trends are promising, they may not directly impact Republic Services' operations in the short term.</t>
  </si>
  <si>
    <t>Score: 75
Domino's Pizza (DPZ) presents a strong investment opportunity in the restaurant industry. The company's recent upgrade to a Zacks Rank #1 (Strong Buy) and positive outlook from financial analysts like Jim Cramer indicate a bullish sentiment. The restaurant industry is experiencing a resurgence in consumer demand, which is likely to benefit Domino's. The company's upcoming earnings webcast and presentation at the Piper Sandler Growth Frontiers Conference could provide further positive catalysts. However, the ongoing war in Ukraine and its impact on global economies, along with the potential for increased inflation, could pose risks. The company's relatively high P/E ratio also suggests that the stock may be overvalued, which could limit its upside potential.</t>
  </si>
  <si>
    <t>Score: 75
Darden Restaurants has a strong financial position with a high dividend yield of 3.51%, which is attractive during times of market uncertainty. The company's forward P/E ratio of 16.92 suggests that the stock is reasonably valued given its earnings growth outlook. The firm's high free cash flows and a market cap of 17.976B indicate a stable financial position. However, the ongoing war in Ukraine and the potential for further economic disruption could pose risks. The company's exposure to rising energy prices and potential supply chain disruptions due to the conflict could impact its operations and profitability. Additionally, the restaurant industry may face challenges if the COVID-19 pandemic worsens. However, the company's strong financials and the potential for increased consumer spending as the economy continues to recover from the pandemic could provide support for the stock.</t>
  </si>
  <si>
    <t>Score: 75
Moody's Corporation has a strong market position in the Financial Exchanges &amp; Data industry, with a market cap of $62.195B and a forward P/E ratio of 29.76, indicating expected earnings growth. The appointment of a new General Counsel could bring fresh perspectives and strategies to the company. However, the ongoing war in Ukraine and the potential for further economic disruption, along with the Federal Reserve's aggressive rate hikes, could pose challenges. The company's involvement in AI, a sector expected to see significant growth, is a positive factor. The score reflects these considerations.</t>
  </si>
  <si>
    <t>Score: 75
Rockwell Automation's recent acquisition of Clearpath Robotics, a leader in autonomous robotics for industrial applications, positions the company well for future growth, especially considering the increasing adoption and capabilities of AI in various sectors. The company's financials are also solid, with a healthy market cap and a reasonable P/E ratio. However, the ongoing war in Ukraine and its potential impact on global supply chains, as well as the recent downgrade of federal debt, introduce some uncertainty and risk.</t>
  </si>
  <si>
    <t>Score: 75
Dexcom operates in the healthcare sector, which is expected to benefit from the increasing adoption of AI. The company has shown strong growth potential, with its G6 CGM system and Omnipod 5 AID system simplifying diabetes management and improving health outcomes. Despite facing competition from GLP-1 agonist drugs, Dexcom has managed to allay concerns about the impact of weight-loss drugs on its diabetes devices, leading to a surge in its stock. The company's financials also look promising, with a market cap of $41.398B and a forward P/E ratio of 62.11, indicating expected earnings growth. However, the ongoing war in Ukraine and potential supply chain disruptions could pose risks. Therefore, while Dexcom presents a good investment opportunity, these factors have been considered in the score.</t>
  </si>
  <si>
    <t>Score: 75
Electronic Arts (EA) has shown strong performance with its recent releases, setting a single-week franchise record for digital units sold with Madden NFL 24 and preparing for the launch of EA SPORTS UFC 5. The company's financial data also shows a healthy market cap and a reasonable P/E ratio. However, the ongoing war in Ukraine and the potential for further economic disruption could impact consumer spending on entertainment, which may affect EA's performance. Additionally, the company's high forward P/E ratio suggests that investors have high expectations for the company's future earnings, which could be a risk if these expectations are not met.</t>
  </si>
  <si>
    <t>Score: 75
eBay's integration of AI into its marketplace, its inclusion in the list of best e-commerce stocks, and its presentation at the Goldman Sachs Communacopia &amp; Technology Conference 2023 all indicate a positive outlook for the company. The firm's financial data also shows a stable performance with a reasonable P/E ratio and a decent market cap. However, the ongoing war in Ukraine and its potential impact on global economies, including the U.S., could introduce some uncertainty into the market. The company's Beta of 1.35 also suggests it is more volatile than the market. Therefore, while eBay shows promise, these factors lead to a slightly reduced score.</t>
  </si>
  <si>
    <t>Score: 75
Everest Re Group, Ltd. (EG) has shown strong performance and growth attributes, which are positive indicators for potential investors. The company's decision to increase its regular quarterly dividend from $1.65 to $1.75 per common share is a positive sign of its financial health and commitment to returning capital to shareholders. The company's PE Ratio (TTM) of 12.51 is relatively low, suggesting that the stock may be undervalued given the company's earnings. The company's Beta (5Y Monthly) of 0.61 indicates that the stock is less volatile than the market, which could be attractive to risk-averse investors. However, the ongoing war in Ukraine and its impact on global economies, as well as the potential for further interest rate hikes by the Federal Reserve, could introduce some uncertainty and risk. Therefore, while Everest Re Group, Ltd. (EG) appears to be a solid investment, these macroeconomic factors have led to a slightly reduced score.</t>
  </si>
  <si>
    <t>Score: 75
Elevance Health operates in the Managed Health Care industry, which is expected to benefit from the ongoing adoption of AI in healthcare. The company's focus on expanding the capabilities of its Carelon platform and its philanthropic efforts to improve health outcomes through nutrition align with current trends and societal needs. 
The company's financials are also strong, with a market cap of 106.187B, a PE ratio of 16.76, and an EPS of 26.88. The company's stock has a 1-year target estimate of 569.75, indicating potential for growth. 
However, the ongoing war in Ukraine and its impact on global economies, along with the potential for increased inflation and a slowdown in GDP growth in the U.S., could create some uncertainty in the market. This is reflected in the score of 75, indicating a good but not excellent investment opportunity.</t>
  </si>
  <si>
    <t>Score: 75
Fair Isaac Corporation (FICO) operates in the application software industry, which is expected to benefit from the mainstream adoption and increased capabilities of AI. The company's financial data shows a healthy market cap of $22.457B and a forward P/E ratio of 37.45, suggesting that the market has positive expectations for its future earnings growth. The company's stock is also within its 52-week high range, indicating a strong market performance. However, the ongoing war in Ukraine and the potential for further economic disruptions could pose risks to the company's performance. Additionally, the Federal Reserve's aggressive interest rate hikes could increase borrowing costs and potentially impact the company's profitability. Therefore, while Fair Isaac presents a promising investment opportunity, these macroeconomic factors have led to a slightly reduced score.</t>
  </si>
  <si>
    <t>Score: 75
Emerson Electric (EMR) presents a solid investment opportunity given the current economic climate. The company's strong financial performance, with a trailing P/E ratio of 17.73 and forward P/E of 20.28, indicates good earnings potential. The company's market cap of $56.97B and enterprise value of $55.41B further underscore its stability. 
The company's presence in the Electrical Components &amp; Equipment industry aligns well with the ongoing adoption of AI in various sectors, including manufacturing. As AI continues to permeate these sectors, companies like Emerson, which are likely to integrate these advancements, could see a boost in their profitability.
However, the ongoing war in Ukraine and its impact on global economies, including potential disruptions in supply chains, could pose challenges. Additionally, the recent downgrade of federal debt by Fitch could create some market volatility. 
Overall, while there are some risks, Emerson's strong financials and the positive outlook for AI integration in its industry make it a potentially valuable investment.</t>
  </si>
  <si>
    <t>Score: 75
EOG Resources has a strong financial position with a net cash positive balance sheet, which is a rarity in the Oil &amp; Gas Exploration &amp; Production industry. The company's strategic preparation for the next natural gas swing also indicates forward-thinking and potential for growth. However, the ongoing war in Ukraine and its impact on global economies, including spikes in energy prices and supply chain disruptions, could pose challenges. The company's high P/E ratio also suggests that its stock might be overpriced. Despite these concerns, EOG's strong financial health and strategic positioning make it a potentially valuable investment.</t>
  </si>
  <si>
    <t>Score: 75
EPAM Systems has shown strong performance with a market cap of 15.542B and an enterprise value of 13.71B. The company's recent recognition as the 2023 Google Cloud Social Impact Partner of the Year for its UkraineNow solution indicates its ability to leverage technology for significant social impact, which could enhance its reputation and market position. However, the ongoing war in Ukraine could potentially disrupt its operations, given the company's involvement in the region. The company's P/E ratio is relatively high, suggesting that the stock may be overvalued. However, the company's involvement in AI and cloud services, sectors expected to grow, could provide potential for future growth. The Federal Reserve's interest rate hikes could increase borrowing costs and potentially slow economic growth, which may impact EPAM's performance. However, the company's strong financials and position in growing sectors provide a positive outlook.</t>
  </si>
  <si>
    <t>Score: 75
Equinix's position as a leading player in the data center REITs industry, coupled with the ongoing digital transformation trends and the increasing adoption of AI, makes it a potentially strong investment. The company's recent participation in the Global AI Conference and the appointment of a new CMO could signal strategic moves towards leveraging AI and enhancing its market presence. 
However, the macroeconomic conditions present some risks. The ongoing war in Ukraine and its impact on global economies could potentially affect Equinix's operations and financial performance. The Federal Reserve's aggressive rate hikes and the downgrade of federal debt could also create a challenging environment for REITs. 
The company's financials show a high PE ratio, indicating a premium valuation, which could limit the upside potential in the short term. However, the company's stable beta and the forward dividend yield provide some level of security. 
Overall, while Equinix presents a promising investment opportunity in the longer term, the current macroeconomic uncertainties and the company's valuation suggest a more cautious short-term outlook.</t>
  </si>
  <si>
    <t>Score: 75
Eaton Corporation has a strong market capitalization of $94.096B and a forward P/E ratio of 24.21, indicating that the market expects good growth from the company. The company's EPS of 6.76 also suggests a healthy profitability. However, the ongoing war in Ukraine and the potential for further economic disruption, along with the recent downgrade of federal debt, introduce some uncertainty into the market. The company's high PEG ratio of 2.42 also suggests that it may be overvalued relative to its earnings growth. Nevertheless, the company's involvement in the Electrical Components &amp; Equipment industry could benefit from the growing adoption and capabilities of AI, particularly in sectors like manufacturing. Therefore, while there are some risks, Eaton Corporation appears to have solid potential for investment.</t>
  </si>
  <si>
    <t>Score: 75
Expeditors International has shown strong financial performance with a history of consistent dividend growth, low debt-to-equity ratio, and strong cash flow. The company's technicals suggest rising prices over time. The firm's market cap of $17.073B and enterprise value of $15.80B indicate a solid financial standing. The P/E ratio is reasonable, suggesting the stock is not overvalued. However, the ongoing war in Ukraine and its impact on global supply chains could pose a risk to the company's operations in the short term. The firm's involvement in the Air Freight &amp; Logistics industry could also be affected by the Federal Reserve's rate hikes, which could increase operational costs. Despite these potential challenges, the firm's strong fundamentals and the growing adoption of AI in various sectors, including logistics, suggest a positive outlook.</t>
  </si>
  <si>
    <t>Score: 75
Quanta Services (PWR) has a strong market position in the infrastructure sector, which is expected to see continued demand. The company's solid backlog and strategic acquisitions further strengthen its prospects. However, high operational costs and a relatively high P/E ratio suggest some caution. The ongoing war in Ukraine and its impact on global economies could potentially affect the company's supply chains and increase costs. On the other hand, the company's involvement in long-term projects, such as infrastructure, may provide some insulation against short-term economic fluctuations. The company's financials show a healthy market cap and enterprise value, indicating a strong market presence. The forward P/E ratio is significantly lower than the trailing P/E, suggesting that the market expects the company's earnings to grow. The company's beta is slightly above 1, indicating that the stock is somewhat more volatile than the market, which could mean higher potential returns but also higher risk.</t>
  </si>
  <si>
    <t>Score: 75
Phillips 66's potential investment value is relatively high due to several factors. The ongoing war in Ukraine has caused spikes in energy prices, which could benefit oil and gas companies like Phillips 66. The company's financial data also shows promising signs, with a low P/E ratio indicating that the stock may be undervalued. The company's EPS is also robust, suggesting strong profitability. However, the overall economic outlook, including the potential for zero growth in the fourth quarter and persistent inflation, may pose risks. Additionally, the company's high beta indicates a higher level of volatility, which could lead to potential losses. Therefore, while the company has strong potential, these risks lead to a score of 75 out of 100.</t>
  </si>
  <si>
    <t>Score: 75
Diamondback Energy's recent joint venture with Five Point Energy to create a water infrastructure network in the oil-rich Permian in Texas is a positive development. This venture, along with a $500 million payment and a retained 30% equity interest, indicates potential for growth and profitability. The company's stock has been performing well, with a positive premarket trade increase. 
The ongoing war in Ukraine has caused spikes in energy prices, which could benefit Diamondback Energy as an oil and gas exploration and production company. The company's financial data shows a healthy market cap and enterprise value, and a low P/E ratio, suggesting it is undervalued. 
However, the Federal Reserve's sharp rate hikes and the potential for further inflation could pose risks. Additionally, the persistent COVID-19 pandemic and its potential impact on global economies and energy demand add uncertainty. 
Overall, Diamondback Energy appears to be a solid investment in the short term, but investors should monitor macroeconomic factors closely.</t>
  </si>
  <si>
    <t>Score: 75
HCA Healthcare has shown solid growth attributes and has been positively viewed by Wall Street analysts. The company's financial data shows a healthy market cap of 74.186B and a reasonable PE Ratio of 13.48. The company's EPS of 20.23 is also a positive sign. The healthcare sector is expected to benefit from the advancements in AI, and HCA Healthcare could potentially capitalize on this trend. However, the ongoing war in Ukraine and its potential impact on the global economy, along with the recent downgrade of federal debt by Fitch, introduce some uncertainty into the investment landscape. Therefore, while HCA Healthcare presents a good investment opportunity, these macroeconomic factors slightly dampen the potential investment value.</t>
  </si>
  <si>
    <t>Score: 75
Pinnacle West has shown strong performance in the past, outperforming the broader utility index ETF by 25% over the last 20 months. Despite a poor earnings report in Q2-2023, the stock has remained resilient. The company's financial data shows a healthy market cap of 8.717B and a forward P/E ratio of 15.43, indicating that the stock may be undervalued. The company's beta of 0.47 suggests it is less volatile than the market, which could be a positive sign for investors looking for stability amidst the ongoing economic uncertainties. However, the ongoing war in Ukraine and its potential impact on energy prices could pose a risk to Pinnacle West's performance. Additionally, the company's high Enterprise Value/EBITDA ratio of 11.41 suggests it may be overvalued on a cash flow basis. Therefore, while Pinnacle West has potential, investors should proceed with caution.</t>
  </si>
  <si>
    <t>Score: 75
Prudential Financial has shown strong strategic moves recently, including the formation of Prismic Life Reinsurance with Warburg Pincus and a group of investors. This venture, along with the appointment of Kathleen Murphy to the Board of Directors and Eric Adler to lead PGIM Private Alternatives, indicates a proactive approach to diversifying and strengthening their business model. 
The company's financial data also shows a healthy market cap and a reasonable P/E ratio. The forward dividend yield of 5.26% is attractive for income-focused investors. 
However, the ongoing war in Ukraine and the potential for further economic disruption, along with the persistent inflation, could pose risks to the company's performance. The company's involvement in AI is not clear from the provided information, which could be a missed opportunity given the sector's growth potential. 
Overall, Prudential Financial appears to be a solid investment, but investors should monitor geopolitical and economic developments closely.</t>
  </si>
  <si>
    <t>Score: 75
The Hartford Financial (HIG) has a strong buy rating, with positive indicators such as reasonable valuation compared to the sector average, dividend growth, year-over-year earnings growth, and overall company financial health. The company's net outflows are also improving. The firm's strength in its Commercial Lines and Group Benefits businesses, along with a strong financial position, make it well-poised for growth. The company's financial data, including a PE Ratio of 11.52 and a forward dividend yield of 2.38%, further support this positive outlook. However, the ongoing war in Ukraine and potential disruptions in global economies, along with the Federal Reserve's sharp rate hikes, may introduce some volatility and risk.</t>
  </si>
  <si>
    <t>Score: 75
The Home Depot's stock presents a good investment opportunity, with a few caveats. The company has demonstrated resilience in the face of economic downturns and has a strong cash flow, enabling it to pay above-average dividends and buy back shares. The aging housing supply also benefits Home Depot, as it is a leader in serving professionals. However, the company is facing challenges due to declining consumer sentiment, high rates, and poor economic growth. The demand for DIY products has been hit, impacting the company's stock performance. The ongoing war in Ukraine and its impact on global economies, including the U.S., could further affect Home Depot's performance. However, the company's strong fundamentals and strategic investments to boost long-term performance make it a relatively safe bet for investors.</t>
  </si>
  <si>
    <t>Score: 75
JPMorgan Chase has shown strong performance and growth, with a stable investment outlook. The company's exploration of blockchain technology for cross-border payments and settlement could potentially provide a significant competitive advantage. The acquisition of First Republic has also boosted its net income and stock performance. However, the ongoing war in Ukraine and the potential for further economic slowdown could pose risks. The company's high cash reserves may provide some buffer against these risks. The firm's P/E ratio is relatively low, suggesting that the stock could be undervalued. However, the banking sector has faced some headwinds recently, which could impact JPMorgan's performance in the short term.</t>
  </si>
  <si>
    <t>Score: 75
Marathon Oil's potential investment value is relatively high due to several factors. The extension of Saudi Arabia's production cuts should push oil prices higher, which could benefit Marathon Oil. The company's financial data also looks promising, with a low P/E ratio indicating that the stock could be undervalued. The company's EPS is also strong, suggesting good profitability. However, the ongoing war in Ukraine and the potential for further disruptions in global supply chains could pose risks. Additionally, the company's high beta indicates a higher level of volatility, which could lead to larger price swings.</t>
  </si>
  <si>
    <t>Score: 75
Moderna's recent collaboration with Immatics for cancer research and development, along with its updated COVID-19 vaccine showing effectiveness against new variants, indicate potential for growth. However, the ongoing war in Ukraine and its impact on global economies, along with the Federal Reserve's rate hikes, introduce some uncertainty. The company's financials show a healthy market cap and volume, but a relatively high P/E ratio suggests the stock may be overvalued. The company's involvement in AI in healthcare, a growing trend, also adds to its potential.</t>
  </si>
  <si>
    <t>Score: 75
Keysight Technologies, Inc. is well-positioned in the Electronic Equipment &amp; Instruments industry, with a focus on radio frequency innovation for various applications, including 5G/6G and IoT. This aligns with the current trend of AI and tech advancements, which could potentially boost the company's growth. The company's financial data shows a stable performance with a reasonable P/E ratio and a positive EPS. However, the ongoing war in Ukraine and its impact on global supply chains, along with the potential for increased interest rates, could pose risks. Therefore, while Keysight presents a good investment opportunity, these factors slightly reduce its potential investment value for the next month.</t>
  </si>
  <si>
    <t>Score: 75
Merck &amp; Co. presents a promising investment opportunity, given the positive developments in its product pipeline, including the promising potential of Sotatercept for PAH and the approval of its Ebola vaccine for children in Europe. The company's participation in key conferences also indicates active engagement with the investment community. However, the ongoing battle with the Biden Administration over the Inflation Reduction Act introduces some uncertainty. The company's financials are solid, with a healthy market cap and a reasonable P/E ratio. The firm's involvement in AI, particularly in drug development and treatment, could also provide a competitive edge. However, the broader economic context, including the ongoing war in Ukraine and potential disruptions in global supply chains, may introduce some risk.</t>
  </si>
  <si>
    <t>Score: 75
KLA Corporation has shown strong financial performance with a market cap of 66.651B and a forward dividend yield of 1.04%. The company has recently increased its quarterly dividend and expanded its stock buyback program, indicating confidence in its financial stability and future prospects. The company's P/E ratio is reasonable, suggesting the stock is not overvalued. However, the ongoing war in Ukraine and its impact on global supply chains could pose risks to the semiconductor industry. Additionally, the Federal Reserve's rate hikes could increase borrowing costs and potentially slow down economic growth. These factors somewhat temper the investment potential of KLA Corporation.</t>
  </si>
  <si>
    <t>Score: 75
Marathon Petroleum's strong performance, aggressive share repurchase program, and elevated crack spreads make it an attractive investment. The company's low P/E ratio indicates it may be undervalued, and its strong EPS suggests profitability. However, the ongoing war in Ukraine and potential for further economic disruption, along with the Federal Reserve's aggressive rate hikes, introduce some uncertainty. The company's involvement in the energy sector, which has seen price spikes due to the conflict, could be a double-edged sword, potentially driving profits but also introducing volatility.</t>
  </si>
  <si>
    <t>Score: 75
Molina Healthcare (MOH) presents a promising investment opportunity, given its recent acquisition of My Choice Wisconsin, which has expanded its customer base. The company's solid growth attributes and upcoming Q3 earnings release also contribute to its potential. However, the ongoing war in Ukraine and its impact on global economies, along with the potential for increased regulatory scrutiny due to AI ethical concerns, may pose risks. The company's P/E ratio is relatively high, suggesting that the stock may be overvalued. However, its strong EPS and market cap, along with a low beta, indicate stability and potential for growth.</t>
  </si>
  <si>
    <t>Score: 75
Coca-Cola Company (KO) remains a strong investment option due to its robust financial performance, consistent dividend payouts, and its status as a blue-chip stock. The company's strong brand and global presence provide a competitive advantage, making it resilient to economic downturns. The company's forward P/E ratio of 20.66 suggests that the stock is reasonably valued given its earnings growth outlook. 
However, the ongoing war in Ukraine and the potential for increased inflation could pose risks to the company's performance. The war has caused disruptions in global supply chains, which could impact Coca-Cola's operations and increase costs. Additionally, higher inflation could reduce consumer purchasing power and affect Coca-Cola's sales. 
The company's involvement in AI, particularly in streamlining manufacturing processes, could potentially improve margins and provide a competitive advantage. However, the ethical implications of AI use could pose a risk, and it will be important for the company to demonstrate ethical AI practices. 
Overall, while there are some risks to consider, Coca-Cola's strong financial performance, dividend history, and resilience make it a good investment option.</t>
  </si>
  <si>
    <t>Score: 75
Kenvue Inc. presents a promising investment opportunity due to several factors. The company has a strong brand portfolio with high market recognition, which is a positive indicator for its future performance. The recent upgrade by Deutsche Bank and the company's status as a long-term dividend payer further enhance its attractiveness. Despite initial struggles post-spinoff, Kenvue is projected to have long-term growth. However, the company's high PE ratio and the ongoing macroeconomic uncertainties, such as the war in Ukraine and inflation, slightly dampen the investment outlook.</t>
  </si>
  <si>
    <t>Score: 75
Leidos, a Fortune 500 science and technology leader, has shown promising developments recently. The company's promotion of Amy Smith to Senior Vice President of Government Affairs could strengthen its relationship with the government, potentially leading to more contracts. The renewal of its contract with Casepoint for eDiscovery services and the full cloud deployment of the Department of Defense's Automated Biometrics Information System (ABIS) are positive indicators of the company's ongoing projects and partnerships.
Financially, Leidos has a stable market cap of $13.114B and a reasonable PE Ratio of 18.58. The company's stock is within its 52-week range, and it has a forward dividend yield of 1.50%, which could attract income-focused investors. 
However, the ongoing war in Ukraine and the potential economic impact should be considered as it could affect the company's performance. The company's involvement in sectors like defense and technology could be influenced by geopolitical tensions. 
Moreover, the company's advancements in technology, particularly in AI and cloud deployment, align with the current trend of AI adoption in various sectors. This could potentially boost the company's growth and profitability in the long run. 
Therefore, considering the company's recent developments, financial stability, and alignment with AI trends, a score of 75 is assigned, indicating a good potential investment value for the next month. However, investors should monitor geopolitical developments and their potential impact on the company.</t>
  </si>
  <si>
    <t>Score: 75
Lennar Corporation has a strong investment potential for the next month. The company's financial data shows a healthy market cap of 33.929B and a low P/E ratio of 8.17, indicating that the stock is undervalued. The company's EPS of 14.63 is also a positive sign of its profitability. 
Moreover, the company has recently achieved key milestones in its luxury communities, indicating potential growth in its operations. The fact that Warren Buffett has taken a position in Lennar also adds credibility to the company's investment potential. 
However, the rising Treasury yield and the potential for increased mortgage rates could pose a challenge to the homebuilding industry. Additionally, fears of a housing market crash could impact investor sentiment. 
The ongoing war in Ukraine and its impact on global economies could also introduce some volatility in the market. However, the overall economic outlook for the U.S. is positive, with GDP growth and a low unemployment rate. 
Therefore, while there are some risks associated with investing in Lennar, the company's strong financial performance and positive developments make it a potentially good investment for the next month.</t>
  </si>
  <si>
    <t>Score: 75
L3Harris Technologies appears to be a promising investment based on several factors. The company's recent contract wins, robust backlog, and revenue guidance indicate strong performance potential. The company's undervaluation and potential for aggressive dividend growth make it an attractive option for dividend investors. The company's involvement in diverse business segments, including high space exposure, could provide a hedge against sector-specific risks. However, external challenges such as supply chain disruptions and inflation, as well as the ongoing conflict in Ukraine, could pose risks. The company's relatively high P/E ratio suggests that it may be overvalued, but its low PEG ratio indicates that its earnings growth could justify its current valuation.</t>
  </si>
  <si>
    <t>Score: 75
Linde plc, a key player in the industrial gases industry, is well-positioned to benefit from the ongoing green hydrogen boom, which is expected to be worth $75.72 billion by 2030. The company's financial data shows a healthy market cap of 189.765B and a forward P/E ratio of 25.45, indicating future earnings growth. The company's beta of 0.86 suggests it is less volatile than the market, which could be beneficial in the current uncertain economic climate. However, the ongoing war in Ukraine and its impact on global supply chains, as well as the potential for further Federal Reserve rate hikes, could pose risks. Therefore, while Linde plc presents a promising investment opportunity, these factors have led to a slightly reduced score.</t>
  </si>
  <si>
    <t>Score: 75
Lockheed Martin's recent developments in AI and its continued role in defense and aerospace make it a promising investment. The ongoing conflict in Ukraine and increased global defense spending suggest a continued demand for Lockheed's products. However, the company's lowered forecast for F-35 jet deliveries and the delay in its updated Technology Refresh jets are concerning. The company's strong financial performance, consistent dividend growth, and attractive valuation are positive indicators. The company's involvement in AI, a growing sector, also adds to its potential. However, the overall economic uncertainty and potential impacts of the war in Ukraine on global economies warrant a degree of caution.</t>
  </si>
  <si>
    <t>Score: 75
Lowe's has shown a strong performance with a year-to-date increase of 14.07% and a positive earnings per share (EPS) of 10.34. The company's strategic partnerships, such as the one with The Toro Company, and its renewal of the NFL partnership indicate a proactive approach to business growth and customer engagement. The company's participation in the Goldman Sachs 30th Annual Global Retailing Conference also suggests a positive outlook. However, the company faces stiff competition from Home Depot, which has a higher profit margin and dividend yield. The ongoing war in Ukraine and the persistent COVID-19 pandemic may also impact Lowe's due to potential supply chain disruptions and changes in consumer spending habits. The company's shoplifting issue, which cost it $1 billion, also raises concerns about its operational efficiency.</t>
  </si>
  <si>
    <t>Score: 75
Lam Research Corporation (LRCX) is a leading player in the Semiconductor Materials &amp; Equipment industry, which is expected to benefit from the ongoing digital transformation and AI advancements. The company's recent recognition of its 2023 Supplier Excellence Awards indicates a resilient and scalable supply chain, which is crucial given the current global supply chain disruptions. 
However, the ongoing war in Ukraine and the potential economic fallout, coupled with the Federal Reserve's aggressive rate hikes, could create headwinds for the company. Additionally, the company's exposure to China, where the economy is reportedly stalling, could pose risks. 
The company's financials look solid with a reasonable P/E ratio and a forward dividend yield of 1.20%. The company's stock has also been outperforming other stocks in the Computer and Technology sector this year. However, the company's high beta indicates a higher level of volatility compared to the market, which could mean potential for higher returns but also higher risk. 
In conclusion, while there are some risks associated with the current macroeconomic environment, Lam Research's strong position in a growing industry and solid financials make it a potentially good investment.</t>
  </si>
  <si>
    <t>Score: 75
Marsh McLennan (MMC) has shown strong performance with a market cap of 96.593B and a forward P/E ratio of 23.04, indicating expected earnings growth. The company's recent announcement of a $1.6 billion senior notes offering suggests a strong financial position and potential for future expansion. The appointment of a new US Chief Investment Officer also indicates a strategic move to strengthen its investment outcomes. 
However, the ongoing war in Ukraine and the potential for increased inflation could impact the company's performance. The insurance industry could face increased claims due to disruptions in supply chains and spikes in energy prices. 
On the positive side, MMC's business, Mercer, predicts a rise in health benefit costs, which could lead to increased demand for their insurance products. Furthermore, the company's involvement in AI, particularly in reshaping retirement and investment outcomes, aligns with current market trends and could provide a competitive advantage. 
Overall, while there are some macroeconomic risks, MMC's strong financial position, strategic moves, and alignment with market trends suggest a good potential for investment.</t>
  </si>
  <si>
    <t>Score: 75
Lamb Weston (LW) presents a solid investment opportunity in the Packaged Foods &amp; Meats industry. The company has a strong momentum and value score according to Zacks Style Scores, indicating a positive trend. The company's financial data shows a healthy P/E ratio of 14.22, a forward P/E of 20.62, and a PEG ratio of 0.87, suggesting that the stock is reasonably priced given its earnings growth expectation. The company's Beta of 0.54 indicates less volatility than the market, which could be a positive sign for risk-averse investors. However, the ongoing war in Ukraine and its impact on global supply chains could pose a risk to the company's operations. Additionally, the company's high Enterprise Value/EBITDA ratio of 15.87 suggests that it might be overvalued. Therefore, while LW has strong fundamentals, potential macroeconomic risks have led to a slightly reduced score.</t>
  </si>
  <si>
    <t>Score: 75
LyondellBasell's current financial position and future prospects make it a potentially good investment. The company's focus on sustainable and renewable-centric business models aligns with the current market trends and could provide a competitive edge. The firm's strong dividend yield and share buyback program are attractive to investors. However, the ongoing war in Ukraine and its impact on global economies, including potential disruptions in supply chains, could pose risks. The company's decision to close a production unit also indicates potential challenges. The company's P/E ratio is relatively low, suggesting it could be undervalued. However, the company's high Enterprise Value/EBITDA ratio could indicate overvaluation. Overall, while there are some risks, the company's strong focus on sustainability and attractive shareholder benefits make it a potentially good investment.</t>
  </si>
  <si>
    <t>Score: 75
Mastercard's potential investment value is relatively high due to several factors. The company's recent partnership with KredX to enhance B2B payments indicates a proactive approach to digitization and innovation, which is crucial in the current economic climate. The company's strong financial performance, with a market cap of 391.188B and a forward P/E ratio of 28.57, suggests stability and potential for growth. However, the ongoing war in Ukraine and its impact on global economies, along with the persistent inflation, could pose challenges. The company's involvement in AI, a sector expected to see significant growth, also adds to its investment appeal. However, the recent controversy over reported fee hikes and the subsequent denial by Mastercard could create some uncertainty among investors.</t>
  </si>
  <si>
    <t>Score: 75
MGM Resorts has shown promising growth and expansion in its online gaming and sports betting operations, which is a rapidly growing market in the US. The company's recent launch of the Buffalo slot in New Jersey and plans to expand to other states indicate a proactive approach to capturing market share. The company's participation in the Bank of America Gaming and Lodging Conference also suggests potential for positive news and partnerships. However, the ongoing war in Ukraine and its impact on global economies, along with the Federal Reserve's rate hikes, could pose risks to consumer discretionary spending and the overall performance of the stock. The company's high P/E ratio also suggests that the stock may be overvalued. Therefore, while MGM Resorts shows strong potential for growth, these factors introduce some uncertainty.</t>
  </si>
  <si>
    <t>Score: 75
Medtronic's strong financial performance, secure dividend, and involvement in the AI-driven healthcare sector make it a promising investment. The company's robust market cap and positive earnings per share indicate financial stability. Furthermore, the company's participation in the Wells Fargo 2023 Healthcare Conference suggests active engagement in industry developments. However, the ongoing war in Ukraine and potential supply chain disruptions, along with the broader economic uncertainty, slightly dampen the investment outlook.</t>
  </si>
  <si>
    <t>Score: 75
Mondelez International has shown strong performance amidst economic uncertainty, with a 17.7% revenue increase and a 23.2% rise in operating income in H1 2023. The company has a reliable 2.21% dividend yield and a payout ratio below 50%, indicating a strong financial position. The company's strong brand recognition and growth potential make it a good investment. However, the ongoing war in Ukraine and potential market volatility in September may pose risks. The company's P/E ratio is also relatively high, suggesting that the stock may be overvalued.</t>
  </si>
  <si>
    <t>Score: 75
McDonald's has shown resilience in the face of challenging macroeconomic conditions. The company's affordable food items, menu innovation, and digital strength have been highlighted as key strengths. Analysts from Wells Fargo have upgraded the stock to "overweight" from "equal weight", indicating a positive outlook. Furthermore, the company's stock has been identified as one that could help kickstart the Dow, suggesting potential for growth. The company's P/E ratio is relatively high, indicating that investors are willing to pay a higher price for the stock due to expected future earnings growth. However, the ongoing war in Ukraine and its impact on global economies, as well as potential inflationary pressures, could pose risks. Therefore, while McDonald's shows strong potential, these factors have been considered in the score.</t>
  </si>
  <si>
    <t>Score: 75
Microchip Technology's recent launch of the MPLAB Machine Learning Development Suite, which allows developers to integrate Machine Learning into microcontrollers and microprocessors, is a positive development. This aligns with the current trend of AI adoption across various sectors, potentially boosting the company's profitability. The company's active participation in technology conferences also indicates a strong market presence and potential for future partnerships or deals. 
However, the ongoing war in Ukraine and its impact on global supply chains could pose a risk to the company's operations. The company's relatively high P/E ratio also suggests that its stock might be overvalued. Despite these risks, the company's strong market cap and its position in the growing AI and semiconductor industry make it a potentially good investment.</t>
  </si>
  <si>
    <t>Score: 75
Morgan Stanley's potential investment value is relatively high due to several factors. The firm is well-positioned to navigate the current economic climate, with strong results expected next year as dealmaking on Wall Street picks up and asset management businesses gain momentum. The firm's move to integrate AI in its operations, such as launching an AI chatbot for wealthy clients, indicates its adaptability and forward-thinking approach, which is a positive sign for investors. The firm's involvement in potential deals, such as the sale of data centres by Altice, also suggests potential growth opportunities. However, the firm's previous wrong calls on the stock market and government bonds indicate some level of risk. The ongoing war in Ukraine and its impact on global economies, including potential disruptions in supply chains, also add to this risk.</t>
  </si>
  <si>
    <t>Score: 75
Johnson &amp; Johnson (J&amp;J) is a solid investment choice given the current economic climate. The company's diversified portfolio, which includes pharmaceuticals, medical devices, and consumer health products, provides a level of stability in the face of economic uncertainty. The company's strong presence in the healthcare sector, which is known for its resilience, further supports its investment potential. 
Despite facing challenges such as the Inflation Reduction Act and competition from other pharmaceutical companies, J&amp;J has demonstrated its ability to adapt and innovate. The company's recent advancements in AI and its potential applications in healthcare could provide a significant competitive advantage and drive future growth. 
However, the company's recent controversies, such as the alleged vaccine price inflation in South Africa and the unauthorized data access incident, could potentially harm its reputation and stock value. 
Furthermore, the company's high P/E ratio indicates that its stock might be overvalued, which could limit its potential for price appreciation. 
Overall, while J&amp;J faces some risks, its strong fundamentals, potential for growth in AI applications in healthcare, and its status as a Dividend King make it a relatively safe and potentially rewarding investment.</t>
  </si>
  <si>
    <t>Score: 75
Sherwin-Williams has shown strong performance with a 16% increase in share price year-to-date, driven by robust demand and expansion of its retail footprint. The company's financials are solid, with a market cap of $70.221B and a forward P/E ratio of 25.84, indicating expected earnings growth. The company's EPS of 9.01 also suggests profitability. However, the ongoing war in Ukraine and potential supply chain disruptions could pose risks. The company's high PEG ratio of 2.72 suggests that it may be overvalued relative to its earnings growth. The company's involvement in the Specialty Chemicals industry could also be impacted by the current economic climate, with potential for increased costs due to inflation and supply chain disruptions. However, the overall economic recovery and low unemployment rate could support consumer spending and demand for Sherwin-Williams' products.</t>
  </si>
  <si>
    <t>Score: 75
MSCI Inc. is a leading provider of critical decision support tools and services for the global investment community. The company's participation in the Barclays Global Financial Services Conference and its inclusion in the list of stocks benefiting from the steady expansion in the services sector are positive indicators. The company's financial data shows a healthy market cap of 42.276B and a forward P/E ratio of 35.71, suggesting that the market expects earnings growth. However, the ongoing war in Ukraine and the potential for increased inflation could introduce some volatility and risk. The company's involvement in AI, a sector expected to see significant growth, could provide a competitive advantage. However, the high P/E ratio indicates that the stock may be overvalued, which is why the score is not higher.</t>
  </si>
  <si>
    <t>Score: 75
Huntington Ingalls Industries (HII) presents a solid investment opportunity in the current economic climate. The ongoing war in Ukraine and the geopolitical tensions it has caused could potentially increase demand for defense and aerospace products, benefiting companies like HII. The company's participation in the upcoming Morgan Stanley conference could also provide positive exposure and potentially lead to increased investor interest. 
HII's financials are also strong, with a reasonable P/E ratio of 16.13, indicating that the stock is not overvalued. The company's market cap of 8.368B and enterprise value of 11.20B further underscore its financial stability. The company's dividend yield of 2.35% is also attractive for income-focused investors. 
However, the score is not higher due to the overall economic uncertainty, including the potential impact of the war in Ukraine on global economies and supply chains, as well as the recent downgrade of federal debt by Fitch. These factors could potentially lead to market volatility and impact HII's stock performance.</t>
  </si>
  <si>
    <t>Score: 75
Hilton Worldwide has a strong growth potential, as indicated by the Zacks Style Scores. The company's partnership with Tesla to install 20,000 EV chargers at 2,000 of its hotels in the US, Canada, and Mexico is a positive development, likely to attract more customers, especially those who own electric vehicles. This move could also enhance Hilton's brand image as a forward-thinking and environmentally conscious company. 
However, the ongoing war in Ukraine and the persistent COVID-19 pandemic could potentially impact the hospitality industry negatively, affecting travel and tourism. The company's high P/E ratio also suggests that its stock might be overvalued. 
The Federal Reserve's rate hikes could increase borrowing costs, potentially affecting Hilton's expansion plans and profitability. The downgrade of federal debt could also lead to increased uncertainty in the financial markets, potentially affecting stock prices. 
Overall, while Hilton has strong growth potential and is making strategic investments, there are significant risks that could affect its performance.</t>
  </si>
  <si>
    <t>Score: 75
Honeywell's recent collaborations and advancements in technology, particularly in quantum computing encryption and sustainable aviation, indicate a strong potential for growth. The company's involvement in diverse sectors such as aerospace and data security aligns well with the current economic trends, including the rise of AI and the need for enhanced cybersecurity. Furthermore, Honeywell's financial data shows a stable performance with a reasonable P/E ratio and a decent dividend yield. However, the ongoing war in Ukraine and its potential impact on global supply chains, along with the general economic uncertainty, may pose some risks. Therefore, while Honeywell presents a promising investment opportunity, these factors slightly moderate the investment score.</t>
  </si>
  <si>
    <t>Score: 75
Hewlett Packard Enterprise (HPE) presents a promising investment opportunity based on the provided data. The company's positive momentum, as indicated by the analyst with an 83% accuracy rate, suggests potential for a 17% upside. The company's P/E ratio is reasonable, and its forward P/E indicates that the company is expected to grow its earnings, which is a positive sign for investors. The company's beta of 1.27 suggests it is slightly more volatile than the market, but this could provide opportunities for higher returns. The company's dividend yield of 2.77% is also attractive for income-focused investors. However, the ongoing war in Ukraine and the potential for further economic disruption could pose risks to the company's performance. Additionally, the company's involvement in the technology sector, particularly in areas like AI, could provide growth opportunities given the current trends in AI adoption and capabilities.</t>
  </si>
  <si>
    <t>Score: 75
HP Inc. presents a solid investment opportunity in the current economic climate. The company's recent collaboration with Miro to enhance digital workspace productivity aligns with the ongoing trend of remote work and digital transformation, which has been accelerated by the COVID-19 pandemic. This could potentially boost HP's revenues and profitability in the near term.
Moreover, the company's financials look robust with a reasonable PE ratio, a healthy dividend yield, and a stable beta. The company's market cap and enterprise value also suggest a strong market position. The endorsement from Warren Buffet further strengthens the investment case for HP.
However, the ongoing war in Ukraine and its impact on global supply chains could pose a risk to HP, given its reliance on global manufacturing and supply chains. The company could face potential disruptions that could impact its operations and financial performance. 
Furthermore, while AI trends are promising, it's unclear how much HP is investing in or benefiting from these trends, which could limit its growth potential in the longer term. 
Overall, while there are some risks, HP's strong market position, robust financials, and strategic initiatives make it a relatively good investment opportunity in the current economic climate.</t>
  </si>
  <si>
    <t>Score: 75
ONEOK's potential acquisition of Magellan Midstream Partners, which has been recommended by leading proxy advisory firms, could strengthen its position in the Oil &amp; Gas Storage &amp; Transportation industry. The company's strong dividend yield of 5.90% is attractive for investors seeking income during uncertain times. The company's P/E ratio is relatively low, suggesting it could be undervalued. However, the ongoing war in Ukraine and its impact on energy prices, along with the potential for further inflation and interest rate hikes, add a degree of risk. The company's high beta also suggests it is more volatile than the market.</t>
  </si>
  <si>
    <t>Score: 75
Hershey's presents a solid investment opportunity given the current economic climate. The company's strong financial performance, low beta, and consistent dividend yield make it a stable investment in uncertain times. The packaged food industry tends to be resilient during economic downturns, and Hershey's strong brand and market position further enhance its stability. The company's potential for long-term outperformance, as indicated by AI stock-picking platforms, also adds to its attractiveness. However, the ongoing war in Ukraine and its impact on global supply chains could pose challenges, and the recent downgrade of federal debt could increase borrowing costs. These factors prevent a higher score.</t>
  </si>
  <si>
    <t>Score: 75
Humana's financial data shows a stable and promising outlook. The company's PE Ratio is 17.55, which is relatively low, indicating that the stock may be undervalued. The forward P/E is even lower at 14.56, suggesting that earnings are expected to grow. The company's Beta is 0.66, indicating less volatility than the market, which could be a safe bet in the current uncertain economic climate. 
The ongoing partnership with Texas A&amp;M University for the healthcare analytics case competition indicates a commitment to innovation and data-driven decision making, which is a positive sign for future growth. 
However, the broader economic context does present some risks. The ongoing war in Ukraine and its impact on global economies could potentially affect Humana's operations or bottom line. The tightening labor market could also pose challenges in terms of staffing and operational costs. 
In the context of AI, Humana could potentially benefit from the trend of AI in healthcare, using AI for diagnosis, drug development, and treatment. However, this would depend on the company's ability to effectively integrate and leverage AI technology. 
Overall, while there are some risks due to the broader economic context, Humana's financial data and commitment to innovation suggest a relatively high potential investment value.</t>
  </si>
  <si>
    <t>Score: 75
IBM has shown strong performance this year with a bullish trend in its stock price, soaring over 24% from its lowest level in May. The company's 4.50% yield is attractive, and it has been making significant strides in the AI space, which is a growing sector with high potential for returns. IBM's recent introduction of new generative AI models and capabilities could position it well for future growth. However, the recent data incident involving unauthorized access to personal information in the Janssen CarePath platform is a concern and could potentially impact the company's reputation and stock performance. The company's P/E ratio is also relatively high, which could indicate that the stock is overvalued. However, given the company's strong performance and promising developments in AI, the potential investment value of IBM is relatively high.</t>
  </si>
  <si>
    <t>Score: 75
NVR, Inc. has a strong investment potential for the next month. The company has been added to the Zacks Rank #1 (Strong Buy) list and has been recognized by Warren Buffet as a promising investment. The company's perfected asset-light business model and its position as one of the largest homebuilders in the U.S. contribute to its potential. However, the ongoing war in Ukraine and the potential for supply chain disruptions could pose risks. The company's financial data shows a healthy market cap and a reasonable P/E ratio, indicating a stable financial position. However, the company's volume is relatively low, which could indicate a lack of liquidity. The company does not offer a dividend, which could be a downside for income-focused investors.</t>
  </si>
  <si>
    <t>Score: 75
Nvidia, a leading player in the semiconductor industry, is well-positioned to benefit from the ongoing advancements in AI and the increasing demand for AI in various sectors such as healthcare, manufacturing, and self-driving cars. The company's strong foothold in these areas could drive its stock value. However, the ongoing war in Ukraine and its impact on global supply chains could pose a risk to Nvidia's operations. The company might also be affected by the Federal Reserve's rate hikes and the potential economic slowdown predicted for the fourth quarter. Despite these challenges, Nvidia's potential in the AI market makes it a valuable investment.</t>
  </si>
  <si>
    <t>Score: 75
Nucor's strong performance, low earnings multiple, and the ongoing nonresidential construction boom make it an attractive investment. The company's resilience in the face of a manufacturing slowdown and its position to benefit from government policies supporting the steel industry further bolster its investment potential. However, the broader economic context, including the potential for zero growth in the fourth quarter, persistent inflation, and the ongoing conflict in Ukraine, introduces some uncertainty. The company's high beta also suggests it may be more volatile than the overall market.</t>
  </si>
  <si>
    <t>Score: 75
Norfolk Southern Railway has shown strong financial performance over the years, with a healthy P/E ratio and a stable dividend yield. The company's recent $8 million investment in DrayNow, Inc. indicates a proactive approach to improving customer experience and enhancing shipment transparency. This could potentially lead to increased revenues and customer loyalty in the future. However, the ongoing war in Ukraine and its impact on global supply chains could pose a risk to the company's operations. The company's high beta also indicates a higher level of volatility compared to the overall market. Despite these risks, the company's strong financials and strategic investments make it a potentially valuable investment.</t>
  </si>
  <si>
    <t>Score: 75
Intuit's recent developments in AI, specifically the launch of its Generative AI-based feature, Intuit Assist, could potentially boost its performance in the coming months. This aligns with the current trend of AI adoption across various sectors. However, the company's recent legal issues with the FTC over deceptive advertising practices could negatively impact its reputation and customer trust, potentially affecting its short-term performance. The company's financials are strong, with a high 1-year target estimate and a stable market cap. However, the high P/E ratio indicates that the stock might be overvalued. The ongoing war in Ukraine and its impact on global economies could also introduce some uncertainty into the investment.</t>
  </si>
  <si>
    <t>Score: 75
NRG Energy's potential investment value is relatively high due to several factors. The company has a differentiated business model that has demonstrated robust growth, and its multiples are compressed, suggesting a favorable risk/reward balance. The utilities sector, where NRG operates, offers predictability amidst the current macroeconomic uncertainty. The company's stock has also seen a 2.2% increase since its last earnings report, indicating positive momentum. However, the company's negative EPS and undefined P/E ratio suggest some financial instability, which tempers the investment score slightly.</t>
  </si>
  <si>
    <t>Score: 75
ServiceNow's strong position in the SaaS market, its lucrative partnership with NVIDIA, and its potential to benefit from the AI-driven rally in software stocks make it a promising investment. The company's high operating leverage and scalability suggest potential for significant profit growth. However, the company's high P/E ratio indicates that the stock may be overvalued, which could limit its short-term upside potential. Additionally, the ongoing war in Ukraine and the potential for further economic disruption could introduce additional risk.</t>
  </si>
  <si>
    <t>Score: 75
Northrop Grumman's strong position in the defense industry, recent contract wins, and growth potential in the space industry make it a promising investment. The ongoing geopolitical tensions, such as the war in Ukraine, could lead to increased defense spending, benefiting companies like Northrop Grumman. The company's financials are also solid, with a reasonable P/E ratio and a stable market cap. However, the overall economic uncertainty, potential impacts of the war in Ukraine on global economies, and the recent downgrade of federal debt could pose risks.</t>
  </si>
  <si>
    <t>Score: 75
IQVIA operates in the healthcare sector, which is expected to benefit from the increasing adoption of AI. The company's strong healthcare-specific global IT infrastructure and its addressable market size are positive indicators. The company's financials show a healthy market cap and enterprise value, and its forward P/E ratio suggests that the market has positive expectations for its future earnings. However, the ongoing war in Ukraine and the potential for further economic disruption, along with the general economic uncertainty, could pose risks. Therefore, while IQVIA seems to be a solid investment, these factors prevent a higher score.</t>
  </si>
  <si>
    <t>Score: 75
NiSource's stable cash flows, growing customer base, and significant infrastructure investment plans make it a promising investment. The company's stock has outperformed the U.S. Utility Index despite a 4.69% decline over the past six months, indicating resilience. The company's P/E ratio is reasonable, and its forward dividend yield of 3.71% is attractive. The utility sector's predictability could be beneficial given the current macroeconomic uncertainty. However, the ongoing war in Ukraine and potential supply chain disruptions could pose risks. The company's commitment to infrastructure investment could also be impacted by the Federal Reserve's rate hikes.</t>
  </si>
  <si>
    <t>Score: 75
Netflix has shown a strong performance with a robust growth trajectory and potential for additional revenue streams through its advertising venture. The company's management expects significant growth in the fourth quarter. The reappointment of Susan Rice to the board of directors could bring valuable experience and insight to the company. Furthermore, the company's stock is being heavily invested in by hedge fund managers, indicating strong confidence in its future performance. However, the ongoing war in Ukraine and the potential for increased inflation could pose risks to the company's performance. Additionally, the company's high P/E ratio suggests that the stock may be overvalued.</t>
  </si>
  <si>
    <t>Score: 75
NextEra Energy (NEE) presents a solid investment opportunity in the current economic climate. The company's strong financial performance, consistent dividend payouts, and positive outlook from Wall Street analysts contribute to its high score. The utilities sector, where NEE operates, offers stability amidst the ongoing macroeconomic uncertainties. Furthermore, NEE's involvement in AI, a rapidly growing sector, adds to its investment appeal. However, the ongoing war in Ukraine and its potential impact on energy prices, along with the recent interest rate hikes by the Federal Reserve, introduce some level of risk, preventing a higher score.</t>
  </si>
  <si>
    <t>Score: 75
Nordson Corporation has a strong financial position with a market cap of $13.337B and an enterprise value of $14.09B. The company's P/E ratio is 26.95, which is relatively high, indicating that investors are willing to pay a higher price because they expect the company to grow earnings. The company's EPS is 8.68, which is a good sign of the company's profitability. 
Moreover, Nordson has recently priced $850 million in notes, which could provide the company with additional capital for growth and expansion. The company's investments in automation and electronic product innovation, as well as its accretive acquisitions, are also positive signs for future growth. 
However, the ongoing war in Ukraine and its impact on global economies, including potential disruptions in supply chains, could pose risks to the company. The company's relatively high PEG ratio of 2.44 also suggests that the stock may be overvalued relative to its expected earnings growth.
In the context of AI, Nordson's investments in automation could potentially benefit from the mainstream adoption and increased capabilities of AI, which could boost the company's profitability and competitiveness in the long run.
Overall, while there are some potential risks, Nordson Corporation appears to be a solid investment with good growth potential.</t>
  </si>
  <si>
    <t>Score: 75
Jacobs Solutions has shown strong performance recently, securing significant contracts in Florida and Austin, which should provide a steady revenue stream over the next few years. The company's financials are also solid, with a reasonable P/E ratio and a healthy market cap. However, the broader economic context presents some risks. The ongoing war in Ukraine and its impact on global economies could potentially disrupt supply chains in the construction and engineering industry. Additionally, the Federal Reserve's aggressive rate hikes could increase borrowing costs and slow down infrastructure investment. Despite these risks, Jacobs Solutions' recent contract wins and solid financials make it a relatively attractive investment in the short term.</t>
  </si>
  <si>
    <t>Score: 75
Motorola Solutions has a strong market position in the communications equipment industry and is showcasing innovative video security solutions, which could potentially boost its revenues. The company's financials are solid, with a healthy market cap of $47.374B and a forward P/E ratio of 22.32, indicating expected earnings growth. The company's stock is trading within its 52-week range, and it has a reasonable beta of 0.92, suggesting less volatility than the market. However, the ongoing war in Ukraine and the potential for further economic disruption, along with the Federal Reserve's aggressive interest rate hikes, could create some uncertainty in the short term. Additionally, the company's high Price/Book ratio of 140.01 suggests the stock may be overvalued.</t>
  </si>
  <si>
    <t>Score: 75
Microsoft's potential investment value is relatively high due to several factors. The company's strong position in the Systems Software industry, coupled with the mainstream adoption and increased capabilities of AI, suggests a positive outlook. Microsoft's involvement in AI, particularly in areas like healthcare and manufacturing, could lead to increased demand and growth. 
However, the ongoing war in Ukraine and its impact on global economies, including potential disruptions in supply chains, could pose challenges. The recent downgrade of federal debt by Fitch could also impact investor sentiment. 
The company's financial data shows a healthy market cap and enterprise value, and a reasonable P/E ratio, suggesting that the company is valued appropriately in the market. However, the ongoing economic uncertainties and potential geopolitical risks warrant a slightly cautious approach, hence the score of 75 out of 100.</t>
  </si>
  <si>
    <t>Score: 75
Starbucks has a strong market presence with nearly 38,000 stores and a market cap of 109.397B. The company's recent spike in visits due to the launch of its fall-themed Pumpkin Spice Latte indicates a strong consumer base and potential for increased revenue in the short term. The company's forward P/E ratio of 23.42 suggests that the market has positive expectations for the company's future earnings growth. The dividend yield of 2.23% is also attractive for income-focused investors. However, the ongoing war in Ukraine and its impact on global supply chains could pose a risk to Starbucks, given its global operations. The company's high enterprise value to EBITDA ratio of 18.89 also suggests that the stock may be overvalued.</t>
  </si>
  <si>
    <t>Score: 75
DaVita Inc. has a strong value proposition, as indicated by the Zacks Style Scores. The company's financial data shows a stable performance with a reasonable PE ratio of 19.24, indicating that the stock is not overvalued. The company's Beta of 0.94 suggests that it is slightly less volatile than the market, which could be appealing to risk-averse investors. The company's EPS of 4.99 is also a positive sign of its profitability. 
Moreover, the ongoing adoption of AI in healthcare could potentially benefit DaVita, especially if the company is proactive in integrating AI into its operations. However, the broader economic context, including the ongoing war in Ukraine and the potential for zero growth in the fourth quarter, could introduce some uncertainty into the investment outlook. 
Therefore, while DaVita appears to be a solid investment, these broader economic factors have led to a slightly reduced score.</t>
  </si>
  <si>
    <t>Score: 75
McKesson's financial data and recent news suggest a positive investment outlook. The company's strong performance in the first quarter of fiscal 2024, optimistic full-year outlook, and potential for margin improvement are encouraging. The stock is currently trading below its intrinsic value, indicating potential for growth. The company's low P/E ratio compared to the industry average suggests it is undervalued. However, the ongoing war in Ukraine and potential supply chain disruptions, along with the persistent inflation, could pose risks. The company's involvement in the healthcare sector, which is expected to benefit from AI advancements, also adds to its investment appeal.</t>
  </si>
  <si>
    <t>Score: 75
W.R. Berkley (WRB) has shown strong performance with high retention, growth in premium rates, and effective capital deployment. The company's financial data shows a stable position with a reasonable PE Ratio (TTM) of 13.74, indicating that the stock is not overvalued. The company's market cap of 16.064B and enterprise value of 16.96B further demonstrate its solid financial standing. 
However, the ongoing war in Ukraine and the potential for further economic disruption could pose risks to the insurance industry, including Berkley. Additionally, the Federal Reserve's aggressive rate hikes could increase borrowing costs and impact profitability. 
On the positive side, the low unemployment rate and better-than-expected GDP growth could lead to increased consumer spending and business investment, potentially benefiting the insurance industry. 
In the context of AI, while it's not directly related to Berkley's core business, the company could potentially benefit from AI advancements in risk assessment and customer service, which could improve efficiency and profitability. 
Overall, Berkley's strong fundamentals and the generally positive economic outlook outweigh the potential risks, leading to a score of 75. However, investors should monitor the geopolitical situation and its potential impact on the economy and the insurance industry.</t>
  </si>
  <si>
    <t>Score: 75
Schlumberger (SLB) is in a favorable position given the current economic climate. The ongoing war in Ukraine has caused spikes in energy prices, which could benefit companies in the Oil &amp; Gas Equipment &amp; Services industry. The company's recent announcement of an expected $5 billion increase in revenue this year, along with similar growth projected for 2024, indicates a strong financial outlook. The company's P/E ratio is reasonable, and its forward P/E suggests that the market expects earnings growth. However, the company's high beta indicates a higher level of volatility, which could present risks. The recent rate hikes by the Federal Reserve could also impact the company's borrowing costs. Overall, while there are some risks, the potential benefits make Schlumberger a relatively attractive investment.</t>
  </si>
  <si>
    <t>Score: 75
Boston Scientific has recently received FDA approval for its latest-generation WATCHMAN FLX™ Pro Left Atrial Appendage Closure Device, which is a positive development for the company. This, along with growth in the legacy business and upbeat guidance, makes the company a promising investment. However, the ongoing war in Ukraine and its impact on global economies, along with the potential for increased inflation, could pose risks. The company's high PE ratio also suggests that its stock may be overvalued. Despite these concerns, the increasing adoption and capabilities of AI in healthcare could provide significant growth opportunities for Boston Scientific.</t>
  </si>
  <si>
    <t>Score: 75
United Rentals has shown strong performance with a 70% rally in its stock and is expected to continue reporting strong results, albeit at a slower growth rate. The company's success is driven by the supportive macroeconomic environment, including infrastructure projects and oil and gas drilling. The firm's financial data also indicates a healthy outlook, with a reasonable P/E ratio and a positive forward dividend yield. However, the ongoing war in Ukraine and potential supply chain disruptions, along with the Federal Reserve's rate hikes, may pose some risks. The company's involvement in the Trading Companies &amp; Distributors industry also means it could be affected by fluctuations in global trade and economic conditions.</t>
  </si>
  <si>
    <t>Score: 75
Ulta Beauty's recent strong performance, solid outlook, and attractive valuation make it a promising investment. The company's earnings and margin ranges for FY23 have been confirmed, and it is currently valued at levels last seen during COVID-19 and the GFC. Despite the challenging retail environment, Ulta has managed to deliver good numbers, suggesting resilience and strategic effectiveness. The firm's financial data also indicates a healthy market cap and reasonable P/E ratios. However, the ongoing war in Ukraine and potential supply chain disruptions, along with the general uncertainty in the global economy, introduce some risk. Therefore, while Ulta Beauty presents a good investment opportunity, these factors prevent a higher score.</t>
  </si>
  <si>
    <t>Score: 75
Ameriprise Financial has a strong position in the market with a market cap of 35.529B and a forward P/E ratio of 10.24, indicating that the stock may be undervalued. The company's recent partnership with Maps Credit Union to manage its investment program shows growth potential. The company's recognition as a "Best Place to Work for Disability Inclusion" for the fourth consecutive year also demonstrates a strong company culture, which can contribute to employee productivity and retention. However, the ongoing war in Ukraine and the potential for further economic disruption, as well as the recent downgrade of federal debt by Fitch, introduce some uncertainty into the investment outlook. The company's involvement in AI is not specified, but the overall trend towards AI adoption in the financial sector could present opportunities for Ameriprise.</t>
  </si>
  <si>
    <t>Score: 75
Tyler Technologies has shown strong performance with growth in SaaS and subscription revenue, exceeding 2Q23 expectations. The company's transition to cloud-based solutions and a healthy deal flow indicate a positive future outlook. However, the high P/E ratio suggests the stock may be overvalued, and the ongoing macroeconomic uncertainties, such as the war in Ukraine and inflation, could impact the company's performance. The company's involvement in AI, a sector expected to grow, is a positive sign. However, the lack of a dividend may deter income-focused investors.</t>
  </si>
  <si>
    <t>Score: 75
Amgen's recent clinical trial results and the FTC's clearance of its Horizon acquisition are positive developments. The company's strong product sales growth and its undervaluation also contribute to its investment potential. However, the high debt levels and potential impacts of the Inflation Reduction Act on the pharma industry are concerns. The ongoing war in Ukraine and its effects on global economies could also impact Amgen's performance. The company's involvement in AI in healthcare, a growing trend, could be a potential growth driver.</t>
  </si>
  <si>
    <t>Score: 75
Ametek's recent acquisition of United Electronic Industries, a leading provider of data acquisition and control solutions, positions the company well to capitalize on the growing demand in the aerospace, defense, energy, and semiconductor industries. This strategic move, coupled with the promotion of Dalip Puri to Senior Vice President, Operational Finance, signals a strong operational and financial management strategy.
The company's financial data shows a healthy market cap of $35.239B and a forward P/E ratio of 22.83, indicating that the market expects earnings growth. The company's EPS (TTM) of 5.34 and a 1-year target estimate of 173.46 also suggest potential for growth.
However, the ongoing war in Ukraine and its impact on global economies, including potential disruptions in supply chains, could pose risks. The company's Beta of 1.22 indicates it is somewhat more volatile than the market, which could lead to larger price swings in response to overall market changes.
The company's involvement in the Electrical Components &amp; Equipment industry could also benefit from the mainstream adoption and increased capabilities of AI, particularly in manufacturing. However, the recent rate hikes by the Federal Reserve and the downgrade of federal debt could create a more challenging environment for growth.
Overall, while there are some potential risks, Ametek's strategic positioning and solid financials suggest a good potential for investment in the short term.</t>
  </si>
  <si>
    <t>Score: 75
Caterpillar Inc. is a solid investment choice given the current economic climate. The company's strong financial performance, as indicated by its market cap of 144.711B and a forward P/E ratio of 13.72, suggests it is undervalued. The company's involvement in the industrial sector could benefit from the ongoing recovery from the COVID-19 pandemic and the Federal Reserve's slow approach to rate hikes. However, the ongoing war in Ukraine and its impact on global supply chains could pose a risk to Caterpillar's operations. Furthermore, the company's potential exposure to AI in manufacturing could provide a competitive advantage and drive growth. However, the lowered fourth-quarter GDP growth forecast and persistent inflation could pose challenges.</t>
  </si>
  <si>
    <t>Score: 75
Chubb Limited (CB) presents a solid investment opportunity in the current economic climate. The company's strong capital position, exposure growth, and better pricing strategies make it a promising choice in the Property &amp; Casualty Insurance industry. The company's commitment to boosting shareholder value through stock buybacks further enhances its attractiveness. 
The company's financial data also supports this positive outlook. With a 1-year target estimate of 239.89, a healthy EPS of 14.04, and a PE Ratio of 14.66, the company's fundamentals appear strong. The company's beta of 0.66 indicates less volatility compared to the market, which could be beneficial in the current uncertain economic environment. 
However, the ongoing war in Ukraine and persistent inflation could pose risks to the company's performance. Additionally, the recent downgrade of federal debt by Fitch could impact the overall market sentiment. Therefore, while Chubb Limited presents a good investment opportunity, these factors warrant a degree of caution.</t>
  </si>
  <si>
    <t>Score: 75
Bristol Myers Squibb has shown promising results in recent clinical trials, which could potentially lead to new revenue streams. The company's strong financials, with a market cap of $127.487B and a forward P/E of 7.70, suggest it is undervalued. The company also offers a decent dividend yield of 3.8%. However, the ongoing lawsuit alleging illegal tactics to maintain a drug monopoly could pose a risk. The pharmaceutical sector is not heavily influenced by AI, which could be a positive in the current economic climate where AI-related ethical concerns are growing. The war in Ukraine and its impact on global economies is a concern, but the healthcare sector is generally considered defensive and may be less affected by these macroeconomic factors.</t>
  </si>
  <si>
    <t>Score: 75
Cboe Global Markets has shown strong performance in its Q2 financial results, driven by rising revenues in the derivatives markets and Data &amp; Access solutions sectors. Despite some declines in other business segments, the overall financial health of the company appears robust. The company's PE Ratio is reasonable, suggesting it is not overvalued. The ongoing war in Ukraine and the potential for further economic disruption could introduce some volatility into the market, which could benefit a derivatives and securities exchange like Cboe. However, the Federal Reserve's aggressive rate hikes and the potential fallout from the downgrade of federal debt could introduce some uncertainty into the financial markets, which could impact Cboe's performance. The company's involvement in AI, a sector expected to see significant growth, could also provide a boost to its value. However, the ongoing COVID-19 pandemic and the potential for further disruptions to the global economy introduce some risk.</t>
  </si>
  <si>
    <t>Score: 75
Trane Technologies has shown strong revenue growth prospects and a consistent record of rewarding shareholders, which makes it a potentially good investment. The company's robust demand in the commercial HVAC business and its positioning to benefit from decarbonization and sustainability trends are positive indicators. However, the ongoing war in Ukraine and its impact on global economies, along with the recent Federal Reserve rate hikes, introduce some uncertainty into the market. The company's relatively high P/E ratio also suggests that its stock might be overvalued. Therefore, while Trane Technologies appears to be a solid company, these factors lead to a moderately high score rather than a very high one.</t>
  </si>
  <si>
    <t>Score: 75
Tractor Supply Company (TSCO) presents a solid investment opportunity given the current economic climate. The company's strong online presence and consistent demand for its products, coupled with its growth plans, position it well despite inflation and cost concerns. The company's commitment to supporting agriculture and its recognition of top vendor partners demonstrate its strategic focus on quality and collaboration. 
Moreover, TSCO's financial data shows promising signs. The company's 1-year target estimate is higher than its current price, suggesting potential for growth. Its P/E ratio is reasonable, indicating that the stock is not overvalued. The company's dividend yield of 1.90% is also attractive for income-focused investors. 
However, the ongoing war in Ukraine and its impact on global supply chains could pose risks. Additionally, the company's high Price/Book ratio suggests that the stock may be overvalued relative to its assets and liabilities. Therefore, while TSCO presents a good investment opportunity, these factors moderate the score to 75.</t>
  </si>
  <si>
    <t>Score: 75
Cadence Design Systems (CDNS) has a strong position in the Application Software industry, with a healthy demand for its diversified product portfolio and a positive outlook due to frequent product launches and strategic collaborations. The company's financial data shows a stable performance with a market cap of 65.394B and a forward P/E ratio of 41.49, indicating expected earnings growth. The company's stock is trading near its 52-week high, reflecting investor confidence. However, the ongoing war in Ukraine and the potential for further economic disruption, along with the Federal Reserve's aggressive rate hikes, could introduce volatility in the short term. Furthermore, the company's high PEG ratio of 3.05 suggests that the stock may be overvalued relative to its expected earnings growth. Therefore, while the company has strong fundamentals, these macroeconomic factors and valuation concerns moderate the investment score.</t>
  </si>
  <si>
    <t>Score: 75
Applied Materials (AMAT) is a solid investment choice based on the current economic outlook and the company's performance. The company's strong growth attributes, positive Wall Street views, and recent dividend announcement indicate a healthy financial position. However, the ongoing war in Ukraine and potential disruptions in supply chains, along with the company's exposure to China's economy, present some risks. The company's involvement in the semiconductor industry also aligns with the growing trend of AI adoption, which could drive future growth. However, the company's relatively high P/E ratio suggests that the stock may be overvalued, which could limit its short-term investment potential.</t>
  </si>
  <si>
    <t>Score: 75
Celanese Corporation, a specialty chemicals company, has shown a positive performance with a 0.8% increase since its last earnings report. The company's financial data indicates a healthy market cap of 13.682B and a reasonable PE ratio of 10.79. The company's EPS stands at 11.65, which is a good sign of profitability. The forward dividend yield of 2.25% is also attractive for income-focused investors. 
However, considering the macroeconomic factors, there are some concerns. The ongoing war in Ukraine has caused disruptions in supply chains, which could potentially impact Celanese's operations. Additionally, the Federal Reserve's aggressive rate hikes could increase borrowing costs for the company. 
On the positive side, the company could benefit from the lower inflation due to falling energy prices, as it could reduce its production costs. The tight labor market could potentially be a challenge, but the recent signs of a better balance between labor supply and demand could mitigate this issue. 
In the context of AI, while Celanese is not directly involved in AI technology, the advancements and cost efficiencies in AI could potentially benefit the company in terms of operational efficiency and cost savings. 
Overall, while there are some macroeconomic challenges, Celanese's strong financial performance and potential benefits from AI advancements contribute to a relatively high investment value score.</t>
  </si>
  <si>
    <t>Score: 75
CF Industries is showing strong performance with shares up 19% in the last 3 months, driven by healthy nitrogen fertilizer demand and lower natural gas costs. The company's financial data shows a healthy market cap of 15.98B and a low P/E ratio of 6.82, indicating that the stock is undervalued. The company's EPS is also strong at 12.15. However, the ongoing war in Ukraine and its impact on global supply chains could pose a risk to the company's performance. The company's involvement in the Fertilizers &amp; Agricultural Chemicals industry could also be affected by the state of AI, particularly in manufacturing, which could streamline processes and improve margins. However, the company's score is not higher due to the potential risks associated with the ongoing geopolitical situation and the uncertainty of the impact of AI on the industry.</t>
  </si>
  <si>
    <t>Score: 75
Church &amp; Dwight's recent performance and future outlook appear promising. The company's Q2 2023 results exceeded expectations, driven by organic sales growth and improved margins. Despite management's guidance suggesting a deceleration in the latter half of the year, there are potential factors that may lead to better-than-expected results. The company's stock is trading within its 52-week range, and its forward P/E ratio suggests that the market has positive expectations for the company's future earnings growth. The company's low beta indicates that its stock is less volatile than the market, which could be attractive to risk-averse investors. However, the ongoing war in Ukraine and its impact on global economies, including potential disruptions in supply chains, could pose risks to the company's performance.</t>
  </si>
  <si>
    <t>Score: 75
T-Mobile US has a strong market position in the wireless telecommunication services industry and is making strategic moves to enhance shareholder value, such as initiating a dividend payment and a $19 billion shareholder return program. The company's focus on cost management and profitability expansion is commendable. However, the dividend yield is lower than its competitors, and the market reaction to the dividend announcement was mixed. The company's P/E ratio is relatively high, suggesting that the stock may be overvalued. The ongoing war in Ukraine and the potential for further economic disruption could also impact T-Mobile's performance. However, the company's involvement in 5G technology, a key area of growth, is a positive factor.</t>
  </si>
  <si>
    <t>Score: 75
Broadridge Financial Solutions has shown strong performance recently, with a 3.8% increase since its last earnings report. The company has been recognized as a leader in digital platforms for regulatory investor communications, indicating a strong position in its industry. The company's recent appointment of co-presidents for its Investor Communication Solutions business also suggests a strategic move to strengthen this area. The company's consistent dividend growth and its position to benefit from the growing outsourcing industry further enhance its investment potential. However, the ongoing war in Ukraine and the potential for further economic disruption, along with the high P/E ratio, suggest some level of risk.</t>
  </si>
  <si>
    <t>Score: 75
BlackRock's recent ventures into new areas such as cryptocurrency and electric vehicle battery recycling, along with its strong performance in the face of a volatile bond market, suggest a robust and adaptable business strategy. The firm's recent major shareholder announcement and its investment in a digital transformation program in healthcare also indicate a willingness to diversify its portfolio and invest in future growth areas. However, the ongoing war in Ukraine and the potential for further economic disruption, along with the recent downgrade of federal debt, may pose risks to BlackRock's performance in the short term. Furthermore, the firm's P/E ratio is relatively high, suggesting that its stock may be overvalued.</t>
  </si>
  <si>
    <t>Score: 75
Cincinnati Financial (CINF) has shown a positive trend with a 9% gain in the recent quarter. The company's solid capital position, consistent cash flow, and agent-focused business model are driving factors for its growth. The firm's exposure growth and better pricing, along with the increase in interest rates, are expected to deliver operational excellence and better returns for investors. The company's P/E ratio is relatively low at 12.42, indicating that the stock could be undervalued. The firm's forward dividend yield of 2.86% is also attractive for income-focused investors. However, the ongoing war in Ukraine and its potential impact on the global economy, along with the persistent inflation, add a level of uncertainty to the investment outlook. Therefore, while the company has strong fundamentals, these macroeconomic factors have led to a slightly reduced score.</t>
  </si>
  <si>
    <t>Score: 75
Ansys is a leading player in the 3D engineering and AI sector, which is expected to grow significantly in the coming years. The company's recent partnership with F1 in Schools to provide CFD simulation solutions for student teams in 58 countries is a positive development, indicating its commitment to fostering innovation and expanding its user base. 
The company's financials are also strong, with a market cap of $27.231B and a PE ratio of 53.09, indicating investor confidence. The stock's 1-year target estimate is $339.86, suggesting potential for growth. However, the ongoing war in Ukraine and the potential for further economic disruption could pose risks. 
The company's involvement in sectors like aerospace, automotive, energy, and semiconductors, which could be affected by supply chain disruptions due to the war, should also be considered. Therefore, while Ansys has strong potential, these factors introduce some uncertainty, leading to a score of 75.</t>
  </si>
  <si>
    <t>Score: 75
Atmos Energy's potential investment value is relatively high due to several factors. The company is in the Gas Utilities industry, which could benefit from the ongoing war in Ukraine that has caused spikes in energy prices. The company's financial data shows a stable performance with a reasonable P/E ratio, suggesting it is not overvalued. The company also appears to be a good defensive play in the current economic climate, with a low beta and a decent dividend yield. However, the Federal Reserve's aggressive rate hikes and the potential for a recession in 2024 introduce some uncertainty, which is why the score is not higher.</t>
  </si>
  <si>
    <t>Score: 75
AvalonBay Communities (AVB) has shown strong performance with a 5.3% increase in Same Store Residential rental revenue for the two months ended August 31, 2023, which is above the company's expectations. The company has also increased its full-year guidance, indicating confidence in its future performance. The firm operates in coastal markets, which are seeing strong demand and lower supply, potentially boosting AVB's profitability. 
However, the broader economic context presents some risks. The Federal Reserve's aggressive rate hikes could increase borrowing costs for REITs like AVB, potentially impacting their profitability. The ongoing war in Ukraine and its impact on global economies could also introduce uncertainty and volatility in the market. 
In the AI sector, while AVB may not directly benefit, the mainstream adoption of AI could indirectly boost demand for housing in tech hubs, potentially benefiting AVB. 
Overall, while there are some risks, AVB's strong performance and positive outlook suggest it could be a good investment.</t>
  </si>
  <si>
    <t>Score: 75
Broadcom Inc. has a strong financial position with a market cap of 350.631B and a forward P/E ratio of 19.01, indicating potential for growth. The company's focus on generating strong free cash flow for dividend growth, share buybacks, and strategic acquisitions is a positive sign for investors. The upcoming acquisition of VMware could also provide a significant boost to the company's performance. However, the ongoing war in Ukraine and the potential for further sanctions on semiconductors could pose risks. Additionally, the slowing Chinese economy could impact Broadcom's performance, as it has significant exposure to this market. The company's involvement in AI and the growing adoption of this technology across various sectors could provide opportunities for growth. However, the lack of an "AI boost" in Q3 results may be a concern for some investors.</t>
  </si>
  <si>
    <t>Score: 75
Air Products and Chemicals (APD) has a strong position in the industrial gases industry and has recently secured a significant contract with the city of Montreal, indicating a positive outlook for the company. The company's involvement in the growing green hydrogen market also presents potential for future growth. However, the ongoing war in Ukraine and its impact on global supply chains could pose risks to the company's operations. The company's financials are solid, with a healthy market cap and a reasonable P/E ratio, but the high Enterprise Value/EBITDA ratio suggests the company might be overvalued. The company's commitment to dividends is also a positive sign for investors. The score reflects these factors.</t>
  </si>
  <si>
    <t>Score: 75
American Water Works (AWK) presents a solid investment opportunity in the current economic climate. The company's commitment to infrastructure upgrades and its active participation in industry events demonstrate a proactive approach to maintaining and improving its services. The firm's financial data shows stability, with a low beta indicating less volatility than the market. The company's forward P/E ratio suggests that the market has positive expectations for its future earnings. However, the ongoing war in Ukraine and its impact on global economies, including potential disruptions in supply chains, could pose risks. Additionally, the recent rate hikes by the Federal Reserve could increase borrowing costs for the company. Therefore, while AWK shows promise, these factors introduce some uncertainty, hence the score of 75.</t>
  </si>
  <si>
    <t>Score: 75
Axon Enterprise has shown strong performance recently, with a significant jump in its cloud segment revenue and beating estimates on both top and bottom lines. The company's workplace culture and employee experience have also been recognized, which can contribute to its overall performance and growth. The company's stock is currently trading near its 52-week high, indicating strong investor confidence. However, the ongoing war in Ukraine and the potential for further economic disruption could introduce some volatility and risk. Additionally, the company's high P/E ratio suggests that it may be overvalued at its current price. Therefore, while Axon Enterprise appears to be a strong company with good growth potential, these factors introduce some uncertainty that slightly reduces its investment score.</t>
  </si>
  <si>
    <t>Score: 75
The Williams Companies (WMB) is a solid investment option in the Oil &amp; Gas Storage &amp; Transportation industry. The company has a stable financial position with a market cap of $41.06B and an enterprise value of $65.03B. It also offers a high dividend yield of 5.29%, which is attractive for income-oriented investors. The company's P/E ratio is 15.14, which is reasonable and suggests that the stock is not overvalued. 
However, the ongoing war in Ukraine and its impact on global energy prices could introduce volatility in the company's performance. The company's CEO has also indicated a lack of interest in certain acquisitions, which could limit its growth potential. 
On the positive side, the company is well-positioned to benefit from the increasing need for energy infrastructure and the transition towards cleaner energy sources. The company's stock has rallied by 12%, indicating positive market sentiment. 
In the context of AI, while it's not directly related to the company's core business, advancements in AI could potentially help the company improve its operational efficiency and cost-effectiveness in the future. 
Overall, while there are some risks associated with geopolitical tensions and market volatility, the company's strong financials, high dividend yield, and positive market sentiment make it a good investment option.</t>
  </si>
  <si>
    <t>Score: 75
Aon's stock has shown a promising growth trend over the past year, with a 14% increase. The company's strategic investments in technology and talent, as well as its improving operations in multiple regions, suggest potential for continued growth. The appointment of a former Aon executive to a senior role in a reinsurance solutions broker could also provide valuable industry insights and strengthen leadership, potentially benefiting Aon. 
However, the broader economic context presents some uncertainties. The ongoing war in Ukraine and its impact on global economies, including potential disruptions in supply chains, could pose risks. Additionally, the Federal Reserve's aggressive rate hikes and the recent downgrade of federal debt could create a more challenging environment for businesses. 
In the AI sector, Aon could potentially benefit from the mainstream adoption of AI and its increased capabilities, particularly in areas like cost efficiency. However, the ethical implications of AI also present potential risks that need to be monitored. 
Overall, while Aon has strong growth potential, these broader economic and industry risks moderate the investment value slightly.</t>
  </si>
  <si>
    <t>Score: 75
AutoZone's strong financial position, stable sector, and increasing demand for its products due to the aging vehicle fleet in the US make it a solid investment. The company's low beta indicates that it's less volatile than the market, which could be beneficial in the current uncertain economic climate. However, the ongoing war in Ukraine and its impact on global supply chains could pose a risk, as could the rise of electric vehicles. The company's high enterprise value compared to its market cap suggests it's expected to grow, but its P/E ratio indicates it may be slightly overvalued. The upcoming earnings date could also introduce volatility.</t>
  </si>
  <si>
    <t>Score: 75
Vertex Pharmaceuticals has a strong position in the biotech industry, with a solid base of revenue from its cystic fibrosis medicines and potential for growth in other areas. The company's financial data shows a healthy market cap and a reasonable P/E ratio, suggesting it is not overvalued. The company's efforts to expand its product portfolio could yield significant financial results. However, the ongoing war in Ukraine and its impact on global economies, as well as potential regulatory changes related to AI ethics, could introduce some uncertainty and risk. Therefore, while Vertex Pharmaceuticals presents a promising investment opportunity, these factors slightly reduce its potential investment value for the next month.</t>
  </si>
  <si>
    <t>Score: 75
Booking Holdings has a strong market position and has recently partnered with Affirm to offer flexible payment options, which could potentially attract more customers. The company's financial data shows a healthy market cap and a reasonable P/E ratio, suggesting it is not overvalued. However, the ongoing war in Ukraine and the potential for further economic disruption could pose risks. The company's involvement in the travel industry could also be affected by any changes in the COVID-19 situation. The AI trends for 2023 suggest potential growth in the tech sector, but it's unclear how much this will benefit Booking Holdings directly.</t>
  </si>
  <si>
    <t>Score: 75
Verisign has shown steady growth in domain name registrations, a key indicator of its business health. The company's financials are solid, with a market cap of $20.867B and a trailing P/E ratio of 30.56, indicating a fairly valued stock. The company's beta of 0.96 suggests it is slightly less volatile than the market. However, the ongoing war in Ukraine and potential economic slowdown in the fourth quarter pose risks. The company's involvement in AI is not clear, which could be a missed growth opportunity given the sector's potential.</t>
  </si>
  <si>
    <t>Score: 75
Arista Networks has shown strong performance recently, with a significant 26% increase in stock value in August and better-than-expected earnings. The company's increased revenue guidance for the year and an analyst upgrade also contribute to a positive outlook. The company's participation in the growing AI and tech sector could potentially benefit from the current economic climate, despite the ongoing war in Ukraine and the COVID-19 pandemic. However, the company's high P/E ratio and the general economic uncertainty warrant a degree of caution.</t>
  </si>
  <si>
    <t>Score: 75
Verisk's recent developments, such as the release of a predictive SRCC data model and a report on natural catastrophe losses, indicate the company's active role in providing valuable insights in the insurance industry. This, coupled with the steady expansion in the services sector, suggests a positive outlook for the company. However, the high P/E ratio and Price/Book value indicate that the stock is currently overvalued, which may limit its short-term growth potential. The ongoing war in Ukraine and the potential for further global economic disruption also add a degree of uncertainty to the investment.</t>
  </si>
  <si>
    <t>Score: 75
Becton Dickinson (BDX) is a solid investment in the healthcare equipment industry. The company's recent strategic collaboration with Navigate BioPharma Services to develop and commercialize flow cytometry-based companion diagnostics and tools for clinical decisions is a positive development. This partnership could accelerate the delivery of innovative personalized therapies, which could potentially boost BDX's revenues and profitability.
Moreover, the company's financials are strong, with a market cap of $77.883B and an enterprise value of $93.24B. The company's P/E ratio is relatively high at 48.63, indicating that investors are willing to pay a high price for its earnings, which suggests confidence in the company's future growth prospects. The company's forward P/E of 19.49 is much lower, indicating that earnings are expected to grow in the future.
However, the ongoing war in Ukraine and the potential for further economic disruption could pose risks to BDX's performance. Additionally, the company's high enterprise value to EBITDA ratio of 21.00 suggests that the company may be overvalued.
Overall, given the positive developments in the company and the broader adoption of AI in healthcare, BDX appears to be a good investment in the healthcare equipment industry. However, investors should be mindful of the potential risks posed by the ongoing geopolitical tensions and the company's valuation.</t>
  </si>
  <si>
    <t>Score: 75
Amazon's potential investment value remains high despite the current economic climate. The company's robust business model, diversified revenue streams, and strong position in the e-commerce market make it resilient to economic downturns. Furthermore, Amazon's ongoing investments in AI and technology could drive future growth. However, the ongoing war in Ukraine and the potential for increased regulatory scrutiny pose risks. The company's high PE ratio also suggests that its stock may be overvalued.</t>
  </si>
  <si>
    <t>Score: 75
VICI Properties seems to be in a strong position with a recent increase in its regular quarterly dividend, a sign of financial health and confidence in future earnings. The company's support for the Las Vegas Super Bowl Host Committee Charities and its release of an Environmental Sustainability, Social Responsibility, and Corporate Governance Report indicate a commitment to social responsibility, which can be attractive to investors. The acquisition of four properties in Alberta, Canada, suggests expansion and growth. 
However, the ongoing war in Ukraine and its impact on global economies, including potential disruptions in supply chains, could pose risks. The Federal Reserve's sharp rate hikes could also impact borrowing costs and real estate investment trust (REIT) valuations. 
The company's P/E ratio is relatively low, suggesting the stock may be undervalued. The company's market cap is substantial, and its enterprise value indicates a solid business model. The company's beta is less than 1, suggesting the stock is less volatile than the market. 
However, the lack of a PEG ratio makes it difficult to assess the company's future growth prospects. The company's Price/Sales and Enterprise Value/Revenue ratios are relatively high, suggesting the stock may be overpriced relative to its sales and revenue. 
Overall, VICI Properties appears to be a solid investment with some potential risks.</t>
  </si>
  <si>
    <t>Score: 75
Walmart's potential investment value is relatively high due to several factors. The company's consistent omnichannel initiatives and efforts to enhance customer experiences have resulted in comp sales growth. Walmart's size and distribution network also make it better positioned to handle inflation's impact on consumer spending. The company's decision to lower starting wages for some roles could potentially lead to cost savings. However, the ongoing war in Ukraine and its impact on global economies, including potential disruptions in supply chains, could pose challenges. Additionally, the company's lowered starting wages could potentially lead to labor issues in the future. The company's strong presence in the e-commerce sector, which is expected to grow, adds to its investment value.</t>
  </si>
  <si>
    <t>Score: 75
Biogen's recent strategic moves, including the acquisition of Reata Pharmaceuticals and the appointment of a new head of research, indicate a strong commitment to growth and innovation. The FDA approval of Leqembi, a treatment for Alzheimer's Disease, and the potential of other drugs in the pipeline, such as SKYCLARYS and Cemdomespib, suggest promising future revenue streams. The company's financials are also solid, with a reasonable P/E ratio and a healthy market cap. However, the ongoing war in Ukraine and its impact on global economies, as well as potential regulatory and ethical issues related to AI in healthcare, introduce some uncertainty. Therefore, while Biogen presents a good investment opportunity, these risks prevent a higher score.</t>
  </si>
  <si>
    <t>Score: 75
BNY Mellon's recent launch of Bankify, an open banking payments solution, indicates the company's innovative approach to banking and its ability to adapt to the changing financial landscape. This could potentially attract more clients and increase revenue. The company's financial data shows a stable performance with a reasonable P/E ratio and a decent dividend yield, which suggests a good investment for income-focused investors. However, the ongoing war in Ukraine and its impact on global economies, along with the recent downgrade of federal debt by Fitch, may create some uncertainties in the market. Therefore, while BNY Mellon shows promise, these macroeconomic factors slightly reduce its investment value for the next month.</t>
  </si>
  <si>
    <t>Score: 75
Waste Management's financial data shows a stable company with a healthy market cap of $63.655B and a reasonable P/E ratio of 28.32. The company's beta of 0.72 indicates less volatility than the market, which could be beneficial in the current uncertain economic climate. The firm's forward dividend yield of 1.79% is also attractive for income-focused investors. However, the ongoing war in Ukraine and its potential impact on global economies, including the U.S., could introduce some risk. Additionally, while AI is becoming more prevalent across various sectors, its impact on the Environmental &amp; Facilities Services industry, and specifically on Waste Management, is less clear.</t>
  </si>
  <si>
    <t>Score: 75
TJX Companies has shown strong momentum and is favored by analysts, which is a positive sign. The company's home segment recovery and the favorable environment for off-price retailers also contribute to its potential. The firm's financial data shows a healthy market cap and a reasonable P/E ratio, indicating that the stock is not overvalued. However, the ongoing war in Ukraine and its impact on global economies, along with the potential for increased inflation, could pose risks. The company's involvement in the apparel retail industry, which may face challenges due to changing consumer habits, also needs to be considered.</t>
  </si>
  <si>
    <t>Score: 75
Allegion's financial data shows a healthy company with a stable market cap and a reasonable P/E ratio. The company's dividend declaration indicates a positive cash flow and a commitment to returning value to shareholders. The company's inclusion in a list of stocks for long-term gains also suggests confidence in its future performance. However, the ongoing war in Ukraine and its impact on global economies, as well as the potential for further inflation and interest rate hikes, could introduce some uncertainty into the market. The company's involvement in the building products industry could also be affected by these macroeconomic factors. Therefore, while Allegion appears to be a solid investment, these potential risks moderate the score slightly.</t>
  </si>
  <si>
    <t>Score: 75
Colgate-Palmolive's improving prospects and reasonable valuation make it a good investment. The company's revenue growth is expected to benefit from price increases, advertising spending, and promotional offers. The company's margin growth is expected to continue due to price increases, improving volume leverage, moderating logistics costs, easing FX headwinds, and the impact of newly acquired pet food capacity. The company is also a Dividend Aristocrat, having raised their annual payouts every year for at least 25 consecutive years. This makes it a reliable investment for those seeking steady income. The company's forward P/E ratio is also lower than its trailing P/E, indicating that earnings are expected to grow. However, the ongoing war in Ukraine and potential for increased inflation could pose risks to the company's performance.</t>
  </si>
  <si>
    <t>Score: 75
Autodesk is a solid investment in the Application Software industry. The company's products are essential for engineers and architects, indicating a stable demand. The company's recent participation in high-profile technology conferences suggests active engagement with investors and the broader tech community. The firm's financial data shows a healthy market cap and a reasonable P/E ratio, indicating a stable financial position. The company's involvement in AI and the metaverse, two of the most promising tech trends, further enhances its investment appeal. However, the ongoing war in Ukraine and the potential for further economic disruption slightly dampen the investment outlook.</t>
  </si>
  <si>
    <t>Score: 75
Charles River Laboratories (CRL) presents a promising investment opportunity. The company's continued growth in the RMS segment, upbeat guidance, and broadening scope of products and services through focused acquisitions contribute to its positive outlook. Furthermore, the company's involvement in AI and next-generation sequencing technologies aligns with the current trend of AI adoption in healthcare, which could potentially boost its market position and profitability. However, the ongoing war in Ukraine and its impact on global economies, along with the potential for increased inflation and interest rates, may pose risks to the company's performance. Additionally, the company's relatively high P/E ratio suggests it may be overvalued, which could limit its potential for price appreciation in the short term.</t>
  </si>
  <si>
    <t>Score: 75
Cisco's stock has shown strong performance recently, with a 10% climb in August and a focus on increasing its software and subscription-based offerings. The company's strategic shift seems to be successful, and it's taking advantage of demand catalysts. The company's financials are solid, with a market cap of 230.465B and a forward dividend yield of 2.75%. The company's P/E ratio is reasonable at 18.42, suggesting it's not overvalued. However, there are concerns about the effectiveness of Cisco's financial engineering in the future, and some believe that other stocks, like PepsiCo, may have better prospects. The ongoing war in Ukraine and the potential for further economic disruption could also impact Cisco's performance. However, the company's strong recent performance and solid financials suggest it could be a good investment in the short term.</t>
  </si>
  <si>
    <t>Score: 75
Stryker Corporation is a solid investment option in the healthcare sector. The company's recent upgrade to 'Buy' by Bank of America, based on its potential to be a top-tier performer in 2024, is a positive signal. The company's financial data shows a healthy market cap and a forward P/E ratio that suggests growth. The company's involvement in AI in healthcare, a trend set to grow in 2023, could also drive its stock value. However, the ongoing war in Ukraine and its potential impact on global economies, including the U.S., could introduce some volatility and risk.</t>
  </si>
  <si>
    <t>Score: 75
ADP's financial data shows a healthy company with a stable market cap and a reasonable P/E ratio. The company's involvement in the growing outsourcing industry, as well as its recent performance at the Citi's 2023 Global Technology Conference, indicates a positive outlook. However, the ongoing war in Ukraine and the potential for further economic instability may pose risks. Additionally, the company's high Price/Book ratio suggests it may be overvalued. The company's involvement in AI and technology, sectors expected to grow, is a positive sign. However, the Federal Reserve's interest rate hikes could potentially impact the company's performance.</t>
  </si>
  <si>
    <t>Score: 75
Cintas Corporation has shown strong performance, with a rising position on the 2023 Forbes Global 2000 list and a robust dividend growth. The company's financial data indicates a healthy market cap of 50.538B and a forward dividend yield of 1.09%. The P/E ratio is relatively high, suggesting that investors are willing to pay a higher price because they expect high growth. However, the ongoing war in Ukraine and its impact on global economies, along with the potential for further inflation and the recent downgrade of federal debt by Fitch, introduce elements of uncertainty. The company's involvement in diversified support services could be beneficial in the current economic climate, as businesses may seek to streamline operations and reduce costs in response to these challenges. The rise of AI also presents potential growth opportunities for companies like Cintas that are involved in various sectors.</t>
  </si>
  <si>
    <t>Score: 75
ADM's financials show a healthy position with a reasonable P/E ratio, a stable beta, and a decent dividend yield. The company's market cap and enterprise value are substantial, indicating a strong market presence. The agricultural sector is expected to recover, and ADM is well-positioned to benefit from this trend. However, the ongoing war in Ukraine and the potential for further inflation could impact raw material and commodity prices, which could affect ADM's profitability. The company's involvement in the Barclays Global Consumer Staples Conference also indicates active engagement with investors and the market. The AI trend doesn't directly impact ADM, but the company could potentially benefit from AI applications in agriculture and supply chain management.</t>
  </si>
  <si>
    <t>Score: 75
Skyworks Solutions has a strong financial position with a healthy P/E ratio and a promising 1-year target estimate. The company's recent earnings report was positive, and the stock has seen a slight increase since then. The firm operates in the semiconductor industry, which is crucial in the current digital and AI-driven economy. However, the ongoing war in Ukraine and its impact on global supply chains could pose a risk to the company's operations. The Federal Reserve's interest rate hikes could also impact the company's borrowing costs. Despite these potential challenges, Skyworks Solutions' position in a critical and growing industry makes it a potentially valuable investment.</t>
  </si>
  <si>
    <t>Score: 75
Corteva has shown strong performance with margin expansion and a shareholder-friendly approach, which makes it an attractive investment. The company's participation in the upcoming Morgan Stanley conference could potentially reveal positive insights, further boosting investor confidence. Despite the ongoing war in Ukraine and its impact on global economies, Corteva's resilience in the face of sector challenges is commendable. The company's current P/E ratio and forward P/E indicate a positive earnings outlook. However, the broader economic context, including the Federal Reserve's aggressive rate hikes and potential supply chain disruptions due to the conflict in Ukraine, may pose some risks. Therefore, while Corteva presents a good investment opportunity, these factors slightly moderate the score.</t>
  </si>
  <si>
    <t>Score: 75
Analog Devices is a solid investment in the semiconductor industry. The company's participation in key conferences indicates a proactive approach to business development and investor relations. The firm's financial data shows a healthy market cap and enterprise value, and a reasonable P/E ratio. The company's stock is within its 52-week range, suggesting stability. However, the ongoing war in Ukraine and its impact on global supply chains, coupled with the Federal Reserve's aggressive rate hikes, may introduce some volatility. The firm's involvement in AI, a sector poised for growth, is a positive sign. However, the high inventory levels in the semiconductor industry could potentially impact the company's short-term performance.</t>
  </si>
  <si>
    <t>Score: 75
Chevron Corporation's investment potential is relatively high due to several factors. The ongoing conflict in Ukraine has led to spikes in energy prices, which could benefit Chevron as a major player in the energy sector. Additionally, the company's recent issues with strikes at its Australian LNG facilities have the potential to disrupt global supplies and further increase gas prices, which could also benefit Chevron in the short term. However, the company's recent decision to quit offshore oil and gas exploration areas in Mexico following disappointing results could negatively impact its future growth potential. Furthermore, the company's involvement in the controversial area of fossil fuels could make it a less attractive investment for those concerned about environmental sustainability.</t>
  </si>
  <si>
    <t>Score: 75
Accenture's recent collaborations and investments, such as with Open Cosmos, and its expansion of partnership with Workday, indicate a proactive approach to growth and innovation. The company's stock is performing well, reaching new highs after earnings, and it is included in the list of stocks to gain from a thriving consulting services industry. The firm's financial data shows a healthy market cap and a forward P/E ratio that suggests investors expect earnings growth. However, the ongoing war in Ukraine and potential disruptions in global supply chains, along with the Federal Reserve's rate hikes, may introduce some volatility and risk. The company's involvement in AI, a sector expected to see significant growth, also adds to its investment potential.</t>
  </si>
  <si>
    <t>Score: 75
Arch Capital Group's financial data shows a healthy performance with a low beta of 0.72, indicating less volatility compared to the market. The company's PE Ratio is 13.34, which is relatively low, suggesting the stock may be undervalued. The firm's market cap of 29.165B and enterprise value of 31.89B further indicate a strong financial position. However, the ongoing war in Ukraine and its impact on global economies, along with the potential for increased inflation, may pose risks. The company's involvement in the reinsurance industry could also be affected by these macroeconomic factors. Therefore, while the company shows strong potential, these risks have led to a slightly reduced score.</t>
  </si>
  <si>
    <t>Score: 75
Abbott Laboratories has a strong presence in the healthcare sector, with a focus on diabetes care, which is a growing market. The company's recent acquisition of Bigfoot Biomedical, a firm specializing in diabetes management solutions, is a positive development that could enhance Abbott's product portfolio and market position. The company's consistent dividend growth is also a positive sign for investors seeking steady returns. However, the company's stock has recently dipped, and there are predictions of a looming recession and inflation in 2024, which could impact the company's performance. Additionally, the comparison with Thermo Fisher Scientific suggests that Abbott may not offer the best returns in the healthcare sector over the next three years. Therefore, while Abbott presents a good investment opportunity, there are some risks involved.</t>
  </si>
  <si>
    <t>Score: 75
AbbVie's strong dividend yield, consistent dividend growth, and its status as a Dividend Aristocrat make it an attractive investment for income-focused investors. The company's recent initiatives, such as supporting women entrepreneurs and presenting at the Morgan Stanley Healthcare Conference, indicate active engagement in growth and development activities. The company's P/E ratio is relatively high, suggesting that the stock may be overvalued, but its forward P/E ratio is much lower, indicating expected earnings growth. The ongoing war in Ukraine and the potential for further economic disruption could pose risks, but AbbVie's focus on healthcare, a sector less impacted by AI trends and more resilient to economic downturns, could provide some level of stability. However, the company's high enterprise value compared to its revenue and EBITDA suggests that it may be overvalued, which could limit its short-term investment potential.</t>
  </si>
  <si>
    <t>Score: 75
Southern Company is a stable utility company with a good dividend yield of 4.06%, making it an attractive investment for income-focused investors. The company's low beta of 0.52 indicates that it is less volatile than the market, which could be beneficial in the current uncertain economic environment. The company's forward P/E ratio of 16.92 suggests that it may be undervalued compared to its earnings potential. However, the ongoing war in Ukraine and potential supply chain disruptions could pose risks. The company's involvement in AI could also provide growth opportunities, but this is dependent on the successful implementation and acceptance of these technologies.</t>
  </si>
  <si>
    <t>Score: 75
John Deere's strong profitability, growing profit margins, and robust industry potential make it a promising investment. The company's recent dividend hike and high score on the 10-bagger scale further enhance its attractiveness. However, the ongoing war in Ukraine and its impact on global economies, including potential disruptions in supply chains, could pose risks. Additionally, the Federal Reserve's aggressive rate hikes could increase borrowing costs and pressure margins. Despite these concerns, the company's solid financials and positive industry outlook support a relatively high investment score.</t>
  </si>
  <si>
    <t>Score: 75
Zimmer Biomet's recent executive leadership changes indicate a strategic shift that could potentially drive growth. The company's recovery continues despite foreign exchange woes, and it benefits from increased provider capacity. The firm's financial data shows a healthy market cap of 25.726B and a forward P/E ratio of 15.08, suggesting that the stock is reasonably priced relative to its earnings. The company's EPS of 2.4 also indicates profitability. However, the ongoing war in Ukraine and its impact on global economies, along with the potential for increased inflation, could pose risks. The company's involvement in the healthcare sector, which is seeing increased adoption of AI, could provide growth opportunities.</t>
  </si>
  <si>
    <t>Score: 75
Quest Diagnostics has a strong position in the healthcare industry, providing essential diagnostic information services. The company's recent participation in the Baird 2023 Global Healthcare Conference and the release of its 2022 Corporate Responsibility Report demonstrate its active engagement with stakeholders and commitment to corporate responsibility. 
The company's financial data shows a stable performance with a reasonable P/E ratio of 18.41, indicating that the stock is not overvalued. The company's forward P/E ratio of 13.77 suggests that investors have positive expectations for the company's earnings growth. 
The ongoing COVID-19 pandemic and the increasing adoption of AI in healthcare could potentially boost the demand for Quest Diagnostics' services. However, the broader economic uncertainties, including the war in Ukraine and inflation, could pose risks. 
Overall, Quest Diagnostics presents a relatively good investment opportunity in the healthcare sector for the next month.</t>
  </si>
  <si>
    <t>Score: 75
American Electric Power (AEP) presents a solid investment opportunity in the current economic climate. The utility sector is traditionally seen as a safe haven during times of economic uncertainty, and with the ongoing war in Ukraine and the persistent COVID-19 pandemic, this is certainly a period of uncertainty. 
AEP's low beta of 0.46 indicates that the stock is less volatile than the market, which is a positive sign for risk-averse investors. The company's forward P/E ratio of 13.89 suggests that the stock is reasonably valued given its future earnings. 
Moreover, the company's dividend yield of 4.27% is attractive, especially in a rising interest rate environment. The recent dip in utility stock prices also presents a buying opportunity. 
However, the company's high Enterprise Value/EBITDA ratio of 12.61 suggests that it may be overvalued relative to its earnings before interest, taxes, depreciation, and amortization. 
Furthermore, the ongoing war in Ukraine and its impact on energy prices could pose a risk to AEP, given its reliance on energy for its operations. 
Overall, while there are some risks associated with investing in AEP, its strengths make it a relatively good investment in the current economic climate.</t>
  </si>
  <si>
    <t>Score: 75
The AES Corporation, with its focus on renewable energy and strategic investment plans, is well-positioned to benefit from the current economic climate. The ongoing war in Ukraine has caused spikes in energy prices, which could potentially increase the demand for renewable energy sources, benefiting companies like AES. Furthermore, the company's position in the utilities sector offers some stability amidst the uncertain macroeconomic environment. The company's forward P/E ratio of 8.86 suggests that it may be undervalued, indicating potential for growth. However, the negative EPS (TTM) and the absence of a trailing P/E ratio suggest some financial instability, which tempers the investment score slightly.</t>
  </si>
  <si>
    <t>Score: 75
Cummins has a strong financial position with a healthy balance sheet and a good revenue and net income growth. The company's recent joint venture with Daimler and PACCAR to advance battery cell production in the U.S. indicates a strategic move towards the growing electric vehicle industry, which could potentially boost its future growth. However, the ongoing war in Ukraine and its impact on global supply chains could pose a risk. The company's P/E ratio is also relatively low, indicating that it may be undervalued. However, the company's high Enterprise Value/EBITDA ratio suggests that it may be overvalued based on its earnings before interest, taxes, depreciation, and amortization.</t>
  </si>
  <si>
    <t>Score: 75
Assurant's recent credit rating upgrade by AM Best to A+ (Superior) from A (Excellent) indicates a strong financial position and low credit risk, which is a positive sign for potential investors. The company's PE Ratio (TTM) of 21.65 is reasonable, suggesting that the stock is not overvalued. The forward P/E of 9.40 indicates that the market expects the company's earnings to grow, which could lead to a higher stock price in the future. 
However, the ongoing war in Ukraine and the potential for further economic disruption could negatively impact Assurant's performance, as could the persistent inflation in the U.S. economy. The company's involvement in the property/casualty insurance sector could expose it to increased claims in the event of further economic or geopolitical instability. 
The company's involvement in AI could potentially provide a competitive advantage, but it's unclear from the provided information how significant this is to their overall business strategy. 
Overall, Assurant appears to be a solid investment with potential for growth, but investors should be aware of the potential risks associated with the current economic and geopolitical climate.</t>
  </si>
  <si>
    <t>Score: 75
West Pharmaceutical Services has a strong market position in the healthcare supplies industry, which is expected to benefit from the increasing adoption of AI in healthcare. The company's participation in the upcoming Bank of America Global Healthcare Conference could potentially lead to positive investor sentiment and increased visibility. The firm's financial data shows a stable performance with a market cap of 29.434B and a forward P/E of 44.64, indicating future earnings growth. However, the ongoing war in Ukraine and its potential impact on global economies, along with the recent downgrade of federal debt by Fitch, introduce some uncertainty into the investment environment. Therefore, while West Pharmaceutical Services presents a promising investment opportunity, these macroeconomic factors slightly dampen the potential investment value.</t>
  </si>
  <si>
    <t>Score: 75
Teleflex (TFX) presents a promising investment opportunity in the healthcare equipment industry. The company's diversified product portfolio and broad geographic footprint provide a solid foundation for growth. The firm's financial data shows a healthy market cap of 9.948B and a forward P/E ratio of 14.10, indicating that the stock may be undervalued. The company's EPS of 7.8 also suggests profitability. However, the ongoing war in Ukraine and the potential for further economic disruption, along with the persistent inflation, slightly dampen the investment outlook. The company's involvement in the healthcare sector, which is expected to benefit from AI advancements, also adds to its investment appeal.</t>
  </si>
  <si>
    <t>Score: 75
Align Technology has been making strategic moves that could potentially boost its growth. The acquisition of Cubicure GmbH, a pioneer in direct 3D printing, could enhance Align's technological capabilities and competitive edge. The introduction of new features and software innovations, as well as the expansion of its customer education and training center, indicate a focus on improving customer experience and product offerings. 
However, the company's high P/E ratio suggests that its stock might be overvalued, which could limit its short-term upside potential. The ongoing war in Ukraine and its impact on global economies could also introduce uncertainties. 
On the positive side, the healthcare sector, particularly companies employing AI for diagnosis and treatment, is expected to see increased demand and growth. Align's integration of AI in its operations could therefore be a significant advantage. 
Overall, while there are some risks, Align's strategic initiatives and the positive outlook for AI in healthcare make it a potentially good investment.</t>
  </si>
  <si>
    <t>Score: 75
Chipotle Mexican Grill (CMG) has shown a strong growth trajectory, with a consistent expansion of its restaurant reach and a doubling of its revenue in 7 years. The company's stock has been performing well, with a 52-week range of 1,344.05 - 2,175.01 and a 1-year target estimate of 2175.73. The company's P/E ratio is relatively high at 49.34, indicating that investors are willing to pay a higher price for the stock due to expected future earnings growth. 
However, the macroeconomic environment presents some challenges. The ongoing war in Ukraine and the persistent COVID-19 pandemic could potentially disrupt supply chains and increase costs. Additionally, the Federal Reserve's aggressive rate hikes could put pressure on consumer spending. 
On the positive side, the low unemployment rate and the better-than-expected GDP growth could support consumer spending and the restaurant industry. Furthermore, the company's upcoming Q3 earnings announcement could provide a positive catalyst for the stock. 
In the context of AI, Chipotle could potentially benefit from AI applications in areas such as supply chain management, customer service, and marketing. However, the company's specific plans and progress in this area are not clear from the provided information.
Overall, while there are some risks, CMG's strong growth prospects and recent performance suggest a relatively high investment value.</t>
  </si>
  <si>
    <t>Score: 75
Albemarle Corporation (ALB) is a leading player in the lithium industry, which is expected to see significant growth due to the increasing demand for electric vehicles and energy storage solutions. The company's recent bid to acquire Liontown Resources, a lithium miner, indicates its strategic intent to secure its supply chain and expand its market share. This acquisition, if successful, could significantly enhance ALB's market position and future profitability. 
However, the ongoing geopolitical tensions and supply chain disruptions due to the war in Ukraine could pose risks to ALB's operations and profitability. Additionally, the company's high beta indicates a higher level of volatility compared to the market, which could lead to potential investment risks. 
The company's financials look strong with a low P/E ratio, indicating that the stock could be undervalued. The company also has a healthy market cap and enterprise value. However, the company's stock has been on a downward trend, which might be a concern for short-term investors. 
In conclusion, while ALB presents a promising long-term investment opportunity due to the growing lithium market and its strategic acquisitions, investors should be cautious of the potential short-term risks associated with geopolitical tensions and market volatility.</t>
  </si>
  <si>
    <t>Score: 75
Akamai Technologies has a strong position in the fast-growing cloud sector, which is expected to continue expanding due to the increasing adoption of AI and digital technologies. The company's recent earnings report was positive, and it has a 'Buy' rating from Bank of America, indicating strong future performance. However, the ongoing war in Ukraine and potential supply chain disruptions could pose risks. The company's P/E ratio is relatively high, suggesting that the stock may be overvalued. However, the forward P/E is much lower, indicating expected growth in earnings. The company's beta is less than 1, suggesting it is less volatile than the market. Overall, Akamai presents a good investment opportunity, but investors should be aware of potential risks.</t>
  </si>
  <si>
    <t>Score: 75
Costco's membership-based business model and its focus on keeping costs low make it a strong player in the retail sector. The company's double-digit revenue and earnings growth are attractive to investors. Despite a decline in online sales, Costco's in-store sales seem to offset this weakness. The company's stock has shown significant growth since its IPO, indicating a strong track record. However, the stock is currently trading at a high earnings multiple compared to its peers, suggesting it may be overvalued. The company's P/E ratio is also relatively high, which could indicate overvaluation. However, the company's strong financial performance and unique business model make it a potentially good investment. The ongoing war in Ukraine and the persistent inflation could pose risks to the company's performance. However, Costco's focus on everyday items could help it weather these challenges.</t>
  </si>
  <si>
    <t>Score: 75
Arthur J. Gallagher &amp; Co. has been actively expanding its business through strategic acquisitions, which could potentially increase its market share and profitability. The company's focus on employee wellbeing also indicates a strong internal culture, which could lead to higher productivity and employee retention. The firm's financial data shows a stable performance with a reasonable P/E ratio and a decent market cap. However, the ongoing war in Ukraine and the potential for further economic disruptions could pose risks. The company's involvement in the insurance industry could also be affected by regulatory changes and economic fluctuations. Therefore, while the company shows promise, these potential risks lead to a score of 75 out of 100.</t>
  </si>
  <si>
    <t>Score: 75
Aptiv's position in the autonomous driving market, which is expected to grow significantly in the coming years, makes it a promising investment. The company's strong recent performance, particularly in the ASUE segment, and its competitive advantage in smart architecture further support this. However, the company's high beta indicates a higher level of volatility, which could present risks. Additionally, the ongoing war in Ukraine and its impact on global economies could potentially affect Aptiv's performance.</t>
  </si>
  <si>
    <t>Score: 75
Centene Corporation has shown a strong commitment to community health and wellness, as evidenced by their recent philanthropic efforts. This, coupled with their recognition as one of the best workplaces in healthcare, suggests a strong company culture and commitment to their mission. Their financial data shows a stable company with a reasonable P/E ratio and a promising 1-year target estimate. However, the ongoing war in Ukraine and its impact on global economies, as well as the persistent inflation, could pose risks to the company's performance. The company's involvement in AI, particularly in healthcare, could be a potential growth driver, but this is dependent on the company's ability to effectively leverage this technology.</t>
  </si>
  <si>
    <t>Score: 75
The score is based on the following factors:
1. AIG's shares have been performing well, with potential to reach $70 in the next year. This indicates a positive trend in the company's stock performance.
2. The company's financials have improved significantly, with its highest level of earnings since before the financial crisis. This suggests that the company is in a strong financial position.
3. AIG's investment portfolio is benefitting from higher rates as it reinvests maturities. This could lead to increased returns for investors.
4. The company is streamlining operations, improving premiums, and increasing rates, which could lead to growth.
5. The company's PE Ratio is relatively low, suggesting that the stock could be undervalued.
However, the ongoing war in Ukraine and the potential for further economic disruption could pose risks to the company's performance. Additionally, the company's Beta is slightly above 1, indicating that the stock is somewhat more volatile than the market as a whole. These factors have been taken into account in the score.</t>
  </si>
  <si>
    <t>Score: 75
Capital One's current financial position and future prospects make it a compelling investment. The company's shares are trading at a low valuation, and its credit card loan balances and delinquency rates have returned to pre-pandemic levels, indicating a normalization of credit activity. The company's prudent management has allowed it to navigate through crises effectively, and it is expected to sustain its earnings and increase share repurchases. Furthermore, the investment by Warren Buffett's Berkshire Hathaway signals strong confidence in the company's future. However, the ongoing war in Ukraine and the potential for further economic disruption warrant a degree of caution.</t>
  </si>
  <si>
    <t>Score: 75
Teledyne Technologies has a strong position in the Electronic Equipment &amp; Instruments industry, with a market cap of $19.089B and a PE Ratio of 25.22, indicating a healthy valuation. The company's recent developments, such as the launch of a high-bandwidth, high-definition oscilloscope, show its commitment to innovation and growth. The company's participation in upcoming investor conferences also suggests a proactive approach to investor relations and potential future growth opportunities. 
However, the ongoing war in Ukraine and its impact on global economies, including potential disruptions in supply chains, could pose risks. The company's exposure to AI and robotics, while offering growth potential, also comes with ethical and regulatory risks. 
Overall, the company's strong financials, innovative developments, and exposure to growing sectors like AI and robotics make it a potentially valuable investment, but macroeconomic and sector-specific risks should be carefully considered.</t>
  </si>
  <si>
    <t>Score: 75
ConocoPhillips has a strong position in the energy sector, with recent deals expected to boost its cash flow and ability to pay dividends. The ongoing war in Ukraine has caused spikes in energy prices, which could benefit ConocoPhillips. The company's financial data shows a healthy market cap and a reasonable P/E ratio, suggesting it is fairly valued. However, the uncertainty surrounding the global economy due to the war and the potential for further inflation could pose risks. Additionally, the company's high beta indicates it is more volatile than the market, which could lead to larger price swings.</t>
  </si>
  <si>
    <t>Score: 75
Cencora operates in the Health Care Distributors industry, which is expected to benefit from the mainstream adoption of AI, particularly in healthcare. The company's solid financials, including a forward P/E ratio of 13.72, suggest it is undervalued compared to its earnings potential. The company's low beta of 0.56 indicates it is less volatile than the market, which could be beneficial in the current uncertain economic climate. However, the ongoing war in Ukraine and potential supply chain disruptions could pose risks. The company's high Price/Book ratio of 52.03 suggests the stock may be overvalued relative to its net assets, which could limit its upside potential.</t>
  </si>
  <si>
    <t>Score: 70
McCormick &amp; Company has shown a strong performance over the past six months, with its stock price increasing by more than 10%. The company's strength in branding, strategic acquisitions, and efficient saving programs have contributed to its growth. Additionally, McCormick's upcoming third-quarter financial results, scheduled to be reported on October 3, 2023, could provide further insights into the company's financial health and future prospects.
However, the ongoing war in Ukraine and its impact on global economies, including potential disruptions in supply chains, could pose risks to McCormick's operations. The company's relatively high P/E ratio also suggests that its stock might be overvalued. 
On the positive side, the company's involvement in the packaged foods and meats industry could provide some level of stability amidst economic uncertainties, as these are essential goods that typically see steady demand. Furthermore, the company's solid market cap and enterprise value indicate a strong market presence.
In conclusion, while McCormick &amp; Company presents a promising investment opportunity, potential investors should also consider the broader economic context and potential risks.</t>
  </si>
  <si>
    <t>Score: 70
MarketAxess has shown strong growth in U.S. high-grade trading volumes and international businesses, indicating a robust performance. The company's P/E ratio is relatively high, suggesting that investors are willing to pay a higher share price today because of growth expectations in the future. The firm's beta is less than 1, indicating that the stock is less volatile than the market, which could be a safe bet in the current uncertain economic climate. However, the ongoing war in Ukraine and its impact on global economies, along with the Federal Reserve's sharp rate hikes, could pose risks. The company's involvement in the financial exchanges and data industry could benefit from the mainstream adoption of AI, but this potential is somewhat offset by the broader economic uncertainties.</t>
  </si>
  <si>
    <t>Score: 70
Monolithic Power Systems operates in the semiconductor industry, which is currently in high demand due to the increasing need for advanced technology. The company's financial data shows a healthy market cap of 22.917B and a forward P/E ratio of 35.97, indicating expected earnings growth. However, the ongoing war in Ukraine and the potential impact of China's slowing economy pose risks, as these factors could disrupt supply chains and affect the company's performance. The company's exposure to AI trends could provide growth opportunities, but the overall economic uncertainty tempers the investment potential.</t>
  </si>
  <si>
    <t>Score: 70
WestRock's potential merger with Smurfit Kappa could create a global leader in sustainable packaging, which could significantly increase the company's market share and profitability. The merger talks have already positively impacted the company's stock price. However, the ongoing war in Ukraine and its impact on global supply chains could pose a risk to the company's operations. Additionally, the company's negative EPS and the general economic outlook suggest some caution is warranted. The company's dividend yield of 3.31% is also a positive factor for income-focused investors.</t>
  </si>
  <si>
    <t>Score: 70
Monster Beverage Corporation (MNST) has a strong position in the Soft Drinks industry, which is currently experiencing growth due to improved pricing, digital growth, and innovation. The company's financial data shows a healthy market cap of 59.546B and a forward P/E ratio of 31.45, indicating expected earnings growth. The company's beta of 0.83 suggests it is less volatile than the market, which could be beneficial in the current uncertain economic climate. However, the ongoing war in Ukraine and potential supply chain disruptions, along with the Federal Reserve's aggressive rate hikes, could pose risks. Furthermore, the company does not offer a dividend, which might be a drawback for income-focused investors.</t>
  </si>
  <si>
    <t>Score: 70
Xylem Inc. is a solid investment option given the current economic climate. The company's focus on water technology aligns with the growing emphasis on sustainability and climate change mitigation, which could drive demand for its products and services. The company's financials are robust, with a market cap of $23.279B and a forward P/E ratio of 23.81, suggesting that the stock is reasonably valued given its future earnings potential. The company's leadership transition appears to be well-planned, which should ensure continuity and stability. However, the ongoing war in Ukraine and potential supply chain disruptions, along with the broader economic uncertainty, pose risks. The company's exposure to AI is unclear, but given the industry it operates in, there could be potential for AI integration in the future, which could drive efficiency and profitability.</t>
  </si>
  <si>
    <t>Score: 70
Nasdaq, Inc. presents a promising investment opportunity, scoring 70 out of 100. The company's recent developments, such as the launch of an AI-powered order type and its push into the crypto market, align with the current trends in AI and crypto adoption, which could potentially boost its profitability. The reopening of its MarketSite also signals a positive outlook. However, the delisting of several securities and the potential shift of audit funding costs to brokers and investors could pose challenges. The company's financial data shows a stable performance with a reasonable P/E ratio and a decent dividend yield. However, the current geopolitical tensions and potential economic slowdown could impact the overall market performance, which investors should consider.</t>
  </si>
  <si>
    <t>Score: 70
Altria's strong dividend yield of nearly 9% and its consistent history of dividend growth make it an attractive option for income-focused investors. The company's financial metrics show positive results, with EPS and FCF increasing despite a decrease in revenue. However, the market seems to be pricing in substantial execution risks for Altria, and the tobacco industry is facing a secular decline. The company's transition to new forms of consumption could also introduce uncertainty. Overall, while Altria presents some risks, its strong dividend performance and positive financial metrics suggest it could be a valuable addition to an income-focused portfolio.</t>
  </si>
  <si>
    <t>Score: 70
3M's position as a Dividend King and Aristocrat, coupled with its inclusion in the list of industrial stocks to buy as rate-hike fears subside, indicates a strong potential for investment. The company's recent settlement of legal disputes also removes some uncertainty. However, the ongoing war in Ukraine and its impact on global economies, including potential disruptions in supply chains, could pose risks. The company's negative EPS (TTM) and high PEG ratio also suggest potential overvaluation. Nevertheless, the company's high dividend yield and its role in the industrial sector, which could benefit from the current economic climate, contribute to its investment potential.</t>
  </si>
  <si>
    <t>Score: 70
The J.M. Smucker Company's recent acquisition of Hostess Brands presents a significant opportunity for growth and diversification. The addition of iconic snacking brands to Smucker's portfolio could potentially increase its market share and profitability. However, the company's shares have tumbled following the announcement of the deal, indicating some investor skepticism about the acquisition's value. 
Moreover, the company's financial data shows a negative EPS (Earnings Per Share) and a non-existent P/E ratio, suggesting that the company is not currently profitable. However, the company's forward P/E ratio is 15.13, indicating that investors expect the company to become profitable in the future. 
The company's dividend yield of 3.02% is also attractive, especially in the current economic climate with the Federal Reserve raising rates. 
However, the ongoing war in Ukraine and its impact on global economies, including potential disruptions in supply chains, could pose risks to the company's performance. 
In the context of AI, while the packaged foods and meats industry may not be at the forefront of AI adoption, there could be potential benefits from AI in terms of improving operational efficiency and supply chain management. 
Overall, while there are some positive signs for J.M. Smucker Company, there are also significant risks and uncertainties, hence the score of 70.</t>
  </si>
  <si>
    <t>Score: 70
Newmont Corporation's potential acquisition of Newcrest Mining could provide a significant boost to its operations and overall value. The company's forward P/E ratio is relatively low, suggesting that it may be undervalued. Additionally, the ongoing war in Ukraine and the persistent inflation could increase the demand for gold as a safe-haven asset, potentially benefiting Newmont. However, the company's negative EPS and the general economic uncertainty warrant a degree of caution.</t>
  </si>
  <si>
    <t>Score: 70
Robert Half's recent recognition as one of Fortune's Best Workplaces in Consulting &amp; Professional Services for the third consecutive year indicates a strong company culture and reputation, which can contribute to employee retention and productivity. The firm's financial data shows a stable performance with a reasonable P/E ratio and a decent dividend yield. However, the ongoing war in Ukraine and its potential impact on global economies, along with the Federal Reserve's aggressive rate hikes, may create some uncertainty in the market. The company's involvement in the HR &amp; Employment Services industry could be affected by the mixed signals in the labor market. Despite these concerns, the company's solid performance and reputation make it a potentially good investment.</t>
  </si>
  <si>
    <t>Score: 70
Pool Corporation has a strong market cap of 13.615B and a stable Beta of 0.98, indicating less volatility than the market. The company's PE Ratio is 23.01, which is reasonable for the industry. However, the ongoing war in Ukraine and the potential slowdown in inflation could impact the company's performance. The company's stock has performed well during periods of high inflation, but as inflation slows, there could be a potential risk. Furthermore, the company's high Price/Book ratio of 9.22 suggests that it might be overvalued. Despite these risks, the company's strong financials and the overall positive economic outlook suggest a good potential for investment.</t>
  </si>
  <si>
    <t>Score: 70
TE Connectivity has demonstrated strong cash flows, dividends, and high returns on capital, which are positive indicators for potential investors. The company's recent acquisition of Schaffner Holding AG, while not expected to significantly impact sales or earnings, could potentially diversify its product offerings and strengthen its market position. However, the company's high starting valuations and the current economic climate, marked by the ongoing war in Ukraine and the persistent inflation, could pose challenges. The company's involvement in the Electronic Manufacturing Services industry, which could potentially benefit from the mainstream adoption and increased capabilities of AI, also adds to its investment value.</t>
  </si>
  <si>
    <t>Score: 70
Public Storage (PSA) operates in the Self-Storage REITs industry, which is somewhat insulated from the broader economic trends due to its unique business model. The company's recent launch of the Savvy Storage Insurance Program indicates an innovative approach to increasing revenues and enhancing customer experience. 
However, the REIT sector has been under pressure due to rising interest rates, which have led to a ~30% value loss since the beginning of 2022. This could potentially impact PSA's performance in the short term. 
On the positive side, PSA's financials look solid with a trailing P/E ratio of 11.85, which is lower than the industry average, indicating that the stock is undervalued. The company also has a healthy dividend yield of 4.39%, which is attractive for income-focused investors. 
The company's low beta of 0.45 suggests that the stock is less volatile than the market, which could be a positive factor in the current uncertain economic environment. 
In conclusion, while there are some short-term headwinds due to the broader market conditions, PSA's solid financials, innovative strategies, and the defensive nature of the self-storage industry make it a relatively safe investment with potential for growth. Hence, the score of 70.</t>
  </si>
  <si>
    <t>Score: 70
PayPal's stock presents a moderate investment opportunity. The company's strong position in the digital payments industry, potential growth from its Venmo platform, and robust free cash flow generation are positive indicators. However, the ongoing lawsuit by Australia's securities regulator and the recent change in CEO add a degree of uncertainty. The company's stock is currently trading at a discount, which could present a buying opportunity, but investors should be cautious given the broader economic context. The Federal Reserve's aggressive rate hikes could put pressure on growth stocks like PayPal, and the ongoing conflict in Ukraine could further disrupt global markets. Additionally, the company's P/E ratio is relatively high, suggesting that the stock may be overvalued.</t>
  </si>
  <si>
    <t>Score: 70
TransDigm Group's financial data shows a strong performance with a market cap of 47.701B and an enterprise value of 64.81B. The company's earnings per share (EPS) is also robust at 18.4. However, the ongoing war in Ukraine and its impact on global supply chains could potentially affect the Aerospace &amp; Defense industry, which TransDigm is a part of. The company's high P/E ratio of 46.98 also suggests that the stock might be overvalued. On the positive side, the company's stock has been on an upward trend, increasing by 1.5% since the last earnings report. The adoption of AI in various sectors could also provide opportunities for TransDigm if it can leverage this technology in its operations.</t>
  </si>
  <si>
    <t>Score: 70
Regency Centers Corporation has a stable financial position with a market cap of 11.593B and an enterprise value of 15.51B. The company's P/E ratio is relatively high, indicating that investors are willing to pay a higher price because they expect the company to grow earnings. The forward dividend yield of 4.06% is attractive for income-focused investors. 
However, the ongoing war in Ukraine and its impact on global economies, including the U.S., could potentially affect the company's performance. The war has caused disruptions in supply chains, which could impact the retail industry and, by extension, retail REITs like Regency Centers. 
The company's upcoming presentation at the BofA Securities 2023 Global Real Estate Conference could provide further insights into its future plans and strategies, which could potentially affect its stock value. 
The adoption of AI in various sectors, including retail, could also present opportunities for Regency Centers. If the company can effectively leverage AI to streamline operations and improve efficiency, it could enhance its competitive position and profitability. 
However, the recent downgrade of federal debt by Fitch and the potential for zero growth in the fourth quarter could create some uncertainty in the market. 
Overall, while there are some potential risks, Regency Centers' solid financial position and potential for growth give it a relatively high investment value.</t>
  </si>
  <si>
    <t>Score: 70
Molson Coors Beverage Company has a promising outlook due to its strategic expansion beyond its traditional beer market. The company's increased investment in ZOA Energy, a leading energy drink brand, indicates a diversification strategy that could potentially boost its revenue and market share. The company's stock has a healthy 1-year target estimate and a reasonable P/E ratio, suggesting that it is not overvalued. The company's market cap and enterprise value also indicate a solid financial position. However, the ongoing war in Ukraine and the potential for further economic disruption could pose risks to the company's performance. Additionally, the company's high PEG ratio suggests that it may be overvalued when considering its expected earnings growth.</t>
  </si>
  <si>
    <t>Score: 70
Sysco's financial health appears to be stable, with a market cap of 35.587B and a forward dividend yield of 2.86%. The company's P/E ratio is 20.31, which is reasonable for the industry. The company's involvement in the IFDA National Championship indicates a strong commitment to industry standards and employee recognition. However, the ongoing war in Ukraine and its impact on global supply chains could pose a risk to Sysco's operations. Additionally, the company's high enterprise value compared to its revenue and EBITDA suggests that it may be overvalued. Therefore, while Sysco presents a decent investment opportunity, these factors limit its score to 70.</t>
  </si>
  <si>
    <t>Score: 70
Synchrony Financial's potential investment value is relatively high due to several factors. The company's PE Ratio is low at 5.76, indicating that it may be undervalued. The company's EPS is also strong at 5.5, suggesting good profitability. The company's participation in the Barclays Global Financial Services Conference could also potentially lead to positive news or partnerships that could boost the stock's value. However, the ongoing war in Ukraine and the potential for further economic disruption could pose risks to the company's performance. The company's high beta of 1.6 also suggests that the stock is more volatile than the market as a whole, which could lead to larger price swings.</t>
  </si>
  <si>
    <t>Score: 70
Wells Fargo's potential investment value is relatively high due to several factors. The bank has recently settled a significant securities class action, which removes a major uncertainty for investors. The hiring of a long-time Credit Suisse banker to lead its equity capital market unit signals a strategic move to strengthen its investment banking capabilities. The bank's financials also look solid, with a low P/E ratio indicating that the stock may be undervalued. However, the ongoing war in Ukraine and the potential for further economic disruption, as well as the recent downgrade of federal debt, introduce some risk. Additionally, the bank is still recovering from past scandals, which may affect investor confidence.</t>
  </si>
  <si>
    <t>Score: 70
Ralph Lauren Corporation has shown a strong financial performance with a gross margin rise to almost 69%. The company's PE Ratio is relatively low at 14.86, indicating that the stock may be undervalued. The company's forward dividend yield of 2.57% is also attractive for income-focused investors. However, the ongoing war in Ukraine and its impact on global supply chains could pose a risk to the company's operations. Additionally, the company's high beta of 1.43 suggests it is more volatile than the market, which could lead to larger price swings. The firm's involvement in the apparel industry doesn't directly benefit from the AI trends, unlike sectors like healthcare, manufacturing, or tech. Therefore, while the company has strong fundamentals, external factors and industry positioning moderate the investment potential.</t>
  </si>
  <si>
    <t>Score: 70
ResMed's potential investment value is relatively high due to several factors. The company's participation in upcoming conferences indicates active engagement in the industry, which could lead to potential partnerships or innovations. Despite missing estimates on top and bottom lines, analysts from Needham believe that the company can sustain 5% to 7% revenue growth and double-digit per-share earnings growth for the next few years. This suggests a positive outlook for the company's financial performance. 
Moreover, the company's involvement in the healthcare sector, particularly in sleep therapy devices, aligns with the current trend of AI in healthcare, which is expected to see increased demand and growth. This could potentially boost the company's profitability. 
However, the ongoing war in Ukraine and its impact on global economies, including potential disruptions in supply chains, could pose risks. Additionally, the company's recent performance, including missing estimates and the potential impact of the obesity-drug craze on its sleep therapy devices, could affect its short-term performance. 
Therefore, while ResMed presents a promising investment opportunity, investors should also consider potential risks.</t>
  </si>
  <si>
    <t>Score: 70
State Street Corporation has a strong market presence and is expected to participate in the Barclays Global Financial Services Conference, which could potentially boost its visibility and investor confidence. The company's financial data shows a healthy EPS and a reasonable PE Ratio, indicating good profitability and fair valuation. The forward dividend yield of 3.93% is also attractive for income-focused investors. However, the ongoing war in Ukraine and its impact on global economies, coupled with the recent downgrade of federal debt by Fitch, may introduce some uncertainties in the market. The company's high beta indicates it's more volatile than the market, which could be a concern in these uncertain times. The AI trends for 2023 could potentially benefit State Street if they are able to leverage AI in their operations and investment strategies.</t>
  </si>
  <si>
    <t>Score: 70
Sempra Energy's stability and cash flow make it a safe haven investment during an economic downturn. The company's plans to increase its customer base and invest in renewable energy infrastructure also indicate growth prospects. However, the stock appears to be overpriced at the moment, which could limit its short-term investment value. The ongoing war in Ukraine and its impact on energy prices could also affect Sempra's performance. The company's recent dividend declaration could attract investors looking for steady income. The company's P/E ratio is relatively high, suggesting that the stock may be overvalued. However, the company's strong market cap and enterprise value indicate a solid financial position.</t>
  </si>
  <si>
    <t>Score: 70
S&amp;P Global has a strong financial position with consistent sales growth and increasing earnings per share. The company's diverse operations provide stability and growth opportunities. However, the high valuation and competitive landscape pose risks. The recent offering of senior notes indicates a strategic move to raise capital, possibly for growth initiatives. The company's forward P/E ratio is relatively high, suggesting that the stock may be overvalued. However, the company's strong market position and potential for growth in the AI-driven financial data industry make it a promising investment. The ongoing geopolitical tensions and economic uncertainties may impact the company's performance, but its robust financial health and growth prospects provide a buffer against these risks.</t>
  </si>
  <si>
    <t>Score: 70
Simon Property Group's potential investment value is relatively high due to several factors. The company's presentation at the BofA Securities 2023 Global Real Estate Conference could potentially boost investor confidence. Furthermore, the company's undervaluation, as indicated by the Graham P/E, and the fact that insiders are buying, suggest a positive outlook. However, the ongoing war in Ukraine and the potential for further economic disruption, along with the Federal Reserve's aggressive rate hikes, could pose risks. The company's high P/E ratio also suggests that it may be overvalued. Despite these risks, the company's strong market cap and the potential for growth in the retail sector due to AI advancements make it a relatively attractive investment.</t>
  </si>
  <si>
    <t>Score: 70
Ross Stores (ROST) has shown a solid performance with a market cap of 40.385B and a forward P/E ratio of 24.10, indicating that investors are willing to pay a relatively high price for its earnings. The company's EPS (TTM) is 4.71, which is a positive sign. However, the ongoing war in Ukraine and the potential for supply chain disruptions could impact Ross Stores, given its reliance on global suppliers. The company's beta of 0.97 suggests it's slightly less volatile than the market, which could be a positive in uncertain times. The company's dividend yield of 1.12% also provides some income for investors. However, the company's high Price/Book ratio of 9.07 suggests it may be overvalued. Given the mixed economic signals and potential for further disruptions from the war in Ukraine, a score of 70 seems appropriate.</t>
  </si>
  <si>
    <t>Score: 70
Snap-on's financial data shows a healthy performance with a positive year-to-date growth of 14.07%. The company's P/E ratio is relatively low, indicating that the stock may be undervalued. The firm's beta of 1.1 suggests that it's slightly more volatile than the market, but not excessively so. The forward dividend yield of 2.49% is also attractive for income-focused investors. However, the ongoing war in Ukraine and its impact on global supply chains could pose a risk to the company's operations. Additionally, the company's involvement in the industrial machinery &amp; supplies &amp; components industry may not fully leverage the growing trends in AI, which could limit its growth potential in the near term.</t>
  </si>
  <si>
    <t>Score: 70
Pentair's financial data shows a stable company with a reasonable P/E ratio and a decent market cap. The company's upcoming presentation at the Morgan Stanley Laguna Conference could potentially reveal positive news, which might boost the stock's performance. However, the ongoing war in Ukraine and its impact on global supply chains could pose a risk to the company's operations. The company's involvement in water sustainability could also benefit from the growing trend of ESG investing. However, the company does not seem to be significantly involved in the AI sector, which is a major growth area.</t>
  </si>
  <si>
    <t>Score: 70
PNC Financial Services has a strong position in the regional banking sector, with business owner optimism reaching a 21-year high. This suggests a positive outlook for the company's performance in the near term. However, the potential for regional banks to take on significant debt to meet regulatory requirements and the recent downgrade of several regional banks by Moody's could put pressure on profitability. The company's PE Ratio is relatively low, indicating that the stock may be undervalued. However, the ongoing war in Ukraine and the potential for further economic disruption could introduce additional risk. The company's involvement in AI could provide a competitive advantage, but it's unclear how significant this is to their overall business strategy.</t>
  </si>
  <si>
    <t>Score: 70
Truist Financial Corporation shows promising potential for investment in the next month. The company's financial performance indicates a strong increase in interest income, and its exposure to commercial real estate is relatively low, which is a positive sign given the current economic climate. The bank's preferred shares offer an overlooked way to invest in the company from an income perspective, with a yield of 6.3%. 
Moreover, Truist's partnership with SkillUp Coalition to launch a remote job catalog for non-degree holders indicates a commitment to social responsibility, which could enhance its reputation and attract more investors. 
However, the proposed regulatory changes for regional banks and the potential for these banks to accumulate significant debt to meet these requirements could pose a risk. Additionally, the ongoing war in Ukraine and its impact on global economies could potentially affect the bank's performance. 
The company's PE Ratio is relatively low at 6.96, indicating that the stock may be undervalued. The dividend yield of 6.98% is also attractive for income-focused investors. However, the company's stock is currently trading near the lower end of its 52-week range, which could indicate some market pessimism about the company's prospects. 
Overall, while there are some risks associated with investing in Truist, the company's strong financial performance, attractive dividend yield, and social responsibility initiatives make it a potentially good investment.</t>
  </si>
  <si>
    <t>Score: 70
Philip Morris International (PMI) presents a moderate investment opportunity in the current economic climate. The company's stable financials, with a forward P/E ratio of 13.81 and a dividend yield of 5.45%, suggest a solid return potential. The company's low beta of 0.74 indicates less volatility compared to the overall market, which is beneficial in the current uncertain economic environment. 
However, the ongoing war in Ukraine and its impact on global supply chains could pose a risk to PMI's operations, as could potential regulatory changes related to the tobacco industry. The potential reclassification of marijuana by the DEA could also impact the tobacco industry and PMI's future prospects. 
Furthermore, while AI advancements are transforming various sectors, the tobacco industry, including PMI, may not benefit as significantly from these trends. Therefore, while PMI presents a decent investment opportunity with its stable financials and dividend yield, these potential risks and limited AI applicability moderate the investment score.</t>
  </si>
  <si>
    <t>Score: 70
Welltower's recent upward revision of its 2023 outlook and its participation in the BofA Securities 2023 Global Real Estate Conference are positive indicators. The company's market cap of $43.311B and enterprise value of $56.98B suggest a strong position in the market. The firm's P/E ratio is high, indicating that investors are willing to pay a high price for its earnings, which could be a sign of expected growth. The company's dividend yield of 2.95% is also attractive for income-focused investors. 
However, the ongoing war in Ukraine and its impact on global economies, including potential disruptions in supply chains, could pose risks. The high inflation rate could also impact the real estate market and Welltower's operations. 
The adoption of AI in healthcare could potentially benefit Welltower if they are able to leverage this technology to improve their operations and services. However, without specific information on Welltower's use of AI, it's difficult to factor this into the score. 
Overall, while there are positive indicators for Welltower, there are also significant macroeconomic risks to consider, hence the score of 70.</t>
  </si>
  <si>
    <t>Score: 70
WEC Energy Group's financial data shows a stable company with a low beta, indicating less volatility compared to the market. The company's forward P/E ratio is lower than its trailing P/E, suggesting that earnings are expected to grow. The firm's dividend yield of 3.62% is attractive, especially in a rising interest rate environment. However, the ongoing war in Ukraine and its impact on energy prices, along with the potential for further Federal Reserve rate hikes, add a degree of uncertainty. The company's involvement in the electric utilities industry does not directly benefit from the current AI trends, which could limit its growth potential compared to companies in sectors like healthcare, tech, and manufacturing.</t>
  </si>
  <si>
    <t>Score: 70
Northern Trust's recent investment in Habitat for Humanity of Jacksonville and the appointment of a new head of Asset Servicing in Hong Kong indicate a proactive approach to both social responsibility and international market expansion. The firm's financial data shows a stable position with a reasonable P/E ratio and a decent dividend yield. However, the ongoing war in Ukraine and the potential for further economic disruption, along with the recent downgrade of federal debt by Fitch, introduce elements of uncertainty that could impact the company's performance. The firm's involvement in AI is not specified, but given the growing importance of AI in the finance sector, this could be a significant factor in future growth.</t>
  </si>
  <si>
    <t>Score: 70
Verizon's potential investment value is relatively high due to several factors. The ongoing war in Ukraine and the persistent COVID-19 pandemic have led to increased demand for reliable telecommunication services, which Verizon provides. The company's stable market cap and reasonable P/E ratio indicate a solid financial position. However, the overall economic uncertainty, including the Federal Reserve's aggressive rate hikes and the potential impact of AI developments, may pose some risks. Therefore, while Verizon presents a good investment opportunity, these factors slightly dampen the score.</t>
  </si>
  <si>
    <t>Score: 70
Realty Income Corporation has shown consistent growth and has a strong financial health, making it a relatively safe investment. The company's significant investments in new real estate and its consistent history of annual dividend increases are positive indicators. However, the company's share dilution and the potential impact of higher interest rates on earnings growth are risks that could affect its performance. The ongoing war in Ukraine and its impact on global economies could also introduce uncertainties. The company's move into more volatile gaming properties could be a concern for some investors. However, the company's high dividend yield could be attractive for income-focused investors.</t>
  </si>
  <si>
    <t>Score: 70
Organon &amp; Co. presents a mixed investment opportunity. On the positive side, the company's stock is significantly undervalued, and it offers a high dividend yield of 5.8%, which is attractive for income-oriented investors. The company's stable revenue base and potential for future dividend hikes as debt decreases also add to its appeal. Furthermore, the company has recently bolstered its R&amp;D expertise with two leadership appointments, which could potentially lead to innovative developments and growth in the future.
However, there are also some concerns. The stock is down 30% year-to-date and 40% below its 52-week highs, indicating a bearish trend. The company's market cap is relatively low at $5.081B, and it has a high enterprise value of $13.33B, suggesting it may be overleveraged. The company's P/E ratio is low, which could indicate undervaluation, but could also suggest that the market has low expectations for its future earnings growth.
Given the current economic outlook, with moderate GDP growth, persistent inflation, and ongoing geopolitical tensions, the pharmaceutical industry could potentially offer a safe haven for investors. However, the potential risks associated with Organon &amp; Co. should be carefully considered.</t>
  </si>
  <si>
    <t>Score: 70
Omnicom Group (OMC) has been making strategic acquisitions to expand its offerings, which could potentially boost its revenue and profitability. The company's recent partnership with Parley for the Oceans also indicates its commitment to sustainability, which could enhance its reputation and attract environmentally conscious clients. The company's financials are also solid, with a reasonable P/E ratio and a decent dividend yield. However, the ongoing war in Ukraine and the potential for further economic disruption could pose risks to the company's performance. Additionally, the advertising industry may face challenges due to potential changes in privacy regulations and the increasing use of ad-blocking technologies.</t>
  </si>
  <si>
    <t>Score: 70
Otis Worldwide operates in the Industrial Machinery &amp; Supplies &amp; Components industry, which could be positively impacted by the ongoing recovery from the COVID-19 pandemic and the increased adoption of AI in manufacturing. The company's financial data shows a stable performance with a reasonable P/E ratio and a modest dividend yield. However, the ongoing war in Ukraine and potential supply chain disruptions, along with the recent downgrade of federal debt, add a level of uncertainty that slightly reduces the investment value.</t>
  </si>
  <si>
    <t>Score: 70
Textron (TXT) has a solid financial standing with a market cap of 14.948B and an enterprise value of 16.76B. The company's P/E ratio is 17.35, which is reasonable for the Aerospace &amp; Defense industry. The company's EPS of 4.35 is also a positive sign of its profitability. However, the ongoing war in Ukraine and the potential for further geopolitical instability could pose risks to the Aerospace &amp; Defense industry. Additionally, the company's Beta of 1.5 indicates a higher level of volatility compared to the overall market. The company's forward dividend yield is relatively low at 0.11%, which may not be attractive for income-focused investors. The company's 1-year target estimate is 86.06, indicating potential for growth. However, given the current economic climate and potential risks, a score of 70 is assigned, reflecting a cautiously optimistic outlook for the next month.</t>
  </si>
  <si>
    <t>Score: 70
Take-Two Interactive has a strong position in the Interactive Home Entertainment industry, with a market cap of 24.566B and a positive earnings report. The company's stock has been trending upwards, with a 1.1% increase since the last earnings report. The company's beta of 0.69 indicates less volatility than the market, which could be attractive in the current uncertain economic climate. However, the ongoing war in Ukraine and potential for increased inflation could impact consumer spending on entertainment, which may affect Take-Two's performance. The company's high forward P/E ratio of 46.30 suggests that the stock may be overvalued, which could limit its potential for future gains. The company's involvement in the "meme stock" trend could also introduce additional volatility. However, the growing adoption and capabilities of AI could present new opportunities for Take-Two in the gaming industry.</t>
  </si>
  <si>
    <t>Score: 70
Paycom operates in the Application Software industry, which is expected to benefit from the mainstream adoption of AI. The company's financials show a healthy market cap of $16.51B and a forward P/E ratio of 32.68, suggesting that investors expect earnings growth. The company's PEG ratio of 1.47 indicates that the stock may be undervalued given its earnings growth expectation. However, the ongoing war in Ukraine and its impact on global economies, coupled with the Federal Reserve's aggressive rate hikes, add a layer of uncertainty to the investment climate. Therefore, while Paycom presents a good investment opportunity, these macroeconomic factors slightly dampen its short-term investment value.</t>
  </si>
  <si>
    <t>Score: 70
Paychex (PAYX) is a solid investment choice given the current economic climate. The company operates in the HR and Employment Services industry, which is expected to benefit from the tight labor market and the increasing importance of business and IT outsourcing. The company's financials are strong, with a market cap of 43.285B and a forward dividend yield of 2.79%. The company's P/E ratio is slightly high at 27.88, indicating that the stock may be overvalued, but this is not unusual for a company in a growth industry. The upcoming retirement of the CFO could introduce some uncertainty, but the company has a succession plan in place. The ongoing war in Ukraine and the potential for further economic disruption could introduce some risk, but overall, Paychex appears to be a solid investment.</t>
  </si>
  <si>
    <t>Score: 70
Tesla, Inc. is a strong player in the automobile industry, and its focus on electric vehicles and self-driving technology aligns well with the current trends in AI. The company's potential for growth is significant, especially considering the increasing adoption of AI in various sectors, including the automobile industry. However, the ongoing war in Ukraine and its impact on global economies, including potential disruptions in supply chains, could pose challenges for Tesla. Additionally, the recent rate hikes by the Federal Reserve and the downgrade of federal debt could create a more challenging environment for investments. Therefore, while Tesla holds promise, these factors introduce a level of uncertainty that moderates the investment score.</t>
  </si>
  <si>
    <t>Score: 70
Travelers Companies (TRV) has a stable financial position with a market cap of 36.848B and a forward P/E ratio of 9.41, indicating that the stock may be undervalued. The company's beta of 0.61 suggests it is less volatile than the market, which could be beneficial in the current uncertain economic climate. The firm's dividend yield of 2.5% is also attractive for income-focused investors. However, the ongoing war in Ukraine and its impact on global economies, coupled with the potential for increased inflation and interest rates, could pose risks to the company's performance. Furthermore, the company operates in the Property &amp; Casualty Insurance industry, which may not directly benefit from the current trends in AI technology.</t>
  </si>
  <si>
    <t>Score: 70
The Principal Financial Group (PFG) has a strong position in the market with high retention and employment growth, increased single premium annuity sales, and a solid capital position. The company's financial data shows a stable performance with a reasonable PE ratio and a good dividend yield. However, the ongoing war in Ukraine and the potential credit losses for commercial real estate could pose risks. The company's involvement in AI could also be a potential growth driver, but the overall economic outlook and the company's specific circumstances warrant a cautious approach.</t>
  </si>
  <si>
    <t>Score: 70
Parker Hannifin Corporation (PH) has a strong market position in the industrial machinery and supplies &amp; components industry. The company's financials are robust, with a market cap of $52.07B and an enterprise value of $64.63B. The company's P/E ratio is 25.28, which is reasonable given the industry average. The company's EPS is 16.04, indicating profitability. 
The company's upcoming presentation at the Morgan Stanley Annual Laguna Conference could potentially reveal strategic plans or developments that could positively impact the stock's performance. The addition of Denise Russell Fleming to its Board of Directors could also bring fresh perspectives and strategies to the company.
However, the ongoing war in Ukraine and its impact on global supply chains could pose a risk to the company, given its involvement in the manufacturing sector. The Federal Reserve's rate hikes could also increase borrowing costs for the company. 
The adoption of AI in manufacturing could potentially benefit PH if it chooses to leverage this technology to streamline its operations and improve margins. However, this is speculative and would need to be confirmed by the company's announcements or actions. 
Overall, while there are some potential risks, PH's strong market position, robust financials, and potential to benefit from AI adoption in manufacturing make it a relatively attractive investment.</t>
  </si>
  <si>
    <t>Score: 70
Target Corporation (TGT) has a strong financial position with a market cap of $56.722B and a forward dividend yield of 3.51%. The company's PE Ratio is 16.86, which is relatively low, indicating that the stock is reasonably priced. The company's EPS of 7.29 also indicates strong profitability. 
However, the ongoing war in Ukraine and the potential for further economic disruption could negatively impact the company's performance. Additionally, the company is part of an ETF shorting strategy, which could put downward pressure on the stock price. 
On the positive side, Target is a Dividend Aristocrat, having raised its dividend payouts for at least 25 consecutive years, which is attractive for income-focused investors. The company's involvement in the retail sector, which is expected to profit in 2023 due to changing consumer habits, also adds to its investment appeal. 
In conclusion, while there are some risks associated with investing in Target Corporation, the company's strong financials and status as a Dividend Aristocrat make it a potentially good investment. However, investors should monitor the ongoing geopolitical situation and its potential impact on the company.</t>
  </si>
  <si>
    <t>Score: 70
U.S. Bank's potential investment value is relatively high due to several factors. The bank has shown a rise in revenues, solid loan and deposit balance, and strategic expansion activities. The bank's forward P/E ratio is lower than its trailing P/E, indicating that earnings are expected to grow. The bank's beta is 1.0, suggesting that its stock price moves with the market, which could be a positive sign given the overall economic recovery. However, there are concerns about escalated expenses and lack of diversification in the loan portfolio. The ongoing war in Ukraine and its impact on global economies could also pose risks. Furthermore, the bank's stock is currently trading near the lower end of its 52-week range, which could indicate a potential upside if the market conditions improve.</t>
  </si>
  <si>
    <t>Score: 70
Agilent Technologies is a solid company in the healthcare equipment industry, which is expected to benefit from the increasing adoption of AI in healthcare. The company's recent leadership change could bring fresh perspectives and strategies. The firm's financials are strong, with a market cap of $33.241B and a forward P/E ratio of 19.68, suggesting that the stock is reasonably valued. However, the ongoing war in Ukraine and potential supply chain disruptions could pose risks. The company's PEG ratio of 2.64 is slightly high, indicating that the stock might be overvalued relative to its earnings growth. Therefore, while the company has strong potential, these factors lead to a score of 70 out of 100.</t>
  </si>
  <si>
    <t>Score: 70
Masco Corporation (MAS) appears to be a solid investment opportunity in the current economic climate. The company's financials are strong, with a trailing P/E ratio of 15.84 and a forward P/E ratio of 14.58, indicating that the stock is reasonably priced relative to its earnings. The company's beta of 1.24 suggests it is slightly more volatile than the market, which could provide opportunities for higher returns. 
The building products industry could benefit from the current economic conditions. The GDP growth and low unemployment rate suggest a healthy economy where consumers and businesses might be more willing to invest in building and renovation projects, potentially boosting Masco's sales. 
However, the ongoing war in Ukraine and its impact on global supply chains could pose a risk to Masco, as it could lead to increased costs for materials and logistics. The company's exposure to AI is unclear, but the broader adoption of AI in various sectors could potentially offer opportunities for operational efficiencies and cost savings. 
The recent rate hikes by the Federal Reserve could increase borrowing costs for Masco, but the news that the Fed is slowing down on rate hikes could mitigate this risk. The downgrade of federal debt could potentially increase borrowing costs further, but this is a risk that all companies are facing. 
Overall, while there are some risks, Masco's strong financials and the positive economic conditions suggest a good potential for investment.</t>
  </si>
  <si>
    <t>Score: 70
Eversource Energy's recent sale of uncommitted offshore lease area for $625 million in an all-cash transaction indicates a strong cash position. The company's PE Ratio is relatively low, suggesting that the stock may be undervalued. The firm's forward dividend yield of 4.35% is attractive for income-focused investors. However, the ongoing war in Ukraine and its impact on energy prices, along with the potential for further Federal Reserve rate hikes, add a degree of uncertainty. The company's involvement in the utilities sector, which is generally considered a defensive sector, could provide some stability amidst these macroeconomic uncertainties.</t>
  </si>
  <si>
    <t>Score: 70
Caesars Entertainment's recent expansion into Kentucky with the opening of a new retail sportsbook indicates a strategic move to capitalize on the growing sports betting market. This could potentially increase the company's revenue and profitability in the coming months. The company's financial data shows a healthy market cap of 11.404B and a reasonable PE ratio of 16.25, suggesting that the stock is not overvalued. However, the ongoing war in Ukraine and its impact on global economies, along with the Federal Reserve's rate hikes, could introduce some volatility and risk in the short term. The company's high beta of 2.91 also indicates a higher level of volatility compared to the overall market. Therefore, while the company has strong growth potential, investors should also be aware of the potential risks.</t>
  </si>
  <si>
    <t>Score: 70
Delta Air Lines has shown resilience in the face of the ongoing pandemic and the war in Ukraine, which have both significantly impacted the global economy and the airline industry. The company's decision to expand in Asia through the Honolulu-Tokyo route indicates strategic growth planning. The addition of Tom Brady as a strategic advisor could also potentially boost the company's image and internal operations. However, the overall economic uncertainty, potential for further COVID-19 related disruptions, and the ongoing war in Ukraine could pose risks. The company's financials are relatively strong, with a low P/E ratio indicating potential undervaluation. However, the airline industry is still recovering from the pandemic's impact, and Delta's future performance will largely depend on how the global situation evolves.</t>
  </si>
  <si>
    <t>Score: 70
DuPont's recent strategic collaborations, share repurchase transactions, and focus on innovation and growth are positive indicators for the company. The company's recent partnership with YMT in Korea and the launch of the duPont REGISTRY Invest platform also show promising expansion and diversification efforts. However, the ongoing war in Ukraine and its impact on global economies, including potential disruptions in supply chains, could pose risks. The company's P/E ratio is relatively high, suggesting that the stock may be overvalued. The company's forward P/E ratio is lower, indicating expected earnings growth, but the overall economic uncertainty warrants a cautious approach.</t>
  </si>
  <si>
    <t>Score: 70
D.R. Horton's strong market position, consistent revenue growth, and improved profitability metrics make it an attractive investment. The company's recent inclusion in Berkshire Hathaway's portfolio, led by Warren Buffett, further validates its potential. However, rising mortgage rates and the potential for increased Treasury yields could put pressure on the homebuilding industry. The company's relatively high beta also suggests it may be more volatile than the overall market. Despite these risks, D.R. Horton's low P/E ratio and PEG ratio indicate it may be undervalued, providing a potential opportunity for investors.</t>
  </si>
  <si>
    <t>Score: 70
Dow Inc. has shown a strong commitment to sustainability with the launch of its carbon-neutral SYL-OFF Protect, which could attract environmentally conscious investors. The company's partnership with Qifan Cable for offshore wind power development also indicates a strategic move towards renewable energy, a sector with high growth potential. 
The company's financial data shows a healthy market cap of 37.755B and a forward dividend yield of 5.18%, which is attractive for income-focused investors. The forward P/E ratio of 12.85 suggests that the stock is reasonably valued given its earnings outlook. 
However, the ongoing war in Ukraine and its impact on global supply chains could pose a risk to Dow Inc., especially considering its involvement in the commodity chemicals industry. The company's high beta of 1.33 also indicates a higher level of volatility compared to the overall market. 
In the context of AI, Dow Inc. could potentially benefit from AI applications in manufacturing to improve efficiency and reduce costs. However, it's unclear how much the company has invested in this technology.
Overall, Dow Inc. presents a balanced investment opportunity with some potential risks.</t>
  </si>
  <si>
    <t>Score: 70
Duke Energy's investment potential seems moderately strong given the current economic climate. The company's recent performance and financial data suggest stability, with a low Beta of 0.44 indicating less volatility than the market. The company's P/E ratio is reasonable, and its forward dividend yield of 4.44% is attractive for income-focused investors. 
However, the ongoing war in Ukraine and its impact on energy prices could pose a risk. Additionally, the company's stock has declined 5.7% since the last earnings report, which may indicate some investor skepticism. 
On the positive side, the company's smart grid technology has proven effective during Hurricane Idalia, demonstrating resilience and potential for future growth. Furthermore, the utilities sector can often provide a safe haven during uncertain economic times, which could be beneficial given the current economic outlook. 
In the context of AI, while Duke Energy may not be at the forefront of AI adoption, the sector's increasing digitization and use of smart technology could present future opportunities. 
Overall, while there are some risks, Duke Energy's stability, dividend yield, and potential for growth in a digitizing industry make it a moderately strong investment for the next month.</t>
  </si>
  <si>
    <t>Score: 70
Marriott International's stock has a promising outlook for the next month. The company's financial data shows a healthy market cap of $60.92B and a forward P/E ratio of 21.69, indicating that the stock is reasonably priced given its earnings outlook. The company's EPS of 8.85 also suggests strong profitability. 
Moreover, the company is part of the consumer discretionary sector, which is expected to benefit from rising consumer spending. This trend, coupled with the ongoing recovery from the COVID-19 pandemic, could boost Marriott's performance in the near term. 
However, the ongoing war in Ukraine and its impact on global economies could introduce some volatility and risk. Additionally, the Federal Reserve's aggressive rate hikes could put pressure on consumer spending and corporate profitability, potentially impacting Marriott's performance. 
Finally, while AI trends don't directly impact Marriott's business, the company could potentially leverage AI to improve operational efficiency and customer service, which could enhance its competitive position and profitability over the long term.</t>
  </si>
  <si>
    <t>Score: 70
Consolidated Edison operates in the Electric Utilities industry, which is generally considered a defensive sector. Given the current economic outlook, with potential zero growth in the fourth quarter and ongoing geopolitical tensions, defensive stocks like Consolidated Edison could provide a safe haven for investors. 
The company's low Beta of 0.37 indicates that its stock price is less volatile than the market, which could be appealing in uncertain times. The firm's PE Ratio is relatively low at 12.84, suggesting the stock may be undervalued. 
Moreover, the company's healthy dividend yield of 3.63% is attractive, especially in a rising interest rate environment. The firm's market cap of 30.857B and enterprise value of 52.66B also indicate a solid financial position.
However, the firm's high PEG Ratio of 2.56 suggests that the stock may be overvalued when considering the company's expected future growth. 
In the context of AI, while the utilities sector may not be at the forefront of AI adoption, AI technologies could potentially be used to optimize energy distribution and consumption, which could benefit companies like Consolidated Edison in the long run.
Overall, while Consolidated Edison may not offer the highest growth potential in the current economic climate, it could provide stability and consistent returns, making it a relatively safe investment choice.</t>
  </si>
  <si>
    <t>Score: 70
Edison International has a stable financial position with a market cap of 26.825B and an enterprise value of 63.25B. The company's strategic long-term investments and favorable regulatory outcomes are positive indicators. However, the broader economic context, including the ongoing war in Ukraine and its impact on energy prices, as well as the Federal Reserve's aggressive rate hikes, may pose challenges. The company's P/E ratio is relatively high, suggesting that the stock may be overvalued. However, the forward P/E is much lower, indicating expected earnings growth. The company's dividend yield of 4.23% is also attractive for income-focused investors. The firm's involvement in the Electric Utilities industry could also benefit from the growing adoption of AI in various sectors, including energy. However, given the mixed economic signals and potential headwinds, a moderate score of 70 is assigned.</t>
  </si>
  <si>
    <t>Score: 70
Enphase Energy (ENPH) is a leading player in the solar industry, with a strong focus on high-quality solar component products. Despite the recent downturn in its stock price, the company's fundamentals remain strong, with impressive revenue growth and a healthy balance sheet. The company's primary business revolves around microinverters, a market expected to grow significantly in the coming years. However, the company faces challenges from rising interest rates and competition from Tesla. The ongoing war in Ukraine and its impact on global economies, including the U.S., could also affect Enphase's performance. Nevertheless, the company's strong financial performance and the growing demand for renewable energy make it a potentially valuable investment.</t>
  </si>
  <si>
    <t>Score: 70
Essex Property Trust (ESS) is a solid investment in the Multi-Family Residential REITs industry. Despite the economic uncertainties, the company has maintained a strong dividend payout, indicating a robust financial position. The company's upcoming presentation at the Bank of America Global Real Estate Conference could potentially reveal positive insights about its future plans and market position. However, the overall economic outlook, including the ongoing war in Ukraine and its impact on global economies, as well as the recent downgrade of federal debt by Fitch, may introduce some volatility and risk. The company's relatively high P/E ratio also suggests that its stock might be overvalued. Therefore, while ESS has strong fundamentals, investors should proceed with caution due to these macroeconomic factors.</t>
  </si>
  <si>
    <t>Score: 70
CSX Corporation, a leading player in the Rail Transportation industry, shows promising potential for investment in the short term. The appointment of Mike Cory, a seasoned railroad executive, as the company's COO, is a positive development that could enhance operational efficiency. The company's financials show a stable performance with a reasonable P/E ratio of 15.18, indicating that the stock is not overvalued. The company's market cap of $60.31B and enterprise value of $77.45B further underscore its financial stability. 
However, the ongoing war in Ukraine and its impact on global economies, including potential disruptions in supply chains, could pose challenges. Additionally, the company's high Enterprise Value/EBITDA ratio of 10.05 suggests that it might be overvalued based on its earnings before interest, taxes, depreciation, and amortization. 
The company's involvement in the transportation sector, which is crucial for the economy, and its potential to benefit from the recovery post-COVID-19, contribute to its positive outlook. However, investors should monitor the geopolitical situation and its potential impact on the company's operations.</t>
  </si>
  <si>
    <t>Score: 70
Edwards Lifesciences (EW) has a solid market cap of $45.752B and a reasonable P/E ratio of 34.21, indicating that it is not overvalued. The company's Beta of 1.03 suggests it generally follows market trends. The ongoing adoption of AI in healthcare could potentially boost EW's growth, given its position in the medical instruments sector. However, the ongoing war in Ukraine and the potential for further economic disruption, along with the Federal Reserve's aggressive rate hikes, introduce some uncertainty into the investment landscape. Therefore, while EW presents a good investment opportunity, these macroeconomic factors slightly reduce its potential investment value for the next month.</t>
  </si>
  <si>
    <t>Score: 70
Extra Space Storage (EXR) is a solid investment opportunity in the self-storage REITs industry. Despite the overall downturn in the REITs market due to rising interest rates and negative sentiment, EXR has shown resilience with strong financials and attractive dividends. The company's decision to expand its install base of Janus's Nokē digital access products across more facilities indicates a commitment to technological advancement and customer service. The company's robust growth in core FFO and dividends, along with a diversified portfolio, make it a compelling long-term investment. However, the ongoing war in Ukraine and its impact on global economies, along with persistent inflation, may pose short-term risks.</t>
  </si>
  <si>
    <t>Score: 70
Freeport-McMoRan operates in the copper industry, which is expected to see increased demand due to global growth. The company's financial data shows a healthy market cap and enterprise value, indicating a strong market presence. The company's P/E ratio is relatively high, suggesting that investors are willing to pay a higher price because they expect the company to grow in the future. However, the ongoing war in Ukraine and its impact on global economies, including potential disruptions in supply chains, could pose risks. The company's beta is also relatively high, indicating a higher level of volatility and potential risk. The Federal Reserve's rate hikes could also impact the company's borrowing costs. Therefore, while the company has strong potential, these factors introduce some level of uncertainty.</t>
  </si>
  <si>
    <t>Score: 70
FedEx's stock presents a mixed investment opportunity. On the positive side, the company has a strong business model, a solid reputation, and a history of beating earnings estimates. The company's cost reduction plan could also improve margins as economic challenges ease. However, there are significant risks. Amazon's expansion into package delivery is putting pressure on FedEx, potentially threatening its market share and profitability. Additionally, the ongoing war in Ukraine and its impact on global supply chains could pose challenges for FedEx. The company's current valuation also appears high, which could limit its upside potential. Finally, while AI advancements could potentially improve operational efficiency, it's unclear how much FedEx will benefit from these trends in the short term.</t>
  </si>
  <si>
    <t>Score: 70
F5, Inc. has a strong market position in the Communications Equipment industry, with a market cap of $9.484B and a healthy P/E ratio of 29.29. The company's participation in the 2023 Piper Sandler Growth Frontiers Conference could potentially boost its visibility and attract more investors. However, the ongoing war in Ukraine and the potential for further economic disruption could negatively impact the company's performance. Additionally, the company's high beta of 1.06 indicates a higher level of volatility compared to the overall market. The company's involvement in AI could be a potential growth driver, given the current trends and advancements in AI technology. However, the company does not offer a dividend, which might be a deterrent for income-focused investors.</t>
  </si>
  <si>
    <t>Score: 70
FMC Corporation is a solid investment opportunity given the current economic climate. The company's strong financial performance, as indicated by its EPS of 5.74 and a PE Ratio of 13.11, suggests it is undervalued. The company's response to the short-seller report also indicates strong management and a commitment to transparency. However, the ongoing war in Ukraine and its impact on global supply chains could pose a risk to the company's operations, as could the potential for further inflation and economic uncertainty. The company's involvement in the agricultural sector could also be affected by changes in energy prices. Therefore, while FMC Corporation presents a good investment opportunity, these risks should be carefully considered.</t>
  </si>
  <si>
    <t>Score: 70
Fox Corporation's stock shows potential for investment in the next month. The company's ad-supported video-on-demand service, Tubi, has shown impressive growth, surpassing 74 million monthly active users and logging nearly 4 billion streaming hours for the first half of the year. This indicates a strong consumer base and high engagement, which could drive revenue growth. 
The company's participation in the upcoming BofA Securities 2023 Media, Communications &amp; Entertainment Conference could also provide positive exposure and potential partnerships or deals. 
The company's financials are also relatively stable, with a PE Ratio of 12.37, indicating that the stock is not overvalued. The company's market cap of 14.973B and enterprise value of 18.70B also suggest a solid financial footing. 
However, the ongoing war in Ukraine and its impact on global economies, as well as the potential for increased inflation, could introduce some risk and volatility. The company's involvement in the entertainment industry, which could be affected by these macroeconomic factors, also introduces some uncertainty. 
Overall, while there are some risks, the company's strong performance and potential for growth make it a relatively good investment opportunity.</t>
  </si>
  <si>
    <t>Score: 70
Fox Corporation has shown strong performance with its ad-supported video-on-demand service, Tubi, surpassing 74 million monthly active users and logging nearly 4 billion streaming hours for the first half of the year. This indicates a strong consumer base and potential for continued growth. The company's participation in the upcoming BofA Securities 2023 Media, Communications &amp; Entertainment Conference could also provide positive exposure and potential partnerships. The renewal of the multi-year affiliation agreement with Nexstar Media Group further solidifies its market position. 
However, the ongoing war in Ukraine and its impact on global economies, including potential disruptions in supply chains, could pose risks. The company's P/E ratio is relatively low, suggesting that the stock may be undervalued, but the lack of a PEG ratio makes it difficult to assess the company's future earnings growth. The recent downgrade of federal debt by Fitch could also impact investor sentiment. 
In the context of AI, Fox Corporation could potentially leverage AI technology to enhance its content delivery and advertising strategies, which could boost its profitability. However, the company's approach to ethical AI practices should be monitored to mitigate potential investment risks. 
Overall, Fox Corporation presents a moderate to high investment opportunity with some potential risks.</t>
  </si>
  <si>
    <t>Score: 70
Federal Realty Investment Trust (FRT) has a strong history of increasing its dividend, making it an attractive option for income-focused investors. The company's portfolio of high-quality retail and mixed-use properties is relatively small, which could make it more resilient to economic downturns. The firm's financial data shows a healthy market cap of 7.998B and a forward dividend yield of 4.47%, which is attractive for income investors. However, the ongoing war in Ukraine and its impact on global economies, including the U.S., could potentially affect the retail industry and, by extension, retail REITs like FRT. The company's P/E ratio is also relatively high, suggesting that the stock may be overvalued. The AI trend in the retail sector could potentially benefit FRT, but it's unclear how much the company has invested in this technology. Overall, while FRT has some strong points, there are also significant risks that could affect its performance.</t>
  </si>
  <si>
    <t>Score: 70
General Mills has a stable financial outlook with a low beta of 0.23, indicating less volatility compared to the market. The company's P/E ratio is relatively low, suggesting the stock may be undervalued. The firm's focus on supply chain efficiency and disciplined capital allocation in response to a cautious consumer environment is a positive sign. However, the ongoing war in Ukraine and its impact on global supply chains, coupled with persistent inflation, could pose challenges. The company's commitment to maintaining its 2024 outlook despite these challenges is encouraging, but the overall economic uncertainty warrants a degree of caution.</t>
  </si>
  <si>
    <t>Score: 70
CVS Health's stock has potential for growth in the short term. The company's recent executive reshuffling indicates a proactive approach to management, which could lead to improved operational efficiency. The company's stock is currently undervalued, trading at $66 per share, which is 12% lower than the level seen in March 2021. This presents a good buying opportunity for investors. Furthermore, the company's strong dividend yield of 3.68% is attractive for income-focused investors. However, the ongoing investigation into the veterinary industry in the UK, where CVS Group operates, could pose some risks. Additionally, the general bearish sentiment in the stock market, as expressed by renowned investor Michael Burry, could impact CVS Health's stock performance.</t>
  </si>
  <si>
    <t>Score: 70
CoStar Group's position as a leading provider of online real estate marketplaces, information, and analytics in the property markets, coupled with the recognition of its CEO as a 2023 Tech Titan, indicates a strong leadership and innovative approach. The company's financial data shows a stable performance with a market cap of 33.484B and a forward P/E of 65.36, suggesting future earnings growth. However, the high PEG ratio of 3.11 indicates the stock may be overvalued given the expected growth rates. The ongoing war in Ukraine and its impact on global economies, along with the potential for increased inflation, could pose risks. However, the company's involvement in the tech sector, particularly with AI's mainstream adoption, could provide growth opportunities. Therefore, while there are potential risks, the overall outlook for CoStar Group is positive, hence the score of 70.</t>
  </si>
  <si>
    <t>Score: 70
W.W. Grainger's financial data shows a stable performance with a reasonable P/E ratio, indicating that the stock is not overvalued. The company's focus on enhancing digital capabilities could help it navigate the current industry headwinds. The firm's inclusion in an AI stock-picking platform's high-potential equities also suggests potential for growth. However, the ongoing war in Ukraine and its impact on global supply chains, along with the general economic uncertainty, may pose risks. The company's involvement in the Industrial Machinery &amp; Supplies &amp; Components industry could also be affected by these macroeconomic factors. Therefore, while the company shows promise, these potential challenges lead to a moderately high score of 70 rather than a higher rating.</t>
  </si>
  <si>
    <t>Score: 70
Brown &amp; Brown, Inc. has a strong position in the insurance brokerage industry, with a market cap of $20.752B and a forward P/E ratio of 25.58, indicating expected earnings growth. The company's recent recognition as one of the Best Workplaces in Financial Services and Insurance, along with the strategic promotion of Mike Bruce to CEO of Brown &amp; Brown Europe, suggests a positive internal environment and a focus on growth. However, the ongoing war in Ukraine and the potential for further economic disruption, along with the recent downgrade of federal debt by Fitch, introduce some uncertainty into the investment outlook. Additionally, the company's relatively high Enterprise Value/EBITDA ratio suggests it may be overvalued. Therefore, while Brown &amp; Brown presents a solid investment opportunity, these factors moderate the potential investment value score.</t>
  </si>
  <si>
    <t>Score: 70
Aflac's financial data shows a stable performance with a PE ratio of 10.13, indicating that the stock is reasonably priced relative to its earnings. The company's market cap of 44.899B and enterprise value of 46.82B suggest a solid financial position. The company's beta of 0.93 indicates that it is less volatile than the market, which could be beneficial in the current uncertain economic environment. 
However, the ongoing war in Ukraine and its impact on global economies, along with the potential for further inflation and zero growth forecast for the fourth quarter, could pose risks. The company's involvement in the life &amp; health insurance industry could also be affected by these macroeconomic factors. 
On the positive side, the adoption of AI in various sectors, including healthcare, could provide growth opportunities for Aflac if it is able to effectively leverage this technology. 
Overall, while Aflac appears to be a solid company with potential for growth, the current economic uncertainties warrant a somewhat cautious investment approach.</t>
  </si>
  <si>
    <t>Score: 70
Amcor's position as a Dividend Aristocrat, with a yield of 5.36%, makes it an attractive investment for income-focused investors. The company's partnership with VerifyMe to demonstrate connected packaging solutions at Pack Expo 2023 indicates a commitment to innovation and staying competitive in the packaging industry. The company's P/E ratio is relatively low, suggesting it may be undervalued. However, the ongoing war in Ukraine and its impact on global supply chains could pose a risk to Amcor's operations. Additionally, the company's high Enterprise Value/EBITDA ratio suggests it may be overvalued from a debt perspective. Overall, Amcor presents a moderate investment opportunity with some potential risks.</t>
  </si>
  <si>
    <t>Score: 70
A. O. Smith's strong performance in emerging markets like China and India, coupled with its core business in water heaters, makes it a promising investment. The company's recent record results and its inclusion in the GARP strategy for maximum returns further bolster its investment potential. However, the ongoing war in Ukraine and its impact on global supply chains could pose a risk, given A. O. Smith's international operations. The company's relatively high P/E ratio also suggests it may be overvalued, which could limit its short-term growth potential. The firm's involvement in the building products industry could benefit from the current economic recovery, but the potential for zero growth in the fourth quarter is a concern.</t>
  </si>
  <si>
    <t>Score: 70
Activision Blizzard operates in the Interactive Home Entertainment industry, which could benefit from the mainstream adoption of AI, particularly in areas like gaming. The company's financials are solid, with a market cap of 72.602B and a forward P/E ratio of 21.55, suggesting future earnings growth. However, the ongoing war in Ukraine and potential antitrust scrutiny from the Biden administration could pose risks. The company's stock is near its 52-week high, which might limit short-term upside potential. Therefore, while the company has strong fundamentals and operates in a promising industry, these risks lead to a moderately high score of 70 out of 100.</t>
  </si>
  <si>
    <t>Score: 70
Avery Dennison's investment potential seems moderately strong. The company's commitment to sustainable practices, as evidenced by the commissioning of Europe's largest Concentrated Solar Thermal platform, aligns with the growing trend of ESG investing. The shift in consumer habits towards everyday items could benefit Avery Dennison, a packaging materials provider. The company's financials show a stable performance with a reasonable P/E ratio and a decent dividend yield. However, the ongoing war in Ukraine and potential supply chain disruptions, along with the general economic uncertainty, could pose risks. The company's high enterprise value to EBITDA ratio also suggests it may be overvalued.</t>
  </si>
  <si>
    <t>Score: 70
American Express (AXP) has shown a steady performance with a 7% YTD gain. The company is part of Warren Buffet's portfolio, indicating a strong vote of confidence from one of the world's most successful investors. The recent upgrade by RBC analyst Jon Arfstrom to Outperform from Sector Perform, and an increased target price to $200 from $197, also bodes well for the company. 
However, the overall economic outlook presents a mixed picture. While the U.S. economy is performing better than expected, the forecast for the fourth quarter has been lowered to zero growth. The ongoing war in Ukraine and its impact on global economies, including potential spikes in energy prices and supply chain disruptions, could pose challenges. 
In the context of the financial industry, the Federal Reserve's sharp rate hikes could put pressure on companies like American Express. However, the company's stock seems relatively well-positioned in the current regulatory environment. 
In the AI sector, American Express could potentially benefit from the mainstream adoption and increased capabilities of AI, which could help streamline operations and boost profitability. However, it's important to monitor the company's ethical AI practices to mitigate potential investment risks. 
Given these factors, American Express presents a moderately high investment value for the next month.</t>
  </si>
  <si>
    <t>Score: 70
Boeing's recent $7.8 billion deal with Vietnam Airlines, along with other contracts, indicates a strong demand for its aircraft, which is a positive sign for the company's future revenue. The company's stock has also been performing well, which is reflected in its rising market cap. However, the ongoing war in Ukraine and the potential for further economic disruption could pose risks to Boeing's operations and financial performance. Additionally, the company's negative EPS and the ongoing investigation into its practices are concerning. Therefore, while there are promising signs, these risks lead to a moderately high score rather than a very high one.</t>
  </si>
  <si>
    <t>Score: 70
Ball Corporation's position as a leading supplier of aluminum packaging and aerospace technologies, coupled with its recent successful testing on the Weather System Follow-on – Microwave (WSF-M) satellite, indicates a strong operational performance. The company's upcoming presentation at the Morgan Stanley 11th Annual Laguna Conference could potentially reveal positive future plans, which might boost investor confidence. 
However, the retirement of the CFO and the appointment of a new successor may introduce some uncertainty in the short term. The company's financials show a stable performance with a reasonable P/E ratio and a modest dividend yield. 
The ongoing war in Ukraine and the potential disruptions in supply chains could impact the company's operations, given its involvement in metal and aerospace industries. However, the company's involvement in AI, particularly in aerospace, could provide growth opportunities. 
Overall, while there are some risks, Ball Corporation appears to be a solid investment in the current economic climate.</t>
  </si>
  <si>
    <t>Score: 70
Franklin Templeton (BEN) has a strong dividend history, which is a positive sign for investors seeking steady income. The company's recent announcement of a quarterly cash dividend of $0.30 per share, representing a 3.4% increase over the same quarter last year, further strengthens its appeal. The firm's 1-year target estimate is also higher than its current quote price, suggesting potential for growth. However, the ongoing war in Ukraine and the potential for further economic disruption, along with the Federal Reserve's aggressive rate hikes, could introduce volatility and risk. The firm's relatively high beta of 1.32 indicates it may be more volatile than the market overall. Additionally, the firm's P/E ratio is slightly high, suggesting it may be overvalued. However, the forward P/E is lower, indicating expected earnings growth. The firm's involvement in the growing AI sector could also provide potential growth opportunities.</t>
  </si>
  <si>
    <t>Score: 70
Baker Hughes has several positive factors that contribute to its potential investment value. The company has secured significant contracts for the Driftwood LNG project and Venture Global's expansion plan, indicating a strong future revenue stream. The recent rise in energy stocks also bodes well for Baker Hughes. However, the ongoing war in Ukraine and its impact on global economies, particularly in energy prices and supply chains, pose a risk. The company's P/E ratio is relatively high, suggesting that the stock may be overvalued. However, the forward P/E is lower, indicating expected earnings growth. The company's recent performance, with a decrease in oil and gas rigs for eight straight weeks, is a concern. Overall, while Baker Hughes shows promise, these risks and uncertainties lead to a score of 70.</t>
  </si>
  <si>
    <t>Score: 70
BorgWarner's financial data shows a healthy performance with a reasonable P/E ratio, indicating that the stock is not overvalued. The company's inclusion in Bank of America's list of stocks with untapped upside potential also suggests promising growth prospects. However, the ongoing war in Ukraine and its impact on global supply chains could pose risks, especially for a company in the automotive parts and equipment industry. The rise in AI adoption in the automotive industry could be a potential growth driver for BorgWarner, but the overall economic uncertainty tempers the investment score.</t>
  </si>
  <si>
    <t>Score: 70
Copart's financial data shows a stable performance with a market cap of 42.686B and a forward P/E ratio of 16.56, indicating expected earnings growth. The company's earnings release on September 14, 2023, could provide a positive catalyst if results exceed expectations. However, the ongoing war in Ukraine and its impact on global economies, along with the Federal Reserve's aggressive rate hikes, add uncertainty to the investment environment. The company's involvement in the Diversified Support Services industry could also be influenced by these macroeconomic factors. Furthermore, the company's high PEG ratio of 1.66 suggests that the stock may be overvalued given its expected growth rates.</t>
  </si>
  <si>
    <t>Score: 70
Conagra Brands has a stable financial position with a healthy dividend yield of 4.81%, indicating a good return for investors. The company's cash flow has increased, which enhances the safety of its dividend yield. The company's P/E ratio is reasonable, and its forward P/E indicates potential growth. The company's Beta is less than 1, suggesting it is less volatile than the market. However, the ongoing war in Ukraine and its impact on global supply chains could pose a risk to the company's operations. The company's involvement in the packaged foods &amp; meats industry could also be affected by inflation and changes in consumer spending due to economic uncertainties.</t>
  </si>
  <si>
    <t>Score: 70
Cardinal Health's potential investment value is relatively high due to several factors. The company operates in the healthcare sector, which is expected to benefit from the increasing adoption of AI. Despite not being totally driven by AI, the company can still leverage AI for efficiency and cost reduction. The firm's financial data shows a healthy market cap and a forward P/E ratio that suggests growth expectations. The company also offers a decent dividend yield, which could be attractive in the current economic climate with the Federal Reserve raising rates. However, the ongoing war in Ukraine and its potential impact on global economies, including the U.S., pose a risk. The company's high trailing P/E ratio also suggests that the stock may be overvalued, which could limit its upside potential.</t>
  </si>
  <si>
    <t>Score: 70
Carrier Global Corporation (CARR) has been showing positive signs in its business operations, with the launch of new products and strategic collaborations. The company's financial data indicates a stable performance with a reasonable P/E ratio and a decent market cap. The company's involvement in the HVAC industry could benefit from the ongoing trends in energy efficiency and sustainability, which are likely to continue given the current economic climate. However, the ongoing war in Ukraine and its impact on global supply chains could pose a risk to the company's operations. Furthermore, the company's stock is currently trading near its 52-week high, which might limit the upside potential in the short term. Therefore, while the company has strong fundamentals, potential macroeconomic risks and current stock price levels warrant a moderately positive score.</t>
  </si>
  <si>
    <t>Score: 70
CBRE Group's financial data shows a stable performance with a market cap of 26.615B and a trailing P/E ratio of 32.17, indicating a relatively high valuation. The company's participation in the Barclays 2023 Global Financial Services Conference could potentially boost investor confidence. However, the ongoing war in Ukraine and its impact on global economies, along with the Federal Reserve's rate hikes, could introduce some volatility in the market. The company's involvement in real estate services could be affected by these macroeconomic factors. Furthermore, while AI adoption is increasing across sectors, its direct impact on real estate services is not as pronounced as in other industries like healthcare or manufacturing. Therefore, while CBRE Group shows promise, these factors lead to a moderately high score of 70.</t>
  </si>
  <si>
    <t>Score: 70
Crown Castle's current situation presents a mixed bag of opportunities and challenges. On the positive side, the company is undervalued and offers a high dividend yield of 6.31%, which is attractive for income investors. The company's strong balance sheet and portfolio appeal also add to its investment value. 
However, there are several factors that could potentially impact the company's performance. The ongoing war in Ukraine has caused disruptions in global supply chains, which could affect the company's operations. Additionally, the Federal Reserve's aggressive rate hikes could put pressure on REITs, as they tend to perform poorly in a high-interest-rate environment. 
The company's involvement in the telecom industry could also be a double-edged sword. On one hand, the increasing adoption of AI and advancements in technology could drive demand for telecom services. On the other hand, the potential reduction in CapEx spending by telcos could negatively impact Crown Castle.
Overall, while there are some risks involved, the company's high dividend yield and undervalued status make it a potentially good investment for the next month.</t>
  </si>
  <si>
    <t>Score: 70
CDW Corporation, a provider of technology products and services, has shown strong performance with a 1-year target estimate of $216.33 and a 52-week range of $147.91 - $215.70. The company's EPS stands at 7.87, indicating good profitability. The company's market cap of $28.112B and enterprise value of $34.24B suggest a solid financial position. 
However, the ongoing war in Ukraine and its impact on global supply chains could pose a risk to CDW, given its reliance on global technology suppliers. The company's P/E ratio is relatively high at 26.65, suggesting that the stock may be overvalued. 
On the positive side, the growing adoption and capabilities of AI present potential growth opportunities for CDW, especially in sectors like healthcare and manufacturing where the company has a strong presence. 
Overall, while there are some risks associated with macroeconomic factors and potential overvaluation, CDW's strong financial performance and the growth potential offered by AI make it a relatively attractive investment.</t>
  </si>
  <si>
    <t>Score: 70
Cigna's potential investment value is relatively high due to several factors. The company's new plan for globally mobile seniors could meet significant demand, potentially boosting its revenue. The firm's financial data also shows a healthy market cap and a reasonable PE ratio, indicating a stable financial position. However, the ongoing class action lawsuit against Cigna could negatively impact its stock value. Additionally, the general bearish sentiment in the stock market, as expressed by renowned investor Michael Burry, could also affect Cigna's stock performance.</t>
  </si>
  <si>
    <t>Score: 70
Comcast's potential investment value is relatively high due to several factors. The company's recent initiatives to promote digital literacy and internet adoption, backed by substantial grants, indicate a proactive approach to expanding its customer base and enhancing its social impact. The imminent sale of its stake in Hulu to Disney could also provide a significant cash influx. However, the recent Xfinity Stream app outage during the NFL season kickoff is a concern, as it may affect customer satisfaction and retention. The company's financial data shows a stable performance with a reasonable P/E ratio and a decent dividend yield, which adds to its attractiveness as an investment. However, the ongoing war in Ukraine and its impact on global economies, along with the potential for increased regulation in the AI sector, are factors that could introduce some risk.</t>
  </si>
  <si>
    <t>Score: 70
CMS Energy has a stable financial position with a market cap of 16.389B and a low beta of 0.37, indicating less volatility compared to the market. The company's P/E ratio is reasonable, and it offers a decent dividend yield of 3.48%. However, the ongoing war in Ukraine and its impact on energy prices, along with the Federal Reserve's rate hikes, could pose challenges. The company's involvement in environmental conservation (turtle rescue) could enhance its reputation, potentially attracting ESG-focused investors. The adoption of AI in various sectors doesn't directly impact CMS Energy, but advancements in AI could potentially improve operational efficiency in the future.</t>
  </si>
  <si>
    <t>Score: 70
CooperCompanies operates in the healthcare sector, which is expected to benefit from the increasing adoption of AI. The company's recent announcement about its leadership role at the Cord Blood Connect meeting indicates a strong position in the industry. The firm's financial data shows a stable market cap and a reasonable P/E ratio, suggesting a solid financial footing. However, the ongoing war in Ukraine and the potential for further economic disruption, along with the general economic outlook, may pose risks. The company's high forward P/E ratio also suggests that much of its future growth may already be priced into the stock.</t>
  </si>
  <si>
    <t>Score: 70
Garmin's recent product launches in the marine and smartwatch segments indicate a proactive approach to expanding its offerings and capturing more market share. The company's financials are also solid, with a reasonable P/E ratio, a healthy market cap, and a decent dividend yield. However, the ongoing war in Ukraine and its impact on global supply chains could pose challenges. Additionally, the company's involvement in AI is not clear, which could limit its growth potential in the current tech-driven market.</t>
  </si>
  <si>
    <t>Score: 70
Zoetis has shown strong performance with a healthy market cap of 85.845B and a forward P/E ratio of 29.59, indicating expected earnings growth. The company's participation in the upcoming Morgan Stanley 21st Annual Global Healthcare Conference could potentially bring positive attention to the stock. Furthermore, the company's commitment to advancing opportunities for veterinarians and livestock farmers through its foundation grants is a positive sign of corporate social responsibility, which could enhance its reputation and stock value. However, the ongoing war in Ukraine and its impact on global economies, along with the recent downgrade of federal debt by Fitch, could introduce some volatility and risk in the short term. Additionally, the company's stock has declined 1.3% since the last earnings report, which might indicate some investor skepticism.</t>
  </si>
  <si>
    <t>Score: 70
Huntington Bancshares has a promising outlook due to its recent investment in AI-based solutions for the healthcare industry, which aligns with the current trend of AI adoption in healthcare. This could potentially boost their profitability. The company's financial data shows a stable performance with a reasonable PE ratio and a decent dividend yield. However, the ongoing war in Ukraine and its impact on the global economy, along with the recent downgrade of federal debt, add a level of uncertainty that slightly dampens the investment potential.</t>
  </si>
  <si>
    <t>Score: 70
J.B. Hunt's potential investment value is relatively high due to several factors. The company operates in the Cargo Ground Transportation industry, which could benefit from the easing of supply chain issues and the recovery from the COVID-19 pandemic. The company's financial data shows a stable performance with a reasonable P/E ratio, indicating that the stock is not overvalued. The company's market cap and enterprise value are also substantial, suggesting a strong market presence. However, the ongoing war in Ukraine and potential disruptions in global supply chains could pose risks. Additionally, the company does not seem to be significantly involved in AI, which is a major trend in 2023. Therefore, while the company has strong fundamentals, there are potential risks and missed growth opportunities that moderate the score.</t>
  </si>
  <si>
    <t>Score: 70
IDEX Corporation (IEX) is a solid investment option in the Industrial Machinery &amp; Supplies &amp; Components industry. The company has a stable financial performance with a consistent dividend payout, indicating a strong financial position. The company's P/E ratio is slightly high, suggesting that the stock might be overvalued, but the forward P/E indicates expected earnings growth. The company's beta is close to 1, suggesting that the stock's price movement is closely aligned with the market, which could be a positive sign for risk-averse investors. However, given the ongoing war in Ukraine and its potential impact on global supply chains, there could be some risk associated with investing in this sector. Additionally, the recent downgrade of federal debt could potentially impact the overall market sentiment. Therefore, while IEX presents a good investment opportunity, these factors have led to a slightly reduced score.</t>
  </si>
  <si>
    <t>Score: 70
Kraft Heinz's strategic moves, such as entering the school lunch market, and its commitment to maintaining dividends make it an attractive investment. The company's strong balance sheet and undervalued status suggest potential for significant upside. However, the ongoing inflation and rising interest rates pose risks. The company's low P/E ratio and high dividend yield also indicate a potentially undervalued stock. However, the ongoing war in Ukraine and its impact on global supply chains could pose challenges. The company's move into AI and tech-related areas could provide future growth opportunities, but these are still uncertain.</t>
  </si>
  <si>
    <t>Score: 70
Jack Henry &amp; Associates has a stable financial position with a market cap of 10.969B and an enterprise value of 11.31B. The company's P/E ratio is relatively high, indicating that investors are willing to pay a higher price for its earnings, which could be a sign of expected future growth. The firm's beta is less than 1, suggesting it's less volatile than the market, which could be beneficial in the current uncertain economic climate. However, the ongoing war in Ukraine and persistent inflation could pose risks. The company's involvement in transaction and payment processing services could benefit from the mainstream adoption of AI, but the firm's high PEG ratio suggests it may be overvalued relative to its earnings growth.</t>
  </si>
  <si>
    <t>Score: 70
Intercontinental Exchange (ICE) has shown strong performance with a total average daily volume (ADV) up 12% year over year and energy ADV up 34% year over year. The company's recent acquisition of Black Knight, a software, data, and analytics company, could potentially enhance its data and technology capabilities, which is a positive sign for future growth. However, the ongoing war in Ukraine and the potential for further economic disruption could pose risks. Additionally, the high interest rates and tightening credit conditions in the housing market could impact the company's mortgage-related services. The company's P/E ratio is relatively high, suggesting that the stock may be overvalued. However, the forward P/E is much lower, indicating expected earnings growth. The company's strong market position, recent acquisition, and potential for growth in the data and technology sector contribute to a relatively high score, but these positive factors are somewhat offset by the potential risks associated with the current economic climate.</t>
  </si>
  <si>
    <t>Score: 70
Intuitive Surgical has a strong market position in the healthcare sector, which is expected to grow due to the increasing adoption of AI. The company's recent presentation at the Wells Fargo Healthcare Conference indicates active engagement with investors and the market. However, some analysts suggest that there are better healthcare picks than Intuitive Surgical, and the company's high P/E ratio indicates that the stock may be overvalued. The ongoing war in Ukraine and its impact on global economies could also introduce volatility in the stock market. Therefore, while the company has potential for growth, there are also significant risks involved.</t>
  </si>
  <si>
    <t>Score: 70
Johnson Controls operates in the Building Products industry, which is likely to benefit from the ongoing economic recovery and the corporate commitment to net zero emissions. The company's financials are solid, with a reasonable P/E ratio, a forward dividend yield of 2.58%, and a market cap of 38.969B. The company's 1-year target estimate is higher than its current price, indicating potential for growth. However, the ongoing war in Ukraine and the potential for further economic disruption, as well as the recent downgrade of federal debt, introduce some uncertainty into the investment outlook. The company's involvement in AI and its potential for cost efficiency and increased capabilities could also be a positive factor for growth.</t>
  </si>
  <si>
    <t>Score: 70
Kimberly-Clark's potential investment value is relatively high due to several factors. The company's strategic blueprint for innovation, market growth, cost control, and digital transformation indicates a proactive approach to navigating the evolving consumer goods landscape. This is further supported by the company's FORCE program, which is focused on growth efforts. 
The company's financial data also suggests a stable investment. The company has a low Beta (0.41), indicating lower volatility and risk compared to the market. The forward P/E ratio is lower than the trailing P/E, suggesting that earnings are expected to grow. The company's dividend yield of 3.7% is also attractive for income-focused investors.
However, the ongoing war in Ukraine and its impact on global supply chains could pose a risk to Kimberly-Clark, given its international operations. The company's high Price/Book ratio also suggests that the stock may be overvalued. 
Overall, while Kimberly-Clark presents a promising investment opportunity, investors should be mindful of potential macroeconomic risks.</t>
  </si>
  <si>
    <t>Score: 70
Kinder Morgan's potential investment value is relatively high due to several factors. The ongoing war in Ukraine has caused spikes in energy prices, which could benefit Kinder Morgan as a midstream company in the Oil &amp; Gas Storage &amp; Transportation industry. The company's financial data shows a stable performance with a reasonable P/E ratio and a good dividend yield, which could attract income-focused investors. However, the Federal Reserve's aggressive rate hikes and the potential impact of AI on the energy sector could introduce some uncertainty. Therefore, while Kinder Morgan presents a good investment opportunity, these risks prevent a higher score.</t>
  </si>
  <si>
    <t>Score: 70
Interpublic Group of Companies (IPG) presents a moderate investment opportunity. The company's financials are solid, with a reasonable P/E ratio and a healthy market cap. The upcoming presentation at the BofA Securities Media, Communications &amp; Entertainment Conference could potentially reveal positive news, which might boost the stock's performance. However, the ongoing war in Ukraine and the potential for further economic disruption, along with the recent downgrade of federal debt, introduce some uncertainty into the investment landscape. Furthermore, while AI is becoming increasingly important across various sectors, its impact on the advertising industry and specifically on IPG is not clear from the provided information. Therefore, while IPG appears to be a solid company, these macroeconomic factors and uncertainties lead to a moderate score.</t>
  </si>
  <si>
    <t>Score: 70
Keurig Dr Pepper (KDP) appears to be a solid investment opportunity in the short term. The soft drink industry is experiencing growth and KDP is among the companies expected to benefit from this trend. The company's financial data shows a stable performance with a reasonable P/E ratio, suggesting it is not overvalued. The company's beta is less than 1, indicating it is less volatile than the market. However, the ongoing war in Ukraine and potential supply chain disruptions, along with the Federal Reserve's interest rate hikes, could pose risks. The company's involvement in AI is not specified, but the general trend of AI adoption in various sectors could potentially benefit KDP in the long run.</t>
  </si>
  <si>
    <t>Score: 70
Hologic's financial data shows a stable performance with a market cap of 17.866B and a PE ratio of 37.79, indicating a relatively high valuation. The company's stock is trading within its 52-week range, suggesting a stable market sentiment. The appointment of a new president could bring fresh strategies and growth opportunities. However, the ongoing war in Ukraine and its impact on global economies, coupled with the Federal Reserve's rate hikes, could introduce volatility and uncertainty in the market. The growth of AI in healthcare could potentially benefit Hologic, but the extent of this impact is uncertain. Therefore, while Hologic presents a decent investment opportunity, these factors lead to a moderate score of 70.</t>
  </si>
  <si>
    <t>Score: 70
Hess Corporation seems to be in a relatively strong position within the Integrated Oil &amp; Gas industry, despite the industry's overall gloomy outlook due to extreme volatility in oil and gas prices and high input prices in refining activities. The company's regular quarterly dividend announcement and its potential to survive business challenges, as suggested by the Zacks Oil &amp; Gas US Integrated industry report, are positive indicators. 
However, the ongoing war in Ukraine and its impact on global economies, including spikes in energy prices and disruptions in supply chains, could pose significant risks. The company's high P/E ratio also suggests that its stock might be overvalued. 
On the other hand, the company's strong market cap, forward dividend yield, and the fact that it's trading within its 52-week range suggest stability. The company's Beta of 1.6 indicates that the stock is more volatile than the market, which could mean potential for higher returns but also higher risk. 
In the context of AI, while Hess Corporation may not be directly involved, the advancements and adoption of AI in various sectors could indirectly impact the company, particularly in areas like supply chain management and operational efficiency. 
Overall, while there are some risks associated with investing in Hess Corporation, the company's strong position within its industry and potential benefits from AI advancements make it a moderately attractive investment.</t>
  </si>
  <si>
    <t>Score: 70
Ingersoll Rand has shown strength in its Industrial Technologies &amp; Services segment, which is a positive sign. The company's shareholder-friendly policies also add to its attractiveness. However, the recent change in leadership in the Precision &amp; Science Technologies business segment could introduce some uncertainty. The company's financial data shows a healthy market cap and enterprise value, but the P/E ratios are relatively high, indicating the stock may be overvalued. The ongoing war in Ukraine and its impact on global supply chains could also pose risks. However, the company's involvement in sectors like manufacturing where AI is becoming increasingly prevalent could present growth opportunities.</t>
  </si>
  <si>
    <t>Score: 70
Henry Schein's position in the healthcare industry, which is expected to benefit from the increasing adoption of AI, contributes positively to its investment potential. The company's consistent social responsibility initiatives, such as the 'Back to School' program, enhance its public image and could potentially drive customer loyalty. The firm's financial data shows a stable performance with a reasonable P/E ratio, suggesting it is not overvalued. However, the ongoing war in Ukraine and its potential impact on global supply chains could pose risks. Additionally, the company's upcoming earnings date in late October could introduce volatility. Overall, while there are some risks, Henry Schein appears to be a relatively solid investment for the next month.</t>
  </si>
  <si>
    <t>Score: 70
Illinois Tool Works (ITW) is a solid company with a stable financial position, as indicated by its market cap of $71.75B and a forward dividend yield of 2.35%. The company's P/E ratio is reasonable, suggesting that the stock is not overvalued. The appointment of a new CEO could bring fresh perspectives and strategies, potentially driving growth. However, the ongoing war in Ukraine and its impact on global supply chains could pose challenges for the company, given its involvement in the industrial machinery and supplies industry. The company's involvement in AI, particularly in manufacturing, could be a potential growth driver, but it's unclear how much this will impact the company's performance in the short term. The company's score reflects these factors.</t>
  </si>
  <si>
    <t>Score: 70
Hormel Foods has a stable financial position with a market cap of 20.417B and a low beta of 0.19, indicating less volatility than the market. The company's P/E ratio is slightly high, suggesting that the stock may be overvalued. However, Hormel's involvement in AI, as indicated in the news, could potentially boost its profitability in the future. The company's limited-time offer of Pumpkin Spice Ham could also increase sales in the short term. However, the ongoing war in Ukraine and its impact on global supply chains could pose a risk. The company's dividend yield of 2.96% is also attractive for income-focused investors.</t>
  </si>
  <si>
    <t>Score: 70
The score is based on several factors. The U.S. economy is showing signs of growth, albeit slower in the fourth quarter, and inflation is moving lower. These factors are generally positive for real estate investments. The low unemployment rate suggests a healthy labor market, which could support demand for housing. However, the ongoing war in Ukraine and its impact on global economies, including potential disruptions in supply chains, could pose risks. 
Mid-America Apartment Communities has a stable market cap and a reasonable P/E ratio, suggesting it is not overvalued. The company's dividend yield is also attractive. However, the retirement of the CFO could introduce some uncertainty. 
The rise in AI adoption could potentially benefit the company if it can leverage this technology to improve its operations and customer service. However, the company's specific plans in this area are not clear from the information provided. 
Overall, while there are some potential risks, the company appears to be a solid investment based on the current economic conditions and its financial performance.</t>
  </si>
  <si>
    <t>Score: 65
Targa Resources Corp. (TRGP) has a solid market cap of $18.825B and a forward P/E ratio of 12.47, which suggests that the market has positive expectations for its future earnings growth. The company's participation in upcoming investor conferences could also potentially boost its visibility and investor confidence. However, the ongoing war in Ukraine and its impact on global energy prices, along with the Federal Reserve's aggressive rate hikes, could introduce volatility and risk to the oil &amp; gas sector. Furthermore, the company's high beta of 2.26 indicates it's more volatile than the market, which could lead to larger price swings. Therefore, while TRGP has potential for growth, these factors contribute to a moderate investment score.</t>
  </si>
  <si>
    <t>Score: 65
Constellation Brands (STZ) has a strong history of earnings surprises and is expected to perform well in its next quarterly report. The company's popular brands, such as Modelo Especial and Corona Extra, contribute to its stable growth and high margins. The potential reclassification of marijuana by the U.S. government could also positively impact STZ, given its significant investment in the cannabis industry. However, the company's current valuation is a concern, with a DCF model estimating a significant downside for the stock. The company's high P/E ratio also suggests that the stock may be overvalued. Therefore, while there are positive aspects to STZ's outlook, these concerns limit the potential investment value.</t>
  </si>
  <si>
    <t>Score: 65
Stanley Black &amp; Decker (SWK) presents a moderate investment opportunity in the current economic climate. The company's upcoming presentation at the Morgan Stanley 11th Annual Laguna Conference could reveal strategic plans that may boost investor confidence. Furthermore, SWK is recognized as one of the manufacturing tools stocks well-positioned to capitalize on improving supply chains, which is a positive sign amid the industry's slowdown.
However, there are several factors that temper the investment potential. The company's EPS (TTM) is negative, and the P/E ratio is not available, indicating potential financial instability or lack of profitability. Additionally, the company's high beta of 1.37 suggests it is more volatile than the market, which could be a risk factor for investors.
The ongoing war in Ukraine and its impact on global supply chains could also pose a risk to SWK, given its involvement in the manufacturing sector. However, the company's dividend yield of 3.56% is higher than the S&amp;P 500 average, making it attractive for income-focused investors.
In the context of AI, SWK could potentially benefit from AI integration in its manufacturing processes, leading to improved efficiency and cost savings. However, the extent of its adoption and the impact on its bottom line is unclear based on the provided information.
Overall, while SWK presents some promising aspects, potential investors should be mindful of the risks associated with the current economic climate and the company's financial health.</t>
  </si>
  <si>
    <t>Score: 65
Citizens Financial Group has a relatively low PE ratio, indicating that it may be undervalued. The company also has a high dividend yield, which could be attractive to income-focused investors. However, the potential for regional banks to take on significant debt to meet regulatory requirements could put pressure on the company's financials. Additionally, the ongoing war in Ukraine and its impact on global economies could introduce further volatility. The company's high beta indicates it is more volatile than the market, which could be a risk factor. However, the overall economic outlook, with GDP growth and falling inflation, could be beneficial for the banking sector.</t>
  </si>
  <si>
    <t>Score: 65
Goldman Sachs is facing a mixed bag of circumstances. On the positive side, the bank is making strategic moves such as the reshuffle of its executive committee and the launch of a $100 million investment in rural communities. The bank's asset management division has also been appointed to manage a significant amount of assets for BAE Systems' pension schemes. Furthermore, the bank is expected to benefit from a pickup in dealmaking on Wall Street and momentum in asset management businesses.
However, there are several negative factors to consider. The bank is planning another round of layoffs, which could impact morale and productivity. The CEO has been facing criticism, which could potentially affect leadership stability. The bank is also involved in a lawsuit, which could result in financial and reputational damage. 
The bank's financial data shows a reasonable PE ratio and a decent dividend yield, but the volume of shares traded is relatively low, which could indicate a lack of investor interest. 
Overall, while Goldman Sachs has some promising aspects, the negative factors and uncertainties lower the potential investment value for the next month.</t>
  </si>
  <si>
    <t>Score: 65
Invesco's potential investment value is moderately high, given the current economic outlook and the company's financial data. The firm's PE Ratio is relatively low, indicating that the stock may be undervalued. The company's involvement in the development of a Bitcoin ETF could be a significant growth driver, especially if the SEC approves the ETF applications. However, the ongoing war in Ukraine and the potential for increased inflation could negatively impact the company's performance. Additionally, the firm's high Enterprise Value/EBITDA ratio suggests that it may be overvalued based on its earnings before interest, taxes, depreciation, and amortization.</t>
  </si>
  <si>
    <t>Score: 65
AT&amp;T's potential investment value is moderately high due to several factors. The company operates in the Integrated Telecommunication Services industry, which is expected to benefit from the ongoing digital transformation and increased demand for telecommunication services amid the COVID-19 pandemic. The company's large market cap and enterprise value suggest a strong market presence and stability. However, the negative EPS and the absence of a PE ratio indicate some financial challenges. The company's high forward dividend yield could be attractive to income-focused investors. The ongoing war in Ukraine and its impact on global economies could introduce some uncertainties. The advancements in AI could present both opportunities and challenges for AT&amp;T. Therefore, while there are positive aspects, potential investors should also consider the risks and uncertainties.</t>
  </si>
  <si>
    <t>Score: 65
Tapestry, Inc. has a relatively low P/E ratio and a decent dividend yield, which could make it an attractive investment for value and income investors. However, the company's recent acquisition of Capri has been met with skepticism from investors, which could put downward pressure on the stock price in the short term. Additionally, the ongoing war in Ukraine and its impact on global supply chains could pose risks for the company, given its reliance on international manufacturing and sales. The company's involvement in the apparel and luxury goods industry could also make it vulnerable to changes in consumer spending, which could be affected by the current economic conditions. However, the company's solid financials and the potential for recovery in the luxury goods market as the economy continues to recover from the COVID-19 pandemic could provide some upside potential.</t>
  </si>
  <si>
    <t>Score: 65
C.H. Robinson's recent opening of a large logistics facility at a key U.S. border crossing indicates a strategic move to capitalize on the nearshoring boom in Mexico. This could potentially boost its revenues in the near term. The company's new CEO, Dave Bozeman, with his significant industry experience, is expected to navigate the challenging conditions in global freight markets, which could stabilize the company's performance. 
However, the ongoing war in Ukraine and its impact on global economies, including disruptions in supply chains, could pose significant challenges for the company. The company's weakened earnings outlook due to weak demand, high inventories, and excess capacity in global freight markets also adds to the uncertainty. 
The company's financial data shows a stable market cap and a reasonable P/E ratio, indicating a fair valuation. The company's commitment to rewarding its shareholders through dividends is a positive sign. However, the softness in freight demand could hurt the company's performance. 
Given these factors, the score of 65 reflects a moderately positive outlook for C.H. Robinson in the next month, with potential upside from strategic initiatives but also significant risks from global economic conditions and industry-specific challenges.</t>
  </si>
  <si>
    <t>Score: 65
Charter Communications has been facing a significant dispute with Disney, which has led to a temporary blackout of Disney channels for Charter's customers. This has caused some short-term volatility in the stock. However, the company's financials remain strong, with a reasonable P/E ratio and a solid market cap. The company's focus on broadband and wireless services, which are less affected by the dispute, also provides some stability. The ongoing dispute could provide a buying opportunity if the stock price falls further, but there is also a risk of continued volatility until the dispute is resolved.</t>
  </si>
  <si>
    <t>Score: 65
Tyson Foods' recent collaboration with Gatik AI to deploy autonomous trucks for supply chain efficiency is a positive development, indicating the company's willingness to adopt advanced technology for cost and productivity improvements. This could potentially enhance their operational efficiency and reduce costs in the long run. However, the company's overproduction of chicken and subsequent plant closures indicate some operational missteps that could impact short-term profitability. The company's P/E ratio is relatively high, suggesting that the stock may be overvalued. However, the forward P/E is much lower, indicating expected earnings growth. The company's dividend yield of 3.69% is also attractive for income-focused investors. The ongoing war in Ukraine and its impact on global supply chains could pose risks, but Tyson's domestic focus may mitigate some of these concerns. Overall, Tyson Foods presents a moderately attractive investment opportunity with some risks.</t>
  </si>
  <si>
    <t>Score: 65
Micron Technology's potential investment value is moderately high due to several factors. The company has been able to raise NAND wafer contract prices by 10% in September, indicating a positive move. The end of the supply surplus for semiconductors could also benefit Micron. However, the company's high inventories and the expected sharp downturn in 2023 are concerning. The company's financial data shows a healthy market cap and enterprise value, but the negative EPS and high forward P/E ratio suggest potential risks. The ongoing war in Ukraine and its impact on global supply chains could also affect Micron's performance. Finally, the company's involvement in the AI sector, which is expected to grow significantly, could provide a boost.</t>
  </si>
  <si>
    <t>Score: 65
Campbell Soup Company (CPB) presents a moderate investment opportunity. The company's low beta indicates it's less volatile than the market, which could be beneficial in the current uncertain economic climate. The P/E ratio is relatively low, suggesting the stock may be undervalued. The company's forward dividend yield of 3.51% is attractive for income-focused investors. However, the ongoing war in Ukraine and its impact on global supply chains could pose risks to the company's operations. Additionally, the company's high Enterprise Value/EBITDA ratio suggests it may be overvalued on a cash flow basis. The firm's involvement in the packaged foods industry doesn't directly benefit from the AI trends, but it could indirectly benefit from AI's potential to improve supply chain efficiency.</t>
  </si>
  <si>
    <t>Score: 65
Clorox's potential investment value is moderately high due to several factors. The company's financial data shows a stable performance with a low beta, indicating less volatility compared to the market. The forward P/E ratio is significantly lower than the trailing P/E, suggesting that earnings are expected to grow. The company's participation in the Barclays Global Consumer Staples Conference also indicates active engagement with investors and the market. However, the ongoing war in Ukraine and its impact on global supply chains could pose challenges. Additionally, the high enterprise value to EBITDA ratio suggests the company might be overvalued. The company's involvement in the household products industry could see a boost due to persistent inflation, as consumers may prioritize essential goods. However, the company does not seem to be directly benefiting from the current trends in AI, which could limit its growth potential compared to companies in tech-focused industries.</t>
  </si>
  <si>
    <t>Score: 65
Citigroup's potential investment value is moderately high due to several factors. The bank's earnings have improved due to higher rates and decent loan demand, and it is actively seeking to bolster fee income. The bank's involvement in strategic alternatives for Berry Global's Health, Hygiene, and Specialties unit also indicates potential growth. However, rising funding costs, poor asset quality, and lower deposit balance remain as challenges. The bank's stock is also trending, indicating investor interest. However, the downgrade of several regional banks by Moody's and the overall struggle of banks in August suggest potential profitability pressures. The bank's financial data shows a reasonable PE ratio and a decent dividend yield, but the stock is currently trading near the lower end of its 52-week range, indicating some investor caution. The ongoing war in Ukraine and the potential for further economic disruption also add a degree of uncertainty.</t>
  </si>
  <si>
    <t>Score: 65
Kellogg's has a stable financial outlook with a low beta of 0.42, indicating less volatility than the market. The company's P/E ratio is relatively high, suggesting that investors expect higher earnings growth in the future. The upcoming separation into two companies could potentially unlock value, and recent partnerships and product launches indicate a proactive approach to market trends. However, the ongoing war in Ukraine and its impact on global supply chains could pose risks. The company's involvement in the AI sector is unclear, which could be a missed opportunity given the sector's growth potential.</t>
  </si>
  <si>
    <t>Score: 65
Wabtec's financial data shows a stable performance with a market cap of 19.113B and a PE ratio of 28.45, indicating a reasonable valuation. The company's forward P/E of 17.06 suggests that investors have positive expectations for the company's earnings growth. However, the ongoing antitrust complaint filed by Progress Rail could potentially impact Wabtec's reputation and financial stability, which adds a level of uncertainty. Furthermore, the macroeconomic conditions, including the ongoing war in Ukraine and its impact on global supply chains, could potentially affect Wabtec's operations and profitability. On the other hand, the company could benefit from the increased adoption of AI in various sectors, including manufacturing.</t>
  </si>
  <si>
    <t>Score: 65
Zebra Technologies (ZBRA) is currently facing some challenges, such as a soft mobile computing market and unfavorable foreign currency movements, which are impacting its Enterprise Visibility &amp; Mobility segment. However, the company has also recently announced a promising partnership with the Minnesota Vikings, where it will apply its RFID tracking technology to capture player and ball data. This could potentially open up new avenues for the company in the sports analytics market.
Financially, ZBRA's current P/E ratio is 21.14, which is relatively high, indicating that the stock might be overvalued. However, the company's forward P/E ratio is lower at 18.66, suggesting that earnings are expected to grow. The company's 1-year target estimate is 304.22, which is higher than its current price, indicating potential for growth.
Given the current economic climate, with the ongoing war in Ukraine and the Federal Reserve's recent rate hikes, there might be some volatility in the market. However, Zebra Technologies' involvement in the growing AI sector, particularly with its recent move into sports analytics, could provide some resilience against these macroeconomic headwinds.
Therefore, while there are some risks associated with investing in ZBRA at this time, there are also potential opportunities for growth, leading to a score of 65.</t>
  </si>
  <si>
    <t>Score: 65.
Apple Inc. remains a strong player in the technology sector, with promising developments such as the upcoming iPhone 15 release and a new long-term deal with chip designer Arm. However, there are significant challenges that could impact the company's performance in the short term. The Chinese government's ban on iPhones in central government offices could significantly affect Apple's revenues, and the ongoing antitrust trial against Google could have implications for Apple. Additionally, the company's stock has been volatile, with differing analyst predictions adding to the uncertainty. The company's financial data shows a healthy market cap and enterprise value, but the P/E ratios suggest the stock might be overvalued. Given these factors, while Apple remains a solid long-term investment, the score reflects potential short-term risks.</t>
  </si>
  <si>
    <t>Score: 65
The score reflects the potential investment value of Meta Platforms in the Interactive Media &amp; Services industry for the next month. The U.S. economy is showing signs of growth, and the labor market remains tight, which could lead to increased consumer spending. However, the ongoing war in Ukraine and the persistent inflation could pose risks. 
Meta Platforms, formerly known as Facebook, is a major player in the AI sector, which is expected to see significant growth. The company's investments in AI and its integration into its services could drive profitability. However, the company could face regulatory challenges due to ethical concerns related to AI. 
Furthermore, the company's strong financial performance, with a market cap of 781.296B and a PE Ratio (TTM) of 35.42, indicates its potential for growth. However, the volatility in Apple's stock and the potential impact of the China ban on iPhones could affect Meta Platforms' performance. 
Therefore, while Meta Platforms has strong potential for growth, investors should be cautious due to the potential risks.</t>
  </si>
  <si>
    <t>Score: 65
Allstate Corporation (ALL) presents a moderate investment opportunity in the current economic climate. The company's forward P/E ratio of 8.28 suggests that it is undervalued compared to its earnings potential. The firm's dividend yield of 3.30% is also attractive for income-focused investors. However, the ongoing war in Ukraine and potential UAW strike could disrupt supply chains and put pressure on margins in the auto insurance business, which could negatively impact Allstate's performance. Additionally, the company's negative EPS (TTM) and the absence of a PEG ratio indicate potential financial instability. The company's involvement in the AI sector could provide growth opportunities, but this is offset by the broader economic uncertainties.</t>
  </si>
  <si>
    <t>Score: 65
AMD's potential investment value is moderately high due to several factors. The company's heavy investment in AI and its debut in the AI chip market are promising signs of future growth. Despite facing stiff competition from Nvidia, AMD has shown resilience and adaptability, with a strong focus on innovation and a wide gross margin that allows for continued investment. The company's expansion into the automotive industry with its next-gen camera system also indicates a diversification of revenue streams. However, the company's high expectations for AI revenue and the potential negative impact of the industry's shift to AI on its data center CPU business pose significant risks. Furthermore, the ongoing war in Ukraine and its impact on global economies could potentially disrupt AMD's supply chains and increase its operational costs.</t>
  </si>
  <si>
    <t>Score: 65
American Tower Corporation (AMT) is a leading player in the Telecom Tower REITs industry. Despite the recent dip in its stock price, the company's fundamentals remain strong. The company's forward P/E ratio of 35.84 suggests that the market expects earnings growth in the future. The company also offers a decent dividend yield of 3.47%, which is attractive for income-focused investors. 
However, the overall real estate sector has been on shaky ground throughout 2023, and the company's high enterprise value to EBITDA ratio of 23.55 suggests that the stock may be overvalued. Additionally, the ongoing war in Ukraine and its impact on global economies could further affect the company's performance. 
On the positive side, the company's involvement in technology, particularly with the rise of AI and its potential applications in various sectors, could provide growth opportunities. 
In conclusion, while there are some risks associated with investing in AMT at this time, the company's strong fundamentals and potential for growth in the technology sector make it a moderately attractive investment.</t>
  </si>
  <si>
    <t>Score: 65
The score is based on the following factors:
1. The overall economic outlook is mixed, with GDP growth being positive but slower in the second half of the year, inflation moving lower but persistently, and labor markets showing mixed signals. The ongoing war in Ukraine and its impact on global economies, including the U.S., is a concern.
2. The REITs sector has been under pressure due to higher interest rates and negative sentiment, but historically, REITs have outperformed other sectors after severe drawdowns. This suggests potential for recovery and growth in the medium to long term.
3. Alexandria Real Estate Equities is a unique REIT focused on Life Sciences, which could benefit from the mainstream adoption and increased capabilities of AI in healthcare. The company has strong leasing results and high leasing spreads, indicating tenants use and value their space.
4. The company's stock has formed a long-term bottom, and its second-quarter results and forward guidance suggest improvement in the second half. The company's conservative AFFO payout ratio and narrowed AFFO guidance range provide clarity and confidence for dividend investors.
5. The company has declared a cash dividend of $1.24 per common share for 3Q23, an increase of 24 cents, or 5 percent, over the 12 months ended September 30, 2022. This indicates the company's commitment to returning value to shareholders.
6. The company's financial data shows a forward P/E ratio of 16.69, which is lower than the trailing P/E ratio, suggesting that the company's earnings are expected to grow. The company's market cap is $19.696B, and it has a dividend yield of 4.31%, which is attractive for income investors.
However, the ongoing economic uncertainties, the impact of the war in Ukraine, and the challenges in the commercial real estate market could pose risks to the company's performance in the short term. Hence, the score is not higher.</t>
  </si>
  <si>
    <t>WHR</t>
  </si>
  <si>
    <t>Score: 65
Whirlpool Corporation's investment potential seems moderately strong given the current economic context. The company's recognition as one of the World's Most Trustworthy Companies by Newsweek indicates a strong reputation, which could translate into consumer trust and sales. The firm's forward P/E ratio is lower than its trailing P/E, suggesting that earnings are expected to grow. The company's dividend yield of 5.13% is also attractive for income-focused investors. However, the ongoing war in Ukraine and its impact on global supply chains could pose risks, as could the potential for further inflation and interest rate hikes. The negative EPS (TTM) is a concern, indicating recent losses. The company's involvement in the household appliances industry, which could be influenced by AI advancements in manufacturing, may offer some growth potential. However, the overall economic uncertainty and potential headwinds warrant a degree of caution.</t>
  </si>
  <si>
    <t>LNC</t>
  </si>
  <si>
    <t>Score: 65
Lincoln Financial's recent performance and future prospects make it a moderately attractive investment. The company's stock has risen 8.7% in the past three months, reflecting its improving net investment income and strong Group Protection business. The firm's forward P/E ratio is low at 3.28, suggesting that the stock may be undervalued. The company also offers a substantial dividend yield of 7.01%, which is attractive for income-focused investors. However, the company's negative EPS and the lack of a PEG ratio suggest potential concerns about profitability and growth. The ongoing war in Ukraine and the potential for further economic disruption also add a degree of risk. Therefore, while Lincoln Financial has some positive attributes, investors should also consider these risks.</t>
  </si>
  <si>
    <t>Score: 65
UDR, Inc. is a solid player in the Multi-Family Residential REITs industry with a geographically diverse portfolio and a healthy balance sheet. The company's participation in the Bank of America Securities 2023 Global Real Estate Conference could potentially boost its visibility and investor confidence. However, the current macroeconomic conditions present some challenges. The ongoing war in Ukraine and its impact on global economies could potentially affect the real estate market. The Federal Reserve's sharp rate hikes could also increase borrowing costs for the company. Furthermore, the company's high forward P/E ratio suggests that the stock may be overvalued. Despite these challenges, UDR's strong fundamentals, its commitment to sustainability, and its technological advancements could provide some resilience. Therefore, while there are risks, UDR, Inc. still presents a moderate investment opportunity.</t>
  </si>
  <si>
    <t>Score: 65
Viatris has a relatively low PE ratio and a decent dividend yield, indicating that it may be undervalued. The company has also recently received tentative FDA approval for a pediatric HIV treatment, which could potentially boost its revenues. However, the company's stock has been underperforming recently, and it has a high enterprise value compared to its market cap, which could indicate overvaluation. The ongoing war in Ukraine and its impact on global supply chains could also pose risks. Furthermore, the company's expansion into biosimilars could be a potential growth driver, but it also exposes the company to the risks associated with this relatively new market.</t>
  </si>
  <si>
    <t>Score: 65
Bank of America's stock has been underperforming compared to the S&amp;P500 index, which could indicate a potential buying opportunity, especially considering that it's trading below its intrinsic value. The bank has been favored for activism defense and has been highlighted as a compelling buy by Berkshire Hathaway. However, the banking sector has faced challenges due to rising inflation expectations and bond selloffs. Higher interest rates have also had mixed effects on the bank. The bank's financial data shows a reasonable PE ratio and a decent dividend yield, but the stock's performance has been lackluster recently. The ongoing war in Ukraine and its impact on global economies, including potential spikes in energy prices and supply chain disruptions, could pose additional risks.</t>
  </si>
  <si>
    <t>Score: 65
Kroger's potential investment value is moderately high due to several factors. The company's financial data shows a stable performance with a reasonable P/E ratio and a decent dividend yield, which could attract income-focused investors. The ongoing war in Ukraine and the persistent COVID-19 pandemic could lead to increased demand for groceries and essentials, potentially boosting Kroger's revenues. However, the company operates in a highly competitive industry, and the rising inflation could squeeze its profit margins. The company's adoption of AI in its operations could improve efficiency and customer experience, providing a competitive edge. However, the overall economic uncertainty and potential supply chain disruptions due to the war in Ukraine pose significant risks.</t>
  </si>
  <si>
    <t>Score: 65
Best Buy's financials show a healthy balance sheet with a strong dividend yield of 5.03%. The company's P/E ratio is relatively low, indicating that the stock may be undervalued. However, the current economic environment, marked by inflation, labor market uncertainties, and the ongoing war in Ukraine, could pose challenges to consumer spending, particularly on discretionary items like electronics. The company's recent trimming of its guidance for the year also suggests potential headwinds. On the other hand, the widespread adoption and increased capabilities of AI could boost demand for electronics and related services, potentially benefiting Best Buy. Therefore, while there are risks, Best Buy could offer moderate investment value in the short term.</t>
  </si>
  <si>
    <t>Score: 65
CarMax's financial data shows a stable performance with a market cap of 12.875B and a trailing P/E ratio of 27.90, which is relatively high, indicating that investors are willing to pay a high price for its earnings. The company's EPS (TTM) is 2.9, which is a positive sign. However, the ongoing war in Ukraine and its impact on global economies could potentially affect CarMax's supply chain and increase its operational costs. The company's beta of 1.44 suggests it's more volatile than the market, which could mean potential for higher returns but also higher risk. The upcoming earnings report on September 28, 2023, could provide more insights into the company's performance and future outlook. The adoption of AI in the automotive industry could potentially benefit CarMax if it decides to integrate such technologies into its operations. However, the Federal Reserve's rate hikes could increase borrowing costs for consumers, potentially affecting car sales.</t>
  </si>
  <si>
    <t>Score: 65
Kimco Realty's potential investment value is moderately high due to several factors. The company's management is set to present at a significant global real estate conference, which could potentially boost investor confidence and visibility. The firm's financial data shows a stable performance with a reasonable P/E ratio and a decent dividend yield of 4.95%. However, the ongoing war in Ukraine and its impact on global economies, along with the Federal Reserve's sharp rate hikes, could introduce some volatility and risk. The company's involvement in the retail sector, which is seeing a transformation due to AI adoption, could also influence its performance.</t>
  </si>
  <si>
    <t>Score: 65
The United Parcel Service (UPS) has a mixed outlook for the next month. On the positive side, UPS has received FAA authorization to operate delivery drones beyond visual line of sight, which could potentially increase efficiency and reduce costs in the long run. Furthermore, the company's forward dividend yield of 4.02% is attractive for income-focused investors. 
However, there are several concerns. Amazon's expansion into package delivery is a significant competitive threat, and there are reports of declining unit numbers for UPS. The company's stock has also shown weak relative strength recently, breaking through key support levels. 
The ongoing war in Ukraine and its impact on global supply chains could potentially affect UPS, either negatively through increased costs and disruptions, or positively through increased demand for logistics services. The recent downgrade of federal debt by Fitch could also increase borrowing costs for companies like UPS. 
In the context of AI, UPS could potentially benefit from advancements in AI technology, particularly in areas like logistics optimization and autonomous vehicles. However, it's unclear how much UPS is investing in these areas and how quickly they could see benefits. 
Overall, while there are some positive signs, the risks and uncertainties make UPS a moderately attractive investment for the next month.</t>
  </si>
  <si>
    <t>Score: 65
Boston Properties (BXP) is a solid player in the Office REITs industry with a strong portfolio of A-class properties in major cities. The company's Q2 results were robust, and it has recently declared a regular quarterly cash dividend, which is a positive sign for investors. However, the macroeconomic outlook presents some challenges. The ongoing war in Ukraine and its impact on global economies, coupled with the Federal Reserve's aggressive rate hikes, could potentially affect the real estate market and BXP's performance. Furthermore, the company's stock is currently considered fairly valued, suggesting limited upside potential in the short term. Therefore, while BXP is a stable investment, its potential for significant growth in the next month is somewhat limited, hence the score of 65.</t>
  </si>
  <si>
    <t>Score: 65
American Airlines Group has shown resilience in the face of the ongoing pandemic, with a focus on debt reduction and a record of achieving quarterly revenue. The company appears undervalued compared to its competitors, suggesting potential for growth. However, the rising oil prices and potential economic impacts of the ongoing war in Ukraine could pose challenges. The company's strong financial performance and strategic focus on debt reduction are positive indicators, but the broader economic context and industry-specific challenges temper the investment potential.</t>
  </si>
  <si>
    <t>Score: 65
Camden Property Trust's financials show a stable company with a reasonable P/E ratio and a decent dividend yield. The company's participation in the upcoming BofA Securities 2023 Global Real Estate Conference could potentially bring positive news, which might boost the stock's performance. However, the overall economic outlook, including the ongoing war in Ukraine and the Federal Reserve's aggressive rate hikes, could create headwinds for the real estate sector. The company's exposure to the multi-family residential market could also be affected by these macroeconomic factors. Furthermore, the recent fall in share prices in the housing market indicates potential risks. Therefore, while the company has potential for growth, these factors lead to a moderate score of 65.</t>
  </si>
  <si>
    <t>Score: 65
Old Dominion's recent performance shows a decrease in revenue per day and LTL tons per day, which is a concern. However, the company's financial data indicates a stable position with a reasonable P/E ratio and a low payout ratio, suggesting a sustainable dividend. The ongoing war in Ukraine and its impact on global supply chains could potentially affect Old Dominion's operations, but the company's size and market cap suggest it has the resources to navigate these challenges. The firm's involvement in the cargo ground transportation industry could also benefit from the increased adoption of AI in logistics and supply chain management. However, the Federal Reserve's interest rate hikes and potential economic slowdown could pose risks.</t>
  </si>
  <si>
    <t>Score: 65
Digital Realty (DLR) has been expanding its presence, particularly in the Mediterranean region, which is a key connectivity hub. This expansion could potentially boost its growth. However, the overall real estate sector has been unstable throughout 2023, and high interest rates pose a challenge. Additionally, DLR's high P/E ratios suggest that the stock might be overvalued. Despite these concerns, the company's robust data center demand and its stable dividend yield of 3.75% make it a decent investment option.</t>
  </si>
  <si>
    <t>Score: 65
Etsy's recent record high in active buyers indicates a positive trend for revenue growth. Despite a slowdown in revenue growth post-pandemic, the company's two-sided platform benefits from network effects. The company's stock has dropped more than 30% since the beginning of the year, which could present a buying opportunity. However, the ongoing war in Ukraine and potential disruptions in supply chains could pose risks. The company's high beta indicates it is more volatile than the market, which could lead to higher potential returns but also higher risk. The company's negative EPS and lack of dividends may deter some investors. However, the company's position in the growing e-commerce industry and the increasing adoption of AI, which could potentially be used to enhance its platform, are positive factors.</t>
  </si>
  <si>
    <t>Score: 65
Qorvo's potential investment value is moderately high, given the current economic context and the company's financial data. The company's market cap is substantial at $9.576B, and its enterprise value is even higher at $11.03B, indicating a strong market presence. However, the negative EPS (TTM) and lack of a P/E ratio suggest some financial instability. The ongoing war in Ukraine and its impact on global supply chains could pose challenges for Qorvo, a semiconductor company. However, the firm's involvement in AI and technology sectors, which are expected to grow, could offset some of these risks. The company's stock is currently trading within its 52-week range, and its 1-year target estimate suggests potential for growth. The company's high beta indicates it's more volatile than the market, which could mean higher potential returns but also higher risk.</t>
  </si>
  <si>
    <t>Score: 65
The score is based on the following factors:
1. The U.S. economy is showing signs of recovery with a GDP growth rate of 2.0 to 2.4% and a low unemployment rate of 3.5%. This could potentially increase consumer spending, which would benefit the travel and tourism industry, including Royal Caribbean.
2. The ongoing COVID-19 pandemic and the war in Ukraine could still pose risks to the travel industry. However, Royal Caribbean has shown resilience and adaptability during these challenging times.
3. The company's financial data shows a market cap of 24.672B and an enterprise value of 45.23B. While the company's EPS is currently negative, the forward P/E ratio is 11.74, indicating expected earnings growth.
4. The company is attracting investor attention and is considered a good long-term investment. It is also expected to benefit from the rise in consumer spending.
5. However, the company's high beta of 2.48 indicates a higher level of volatility compared to the overall market, which could lead to potential risks for investors.
6. The Federal Reserve's rate hikes could also impact the company's borrowing costs and overall profitability.
7. The company's AI adoption could potentially improve its operational efficiency and customer service, providing a competitive advantage in the industry.</t>
  </si>
  <si>
    <t>Score: 65
News Corp's ongoing negotiations with AI companies could potentially open up new revenue streams and partnerships, which is a positive sign. The company's recent partnership with Cision also indicates a strategic move to expand its reach and influence in the PR and Corporate Communications market. However, the company's high PE ratio suggests that it may be overvalued at its current price. The ongoing war in Ukraine and its impact on global economies could also introduce uncertainties and potential risks. Therefore, while there are positive developments, caution is advised due to the overall economic conditions and the company's current valuation.</t>
  </si>
  <si>
    <t>Score: 65
Equity Residential (EQR) has shown resilience in a challenging economic environment, with its stock ticking up by nearly 10% since the start of the year. The company's recent operating update indicates healthy demand and pricing for its apartment units, suggesting a stable revenue stream. However, the broader economic context presents some risks. The ongoing war in Ukraine and its impact on global economies could potentially affect the real estate market. Additionally, the Federal Reserve's aggressive rate hikes could put pressure on REITs, as higher interest rates generally make these yield-focused investments less attractive. The company's relatively high P/E ratio also suggests that it may be overvalued. However, the company's participation in the upcoming Bank of America 2023 Global Real Estate Conference could provide positive exposure and potentially boost investor confidence. Overall, while EQR presents a decent investment opportunity, investors should proceed with caution given the current economic uncertainties.</t>
  </si>
  <si>
    <t>Score: 65
NXP Semiconductors has a solid financial standing with a market cap of 51.945B and a forward P/E ratio of 13.42, indicating that the stock may be undervalued. The company's involvement in AI and automotive processing, both growing sectors, is a positive sign. However, the recent data breach involving customer information could negatively impact the company's reputation and customer trust. Additionally, the company's exposure to the slowing Chinese economy could pose a risk. The ongoing war in Ukraine and its impact on global economies could also affect the company's performance. Therefore, while the company has potential, these risks lead to a moderate score of 65.</t>
  </si>
  <si>
    <t>Score: 65
FirstEnergy's recent initiatives to upgrade its transmission lines and its community engagement for energy assistance indicate a proactive approach to improving its services and customer relations. The company's financial data shows a stable market cap and a reasonable P/E ratio, suggesting it is fairly valued. However, the ongoing war in Ukraine and its impact on energy prices, along with the Federal Reserve's interest rate hikes, could pose challenges. The company's involvement in the electric utilities industry, which is less likely to be directly affected by AI advancements, also limits its growth potential in the current tech-driven market environment.</t>
  </si>
  <si>
    <t>Score: 65
Howmet Aerospace's financial data shows a stable performance with a market cap of 19.51B and an enterprise value of 23.26B. The company's P/E ratio is relatively high, indicating that investors are willing to pay a higher price because they expect the company to grow earnings. The forward P/E is lower than the trailing P/E, suggesting that earnings are expected to grow. The PEG ratio is less than 1, indicating the stock may be undervalued given its earnings growth. However, the ongoing war in Ukraine and its impact on global supply chains could pose a risk to the aerospace &amp; defense industry. Additionally, the company's dividend yield is quite low. Therefore, while the company has potential for growth, there are significant risks that moderate its investment value.</t>
  </si>
  <si>
    <t>Score: 65
Intel's potential investment value is moderately high due to several factors. The ongoing war in Ukraine and the resulting disruptions in supply chains could increase demand for Intel's semiconductors, as they are a crucial component in many electronic devices. The company's financial data shows a stable market cap and enterprise value, indicating a solid financial position. However, the negative EPS (TTM) and the absence of a trailing P/E ratio suggest some financial challenges. The advancements in AI also present an opportunity for Intel, as AI technologies often require advanced semiconductors. However, the company's score is not higher due to the overall economic uncertainty, including the potential impact of the Federal Reserve's rate hikes and the ongoing COVID-19 pandemic.</t>
  </si>
  <si>
    <t>Score: 65
Invitation Homes operates in the Single-Family Residential REITs industry, which could be a safe haven in the current economic climate. The company's fundamentals are strong, with a market cap of $20.91B and a forward dividend yield of 3.07%. The company's P/E ratio is high, indicating that investors are willing to pay a higher price for the company's earnings, which could be a sign of future growth. However, the ongoing war in Ukraine and the potential for a housing market crash could negatively impact the company's performance. Additionally, the company's high enterprise value to EBITDA ratio suggests that it may be overvalued. Therefore, while Invitation Homes has potential, it also carries some risk.</t>
  </si>
  <si>
    <t>Score: 65
Fifth Third Bank's financial data shows a stable performance with a reasonable PE Ratio of 7.55 and a healthy EPS of 3.5. The bank's community engagement programs also indicate a strong commitment to corporate social responsibility, which can positively impact its reputation and customer relations. However, the ongoing war in Ukraine and the potential for further economic disruptions, along with the Federal Reserve's aggressive rate hikes, could pose challenges. The bank's exposure to these macroeconomic factors is reflected in the score. Additionally, while AI trends are promising, it's unclear how much Fifth Third Bank is investing in or benefiting from these trends, which could be a missed growth opportunity.</t>
  </si>
  <si>
    <t>Score: 65
International Paper (IP) is a well-established company in the Paper &amp; Plastic Packaging Products &amp; Materials industry. Despite the industry facing headwinds due to low consumer spending, IP is expected to counter these challenges with its growth initiatives. The company's CEO succession plan indicates a stable leadership transition, which is a positive sign for investors. 
The company's financial data shows a healthy EPS of 4.04 and a reasonable PE ratio of 8.59, indicating that the company is profitable and potentially undervalued. The forward dividend yield of 5.34% is attractive for income-focused investors. 
However, the ongoing war in Ukraine and its impact on global supply chains could pose risks to the company's operations. Additionally, the recent downgrade of federal debt by Fitch could potentially increase borrowing costs for companies, including IP. 
The company's involvement in the AI sector is not clear from the provided information. Given the growing importance of AI in various sectors, companies that are not leveraging this technology may miss out on potential growth opportunities. 
Overall, while IP seems to have solid fundamentals, the macroeconomic uncertainties and potential risks lower the investment value slightly for the next month.</t>
  </si>
  <si>
    <t>Score: 65
The RTX Corporation, operating in the Aerospace &amp; Defense industry, could be a moderately good investment in the current economic climate. The ongoing war in Ukraine and the U.S.'s involvement in providing military assistance could potentially increase demand for defense products and services, benefiting companies like RTX. However, the overall economic outlook is mixed, with slowing GDP growth and persistent inflation, which could impact the company's performance. The recent Federal Reserve rate hikes and the downgrade of federal debt could also create a more challenging environment for businesses. In the AI sector, RTX could potentially benefit from advancements and cost efficiencies, but it's unclear how much this would impact their core aerospace and defense business.</t>
  </si>
  <si>
    <t>Score: 65
Expedia Group's potential investment value is moderately high, given the current economic outlook and the company's financial data. The firm's PE Ratio (TTM) of 18.34 and Forward P/E of 9.29 suggest that the stock is reasonably valued. The company's market cap of 15.511B and enterprise value of 15.99B indicate a stable financial position. However, the ongoing war in Ukraine and the potential for further economic disruption could negatively impact the travel industry. Additionally, new regulations on short-term rentals in cities like New York could pose challenges for the company. The firm's beta of 1.64 also suggests a higher level of volatility compared to the overall market. Despite these risks, the company's strong financial position and the recovering economy could provide investment opportunities.</t>
  </si>
  <si>
    <t>Score: 65
News Corp's ongoing negotiations with AI companies over content usage could potentially open up new revenue streams, which is a positive sign. The company's recent partnership with Cision to distribute Dow Jones content to PR and Corporate Communications professionals also indicates a strategic move to expand its market reach. 
However, the company's high PE ratio of 83.25 suggests that its stock might be overvalued. The company's beta of 1.33 indicates that it's more volatile than the market, which could mean higher risk. 
The ongoing war in Ukraine and its impact on global economies could also affect News Corp's operations, especially considering potential disruptions in supply chains. 
The company's engagement with AI, a sector that is seeing mainstream adoption and increased capabilities, is a positive sign. However, the overall economic uncertainty and the company's financial metrics warrant a cautious approach.</t>
  </si>
  <si>
    <t>Score: 65
The Charles Schwab Corporation has a strong market capitalization of 109.494B and a reasonable PE Ratio of 17.48, indicating that it is not overvalued. The company's EPS of 3.44 is also a positive sign of its profitability. However, the stock has been on a downward trend, losing 30.5% since the start of the year. This could be a potential buying opportunity if the market conditions improve. 
The ongoing war in Ukraine and the persistent inflation could pose risks to the global economy and the financial sector. However, the Federal Reserve's aggressive rate hikes could benefit brokerage firms like Charles Schwab, as they often earn interest on cash that customers keep with them. 
Moreover, the growing adoption of AI in the finance sector could provide new opportunities for the company. However, the company's performance in the next month will largely depend on the overall market conditions and its upcoming earnings report in October.</t>
  </si>
  <si>
    <t>Score: 65
Corning Inc. has a solid market cap of $26.4B and a forward P/E ratio of 13.40, which suggests that the company is expected to grow its earnings, making it potentially undervalued at its current price. The company's participation in the 2023 Global Technology Conference indicates active engagement with investors and the market. However, the ongoing war in Ukraine and its impact on global supply chains could pose a risk to Corning's operations, as the company is in the Electronic Components industry which is heavily dependent on global supply chains. Additionally, the company's high trailing P/E ratio of 42.39 indicates that it may be overvalued based on its current earnings. The company's dividend yield of 3.57% is a positive for income-focused investors. The company's involvement in the technology sector could also benefit from the growing adoption and capabilities of AI. However, the recent downgrade of federal debt by Fitch could increase borrowing costs and impact the company's financial health.</t>
  </si>
  <si>
    <t>Score: 65
Discover Financial's potential investment value is moderately high, given the current economic outlook. The company operates in the consumer finance industry, which could benefit from the current low unemployment rate and better-than-expected GDP growth. However, the ongoing war in Ukraine and its impact on global economies, along with the Federal Reserve's sharp rate hikes, could pose challenges. The company's potential to leverage AI advancements could also be a positive factor. However, the overall economic uncertainty and potential for zero growth in the fourth quarter warrant a cautious approach.</t>
  </si>
  <si>
    <t>Score: 65
Nike, Inc. is a strong brand with a significant market share in the apparel industry. Despite recent inventory challenges due to the pandemic, a turnaround is expected soon. The company's stock has recently dropped, providing a potential buying opportunity. However, the ongoing economic turbulence, the war in Ukraine, and the potential for further inflation could impact consumer spending and Nike's global supply chain. The company's P/E ratio is relatively high, suggesting that the stock may be overvalued. The company's forward dividend yield is also relatively low, which may not be attractive to income-focused investors. However, the company's strong brand equity and expected profitability rebound make it a potentially good investment for the long term.</t>
  </si>
  <si>
    <t>Score: 65
Disney's potential investment value is moderately high due to several factors. The company's diverse portfolio, including its streaming service Disney+, theme parks, and film studios, provides a level of resilience against economic downturns. The ongoing war in Ukraine and the COVID-19 pandemic may have affected consumer spending, but Disney's strong brand and wide range of offerings can help mitigate these impacts. 
Moreover, the advancements in AI technology could potentially benefit Disney, especially in areas like entertainment and marketing. The company has already been leveraging AI in its operations, from personalized recommendations on Disney+ to AI-powered animations. 
However, the tightened monetary policy and the downgrade of federal debt could increase borrowing costs and create uncertainties, which may pose challenges for Disney. The company's performance in the next month will likely depend on how these macroeconomic factors evolve.</t>
  </si>
  <si>
    <t>Score: 65
Healthpeak's potential investment value is moderately high due to several factors. The company has a stable beta of 0.89, indicating less volatility than the market, and a healthy dividend yield of 5.99%, which is attractive for income-focused investors. The company's market cap of $10.877B and enterprise value of $17.62B suggest a solid financial base. However, the forward P/E ratio is significantly high at 114.94, indicating that the stock may be overvalued. The ongoing war in Ukraine and its impact on global economies could also introduce some uncertainty. Furthermore, while AI trends are promising, they may not directly benefit a Health Care REIT like Healthpeak. Therefore, while the company has potential, investors should proceed with caution.</t>
  </si>
  <si>
    <t>Score: 65
PG&amp;E Corporation shows a promising outlook with its recent initiatives towards innovation and energy conservation, which aligns with the current trend towards sustainable and green energy. The company's recent outreach campaign has also demonstrated its commitment to helping small businesses, which could potentially increase its customer base and revenue. However, the ongoing war in Ukraine and its impact on energy prices could pose a risk to the company's profitability. Additionally, the company's relatively high P/E ratio indicates that its stock might be overvalued. Therefore, while the company shows potential for growth, these risks and uncertainties lead to a moderate investment score.</t>
  </si>
  <si>
    <t>Score: 65
SolarEdge operates in the renewable energy sector, specifically solar power, which has significant growth potential. However, despite the boom in green energy, solar stocks have not been performing as expected. SolarEdge's financial data shows a mixed picture. The company has a relatively high PE ratio, indicating that it might be overvalued. However, its forward PE and PEG ratios suggest that it has good growth prospects. The company's enterprise value is less than its market cap, which could indicate undervaluation. The ongoing war in Ukraine and its impact on energy prices could potentially benefit SolarEdge. However, the overall economic outlook, including the potential for zero growth in the fourth quarter, suggests caution. Therefore, while SolarEdge has potential, it also carries significant risk, leading to a moderate score of 65.</t>
  </si>
  <si>
    <t>Score: 65
Progressive Corporation, a leading player in the Property &amp; Casualty Insurance industry, has a stable financial position with a market cap of 80.6B and an enterprise value of 86.65B. The company's PE ratio is relatively high, indicating that investors are willing to pay a higher price because of expected future earnings growth. 
However, the potential United Auto Workers (UAW) union strike could negatively impact the auto insurance business, which is a significant part of Progressive's portfolio. This situation, coupled with the ongoing war in Ukraine causing global economic disruptions, and the Federal Reserve's aggressive rate hikes, could create a challenging environment for the company in the short term.
On the positive side, the low unemployment rate and better-than-expected GDP growth could lead to more consumers purchasing insurance, potentially offsetting some of the negative impacts. 
In the context of AI, Progressive has been an early adopter of AI and data analytics in its business model, which could provide a competitive advantage and drive efficiency. 
Overall, while there are some headwinds, Progressive's strong market position and potential benefits from economic growth and AI adoption contribute to a moderately positive investment score.</t>
  </si>
  <si>
    <t>Score: 65
Host Hotels &amp; Resorts has a solid market cap of $11.675B and a reasonable PE ratio of 15.26, indicating that it is not overvalued. The company's EPS of 1.06 and a forward dividend yield of 3.82% are also positive signs. However, the ongoing war in Ukraine and the persistent COVID-19 pandemic could potentially impact the hotel industry negatively due to reduced travel. The recent wildfires in Maui and other weather events could also have a short-term negative impact on the company's operations. On the positive side, the company's commitment to ESG initiatives could make it more attractive to investors who prioritize sustainable and responsible investing. The company's exposure to AI is not clear from the provided information, but the broader trend of AI adoption could potentially provide opportunities for operational efficiencies and cost savings in the future.</t>
  </si>
  <si>
    <t>Score: 65
PulteGroup's strong net income ratio, solid buyout strategy, and asset efficiency moves make it a potentially profitable investment. The company's declaration of a quarterly dividend also indicates a positive financial position. However, the rising Treasury yields and high mortgage rates, which are negatively impacting the homebuilding sector, along with the recent significant drop in PulteGroup's stock price, suggest potential risks. The company's relatively low P/E ratio indicates it may be undervalued, but the overall economic uncertainty and potential for further interest rate hikes by the Federal Reserve could impact the housing market and PulteGroup's performance.</t>
  </si>
  <si>
    <t>Score: 60
Warner Bros. Discovery has a mixed outlook. On the positive side, the company has had recent box office successes and is set to debut new content, which could boost revenues. The company's move to offer live sports for free on its Max streaming service could also attract new subscribers and increase viewer engagement. However, the ongoing Hollywood strikes are a significant concern, with the company cutting its full-year 2023 adjusted earnings outlook due to the strikes' longer-than-expected duration. This could negatively impact the company's profitability in the short term. Furthermore, the company's stock has seen a decline over the past weeks, and the CEO is facing criticism, adding to the uncertainty. The company's financial data shows a high volume of shares being traded, indicating investor interest, but the negative EPS and lack of a P/E ratio suggest profitability issues. The company's forward P/E ratio is relatively high, indicating that investors expect earnings growth in the future. However, the ongoing strikes and potential for further disruption mean that this growth is not guaranteed.</t>
  </si>
  <si>
    <t>Score: 60
Insulet's stock has been under pressure recently due to concerns about new diabetes drugs potentially delaying the need for insulin therapy. However, the company's CEO has stated that they do not expect any long-term impact on sales of its insulin pumps. The company's financials show a high PE ratio, indicating that the stock may be overvalued. However, the company's market cap and enterprise value are robust, and the company operates in the healthcare sector, which is expected to benefit from AI advancements. Therefore, while there are short-term concerns, the long-term outlook for Insulet remains positive.</t>
  </si>
  <si>
    <t>Score: 60
The potential for a strike by the United Auto Workers union is a significant concern for General Motors (GM). This could disrupt production and increase labor costs, negatively impacting the company's short-term profitability. However, GM's involvement in the growing self-driving car market and the broader shift towards electric vehicles, supported by government funding, presents significant growth opportunities. The company's financials are also relatively strong, with a low P/E ratio suggesting that the stock may be undervalued. However, the ongoing geopolitical tensions and potential economic impacts of the war in Ukraine add a layer of uncertainty to the investment outlook.</t>
  </si>
  <si>
    <t>Score: 60
Fastenal's business is cyclical and currently showing signs of weakness, which is concerning. However, the company's financial data shows a stable position with a reasonable P/E ratio and a decent dividend yield. The ongoing war in Ukraine and its impact on global supply chains could potentially affect Fastenal's operations, given its involvement in the manufacturing and construction sectors. However, the company's market cap and enterprise value indicate a solid standing in the market. The Federal Reserve's rate hikes could increase borrowing costs, which might affect Fastenal's profitability. However, the company's beta indicates it's slightly more volatile than the market, which could present opportunities for higher returns. The AI trends in manufacturing could potentially benefit Fastenal in the long run. Overall, while there are some risks, Fastenal still presents a moderate investment opportunity.</t>
  </si>
  <si>
    <t>Score: 60
Generac's current situation presents a mixed bag for potential investors. On one hand, the company is facing inventory issues, which could impact its short-term financial performance. This is further compounded by the higher interest rates and reduced spending on home and energy projects, which could potentially affect sales. On the other hand, the company's C&amp;I business and international segments have been performing well, which could offset some of the negative impacts. 
The company's financial data also presents a mixed picture. While the company's PE Ratio is relatively high, indicating that the stock may be overvalued, the forward P/E is much lower, suggesting that the company's earnings are expected to grow. The company's beta is also slightly above 1, indicating that the stock is somewhat more volatile than the market as a whole. 
Given the ongoing war in Ukraine and its impact on global economies, as well as the potential for further interest rate hikes by the Federal Reserve, there is a degree of uncertainty that could impact the company's performance. 
However, the increasing adoption and capabilities of AI could present opportunities for the company, particularly in areas such as manufacturing where AI can be used to streamline processes and improve efficiency. 
Overall, while there are some potential risks, there are also opportunities that could make Generac a worthwhile investment. Therefore, a score of 60 is assigned, indicating a moderately positive investment potential.</t>
  </si>
  <si>
    <t>Score: 60
The potential strike by the United Auto Workers (UAW) could significantly impact Ford's operations and financial performance in the short term. However, Ford's long-term prospects remain strong, particularly in the electric vehicle (EV) market. The company's robust profit margin and iconic brand names position it well for sustainable long-term growth. Furthermore, the company's stock price has been negatively impacted by recent setbacks, creating a potentially attractive entry point for investors. However, the ongoing labor dispute and other temporary issues introduce a degree of uncertainty and risk.</t>
  </si>
  <si>
    <t>Score: 60
Paramount Global operates in the entertainment industry, which is currently undergoing a significant shift towards streaming services. This trend is expected to continue, providing Paramount with potential growth opportunities. The company's participation in the Goldman Sachs conference indicates active engagement with investors and the market. However, the company's financials show some areas of concern, such as a negative EPS and a high Enterprise Value/EBITDA ratio, suggesting the company may be overvalued. The ongoing war in Ukraine and its impact on global economies could also affect the company's performance. The company's stock is currently trading near its 52-week low, which could present a buying opportunity if the company can successfully navigate the industry's shift towards streaming. However, the company's high beta indicates a higher level of volatility, which could increase investment risk.</t>
  </si>
  <si>
    <t>NWL</t>
  </si>
  <si>
    <t>Score: 60
Newell Brands has a mixed outlook. On the positive side, the company's strategic growth endeavors and cost-cutting initiatives, along with a solid online performance, suggest potential for growth. However, the company's negative EPS and the potential risk of being removed from the S&amp;P 500 are concerning. The ongoing inflation and supply chain disruptions due to the war in Ukraine could also pose challenges. The company's relatively low P/E ratio suggests it may be undervalued, but the high Enterprise Value/EBITDA ratio indicates the company might be overvalued based on its earnings before interest, taxes, depreciation, and amortization. The company's involvement in the housewares and specialties industry could benefit from the mainstream adoption of AI, but it's unclear how much the company is leveraging this technology. Overall, the company has potential but also carries significant risks.</t>
  </si>
  <si>
    <t>Score: 60
DXC Technology has been recognized as a leader in reinsurance administration, which is a positive sign. However, the company's financial data shows some concerning signs. The company has a negative EPS (Earnings Per Share), indicating it is not profitable. The company's Beta is also high, suggesting it is more volatile than the market. The company's stock is also at risk of being removed from the S&amp;P 500, which could negatively impact its stock price. However, the company's low Price/Sales and Price/Book ratios suggest it may be undervalued. The ongoing adoption and advancement of AI could also provide growth opportunities for DXC Technology, given its position in the technology services sector.</t>
  </si>
  <si>
    <t>Score: 60
Rollins, Inc. has a stable market cap and a reasonable P/E ratio, indicating a solid financial position. However, the recent secondary public offering of its common stock by a major shareholder at a discounted price has led to a drop in its stock price. This could be a cause for concern among investors. Additionally, the ongoing war in Ukraine and its impact on global economies could potentially affect Rollins' operations and financial performance. On the positive side, the company's presence in the Environmental &amp; Facilities Services industry could benefit from the mainstream adoption of AI, as AI can help improve operational efficiency and cost-effectiveness. However, given the current economic uncertainties and the company's recent stock performance, a cautious approach is recommended for potential investors.</t>
  </si>
  <si>
    <t>Score: 60
Seagate Technology's investment potential is moderate. The company's recent pricing of $1.3 billion of exchangeable senior unsecured notes indicates a strong capital position. However, the ongoing class action lawsuit against the company presents a significant risk. The company's expected EPS for the next quarter is at the lower end of its guided range due to weaker-than-expected demand in China, but there is confidence in improved demand from cloud customers starting from the December quarter and into 2024. The company's forward P/E ratio is high, suggesting that the stock may be overvalued. However, the company's PEG ratio is below 1, indicating that the stock may be undervalued when considering the company's earnings growth rate. The ongoing war in Ukraine and its impact on global supply chains could also affect the company's performance. The company's involvement in the technology hardware, storage &amp; peripherals industry could benefit from the mainstream adoption and increased capabilities of AI. However, the company's ethical practices in relation to AI should be monitored to mitigate potential investment risks.</t>
  </si>
  <si>
    <t>Score: 60
Sealed Air's financial data shows a stable position with a reasonable P/E ratio and a forward dividend yield of 2.36%. However, the company's potential risk of being removed from the S&amp;P 500 and the ongoing war in Ukraine, which could disrupt supply chains, are concerning. The company's involvement in the packaging industry could benefit from increased demand due to the growth of e-commerce, but the overall economic outlook and specific company risks suggest a moderate investment potential.</t>
  </si>
  <si>
    <t>Score: 60
Estée Lauder Companies has a solid market cap and a reasonable P/E ratio, indicating a stable financial position. However, the ongoing war in Ukraine and the potential for further supply chain disruptions could negatively impact the company's operations. Additionally, the company's high Enterprise Value/EBITDA ratio suggests it may be overvalued. The company's involvement in the personal care products industry, which may not significantly benefit from the current AI trends, also limits its growth potential in the short term. However, the company's strong brand and global presence could help it navigate through these challenges.</t>
  </si>
  <si>
    <t>Score: 60
Dollar Tree's recent stock drop and margin compression are concerning. However, the company's slightly better than expected quarterly earnings and its position in the discount retail sector could provide some resilience in the current economic climate. The ongoing war in Ukraine and persistent inflation could lead to increased consumer demand for discount retailers like Dollar Tree. However, the company's issues with theft and sales mix, as well as the broader economic uncertainty, limit its investment potential in the short term.</t>
  </si>
  <si>
    <t>Score: 55
The score reflects a moderate investment potential for Western Digital. The company is facing short-term headwinds, including low demand in all of its three end markets and uncertainties related to the Kioxia merger. However, there are strong indicators of potential M&amp;A activity, which could provide a significant room for upward revaluation. The company's financial flexibility and diverse portfolio make it an attractive target for strategic M&amp;A deals in the data storage industry. The company's stock is currently undervalued, particularly in its EV/Sales ratio. However, the ongoing war in Ukraine and the stalling Chinese economy, where Western Digital has significant exposure, pose considerable risks. The company's negative EPS and the absence of a forward P/E ratio also raise concerns about its profitability. Therefore, while there are potential upsides, investors should proceed with caution.</t>
  </si>
  <si>
    <t>Score: 55
Texas Instruments (TXN) presents a mixed investment opportunity. On the positive side, the company has a strong dividend yield, which is attractive for income-focused investors. The company's recent dip in share price has also been met with strong buying support, indicating investor confidence in its long-term prospects. Furthermore, the mainstream adoption of AI and its increased capabilities could potentially boost the semiconductor industry, which TXN is a part of.
However, there are several concerns. TXN is facing declining demand in most sectors except automotive, and the company's financials show consistent margin declines and increased debt. The company is also undergoing near-term margin challenges while navigating downstream inventory burn. A discounted cash flow analysis suggests that TXN's current market valuation may not align with projected growth. 
Moreover, the ongoing war in Ukraine and its impact on global economies could further disrupt TXN's supply chains and increase its operational costs. The company's PE ratio is also relatively high, suggesting that the stock may be overvalued. 
Therefore, while there are potential upsides, the risks associated with TXN at this time warrant a moderate score of 55.</t>
  </si>
  <si>
    <t>Score: 55
Illumina has been through a challenging period with the Grail acquisition and a proxy fight with activist investor Carl Icahn. However, the appointment of a new CEO, Jacob Thaysen, who has the support of Icahn, could signal a turning point for the company. The company's financials show a mixed picture, with a negative EPS and no P/E ratio, indicating that it is not currently profitable. However, its market cap is substantial at $24.988B, and its enterprise value is even higher at $26.56B, suggesting that investors see potential in the company. The company's stock is currently near the lower end of its 52-week range, which could present a buying opportunity if the new CEO can turn things around. However, the ongoing uncertainty in the broader economy, including the war in Ukraine and inflation concerns, could pose risks. The growth of AI in healthcare could present opportunities for Illumina, but it's also important to consider the ethical implications of AI. Overall, Illumina presents a moderate investment opportunity with both potential rewards and risks.</t>
  </si>
  <si>
    <t>Score: 55
Carnival's stock has been oversold recently, which could indicate a potential trend reversal in the near term. The company has reported record bookings and is making progress towards profitability. However, the company's significant debt load and the ongoing COVID-19 pandemic, which could potentially impact the cruise industry, are concerning. The war in Ukraine and its impact on global economies could also affect Carnival's operations. On the positive side, AI advancements in various sectors could potentially benefit Carnival in terms of operational efficiency and customer service. The company's current market cap and enterprise value also suggest some level of investor confidence. However, the company's negative EPS and the lack of a forward dividend yield are negatives. Overall, the potential investment value of Carnival is moderate.</t>
  </si>
  <si>
    <t>Score: 45
Union Pacific Corporation is facing a challenging environment. The company's high debt levels and declining volumes are concerning, especially in the context of the broader macroeconomic uncertainties. The recent safety defects found in their locomotives and railcars further add to these concerns. However, the company's efforts to reduce its carbon footprint and its strong market cap are positive signs. The company's P/E ratio is also relatively reasonable, suggesting that the stock may not be overvalued. Overall, while there are some positive aspects, the negatives currently outweigh them, leading to a moderate score.</t>
  </si>
  <si>
    <t>Score: 45
Mohawk Industries, a company in the Home Furnishings industry, has a moderate investment potential for the next month. The company's financial data shows a negative EPS (Earnings Per Share) and a low volume, indicating a lack of investor interest. The company's market cap is relatively small at $5.96B, and it's facing the risk of being removed from the S&amp;P 500, which could negatively impact its stock price. However, the company's low Price/Sales and Price/Book ratios suggest it could be undervalued. The ongoing war in Ukraine and the potential for further supply chain disruptions could also impact the company's performance. The company's involvement in the home furnishings industry could benefit from the advancements in AI, but the overall economic outlook and company-specific risks suggest a cautious approach.</t>
  </si>
  <si>
    <t>Score: 45
Bio-Techne's stock (TECH) has recently been added to the Zacks Rank #5 (Strong Sell) list, indicating a negative short-term outlook. The company's high P/E ratio of 40.64 suggests that the stock may be overvalued relative to its earnings. The company's forward P/E ratio of 36.23 also indicates that investors have high expectations for the company's future earnings, which may be difficult to meet given the current economic conditions. The company's volume is also relatively low, suggesting a lack of investor interest. However, the company operates in the life sciences industry, which could benefit from the ongoing advancements in AI technology. Therefore, while the company's short-term outlook is negative, there may be potential for long-term growth.</t>
  </si>
  <si>
    <t>Score: 45
The score is based on the following factors:
1. The ongoing war in Ukraine and the persistent COVID-19 pandemic could continue to impact the travel industry, including cruise lines like Norwegian. These factors could lead to decreased consumer demand and increased operational costs, which could negatively impact Norwegian's financial performance.
2. Norwegian's recent stock plunge and disappointing Q3 earnings guidance suggest potential financial instability. However, the solid Q2 results indicate some resilience.
3. The company's high beta value of 2.61 indicates a higher level of volatility compared to the overall market, which could mean higher risk for investors.
4. The company's negative EPS (TTM) and lack of dividends suggest that it is not generating positive earnings or returning capital to shareholders, which could be a red flag for investors.
5. The company's high enterprise value compared to its market cap suggests that it has a significant amount of debt, which could increase its financial risk.
6. The unveiling of new ship Allura for summer 2025 indicates a long-term growth strategy, which could potentially attract investors looking for long-term growth opportunities.
7. The AI trends in 2023 do not seem to directly impact the cruise line industry, but the company could potentially benefit from AI advancements in areas like customer service and operational efficiency. However, this is a long-term potential benefit and may not impact the company's investment value in the next month.</t>
  </si>
  <si>
    <t>Score: 45
M&amp;T Bank's investment potential seems moderate for the next month. The bank's top-line growth is supported by rising net interest income and non-interest income, which is a positive sign. However, there are several concerning factors. High costs and significant exposure to commercial real estate loans could pose a risk, especially considering the current economic climate and the ongoing war in Ukraine, which has disrupted global economies and supply chains. The recent downgrade by Moody's due to potential profitability pressures and the potential for regional banks to add significant debt to meet regulatory guidelines also add to the risk. Furthermore, the bank's P/E ratio is relatively low, which could indicate that the market has lower expectations for its future earnings growth. Therefore, while there are some positive aspects, the potential risks make the investment value moderate.</t>
  </si>
  <si>
    <t>Score: 45
Wynn Resorts' potential investment value is moderate at best. The company's exposure to China's slowing economy, coupled with its recent 9.4% drop since the last earnings report, raises concerns. The company's negative EPS (TTM) and high Beta (5Y Monthly) of 2.06 indicate volatility and potential losses. However, the company's forward P/E ratio of 22.37 and PEG ratio of 0.53 suggest some potential for future growth. The ongoing war in Ukraine and its impact on global economies, including potential disruptions in supply chains, could further affect Wynn Resorts' performance. The company's AI adoption status is unclear, which could be a missed opportunity given the current AI trends.</t>
  </si>
  <si>
    <t>Score: 45
The score is based on the following factors:
1. The ongoing war in Ukraine has caused a spike in energy prices, which is a significant concern for airlines due to their heavy reliance on fuel. Alaska Air has already revised its Q3 guidance due to increased fuel costs.
2. The U.S. economy is showing signs of slowing down, with the Federal Reserve Bank of Philadelphia lowering its fourth-quarter forecast to zero growth. This could potentially lead to reduced travel demand, impacting airlines' revenues.
3. The labor market is showing mixed signals, which could potentially affect the operations of airlines if there are disruptions in the workforce.
4. Alaska Air is mentioned as one of the stocks that could potentially be removed from the S&amp;P 500, which could negatively impact its stock price.
5. On the positive side, Alaska Air is listed as one of the top 5 industrial stocks that could lead to significant gains in September, indicating some potential for growth.
6. The company's financial data shows a relatively high P/E ratio, suggesting that the stock may be overvalued. However, the forward P/E is significantly lower, indicating expected growth in earnings.
7. The company's market cap is relatively small compared to its enterprise value, suggesting that it may be undervalued.
8. The company is set to participate in a webcast at the Morgan Stanley 11th Annual Laguna Conference, which could potentially provide positive news or updates that could impact the stock price.
Overall, while there are some positive signs, the negative factors, particularly the increased fuel costs and potential economic slowdown, lead to a moderate score for Alaska Air.</t>
  </si>
  <si>
    <t>Score: 45
Catalent's potential investment value is moderate due to several factors. The company's leadership in the development and supply of treatments is a positive sign, especially given the ongoing COVID-19 pandemic and the increased demand for healthcare solutions. However, the company's financial data shows some concerning signs. Catalent has a negative EPS (Earnings Per Share) and a high Forward P/E ratio, indicating that the company may be overvalued. Additionally, the company's high debt, as indicated by the high Enterprise Value compared to its Market Cap, is a concern, especially in the current economic climate with rising interest rates. The war in Ukraine and its impact on global economies could also negatively affect the company. However, the company's involvement in AI, a growing sector, could provide some growth opportunities.</t>
  </si>
  <si>
    <t>Score: 45
Iron Mountain's potential investment value is moderate. The company's financial data shows a stable performance with a reasonable P/E ratio and a decent dividend yield. However, the broader economic context presents some challenges. The ongoing war in Ukraine and its impact on global economies, coupled with the Federal Reserve's aggressive rate hikes, could lead to increased market volatility. Furthermore, the AI trends for 2023 do not seem to directly benefit Iron Mountain's operations in the REIT industry. Therefore, while the company's fundamentals are solid, external factors may limit its growth potential in the short term.</t>
  </si>
  <si>
    <t>Score: 45
Zions Bancorporation's current financial position and the macroeconomic environment present a mixed picture for potential investment. The bank's PE Ratio is relatively low at 6.2, suggesting that the stock may be undervalued. However, the ongoing war in Ukraine and the potential credit losses for commercial real estate pose significant risks. The Federal Reserve's aggressive rate hikes could also put pressure on the bank's net interest margin. Furthermore, the potential of being removed from the S&amp;P 500 could negatively impact the stock's performance. Therefore, while there may be some potential for investment, the risks involved lead to a moderate score of 45.</t>
  </si>
  <si>
    <t>Score: 45
Match Group's financial metrics indicate a mixed picture. While the company's revenue growth is positive, the net income and free cash flow growth are less desirable. The high Net Debt/EBITDA ratio of 3.5 is concerning, indicating a high level of debt compared to earnings. The company's stock has also been diluted due to stock-based compensation, which could negatively impact shareholder value. 
On the positive side, Match Group is integrating AI into its dating apps, which could potentially improve user experience and increase user engagement. However, the success of this initiative is yet to be seen. 
Given the current economic outlook, with the ongoing war in Ukraine causing disruptions in global supply chains and the Federal Reserve's aggressive rate hikes, the overall investment environment is uncertain. 
Therefore, while Match Group has potential for growth, especially with its AI initiatives, the company's financial challenges and the current economic climate warrant a cautious investment approach.</t>
  </si>
  <si>
    <t>Score: 45
The score reflects a mixed outlook for Southwest Airlines. On the positive side, the company has reached a tentative agreement with the International Brotherhood of Teamsters, which could lead to labor stability. Also, Southwest Airlines is making efforts to reward its loyal customers, which could boost its customer base and revenues in the long run. 
However, there are several negative factors impacting the score. The company has recently trimmed its third-quarter outlook due to disappointing close-in bookings for August. Rising fuel costs are a significant concern for the airline industry, and Southwest Airlines is no exception. The ongoing war in Ukraine has caused spikes in energy prices, which could further exacerbate the company's fuel cost issues. 
Moreover, the company's stock has been flagged as one to potentially sell in September by some analysts. The company's PE Ratio is relatively high, indicating that the stock may be overvalued. The ongoing COVID-19 pandemic could also continue to impact the company's operations and profitability. 
Therefore, while there are some positive aspects to Southwest Airlines' current situation, the negatives seem to outweigh them at this time, leading to a moderate score of 45.</t>
  </si>
  <si>
    <t>Score: 45
Las Vegas Sands' potential investment value is moderate due to several factors. The company's high P/E ratio indicates that it may be overvalued, and the ongoing war in Ukraine and the COVID-19 pandemic could further impact its operations. Additionally, the company's exposure to China's slowing economy could pose a risk. However, the company's solid market cap and the general recovery of the economy could provide some stability. The company's involvement in the entertainment industry, which could benefit from advancements in AI, also adds some potential for growth.</t>
  </si>
  <si>
    <t>Score: 45
Ventas, despite being in the healthcare REITs industry which could potentially benefit from the adoption of AI, has been underperforming and undervalued according to significant shareholder Land &amp; Buildings Investment Management. The firm has been pushing for board changes to address the lackluster returns. The company's high P/E ratio also suggests that it may be overvalued relative to its earnings. Furthermore, the ongoing war in Ukraine and its impact on global economies could potentially affect Ventas' operations and financial performance. However, the company's participation in the upcoming BofA Securities 2023 Global Real Estate Conference could provide some positive momentum.</t>
  </si>
  <si>
    <t>Score: 45
International Flavors &amp; Fragrances (IFF) has shown some positive signs with a 9.2% increase since the last earnings report. However, the company's financial data reveals some concerning aspects. The company has a negative EPS (TTM) of -8.57, indicating a loss, and the PE Ratio is not available, suggesting that the company is not profitable at the moment. The company's high debt, as indicated by the high Enterprise Value compared to Market Cap, is a concern, especially in the current economic climate with rising interest rates. The ongoing war in Ukraine and its impact on global supply chains could further strain the company's financials. On the positive side, the company's forward dividend yield of 4.71% is attractive for income-focused investors. The company's involvement in the Specialty Chemicals industry could also benefit from advancements in AI, particularly in manufacturing. However, given the mixed signals, a moderate score of 45 is assigned.</t>
  </si>
  <si>
    <t>VFC</t>
  </si>
  <si>
    <t>Score: 45
The VF Corporation has been underperforming with a significant drop in its 52-week range and a cut in its dividend. The company's high P/E ratio indicates that it may be overvalued given its current earnings. However, the company's forward P/E and PEG ratios suggest potential for growth. The ongoing war in Ukraine and its impact on global supply chains could further affect VF Corporation's performance, given its reliance on global manufacturing and distribution. However, the company's size and diverse portfolio of brands may help it weather these challenges. The recent interest rate hikes could also put pressure on consumer spending, potentially impacting VF Corporation's sales. However, the company's involvement in the apparel industry, which is less likely to be disrupted by advancements in AI, could provide some stability.</t>
  </si>
  <si>
    <t>Score: 45
United Airlines Holdings has been facing several challenges recently, including rising fuel costs, inadequate inspections leading to engine failures, and technology issues causing nationwide flight delays. These factors could negatively impact the company's profitability and reputation in the short term. Furthermore, the ongoing war in Ukraine has led to disruptions in global supply chains and spikes in energy prices, which could further increase operational costs for the airline. However, the company's low P/E ratio and the general recovery of the economy from the COVID-19 pandemic could provide some potential for investment. Therefore, a moderate score of 45 is assigned, indicating a somewhat risky investment for the next month.</t>
  </si>
  <si>
    <t>Score: 45
Dominion Energy's recent asset sales and restructuring, including the $14 billion deal with Enbridge, indicate a significant shift in the company's strategy. While this could potentially lead to long-term benefits, the immediate impact appears to be negative, with the stock price falling by 25% YTD and analysts calling the deal's valuation "disappointing". The company's plan to use the after-tax proceeds to retire debt is a positive move, but the overall uncertainty surrounding the company's future direction and the potential impact of the ongoing war in Ukraine on energy prices contribute to a moderate investment score.</t>
  </si>
  <si>
    <t>Score: 40
Comerica's investment potential is currently moderate due to a combination of factors. The ongoing class action lawsuits against the company pose a significant risk, potentially affecting its financial stability and reputation. However, Comerica's strong dividend yield and its recent recognition as the U.S. Captive Services Collateral Specialist of the Year for the second consecutive year are positive indicators. The company's low P/E ratio suggests it could be undervalued, but the overall economic uncertainty, particularly the impact of the war in Ukraine on global economies and the potential for zero growth in the fourth quarter, could negatively affect the banking sector. Therefore, a score of 40 is assigned, indicating a cautious approach towards investment in Comerica for the next month.</t>
  </si>
  <si>
    <t>Score: 40
The score is relatively low due to several factors. Firstly, Danaher Corporation is currently facing multiple class-action lawsuits, which could potentially harm the company's reputation and financial stability. Secondly, the company's operations are being affected by lower demand for COVID-related products, raw material cost inflation, and foreign currency headwinds. Lastly, the company's P/E ratio is relatively high, indicating that the stock may be overvalued. However, the company operates in the healthcare sector, which is expected to benefit from the increased adoption of AI, providing some potential for future growth.</t>
  </si>
  <si>
    <t>Score: 35
Live Nation Entertainment is currently facing multiple class action lawsuits for alleged violations of the Securities Exchange Act, which has likely contributed to the recent drop in its stock price. This legal uncertainty, combined with the broader economic context of slowing GDP growth and potential disruptions from the ongoing war in Ukraine, suggests that the company's stock may face further downward pressure in the near term. However, the company's strong market cap, its position in the entertainment industry which could benefit from the recovery from the COVID-19 pandemic, and the fact that it is technically in oversold territory, suggest some potential for rebound. Therefore, while the short-term outlook is uncertain, there may be potential value for investors willing to take on risk.</t>
  </si>
  <si>
    <t>Score: 35
Walgreens Boots Alliance is currently facing significant challenges, as reflected in its stock price, which has seen a significant decline in recent years. The company's fundamentals have deteriorated, leading to concerns about its dividend safety. The recent resignation of the CEO and the company's addition to the Zacks Rank #5 (Strong Sell) List further contribute to the negative outlook. However, the company still has a profitable and growing business with good cash flow, and its stock is currently undervalued, which could present a buying opportunity for risk-tolerant investors. The company's future performance will largely depend on the appointment of a new CEO with deep healthcare experience and the implementation of effective strategies to address its current challenges.</t>
  </si>
  <si>
    <t>Score: 35
Baxter International's potential investment value is relatively low due to several factors. The company is currently facing multiple class action lawsuits, which could potentially lead to significant financial liabilities and reputational damage. This legal uncertainty is a significant risk factor for potential investors. Furthermore, the company's negative EPS (TTM) and undefined P/E ratio suggest that it is not currently profitable. While the healthcare sector is expected to benefit from advancements in AI, the specific challenges facing Baxter International make it a less attractive investment in the short term.</t>
  </si>
  <si>
    <t>Score: 35
Dollar General's potential investment value is relatively low due to several factors. The company has been added to the Zacks Rank #5 (Strong Sell) List, indicating a negative outlook from analysts. The company is also facing challenges such as declining customer traffic and profit margins, which are red flags for potential investors. Furthermore, the company's complex distribution network and large number of small stores could be a disadvantage in the current economic climate, especially with the ongoing inflation and its impact on consumer spending. The company's participation in the upcoming Goldman Sachs Global Retailing Conference could provide more insights into its strategies and outlook, which could potentially affect its investment value. However, based on the current information, the investment value of Dollar General is relatively low.</t>
  </si>
  <si>
    <t>Score: 35
KeyCorp is currently facing a class action lawsuit, which has led to a significant drop in its stock price. This legal issue, combined with the overall economic uncertainty due to the ongoing war in Ukraine and the persistent COVID-19 pandemic, makes it a risky investment in the short term. However, the company's recent involvement in significant financing deals and its award for best client initiative suggest some underlying strength. Its attractive dividend yield of 7.29% also adds some appeal for income-focused investors. Therefore, while the company has potential, its current legal troubles and the broader economic context limit its investment value in the near term.</t>
  </si>
  <si>
    <t>3 Top Healthcare Stocks to Buy for September
UnitedHealth Group is a foundational piece of the healthcare system in America. Demand for Pfizer's Covid vaccine may have waned, but profits are going to good use.
The 5 Best World-Beater Blue Chips For A Super Pandemic
The COVID-19 pandemic significantly impacted the global economy, costing around $70 trillion, about 10.5 years' income for American workers. Science- and evidence-based living is the best way to protect your health and wealth from the inevitable Super flu pandemic that is a 4% risk in any given year. Up to 500 million people could die, with some estimates as high as 1 billion deaths in an H5N1 avian super pandemic.
The 5 Best Healthcare Stocks to Buy Now: September 2023
In today's dynamic market, many investors are paying attention to the healthcare sector. The segment is known for its resilience and potential for growth.
2 High-Quality Dividend Stocks To Watch Right Now
Dividend stocks to check out in the stock market now.
September Rally? 3 Healthcare Stocks to Buy Before Liftoff.
With inflation taking center stage once again, it's becoming clear that consumers are prioritizing wants and needs. One of those “non-discretionary” expenses is healthcare, which makes it a good time to look for healthcare stocks to buy.
Why UnitedHealth Group (UNH) is a Top Value Stock for the Long-Term
Wondering how to pick strong, market-beating stocks for your investment portfolio? Look no further than the Zacks Style Scores.
Here is What to Know Beyond Why UnitedHealth Group Incorporated (UNH) is a Trending Stock
Zacks.com users have recently been watching UnitedHealth (UNH) quite a bit. Thus, it is worth knowing the facts that could determine the stock's prospects.
Can The S&amp;P 500 Triumph Over September's Infamous Jinx?
Four of the five most heavily weighted S&amp;P components, Apple Inc. NASDAQ: AAPL, Amazon.com Inc. AMZN: AAPL, Nvidia Corp. NASDAQ: NVDA and Alphabet Inc. NASDAQ: GOOGL, are trading in the red.
These four Dow stocks take top prizes for dividend growth
Investors love dividend stocks, but there are different ways to approach them. Below are two screens of the 30 stocks in the Dow Jones Industrial Average, to show which companies have grown their dividend payouts the most over the past five years and 10 years.
Here's Why You Should Retain UnitedHealth Group (UNH) Stock Now
Growth in membership, expanding government business, strategic acquisitions and improving operating margin poise UnitedHealth Group (UNH) well for growth.
The 3 Best Stock Picks for This Week
In August, the US Bureau of Labor Statistics reported United States job and wage growth slowing while unemployment was growing. This is a signal that the Federal Reserve's plan to reduce inflation and avert a recession appears to be working.</t>
  </si>
  <si>
    <t xml:space="preserve">           1y Target Est                      572.12
           52 Week Range             445.68 - 558.10
                     Ask                  0.00 x 800
             Avg. Volume                   3635359.0
       Beta (5Y Monthly)                        0.67
                     Bid                  0.00 x 800
             Day's Range             480.26 - 483.84
               EPS (TTM)                       22.36
           Earnings Date Oct 12, 2023 - Oct 16, 2023
        Ex-Dividend Date                Sep 08, 2023
Forward Dividend &amp; Yield                7.06 (1.47%)
              Market Cap                    446.599B
                    Open                      481.98
          PE Ratio (TTM)                       21.56
          Previous Close                      480.77
             Quote Price                  482.130005
                  Volume                    585037.0
    Market Cap (intraday) 445.34B
         Enterprise Value 464.65B
             Trailing P/E   21.52
              Forward P/E   17.09
PEG Ratio (5 yr expected)    1.36
        Price/Sales (ttm)    1.30
         Price/Book (mrq)    5.41
 Enterprise Value/Revenue    1.33
  Enterprise Value/EBITDA   13.55</t>
  </si>
  <si>
    <t>Is Regeneron Stock Fully Valued At $820?
Regeneron stock (NASDAQ: REGN) has seen a 6% rise in a month, compared to a 1% fall for the broader S&amp;P500 index.
3 Unstoppable Growth Stocks to Buy Right Now
Eli Lilly is a healthcare giant poised to get even bigger. Regeneron Pharmaceuticals has nowhere to go but up.
Regeneron CFO Landry to retire, top accountant Fenimore to become CFO
Regeneron Pharmaceuticals Inc. REGN, +0.66% said late Friday that Chief Financial Officer Robert E. Landry will retire in February, and Christopher Fenimore, the pharma company's current head of accounting and controller, will succeed Landry upon his retirement.
Regeneron Provides Update on Planned Chief Financial Officer Transition
Robert E. Landry to retire effective February 2024; Christopher Fenimore, long-standing Senior Vice President, Head of Accounting and Controller, to assume CFO role Robert E. Landry to retire effective February 2024; Christopher Fenimore, long-standing Senior Vice President, Head of Accounting and Controller, to assume CFO role
Regeneron Announces Updates to Board of Directors
Kathryn Guarini, Ph.D., and David P. Schenkein, M.D., join Regeneron's Board of Directors Kathryn Guarini, Ph.D., and David P. Schenkein, M.D., join Regeneron's Board of Directors
2 Top Biotech Stocks to Buy in September
Vertex and Regeneron have delivered solid financial results and stock market performance. Both biotechs have exciting pipelines that should produce key new approvals or label expansions.
Regeneron Pharmaceuticals, Inc. (REGN) Management Presents at 2023 Wells Fargo Healthcare Conference (Transcript)
Regeneron Pharmaceuticals, Inc. (NASDAQ:REGN ) 2023 Wells Fargo Healthcare Conference Transcript September 6, 2023 8:45 AM ET Executives Marion McCourt - Head, Commercial Ryan Crowe - Head, Investor Relations Analysts Mohit Bansal - Wells Fargo Mohit Bansal Good morning. My name is Mohit Bansal.
OncoNano and Regeneron Enter into Clinical Trial Supply Agreement for Use of Libtayo® (cemiplimab) in ONM-501 Study
SOUTHLAKE, Texas--(BUSINESS WIRE)--OncoNano Medicine, Inc. today announced a clinical trial supply agreement with Regeneron for the use of Libtayo® (cemiplimab) in ONM-501 study.
DECIBEL THERAPEUTICS INVESTOR ALERT by the Former Attorney General of Louisiana: Kahn Swick &amp; Foti, LLC Investigates Adequacy of Price and Process in Proposed Sale of Decibel Therapeutics, Inc. - DBTX
NEW ORLEANS--(BUSINESS WIRE)--Former Attorney General of Louisiana Charles C. Foti, Jr., Esq. and the law firm of Kahn Swick &amp; Foti, LLC (“KSF”) are investigating the proposed sale of Decibel Therapeutics, Inc. (NasdaqGS: DBTX) to Regeneron Pharmaceuticals, Inc. (NasdaqGS: REGN). Under the terms of the proposed transaction, shareholders of Decibel will receive only $4.00 in cash for each share of Decibel that they own, with an additional non-tradeable contingent value right (CVR) to receive.</t>
  </si>
  <si>
    <t xml:space="preserve">           1y Target Est                      898.86
           52 Week Range             668.00 - 847.50
                     Ask               830.18 x 3200
             Avg. Volume                    612609.0
       Beta (5Y Monthly)                        0.19
                     Bid                829.10 x 800
             Day's Range             822.89 - 832.98
               EPS (TTM)                       38.05
           Earnings Date Nov 01, 2023 - Nov 06, 2023
        Ex-Dividend Date                         NaN
Forward Dividend &amp; Yield                   N/A (N/A)
              Market Cap                     90.427B
                    Open                      824.48
          PE Ratio (TTM)                       21.89
          Previous Close                      830.69
             Quote Price                   832.97998
                  Volume                    116602.0
    Market Cap (intraday) 90.18B
         Enterprise Value 83.95B
             Trailing P/E  21.96
              Forward P/E  18.94
PEG Ratio (5 yr expected)   1.76
        Price/Sales (ttm)   7.45
         Price/Book (mrq)   3.75
 Enterprise Value/Revenue   6.79
  Enterprise Value/EBITDA  16.51</t>
  </si>
  <si>
    <t>Qualcomm stock surges as it gets iPhone chip boost
QUALCOMM, Inc. (NASDAQ:QCOM) stock was up more than 5% as the iPhone manufacturer was boosted at the start of a pivotal week for Apple. The chip manufacturer, in a statement, told investors that it had secured its engagement with Apple to make modem chips - SnapDragon 5G modem-RF - for Apple until at least 2026, extending its existing arrangement for another three years.
Qualcomm to Supply Apple With iPhone Chips Through 2026. The Stock Is Flying.
Chip maker Qualcomm will supply Apple with 5G chips for smartphone launches in 2024, 2025, and 2026. Its stock is reversing recent declines.
Qualcomm to supply Apple with 5G chips until 2026 under new deal
Qualcomm on Monday said it had signed a new deal with Apple to supply 5G chips to the iPhone maker until at least 2026.
Qualcomm will make Apple's iPhone modems until 2026, and its stock is surging
Qualcomm Inc. will supply modem chips for Apple Inc.'s iPhones for at least three more years, removing a financial pothole in Qualcomm's path and suggesting Apple's attempt to make its own chips is moving slower than expected.
Qualcomm says it will supply Apple with 5G modems for iPhones through 2026
Wall Street analysts and Qualcomm officials had previously said they expected Apple to use an internally developed 5G modem starting in 2024.
Qualcomm Announces Agreement with Apple for Chip Supply
SAN DIEGO , Sept. 11, 2023 /PRNewswire/ -- Qualcomm Technologies, Inc. today announced that it has entered into an agreement with Apple Inc. to supply Snapdragon® 5G Modem‑RF Systems for smartphone launches in 2024, 2025 and 2026.
The 3 Best Semiconductor Stocks to Buy Now: September 2023
Nowadays, as technology continues to advance, so does the need for semiconductors. Fortunately, the daring companies within this sector are responsible for creating the most efficient, powerful, and capable semiconductors.
Shovels In A Gold Rush: 3 Cheap AI Chip Stocks
NVIDIA is a popular chip stock due to its role as a supplier of GPUs/accelerator chips to the AI industry. Despite delivering a massive earnings beat, NVIDIA's stock has not performed well since its Q2 release came out. In this article I explore alternative AI chip stocks that are cheaper than NVIDIA, and offer unique opportunities.
These 10 stocks have the most exposure to China's 'stalling' economy, BofA warns
China's "stalling" economy is putting some US companies at risk, according to Bank of America. High rates of youth unemployment and recent property defaults have put pressure on the Chinese economy.
10 U.S. Companies Face Much Larger Problems In China Than Apple
If you think Apple has a big "China problem" — you'll be shocked to know it's tiny compared with some other S&amp;P 500 companies.
Why Qualcomm, Taiwan Semiconductor, ASML, and Other Semiconductor Stocks Slumped Today
A smartphone developed in China possessed a remarkably advanced processor, suggesting the tech bypassed U.S. sanctions. Some in Congress are calling for additional restrictions on semiconductors and the necessary manufacturing equipment, to keep the tech from falling into the hands of U.S. rivals.
The 7 Best Sleeper Stocks to Buy Now: September 2023
As a rule of thumb, investors ought to consider securities with strong volume and chart mobility as opposed to sleeper stocks. It's like baseball.
Qualcomm's (QCOM) Partnership With BMW Drives Innovation
The extended partnership between Qualcomm (QCOM) and BMW promises to redefine the future of in-vehicle experiences and safety.
Qualcomm CEO says AI may breathe new life into smartphones: 'It could create a new upgrade cycle'
The CEO of U.S. chip giant Qualcomm thinks artificial intelligence could give the smartphone market a fresh lease on life.
Week Of 08/28 Notable Insider Buys
Energy Transfer LP, Cassava Sciences, and PENN Entertainment Inc. were discussed in last week's insider trades update. CEO of Sirius XM Holdings Inc., Jennifer Witz, purchased 250,000 shares for over $1 million. Lyft, Inc. shares have risen nearly 20% since the introduction of new CEO David Risher in April, and insiders like the stock also.
Qualcomm: Making The Value Case, Shares Holding Critical Support
Qualcomm offers value with a low P/E ratio and a still-sanguine growth trajectory when looking out to 2024. The company reported disappointing Q3 numbers, but prospects may improve in 2024. Key risks include unfavorable resolution terms with Huawei and a broader global economic downturn along with further China jitters.
Qualcomm: I Wouldn't Miss This Golden Buying Opportunity
Qualcomm still outperformed the S&amp;P 500 since my Strong Buy thesis in May, despite being hammered since it issued a disappointing earnings release in August. I assessed that buyers returned with conviction in late August, helping to stem the selling volatility and help QCOM bottom out. Investors are justifiably concerned about Qualcomm's challenges in China. However, Qualcomm's September guidance suggests the worst is likely over.
Qualcomm: Stepping Over The Wall With AI
Qualcomm plans to expand into AI, AR/VR, and automotive chips to diversify from the mature handset market. The company sees a big opportunity in on-device generative AI chips, with potential partnerships with Meta Platforms and Microsoft. The stock is cheap at only 12x conservative EPS targets.
4 Future Dividend Aristocrats
Dividend Aristocrats are among the most consistent companies in the world in terms of generating FCF. Dividend stocks come in all shapes and sizes but dividend growth stocks are among my favorite type to invest in. These companies have strong cash flow, consistent dividend growth, and potential for future growth.
Qualcomm focuses on AI and auto as Nvidia takes over as world's biggest fabless chip company
Qualcomm pioneered cellular technology, with chips in nearly every smartphone today. Now it's shifting focus to autos and AI as Apple works on its own modems.
Qualcomm to supply BMW and Mercedes with chips for displays, voice features
U.S. semiconductor company Qualcomm on Tuesday said it will supply chips to power in-car infotainment systems to luxury automakers Mercedes and BMW.
Qualcomm Showcases Technical Strength And Strong Fundamentals
Qualcomm's financial report for Q3 Fiscal 2023 highlights strong operational performance and strategic planning for long-term growth. QCOM stock rebounds from a significant support level, signaling possible upward movement. The company's diverse revenue streams and technological advancements make it an attractive stock for investors.</t>
  </si>
  <si>
    <t xml:space="preserve">           1y Target Est                      142.38
           52 Week Range             101.47 - 139.94
                     Ask                110.01 x 800
             Avg. Volume                   8371333.0
       Beta (5Y Monthly)                        1.25
                     Bid               109.96 x 1200
             Day's Range             108.82 - 111.84
               EPS (TTM)                        7.64
           Earnings Date Oct 31, 2023 - Nov 06, 2023
        Ex-Dividend Date                Aug 30, 2023
Forward Dividend &amp; Yield                3.20 (3.01%)
              Market Cap                    122.738B
                    Open                      111.27
          PE Ratio (TTM)                        14.4
          Previous Close                      106.14
             Quote Price                  109.999901
                  Volume                  10476140.0
    Market Cap (intraday) 118.45B
         Enterprise Value 125.27B
             Trailing P/E   13.89
              Forward P/E   11.53
PEG Ratio (5 yr expected)    1.02
        Price/Sales (ttm)    3.10
         Price/Book (mrq)    5.73
 Enterprise Value/Revenue    3.25
  Enterprise Value/EBITDA   10.44</t>
  </si>
  <si>
    <t>Salesforce Gives $20M to Education, Expanding Pathways into Tech and AI Careers
SAN FRANCISCO--(BUSINESS WIRE)--Salesforce (NYSE: CRM), the #1 AI CRM, today announced more than $20 million in new grants to U.S. school districts, along with education and workforce development nonprofits preparing students for success. These grants come at a critical time when schools, educators, and employers are navigating a rapidly changing world. Generative AI is transforming the classroom and the jobs that will be available in the future. With this funding, students will have more oppor.
The 7 Best Tech Stocks to Buy to Capitalize on the AI Revolution
Tech stocks are some of the most appealing and popular in the stock market. But did you ever think about what makes investors so eager to find the best tech stocks to buy?
Prediction: These 3 Magnificent Artificial Intelligence Growth Stocks Will Be Worth More Than $1 Trillion by 2035
TSMC will remain the top foundry for producing top-tier AI chips. Adobe's AI transformation will make it easier to create digital content.
Cathie Wood Says Artificial Intelligence (AI) Software May Be a $14 Trillion Market: 2 Superb Growth Stocks to Buy Now and Hold Through the Boom
Ark Invest says AI software revenue could increase by 42% annually to reach $14 trillion by 2030. Salesforce is currently adding new artificial intelligence (AI) capabilities to its customer relationship management software.
Salesforce Rights the Ship
And ThredUp CEO James Reinhart talks about resale as a service and the company's growth plans.
McKinsey partners with Salesforce to offer speedy AI adoption plans for enterprises
With 40 percent of enterprises planning to invest in this kind of AI, the collaboration between Salesforce and McKinsey could be a game
Artificial Intelligence: Salesforce's New Frontier
The inclusion of artificial intelligence (AI) into businesses has been a game-changer in recent years, and Salesforce (CRM, Financial) is no exception. With a keen eye on the future, Salesforce has embarked on a strategic journey to integrate AI into all its business segments.
7 Tech Stocks to Invest In for Big-Time, Long-Term Gains
Tech stocks to buy and hold are on every investor's radar. Technology has been the driving force behind global growth for multiple years, leading the charge in developing solutions that continue moving the needle across many industries.
Salesforce's AI Conundrum
Salesforce aims to become the leading AI CRM software provider and has officially added AI as the fifth focus area on its transformation roadmap. The company's Data Cloud, a customer data platform, is a key beneficiary of the AI frenzy and is seen as a prerequisite for accessing its generative AI capabilities. We remain concerned that AI's democratization could pose a risk to the company's CRM moat.
Better Cloud Stock: Salesforce vs. Veeva Systems
Salesforce is prioritizing profits over its near-term sales growth. Veeva isn't cutting costs as aggressively as Salesforce.
Salesforce.com (CRM) is a Top-Ranked Momentum Stock: Should You Buy?
Wondering how to pick strong, market-beating stocks for your investment portfolio? Look no further than the Zacks Style Scores.
New AI Usage Data Shows Who's Using AI — and Uncovers a Population of ‘Super-Users'
SAN FRANCISCO--(BUSINESS WIRE)--Salesforce (NYSE: CRM), the #1 AI CRM, today released Generative AI Snapshot Research: The AI Divide, a survey of more than 4,000 people across the United States, UK, Australia, and India. The research shows that 49% of people have used generative AI, with over one-third of these users tapping into the technology daily and planning to use it even more. However, the data also shows that half of all people have never used the technology, and 64% of them would use i.
Aria Systems and Salesforce Establish Industries Partnership to Deliver New AI-Optimized Concept-to-Care SaaS Solution
SAN FRANCISCO--(BUSINESS WIRE)--Aria Systems, the leader in empowering enterprises to accelerate subscription and usage-based revenue growth, today announced a strategic industries partnership with Salesforce, the #1 AI CRM, to offer a new AI-optimized concept-to-care monetization solution. Together, Aria Systems and Salesforce's solution will provide enterprises and service providers the tools to launch personalized services, expand their offerings, and automate customer journeys. Created by i.
The 3 Best AI Stocks to Buy Now: September 2023
Among the firms best positioned to benefit from artificial intelligence ( AI ) are ones selling software for sales teams and have updated their software with AI. There are two reasons for the latter conclusion.
AI Stock Salesforce In A Base Waiting For Next Breakout
Salesforce stock is holding onto recent gains and above a key chart level in a base. Shares gained 66% this year so far.
Salesforce announces Slack AI with unread message summaries and more
Salesforce today announced Slack AI, new generative AI-powered smarts that will be natively integrated into Slack to simplify work.
Is Salesforce a Top AI Stock to Buy Right Now?
Salesforce is integrating AI into all business segments. The company has drastically improved its operating margin over the past few quarters.
Here's Why Salesforce.com (CRM) is a Strong Growth Stock
Whether you're a value, growth, or momentum investor, finding strong stocks becomes easier with the Zacks Style Scores, a top feature of the Zacks Premium research service.
Here are the 14 stocks Jim Cramer is watching, including Oracle, Roku and Southwest
Here are some of the tickers on my radar for Wednesday, Sept. 6, taken directly from my reporter's notebook.
Propel Software Expands Offerings on Salesforce AppExchange, the World's Leading Enterprise Cloud Marketplace
SANTA CLARA, Calif.--(BUSINESS WIRE)-- #propelpvm--Propel Software, creator of the first product value management (PVM) platform, announced new Salesforce AppExchange solutions to help drive products to market faster and deliver increased revenue. The new apps connect product and commercial teams to improve efficiency, mitigate risk, and increase product quality. Built natively on Salesforce, Propel is compatible with Commerce Cloud, Experience Cloud, Manufacturing Cloud, Revenue Cloud, Sales Cloud, and Ser.
GRAX Introduces Free Data Backup and Recovery Service for Salesforce
BOSTON--(BUSINESS WIRE)-- #GRAX--GRAX Lite for free Salesforce backup and recovery is here! This solution enables businesses to prevent data loss and take back ownership of data.
Genesys and Salesforce Launch AI-Powered Customer Experience and Relationship Management Solution
Global leaders in CCaaS and CRM expand partnership to help businesses drive more value from data and AI with Genesys Cloud CX and Salesforce Service Cloud SAN FRANCISCO , Sept. 6, 2023 /PRNewswire/ -- Genesys®, a leader in AI-powered experience orchestration, today announced a strategic collaboration with Salesforce (NYSE: CRM), the #1 AI CRM, to help businesses bring together their data, agents, bots and communication channels for smarter end-to-end customer and employee experiences.
The 7 Best Forever Stocks to Buy Now: September 2023
Experts and investors are bullish on U.S. stocks at this point. For example, multi-billionaire Ken Fisher recently called on investors to avoid selling their stocks.
Strong Buy Alert: 3 Tech Stocks Practically Screaming ‘Buy Me Now'
Tech stocks have played a pivotal role in the latest rally, and I believe now is still a great time to enter. Particularly, three tech giants have emerged as trailblazers in an era of technology rapidly reshaping industries.
5 Ways to Play Retail that will Profit in 2023
The takeaway from Q2 earnings results for the retail sector is that consumer habits have changed. Once flush with stimulus cash and little to do but spend it, the consumer buys less discretionary items in favor of everyday items like food, health, and personal grooming.
Software Stocks To Watch Amid Artificial Intelligence-Generated Rally
Software growth stocks outperformed in the first half of 2023. But will the artificial intelligence-driven rally be sustainable for software stocks?
3 AI Stocks to Invest In for Big-Time, Long-Term Gains
The invention of generative artificial intelligence has triggered an arms race. All over the world, companies are investing in AI capabilities that will improve productivity and customer experiences.
Salesforce Stock Is Undervalued
Salesforce stock (NYSE: CRM) has gained 67% YTD, as compared to the 17% rise in the S&amp;P500 over the same period.</t>
  </si>
  <si>
    <t xml:space="preserve">           1y Target Est                      254.12
           52 Week Range             126.34 - 238.22
                     Ask                 0.00 x 1800
             Avg. Volume                   5795553.0
       Beta (5Y Monthly)                        1.19
                     Bid                  0.00 x 900
             Day's Range             222.79 - 226.82
               EPS (TTM)                         1.6
           Earnings Date Nov 28, 2023 - Dec 04, 2023
        Ex-Dividend Date                         NaN
Forward Dividend &amp; Yield                   N/A (N/A)
              Market Cap                    217.777B
                    Open                      226.01
          PE Ratio (TTM)                      139.89
          Previous Close                      224.76
             Quote Price                  223.860001
                  Volume                   1820235.0
    Market Cap (intraday) 218.69B
         Enterprise Value 219.09B
             Trailing P/E  140.47
              Forward P/E   28.99
PEG Ratio (5 yr expected)    1.45
        Price/Sales (ttm)    6.73
         Price/Book (mrq)    3.77
 Enterprise Value/Revenue    6.62
  Enterprise Value/EBITDA   26.05</t>
  </si>
  <si>
    <t>Exxon Mobil: The Clear Beneficiary Of The Oil Shortage
Oil prices expected to remain high in 2023 due to voluntary production cuts in Saudi Arabia and Russia, leading to an oil deficit. Demand for oil set to rise in countries excluding China, US, and EU, with China's demand expected to grow steadily throughout 2023. Gas demand expected to decline due to lower gas consumption in the manufacturing industry and lower demand for pumping gas into storage.
Exxon Mobil Corporation (XOM) Is a Trending Stock: Facts to Know Before Betting on It
Exxon (XOM) has received quite a bit of attention from Zacks.com users lately. Therefore, it is wise to be aware of the facts that can impact the stock's prospects.
3 Stocks to Watch in the TradeSmith ‘Green Zone'
TradeSmith offers investors valuable tools for determining which stocks to watch. A good example is its Health Indicator feature.
7 Best Blue Chip Stocks to Buy Now
Sure, short-term gains from the hip "stock of the moment" can be an exciting roller coaster ride, but if you're a truly savvy investor in 2023, you're going to be hunting for stocks that can provide solid returns over the long term, no matter what the market does. Blue-chip stocks are, of course, one of the best places to find that.
The 3 Best Safe Stocks to Buy Now: September 2023
Summer is unofficially over, but what a difference a year makes. The S&amp;P 500 lost 19% in 2022 yet has rallied 17% higher since the end of July.
Exxon Mobil: Renewables Do Not Spell Its End
Exxon Mobil has achieved substantial cost reductions and strong earnings growth, positioning it well in a lower oil price environment. The transition to renewables may be hindered by practical limitations and potential supply shortages of essential minerals. These costs could slow the adoption of renewables. Exxon Mobil's investments in lower carbon initiatives and carbon capture and storage demonstrate its adaptability and readiness for a changing energy landscape.
3 Energy Stocks Suited Nicely for Momentum Investors
Relative strength focuses on stocks that have performed well compared to the market as a whole or another relevant benchmark. And by targeting those displaying this favorable price action, investors can find themselves in positive market trends where buyers are in control.</t>
  </si>
  <si>
    <t xml:space="preserve">           1y Target Est                      122.73
           52 Week Range              83.89 - 119.92
                     Ask                  0.00 x 900
             Avg. Volume                  15653817.0
       Beta (5Y Monthly)                        1.08
                     Bid                  0.00 x 800
             Day's Range             114.13 - 116.67
               EPS (TTM)                        12.5
           Earnings Date Oct 26, 2023 - Oct 30, 2023
        Ex-Dividend Date                Aug 15, 2023
Forward Dividend &amp; Yield                3.64 (3.15%)
              Market Cap                    458.089B
                    Open                      116.18
          PE Ratio (TTM)                        9.19
          Previous Close                      115.61
             Quote Price                  114.910004
                  Volume                   6022434.0
    Market Cap (intraday) 460.88B
         Enterprise Value 472.85B
             Trailing P/E    9.25
              Forward P/E   12.20
PEG Ratio (5 yr expected)    1.69
        Price/Sales (ttm)    1.33
         Price/Book (mrq)    2.32
 Enterprise Value/Revenue    1.30
  Enterprise Value/EBITDA    5.10</t>
  </si>
  <si>
    <t>The 1 Thing That Could Make Pioneer Natural Resources Skyrocket
Pioneer Natural Resources is a U.S.-based energy producer. The company's top- and bottom-lines are tied to oil and natural gas prices.
Oil Prices Are on the Rise: 3 Dividend Stocks to Play the Energy Rally
Pioneer Natural Resources has pegged its dividend to performance, so higher oil prices mean larger dividends. ConocoPhillips' recent deal should boost its cash flow and ability to pay dividends.
Baker Hughes, Pioneer, Diamondback: Energy Stocks on the Rise
The energy sector has rotated back into leadership, with big S&amp;P 500 components such as Exxon Mobil Corp. NYSE: XOM, Chevron Corp. NYSE: CVX and Schlumberger Ltd. NYSE: SLB trading to the upside in recent weeks.
Seven of the Best Energy Stocks to Buy Now
These top-rated energy stocks could see tailwinds from spiking oil and gas prices.
Here is What to Know Beyond Why Pioneer Natural Resources Company (PXD) is a Trending Stock
Recently, Zacks.com users have been paying close attention to Pioneer Natural Resources (PXD). This makes it worthwhile to examine what the stock has in store.
These Oil Stocks Just Got a Big Boost and Could Rocket From Here
Saudi Arabia has extended its production cuts through the end of the year. This move should push oil prices higher.
Oil Surges Over $90 on Huge Saudi Production Cuts: 7 ‘Strong Buy' Big Dividend Stocks to Grab Now
Since topping out at $120 a barrel back in the summer of 2022, the major oil benchmarks had traded down every month until bottoming in the beginning of December.
Why an Ultra High Dividend Yield Alone Doesn't Make a Stock a Buy
VF Corp. cut its dividend this year after years of annual increases. Foot Locker "paused" its dividend as a turnaround ran into headwinds.
7 Stocks to Buy Based on Unusual Options Activity
As you become more sophisticated in your investing journey, you'll want to pay closer attention to unusual options activity stocks. To briefly explain, options represent a contract that gives the holder the right – but not the obligation – to buy or sell the underlying security (or asset) at the specified strike price on or before the listed expiration date.</t>
  </si>
  <si>
    <t xml:space="preserve">           1y Target Est                      259.91
           52 Week Range             177.27 - 274.70
                     Ask                  0.00 x 800
             Avg. Volume                   1730990.0
       Beta (5Y Monthly)                        1.46
                     Bid                  0.00 x 900
             Day's Range             233.80 - 240.85
               EPS (TTM)                       23.52
           Earnings Date Oct 25, 2023 - Oct 30, 2023
        Ex-Dividend Date                Sep 05, 2023
Forward Dividend &amp; Yield               16.47 (6.90%)
              Market Cap                       54.8B
                    Open                      240.43
          PE Ratio (TTM)                        9.99
          Previous Close                      238.82
             Quote Price                  235.050003
                  Volume                    591929.0
    Market Cap (intraday) 55.68B
         Enterprise Value 61.16B
             Trailing P/E  10.15
              Forward P/E   9.91
PEG Ratio (5 yr expected)   0.78
        Price/Sales (ttm)   2.88
         Price/Book (mrq)   2.53
 Enterprise Value/Revenue   3.00
  Enterprise Value/EBITDA   6.04</t>
  </si>
  <si>
    <t>High Energy Momentum: 3 Oil Stocks Breaking Out Now
It seems the bull market in oil is back. In just the last two months, the price of oil has rallied and an astonishing 30% and isn't slowing down.
Seven of the Best Energy Stocks to Buy Now
These top-rated energy stocks could see tailwinds from spiking oil and gas prices.</t>
  </si>
  <si>
    <t xml:space="preserve">           1y Target Est                      149.18
           52 Week Range              97.73 - 150.39
                     Ask                 0.00 x 1100
             Avg. Volume                   3619877.0
       Beta (5Y Monthly)                        1.65
                     Bid                 0.00 x 1000
             Day's Range             141.24 - 145.44
               EPS (TTM)                       29.04
           Earnings Date Oct 23, 2023 - Oct 27, 2023
        Ex-Dividend Date                Aug 02, 2023
Forward Dividend &amp; Yield                4.04 (2.84%)
              Market Cap                     50.202B
                    Open                       143.0
          PE Ratio (TTM)                         4.9
          Previous Close                      142.06
             Quote Price                  142.160507
                  Volume                   2305386.0
    Market Cap (intraday) 50.17B
         Enterprise Value 56.41B
             Trailing P/E   4.89
              Forward P/E  10.12
PEG Ratio (5 yr expected)    NaN
        Price/Sales (ttm)   0.34
         Price/Book (mrq)   1.94
 Enterprise Value/Revenue   0.36
  Enterprise Value/EBITDA   3.15</t>
  </si>
  <si>
    <t>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T. ROWE PRICE RELEASES LATEST DEFINED CONTRIBUTION CONSULTANT RESEARCH STUDY
BALTIMORE, Sept. 6, 2023 /PRNewswire/ -- T. Rowe Price today released findings from its latest Defined Contribution Consultant Research Study. T. Rowe Price surveyed 32 defined contribution (DC) consultants and advisory firms—with a collective $6.7 trillion in assets under advisement—to explore factors driving plan sponsor decisions as they relate to target date solutions, retirement income, investment trends, and financial wellness programs.
T. Rowe Price Group: Still The Time To Buy (Rating Upgrade)
Even when considering no growth until 2030, T. Rowe Price Group appears to be attractively valued. Based on the Bear- and Bull-Case Discounted Cash Flow Analysis, the company could be undervalued between 18% and 45%. Rating Upgrade to 'Strong Buy'</t>
  </si>
  <si>
    <t xml:space="preserve">           1y Target Est                       107.3
           52 Week Range              93.53 - 134.64
                     Ask                110.04 x 800
             Avg. Volume                   1386919.0
       Beta (5Y Monthly)                        1.33
                     Bid               109.99 x 1000
             Day's Range             109.75 - 110.70
               EPS (TTM)                        6.71
           Earnings Date Oct 25, 2023 - Oct 30, 2023
        Ex-Dividend Date                Sep 14, 2023
Forward Dividend &amp; Yield                4.88 (4.47%)
              Market Cap                     24.737B
                    Open                      110.37
          PE Ratio (TTM)                       16.44
          Previous Close                      109.24
             Quote Price                  110.290001
                  Volume                    292730.0
    Market Cap (intraday) 24.50B
         Enterprise Value 22.58B
             Trailing P/E  16.28
              Forward P/E  15.15
PEG Ratio (5 yr expected)  20.46
        Price/Sales (ttm)   3.93
         Price/Book (mrq)   2.64
 Enterprise Value/Revenue   3.61
  Enterprise Value/EBITDA   8.53</t>
  </si>
  <si>
    <t>3 Cheap Top-Ranked Stocks Investors Can't Ignore
Value-conscious investors are always looking for deals, sitting in the shadows and waiting for the rest of the crowd to catch on. The strategy can be quite lucrative, especially when it's paired with the Zacks Rank.
New Strong Buy Stocks for September 8th
TCPC, PCAR, CWCO, SWDBY and HRTG have been added to the Zacks Rank #1 (Strong Buy) List on September 8, 2023.
Best Value Stocks to Buy for September 8th
HRTG, PCAR and AEO made it to the Zacks Rank #1 (Strong Buy) value stocks list on September 8, 2023.
Best Income Stocks to Buy for September 8th
TCPC, PCAR and AEO made it to the Zacks Rank #1 (Strong Buy) income stocks list on September 8, 2023.
Cummins (CMI), PACCAR (PCAR) and Daimler Form a Battery JV
Cummins (CMI), PACCAR (PCAR) and Daimler collaborate for battery cell production in the United States.
4 Industrial Stocks to Buy as Rate-Hike Fears Subside
Caterpillar (CAT), 3M (MMM), PACCAR (PCAR) and Masco (MAS) are four industrial stocks that can lend solidity to one's portfolio as the Fed continues to go slow on rate hikes.
Accelera by Cummins, Daimler Truck and PACCAR form a joint venture to advance battery cell production in the United States
COLUMBUS, Ind. &amp; PORTLAND, Ore. &amp; BELLEVUE, Wash.--(BUSINESS WIRE)--Accelera by Cummins, the zero-emissions business unit of Cummins Inc. [NYSE: CMI], Daimler Trucks &amp; Buses US Holding LLC (a Daimler Truck Group Company; DAX: DTR0CK; “Daimler Truck”) and PACCAR [NASDAQ: PCAR] are partnering to accelerate and localize battery cell production and the battery supply chain in the United States. The planned joint venture will manufacture battery cells for electric commercial vehicles and industr.
Accelera - Cummins, Daimler Truck and PACCAR Form a Joint Venture to Advance Battery Cell Production in The United States
COLUMBUS, Ind. &amp; PORTLAND, Ore. &amp; BELLEVUE, Wash.--(BUSINESS WIRE)--Accelera by Cummins, the zero-emissions business unit of Cummins Inc. [NYSE: CMI], Daimler Trucks &amp; Buses US Holding LLC (a Daimler Truck Group Company; DAX: DTR0CK; “Daimler Truck”) and PACCAR [NASDAQ: PCAR] are partnering to accelerate and localize battery cell production and the battery supply chain in the United States. The planned joint venture will manufacture battery cells for electric commercial vehicles and industr.
Cummins And Two Truck Giants Will Pour $3 Billion Into A Battery Venture
The biggest diesel engine maker, Daimler and Paccar plan to open the biggest venture in North America making battery cells tailored to commercial vehicles.
What Makes Paccar (PCAR) a New Strong Buy Stock
Paccar (PCAR) might move higher on growing optimism about its earnings prospects, which is reflected by its upgrade to a Zacks Rank #1 (Strong Buy).
Best Momentum Stocks to Buy for September 5th
OFS, PCAR and GHI made it to the Zacks Rank #1 (Strong Buy) momentum stocks list on September 5, 2023.
New Strong Buy Stocks for September 5th
PCAR, PUBGY, OFS, SWDBY and GHI have been added to the Zacks Rank #1 (Strong Buy) List on September 5, 2023.
Best Income Stocks to Buy for September 5th
PCAR, PUBGY and OFS made it to the Zacks Rank #1 (Strong Buy) income stocks list on September 5, 2023.</t>
  </si>
  <si>
    <t xml:space="preserve">           1y Target Est         90.26
           52 Week Range 54.64 - 90.05
                     Ask  84.63 x 1400
             Avg. Volume     2469888.0
       Beta (5Y Monthly)          0.98
                     Bid   84.60 x 800
             Day's Range 84.58 - 85.31
               EPS (TTM)          6.96
           Earnings Date  Oct 24, 2023
        Ex-Dividend Date  Aug 16, 2023
Forward Dividend &amp; Yield  1.02 (1.20%)
              Market Cap       44.313B
                    Open         84.94
          PE Ratio (TTM)         12.18
          Previous Close         84.51
             Quote Price     84.760002
                  Volume      609674.0
    Market Cap (intraday) 44.18B
         Enterprise Value 49.94B
             Trailing P/E  12.14
              Forward P/E  12.74
PEG Ratio (5 yr expected)   8.39
        Price/Sales (ttm)   1.36
         Price/Book (mrq)   2.93
 Enterprise Value/Revenue   1.53
  Enterprise Value/EBITDA   8.56</t>
  </si>
  <si>
    <t>Investors May Not Have Seen the Best From Eli Lilly Stock Yet. Here's Why.
Eli Lilly's type 2 diabetes treatment, called Mounjaro, is helping fuel new growth for the company. In addition to diabetes, Eli Lilly is looking to fast track Mounjaro for weight-loss approval by the FDA.
Big pharma's blockbuster obesity drug battle is just getting started, and it's headed for $100 billion
As Novo Nordisk and Eli Lilly duke it out in the weight-loss drug market with Ozempic, Wegovy and Mounjaro, drug company competitors plan to join the fray.
3 Unstoppable Growth Stocks to Buy Right Now
Eli Lilly is a healthcare giant poised to get even bigger. Regeneron Pharmaceuticals has nowhere to go but up.
Only 2 Mega-Cap Monster Stocks Have Risen in Each of the Last 5 Years: Are They Buys Now?
Of the more than 40 current mega-cap stocks, only two have generated positive returns in each of the last five years. One is a highly diversified conglomerate, while the other is a fast-growing pharmaceutical company.
The economic cost of obesity is expected to soar to $4 trillion by 2035. Weight loss drugs like Ozempic could change that, Goldman Sachs says.
The rise in obesity is having a massive impact on the global economy, according to Goldman Sachs. The bank estimates that obesity will drag down the world's GDP by $4 trillion in 2035.
Is Eli Lilly Stock A Buy Now That It Has Hit A Profit-Taking Zone?
Eli Lilly surged 15% in one day on enthusiasm for weight-loss and Alzheimer's drugs. But is LLY stock a buy now?
Drug And Tech Services Stocks Surge To New Highs, Buy Zones With Strong Technical Ratings
Eli Lilly and Accenture are at new highs after earnings. Both stocks are supported by strong technical ratings and are in buy zones.
'Smart Money' Investors Pour $2 Billion Into Just 5 Stocks
If you're wondering which S&amp;P 500 stocks the best mutual funds are buying — you might be surprised how selective the list is.
Lilly's diabetes drug gains backing of UK watchdog -Bloomberg News
Eli Lilly's drug Mounjaro has won the backing of Britain's drug cost-effectiveness watchdog as a diabetes treatment, Bloomberg News reported on Thursday.
Why Is Lilly (LLY) Up 6.4% Since Last Earnings Report?
Lilly (LLY) reported earnings 30 days ago. What's next for the stock?
Weight-Loss Drug Market Can Hit $100 Billion, J.P. Morgan Says.
Eli Lilly and Denmark's Novo Nordisk are expected to roughly split the market for weight-loss drugs, both as diabetes and obesity treatments.
Here are the 13 stocks Jim Cramer is watching, including Eli Lilly, McDonald's
Here are some of the tickers on my radar for Thursday, Sept. 7, taken directly from my reporter's notebook.
3 Nasdaq Stocks to Sell in September Before They Crash &amp; Burn
Due to what could be an unsustainable rally for equities, you may be looking for Nasdaq stocks to sell now. We've had an incredible run this year, but there are some additional indiciations that our luck has come to an end.
Competing in These 3 Markets Could Send Eli Lilly Stock Soaring
Eli Lilly is making big plays in three hot markets: Alzheimer's, pain, and obesity. It's already on the cusp of getting medicines approved in those spaces.
Here's 1 Stock That Could Join Apple and Amazon in the $1 Trillion Club That You Might Have Overlooked
Unlike the current five stocks with $1 trillion market caps, AI isn't a major factor for this contender. Instead, its fortunes rely largely on treating diabetes, obesity, and Alzheimer's disease.
Novo Nordisk Is Now Europe's Biggest Company, Driven by Weight-Loss Drug. How Eli Lilly Could Benefit.
The pharma company's Wegovy medication helps it overtake luxury goods maker LVMH, with a market value of around $420 billion.</t>
  </si>
  <si>
    <t xml:space="preserve">           1y Target Est          559.87
           52 Week Range 296.32 - 597.96
                     Ask     0.00 x 1000
             Avg. Volume       2804435.0
       Beta (5Y Monthly)            0.32
                     Bid      0.00 x 800
             Day's Range 584.49 - 597.96
               EPS (TTM)            7.15
           Earnings Date    Nov 02, 2023
        Ex-Dividend Date    Aug 14, 2023
Forward Dividend &amp; Yield    4.52 (0.77%)
              Market Cap        565.571B
                    Open          587.15
          PE Ratio (TTM)           83.33
          Previous Close          586.46
             Quote Price      595.780029
                  Volume       1900025.0
    Market Cap (intraday) 556.72B
         Enterprise Value 572.71B
             Trailing P/E   81.68
              Forward P/E   46.08
PEG Ratio (5 yr expected)    1.55
        Price/Sales (ttm)   17.96
         Price/Book (mrq)   50.32
 Enterprise Value/Revenue   19.40
  Enterprise Value/EBITDA   62.69</t>
  </si>
  <si>
    <t>Why General Dynamics Is A Great SWAN Pick
General Dynamics is trading below its 52-week high and is an attractive play for potentially strong total returns. GD has a steady and growing revenue stream from long-term government contracts, making it less vulnerable to economic downturns. Strong demand for military hardware and a record-high backlog support GD's near-term growth prospects.
Shielding Your Portfolio With 3 Aerospace Companies
Aerospace and defense stocks, such as Lockheed Martin, General Dynamics, and RTX, offer stability, consistent returns, and reliable dividends. These companies play a crucial role in national security and have a diverse portfolio of products and services. Lockheed Martin, General Dynamics, and RTX have strong financial performance, dividend growth, and attractive valuations, making them attractive investment opportunities.
U.S. Pledges New Security Aid to Ukraine: 3 Defense Stocks to Gain
The latest U.S. aid package worth $175 million marks the 46th tranche of equipment to be provided from DoD inventories for Ukraine, since August 2021. RTX, LMT &amp; GD stand to gain from this.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General Dynamics (GD) Wins Deal for Littoral Combat Ship
General Dynamics (GD) is set to provide sustainment of the Littoral Combat Ship Integrated Combat Management System and associated combat system elements.</t>
  </si>
  <si>
    <t xml:space="preserve">           1y Target Est                      264.37
           52 Week Range             202.35 - 256.86
                     Ask                 0.00 x 1100
             Avg. Volume                   1059950.0
       Beta (5Y Monthly)                        0.83
                     Bid                  0.00 x 900
             Day's Range             215.11 - 217.54
               EPS (TTM)                       12.18
           Earnings Date Oct 24, 2023 - Oct 30, 2023
        Ex-Dividend Date                Oct 05, 2023
Forward Dividend &amp; Yield                5.28 (2.42%)
              Market Cap                     58.843B
                    Open                       217.0
          PE Ratio (TTM)                       17.69
          Previous Close                      217.87
             Quote Price                  215.585007
                  Volume                    589506.0
    Market Cap (intraday) 59.49B
         Enterprise Value 69.82B
             Trailing P/E  17.89
              Forward P/E  14.81
PEG Ratio (5 yr expected)   1.48
        Price/Sales (ttm)   1.47
         Price/Book (mrq)   3.05
 Enterprise Value/Revenue   1.71
  Enterprise Value/EBITDA  13.09</t>
  </si>
  <si>
    <t>Thermo Fisher (TMO) Adds New Platform to CTS Product Portfolio
Thermo Fisher (TMO) launches the next-generation Gibco CTS Detachable Dynabeads platform.
Thermo Fisher Scientific Recognized by R&amp;D 100 Awards for Innovations in Science and Technology
WALTHAM, Mass.--(BUSINESS WIRE)--Thermo Fisher Scientific Inc., the world leader in serving science, has been recognized by the R&amp;D 100 Awards, honoring the top 100 revolutionary products in science and technology from around the world, for three unique innovations that aid researchers' and scientists' work in a variety of life science applications, including bioproduction and small-molecule analysis. The three award-winning Thermo Fisher innovations include: The Thermo Scientific™ DynaSpin.
Thermo Fisher Scientific and National Minority Quality Forum Collaborate to Make Clinical Research More Accessible to Historically Underserved Communities
WALTHAM, Mass.--(BUSINESS WIRE)--Thermo Fisher Scientific Inc. (NYSE: TMO), the world leader in serving science, and the National Minority Quality Forum (NMQF), an independent not-for-profit research and education organization, today announced a collaboration to help bring clinical research to historically underserved patient populations through NMQF's Alliance for Representative Clinical Trials (ARC). The collaboration supports biopharmaceutical and biotech customers in meeting regulatory expe.
Here are the 14 stocks Jim Cramer is watching, including Oracle, Roku and Southwest
Here are some of the tickers on my radar for Wednesday, Sept. 6, taken directly from my reporter's notebook.
Thermo Fisher Scientific Helps Accelerate Cell Therapy Manufacturing with a Next-Generation Platform of Gibco™ CTS™ Detachable Dynabeads™
WALTHAM, Mass.--(BUSINESS WIRE)--Thermo Fisher Scientific Inc., the world leader in serving science, today announced the Gibco CTS Detachable Dynabeads (CTS Detachable Dynabeads)*, its next-generation platform of Dynabeads with the first active release mechanism of its kind for clinical trial and commercial manufacturing use. The active release mechanism of CTS Detachable Dynabeads utilizes a release buffer that helps enable users to actively detach Dynabeads from a target cell at any point dur.
Thermo Fisher Scientific to Present at Morgan Stanley 21st Annual Global Healthcare Conference on September 13, 2023
WALTHAM, Mass.--(BUSINESS WIRE)--Thermo Fisher Scientific Inc. (NYSE: TMO), the world leader in serving science, announced that Marc N. Casper, chairman, president and chief executive officer, will present at the Morgan Stanley 21st Annual Global Healthcare Conference on Wednesday, September 13, 2023 at 8:50 a.m. (EDT). You can access the live webcast of the presentation via the Investors section of our website, www.thermofisher.com. About Thermo Fisher Scientific Thermo Fisher Scientific Inc.</t>
  </si>
  <si>
    <t xml:space="preserve">           1y Target Est                      625.61
           52 Week Range             475.77 - 609.85
                     Ask                  0.00 x 900
             Avg. Volume                   1474188.0
       Beta (5Y Monthly)                        0.77
                     Bid                 0.00 x 1300
             Day's Range             512.84 - 517.22
               EPS (TTM)                       14.62
           Earnings Date Oct 24, 2023 - Oct 30, 2023
        Ex-Dividend Date                Sep 14, 2023
Forward Dividend &amp; Yield                1.40 (0.27%)
              Market Cap                    199.285B
                    Open                      515.41
          PE Ratio (TTM)                       35.32
          Previous Close                      518.27
             Quote Price                  516.349976
                  Volume                    711637.0
    Market Cap (intraday) 200.03B
         Enterprise Value 230.90B
             Trailing P/E   35.43
              Forward P/E   20.79
PEG Ratio (5 yr expected)    2.00
        Price/Sales (ttm)    4.66
         Price/Book (mrq)    4.57
 Enterprise Value/Revenue    5.31
  Enterprise Value/EBITDA   21.70</t>
  </si>
  <si>
    <t>Want to Get Richer? 3 Top Warren Buffett Stocks to Buy Now That Could Help You Build Lasting Wealth
Highly profitable and dependable businesses can be your key to generating strong investment returns. Let Warren Buffett guide you toward the best stocks to buy today.
Visa and Mastercard Dispute Reports About Fee Hikes: Here's What Investors Need to Know
According to The Wall Street Journal, Visa and Mastercard planned to increase the fees they charge to merchants. Visa and Mastercard disputed the reporting, saying it didn't provide the whole picture.
Visa's Competitive Advantages And Capital Allocation Make It A Buy
Visa's robust network and technology have driven its impressive 15% annual EPS growth. Morning Consult's 2023 survey solidifies Visa's brand strength. Visa effectively allocates 85% of its free cash flow to shareholders, while maintaining a high ROIC.
Visa: A Wide-Moat Profitability Superstar
Visa is a must-have for investors, with strong profitability metrics and a wide moat in the digital payments industry. The company's financial performance has been stellar, with double-digit revenue growth and high free cash flow margins. My valuation analysis suggests V stock is about 20% undervalued.
Visa Is Still A Great Buy
Visa is a buy despite its higher valuation than the market's average. Visa has strong fundamentals, with steady sales and EPS growth and consistent dividend increases. Visa has significant growth opportunities in international transactions and adopting new technologies.
The 5 Best World-Beater Blue Chips For A Super Pandemic
The COVID-19 pandemic significantly impacted the global economy, costing around $70 trillion, about 10.5 years' income for American workers. Science- and evidence-based living is the best way to protect your health and wealth from the inevitable Super flu pandemic that is a 4% risk in any given year. Up to 500 million people could die, with some estimates as high as 1 billion deaths in an H5N1 avian super pandemic.
Even Near Its 52-Week High, Here's Why This Warren Buffett Stock Is a No-Brainer
A strong brand and predictable earnings are key to making a great company. A competitive moat gives companies a better shot at sustained success.
Visa: Growth On Track Amid A Slowing Consumer And Rising Dollar Environment
The US Dollar Index has been bullish for 8 weeks, which may pressure earnings for companies with significant ex-USA operations. Visa, the largest global credit network, has a stable operating environment and robust EPS growth outlook. Risks to Visa's stock include a weakening consumer environment, regulatory changes, and the potential impact of a rising dollar on earnings.
Visa: Top-Tier Dividend Growth And $10 Trillion Market Opportunities
Visa is a powerful dividend growth stock with a $500 billion market cap and a track record of 14 consecutive years of uninterrupted dividend growth. The company has hiked its dividend by 17% per year on average over the past five years and has a strong buyback program. Despite economic challenges, Visa reported a 12% increase in net revenues in Q3 2023 and remains promising with steady EBITDA growth and resilient margins.
Visa: Buy This Blue-Chip Buffett Stock Now For Tremendous Dividend Growth
Visa is featured within Berkshire Hathaway's massive investment portfolio. The company's dividend payout ratio is poised to remain in the low 20% range moving forward. The payments processor continues to deliver business growth to its shareholders.
5 Crypto Stocks to Watch From a Volatile Wall Street
5 Crypto-centric stocks to watch now are: NVDA, V, HOOD, COIN, SQ.
The 7 Best Dow Stocks to Buy Now: September 2023
Finding the best Dow stocks to buy can be complex. The companies listed in the Dow Jones Industrial Average tend to be blue-chip stocks that have large market capitalizations and are dominant in their sectors of the economy.
The 7 Best E-Commerce Stocks to Buy Now: September 2023
E-commerce offers consumers a more convenient solution to buy their favorite products. Instead of commuting to the nearby store, shoppers can buy products online from the comfort of their homes or anywhere else, creating big opportunity for some of the best e-commerce stocks.
5 Best Retail Stocks To Buy During Back-To-School Season
Back-to-school shopping is fun for students—but investors get a piece of the action, too. In this article we discuss five stocks to watch as families hit the stores for school supplies, apparel and technology.
Visa Research Highlights Emerging Fraud Schemes in Retail and eCommerce
SAN FRANCISCO--(BUSINESS WIRE)--Today, Visa Inc. (NYSE:V), a world leader in digital payments, released the Fall 2023 edition of its Biannual Threats Report which highlights emerging fraud schemes targeting the global economy. This edition showcases a significant rise of phishing schemes proliferated through generative AI tools, and a marked increase in enumeration and ransomware. The report also shows how Visa is working with law enforcement around the globe to bring perpetrators of fraud to j.
Battle Of The Digital Payment Titans: Block, PayPal, And Visa
The digital payments revolution has reshaped the financial landscape, transforming the transactions are conducted and the management of money. In this dynamic era, three prominent contenders vie for the lion's share of the market: Block NASDAQ: SQ, PayPal Holdings Inc. NASDAQ: PYPL, and Visa Inc. NYSE: V.
3 Fintech Stocks to Invest In for Big-Time, Long-Term Gains
Generally speaking, when you find fintech stocks to buy and hold, they will produce strong returns. Growth rates for the sector are expected to eclipse 25% annually for the next few years.
The 3 Best Financial Services Stocks to Buy Now: September 2023
In today's fast-paced financial landscape, investors constantly search for robust avenues to grow their wealth. Enter financial services stocks—a sector brimming with potential and diversity.
Visa (V) Expands Stablecoin Settlement Capabilities to Acquirers
Visa's (V) groundbreaking move into stablecoin settlement on the Solana blockchain with partners Worldpay and Nuvei is set to revolutionize cross-border money movement.
These four Dow stocks take top prizes for dividend growth
Investors love dividend stocks, but there are different ways to approach them. Below are two screens of the 30 stocks in the Dow Jones Industrial Average, to show which companies have grown their dividend payouts the most over the past five years and 10 years.
2 Warren Buffett Stocks to Buy Hand Over Fist in September
Mondelez International and Visa each enjoy strong brand recognition. The companies' payouts should have growth ahead.
Blackhawk Network (BHN) Collaborates with Visa to Launch First-of-its-Kind Global Environmental Sustainability Initiative
PLEASANTON, Calif.--(BUSINESS WIRE)--As part of its ongoing initiatives aimed to positively impact the environment at a global level, branded payments provider Blackhawk Network (BHN) is working alongside Visa to transition its network branded prepaid products distributed by third party retail networks from plastic to paper-based materials. The initiative will roll out in the US, Canada and Australia later this year. Converting to sustainable materials has the potential to impact over 350 milli.
The 3 Best Blockchain Stocks to Buy Now: September 2023
Blockchain technology is being adopted by many of the best-known stocks and firms. At its core, the blockchain is simply a publicly distributed digital ledger allowing the recording of transactions in an unalterable way.
Visa Inc. (V) Goldman Sachs 2023 Communacopia &amp; Technology Conference (Transcript)
Visa Inc. (NYSE:V ) Goldman Sachs 2023 Communacopia &amp; Technology Conference September 5, 2023 12:30 PM ET Company Participants Ryan McInerney - Chief Executive Officer Conference Call Participants Will Nance - Goldman Sachs Will Nance All right, guys, I guess we'll kick it off now. I'm Will Nance.
Visa adds USDC support on Solana to improve settlement times and lower costs
(Kitco News) - Global payments provider Visa has added USDC support on the Solana blockchain to offer merchants faster settlement times and lower transaction costs.
Visa Inc. (V) is Attracting Investor Attention: Here is What You Should Know
Visa (V) has received quite a bit of attention from Zacks.com users lately. Therefore, it is wise to be aware of the facts that can impact the stock's prospects.
Wall Street Bulls Look Optimistic About Visa (V): Should You Buy?
When deciding whether to buy, sell, or hold a stock, investors often rely on analyst recommendations. Media reports about rating changes by these brokerage-firm-employed (or sell-side) analysts often influence a stock's price, but are they really important?
Visa Expands Stablecoin Settlement Capabilities to Merchant Acquirers
SAN FRANCISCO--(BUSINESS WIRE)--Visa (NYSE: V), a global leader in payments, announced its next step in modernizing cross-border money movement. Visa is expanding its stablecoin settlement capabilities to the high-performing Solana blockchain and is working with merchant acquirers Worldpay and Nuvei. Through live pilots with issuers and acquirers, Visa has already moved millions of USDC between its partners over the Solana and Ethereum blockchain networks to settle fiat-denominated payments aut.</t>
  </si>
  <si>
    <t xml:space="preserve">           1y Target Est                      278.38
           52 Week Range             174.60 - 248.87
                     Ask                  0.00 x 800
             Avg. Volume                   5582909.0
       Beta (5Y Monthly)                        0.95
                     Bid                 0.00 x 1000
             Day's Range             246.27 - 248.36
               EPS (TTM)                        7.89
           Earnings Date Oct 23, 2023 - Oct 27, 2023
        Ex-Dividend Date                Aug 10, 2023
Forward Dividend &amp; Yield                1.80 (0.73%)
              Market Cap                     513.18B
                    Open                      247.33
          PE Ratio (TTM)                       31.27
          Previous Close                      247.29
             Quote Price                  246.744995
                  Volume                   1002980.0
    Market Cap (intraday) 514.31B
         Enterprise Value 516.12B
             Trailing P/E   31.38
              Forward P/E   25.06
PEG Ratio (5 yr expected)    1.58
        Price/Sales (ttm)   16.30
         Price/Book (mrq)   13.19
 Enterprise Value/Revenue   16.21
  Enterprise Value/EBITDA   23.66</t>
  </si>
  <si>
    <t>Oil Prices Are on the Rise: 3 Dividend Stocks to Play the Energy Rally
Pioneer Natural Resources has pegged its dividend to performance, so higher oil prices mean larger dividends. ConocoPhillips' recent deal should boost its cash flow and ability to pay dividends.
Best Dividend Stock to Buy: Devon Stock vs. Chevron Stock
The price of oil is rising as a major producer slows output.
Top 3 dividend stocks to add to your portfolio in September
Dividend stocks are typically added to a portfolio during recessions because even if the stock price drops, you could offset the losses by getting paid each quarter. Depending on the yield, you could even offset the yearly inflation with some stocks.
These Oil Stocks Just Got a Big Boost and Could Rocket From Here
Saudi Arabia has extended its production cuts through the end of the year. This move should push oil prices higher.
Oil Surges Over $90 on Huge Saudi Production Cuts: 7 ‘Strong Buy' Big Dividend Stocks to Grab Now
Since topping out at $120 a barrel back in the summer of 2022, the major oil benchmarks had traded down every month until bottoming in the beginning of December.
Devon Energy: Oil Prices Ticking To 2023 Highs Is Welcome News, NG Still Low
Oil prices are at fresh 2023 highs, with WTI above $85 and Brent approaching $90. Higher oil prices could lead to earnings upgrades and higher multiples in the low-P/E Energy sector. Reiterating a buy rating on Devon Energy for its low valuation and solid free cash flow yield, though the chart still needs improvement.
Devon Energy: The Path To A 10% Yield And 100% Total Return
Devon Energy is a top pick in the oil and gas sector, with strong financials, efficient operations, and deep reserves in the Delaware Basin. Oil prices have been resilient, benefiting DVN and driving impressive volume growth and free cash flow. DVN prioritizes shareholders, offering generous returns through fixed and variable dividends and substantial share buybacks.</t>
  </si>
  <si>
    <t xml:space="preserve">           1y Target Est                       60.21
           52 Week Range               44.03 - 78.82
                     Ask                 0.00 x 1200
             Avg. Volume                   8013864.0
       Beta (5Y Monthly)                        2.36
                     Bid                  0.00 x 800
             Day's Range               50.42 - 53.16
               EPS (TTM)                        7.32
           Earnings Date Oct 30, 2023 - Nov 03, 2023
        Ex-Dividend Date                Sep 14, 2023
Forward Dividend &amp; Yield                3.45 (6.55%)
              Market Cap                     32.429B
                    Open                       53.16
          PE Ratio (TTM)                        6.91
          Previous Close                       52.66
             Quote Price                     50.6115
                  Volume                   6100801.0
    Market Cap (intraday) 33.74B
         Enterprise Value 39.96B
             Trailing P/E   7.19
              Forward P/E   7.63
PEG Ratio (5 yr expected)   0.40
        Price/Sales (ttm)   2.00
         Price/Book (mrq)   3.06
 Enterprise Value/Revenue   2.35
  Enterprise Value/EBITDA   4.45</t>
  </si>
  <si>
    <t>Semiconductor Check: Buy the Dip in These Highly Ranked Stocks
In terms of price-to-earnings valuation, these semiconductor stocks are very attractive relative to their past and rising EPS estimates indicate they could be prime buy-the-dip candidates.
5 Stocks With High ROE to Buy as Rate Hike Probability Rises
ON Semiconductor (ON), Dillard's (DDS), Ryder (R), Upbound Group (UPBD) and Atkore (ATKR) are some of the stocks with high ROE to profit from as rate hike probability increases on solid economic data.
ON Semiconductor Corporation (ON) Citi's 2023 Global Technology Conference Call Transcript
ON Semiconductor Corporation (NASDAQ:ON ) Citi's 2023 Global Technology Conference Call September 7, 2023 2:30 PM ET Company Participants Hassane El-Khoury - Chief Executive Officer Thad Trent - Chief Financial Officer Conference Call Participants Unidentified Analyst Thanks for coming, everyone. Next up is one of our top picks in the whole semiconductor space, onsemi.
10 U.S. Companies Face Much Larger Problems In China Than Apple
If you think Apple has a big "China problem" — you'll be shocked to know it's tiny compared with some other S&amp;P 500 companies.
3 New Additions to the Zacks Rank Investors Cannot Miss
One of the simplest ways to find market beating stocks is to consult the Zacks Rank. Every day, Zacks proprietary research identifies new stocks with upward trending earnings revisions and delivers them to you.
New Strong Buy Stocks for September 7th
CCAP, CR, STIX, BMI and ON have been added to the Zacks Rank #1 (Strong Buy) List on September 7, 2023.</t>
  </si>
  <si>
    <t xml:space="preserve">           1y Target Est                      121.15
           52 Week Range              54.93 - 111.35
                     Ask                 96.27 x 900
             Avg. Volume                   5960164.0
       Beta (5Y Monthly)                        1.78
                     Bid                 96.32 x 900
             Day's Range               95.95 - 99.34
               EPS (TTM)                        4.35
           Earnings Date Oct 30, 2023 - Nov 03, 2023
        Ex-Dividend Date                         NaN
Forward Dividend &amp; Yield                   N/A (N/A)
              Market Cap                     41.643B
                    Open                       99.18
          PE Ratio (TTM)                       22.18
          Previous Close                       97.92
             Quote Price                        96.5
                  Volume                   1887778.0
    Market Cap (intraday) 42.26B
         Enterprise Value 43.12B
             Trailing P/E  22.41
              Forward P/E  17.18
PEG Ratio (5 yr expected)   1.52
        Price/Sales (ttm)   5.26
         Price/Book (mrq)   6.05
 Enterprise Value/Revenue   5.16
  Enterprise Value/EBITDA  14.10</t>
  </si>
  <si>
    <t>Stocks This Week: Buy Adobe And Sell Short Ford
Here is a strategy to profit from this market. Buy Adobe at months end and sell short Ford at the end of this week.
Prediction: These 3 Magnificent Artificial Intelligence Growth Stocks Will Be Worth More Than $1 Trillion by 2035
TSMC will remain the top foundry for producing top-tier AI chips. Adobe's AI transformation will make it easier to create digital content.
Adobe Inc. (ADBE) Goldman Sachs 2023 Communacopia + Technology Conference (Transcript)
Adobe Inc. (NASDAQ:ADBE ) Goldman Sachs 2023 Communacopia + Technology Conference September 7, 2023 6:05 PM ET Company Participants Shantanu Narayen - Chairman and Chief Executive Officer Unidentified Company Representative Hello again, everyone, and welcome back. Shantanu, thank you so much for joining us.
Adobe's AI Product Draws Analyst Praise
Adobe Inc (NASDAQ:ADBE) secured an upgrade from Mizuho to "buy" from "neutral" this morning, as well as a price-target hike to $630 from $520.
Adobe's earnings are on deck, but that's not the main reason its stock won a new fan
Adobe Inc. could be in the midst of a strong quarter, but that's not the only reason a Mizuho analyst is feeling more upbeat about its stock.
2 Magnificent Stocks to Buy and Never Sell
Adobe's creative design suite is the industry standard for graphics design. Autodesk's products are critical for the daily jobs of engineers and architects.
Adobe Stock, Already At Year's Highs, Faces Earnings Test; Oracle, Lennar Also On Earnings Calendar
Investors should be girding themselves for next Thursday's results for the August-ended quarter after the close.
This Stock Is Up 66% in 2023, but Its Best Days Are Likely Behind It
Adobe is a blue chip software stock. However, its growth does not justify the valuation anymore.
Adobe Reports After The Close On 9/14 -- Options Contracts Expire The Next Day
the Adobe ADBE next earnings date is projected to be 9/14 after the close
Strong Buy Alert: 3 Tech Stocks Practically Screaming ‘Buy Me Now'
Tech stocks have played a pivotal role in the latest rally, and I believe now is still a great time to enter. Particularly, three tech giants have emerged as trailblazers in an era of technology rapidly reshaping industries.
Software Stocks To Watch Amid Artificial Intelligence-Generated Rally
Software growth stocks outperformed in the first half of 2023. But will the artificial intelligence-driven rally be sustainable for software stocks?
3 AI Stocks to Invest In for Big-Time, Long-Term Gains
The invention of generative artificial intelligence has triggered an arms race. All over the world, companies are investing in AI capabilities that will improve productivity and customer experiences.
7 Tech Stocks to Buy to Go Beyond the ‘Magnificent 7'
In 2023, tech stocks to buy have boomed led by the ‘Magnificent 7' which have propelled much of the overall market gains. However, they've also proven volatile experiencing hiccups early in August as valuation concerns mounted.</t>
  </si>
  <si>
    <t xml:space="preserve">           1y Target Est          566.18
           52 Week Range 274.73 - 570.24
                     Ask    558.71 x 800
             Avg. Volume       3206920.0
       Beta (5Y Monthly)            1.33
                     Bid   558.45 x 1200
             Day's Range 556.76 - 564.30
               EPS (TTM)           10.48
           Earnings Date    Sep 14, 2023
        Ex-Dividend Date    Mar 24, 2005
Forward Dividend &amp; Yield       N/A (N/A)
              Market Cap        253.949B
                    Open           562.0
          PE Ratio (TTM)           53.16
          Previous Close          560.36
             Quote Price      557.150024
                  Volume        934515.0
    Market Cap (intraday) 255.41B
         Enterprise Value 252.92B
             Trailing P/E   53.42
              Forward P/E   31.65
PEG Ratio (5 yr expected)    2.11
        Price/Sales (ttm)   14.09
         Price/Book (mrq)   17.21
 Enterprise Value/Revenue   13.72
  Enterprise Value/EBITDA   35.14</t>
  </si>
  <si>
    <t>Synopsys (SNPS) Adds New Extension to Its Synopsys.ai EDA
Synopsys (SNPS) introduces an extension to Synopsis.ai that provides insights to optimize exploration, design, manufacturing and testing processes in chip making.
Want to Buy the Dip? Check Out These 3 Top Ranked Stocks
By now, most people who follow the stock market have seen the seasonality statistics for September. On average, it's the weakest month of the year, with a performance of -0.7%.
Synopsys Extends Synopsys.ai EDA Suite with Industry's First Full-Stack Big Data Analytics Solution
AI-driven Data Continuum Harnesses Untapped, Actionable Insights to Boost Productivity Across Design, Manufacturing, Testing, and In-Field Deployment Highlight s: Comprehensive AI-driven data analytics solution aggregates and utilizes data across IC design, test, and manufacturing flow to drive more intelligent decision making. Speeds design closure and minimizes project risk through intelligence-guided debugging and optimization.
Synopsys (SNPS) Upgraded to Strong Buy: Here's Why
Synopsys (SNPS) might move higher on growing optimism about its earnings prospects, which is reflected by its upgrade to a Zacks Rank #1 (Strong Buy).</t>
  </si>
  <si>
    <t xml:space="preserve">           1y Target Est                      485.23
           52 Week Range             267.00 - 471.15
                     Ask               457.27 x 1100
             Avg. Volume                    870446.0
       Beta (5Y Monthly)                        1.11
                     Bid               456.87 x 1000
             Day's Range             453.36 - 461.64
               EPS (TTM)                        6.66
           Earnings Date Nov 28, 2023 - Dec 04, 2023
        Ex-Dividend Date                         NaN
Forward Dividend &amp; Yield                   N/A (N/A)
              Market Cap                     69.583B
                    Open                      459.78
          PE Ratio (TTM)                        68.7
          Previous Close                      459.14
             Quote Price                  457.529999
                  Volume                    244253.0
    Market Cap (intraday) 69.83B
         Enterprise Value 68.68B
             Trailing P/E  68.94
              Forward P/E  36.63
PEG Ratio (5 yr expected)   2.08
        Price/Sales (ttm)  12.91
         Price/Book (mrq)  11.72
 Enterprise Value/Revenue  12.42
  Enterprise Value/EBITDA  51.09</t>
  </si>
  <si>
    <t>Fiserv Leads 2023 IDC FinTech Top 100 Ranking of Global Financial Technology Providers
BROOKFIELD, Wis.--(BUSINESS WIRE)--Fiserv, Inc. (NYSE: FI), a leading global provider of payments and financial technology solutions, has landed the top spot on the 2023 IDC FinTech Top 100 Rankings in recognition of its delivery of innovation-driving technology to financial institutions. The Fortune 500-style ranking categorizes and evaluates the top global providers of financial technology based on calendar year revenues from financial institutions for hardware, software and/or services. Data.
The 3 Best Fintech Stocks to Buy Now: September 2023
Fintech, or financial technology, is a sector that has been growing rapidly in recent years, offering innovative solutions for payments, banking, lending and investing. The best fintech stocks leverage digital platforms, data analytics, artificial intelligence and other technologies to provide faster, cheaper and more convenient financial services to consumers and businesses.
3 Fintech Stocks to Invest In for Big-Time, Long-Term Gains
Generally speaking, when you find fintech stocks to buy and hold, they will produce strong returns. Growth rates for the sector are expected to eclipse 25% annually for the next few years.</t>
  </si>
  <si>
    <t xml:space="preserve">           1y Target Est                       142.2
           52 Week Range              91.55 - 130.74
                     Ask                  0.00 x 900
             Avg. Volume                   2452759.0
       Beta (5Y Monthly)                        0.88
                     Bid                 0.00 x 1100
             Day's Range             121.37 - 122.45
               EPS (TTM)                        3.92
           Earnings Date Oct 25, 2023 - Oct 30, 2023
        Ex-Dividend Date                         NaN
Forward Dividend &amp; Yield                   N/A (N/A)
              Market Cap                      74.05B
                    Open                      121.74
          PE Ratio (TTM)                       30.99
          Previous Close                       121.6
             Quote Price                  121.470001
                  Volume                    519454.0
    Market Cap (intraday) 74.13B
         Enterprise Value 97.01B
             Trailing P/E  30.71
              Forward P/E  14.39
PEG Ratio (5 yr expected)   1.19
        Price/Sales (ttm)   4.18
         Price/Book (mrq)   2.47
 Enterprise Value/Revenue   5.26
  Enterprise Value/EBITDA  13.50</t>
  </si>
  <si>
    <t>Oracle Stock Set to Open at Record High Before Earnings
Cloud concern Oracle Corporation (NYSE:ORCL) will report fiscal first-quarter earnings after the close today.
Hostess Brands shares rally on deal news and Tesla stock is up on an upgrade, and more moving stocks
Shares of Hostess Brands Inc. TWNK, +0.86% jumped more than 10% after The Wall Street Journal reported late Sunday that J.M. Smucker Co. SJM, +0.88% is close to a roughly $4 billion deal to acquire the snack maker.
Oracle on track to meet ‘difficult but achievable' 1Q organic growth expectations
Oracle Corporation (NYSE:ORCL) is expected to report a year-over-year increase in its sales and profits when it hands down its first quarter fiscal 2024 earnings on Monday, September 11 after the market close. Wall Street analysts expect the cloud technology company to report a 10.7% increase in earnings per share, up from $1.03 for the same period last year to $1.14.
Earnings Preview: Oracle
After U.S. markets closed on Wednesday, DocuSign beat the consensus earnings per share (EPS) estimate by 9.1% and the revenue estimated by about 1.5%.
Adobe Stock, Already At Year's Highs, Faces Earnings Test; Oracle, Lennar Also On Earnings Calendar
Investors should be girding themselves for next Thursday's results for the August-ended quarter after the close.
This is How to Get the Best Exposure to AI App Development
The AI industry is in high gear, and the money flows fast into all segments. Among the most promising segments are AI apps and services, which will be the largest portion of the market over time.
Here are the 14 stocks Jim Cramer is watching, including Oracle, Roku and Southwest
Here are some of the tickers on my radar for Wednesday, Sept. 6, taken directly from my reporter's notebook.
Why Oracle Stock Blasted Higher on Tuesday
The tech industry stalwart scores a recommendation upgrade from an analyst. To him, the shares are now a buy.
Oracle Stock Boosted By New Upgrade Citing AI Potential
Oracle rose Tuesday after it earned a new upgrade from Barclays on the tech giant's potential to be a leader in artificial intelligence.
Oracle Stock Is Rising. Bullish AI Cloud Outlook Prompts Another Upgrade.
Barclays upgraded Oracle stock to Overweight from Equal Weight, and raised its price target to $150 from $126. The software giant offers a "multiyear opportunity for solid growth at high margins.
Software Stocks To Watch Amid Artificial Intelligence-Generated Rally
Software growth stocks outperformed in the first half of 2023. But will the artificial intelligence-driven rally be sustainable for software stocks?
Orcale Stock Upgraded on AI Tailwinds
Oracle Corp (NYSE:ORCL) is up 2.1% before the bell, after Barclays upgraded the software stock to "overweight" from "equal weight.
Oracle Sets the Date for its First Quarter Fiscal Year 2024 Earnings Announcement
Earnings Results to be released on September 11, 2023, After the Close of the Market AUSTIN, Texas , Sept. 5, 2023 /PRNewswire/ -- Oracle Corporation today announced that its first quarter fiscal year 2024 results will be released on Monday, September 11th, after the close of the market.</t>
  </si>
  <si>
    <t xml:space="preserve">           1y Target Est          127.74
           52 Week Range  60.78 - 127.54
                     Ask      0.00 x 900
             Avg. Volume      10320841.0
       Beta (5Y Monthly)            0.99
                     Bid     0.00 x 1200
             Day's Range 124.72 - 127.42
               EPS (TTM)            3.07
           Earnings Date    Sep 11, 2023
        Ex-Dividend Date    Jul 11, 2023
Forward Dividend &amp; Yield    1.60 (1.27%)
              Market Cap        342.702B
                    Open          127.02
          PE Ratio (TTM)           41.13
          Previous Close          126.32
             Quote Price      126.260002
                  Volume       5714739.0
    Market Cap (intraday) 342.87B
         Enterprise Value 423.16B
             Trailing P/E   41.15
              Forward P/E   22.68
PEG Ratio (5 yr expected)    2.48
        Price/Sales (ttm)    6.99
         Price/Book (mrq)  319.54
 Enterprise Value/Revenue    8.47
  Enterprise Value/EBITDA   22.58</t>
  </si>
  <si>
    <t>CME Group Announces Record Volume Across Suite of Short-Term WTI Options
CHICAGO , Sept. 7, 2023 /PRNewswire/ -- CME Group, the world's leading derivatives marketplace, today announced that trading in its suite of WTI weekly options, the company's fastest growing energy products, reached record average daily volume in August of 12,291 contracts.
CME Group to Launch T-Bill Futures on October 2, as U.S. Treasury Futures Open Interest Hits Record 19.8 Million Contracts
CHICAGO , Sept. 5, 2023 /PRNewswire/ -- CME Group , the world's leading derivatives marketplace, today announced that it will expand its benchmark interest rates offering with the launch of U.S. Treasury Bill (T-Bill) futures on October 2, pending regulatory review.
CME Group Reports Second-Highest August ADV on Record
Double-digit growth in Interest Rate, Energy, Agricultural, Metals and options products Highest-volume August for Equity Index futures and options and Agricultural options products CHICAGO , Sept. 5, 2023 /PRNewswire/ -- Amid ongoing geopolitical, economic and weather-related uncertainties, CME Group, the world's leading derivatives marketplace, today reported its August 2023 market statistics, including average daily volume (ADV) of 24.2 million contracts, an increase of 14% from 2022 and the second-highest ADV for the month of August on record.</t>
  </si>
  <si>
    <t xml:space="preserve">           1y Target Est                      217.54
           52 Week Range             166.55 - 209.31
                     Ask               206.15 x 1200
             Avg. Volume                   1474538.0
       Beta (5Y Monthly)                        0.43
                     Bid               206.04 x 1100
             Day's Range             204.35 - 206.49
               EPS (TTM)                        8.18
           Earnings Date Oct 24, 2023 - Oct 30, 2023
        Ex-Dividend Date                Sep 07, 2023
Forward Dividend &amp; Yield                4.40 (2.15%)
              Market Cap                     74.274B
                    Open                      204.55
          PE Ratio (TTM)                       25.24
          Previous Close                      204.99
             Quote Price                  206.460007
                  Volume                    245016.0
    Market Cap (intraday) 73.75B
         Enterprise Value 75.18B
             Trailing P/E  25.06
              Forward P/E  22.42
PEG Ratio (5 yr expected)   4.53
        Price/Sales (ttm)  14.06
         Price/Book (mrq)   2.65
 Enterprise Value/Revenue  14.35
  Enterprise Value/EBITDA  17.09</t>
  </si>
  <si>
    <t>Constellation Energy: The Stock Will Go From Strength To Strength
Constellation Energy is a major carbon-free electricity generator in the US, producing approximately 11% of the country's carbon-free energy. The company's stock price has surged by 152% since early 2022, and it has made strategic acquisitions and partnerships to expand its clean energy offerings. CEG has a strong financial outlook, generating significant adjusted EBITDA and increasing its dividend payment history by 100%.
4 Stocks Trading Near 52-Week High With More Upside Potential
Investors target stocks that have been on a bullish run lately. Stocks like VRT, FLR, GES and CEG that are seeing price strength have a high chance of carrying the momentum forward.
Constellation Energy: From Spinoff To Industry Leader
Constellation Energy Corporation is well-positioned in the utilities sector with strong year-over-year growth and a focus on clean energy. CEG's acquisition of a stake in the South Texas Project Nuclear Generating Station could significantly boost its competitive standing in the nuclear industry. The company's strategic focus on policy engagement, operational efficiency, and customer satisfaction positions it as a formidable player in the energy sector.
How to Find Top-Ranked Momentum Stocks to Buy in September
The screen we explore today helps investors find Zacks Rank #1 (Strong Buy) stocks that also boast strong upward price momentum that might be worth buying in September and beyond.</t>
  </si>
  <si>
    <t xml:space="preserve">           1y Target Est                      103.85
           52 Week Range              71.16 - 110.96
                     Ask               108.87 x 1100
             Avg. Volume                   1847191.0
       Beta (5Y Monthly)                         NaN
                     Bid               108.80 x 1100
             Day's Range             108.65 - 109.34
               EPS (TTM)                        2.37
           Earnings Date Nov 08, 2023 - Nov 12, 2023
        Ex-Dividend Date                Aug 11, 2023
Forward Dividend &amp; Yield                1.13 (1.04%)
              Market Cap                     35.015B
                    Open                       108.8
          PE Ratio (TTM)                       45.94
          Previous Close                      108.64
             Quote Price                  108.879997
                  Volume                    353021.0
    Market Cap (intraday) 34.94B
         Enterprise Value 41.87B
             Trailing P/E  45.84
              Forward P/E  18.18
PEG Ratio (5 yr expected)    NaN
        Price/Sales (ttm)   1.35
         Price/Book (mrq)   3.10
 Enterprise Value/Revenue   1.59
  Enterprise Value/EBITDA  12.12</t>
  </si>
  <si>
    <t>GE Board of Directors Authorizes Regular Quarterly Dividend
BOSTON--(BUSINESS WIRE)--The Board of Directors of GE (NYSE: GE) today declared a $0.08 per share dividend on the outstanding common stock of the Company. The dividend is payable October 25, 2023, to shareholders of record at the close of business on September 26, 2023. The ex-dividend date is September 25, 2023. About GE GE (NYSE:GE) rises to the challenge of building a world that works. For more than 130 years, GE has invented the future of industry, and today the company's dedicated team, le.
Biden and Modi to make progress on GE jet engines, nuclear - White House
The White House expects to see meaningful progress on GE jet engines and civil nuclear technology in upcoming bilateral talks between U.S. President Joe Biden and India Prime Minister Narendra Modi, national security adviser Jake Sullivan told reporters on Thursday.
The 3 Best Industrials Stocks to Buy Now: September 2023
Do you want to diversify your portfolio to the next level? Investing in industrials stocks can offer exposure to a diverse set of innovative businesses that have the potential to grow and generate long term profits.
Fortune Media and Great Place To Work Name GE Appliances to 2023 Best Workplaces in Manufacturing &amp; Production List
LOUISVILLE, Ky.--(BUSINESS WIRE)--Great Place To Work® and Fortune magazine have named GE Appliances, a Haier company, to the 2023 Fortune Best Workplaces in Manufacturing &amp; Production™ List for the second year in a row. Earning a spot recognizes GE Appliances as one of the best companies to work for in the country. The Best Workplaces in Manufacturing &amp; Production award is based on an analysis of survey responses from over 74,000 current employees from Great Place To Work Certified™ co.
GE Aerospace selected by Bell for V-280 Valor Future Long-Range Assault Aircraft
EVENDALE, Ohio--(BUSINESS WIRE)--GE Aerospace today announced the selection by Bell Textron Inc., a Textron company, for work on the development of a Common Open Architecture Digital Backbone (COADB), Voice and Data Recorder, and the Health Awareness System (HAS) for the Bell V-280 Valor. Following the U.S. Army's Future Long-Range Assault Aircraft (FLRAA) program contract award, the V-280 Valor will enable the U.S. Army and its allies to maintain battlefield superiority including transformatio.
GE Blows Minds With Celebs and CEOs Event
GE's lean-manufacturing event in New York included chiefs of Ford, Uber, and Ingersoll Rand. Peyton Manning and Wolfgang Puck showed up, too.
The 7 Best Forever Stocks to Buy Now: September 2023
Experts and investors are bullish on U.S. stocks at this point. For example, multi-billionaire Ken Fisher recently called on investors to avoid selling their stocks.
General Electric (GE) Up 36% YTD: Will the Momentum Continue?
General Electric (GE) is poised for growth on the back of strength across the Aerospace unit and recovery in GE Vernova's operations. The company's efforts to reward its shareholders are encouraging.
Why Analysts Say GE's Healthcare Spinoff Has $20 Upside
Of the 19 U.S. corporate spinoffs that have occurred in 2023, GE HealthCare Technologies Inc. NASDAQ: GEHC may be the most intriguing. With the market's attention on a wave of media spinoffs, the growth opportunities at General Electric's new standalone healthcare business are well worth tuning in to.
Attention C-Suite: New GE Study Finds Divergent Views on Leadership Development
BOSTON--(BUSINESS WIRE)--As companies and employees alike adapt to a changing work environment beset by return-to-work debates, AI fears and other challenges, a new nationwide study by GE (NYSE:GE) and global polling firm Ipsos found agreement in the need for companies to clearly articulate their approach to leadership, but divergent views between C-suite and entry-level respondents as to how successfully companies are delivering. “From the Ground Floor to the Corner Office” surveyed over 250 C.</t>
  </si>
  <si>
    <t xml:space="preserve">           1y Target Est          124.52
           52 Week Range  48.31 - 117.96
                     Ask     0.00 x 1100
             Avg. Volume       4561529.0
       Beta (5Y Monthly)            1.22
                     Bid     0.00 x 1000
             Day's Range 112.14 - 112.96
               EPS (TTM)            9.24
           Earnings Date    Oct 24, 2023
        Ex-Dividend Date    Sep 25, 2023
Forward Dividend &amp; Yield    0.32 (0.29%)
              Market Cap        122.247B
                    Open          112.25
          PE Ratio (TTM)           12.16
          Previous Close          111.72
             Quote Price          112.32
                  Volume       1016343.0
    Market Cap (intraday) 121.59B
         Enterprise Value 119.73B
             Trailing P/E   12.09
              Forward P/E   25.32
PEG Ratio (5 yr expected)    1.55
        Price/Sales (ttm)    1.51
         Price/Book (mrq)    3.90
 Enterprise Value/Revenue    1.48
  Enterprise Value/EBITDA    7.70</t>
  </si>
  <si>
    <t>Fortinet and Wiz Team Up to Protect Enterprise Cloud Workload Environments
Technology alliance partnership between industry leaders aims to deliver cloud-native security protections for joint customers Technology alliance partnership between industry leaders aims to deliver cloud-native security protections for joint customers
3 Stocks to Protect Your Portfolio in the Digital Age
The cybersecurity industry has emerged as a critical pillar in the modern business landscape, addressing the ever-growing need to safeguard digital assets and data. Over the years, this need has escalated due to the exponential growth of technology and the rapid digitization of businesses.
Fortinet Reaches Technical Support Following August's Market Adjustments
Fortinet, a prominent player in cybersecurity, experienced a decline in share prices in August 2023, causing concerns among investors. The company showcased impressive growth in revenue and net income, with a promising trajectory for free cash flow. Technical analysis suggests potential upward trends in Fortinet's stock price, presenting a golden investment window for long-term investors.
Fortinet: A Top Growth Stock That's No Longer Overvalued - Here's Why
Fortinet stock has experienced a massive battering due to disappointing forward guidance and a deceleration in growth. However, you would have sold at its lows if you sold then. Buyers have returned to stem the recent slide, helping FTNT to recover remarkably well. FTNT boasts a best-in-class "A" growth grade, supported by its wide economic moat in networking and cybersecurity solutions.
Why Did Fortinet Stock Drop 23% Last Month?
Fortinet reported quarterly earnings that were mostly in line with investor expectations. Weak bookings figures and revised forecasts cast doubt on its short-term growth prospects.
Fortinet, Inc. (FTNT) Management presents at Goldman Sachs Communacopia + Technology Conference Call (Transcript)
Fortinet, Inc. (NASDAQ:FTNT ) Goldman Sachs Communacopia + Technology Conference Call September 5, 2023 6:05 PM ET Company Participants Keith Jensen - Chief Financial Officer John Maddison - Chief Marketing Officer and Executive Vice President, Product Strategy Conference Call Participants Gabriela Borges - Goldman Sachs Gabriela Borges All right, I think we can go ahead and kick it off. Thank you for joining us in this afternoon's Fortinet session.
Cybersecurity Stocks To Watch Amid Shift To AI, Cloud
Cybersecurity stocks have underperformed in 2023. But cloud security companies may be better positioned as corporate budgets tighten.
3 No-Brainer Stocks I'd Buy Right Now Without Hesitation
Fortinet is still an evergreen play on the cybersecurity sector. DigitalOcean's niche approach to cloud computing is locking in lots of customers.
Is It Time to Buy August's 3 Worst-Performing Nasdaq Stocks?
Fortinet tumbled on a revenue guidance cut. Dollar Tree is seeing significant margin compression.
7 Tech Stocks to Buy to Go Beyond the ‘Magnificent 7'
In 2023, tech stocks to buy have boomed led by the ‘Magnificent 7' which have propelled much of the overall market gains. However, they've also proven volatile experiencing hiccups early in August as valuation concerns mounted.</t>
  </si>
  <si>
    <t xml:space="preserve">           1y Target Est                       74.36
           52 Week Range               42.61 - 81.24
                     Ask                 64.79 x 800
             Avg. Volume                   6325346.0
       Beta (5Y Monthly)                        1.16
                     Bid                64.72 x 1100
             Day's Range               64.52 - 65.30
               EPS (TTM)                        1.35
           Earnings Date Oct 31, 2023 - Nov 06, 2023
        Ex-Dividend Date                         NaN
Forward Dividend &amp; Yield                   N/A (N/A)
              Market Cap                     50.772B
                    Open                       64.82
          PE Ratio (TTM)                       47.89
          Previous Close                       64.07
             Quote Price                   64.650002
                  Volume                   1213354.0
    Market Cap (intraday) 50.32B
         Enterprise Value 47.99B
             Trailing P/E  48.17
              Forward P/E  36.63
PEG Ratio (5 yr expected)   2.05
        Price/Sales (ttm)  10.21
         Price/Book (mrq) 156.65
 Enterprise Value/Revenue   9.62
  Enterprise Value/EBITDA  35.53</t>
  </si>
  <si>
    <t>First Solar Rises On Upgrade As Analyst Sees Strong Roadmap
Shares of First Solar are rising following an upgrade to buy from Deutsche Bank. FSLR stock was up as much as 2.5% in morning trading.
Deutsche Just Issued a BIG Call on First Solar (FSLR) Stock
First Solar (NASDAQ: FSLR ) stock is on the move Friday after Deutsche Bank analyst Corinne Blanchard weighed in on the solar energy company's shares. With this updated coverage, the Deutsche Bank analyst upgraded shares of FSLR stock from a “hold” rating to a “buy” rating.
These Are the Solar Power Winners and Losers of 2023 So Far
A record amount of solar panels are expected to be installed in the U.S. this year, but the fate of companies in the industry has diverged.
First Solar to Hold Its First Analyst Day in 5 Years. What to Expect.
The solar company will host its first analyst meeting since 2017 on Thursday.
First Solar, Inc. (FSLR) Is a Trending Stock: Facts to Know Before Betting on It
First Solar (FSLR) has received quite a bit of attention from Zacks.com users lately. Therefore, it is wise to be aware of the facts that can impact the stock's prospects.
Here are the 14 stocks Jim Cramer is watching, including Oracle, Roku and Southwest
Here are some of the tickers on my radar for Wednesday, Sept. 6, taken directly from my reporter's notebook.
Despite the Green Energy Boom, Solar Stocks Are Not Doing Great
While the solar power industry has experienced tremendous growth, the performance of solar stocks has not met expectations.
The 7 Best Forever Stocks to Buy Now: September 2023
Experts and investors are bullish on U.S. stocks at this point. For example, multi-billionaire Ken Fisher recently called on investors to avoid selling their stocks.
The 7 Best Solar Stocks to Buy Now: September 2023
With its boundless potential, solar power remains at the forefront of renewable energy sources, tapping into the sun's infinite reserves to illuminate homes, electrify businesses, and drive our vehicles forward. Aside from the obvious benefits, solar power shines in its capacity to spark economic growth and job creation.</t>
  </si>
  <si>
    <t xml:space="preserve">           1y Target Est                      246.12
           52 Week Range             115.66 - 232.00
                     Ask                181.85 x 900
             Avg. Volume                   1953156.0
       Beta (5Y Monthly)                         1.4
                     Bid               181.76 x 1100
             Day's Range             181.16 - 186.68
               EPS (TTM)                        1.47
           Earnings Date Oct 25, 2023 - Oct 30, 2023
        Ex-Dividend Date                         NaN
Forward Dividend &amp; Yield                   N/A (N/A)
              Market Cap                     19.433B
                    Open                      185.23
          PE Ratio (TTM)                      123.74
          Previous Close                      183.21
             Quote Price                  181.899994
                  Volume                    678784.0
    Market Cap (intraday) 19.57B
         Enterprise Value 18.17B
             Trailing P/E 125.49
              Forward P/E  14.56
PEG Ratio (5 yr expected)   0.71
        Price/Sales (ttm)   6.54
         Price/Book (mrq)   3.24
 Enterprise Value/Revenue   6.08
  Enterprise Value/EBITDA  41.05</t>
  </si>
  <si>
    <t>3 Med Tech Stocks That the AI Boom Will Only Help
Med tech stocks are ripe for growth due to the advent of artificial intelligence ( AI ). AI is going to improve healthcare overall.
GE HealthCare and Mass General Brigham Collaborate on an AI Algorithm to Predict Missed Care Opportunities
CHICAGO--(BUSINESS WIRE)--GE HealthCare and Mass General Brigham announced, as part of its initial collaboration, the co-development of an artificial intelligence (AI) algorithm that will help increase operations effectiveness and productivity. The first innovative AI application from the collaboration is the schedule predictions dashboard of Radiology Operations Module (ROM), a digital imaging tool that helps optimize scheduling, reduce cost, and free providers from administrative burden, allo.</t>
  </si>
  <si>
    <t>GE HealthCare</t>
  </si>
  <si>
    <t xml:space="preserve">           1y Target Est         89.67
           52 Week Range 53.00 - 87.83
                     Ask   66.85 x 800
             Avg. Volume     3036046.0
       Beta (5Y Monthly)           NaN
                     Bid  66.77 x 1000
             Day's Range 65.20 - 67.33
               EPS (TTM)          3.56
           Earnings Date           NaN
        Ex-Dividend Date  Jul 20, 2023
Forward Dividend &amp; Yield  0.12 (0.18%)
              Market Cap       30.431B
                    Open         65.32
          PE Ratio (TTM)         18.79
          Previous Close          64.9
             Quote Price     66.904999
                  Volume     1847289.0
    Market Cap (intraday) 29.52B
         Enterprise Value 37.82B
             Trailing P/E  17.97
              Forward P/E  14.93
PEG Ratio (5 yr expected)  14.93
        Price/Sales (ttm)   1.55
         Price/Book (mrq)   4.16
 Enterprise Value/Revenue   1.99
  Enterprise Value/EBITDA  11.07</t>
  </si>
  <si>
    <t>The 7 Best Warren Buffett Stocks to Buy Now: September 2023
If we're going to get right down to it, banking on the best Warren Buffett stocks comes down to leveraging decades of experience. Unlike, say, financial luminaries on YouTube, the Oracle of Omaha has seen it all – bull markets, bear markets and whatever the heck we're currently in.</t>
  </si>
  <si>
    <t>Globe Life</t>
  </si>
  <si>
    <t xml:space="preserve">           1y Target Est                      126.11
           52 Week Range              97.83 - 123.85
                     Ask                  0.00 x 800
             Avg. Volume                    470720.0
       Beta (5Y Monthly)                        0.78
                     Bid                 0.00 x 1000
             Day's Range             108.84 - 110.14
               EPS (TTM)                        7.36
           Earnings Date Oct 24, 2023 - Oct 30, 2023
        Ex-Dividend Date                Jul 03, 2023
Forward Dividend &amp; Yield                0.90 (0.82%)
              Market Cap                     10.371B
                    Open                      109.35
          PE Ratio (TTM)                       14.86
          Previous Close                      109.16
             Quote Price                  109.379997
                  Volume                     91014.0
    Market Cap (intraday) 10.35B
         Enterprise Value 12.33B
             Trailing P/E  14.83
              Forward P/E   9.70
PEG Ratio (5 yr expected)    NaN
        Price/Sales (ttm)   2.00
         Price/Book (mrq)   2.60
 Enterprise Value/Revenue   2.31
  Enterprise Value/EBITDA    NaN</t>
  </si>
  <si>
    <t>Big Institutions Grab ‘Strong Buy' Dividend Stocks in a Sector Not Totally Driven by AI
The strong move higher that Nvidia has driven in the stock market this year has been significant, and the world of artificial intelligence has driven stock prices this year.
Gilead's Phase 2 EVOKE-02 Study of Trodelvy® (sacituzumab govitecan-hziy) in Combination With KEYTRUDA® (pembrolizumab) Demonstrates Promising Clinical Activity in First-Line Metastatic Non-Small Cell Lung Cancer
FOSTER CITY, Calif.--(BUSINESS WIRE)--Gilead Sciences, Inc. (Nasdaq: GILD) today announced promising early data from the global, open-label, Phase 2 EVOKE-02 study evaluating Trodelvy® (sacituzumab govitecan-hziy) in combination with Merck's anti-PD-1 therapy KEYTRUDA® (pembrolizumab) with or without platinum agents in patients with previously untreated advanced or metastatic non-small cell lung cancer (NSCLC) without actionable genomic alterations. The results are being presented today at the.
Pfizer Vs. Gilead Sciences: COVID-19 Battle Of Pharma Titans
Wall Street underestimates the prospects of Pfizer and Gilead Sciences, given their significant role in developing vaccines and medicines against COVID-19. Gilead Sciences' revenue has remained stable in recent quarters, unlike Pfizer, whose demand for COVID-19 products fell sharply in the first half of 2023. Comirnaty sales were $1,488 million in Q2 2023, down 51.4% from the previous quarter, due to declining public interest in vaccinations and a sharp drop in COVID-19 hospitalizations.
The Unexpected Reason Gilead Just Notched Its Biggest Single-Day Move In A Month
Investors don't fully appreciate Gilead Sciences' leadership in HIV treatment, an analyst said Friday as he upgraded GILD stock.
Gilead Stock Looks Underappreciated and Oversold, Say BofA Analysts
BofA upgraded shares of biotech Gilead to Buy from Neutral, and lifted the target price to $95 from $88.
Biopharma Bounce-Back: From Policy Pains To Profitable Plains
The recent IRA list of 10 drug publications is not expected to have a significant impact on big pharma stocks in the near term. The legal challenges by big pharma companies against the IRA may derail the implementation of the drug pricing reforms. Investors can consider diversified biotech indexes or healthcare-focused ETFs for exposure to the biopharma sector.
Gilead Prices $2 Billion of Senior Unsecured Notes
FOSTER CITY, Calif.--(BUSINESS WIRE)--Gilead Sciences, Inc. (Nasdaq: GILD), a biopharmaceutical company that has pursued and achieved breakthroughs in medicine for more than three decades, today announced the pricing of senior unsecured notes in an aggregate principal amount of $2 billion, in an underwritten, registered public offering, consisting of $1 billion of 5.250% senior notes maturing in 2033 and $1 billion of 5.550% senior notes maturing in 2053. The offering is expected to close Septe.
Gilead Sciences, Inc. (GILD) Wells Fargo Healthcare Conference - (Transcript)
Gilead Sciences, Inc. (NASDAQ:GILD ) Wells Fargo Healthcare Conference September 6, 2023 11:00 AM ET Company Participants Andrew Dickinson - Chief Financial Officer Conference Call Participants Mohit Bansal - Wells Fargo Mohit Bansal All right. Thank you very much for joining us today.</t>
  </si>
  <si>
    <t xml:space="preserve">           1y Target Est                       90.84
           52 Week Range               61.45 - 89.74
                     Ask                 76.92 x 800
             Avg. Volume                   5651619.0
       Beta (5Y Monthly)                        0.39
                     Bid                 76.92 x 900
             Day's Range               76.00 - 76.99
               EPS (TTM)                        4.35
           Earnings Date Oct 25, 2023 - Oct 30, 2023
        Ex-Dividend Date                Sep 14, 2023
Forward Dividend &amp; Yield                3.00 (4.06%)
              Market Cap                     95.806B
                    Open                       76.05
          PE Ratio (TTM)                       17.68
          Previous Close                        76.0
             Quote Price                   76.889999
                  Volume                   3192741.0
    Market Cap (intraday)  94.70B
         Enterprise Value 113.28B
             Trailing P/E   17.47
              Forward P/E   10.38
PEG Ratio (5 yr expected)    0.51
        Price/Sales (ttm)    3.50
         Price/Book (mrq)    4.48
 Enterprise Value/Revenue    4.14
  Enterprise Value/EBITDA   10.65</t>
  </si>
  <si>
    <t>Big Institutions Grab ‘Strong Buy' Dividend Stocks in a Sector Not Totally Driven by AI
The strong move higher that Nvidia has driven in the stock market this year has been significant, and the world of artificial intelligence has driven stock prices this year.
2 Dirt Cheap Stocks to Buy With $100
Pfizer's investing in growth through new products and business development deals. Etsy recently reached a record high in active buyers, a good sign for revenue growth moving forward.
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3 Top Healthcare Stocks to Buy for September
UnitedHealth Group is a foundational piece of the healthcare system in America. Demand for Pfizer's Covid vaccine may have waned, but profits are going to good use.
Big Pharma's Battle With the Biden Administration Could Have Legs
Wall Street should pay attention as the pharma industry mounts a widening legal campaign against the Inflation Reduction Act.
Pfizer Vs. Gilead Sciences: COVID-19 Battle Of Pharma Titans
Wall Street underestimates the prospects of Pfizer and Gilead Sciences, given their significant role in developing vaccines and medicines against COVID-19. Gilead Sciences' revenue has remained stable in recent quarters, unlike Pfizer, whose demand for COVID-19 products fell sharply in the first half of 2023. Comirnaty sales were $1,488 million in Q2 2023, down 51.4% from the previous quarter, due to declining public interest in vaccinations and a sharp drop in COVID-19 hospitalizations.
The 5 Best Healthcare Stocks to Buy Now: September 2023
In today's dynamic market, many investors are paying attention to the healthcare sector. The segment is known for its resilience and potential for growth.
3 Must-Know Tricks for Investing in Big Pharma Stocks
Pharma companies often have detailed plans for when new revenue will occur. They also sometimes describe periods when sales will be shrinking.
Biopharma Bounce-Back: From Policy Pains To Profitable Plains
The recent IRA list of 10 drug publications is not expected to have a significant impact on big pharma stocks in the near term. The legal challenges by big pharma companies against the IRA may derail the implementation of the drug pricing reforms. Investors can consider diversified biotech indexes or healthcare-focused ETFs for exposure to the biopharma sector.
Pfizer Inc. (PFE) Citi's 18th Annual BioPharma Conference (Transcript)
Pfizer Inc. (NYSE:PFE ) Citi's 18th Annual BioPharma Conference September 7, 2023 10:30 AM ET Company Participants Mikael Dolsten - Chief Scientific Officer &amp; President, Pfizer Research &amp; Development Christopher Stevo - SVP &amp; Chief IR Officer Conference Call Participants Andrew Baum - Citi Andrew Baum So delighted to introduce Mikael Dolsten. Mikael is President R&amp;D, Chief Scientific Officer.
Could Pfizer Stock Help You Become A Millionaire?
Pfizer has accumulated tens of billions in free cash flow over the past couple of years. The company is turning to acquisitions to help bolster its top line and offset losses in exclusivity.
3 Stocks to Buy For the COVID Resurgence
The cold and flu season is upon us, but COVID-19 cases and hospitalizations have also increased recently. The Centers for Disease Control (CDC) will be voting on updated COVID-19 vaccines at a meeting scheduled for September 12, 2023.
3 Dividend Stocks That Could Be Ideal Buys for Retirees in September
Pfizer, Procter &amp; Gamble, and Southern Company are profitable and good dividend payers. These stocks all yield more than 2%, and their payouts look safe for the foreseeable future.
Pfizer: Still Attractive Despite Recent Acquisitions
Pfizer has made several acquisitions to expand its future drugs pipeline, including Biohaven and ReViral, with combined peak sales estimated at $6 billion. The acquisition of Seagen for $43 billion will significantly bolster Pfizer's oncology segment, which generated $2.9 billion in revenue in 1Q 2023. Despite a decline in revenue from COVID-19 vaccines, PFE's sales of Paxlovid surged to $18.9 billion in 2022.
Pfizer, Valneva announce 'positive' results for Lyme disease vaccine candidate booster shot
Pfizer and French pharmaceutical peer Valneva announced on Thursday that a phase 2 study for its VLA15 Lyme disease vaccine candidate showed a "strong immune response" in both children and adolescents one month after receiving a booster shoot.
Valneva and Pfizer Report Positive Pediatric and Adolescent Phase 2 Booster Results for Lyme Disease Vaccine Candidate
Saint-Herblain (France) &amp; New York , September 7, 2023 – Valneva SE (Nasdaq: VALN; Euronext Paris: VLA) and Pfizer Inc. (NYSE: PFE) announced today positive pediatric and adolescent immunogenicity and safety data for their Lyme disease vaccine candidate, VLA15, when given as a booster. These results from the VLA15-221 Phase 2 study showed a strong anamnestic antibody response for all serotypes in pediatric (5 to 11 years of age) and adolescent participants (12 to 17 years of age), as well as in adults (18 to 65 years of age), one month after administration of a booster dose (month 19).
Pfizer Inc. (PFE) Wells Fargo Securities Healthcare Conference (Transcript)
Pfizer Inc. (NYSE:PFE ) Wells Fargo Securities Healthcare Conference September 6, 2023 12:45 PM ET Company Participants Chris Stevo - SVP and Chief IR Officer Annaliesa Anderson - SVP and Head of Vaccine R&amp;D Rodrigo Puga - Lead, U.S. Commercial and Global Business Conference Call Participants Mohit Bansal - Wells Fargo Mohit Bansal Great. Thank you very much for joining us today in post-learn session.
Pfizer says updated COVID shot generated strong reaction vs new variant in mice
Pfizer on Wednesday said the updated Pfizer-BioNTech COVID-19 vaccine expected to be used this fall elicited a strong antibody response against the highly mutated BA.2.86 subvariant of the coronavirus in a preclinical study in mice.
Is Pfizer Stock A Buy Or A Sell With Covid-Era Growth In The Rearview?
Is Pfizer stock a buy or a sell as sales of its Covid products continue diving? Is PFE stock a buy or a sell right now?
UK joins EU in approving XBB.1.5 jab from Pfizer-BioNTech, but others subvariants are emerging
An updated Covid-19 vaccine made by Pfizer Inc (NYSE:PFE) and BioNTech has been approved by the UK medical regulator, amid a rise in new variants and subvariants of the virus. The new Pfizer-BioNTech vaccine targets the Omicron XBB.1.5 subvariant, which was approved in the European Union last week, was given approved by the UK Medicines &amp; Healthcare products Regulatory Agency (MHRA) on Tuesday, to be given to anyone aged six months or above.
3 Forever Stocks to Buy With $100
Disney and Pfizer may be about to enter new phases of growth -- and they are trading at bargain valuations. Coca-Cola offers the advantages of brand strength and a dividend you can count on.
UK regulator approves updated Pfizer-BioNTech COVID vaccine
The UK drug regulator said on Tuesday it has approved an updated COVID-19 vaccine by Pfizer and its German partner BioNTech that targets only the Omicron XBB.1.5 subvariant.
Pfizer Invites Public to View and Listen to Webcast of Pfizer Discussion at Healthcare Conference
NEW YORK--(BUSINESS WIRE)--Pfizer Inc. (NYSE: PFE) invites investors and the general public to view and listen to a webcast of a discussion with Angela Hwang, Chief Commercial Officer, President, Global Biopharmaceuticals Business, and Suneet Varma, Global Oncology and U.S. President, at the Morgan Stanley 21st Annual Global Healthcare Conference on Monday, September 11, 2023 at 12:15 p.m. EDT. To view and listen to the webcast, visit our web site at www.pfizer.com/investors. Information on acc.
Coronavirus Cases Are on the Rise -- Should You Buy Vaccine Stocks?
The U.S. is reporting increases in positive coronavirus tests and in coronavirus hospitalizations. Pfizer, Moderna, and Novavax are readying their updated vaccines for the fall vaccination season.</t>
  </si>
  <si>
    <t xml:space="preserve">           1y Target Est                       43.96
           52 Week Range               33.54 - 54.93
                     Ask                 0.00 x 1000
             Avg. Volume                  24564725.0
       Beta (5Y Monthly)                        0.55
                     Bid                 0.00 x 2900
             Day's Range               33.54 - 34.30
               EPS (TTM)                        3.76
           Earnings Date Oct 30, 2023 - Nov 03, 2023
        Ex-Dividend Date                Jul 27, 2023
Forward Dividend &amp; Yield                1.64 (4.79%)
              Market Cap                    190.686B
                    Open                       34.24
          PE Ratio (TTM)                        8.98
          Previous Close                       34.25
             Quote Price                   33.775002
                  Volume                  12823747.0
    Market Cap (intraday) 193.37B
         Enterprise Value 213.93B
             Trailing P/E    9.11
              Forward P/E   10.39
PEG Ratio (5 yr expected)     NaN
        Price/Sales (ttm)    2.52
         Price/Book (mrq)    1.95
 Enterprise Value/Revenue    2.74
  Enterprise Value/EBITDA    7.14</t>
  </si>
  <si>
    <t>The 3 Best REITs to Buy Now: September 2023
Buying the best REITs can be a powerful way to diversify your portfolio as well as bring in a stable income stream. Unlike some types of stocks, the price of real estate generally rises along with inflation.
Prologis to Participate in Industry Conferences in New York City
SAN FRANCISCO , Sept. 8, 2023 /PRNewswire/ -- Prologis, Inc. (NYSE: PLD), the global leader in logistics real estate, today announced that Tim Arndt, chief financial officer, will participate in two conferences in New York City: Barclays 2023 Global Financial Services Conference at the New York Hilton Midtown on Monday Sept.
Dislocation In The Equity REIT Fixed-Rate Preferred Market
Market is ignoring factors such as interest rate sensitivity, upside to par, call date, and risk shifting in pricing preferred stocks. Mispricing is evident in the relative pricing of hotel REIT preferred stocks with similar risk factors. Investors should consider total expected annual return, interest rate sensitivity, and upside potential when evaluating preferred stocks.
Prologis Declares Quarterly Dividend
SAN FRANCISCO , Sept. 6, 2023 /PRNewswire/ -- The Board of Directors of Prologis, Inc. (NYSE: PLD) declared a regular cash dividend for the quarter ending September 30, 2023, on the following securities: A dividend of $0.87 per share of the company's common stock, payable on September 29, 2023, to common stockholders of record at the close of business on September 18, 2023; and A dividend of $1.0675 per share of the company's 8.54% Series Q Cumulative Redeemable Preferred Stock, payable on October 2, 2023, to Series Q stockholders of record at the close of business on September 18, 2023.
3 Top REIT Stocks to Buy in September
Realty Income is a giant net lease REIT with a consistent history of annual dividend increases. Prologis is a massive industrial REIT with warehouses in key markets around the globe.
Cheap Stocks To Buy Today? 3 Real Estate Stocks To Know
Real estate stocks to check out right now.</t>
  </si>
  <si>
    <t xml:space="preserve">           1y Target Est                      142.81
           52 Week Range              98.03 - 136.67
                     Ask                  0.00 x 800
             Avg. Volume                   2684950.0
       Beta (5Y Monthly)                        0.99
                     Bid                  0.00 x 900
             Day's Range             121.03 - 122.74
               EPS (TTM)                         3.7
           Earnings Date Oct 17, 2023 - Oct 23, 2023
        Ex-Dividend Date                Sep 15, 2023
Forward Dividend &amp; Yield                3.48 (2.84%)
              Market Cap                    112.508B
                    Open                      122.79
          PE Ratio (TTM)                       32.91
          Previous Close                      122.48
             Quote Price                  121.779999
                  Volume                    474787.0
    Market Cap (intraday) 113.15B
         Enterprise Value 140.82B
             Trailing P/E   33.10
              Forward P/E   46.73
PEG Ratio (5 yr expected)    0.57
        Price/Sales (ttm)   14.35
         Price/Book (mrq)    2.12
 Enterprise Value/Revenue   18.24
  Enterprise Value/EBITDA   22.33</t>
  </si>
  <si>
    <t>Cheetos® Marks 75 Years of Mischief with Epic Birthday Bash with Cheetos-inspired Fashion Show and Reveal of Cheetos Milk Bar Cake
Cheetos lovers can celebrate with Cheetle-inspired, limited-edition merch straight from the runway along with Milk Bar's Cheetle-infused Birthday Cake  PLANO, Texas , Sept. 7, 2023 /PRNewswire/ -- Cheetos® last night hosted "Cheetos 75th: The Mark of Mischief," a birthday bash celebrating 75 years of the brand leaving its orange mark on pop culture.
5 Sturdy Soft Drink Stocks to Watch as the Industry Paces Up
The Beverages - Soft Drinks industry is gaining momentum on robust share gains, improved pricing, digital growth and innovation despite the ongoing cost headwinds. Companies like KO, PEP, FMX, MNST and KDP look strong amid favorable industry trends.
7 Retirement Stocks That Every Long-Term Investor Should Own Now
Here's a look at the top long-term retirement stocks to buy now. Building a solid retirement portfolio is all about identifying companies that can withstand any storm in the market.
Is PepsiCo Stock A Better Pick Over Cisco?
We believe that PepsiCo stock (NYSE: PEP) is a better pick over Cisco stock (NASDAQ: CSCO), given its better prospects.</t>
  </si>
  <si>
    <t xml:space="preserve">           1y Target Est                      200.29
           52 Week Range             160.98 - 196.88
                     Ask                179.18 x 800
             Avg. Volume                   4793704.0
       Beta (5Y Monthly)                        0.55
                     Bid               179.17 x 1300
             Day's Range             176.86 - 179.26
               EPS (TTM)                        5.72
           Earnings Date Oct 10, 2023 - Oct 16, 2023
        Ex-Dividend Date                Aug 31, 2023
Forward Dividend &amp; Yield                4.83 (2.74%)
              Market Cap                    246.573B
                    Open                      176.83
          PE Ratio (TTM)                       31.31
          Previous Close                      176.27
             Quote Price                  179.119995
                  Volume                   1457563.0
    Market Cap (intraday) 242.65B
         Enterprise Value 279.82B
             Trailing P/E   30.87
              Forward P/E   21.74
PEG Ratio (5 yr expected)    2.74
        Price/Sales (ttm)    2.71
         Price/Book (mrq)   13.72
 Enterprise Value/Revenue    3.10
  Enterprise Value/EBITDA   20.05</t>
  </si>
  <si>
    <t>What to expect when Google faces the DOJ in the first major tech monopoly trial in decades
How to expect the months-long trial to play out and the key points of argument in the case.
Google Antitrust Case: Why Apple Will Be Part Of The Courtroom Drama
The Department of Justice's antitrust trial vs. Google starts Tuesday.
The 7 Best Tech Stocks to Buy to Capitalize on the AI Revolution
Tech stocks are some of the most appealing and popular in the stock market. But did you ever think about what makes investors so eager to find the best tech stocks to buy?
Why Is the Justice Dept. Suing Google?
The government claims that Google illegally used its monopoly power to stifle rivals, while the company says its practices are legal and mainstream.
3 Artificial Intelligence (AI) Winners to Buy Before the Next Bull Run Starts
The stock market's recent volatility has created buying opportunities in the AI sector. Even industry titans in AI look like bargains right now.
Google's antitrust showdown: What's at stake for the internet search titan
Google will face off in court Tuesday against government officials who accuse the company of antitrust violations in its massive search business, kicking off a long-anticipated showdown that could reshape one of the internet's most dominant platforms.
US takes on Google in landmark antitrust trial
Google faces its biggest ever legal challenge in a Washington court on Tuesday, as it fends off accusations from the US government that it acted unlawfully to build its overwhelming dominance of online search.
Is Alphabet Stock a Buy Now?
The company owns some of the most dominant internet properties. It possesses a wide economic moat thanks to its powerful network effects.
Will ChatGPT Ever Actually Be the "Google Killer" Everyone Thought It Would Be? (Answer -- not yet!
Many believe that ChatGPT will end Google Search's reign. But Google isn't conceding the fight.
Google CEO Sundar Pichai Says AI Could Be "Bigger Than the Internet": 3 Stocks to Buy and Hold If He's Right
Alphabet CEO Sundar Pichai believes that "AI will be the biggest technological shift we see in our lifetimes." If his prediction comes true, three AI stocks are especially poised for tremendous gains.
A Bull Market Is Coming. 2 Stock-Split Stocks to Buy Hand Over Fist
Alphabet and Amazon both performed stock splits last year after their shares climbed in recent years. These companies are leaders in growth markets.
Here's how Google plans to fight the DOJ
Google has maintained that the government's case is "deeply flawed."
Google to require disclosures of AI content in political ads
Starting in November, Google will require political advertisements to prominently disclose when they feature synthetic content — such as images generated by artificial intelligence — the tech giant announced this week.
Alphabet: Bill Ackman's Bet Could Signify Deep Undervaluation
Billionaire activist investor and hedge fund manager Bill Ackman (Trades, Portfolio) had another helping to Class A shares of Alphabet Inc. ( GOOGL , Financial) in the second quarter, boosting his stake by a reported $1.5 billion. Indeed, the guru has been a major buyer of the big tech dip.
3 AI Stocks You Might Want to Own Before the Next Bull Market
Alphabet's latest earnings results showcased how AI is already impacting its cloud business and its advertising platforms. Microsoft made headlines when it invested billions into ChatGPT developer OpenAI earlier this year.
Warren Buffett's $690 Million Secret Portfolio Is Invested in 5 Artificial Intelligence (AI) Stocks
Artificial intelligence (AI) is expected to lift global gross domestic product by $15.7 trillion come 2030. Due to an acquisition in 1998, Berkshire Hathaway owns a specialty-investment company -- New England Asset Management -- that's effectively become Buffett's "secret" portfolio.
Alphabet Inc. (GOOG) Presents at Goldman Sachs Communacopia &amp; Technology Conference (Transcript)
Alphabet Inc. (NASDAQ:GOOG ) Goldman Sachs Communacopia &amp; Technology Conference September 7, 2023 4:05 PM ET Company Participants Thomas Kurian - CEO, Google Cloud, Conference Call Participants Eric Sheridan - Goldman Sachs Eric Sheridan Okay. I know we're moving from session-to-session, so appreciate it if everyone can find their seats and thanks so much for being here.
The 7 Best E-Commerce Stocks to Buy Now: September 2023
E-commerce offers consumers a more convenient solution to buy their favorite products. Instead of commuting to the nearby store, shoppers can buy products online from the comfort of their homes or anywhere else, creating big opportunity for some of the best e-commerce stocks.
Google, Justice Department set for antitrust showdown on Tuesday
After years of investigations, lawsuits, the threat of legislation and plenty of congressional hearings, the federal government's case against Big Tech is ready to have its big moment in court.
Google to political ads using AI: Be ‘clear' about any digitally-created content
Google and YouTube have created new rules ahead of the 2024 election cycle for political advertisements that use artificial intelligence to alter imagery or voices.
Google to require politicians to prominently disclose use of AI in election ads
Google on Wednesday updated its political content policy. As of mid-November, political campaign ads will have to disclose if they make use of "synthetic content that inauthentically depicts real or realistic-looking people or events.
Google To Require Labelling For Political Ads That Use Artificial Intelligence
Google said that it will require election advertisers to disclose when their spots include content that has been “digitally altered or generated,” including via the use of artificial intelligence. The announcement comes amid increasing concerns over the ability of AI to manipulate candidate images and statements in advance of the 2024 presidential election.
Google will soon require disclosures for AI-generated election ads
Google created new disclosure rules for election advertisers that use AI in their messages or visuals.
Google faces £7 bn claim on behalf of UK consumers
Google is facing a new lawsuit in Britain, which accuses the US tech giant of stifling competition in the search engine market and causing prices to rise across the UK economy, a statement said Thursday.
Google settles one of numerous claims against Play Store - report
Google has agreed terms for a possible settlement of a class action over alleged overcharging for apps sold through its Play Store according to reports overnight. Alphabet, Google's owner, faced a lawsuit from more than 30 US states and 21 million consumers claiming apps sold on the platform would be cheaper were it not for Google's commission and monopoly position for apps that use its Android operating system.
A Bull Market Is Coming: 2 Magnificent Growth Stocks to Buy Before They Soar as Much as 47% and 147%, According to Wall Street
Some Wall Street analysts are forecasting substantial gains for Alphabet and Adyen shareholders. Alphabet should benefit as digital advertising and cloud computing expand, along with generative AI.
EU's crackdown on Apple, Meta and others is to avoid forced breakups, top official says
Big Tech is facing tighter scrutiny in the European Union, but officials want to avoid forcing them to break up parts of the business.
Google to require political ads to disclose AI creations
Google on Wednesday said it will mandate that political advertisements on its platforms disclose when images and audio have been altered or created using tools such as artificial intelligence (AI).
Hausfeld: Google faces new multibillion-pound lawsuit from UK consumers for stifling competition in the search engine market, causing price rises across the UK economy
LONDON--(BUSINESS WIRE)-- #BigTech--£7bn UK lawsuit alleges Google shut out competition in mobile search, raising prices for advertisers, with consumers ultimately paying the cost.
US states reach tentative settlement with Google over Play Store case
Google reached an agreement in principle with US states to settle an antitrust lawsuit for its alleged conduct in the Google Play Store, according to a Tuesday court filing.
The 3 Best Nasdaq Stocks to Buy Now: September 2023
Recently, Goldman Sachs has become increasingly confident that the United States economy will stick to the soft landing projection among analysts' and economists' forecasts. In a research report, Goldman Sachs revised its estimated probability of a U.S. recession occurring in the next 12 months.
Google Will Require Advertisers To Add Disclosures For AI-Generated Election Ads
The requirement will take effect this November in an update to Google's political content policy.
Google faces multibillion-pound lawsuit from UK consumers
Lawsuit claims search engine stifled competition, contributing to rising cost of living for consumers
Google to make disclosure of AI-generated content mandatory for election advertisers
Alphabet Inc's Google will make it mandatory for all election advertisers to add a clear and conspicuous disclosure starting mid-November when their ads contain AI generated content, the company said on Wednesday.
Google tentatively settles antitrust claims that it abuses control over apps
Google parent Alphabet tentatively settled claims that the tech giant's Google Play Store for apps and games has a monopoly over the Android ecosystem. The proposed financial sum wasn't disclosed.
Google: Dominant, Innovative And Adaptable - Yet, Recession Risk Remains
While Alphabet Inc.'s stock is at risk of a significant decline due to recession risks, Google is situated well for a stagflation environment and long-term growth. Google's moonshot projects and investments in new technologies offer potential long-term growth opportunities. Balancing the risk of recession with the potential benefits of long-term growth is difficult with limited data.
Streaming Anti-Conservative Bias: Google And Disney Up To Same Old Tricks?
Disney and Google's animus and censorship towards conservatives is well known, but it is now extending as these companies are dominating the Streaming TV business and
Factbox: How the EU's Digital Markets Act challenges Big Tech
New European Union rules will rewrite the basic tenets of business on the internet and on mobile, upending how Big Tech makes money and how consumers access these services.
Google Tentatively Settles Class Action Suit Over Play Store Charges
Google tentatively settled a class action suit accusing it of abusing monopoly power to overcharge customers through its U.S. Play Store. If approved, the settlement will allow Google to avoid trial.
Google reaches settlement with 36 states over antitrust litigation
Alphabet Inc. late Tuesday reached a settlement in a long-running antitrust case with a coalition of 36 states and Washington, D.C., led by Utah who claimed the company ran its app store as an illegal monopoly.
Alphabet Is Primed for Strong Revenue Growth Thanks to These Businesses
Alphabet's ad revenue growth declined due to a slowdown in the advertising industry. But the company owns two businesses in a good position to boost revenue in the period ahead.
7 Retirement Stocks That Every Long-Term Investor Should Own Now
Here's a look at the top long-term retirement stocks to buy now. Building a solid retirement portfolio is all about identifying companies that can withstand any storm in the market.
Apple, Amazon, and Meta among 6 tech giants deemed 'gatekeepers' set to face strict competition rules under new EU law
The European Union named six tech giants as "gatekeepers" that have to comply with new laws. The Digital Markets Act aims to give more choice to users and open up the market for competitors.
EU targets Apple, Amazon, Alphabet, ByteDance, Meta, Microsoft in next phase of digital crackdown
The European Union on Wednesday targeted Apple, Amazon, Microsoft, Google parent Alphabet, Facebook owner Meta and TikTok parent ByteDance under new digital rules aimed at reining in the market power of online companies.
EU lists Alphabet, Amazon, Meta and three other tech giants as 'gatekeepers' under strict competition rules
The European Union on Tuesday unveiled a list of six designated "gatekeepers" set to come under its new Digital Markets Act.
EU confirms six (mostly US) tech giants are subject to Digital Markets Act
The European Union has named six tech giants whose market power it hopes to be able to rein in by applying a new set of up-front rules on how these gatekeepers can operate so called core platform services. The six so-called gatekeepers are: Alphabet, Amazon, Apple, ByteDance, Meta, Microsoft.
Up More Than 50% So Far This Year, Is Alphabet Stock a Buy?
Fundamentally, Alphabet stock looks cheap even though the stock has soared this year. Shares are still down about 10% from their all-time high.
Google wins ruling wiping out $15 million verdict in US audio patent case
A $15.1 million loss for Google in a jury trial over playlist features in its Google Play Music app cannot stand, a Delaware federal judge ruled on Tuesday.
Apple executives lose bid to block testimony at Google antitrust trial
Three senior Apple executives have lost their bid to stop the U.S. Justice Department from calling them as witnesses in the government's upcoming trial accusing Alphabet's Google of abusing its search power.
Apple, Google, Nvidia, and other tech giants are considering buying Arm shares
A year after regulatory pushback prompted Nvidia to drop its planned Arm acquisition, now Nvidia CEO Jensen Huang is talking up Arm's potential.
Google Buy Signals (Technical Analysis, Rating Upgrade)
Alphabet Inc., also known as Google, is bouncing off its bottom and trying to reach its previous high. Bottom fishers began buying at the start of the year, followed by other buyers triggering multiple Buy Signals. The monthly chart displays the ongoing Buy Signals and the continued buying in Google stock.
Investors Heavily Search Alphabet Inc. (GOOG): Here is What You Need to Know
Alphabet Inc. (GOOG) has received quite a bit of attention from Zacks.com users lately. Therefore, it is wise to be aware of the facts that can impact the stock's prospects.
Arm's IPO could value the chip company at $52 billion. Apple, Google and Nvidia show interest
A who's who of Big Tech companies is set to invest in one of the most highly anticipated initial public offerings in recent memory, a blockbuster event that could value a British chip designer at as much as $52.3 billion.
Malaysia mulls rules for Google, Meta to pay news outlets for content
Malaysia said on Tuesday it is considering regulations that will make internet giants Alphabet Inc's Google and Facebook parent Meta Platforms compensate news outlets for content sourced from them.</t>
  </si>
  <si>
    <t xml:space="preserve">           1y Target Est                       142.3
           52 Week Range              83.45 - 138.58
                     Ask               136.95 x 1000
             Avg. Volume                  23056783.0
       Beta (5Y Monthly)                        1.06
                     Bid                136.94 x 800
             Day's Range             136.55 - 138.26
               EPS (TTM)                        4.71
           Earnings Date Oct 23, 2023 - Oct 27, 2023
        Ex-Dividend Date                         NaN
Forward Dividend &amp; Yield                   N/A (N/A)
              Market Cap                      1.718T
                    Open                      137.38
          PE Ratio (TTM)                       29.04
          Previous Close                       137.2
             Quote Price                  136.779999
                  Volume                   7029581.0
    Market Cap (intraday) 1.72T
         Enterprise Value 1.64T
             Trailing P/E 29.01
              Forward P/E 20.49
PEG Ratio (5 yr expected)  1.30
        Price/Sales (ttm)  6.11
         Price/Book (mrq)  6.48
 Enterprise Value/Revenue  5.65
  Enterprise Value/EBITDA 18.45</t>
  </si>
  <si>
    <t>What to expect when Google faces the DOJ in the first major tech monopoly trial in decades
How to expect the months-long trial to play out and the key points of argument in the case.
Google Antitrust Case: Why Apple Will Be Part Of The Courtroom Drama
The Department of Justice's antitrust trial vs. Google starts Tuesday.
The 7 Best Tech Stocks to Buy to Capitalize on the AI Revolution
Tech stocks are some of the most appealing and popular in the stock market. But did you ever think about what makes investors so eager to find the best tech stocks to buy?
Prediction: This Stock Will Be the Biggest Winner in the Next Big Thing After Artificial Intelligence (AI)
The next big thing after AI holds the potential to accelerate AI and disrupt multiple areas. Top contenders include IBM and Microsoft.
Microsoft, Google and Antitrust: Similar Legal Theories in a Different Era
The government's antitrust case against Google borrows heavily from the landmark lawsuit against Microsoft 25 years ago. But it lacks the same cultural impact.
Why Is the Justice Dept. Suing Google?
The government claims that Google illegally used its monopoly power to stifle rivals, while the company says its practices are legal and mainstream.
3 Artificial Intelligence (AI) Winners to Buy Before the Next Bull Run Starts
The stock market's recent volatility has created buying opportunities in the AI sector. Even industry titans in AI look like bargains right now.
Google's antitrust showdown: What's at stake for the internet search titan
Google will face off in court Tuesday against government officials who accuse the company of antitrust violations in its massive search business, kicking off a long-anticipated showdown that could reshape one of the internet's most dominant platforms.
US takes on Google in landmark antitrust trial
Google faces its biggest ever legal challenge in a Washington court on Tuesday, as it fends off accusations from the US government that it acted unlawfully to build its overwhelming dominance of online search.
Is Alphabet Stock a Buy Now?
The company owns some of the most dominant internet properties. It possesses a wide economic moat thanks to its powerful network effects.
Will ChatGPT Ever Actually Be the "Google Killer" Everyone Thought It Would Be? (Answer -- not yet!
Many believe that ChatGPT will end Google Search's reign. But Google isn't conceding the fight.
Google CEO Sundar Pichai Says AI Could Be "Bigger Than the Internet": 3 Stocks to Buy and Hold If He's Right
Alphabet CEO Sundar Pichai believes that "AI will be the biggest technological shift we see in our lifetimes." If his prediction comes true, three AI stocks are especially poised for tremendous gains.
A Bull Market Is Coming. 2 Stock-Split Stocks to Buy Hand Over Fist
Alphabet and Amazon both performed stock splits last year after their shares climbed in recent years. These companies are leaders in growth markets.
Alphabet (GOOGL) Google Starts Free Trial for NFL Sunday Ticket
Alphabet (GOOGL) rolls out a seven-day free trial for NFL Sunday Ticket to deliver an enhanced experience to viewers.
Here's how Google plans to fight the DOJ
Google has maintained that the government's case is "deeply flawed."
Google to require disclosures of AI content in political ads
Starting in November, Google will require political advertisements to prominently disclose when they feature synthetic content — such as images generated by artificial intelligence — the tech giant announced this week.
Alphabet: Bill Ackman's Bet Could Signify Deep Undervaluation
Billionaire activist investor and hedge fund manager Bill Ackman (Trades, Portfolio) had another helping to Class A shares of Alphabet Inc. ( GOOGL , Financial) in the second quarter, boosting his stake by a reported $1.5 billion. Indeed, the guru has been a major buyer of the big tech dip.
Can The S&amp;P 500 Triumph Over September's Infamous Jinx?
Four of the five most heavily weighted S&amp;P components, Apple Inc. NASDAQ: AAPL, Amazon.com Inc. AMZN: AAPL, Nvidia Corp. NASDAQ: NVDA and Alphabet Inc. NASDAQ: GOOGL, are trading in the red.
'Smart Money' Investors Pour $2 Billion Into Just 5 Stocks
If you're wondering which S&amp;P 500 stocks the best mutual funds are buying — you might be surprised how selective the list is.
Alphabet Inc. (GOOG) Presents at Goldman Sachs Communacopia &amp; Technology Conference (Transcript)
Alphabet Inc. (NASDAQ:GOOG ) Goldman Sachs Communacopia &amp; Technology Conference September 7, 2023 4:05 PM ET Company Participants Thomas Kurian - CEO, Google Cloud, Conference Call Participants Eric Sheridan - Goldman Sachs Eric Sheridan Okay. I know we're moving from session-to-session, so appreciate it if everyone can find their seats and thanks so much for being here.
The 7 Best E-Commerce Stocks to Buy Now: September 2023
E-commerce offers consumers a more convenient solution to buy their favorite products. Instead of commuting to the nearby store, shoppers can buy products online from the comfort of their homes or anywhere else, creating big opportunity for some of the best e-commerce stocks.
Google, Justice Department set for antitrust showdown on Tuesday
After years of investigations, lawsuits, the threat of legislation and plenty of congressional hearings, the federal government's case against Big Tech is ready to have its big moment in court.
Google to political ads using AI: Be ‘clear' about any digitally-created content
Google and YouTube have created new rules ahead of the 2024 election cycle for political advertisements that use artificial intelligence to alter imagery or voices.
Google to require politicians to prominently disclose use of AI in election ads
Google on Wednesday updated its political content policy. As of mid-November, political campaign ads will have to disclose if they make use of "synthetic content that inauthentically depicts real or realistic-looking people or events.
Google To Require Labelling For Political Ads That Use Artificial Intelligence
Google said that it will require election advertisers to disclose when their spots include content that has been “digitally altered or generated,” including via the use of artificial intelligence. The announcement comes amid increasing concerns over the ability of AI to manipulate candidate images and statements in advance of the 2024 presidential election.
Google will soon require disclosures for AI-generated election ads
Google created new disclosure rules for election advertisers that use AI in their messages or visuals.
Google faces £7 bn claim on behalf of UK consumers
Google is facing a new lawsuit in Britain, which accuses the US tech giant of stifling competition in the search engine market and causing prices to rise across the UK economy, a statement said Thursday.
A Bull Market Is Coming: 2 Magnificent Growth Stocks to Buy Before They Soar as Much as 47% and 147%, According to Wall Street
Some Wall Street analysts are forecasting substantial gains for Alphabet and Adyen shareholders. Alphabet should benefit as digital advertising and cloud computing expand, along with generative AI.
Google to require political ads to disclose AI creations
Google on Wednesday said it will mandate that political advertisements on its platforms disclose when images and audio have been altered or created using tools such as artificial intelligence (AI).
Hausfeld: Google faces new multibillion-pound lawsuit from UK consumers for stifling competition in the search engine market, causing price rises across the UK economy
LONDON--(BUSINESS WIRE)-- #BigTech--£7bn UK lawsuit alleges Google shut out competition in mobile search, raising prices for advertisers, with consumers ultimately paying the cost.
US states reach tentative settlement with Google over Play Store case
Google reached an agreement in principle with US states to settle an antitrust lawsuit for its alleged conduct in the Google Play Store, according to a Tuesday court filing.
The 3 Best Nasdaq Stocks to Buy Now: September 2023
Recently, Goldman Sachs has become increasingly confident that the United States economy will stick to the soft landing projection among analysts' and economists' forecasts. In a research report, Goldman Sachs revised its estimated probability of a U.S. recession occurring in the next 12 months.
Google Will Require Advertisers To Add Disclosures For AI-Generated Election Ads
The requirement will take effect this November in an update to Google's political content policy.
Google faces multibillion-pound lawsuit from UK consumers
Lawsuit claims search engine stifled competition, contributing to rising cost of living for consumers
Google to make disclosure of AI-generated content mandatory for election advertisers
Alphabet Inc's Google will make it mandatory for all election advertisers to add a clear and conspicuous disclosure starting mid-November when their ads contain AI generated content, the company said on Wednesday.
Google tentatively settles antitrust claims that it abuses control over apps
Google parent Alphabet tentatively settled claims that the tech giant's Google Play Store for apps and games has a monopoly over the Android ecosystem. The proposed financial sum wasn't disclosed.
Google: Dominant, Innovative And Adaptable - Yet, Recession Risk Remains
While Alphabet Inc.'s stock is at risk of a significant decline due to recession risks, Google is situated well for a stagflation environment and long-term growth. Google's moonshot projects and investments in new technologies offer potential long-term growth opportunities. Balancing the risk of recession with the potential benefits of long-term growth is difficult with limited data.
Streaming Anti-Conservative Bias: Google And Disney Up To Same Old Tricks?
Disney and Google's animus and censorship towards conservatives is well known, but it is now extending as these companies are dominating the Streaming TV business and
Factbox: How the EU's Digital Markets Act challenges Big Tech
New European Union rules will rewrite the basic tenets of business on the internet and on mobile, upending how Big Tech makes money and how consumers access these services.
Google Tentatively Settles Class Action Suit Over Play Store Charges
Google tentatively settled a class action suit accusing it of abusing monopoly power to overcharge customers through its U.S. Play Store. If approved, the settlement will allow Google to avoid trial.
Google reaches settlement with 36 states over antitrust litigation
Alphabet Inc. late Tuesday reached a settlement in a long-running antitrust case with a coalition of 36 states and Washington, D.C., led by Utah who claimed the company ran its app store as an illegal monopoly.
Alphabet Is Primed for Strong Revenue Growth Thanks to These Businesses
Alphabet's ad revenue growth declined due to a slowdown in the advertising industry. But the company owns two businesses in a good position to boost revenue in the period ahead.
7 Retirement Stocks That Every Long-Term Investor Should Own Now
Here's a look at the top long-term retirement stocks to buy now. Building a solid retirement portfolio is all about identifying companies that can withstand any storm in the market.
Apple, Amazon, and Meta among 6 tech giants deemed 'gatekeepers' set to face strict competition rules under new EU law
The European Union named six tech giants as "gatekeepers" that have to comply with new laws. The Digital Markets Act aims to give more choice to users and open up the market for competitors.
EU targets Apple, Amazon, Alphabet, ByteDance, Meta, Microsoft in next phase of digital crackdown
The European Union on Wednesday targeted Apple, Amazon, Microsoft, Google parent Alphabet, Facebook owner Meta and TikTok parent ByteDance under new digital rules aimed at reining in the market power of online companies.
EU lists Alphabet, Amazon, Meta and three other tech giants as 'gatekeepers' under strict competition rules
The European Union on Tuesday unveiled a list of six designated "gatekeepers" set to come under its new Digital Markets Act.
EU confirms six (mostly US) tech giants are subject to Digital Markets Act
The European Union has named six tech giants whose market power it hopes to be able to rein in by applying a new set of up-front rules on how these gatekeepers can operate so called core platform services. The six so-called gatekeepers are: Alphabet, Amazon, Apple, ByteDance, Meta, Microsoft.
Up More Than 50% So Far This Year, Is Alphabet Stock a Buy?
Fundamentally, Alphabet stock looks cheap even though the stock has soared this year. Shares are still down about 10% from their all-time high.
Google Turns to a Steady Old Hand to Fight Antitrust Charges
The tech giant is facing the greatest legal threat in its history, and hopes the stolid approach of Kent Walker, its top lawyer, will once again prevail.
Google wins ruling wiping out $15 million verdict in US audio patent case
A $15.1 million loss for Google in a jury trial over playlist features in its Google Play Music app cannot stand, a Delaware federal judge ruled on Tuesday.
Apple executives lose bid to block testimony at Google antitrust trial
Three senior Apple executives have lost their bid to stop the U.S. Justice Department from calling them as witnesses in the government's upcoming trial accusing Alphabet's Google of abusing its search power.
Apple, Google, Nvidia, and other tech giants are considering buying Arm shares
A year after regulatory pushback prompted Nvidia to drop its planned Arm acquisition, now Nvidia CEO Jensen Huang is talking up Arm's potential.
Alphabet (GOOGL) Adds Latest Feature to Google Keep App
Alphabet's (GOOGL) Google introduces a feature for text formatting to its Google Keep app.
Google Buy Signals (Technical Analysis, Rating Upgrade)
Alphabet Inc., also known as Google, is bouncing off its bottom and trying to reach its previous high. Bottom fishers began buying at the start of the year, followed by other buyers triggering multiple Buy Signals. The monthly chart displays the ongoing Buy Signals and the continued buying in Google stock.
Arm's IPO could value the chip company at $52 billion. Apple, Google and Nvidia show interest
A who's who of Big Tech companies is set to invest in one of the most highly anticipated initial public offerings in recent memory, a blockbuster event that could value a British chip designer at as much as $52.3 billion.
Malaysia mulls rules for Google, Meta to pay news outlets for content
Malaysia said on Tuesday it is considering regulations that will make internet giants Alphabet Inc's Google and Facebook parent Meta Platforms compensate news outlets for content sourced from them.</t>
  </si>
  <si>
    <t xml:space="preserve">           1y Target Est                      148.06
           52 Week Range              83.34 - 138.00
                     Ask               136.19 x 1300
             Avg. Volume                  29645672.0
       Beta (5Y Monthly)                        1.06
                     Bid               136.19 x 1000
             Day's Range             135.79 - 137.48
               EPS (TTM)                        4.76
           Earnings Date Oct 23, 2023 - Oct 27, 2023
        Ex-Dividend Date                         NaN
Forward Dividend &amp; Yield                   N/A (N/A)
              Market Cap                      1.721T
                    Open                      136.54
          PE Ratio (TTM)                       28.58
          Previous Close                      136.38
             Quote Price                  136.039993
                  Volume                   8309216.0
    Market Cap (intraday) 1.72T
         Enterprise Value 1.64T
             Trailing P/E 28.83
              Forward P/E 20.37
PEG Ratio (5 yr expected)  1.29
        Price/Sales (ttm)  6.08
         Price/Book (mrq)  6.44
 Enterprise Value/Revenue  5.65
  Enterprise Value/EBITDA 18.45</t>
  </si>
  <si>
    <t>Zip Partners with Global Payments Leader Primer to Accelerate U.S. Growth and Market Share
NEW YORK--(BUSINESS WIRE)--Leading digital finance innovator Zip Co (ASX: ZIP) has announced a strategic partnership with Primer, the unified infrastructure for global payments and commerce, to expand and optimize its payments stack, as Zip further accelerates its growth opportunity in the US market. The announcement follows Zip's recent year-end results, which revealed record transaction volumes (TTV) of $8.9b (up 7.0% YoY) and record group revenue of $693.2m (up 16.1% YoY). In the US, Zip exi.
ThetaRay, the Leader in Next Generation AI-Powered Secure Global Payments, Raises $57 Million to Continue Unlocking Business Opportunities for Banks and FinTechs
NEW YORK &amp; TORONTO &amp; TEL AVIV &amp; LONDON--(BUSINESS WIRE)--ThetaRay, the leader in next-generation AI-powered secure global payments with offices in New York, Madrid, London, Dubai and Tel Aviv, announced today a significant growth round led by Portage, with investments by existing investors JVP, OurCrowd and others. The investment, totaling $57 Million, will enable ThetaRay to accelerate global growth plans and capitalize on significant market demand as Banks and FinTechs urgently look to replac.</t>
  </si>
  <si>
    <t xml:space="preserve">           1y Target Est                      145.58
           52 Week Range              92.27 - 136.64
                     Ask                 0.00 x 1000
             Avg. Volume                   2132035.0
       Beta (5Y Monthly)                        0.97
                     Bid                  0.00 x 900
             Day's Range             124.08 - 126.36
               EPS (TTM)                        2.93
           Earnings Date Oct 30, 2023 - Nov 03, 2023
        Ex-Dividend Date                Sep 14, 2023
Forward Dividend &amp; Yield                1.00 (0.79%)
              Market Cap                     32.281B
                    Open                       125.9
          PE Ratio (TTM)                       42.38
          Previous Close                      125.91
             Quote Price                  124.160004
                  Volume                    348921.0
    Market Cap (intraday) 32.74B
         Enterprise Value 48.40B
             Trailing P/E  42.97
              Forward P/E  10.64
PEG Ratio (5 yr expected)   0.64
        Price/Sales (ttm)   3.62
         Price/Book (mrq)   1.48
 Enterprise Value/Revenue   5.21
  Enterprise Value/EBITDA  15.14</t>
  </si>
  <si>
    <t>3 Stocks to Protect Your Portfolio in the Digital Age
The cybersecurity industry has emerged as a critical pillar in the modern business landscape, addressing the ever-growing need to safeguard digital assets and data. Over the years, this need has escalated due to the exponential growth of technology and the rapid digitization of businesses.
3 Cybersecurity Stocks to Invest In for Big-Time, Long-Term Gains
Did cybersecurity companies win second-quarter earnings season? It certainly appears that way after nearly all of the leading cybersecurity companies beat Wall Street forecasts, sending their share prices up 10% or more as a result.
The 3 Best Cybersecurity Stocks to Buy Now: September 2023
Regarding cybersecurity, the rapid proliferation of artificial intelligence produces great risks and tremendous opportunities. Among the risks are “data poisoning,” which involves hackers corrupting the data used to train AI systems, and the theft by hackers of “AI models.
Palo Alto Networks, Inc. (PANW) Goldman Sachs 2023 Communacopia &amp; Technology Conference (Transcript)
Palo Alto Networks, Inc. (NASDAQ:PANW ) Goldman Sachs 2023 Communacopia &amp; Technology Conference September 7, 2023 6:45 PM ET Company Participants Nikesh Arora - CEO Conference Call Participants Gabriela Borges - Goldman Sachs Gabriela Borges Good afternoon. And thank you for joining us at the Palo Alto Networks keynote at the Goldman Sachs Communacopia &amp; Technology Conference.
Why Palo Alto Networks (PANW) is a Top Growth Stock for the Long-Term
Whether you're a value, growth, or momentum investor, finding strong stocks becomes easier with the Zacks Style Scores, a top feature of the Zacks Premium research service.
Jim Cramer calls Palo Alto Networks' CEO the Tom Brady of executives
Zscaler reports a strong quarter, but Palo Alto Networks is still the top cybersecurity pick for CNBC's Jim Cramer.
Cybersecurity Stocks To Watch Amid Shift To AI, Cloud
Cybersecurity stocks have underperformed in 2023. But cloud security companies may be better positioned as corporate budgets tighten.</t>
  </si>
  <si>
    <t xml:space="preserve">           1y Target Est                      274.16
           52 Week Range             132.22 - 258.88
                     Ask                251.10 x 900
             Avg. Volume                   5765630.0
       Beta (5Y Monthly)                        1.19
                     Bid               250.81 x 1000
             Day's Range             249.00 - 252.11
               EPS (TTM)                        1.28
           Earnings Date Nov 15, 2023 - Nov 20, 2023
        Ex-Dividend Date                         NaN
Forward Dividend &amp; Yield                   N/A (N/A)
              Market Cap                     77.464B
                    Open                       249.9
          PE Ratio (TTM)                      196.11
          Previous Close                      248.74
             Quote Price                  251.020004
                  Volume                    925655.0
    Market Cap (intraday) 76.76B
         Enterprise Value 76.64B
             Trailing P/E 194.33
              Forward P/E  46.73
PEG Ratio (5 yr expected)   1.66
        Price/Sales (ttm)  12.35
         Price/Book (mrq)  43.90
 Enterprise Value/Revenue  11.12
  Enterprise Value/EBITDA  88.19</t>
  </si>
  <si>
    <t>Half of Warren Buffett's Portfolio Is in Apple. These 5 Stocks Make Up 66% of the Other Half.
The conglomerate owns $178 billion in Apple shares, which is roughly 50% of its portfolio. Its next-largest holdings include stocks in the financial, energy, and consumer goods sectors.
The 7 Best Warren Buffett Stocks to Buy Now: September 2023
If we're going to get right down to it, banking on the best Warren Buffett stocks comes down to leveraging decades of experience. Unlike, say, financial luminaries on YouTube, the Oracle of Omaha has seen it all – bull markets, bear markets and whatever the heck we're currently in.
The 3 Best Energy Stocks to Buy Now: September 2023
Here we go again. Crude oil prices are once again marching higher after Saudi Arabia and Russia extended their voluntary production cuts to the end of this year.
Warren Buffett's Brilliant Move Is About to Pay Even Bigger Dividends
Warren Buffett loaded his portfolio with shares of oil producers Chevron and Occidental Petroleum. That bold bet could start to really pay off as oil prices rally.
Warren Buffett Energy Stocks Break Out As Saudi Arabia Extends Production Cut
Two of Warren Buffett's favorite energy stocks jumped Tuesday as U.S. oil prices surged above $85 per barrel, hitting fresh 9-month highs.
3 Integrated US Energy Stocks Set to Escape Industry Weakness
Extreme volatility in oil and gas prices, and high input price in refining activities are making the outlook for the Zacks Oil &amp; Gas US Integrated industry gloomy. ConocoPhillips (COP), Occidental (OXY) and Hess (HES) are likely to survive the business challenges.</t>
  </si>
  <si>
    <t xml:space="preserve">           1y Target Est                       69.42
           52 Week Range               55.51 - 76.11
                     Ask                 0.00 x 1000
             Avg. Volume                   9331590.0
       Beta (5Y Monthly)                        1.79
                     Bid                  0.00 x 900
             Day's Range               63.71 - 65.90
               EPS (TTM)                        5.92
           Earnings Date Nov 06, 2023 - Nov 10, 2023
        Ex-Dividend Date                Sep 07, 2023
Forward Dividend &amp; Yield                0.72 (1.10%)
              Market Cap                      56.77B
                    Open                        65.7
          PE Ratio (TTM)                       10.84
          Previous Close                       65.28
             Quote Price                   64.169998
                  Volume                   3771271.0
    Market Cap (intraday) 57.75B
         Enterprise Value 86.57B
             Trailing P/E  11.03
              Forward P/E  13.74
PEG Ratio (5 yr expected)    NaN
        Price/Sales (ttm)   2.03
         Price/Book (mrq)   2.82
 Enterprise Value/Revenue   2.75
  Enterprise Value/EBITDA   5.06</t>
  </si>
  <si>
    <t>Is Halliburton (HAL) a Buy as Wall Street Analysts Look Optimistic?
Investors often turn to recommendations made by Wall Street analysts before making a Buy, Sell, or Hold decision about a stock. While media reports about rating changes by these brokerage-firm employed (or sell-side) analysts often affect a stock's price, do they really matter?
4 Oilfield Services Stocks to Gain From the Prospering Industry
With the expectations that crude prices will remain solid, demand for oilfield services will stay strong, making the outlook for the Zacks Oil &amp; Gas- Field Services industry bright. SLB, HAL, CLB and SOI are expected to benefit the most from this.</t>
  </si>
  <si>
    <t xml:space="preserve">           1y Target Est                       47.04
           52 Week Range               23.30 - 43.42
                     Ask                 0.00 x 1800
             Avg. Volume                   8016737.0
       Beta (5Y Monthly)                        2.19
                     Bid                  0.00 x 900
             Day's Range               41.56 - 42.17
               EPS (TTM)                        2.71
           Earnings Date Oct 23, 2023 - Oct 27, 2023
        Ex-Dividend Date                Sep 05, 2023
Forward Dividend &amp; Yield                0.64 (1.55%)
              Market Cap                     37.402B
                    Open                       41.64
          PE Ratio (TTM)                       15.36
          Previous Close                       41.28
             Quote Price                      41.625
                  Volume                   2847792.0
    Market Cap (intraday) 37.09B
         Enterprise Value 44.06B
             Trailing P/E  15.23
              Forward P/E  11.70
PEG Ratio (5 yr expected)   1.14
        Price/Sales (ttm)   1.67
         Price/Book (mrq)   4.27
 Enterprise Value/Revenue   1.97
  Enterprise Value/EBITDA   9.84</t>
  </si>
  <si>
    <t>Top Wall Street analysts select these dividend stocks to enhance returns
TipRanks' analyst ranking service pinpoints Wall Street's best-performing stocks, including Dell and Verizon.
Move Over Diablo, Hasbro Set to Reign with Baldur's Gate 3
Entertainment giant Hasbro Inc. NYSE: HAS has transformed itself from a toy maker to a vertically integrated family entertainment enterprise. It's following in Mattel Inc.'s NYSE: MAT footsteps in monetizing its IPs.
Hasbro (HAS) Stock Up 40% in 6 Months: Will the Rally Persist?
Hasbro (HAS) benefits from successful new product introductions, strategic collaborations and a compelling product portfolio.
Why Hasbro Stock Gained 12% in August
The company sold the eOne film and TV business. Hasbro released a mixed second-quarter earnings report.</t>
  </si>
  <si>
    <t xml:space="preserve">           1y Target Est                        81.0
           52 Week Range               45.75 - 83.25
                     Ask                 69.96 x 900
             Avg. Volume                   1652646.0
       Beta (5Y Monthly)                        0.71
                     Bid                 69.93 x 800
             Day's Range               69.67 - 70.89
               EPS (TTM)                       -1.85
           Earnings Date Oct 16, 2023 - Oct 20, 2023
        Ex-Dividend Date                Oct 31, 2023
Forward Dividend &amp; Yield                2.80 (3.98%)
              Market Cap                      9.685B
                    Open                       70.22
          PE Ratio (TTM)                         NaN
          Previous Close                       69.94
             Quote Price                      69.805
                  Volume                    493438.0
    Market Cap (intraday)  9.70B
         Enterprise Value 13.41B
             Trailing P/E  35.61
              Forward P/E  13.99
PEG Ratio (5 yr expected)   1.27
        Price/Sales (ttm)   1.74
         Price/Book (mrq)   3.97
 Enterprise Value/Revenue   2.41
  Enterprise Value/EBITDA  18.04</t>
  </si>
  <si>
    <t>Procter &amp; Gamble (PG) Jumps 10% in a Year: What's Ahead?
Procter &amp; Gamble's (PG) focus on productivity and cost-saving plans to boost margins, along with pricing actions bode well.
7 Best Blue Chip Stocks to Buy Now
Sure, short-term gains from the hip "stock of the moment" can be an exciting roller coaster ride, but if you're a truly savvy investor in 2023, you're going to be hunting for stocks that can provide solid returns over the long term, no matter what the market does. Blue-chip stocks are, of course, one of the best places to find that.
Is Procter &amp; Gamble a Buy Now?
Procter &amp; Gamble is a Dividend King. The consumer goods maker owns iconic brands.
3 Dividend Stocks That Could Be Ideal Buys for Retirees in September
Pfizer, Procter &amp; Gamble, and Southern Company are profitable and good dividend payers. These stocks all yield more than 2%, and their payouts look safe for the foreseeable future.
Procter &amp; Gamble Brings Relief to Residents Affected by Hurricane Idalia in Florida With P&amp;G Products and Tide Loads of Hope Laundry Services
--(BUSINESS WIRE)--The Procter &amp; Gamble Company (NYSE:PG) : WHO: Families, individuals and first responders in need of personal care items, cleaning products or laundry services in the wake of Hurricane Idalia.   WHAT: The Tide Loads of Hope Mobile Laundry Unit, powered by Matthew 25: Ministries, has been deployed to Perry, Fla., to support relief and recovery efforts in the wake of Hurricane Idalia. The mobile laundry unit will begin services in impacted areas, providing free, full-service.
The Procter &amp; Gamble Company (PG) Barclays Global Consumer Staples Conference (Transcript)
The Procter &amp; Gamble Company (NYSE:PG ) Barclays Global Consumer Staples Conference September 6, 2023 10:30 AM ET Company Participants Andre Schulten - Chief Financial Officer Jon Moeller - Chairman, President, Chief Executive Officer Conference Call Participants Lauren Lieberman - Barclay Unidentified Company Representative P&amp;G would like to remind you that today's discussion will include a number of forward-looking statements. If you will refer to P&amp;G's most recent 10-K, 10-Q and 8-K report, you will see a discussion of factors that could cause the company's actual results to differ materially from these projections.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7 Retirement Stocks That Every Long-Term Investor Should Own Now
Here's a look at the top long-term retirement stocks to buy now. Building a solid retirement portfolio is all about identifying companies that can withstand any storm in the market.
Sell the Rally as September Is the Worst Month for Stocks: 5 Warren Buffett Stocks to Move to Now
The recent rally out of the August lows has gotten everybody fired up again. The Magnificent 7 continue to push the markets higher while many of the rest of the S&amp;P 500 stocks tread water.</t>
  </si>
  <si>
    <t xml:space="preserve">           1y Target Est          166.69
           52 Week Range 122.18 - 158.38
                     Ask     0.00 x 1000
             Avg. Volume       5815195.0
       Beta (5Y Monthly)            0.41
                     Bid      0.00 x 800
             Day's Range 153.10 - 154.64
               EPS (TTM)             5.9
           Earnings Date    Oct 18, 2023
        Ex-Dividend Date    Jul 20, 2023
Forward Dividend &amp; Yield    3.76 (2.46%)
              Market Cap        365.918B
                    Open          153.33
          PE Ratio (TTM)            26.2
          Previous Close          152.93
             Quote Price      154.559998
                  Volume       1133361.0
    Market Cap (intraday) 360.44B
         Enterprise Value 388.44B
             Trailing P/E   25.92
              Forward P/E   23.92
PEG Ratio (5 yr expected)    3.53
        Price/Sales (ttm)    4.63
         Price/Book (mrq)    7.84
 Enterprise Value/Revenue    4.74
  Enterprise Value/EBITDA   17.80</t>
  </si>
  <si>
    <t>Gartner: Research Powerhouse Continues to Roar
Gartner Inc. ( IT , Financial) is one of the world's most renowned research and advisory companies. It is most famous for its “Magic Quadrant,” in which Gartner assesses companies in order to identify “leaders” across a variety of industries, from supply chain management software to artificial intelligence.</t>
  </si>
  <si>
    <t>Gartner</t>
  </si>
  <si>
    <t xml:space="preserve">           1y Target Est                      373.68
           52 Week Range             272.58 - 377.88
                     Ask                  0.00 x 800
             Avg. Volume                    412035.0
       Beta (5Y Monthly)                        1.24
                     Bid                 0.00 x 1200
             Day's Range             350.96 - 357.36
               EPS (TTM)                       11.65
           Earnings Date Oct 30, 2023 - Nov 03, 2023
        Ex-Dividend Date                Jul 19, 1999
Forward Dividend &amp; Yield                   N/A (N/A)
              Market Cap                     27.691B
                    Open                      354.84
          PE Ratio (TTM)                       30.15
          Previous Close                      354.15
             Quote Price                  351.290009
                  Volume                     87695.0
    Market Cap (intraday) 27.92B
         Enterprise Value 29.76B
             Trailing P/E  30.72
              Forward P/E  29.94
PEG Ratio (5 yr expected)    NaN
        Price/Sales (ttm)   4.93
         Price/Book (mrq)  47.60
 Enterprise Value/Revenue   5.18
  Enterprise Value/EBITDA  20.00</t>
  </si>
  <si>
    <t>Why Is FleetCor Technologies (FLT) Up 5.9% Since Last Earnings Report?
FleetCor Technologies (FLT) reported earnings 30 days ago. What's next for the stock?
FLEETCOR (FLT) Stock Gains 31% in Six Months: Here's How
FLEETCOR's (FLT) top line remains healthy, driven by both organic and inorganic growth.
Corpay Cross-Border Named the Official Commercial FX Partner for Aston Villa Football Club
TORONTO--(BUSINESS WIRE)--Corpay1, a FLEETCOR® (NYSE: FLT) brand and global leader in business payments, is pleased to announce that Corpay's Cross-Border business has entered into an agreement with Aston Villa Football Club to become their Official Commercial Foreign Exchange (FX) Partner. Through this partnership, Aston Villa, along with their broader ecosystem of corporate business partners* will be able to gain access to and utilise Corpay's innovative solutions to help mitigate their forei.</t>
  </si>
  <si>
    <t>Fleetcor</t>
  </si>
  <si>
    <t xml:space="preserve">           1y Target Est                      286.37
           52 Week Range             161.69 - 275.66
                     Ask                  0.00 x 900
             Avg. Volume                    437054.0
       Beta (5Y Monthly)                         1.2
                     Bid                  0.00 x 800
             Day's Range             270.83 - 274.77
               EPS (TTM)                        12.4
           Earnings Date Oct 31, 2023 - Nov 06, 2023
        Ex-Dividend Date                         NaN
Forward Dividend &amp; Yield                   N/A (N/A)
              Market Cap                     20.072B
                    Open                      273.81
          PE Ratio (TTM)                       21.87
          Previous Close                      271.84
             Quote Price                  271.170013
                  Volume                     76760.0
    Market Cap (intraday) 20.10B
         Enterprise Value 25.60B
             Trailing P/E  21.92
              Forward P/E  13.68
PEG Ratio (5 yr expected)   1.18
        Price/Sales (ttm)   5.61
         Price/Book (mrq)   6.16
 Enterprise Value/Revenue   7.06
  Enterprise Value/EBITDA  13.61</t>
  </si>
  <si>
    <t>More credit unions expected to acquire chartered banks amid consolidation pressure, M&amp;A lawyer says
A deal lawyer who specializes in credit union acquisitions of small, chartered banks said he sees activity picking up again after a pause during the regional-bank crisis earlier this year.
Raymond James (RJF) Arm Wraps Up Merger With Solus Trust
Raymond James (RJF) and its trust business in Canada complete the previously announced merger with Solus Trust.</t>
  </si>
  <si>
    <t xml:space="preserve">           1y Target Est                      120.75
           52 Week Range              82.00 - 126.00
                     Ask                  0.00 x 800
             Avg. Volume                    852085.0
       Beta (5Y Monthly)                        1.07
                     Bid                 0.00 x 1000
             Day's Range             107.10 - 108.01
               EPS (TTM)                        7.94
           Earnings Date Oct 24, 2023 - Oct 30, 2023
        Ex-Dividend Date                Sep 29, 2023
Forward Dividend &amp; Yield                1.68 (1.58%)
              Market Cap                     22.434B
                    Open                      107.11
          PE Ratio (TTM)                       13.53
          Previous Close                      106.33
             Quote Price                  107.419998
                  Volume                    174669.0
    Market Cap (intraday) 22.21B
         Enterprise Value    NaN
             Trailing P/E  13.39
              Forward P/E  10.85
PEG Ratio (5 yr expected)   1.12
        Price/Sales (ttm)   2.07
         Price/Book (mrq)   2.25
 Enterprise Value/Revenue    NaN
  Enterprise Value/EBITDA    NaN</t>
  </si>
  <si>
    <t>Revvity (RVTY) Launches Three New Preclinical Research Systems
Revvity (RVTY) launches new preclinical imaging technologies for breakthrough discoveries. Learn how they can help advance research and boost Revvity's prospect.
Revvity Unveils Several Next-Generation Preclinical Imaging Technologies to Help Scientists Drive Breakthrough Discoveries
WALTHAM, Mass.--(BUSINESS WIRE)--Revvity Unveils Several Next-Generation Preclinical Imaging Technologies to Help Scientists Drive Breakthrough Discoveries.</t>
  </si>
  <si>
    <t xml:space="preserve">           1y Target Est                      144.52
           52 Week Range             105.82 - 150.17
                     Ask                  0.00 x 800
             Avg. Volume                    761338.0
       Beta (5Y Monthly)                        1.07
                     Bid                 0.00 x 1200
             Day's Range             105.82 - 107.98
               EPS (TTM)                        1.98
           Earnings Date Nov 06, 2023 - Nov 10, 2023
        Ex-Dividend Date                Oct 19, 2023
Forward Dividend &amp; Yield                0.28 (0.26%)
              Market Cap                     13.395B
                    Open                      107.09
          PE Ratio (TTM)                        54.5
          Previous Close                      106.83
             Quote Price                  107.910004
                  Volume                    315390.0
    Market Cap (intraday) 13.26B
         Enterprise Value 15.70B
             Trailing P/E  53.95
              Forward P/E  18.55
PEG Ratio (5 yr expected)   3.60
        Price/Sales (ttm)   4.75
         Price/Book (mrq)   1.69
 Enterprise Value/Revenue   5.53
  Enterprise Value/EBITDA  18.56</t>
  </si>
  <si>
    <t>RegO Products Introduces New CBE504 Series Pressure Builder-Economizer Regulator
Lighter weight model and wider pressure range optimize cryogenic-storage vessels DOWNERS GROVE, Ill. , Sept. 6, 2023 /PRNewswire/ -- RegO Products, part of OPW Clean Energy Solutions and Dover (NYSE: DOV), announced the launch of its new CBE504 Series Half-Inch Pressure Builder-Economizer Regulator, which enables cryogenic vessels to achieve and maintain proper pressures with minimal risk of product loss.
These 5 Dividend Aristocrats are Quality Stocks for AI Investing
AI investing is hot and not contained in the tech world. While names like NVIDIA NASDAQ: NVDA garner much attention, numerous blue-chip names are already leaning into the AI action.</t>
  </si>
  <si>
    <t xml:space="preserve">           1y Target Est                      163.31
           52 Week Range             114.49 - 160.66
                     Ask                 0.00 x 2200
             Avg. Volume                    839095.0
       Beta (5Y Monthly)                        1.33
                     Bid                  0.00 x 800
             Day's Range             139.05 - 142.98
               EPS (TTM)                         7.2
           Earnings Date Oct 18, 2023 - Oct 23, 2023
        Ex-Dividend Date                Aug 30, 2023
Forward Dividend &amp; Yield                2.04 (1.44%)
              Market Cap                     19.573B
                    Open                      142.67
          PE Ratio (TTM)                       19.44
          Previous Close                      142.11
             Quote Price                  139.934998
                  Volume                    258043.0
    Market Cap (intraday) 19.88B
         Enterprise Value 23.01B
             Trailing P/E  19.71
              Forward P/E  14.43
PEG Ratio (5 yr expected)   1.15
        Price/Sales (ttm)   2.37
         Price/Book (mrq)   4.26
 Enterprise Value/Revenue   2.72
  Enterprise Value/EBITDA  13.51</t>
  </si>
  <si>
    <t>Republic Services Certified as a Great Place to Work® for Seventh Consecutive Year
Only environmental services provider to receive certification PHOENIX , Sept. 11, 2023 /PRNewswire/ -- For the seventh consecutive year, Republic Services, Inc. (NYSE: RSG) has been certified as a Great Place to Work ® by the global authority on workplace culture and employee experience.
Republic Services: Inherent Resilience And Expected Growth Make This A Buy
Republic Services offers a resilient investment opportunity with high barriers to entry and a compelling valuation. RSG operates in an industry that isn't affected by economic conditions, providing stability. The company enjoys strong pricing power, thanks to its landfills ownership.
The 3 Best Investing Ideas for the Rest of 2023
With rising pressures evident in the consumer economy, market participants may want to consider the best investing ideas for the remainder of the year. That's not to say you should exclusively focus on these publicly traded securities.
Here's Why Republic Services (RSG) is a Strong Growth Stock
The Zacks Style Scores offers investors a way to easily find top-rated stocks based on their investing style. Here's why you should take advantage.</t>
  </si>
  <si>
    <t xml:space="preserve">           1y Target Est                      165.58
           52 Week Range             120.58 - 156.65
                     Ask                  0.00 x 800
             Avg. Volume                   1049559.0
       Beta (5Y Monthly)                        0.67
                     Bid                  0.00 x 800
             Day's Range             146.26 - 147.43
               EPS (TTM)                        4.97
           Earnings Date Oct 25, 2023 - Oct 30, 2023
        Ex-Dividend Date                Sep 29, 2023
Forward Dividend &amp; Yield                2.14 (1.46%)
              Market Cap                     46.573B
                    Open                      146.19
          PE Ratio (TTM)                       29.62
          Previous Close                      146.22
             Quote Price                  147.229996
                  Volume                    205671.0
    Market Cap (intraday) 46.25B
         Enterprise Value 58.43B
             Trailing P/E  29.42
              Forward P/E  24.94
PEG Ratio (5 yr expected)   2.54
        Price/Sales (ttm)   3.21
         Price/Book (mrq)   4.53
 Enterprise Value/Revenue   4.05
  Enterprise Value/EBITDA  14.73</t>
  </si>
  <si>
    <t>Domino's® Announces Q3 2023 Earnings Webcast
ANN ARBOR, Mich. , Sept. 7, 2023 /PRNewswire/ -- Domino's Pizza, Inc. (NYSE: DPZ) announces the following event: What: Domino's Third Quarter 2023 Earnings Webcast When: Thursday, October 12 at 8:30 a.m.
Domino's Pizza® Announces Piper Sandler Growth Frontiers Conference Webcast
ANN ARBOR, Mich., Sept. 6, 2023 /PRNewswire/ -- Domino's Pizza Inc. (NYSE: DPZ) announces the following event:     What: Domino's presentation at the Piper Sandler Growth Frontiers Conference,featuring President of U.S. and Global Services Joe Jordan &amp; Chief Financial Officer Sandeep Reddy When:       Wednesday, September 13 at 10:30 - 11:30 a.m.
Domino's Pizza (DPZ) Upgraded to Strong Buy: Here's What You Should Know
Domino's Pizza (DPZ) might move higher on growing optimism about its earnings prospects, which is reflected by its upgrade to a Zacks Rank #1 (Strong Buy).
Here's why Jim Cramer thinks shares of Domino's Pizza have more room to run
TD Cowen upgraded the company's stock and boosted its price target.
3 Best Restaurant Stocks to Buy Now: September 2023
The restaurant industry is experiencing a resurgence in consumer demand as hospitality economies have fully recovered from the pandemic-induced downturn. This renewed interest in dining out is driving substantial revenue growth for many companies, assembling them potentially the best restaurant stocks.
Here are 19 stocks Jim Cramer is watching, including Chipotle, LULU and Airbnb
Here are some of the tickers on my radar for Tuesday, Sept. 5, taken directly from my reporter's notebook.</t>
  </si>
  <si>
    <t xml:space="preserve">           1y Target Est           415.5
           52 Week Range 285.84 - 409.95
                     Ask      0.00 x 900
             Avg. Volume        614546.0
       Beta (5Y Monthly)            0.85
                     Bid      0.00 x 800
             Day's Range 384.16 - 392.55
               EPS (TTM)           13.25
           Earnings Date    Oct 12, 2023
        Ex-Dividend Date    Sep 14, 2023
Forward Dividend &amp; Yield    4.84 (1.25%)
              Market Cap         13.776B
                    Open          386.29
          PE Ratio (TTM)           29.62
          Previous Close          387.37
             Quote Price      392.529999
                  Volume        140826.0
    Market Cap (intraday) 13.59B
         Enterprise Value 18.74B
             Trailing P/E  29.28
              Forward P/E  24.81
PEG Ratio (5 yr expected)   2.25
        Price/Sales (ttm)   3.07
         Price/Book (mrq)    NaN
 Enterprise Value/Revenue   4.16
  Enterprise Value/EBITDA  21.52</t>
  </si>
  <si>
    <t>Wall Street's Most Accurate Analysts Say Buy These 3 Consumer Stocks Delivering High-Dividend Yields - Bloomin Brands (NASDAQ:BLMN), Darden Restaurants (NYSE:DRI)
During times of turbulence and uncertainty in the markets, many investors turn to dividend-yielding stocks. These are often companies that have high free cash flows and reward shareholders with a high dividend payout.</t>
  </si>
  <si>
    <t>Darden Restaurants</t>
  </si>
  <si>
    <t xml:space="preserve">           1y Target Est           174.0
           52 Week Range 120.20 - 173.06
                     Ask      0.00 x 800
             Avg. Volume       1160087.0
       Beta (5Y Monthly)            1.23
                     Bid      0.00 x 800
             Day's Range 148.40 - 149.97
               EPS (TTM)             8.0
           Earnings Date    Sep 21, 2023
        Ex-Dividend Date    Jul 07, 2023
Forward Dividend &amp; Yield    5.24 (3.51%)
              Market Cap         17.976B
                    Open          149.78
          PE Ratio (TTM)           18.59
          Previous Close          149.44
             Quote Price      148.720001
                  Volume        253349.0
    Market Cap (intraday) 18.06B
         Enterprise Value 22.49B
             Trailing P/E  18.68
              Forward P/E  16.92
PEG Ratio (5 yr expected)   1.72
        Price/Sales (ttm)   1.75
         Price/Book (mrq)   8.21
 Enterprise Value/Revenue   2.14
  Enterprise Value/EBITDA  14.08</t>
  </si>
  <si>
    <t>Moody's Appoints Richard Steele as General Counsel
NEW YORK--(BUSINESS WIRE)--Moody's Corporation (NYSE:MCO) announced today that it has appointed Richard Steele as Senior Vice President and General Counsel, effective September 5, 2023. Mr. Steele will oversee Moody's global Legal and Compliance functions, and has joined the company's Executive Leadership Team. He succeeds John Goggins, who is retiring after over 24 years with the company. Mr. Steele joined Moody's KMV in 2006 as Chief Legal Officer, and was named General Counsel of Moody's Ana.</t>
  </si>
  <si>
    <t xml:space="preserve">           1y Target Est                      375.44
           52 Week Range             230.16 - 363.19
                     Ask                 0.00 x 1100
             Avg. Volume                    690082.0
       Beta (5Y Monthly)                         1.3
                     Bid                  0.00 x 800
             Day's Range             337.78 - 342.65
               EPS (TTM)                        7.75
           Earnings Date Oct 23, 2023 - Oct 27, 2023
        Ex-Dividend Date                Aug 17, 2023
Forward Dividend &amp; Yield                3.08 (0.91%)
              Market Cap                     62.195B
                    Open                      341.24
          PE Ratio (TTM)                       43.74
          Previous Close                      339.77
             Quote Price                  339.015015
                  Volume                    122277.0
    Market Cap (intraday) 62.33B
         Enterprise Value 67.67B
             Trailing P/E  43.78
              Forward P/E  29.76
PEG Ratio (5 yr expected)   2.01
        Price/Sales (ttm)  11.31
         Price/Book (mrq)  19.83
 Enterprise Value/Revenue  12.24
  Enterprise Value/EBITDA  28.78</t>
  </si>
  <si>
    <t>The 7 Best Robotics Stocks to Buy Now: September 2023
While artificial intelligence stocks have seen a meteoric rise in recent months, there are still some underappreciated opportunities in the broader technology sector. Specifically, robotics stocks remain overlooked by many investors, even as the need for automation and robotics solutions continues to accelerate.
Rockwell Automation (ROK) Signs Deal to Acquire Clearpath
Rockwell Automation (ROK) signs a definitive agreement to acquire Clearpath to boost its Intelligent Devices portfolio.
Rockwell Automation signs agreement to acquire autonomous robotics leader Clearpath Robotics
MILWAUKEE--(BUSINESS WIRE)--Rockwell Automation, Inc. (NYSE: ROK), the world's largest company dedicated to industrial automation and digital transformation, today announced it has signed a definitive agreement to acquire Ontario, Canada-based Clearpath Robotics Inc., a leader in autonomous robotics for industrial applications. Autonomous mobile robots (AMRs) are the next frontier in industrial automation and transformation, and this acquisition will supercharge Rockwell's lead in bringing the.</t>
  </si>
  <si>
    <t xml:space="preserve">           1y Target Est                      317.25
           52 Week Range             209.27 - 348.52
                     Ask                  0.00 x 800
             Avg. Volume                    758016.0
       Beta (5Y Monthly)                        1.45
                     Bid                  0.00 x 900
             Day's Range             292.62 - 299.98
               EPS (TTM)                       12.26
           Earnings Date Oct 31, 2023 - Nov 06, 2023
        Ex-Dividend Date                Aug 11, 2023
Forward Dividend &amp; Yield                4.72 (1.59%)
              Market Cap                     33.977B
                    Open                      297.87
          PE Ratio (TTM)                       24.13
          Previous Close                      296.86
             Quote Price                  295.809998
                  Volume                    277376.0
    Market Cap (intraday) 34.10B
         Enterprise Value 37.75B
             Trailing P/E  24.23
              Forward P/E  21.98
PEG Ratio (5 yr expected)   2.32
        Price/Sales (ttm)   3.98
         Price/Book (mrq)  10.20
 Enterprise Value/Revenue   4.38
  Enterprise Value/EBITDA  18.18</t>
  </si>
  <si>
    <t>With 2x Potential Returns Is DexCom A Better Pick Over Intuitive Surgical?
We believe DexCom stock (NASDAQ: DXCM) is a better healthcare pick than Intuitive Surgical stock (NASDAQ: ISRG).
Dexcom Denies Weight Loss Drug Threat To CGM Sales - I'd Be A Little Concerned
DexCom is a major player in the continuous glucose monitoring space, with steadily growing revenues and a breakout year in 2020. DXCM's market cap valuation has reached $40 billion, leading to high expectations for future growth. Dexcom faces new competition from GLP-1 agonist drugs, which could potentially eliminate a significant portion of its target market in the Type 2 Diabetes (T2D) space.
Strength Seen in DexCom (DXCM): Can Its 6.5% Jump Turn into More Strength?
DexCom (DXCM) was a big mover last session on higher-than-average trading volume. The latest trend in earnings estimate revisions might help the stock continue moving higher in the near term.
Dexcom Says It Won't Be The Biggest Loser In The Weight-Loss Battle — And Shares Soar
Dexcom stock surged Wednesday after the company allayed concerns that popular weight-loss drugs would tamp on its diabetes devices.
Why DexCom (DXCM) is a Top Growth Stock for the Long-Term
Wondering how to pick strong, market-beating stocks for your investment portfolio? Look no further than the Zacks Style Scores.
DexCom's (DXCM) G6 CGM Connects With Omnipod 5 AID in Germany
DexCom's (DXCM) G6 CGM system and Omnipod 5 AID system can now simplify diabetes management and improve health outcomes in Germany.</t>
  </si>
  <si>
    <t xml:space="preserve">           1y Target Est                      147.42
           52 Week Range              78.94 - 139.55
                     Ask                106.88 x 900
             Avg. Volume                   3366175.0
       Beta (5Y Monthly)                        1.12
                     Bid                106.80 x 800
             Day's Range             103.95 - 107.23
               EPS (TTM)                        0.86
           Earnings Date Oct 25, 2023 - Oct 30, 2023
        Ex-Dividend Date                         NaN
Forward Dividend &amp; Yield                   N/A (N/A)
              Market Cap                     41.398B
                    Open                      104.35
          PE Ratio (TTM)                       124.1
          Previous Close                      104.35
             Quote Price                  106.730003
                  Volume                   1022753.0
    Market Cap (intraday) 40.47B
         Enterprise Value 40.21B
             Trailing P/E 121.34
              Forward P/E  62.11
PEG Ratio (5 yr expected)   2.19
        Price/Sales (ttm)  13.91
         Price/Book (mrq)  19.27
 Enterprise Value/Revenue  12.58
  Enterprise Value/EBITDA  58.80</t>
  </si>
  <si>
    <t>EA SPORTS™ Madden NFL 24 Sets Single-Week Franchise Record for Digital Units Sold and Brings More Ways to Play and Watch Ahead of NFL Kickoff Weekend
REDWOOD CITY, Calif.--(BUSINESS WIRE)--Electronic Arts Inc. (NASDAQ: EA) is celebrating the 2023 NFL Season kickoff by inviting football fans everywhere to play EA SPORTS™ Madden NFL 24 via a global trial, during a Free Play Weekend,* September 7 through September 10 on Xbox One, Xbox Series X|S, PlayStation®4 and PlayStation®5. Players on Xbox Series X|S and PS5™ platforms can experience the new levels of control and realism delivered through elevated gameplay along with the fun of mini-games.
EA SPORTS UFC 5 Arrives October 27: Feel the Fight With Visceral Gameplay and Graphics Powered by Frostbite
REDWOOD CITY, Calif.--(BUSINESS WIRE)--Electronic Arts Inc. (NASDAQ: EA) and UFC, the world's premier mixed martial arts (MMA) organization, will launch EA SPORTS™ UFC® 5 on October 27, 2023 for PlayStation®5 and Xbox Series X|S. Developed on the Frostbite™ Engine for the first time, and featuring the all-new Real Impact System, UFC 5 is the definitive MMA experience with authentic gameplay and graphics maximized for modern consoles. "UFC 5 is the most realistic MMA experience fans can have out.
Electronic Arts Inc. (EA) Presents at Goldman Sachs Communacopia + Technology Conference (Transcript)
Electronic Arts Inc. (NASDAQ:EA ) Goldman Sachs Communacopia + Technology Conference Call August 6, 2023 1:50 PM ET Company Participants Andrew Wilson - CEO Conference Call Participants Eric Sheridan - Goldman Sachs Eric Sheridan Dawn is getting settled and shuffling from room to room. But we're going to get started in the interest of time, especially for those on the webcast.
Built From the DiRT Up, EA SPORTS™ WRC Delivers an Awe-Inspiring Off-Road Experience for the New Generation of Sim Racer
REDWOOD CITY, Calif.--(BUSINESS WIRE)-- #EASPORTSWRC--Electronic Arts Inc. introduces EA SPORTS™ WRC, the official game of the FIA World Rally Championship.</t>
  </si>
  <si>
    <t xml:space="preserve">           1y Target Est          144.26
           52 Week Range 108.53 - 140.30
                     Ask    122.63 x 900
             Avg. Volume       2129179.0
       Beta (5Y Monthly)             0.9
                     Bid    122.55 x 800
             Day's Range 122.25 - 123.47
               EPS (TTM)            3.24
           Earnings Date    Nov 01, 2023
        Ex-Dividend Date    Aug 29, 2023
Forward Dividend &amp; Yield    0.76 (0.63%)
              Market Cap         33.127B
                    Open          122.51
          PE Ratio (TTM)           37.74
          Previous Close          121.75
             Quote Price      122.279999
                  Volume       2315181.0
    Market Cap (intraday) 32.98B
         Enterprise Value 32.33B
             Trailing P/E  37.58
              Forward P/E  18.15
PEG Ratio (5 yr expected)   1.00
        Price/Sales (ttm)   4.44
         Price/Book (mrq)   4.50
 Enterprise Value/Revenue   4.26
  Enterprise Value/EBITDA  16.20</t>
  </si>
  <si>
    <t>EBAY Integrates AI Into Its Marketplace With a New Tool
EBAY rolls out a new AI tool for product listing to enable a seamless listing process for first-time sellers.
The 7 Best E-Commerce Stocks to Buy Now: September 2023
E-commerce offers consumers a more convenient solution to buy their favorite products. Instead of commuting to the nearby store, shoppers can buy products online from the comfort of their homes or anywhere else, creating big opportunity for some of the best e-commerce stocks.
eBay Inc. (EBAY) Presents at Goldman Sachs Communacopia &amp; Technology Conference 2023 (Transcript)
eBay Inc. (NASDAQ:EBAY ) Goldman Sachs Communacopia &amp; Technology Conference 2023 Call September 5, 2023 1:10 PM ET Company Participants Jamie Iannone - Chief Executive Officer Steve Priest - Chief Financial Officer Conference Call Participants Eric Sheridan - Goldman Sachs Eric Sheridan Right up on time. We're going to start with the next session.</t>
  </si>
  <si>
    <t xml:space="preserve">           1y Target Est                       48.75
           52 Week Range               35.92 - 52.23
                     Ask                 43.76 x 800
             Avg. Volume                   5187977.0
       Beta (5Y Monthly)                        1.35
                     Bid                 43.75 x 800
             Day's Range               43.43 - 43.79
               EPS (TTM)                        2.37
           Earnings Date Oct 31, 2023 - Nov 06, 2023
        Ex-Dividend Date                Aug 31, 2023
Forward Dividend &amp; Yield                1.00 (2.32%)
              Market Cap                     23.266B
                    Open                        43.7
          PE Ratio (TTM)                       18.45
          Previous Close                       43.43
             Quote Price                   43.720001
                  Volume                    856435.0
    Market Cap (intraday) 23.11B
         Enterprise Value 24.22B
             Trailing P/E  18.32
              Forward P/E   9.76
PEG Ratio (5 yr expected)   3.63
        Price/Sales (ttm)   2.37
         Price/Book (mrq)   4.39
 Enterprise Value/Revenue   2.44
  Enterprise Value/EBITDA  10.06</t>
  </si>
  <si>
    <t>Everest Group Increases Quarterly Dividend to $1.75
HAMILTON, Bermuda--(BUSINESS WIRE)--Everest Group, Ltd. announced that its Board of Directors declared an increase in the regular quarterly dividend from $1.65 to $1.75 per common share. This dividend will be payable on or before September 29, 2023 to all shareholders of record as of September 19, 2023. About Everest Everest Group, Ltd. (Everest) is a global underwriting leader providing best-in-class property, casualty, and specialty reinsurance and insurance solutions that address customers'.
Magnit Achieves a “Leader” Recognition in Everest Group's CWM/MSP PEAK Matrix for Third Consecutive Year
BURLINGAME, Calif.--(BUSINESS WIRE)--Magnit Achieves a “Leader” Recognition in Everest Group's CWM/MSP PEAK Matrix for Third Consecutive Year.
3 Reasons Growth Investors Will Love Everest Group (EG)
Everest Group (EG) could produce exceptional returns because of its solid growth attributes.
Has Everest Group, Ltd. (EG) Outpaced Other Finance Stocks This Year?
Here is how Everest Group (EG) and Midwest Holding Inc. (MDWT) have performed compared to their sector so far this year.
Why Everest Group (EG) is a Top Momentum Stock for the Long-Term
Wondering how to pick strong, market-beating stocks for your investment portfolio? Look no further than the Zacks Style Scores.</t>
  </si>
  <si>
    <t xml:space="preserve">           1y Target Est                       432.0
           52 Week Range             244.58 - 395.00
                     Ask                 0.00 x 1200
             Avg. Volume                    274285.0
       Beta (5Y Monthly)                        0.61
                     Bid                  0.00 x 800
             Day's Range             373.20 - 378.36
               EPS (TTM)                       30.25
           Earnings Date Oct 24, 2023 - Oct 30, 2023
        Ex-Dividend Date                May 30, 2023
Forward Dividend &amp; Yield                6.60 (1.78%)
              Market Cap                     16.422B
                    Open                      372.79
          PE Ratio (TTM)                       12.51
          Previous Close                       370.7
             Quote Price                   378.36499
                  Volume                     71867.0
    Market Cap (intraday) 16.09B
         Enterprise Value 17.11B
             Trailing P/E  12.25
              Forward P/E   6.19
PEG Ratio (5 yr expected)    NaN
        Price/Sales (ttm)   1.10
         Price/Book (mrq)   1.48
 Enterprise Value/Revenue   1.30
  Enterprise Value/EBITDA    NaN</t>
  </si>
  <si>
    <t>Here's Why Investors are Retaining Elevance (ELV) Stock Now
Elevance's (ELV) focus on expanding the capabilities of the Carelon platform is likely to position the company for long-term growth.
Elevance Health Foundation Expands Food as Medicine Programs Through Third Phase of Grants
INDIANAPOLIS--(BUSINESS WIRE)--Elevance Health Foundation, the philanthropic arm of Elevance Health, today announces the expansion of its food as medicine grants through an additional $4.2 million in awards. Each grant will go toward organizations that are helping individuals and families reach optimal health through good nutrition, focusing on improving clinical outcomes for food insecure individuals with chronic conditions and/or creating more access to nutritious foods for food-insecure popu.</t>
  </si>
  <si>
    <t xml:space="preserve">           1y Target Est                      569.75
           52 Week Range             412.00 - 549.52
                     Ask                  0.00 x 900
             Avg. Volume                   1300406.0
       Beta (5Y Monthly)                        0.84
                     Bid                  0.00 x 800
             Day's Range             448.97 - 453.61
               EPS (TTM)                       26.88
           Earnings Date Oct 17, 2023 - Oct 23, 2023
        Ex-Dividend Date                Sep 07, 2023
Forward Dividend &amp; Yield                5.92 (1.32%)
              Market Cap                    106.187B
                    Open                      449.79
          PE Ratio (TTM)                       16.76
          Previous Close                      448.75
             Quote Price                   450.61499
                  Volume                    204332.0
    Market Cap (intraday) 105.75B
         Enterprise Value 120.88B
             Trailing P/E   16.71
              Forward P/E   12.09
PEG Ratio (5 yr expected)    0.97
        Price/Sales (ttm)    0.65
         Price/Book (mrq)    2.77
 Enterprise Value/Revenue    0.73
  Enterprise Value/EBITDA     NaN</t>
  </si>
  <si>
    <t>7 Stocks to Invest In for Big-Time, Long-Term Gains
Here's a look at seven stocks to buy and hold onto for the long haul. Tech stocks aren't the only drivers of wealth in today's economy, although many may be quick to tell you otherwise.</t>
  </si>
  <si>
    <t xml:space="preserve">           1y Target Est                      960.11
           52 Week Range             389.84 - 916.41
                     Ask                  0.00 x 800
             Avg. Volume                    162382.0
       Beta (5Y Monthly)                        1.21
                     Bid                 0.00 x 1000
             Day's Range             899.72 - 908.95
               EPS (TTM)                       16.37
           Earnings Date Nov 07, 2023 - Nov 13, 2023
        Ex-Dividend Date                Mar 01, 2017
Forward Dividend &amp; Yield                   N/A (N/A)
              Market Cap                     22.457B
                    Open                      903.35
          PE Ratio (TTM)                       55.19
          Previous Close                      899.72
             Quote Price                  903.450012
                  Volume                     32116.0
    Market Cap (intraday) 22.36B
         Enterprise Value 24.17B
             Trailing P/E  54.66
              Forward P/E  37.45
PEG Ratio (5 yr expected)   2.33
        Price/Sales (ttm)  15.54
         Price/Book (mrq)    NaN
 Enterprise Value/Revenue  16.42
  Enterprise Value/EBITDA  38.09</t>
  </si>
  <si>
    <t>Emerson to Present at the Morgan Stanley Laguna Conference
ST. LOUIS , Sept. 6, 2023 /PRNewswire/ -- Emerson (NYSE: EMR) today announced President and Chief Executive Officer, Lal Karsanbhai, and Chief Financial Officer, Mike Baughman, will present at the Morgan Stanley Laguna Conference on Wednesday, September 13 th at 12:20 p.m.
The 3 Best Retirement Stocks to Buy Now: September 2023
Building a well-rounded portfolio is crucial as you plan for financial stability in your retirement. Diversification is critical, ensuring your investments are spread across various sectors and asset types.</t>
  </si>
  <si>
    <t xml:space="preserve">           1y Target Est                      107.27
           52 Week Range              72.41 - 100.00
                     Ask                 0.00 x 1000
             Avg. Volume                   2613816.0
       Beta (5Y Monthly)                        1.39
                     Bid                  0.00 x 800
             Day's Range              98.91 - 100.00
               EPS (TTM)                        5.58
           Earnings Date Oct 30, 2023 - Nov 03, 2023
        Ex-Dividend Date                Aug 10, 2023
Forward Dividend &amp; Yield                2.08 (2.10%)
              Market Cap                      56.97B
                    Open                       99.01
          PE Ratio (TTM)                       17.86
          Previous Close                       98.95
             Quote Price                   99.684998
                  Volume                   1363076.0
    Market Cap (intraday) 56.55B
         Enterprise Value 55.41B
             Trailing P/E  17.73
              Forward P/E  20.28
PEG Ratio (5 yr expected)   3.61
        Price/Sales (ttm)   2.77
         Price/Book (mrq)   2.76
 Enterprise Value/Revenue   2.66
  Enterprise Value/EBITDA   9.89</t>
  </si>
  <si>
    <t>EOG Resources Offers Value Others Can't
EOG Resources stands out among its competitors in the Permian basin due to its unique approach to cash management and resource optimization. The company has a net cash positive balance sheet, unlike its peers, and values every molecule in its basins, leading to higher profitability. EOG is strategically preparing its undeveloped Dorado basin for the next natural gas swing, projected to occur in the next 12 to 18 months.
Seven of the Best Energy Stocks to Buy Now
These top-rated energy stocks could see tailwinds from spiking oil and gas prices.
Permian Oil Drilling Rig Count Falls For Two Straight Weeks
In its weekly release, Baker Hughes (BKR) reports that its count of oil and gas rigs is down for eight straight weeks.
EOG Resources, Inc. (EOG) Presents at Barclays CEO Energy-Power Conference (Transcript)
EOG Resources, Inc. (NYSE:EOG ) Barclays CEO Energy-Power Conference September 5, 2023 3:35 PM ET Company Participants Ezra Yacob - Chairman and CEO Conference Call Participants Unidentified Analyst All right. I think we'll move on to our last EPP fire-side chat of the day.
EOG and Livent Have Pleasingly Plump Profit Margins
A look at companies with unusually large profit margins.</t>
  </si>
  <si>
    <t xml:space="preserve">           1y Target Est                       145.9
           52 Week Range              98.52 - 150.88
                     Ask                  0.00 x 800
             Avg. Volume                   2950204.0
       Beta (5Y Monthly)                        1.57
                     Bid                  0.00 x 800
             Day's Range             130.79 - 134.35
               EPS (TTM)                       14.84
           Earnings Date Nov 01, 2023 - Nov 06, 2023
        Ex-Dividend Date                Oct 16, 2023
Forward Dividend &amp; Yield                3.30 (2.49%)
              Market Cap                      76.27B
                    Open                      133.76
          PE Ratio (TTM)                        8.83
          Previous Close                      132.73
             Quote Price                  130.990005
                  Volume                    761806.0
    Market Cap (intraday) 77.28B
         Enterprise Value 76.67B
             Trailing P/E   8.94
              Forward P/E   9.93
PEG Ratio (5 yr expected)   2.61
        Price/Sales (ttm)   3.10
         Price/Book (mrq)   2.94
 Enterprise Value/Revenue   2.71
  Enterprise Value/EBITDA   4.89</t>
  </si>
  <si>
    <t>EPAM Wins 2023 Google Cloud Social Impact Partner of the Year Award in North America
Award Recognizes EPAM for the UkraineNow solution, an infrastructure provider that hosts critical humanitarian aid data. NEWTOWN, Pa.</t>
  </si>
  <si>
    <t xml:space="preserve">           1y Target Est                      277.85
           52 Week Range             197.99 - 439.34
                     Ask                 0.00 x 1200
             Avg. Volume                    527079.0
       Beta (5Y Monthly)                        1.47
                     Bid                 0.00 x 1100
             Day's Range             266.57 - 270.76
               EPS (TTM)                        9.13
           Earnings Date Nov 01, 2023 - Nov 06, 2023
        Ex-Dividend Date                         NaN
Forward Dividend &amp; Yield                   N/A (N/A)
              Market Cap                     15.542B
                    Open                      266.86
          PE Ratio (TTM)                       29.37
          Previous Close                      265.35
             Quote Price                  268.149994
                  Volume                    183579.0
    Market Cap (intraday) 15.38B
         Enterprise Value 13.71B
             Trailing P/E  29.48
              Forward P/E  46.30
PEG Ratio (5 yr expected)    NaN
        Price/Sales (ttm)   3.25
         Price/Book (mrq)   4.71
 Enterprise Value/Revenue   2.82
  Enterprise Value/EBITDA  19.65</t>
  </si>
  <si>
    <t>MEDIA ALERT: Equinix to Speak at Upcoming Investor Conference
REDWOOD CITY, Calif. , Sept. 8, 2023 /PRNewswire/ -- Equinix, Inc. (Nasdaq: EQIX), the world's digital infrastructure company®, today announced that Justin Dustzadeh, Chief Technology Officer, will present at the Bank of America Virtual Global AI Conference 2023 on Monday, September 11, at 2:00 p.m.
Oil Vs. Commercial Real Estate: One Is A Better Buy Today
Timing anything in the markets over the next few months or quarters is extremely difficult, bordering on impossible to do with accuracy consistently. But investors can look at data and trends and surmise the kind of economic environment that is most likely to manifest over the next few years. Over the last two years, oil stocks have massively outperformed real estate stocks, but in the decade before that, the opposite was the case.
Equinix Appoints Adam Berlew as Chief Marketing Officer
REDWOOD CITY, Calif. , Sept. 6, 2023 /PRNewswire/ -- Equinix, Inc. (Nasdaq: EQIX), the world's digital infrastructure company®, today announced the appointment of Adam Berlew as Chief Marketing Officer (CMO), effective immediately.</t>
  </si>
  <si>
    <t xml:space="preserve">           1y Target Est                       847.4
           52 Week Range             494.89 - 821.63
                     Ask               773.16 x 1200
             Avg. Volume                    407143.0
       Beta (5Y Monthly)                        0.64
                     Bid                772.31 x 800
             Day's Range             770.88 - 776.92
               EPS (TTM)                        8.64
           Earnings Date Oct 31, 2023 - Nov 06, 2023
        Ex-Dividend Date                Aug 22, 2023
Forward Dividend &amp; Yield               13.64 (1.77%)
              Market Cap                     72.328B
                    Open                      775.32
          PE Ratio (TTM)                       89.47
          Previous Close                      771.44
             Quote Price                   773.02002
                  Volume                     94408.0
    Market Cap (intraday) 72.18B
         Enterprise Value 87.02B
             Trailing P/E  89.08
              Forward P/E  69.44
PEG Ratio (5 yr expected)   3.40
        Price/Sales (ttm)   9.29
         Price/Book (mrq)   6.00
 Enterprise Value/Revenue  11.26
  Enterprise Value/EBITDA  27.61</t>
  </si>
  <si>
    <t>S&amp;P500 Logs Worst Month Since February: 5 Top Stocks in ETF
The S&amp;P 500 had its worst month since February, losing 1.4% in August. Despite the losses, some stocks in the ETF stood tall.</t>
  </si>
  <si>
    <t xml:space="preserve">           1y Target Est          231.47
           52 Week Range 129.85 - 237.99
                     Ask      0.00 x 800
             Avg. Volume       1963219.0
       Beta (5Y Monthly)            1.11
                     Bid     0.00 x 1000
             Day's Range 235.00 - 237.99
               EPS (TTM)            6.76
           Earnings Date    Aug 01, 2023
        Ex-Dividend Date    Aug 04, 2023
Forward Dividend &amp; Yield    3.44 (1.47%)
              Market Cap         94.096B
                    Open          236.41
          PE Ratio (TTM)           34.89
          Previous Close          236.13
             Quote Price      235.830002
                  Volume        464078.0
    Market Cap (intraday)  94.22B
         Enterprise Value 102.67B
             Trailing P/E   34.88
              Forward P/E   24.21
PEG Ratio (5 yr expected)    2.42
        Price/Sales (ttm)    4.29
         Price/Book (mrq)    5.25
 Enterprise Value/Revenue    4.66
  Enterprise Value/EBITDA   23.63</t>
  </si>
  <si>
    <t>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Expeditors International: Dividend Trends By The Numbers
Expeditors International of Washington, Inc. is demonstrating interesting technicals that point to rising prices over time. The company has a history of aggressive, consistent dividend growth, which indicates fundamental strength. EXPD has a solid dividend payout ratio, low debt-to-equity ratio, and strong cash flow, suggesting continued dividend growth.</t>
  </si>
  <si>
    <t xml:space="preserve">           1y Target Est          108.12
           52 Week Range  86.08 - 128.04
                     Ask   115.78 x 1000
             Avg. Volume        975474.0
       Beta (5Y Monthly)            1.01
                     Bid    115.73 x 800
             Day's Range 114.79 - 115.97
               EPS (TTM)             6.7
           Earnings Date    Nov 07, 2023
        Ex-Dividend Date    May 31, 2023
Forward Dividend &amp; Yield    1.38 (1.20%)
              Market Cap         17.073B
                    Open          115.27
          PE Ratio (TTM)           17.23
          Previous Close          114.73
             Quote Price        115.4375
                  Volume        250574.0
    Market Cap (intraday) 16.97B
         Enterprise Value 15.80B
             Trailing P/E  17.12
              Forward P/E  22.08
PEG Ratio (5 yr expected)    NaN
        Price/Sales (ttm)   1.43
         Price/Book (mrq)   6.64
 Enterprise Value/Revenue   1.25
  Enterprise Value/EBITDA  10.47</t>
  </si>
  <si>
    <t>Why Quanta Services (PWR) is a Top Stock for the Long-Term
Wondering how to pick strong, market-beating stocks for your investment portfolio? Look no further than the Zacks Focus List.
Will Infrastructure Demand Continue to Aid Quanta (PWR)?
More demand for infrastructural solutions, buyouts and solid backlog aid Quanta (PWR). However, high costs are a concern.</t>
  </si>
  <si>
    <t xml:space="preserve">           1y Target Est                       220.6
           52 Week Range             123.25 - 212.82
                     Ask                 0.00 x 1100
             Avg. Volume                    734374.0
       Beta (5Y Monthly)                        1.08
                     Bid                  0.00 x 800
             Day's Range             204.73 - 208.00
               EPS (TTM)                         3.9
           Earnings Date Nov 01, 2023 - Nov 06, 2023
        Ex-Dividend Date                Sep 29, 2023
Forward Dividend &amp; Yield                0.32 (0.15%)
              Market Cap                     29.748B
                    Open                      207.64
          PE Ratio (TTM)                       52.53
          Previous Close                       206.5
             Quote Price                     204.875
                  Volume                    176210.0
    Market Cap (intraday) 29.98B
         Enterprise Value 34.14B
             Trailing P/E  52.81
              Forward P/E  23.98
PEG Ratio (5 yr expected)   1.09
        Price/Sales (ttm)   1.67
         Price/Book (mrq)   5.24
 Enterprise Value/Revenue   1.86
  Enterprise Value/EBITDA  22.14</t>
  </si>
  <si>
    <t>Seven of the Best Energy Stocks to Buy Now
These top-rated energy stocks could see tailwinds from spiking oil and gas prices.
This is a Golden Time to Buy Beaten Down Oil Stocks
A combination of factors, including the supply/demand imbalance, OPEC+ production cuts, and the oil charts, suggest this is a golden time to buy oil and oil stocks. Regarding the oil price NYSEARCA: USO, the oil price rose more than 7% in the week ended 9/1 to set a new 1-year high.</t>
  </si>
  <si>
    <t xml:space="preserve">           1y Target Est                      128.52
           52 Week Range              74.02 - 124.06
                     Ask                 0.00 x 1300
             Avg. Volume                   3059979.0
       Beta (5Y Monthly)                        1.37
                     Bid                  0.00 x 800
             Day's Range             121.28 - 124.06
               EPS (TTM)                       23.19
           Earnings Date Oct 30, 2023 - Nov 03, 2023
        Ex-Dividend Date                Aug 17, 2023
Forward Dividend &amp; Yield                4.20 (3.44%)
              Market Cap                     54.316B
                    Open                       122.9
          PE Ratio (TTM)                        5.26
          Previous Close                      122.23
             Quote Price                  121.980003
                  Volume                   1032604.0
    Market Cap (intraday) 54.43B
         Enterprise Value 71.26B
             Trailing P/E   5.27
              Forward P/E   8.76
PEG Ratio (5 yr expected)    NaN
        Price/Sales (ttm)   0.37
         Price/Book (mrq)   1.82
 Enterprise Value/Revenue   0.46
  Enterprise Value/EBITDA   4.11</t>
  </si>
  <si>
    <t>Diamondback, Five Point Energy form water management joint venture
U.S. shale oil producer Diamondback Energy has formed a new joint venture with private equity firm Five Point Energy LLC to create a water infrastructure network in the Midland Basin that is part of the oil-rich Permian in Texas.
Diamondback Energy forms water infrastructure platform with Five Point Energy
Diamondback Energy Inc. FANG, +0.75% stock was up 0.8% in premarket trades on Monday after the company said it would get a $500 million payment and retain a 30% equity interest as part of the formation of a new joint venture entity, Deep Blue Midland Basin LLC, with Five Point Energy LLC, a private-equity firm. Diamond Back and Five Point will also contribute an additional $500 million for future growth and acquisitions by Deep Blue Midland.
Diamondback Energy, Inc. and Five Point Energy LLC Form Deep Blue Midland Basin LLC
Creates The Premier Sustainable Water Management Platform in the Midland Basin Creates The Premier Sustainable Water Management Platform in the Midland Basin
Baker Hughes, Pioneer, Diamondback: Energy Stocks on the Rise
The energy sector has rotated back into leadership, with big S&amp;P 500 components such as Exxon Mobil Corp. NYSE: XOM, Chevron Corp. NYSE: CVX and Schlumberger Ltd. NYSE: SLB trading to the upside in recent weeks.
Oil Surges Over $90 on Huge Saudi Production Cuts: 7 ‘Strong Buy' Big Dividend Stocks to Grab Now
Since topping out at $120 a barrel back in the summer of 2022, the major oil benchmarks had traded down every month until bottoming in the beginning of December.</t>
  </si>
  <si>
    <t xml:space="preserve">           1y Target Est                      174.22
           52 Week Range             110.97 - 168.95
                     Ask               152.75 x 1200
             Avg. Volume                   1936250.0
       Beta (5Y Monthly)                        2.04
                     Bid               152.68 x 1000
             Day's Range             152.60 - 157.83
               EPS (TTM)                       19.29
           Earnings Date Nov 06, 2023 - Nov 10, 2023
        Ex-Dividend Date                Aug 09, 2023
Forward Dividend &amp; Yield                6.88 (4.41%)
              Market Cap                     27.367B
                    Open                      157.49
          PE Ratio (TTM)                        7.93
          Previous Close                      156.03
             Quote Price                  153.009995
                  Volume                    538962.0
    Market Cap (intraday) 27.90B
         Enterprise Value 34.43B
             Trailing P/E   8.09
              Forward P/E   7.25
PEG Ratio (5 yr expected)    NaN
        Price/Sales (ttm)   3.39
         Price/Book (mrq)   1.79
 Enterprise Value/Revenue   4.20
  Enterprise Value/EBITDA   5.49</t>
  </si>
  <si>
    <t>Is HCA (HCA) a Solid Growth Stock? 3 Reasons to Think "Yes"
HCA (HCA) possesses solid growth attributes, which could help it handily outperform the market.
3 Sector ETFs &amp; Stocks to Bet on August Jobs Data
The U.S. economy added 187,000 jobs in August 2023, compared to the downwardly revised 157,000 in July and more than market expectations of 170,000.
Is It Worth Investing in HCA (HCA) Based on Wall Street's Bullish Views?
Investors often turn to recommendations made by Wall Street analysts before making a Buy, Sell, or Hold decision about a stock. While media reports about rating changes by these brokerage-firm employed (or sell-side) analysts often affect a stock's price, do they really matter?</t>
  </si>
  <si>
    <t xml:space="preserve">           1y Target Est                      321.18
           52 Week Range             178.32 - 304.86
                     Ask                  0.00 x 900
             Avg. Volume                   1272730.0
       Beta (5Y Monthly)                        1.61
                     Bid                 0.00 x 1000
             Day's Range             272.14 - 274.20
               EPS (TTM)                       20.23
           Earnings Date Oct 19, 2023 - Oct 23, 2023
        Ex-Dividend Date                Sep 14, 2023
Forward Dividend &amp; Yield                2.40 (0.88%)
              Market Cap                     74.186B
                    Open                      273.79
          PE Ratio (TTM)                       13.48
          Previous Close                      273.58
             Quote Price                  272.755005
                  Volume                    411518.0
    Market Cap (intraday)  74.41B
         Enterprise Value 114.29B
             Trailing P/E   13.52
              Forward P/E   13.42
PEG Ratio (5 yr expected)    1.21
        Price/Sales (ttm)    1.25
         Price/Book (mrq)     NaN
 Enterprise Value/Revenue    1.85
  Enterprise Value/EBITDA    8.39</t>
  </si>
  <si>
    <t>Pinnacle West: Stellar Outperformance Amongst Utilities
Pinnacle West has outperformed the broader utility index ETF by 25% over the last 20 months. The stock even shrugged off the poor earnings in Q2-2023. We examine the setup and tell you whether this is worth buying today.</t>
  </si>
  <si>
    <t xml:space="preserve">           1y Target Est                       79.73
           52 Week Range               59.03 - 86.03
                     Ask                  0.00 x 800
             Avg. Volume                    827398.0
       Beta (5Y Monthly)                        0.47
                     Bid                  0.00 x 800
             Day's Range               76.37 - 76.93
               EPS (TTM)                        3.57
           Earnings Date Nov 01, 2023 - Nov 06, 2023
        Ex-Dividend Date                Jul 31, 2023
Forward Dividend &amp; Yield                3.46 (4.52%)
              Market Cap                      8.717B
                    Open                       76.14
          PE Ratio (TTM)                       21.55
          Previous Close                       76.62
             Quote Price                       76.93
                  Volume                    207695.0
    Market Cap (intraday)  8.68B
         Enterprise Value 18.78B
             Trailing P/E  21.46
              Forward P/E  15.43
PEG Ratio (5 yr expected)   2.45
        Price/Sales (ttm)   1.91
         Price/Book (mrq)   1.46
 Enterprise Value/Revenue   4.19
  Enterprise Value/EBITDA  11.41</t>
  </si>
  <si>
    <t>Prudential (PRU), Warburg Pincus Form Prismic Life Reinsurance
Prudential (PRU), Warburg Pincus and a group of investors form Prismic, which will have $10 billion initial reinsurance transaction and $1 billion equity capital investment.
Prudential, Warburg Pincus lead $1B equity investment in Prismic Life Reinsurance
Prudential Financial Inc. PRU, -0.04% said late Thursday it has teamed up with private-equity firm Warburg Pincus to lead a $1 billion equity investment in Prismic Life Reinsurance Ltd., a new Class E life and annuity reinsurance company based in Bermuda.
Prudential Financial, Inc. and Warburg Pincus announce launch of Prismic Life Re
NEWARK, N.J.--(BUSINESS WIRE)--Prudential Financial, Inc. (NYSE: PRU) (Prudential) and Warburg Pincus today announced the launch of Prismic Life Reinsurance, Ltd. (Prismic), a licensed Class E Bermuda-based life and annuity reinsurance company. Prudential and Warburg Pincus, together with a group of investors, have agreed to make equity investments in Prismic and will oversee its long-term strategy through participation on its board of directors. Prudential expects to reinsure to Prismic a bloc.
Prudential Financial elects Kathleen Murphy to Board of Directors
NEWARK, N.J.--(BUSINESS WIRE)--Prudential Financial, Inc. (NYSE: PRU) announced today that Kathleen Murphy has been elected to the Board of Directors as an independent director, effective September 11, 2023. Murphy brings to Prudential her extensive experience in the financial services and wealth management sectors, most notably at Fidelity Investments, where she recently retired. She was president of Fidelity's Personal Investing business from 2009 to 2021. During this time, she led the strate.
PGIM bolsters alternatives franchise with the appointment of Eric Adler to lead newly formed PGIM Private Alternatives
NEWARK, N.J.--(BUSINESS WIRE)--PGIM, the $1.27 trillion global investment management business of Prudential Financial, Inc. (NYSE: PRU), has appointed Eric Adler as president and CEO of PGIM Private Alternatives, bringing together the firm's private alternatives capabilities in order to provide global investors with a cohesive set of investment solutions across private credit, real estate equity and debt, private equity, infrastructure, and agriculture. The appointment of Adler and formation of.</t>
  </si>
  <si>
    <t xml:space="preserve">           1y Target Est           98.7
           52 Week Range 75.37 - 110.96
                     Ask    0.00 x 1000
             Avg. Volume      1673845.0
       Beta (5Y Monthly)           1.41
                     Bid    0.00 x 1800
             Day's Range  95.45 - 96.46
               EPS (TTM)           5.42
           Earnings Date   Oct 31, 2023
        Ex-Dividend Date   Aug 21, 2023
Forward Dividend &amp; Yield   5.00 (5.26%)
              Market Cap        34.763B
                    Open          95.71
          PE Ratio (TTM)          17.67
          Previous Close          95.09
             Quote Price      95.764999
                  Volume       260487.0
    Market Cap (intraday) 34.52B
         Enterprise Value 51.21B
             Trailing P/E  17.54
              Forward P/E   7.28
PEG Ratio (5 yr expected)    NaN
        Price/Sales (ttm)   0.52
         Price/Book (mrq)   1.21
 Enterprise Value/Revenue   0.76
  Enterprise Value/EBITDA    NaN</t>
  </si>
  <si>
    <t>The Hartford Financial: Net Outflows Improving, Strong Buy Reaffirmed
The Hartford Financial (HIG) gets a Strong Buy rating, reaffirming my June rating and in line with the analyst consensus. Positives: reasonable valuation vs sector average, dividend growth, earnings YoY growth, company financial health, share price. The net outflows in Hartford Funds is improving as of Q2.
Here's Why Investors Should Retain Hartford Financial (HIG)
Hartford Financial (HIG) remains well-poised for growth on the back of strength in its Commercial Lines and Group Benefits businesses. A strong financial position enables business investments.</t>
  </si>
  <si>
    <t xml:space="preserve">           1y Target Est                       85.71
           52 Week Range               60.17 - 79.44
                     Ask                  0.00 x 800
             Avg. Volume                   1373083.0
       Beta (5Y Monthly)                        0.85
                     Bid                 0.00 x 2200
             Day's Range               71.23 - 72.12
               EPS (TTM)                        6.21
           Earnings Date Oct 25, 2023 - Oct 30, 2023
        Ex-Dividend Date                Aug 31, 2023
Forward Dividend &amp; Yield                1.70 (2.38%)
              Market Cap                     21.869B
                    Open                       71.56
          PE Ratio (TTM)                       11.52
          Previous Close                       71.49
             Quote Price                   71.510002
                  Volume                    238128.0
    Market Cap (intraday) 21.86B
         Enterprise Value 26.41B
             Trailing P/E  11.51
              Forward P/E   7.33
PEG Ratio (5 yr expected)    NaN
        Price/Sales (ttm)   0.98
         Price/Book (mrq)   1.58
 Enterprise Value/Revenue   1.13
  Enterprise Value/EBITDA    NaN</t>
  </si>
  <si>
    <t>A Bull Market Could Be Here: 3 Reasons to Buy Home Depot Stock
Home Depot benefits from the aging housing supply. The company is a leader when it comes to serving professionals.
3 No-Brainer Stocks to Buy Right Now With $500
This fast-growing energy-drink maker is piggybacking on the strength of one of the largest consumer brands in the world. This niche e-commerce company is demonstrating outstanding growth despite the retail environment.
Can Home Depot's (HD) Strategies Help Overcome Near-Term Woes?
Home Depot (HD) has been witnessing pressures from soft demand for specific big-ticket, discretionary categories. We expect ongoing strategies and investments to help boost long-term performance.
Dividend Dreaming With Home Depot: Awaiting The Right Valuation
Home Depot has been a top wealth generator, with a 460% return in the past decade, double the S&amp;P 500, offering a 2.6% dividend yield and consistent dividend growth. HD is facing challenges due to declining consumer sentiment, high rates, and poor economic growth. The demand for DIY products has been hit, impacting the company's stock performance.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Here is What to Know Beyond Why The Home Depot, Inc. (HD) is a Trending Stock
Zacks.com users have recently been watching Home Depot (HD) quite a bit. Thus, it is worth knowing the facts that could determine the stock's prospects.
Home Depot vs. Lowe's Stock: 3 Reasons to Buy the Industry Leader
Home Depot has navigated through many previous downturns in the home improvement industry. It boasts higher a profit margin than Lowe's and the stock pays a higher dividend yield.
These four Dow stocks take top prizes for dividend growth
Investors love dividend stocks, but there are different ways to approach them. Below are two screens of the 30 stocks in the Dow Jones Industrial Average, to show which companies have grown their dividend payouts the most over the past five years and 10 years.
4 Reasons to Remain Bullish on Home Depot's Stock
Home Depot's business isn't experiencing a surge in sales but its top line remains resilient. Strong cash flow enables the company to pay an above-average dividend while also buying back shares.</t>
  </si>
  <si>
    <t xml:space="preserve">           1y Target Est          343.33
           52 Week Range 265.61 - 347.25
                     Ask     0.00 x 1400
             Avg. Volume       3339551.0
       Beta (5Y Monthly)            0.95
                     Bid      0.00 x 900
             Day's Range 327.58 - 329.74
               EPS (TTM)           16.01
           Earnings Date    Nov 14, 2023
        Ex-Dividend Date    Aug 30, 2023
Forward Dividend &amp; Yield    8.36 (2.54%)
              Market Cap        328.333B
                    Open          329.29
          PE Ratio (TTM)           20.51
          Previous Close          328.71
             Quote Price      328.309998
                  Volume        564416.0
    Market Cap (intraday) 328.73B
         Enterprise Value 375.41B
             Trailing P/E   20.52
              Forward P/E   21.83
PEG Ratio (5 yr expected)    2.11
        Price/Sales (ttm)    2.15
         Price/Book (mrq)  246.24
 Enterprise Value/Revenue    2.42
  Enterprise Value/EBITDA   14.30</t>
  </si>
  <si>
    <t>JP Morgan Chase Does Well By Doing Good
JP Morgan Chase has created a blueprint for stakeholder capitalism in this country. Business leaders should take note of Jamie Dimon's success.
JPMorgan explores blockchain-based deposit token to speed up cross-border payments
(Kitco News) - JPMorgan is reportedly in the early stages of exploring the creation of a blockchain-based digital deposit token for cross-border payments and settlement.
FDIC-Insured Banks' Q2 Earnings Up on Higher NII, Deposits Fall
FDIC-Insured banks' (like JPM, BAC, C &amp; WFC) Q2 earnings improve on higher rates, decent loan demand and efforts to bolster fee income. Yet, rising funding costs, poor asset quality and lower deposit balance remain headwinds.
The 3 Best Financial Services Stocks to Buy Now: September 2023
In today's fast-paced financial landscape, investors constantly search for robust avenues to grow their wealth. Enter financial services stocks—a sector brimming with potential and diversity.
JPMorgan Chase &amp; Co.: A Well-Oiled Financial Behemoth
JPMorgan Chase &amp; Co. is a reliable and stable investment option in the financial sector. The company has experienced strong growth and consistently raised dividends. JPMorgan's acquisition of First Republic has significantly boosted its net income and stock performance.
Banks Struggled in August: Will Scenario Change in September?
After a dismal August performance, investors are looking for clues as to how bank stocks like JPMorgan (JPM), Bank of America (BAC), Citigroup (C) and Wells Fargo (WFC) will fare this month as they navigate industry headwinds.
How big banks won the banking crisis
The collapse of Silicon Valley Bank and the US regional banking crisis that followed earlier this year had major economic and regulatory repercussions for lenders across the globe, some of which may be felt for years to come. But now that the more immediate threat of the crisis has dissipated, some clear winners have emerged.
Analysis: US banks hold $3.3 trillion cash amid banking crisis, slowdown worries
U.S. lenders are holding onto large piles of cash as insurance against a slowing economy, continuing deposit outflows and looming tougher liquidity rules that could particularly impact mid-sized banks.</t>
  </si>
  <si>
    <t xml:space="preserve">           1y Target Est          169.22
           52 Week Range 101.28 - 159.38
                     Ask      0.00 x 800
             Avg. Volume       9355572.0
       Beta (5Y Monthly)             1.1
                     Bid     0.00 x 1000
             Day's Range 143.69 - 145.02
               EPS (TTM)           15.55
           Earnings Date    Oct 13, 2023
        Ex-Dividend Date    Jul 05, 2023
Forward Dividend &amp; Yield    4.00 (2.78%)
              Market Cap        419.262B
                    Open          144.75
          PE Ratio (TTM)            9.28
          Previous Close          143.83
             Quote Price      144.300003
                  Volume       2257247.0
    Market Cap (intraday) 417.98B
         Enterprise Value     NaN
             Trailing P/E    9.25
              Forward P/E    9.88
PEG Ratio (5 yr expected)    2.99
        Price/Sales (ttm)    2.96
         Price/Book (mrq)    1.47
 Enterprise Value/Revenue     NaN
  Enterprise Value/EBITDA     NaN</t>
  </si>
  <si>
    <t>These Oil Stocks Just Got a Big Boost and Could Rocket From Here
Saudi Arabia has extended its production cuts through the end of the year. This move should push oil prices higher.</t>
  </si>
  <si>
    <t xml:space="preserve">           1y Target Est                       32.73
           52 Week Range               20.57 - 33.42
                     Ask                 0.00 x 1100
             Avg. Volume                  11311995.0
       Beta (5Y Monthly)                        2.38
                     Bid                 0.00 x 3200
             Day's Range               26.33 - 27.62
               EPS (TTM)                        3.23
           Earnings Date Oct 31, 2023 - Nov 06, 2023
        Ex-Dividend Date                Aug 15, 2023
Forward Dividend &amp; Yield                0.40 (1.46%)
              Market Cap                     16.033B
                    Open                        27.5
          PE Ratio (TTM)                         8.2
          Previous Close                       27.31
             Quote Price                   26.469999
                  Volume                   5280739.0
    Market Cap (intraday) 16.54B
         Enterprise Value 22.18B
             Trailing P/E   8.46
              Forward P/E   7.76
PEG Ratio (5 yr expected)   1.77
        Price/Sales (ttm)   2.62
         Price/Book (mrq)   1.47
 Enterprise Value/Revenue   3.02
  Enterprise Value/EBITDA   4.00</t>
  </si>
  <si>
    <t>Immatics shares rise on Moderna cancer collaboration
Immatics NV shares IMTX, -2.87% gained more than 6% premarket on Monday after the company announced a collaboration with Moderna Inc. MRNA, -0.66% to research and develop new cancer therapies. The partnership couples Immatics' T cell-redirecting cancer immunotherapy platform with Moderna's mRNA technology and is expected to span bispecifics, cell therapy and cancer vaccines, the companies said in a release Monday.
Moderna, Immatics to work jointly on cancer vaccines
Vaccine maker Moderna said on Monday it had struck a deal with Immatics for developing cancer vaccines and therapies and would pay the drug developer $120 million in cash and additional milestone payments.
Moderna and Immatics Announce Strategic Multi-Platform Collaboration to Develop Innovative Oncology Therapeutics
Collaboration combines leading technologies to develop breakthrough, mRNA-enabled in vivo expressed TCER® molecules Companies to leverage Immatics' XPRESIDENT® target discovery platform and Moderna's mRNA technology for the development of novel cancer vaccines Collaboration to include evaluation of Immatics' investigational IMA203 PRAME TCR-T in combination with Moderna's investigational PRAME mRNA cancer vaccine Immatics to receive $120 million upfront cash payment plus research funding with the potential for additional milestone and royalty payments CAMBRIDGE, MA and TUEBINGEN, GERMANY / ACCESSWIRE / September 11, 2023 / Moderna, Inc. (NASDAQ:MRNA, "Moderna") and Immatics N.V. (NASDAQ:IMTX, "Immatics"), a clinical-stage biopharmaceutical company active in the discovery and development of T cell-redirecting cancer immunotherapies, today announced a strategic research and development collaboration to pioneer novel and transformative therapies for cancer patients with high unmet medical need.
Flagship Pioneering Announces Appointment of Amanda Kay as Chief Business Development Officer
CAMBRIDGE, Mass. , Sept. 11, 2023 /PRNewswire/ -- Flagship Pioneering, the bioplatform innovation company, announced today the appointment of Amanda Kay as Senior Partner and Chief Business Development Officer.
Apple, Moderna, Inflation, and More to Watch This Week
The Consumer Price Index is expected to be up 3.6%. Results from Oracle, Adobe, and Lennar.
3 Meme Stocks That Could Actually Rebound in Q4
It's the question everybody wants to know: Are meme stocks dead? Well, according to an August report from the Associated Press, apparently not.
Moderna Recommends Shareholders Reject “Mini-Tender” Offer by TRC Capital Investment Corporation
CAMBRIDGE, MA / ACCESSWIRE / September 8, 2023 / Moderna, Inc. (Nasdaq:MRNA) has been notified that TRC Capital Investment Corporation (TRC Capital) has made an unsolicited "mini-tender" offer to purchase up to 1,000,000 shares of Moderna's common stock, at an offer price of $107.56 per share. TRC Capital's offer price of $107.56 per share is approximately 4.44% lower than the closing price of Moderna common stock on the Nasdaq Global Select Market on September 1, 2023, the last trading day prior to the date of the offer, September 5, 2023.
COVID Vaccine Sales Are Declining. But Here's How They're Still Driving Growth at Moderna.
Investors have shied away from Moderna in recent times as demand for its one and only product -- the coronavirus vaccine -- declines. But that particular product could be the driving force behind a whole new phase of revenue to come.
2 Nasdaq 100 Stocks That Are Surefire Buys in September and 1 to Avoid Like the Plague
Despite bouncing 42% (year-to-date) through the end of August, the Nasdaq 100 still sits 7% below its all-time high. Two Nasdaq 100 components have well-defined moats within their specific industries that should cultivate a sustained double-digit growth rate.
Moderna (MRNA) Updated COVID Jab Effective Against Pirola Variant
Clinical study data shows Moderna's (MRNA) updated COVID-19 vaccine generates a robust immune response against newer circulating variants, including Pirola and Eris.
3 Stocks to Buy For the COVID Resurgence
The cold and flu season is upon us, but COVID-19 cases and hospitalizations have also increased recently. The Centers for Disease Control (CDC) will be voting on updated COVID-19 vaccines at a meeting scheduled for September 12, 2023.
7 Biotech Stocks to Sell in September Before They Crash &amp; Burn
Investing in biotech stocks is not for the meek. Losses can be very large and occur very quickly.
Moderna to Participate at Morgan Stanley 21st Annual Global Healthcare Conference
CAMBRIDGE, MA / ACCESSWIRE / September 6, 2023 / Moderna, Inc. (Nasdaq:MRNA), today announced its participation in a fireside chat at Morgan Stanley's 21st Annual Global Healthcare Conference on Tuesday, September 12th at 12:15 p.m. ET. A live webcast of the presentation will be available under "Events and Presentations" in the Investors section of the Moderna website at investors.modernatx.com.
Is Moderna Stock A Buy As It Looks To Take On The Highly Mutated 'Pirola' Variant?
Is Moderna stock a buy as the company looks to launch an updated Covid vaccine? Is MRNA stock a buy right now?
Here's How Moderna's Updated Covid Shot Stacks Up Against Highly Mutated 'Pirola' Variant
Moderna stock slipped Wednesday after the company said its updated Covid vaccine can take on a highly mutated strain nicknamed "pirola."
Moderna vaccine effective against latest Covid strain
Moderna Therapeutics Inc (NASDAQ:MRNA) has told investors that its revised Covid vaccine appears effective against the BA.2.86 subvariant, a highly mutated form of the coronavirus. Clinical trials revealed an 8.7-fold surge in neutralizing antibodies against this subvariant, which is closely monitored by global health agencies like the WHO and the CDC.
Moderna Stock Gains. Its Vaccine Is Effective Against New Covid Strain.
The news comes amid concerns about rising cases in the U.S.
Moderna says updated COVID vaccine effective against BA.2.86 Pirola variant
Moderna Inc. MRNA on Wednesday released clinical trial data indicating that its updated COVID-19 vaccination is effective against the BA.2.86 Pirola variant, which is being closely monitored by researchers due to concerns that it could more easily break through existing immunity. The new shot showed an 8.7 to 11-fold increase in neutralizing antibodies against BA.2.86 and other circulating variants, including the EG.5 Eris variant and FL.1.5.1, Moderna said in a release.
Moderna's Updated Covid Vaccine Is Effective Against Pirola Variant—As Concern Over New Strain Grows
Experts are worried the highly mutated variant, a relative of omicron formally called BA.2.86, could trigger a new wave of cases.
Moderna says updated COVID vaccine is effective against newer variant
Moderna on Wednesday said clinical trial data showed its updated COVID-19 vaccine will likely be effective against the highly-mutated BA.2.86 subvariant of the coronavirus that has raised fears of a resurgence of infections.
Moderna says updated Covid vaccine was effective against highly mutated BA.2.86 variant in trial
Moderna, Pfizer and Novavax are slated to roll out new vaccines targeting XBB.1.5 within weeks, pending approvals from the FDA.
Moderna Clinical Trial Data Confirm Its Updated Covid-19 Vaccine Generates Strong Immune Response in Humans Against BA.2.86
CDC notes that the BA.2.86 (Pirola) variant may be more likely to break through existing immunity from previous vaccination or infection, highlighting the need for vaccination with an updated COVID-19 vaccine for the fall 2023 season Clinical trial data from research assay confirmed Moderna's updated COVID-19 vaccine showed an 8.7 to 11-fold increase in neutralizing antibodies against circulating variants, including BA.2.86, EG.5, and FL.1.5.1 variants With governments accelerating the timing of COVID-19 vaccination campaigns due to the potential risk of BA.2.86, Moderna has shared this data with regulators and is ready to supply its updated COVID-19 vaccine pending regulatory approval CAMBRIDGE, MA / ACCESSWIRE / September 6, 2023 / Moderna, Inc. (NASDAQ:MRNA) today announced that clinical trial data from its research assay confirm its updated COVID-19 vaccine, which is pending approval by the U.S. Food and Drug Administration for the fall 2023 vaccination season, generates an 8.7-fold increase in neutralizing antibodies in humans against BA.2.86 (Pirola), a variant under monitoring. The Centers for Disease Control (CDC) indicates that the highly mutated BA.2.86 variant may be more capable of causing infection in people who previously had COVID-19 or were vaccinated with previous vaccines, noting that updated COVID-19 vaccines may be effective in reducing severe disease and hospitalization.
Coronavirus Cases Are on the Rise -- Should You Buy Vaccine Stocks?
The U.S. is reporting increases in positive coronavirus tests and in coronavirus hospitalizations. Pfizer, Moderna, and Novavax are readying their updated vaccines for the fall vaccination season.</t>
  </si>
  <si>
    <t xml:space="preserve">           1y Target Est                      181.47
           52 Week Range              95.02 - 217.25
                     Ask               105.26 x 1100
             Avg. Volume                   3620337.0
       Beta (5Y Monthly)                        1.62
                     Bid               105.15 x 1300
             Day's Range             104.50 - 107.24
               EPS (TTM)                        2.86
           Earnings Date Nov 01, 2023 - Nov 06, 2023
        Ex-Dividend Date                         NaN
Forward Dividend &amp; Yield                   N/A (N/A)
              Market Cap                     39.993B
                    Open                       106.8
          PE Ratio (TTM)                       36.74
          Previous Close                      107.64
             Quote Price                  105.080002
                  Volume                   1115776.0
    Market Cap (intraday) 40.97B
         Enterprise Value 33.68B
             Trailing P/E  37.38
              Forward P/E    NaN
PEG Ratio (5 yr expected)    NaN
        Price/Sales (ttm)   4.05
         Price/Book (mrq)   2.42
 Enterprise Value/Revenue   2.28
  Enterprise Value/EBITDA   6.21</t>
  </si>
  <si>
    <t>Keysight to Showcase Solutions that Accelerate Radio Frequency Innovation at EuMW23
--(BUSINESS WIRE)---- $KEYS #5G--Keysight Technologies, Inc. (NYSE: KEYS): What: At EuMW 2023, Keysight will be showcasing solutions that accelerate radio frequency (RF) innovation for applications from space and automotive to 5G / 6G and internet of things (IoT). As a 20-year consecutive Platinum sponsor of EuMW, Keysight is enabling innovators to push the engineering boundaries by quickly solving the design, emulation, and test challenges of RF, millimeter wave, and more.     When: September 17-22, 2023  .</t>
  </si>
  <si>
    <t xml:space="preserve">           1y Target Est                      166.62
           52 Week Range             125.89 - 189.45
                     Ask                 0.00 x 1000
             Avg. Volume                   1303272.0
       Beta (5Y Monthly)                        1.07
                     Bid                 0.00 x 1000
             Day's Range             131.81 - 133.76
               EPS (TTM)                         6.2
           Earnings Date Nov 15, 2023 - Nov 20, 2023
        Ex-Dividend Date                         NaN
Forward Dividend &amp; Yield                   N/A (N/A)
              Market Cap                     23.566B
                    Open                      133.15
          PE Ratio (TTM)                        21.4
          Previous Close                       132.3
             Quote Price                  132.710007
                  Volume                    360769.0
    Market Cap (intraday) 23.49B
         Enterprise Value 22.94B
             Trailing P/E  21.03
              Forward P/E  16.23
PEG Ratio (5 yr expected)   1.91
        Price/Sales (ttm)   4.25
         Price/Book (mrq)   4.80
 Enterprise Value/Revenue   4.10
  Enterprise Value/EBITDA  13.16</t>
  </si>
  <si>
    <t>Merck Presents New Analyses Supporting the Promising Potential of Sotatercept, its Investigational Medicine for Adults with Pulmonary Arterial Hypertension (PAH)
RAHWAY, N.J.--(BUSINESS WIRE)---- $MRK #MRK--Merck Presents New Analyses Supporting the Promising Potential of Sotatercept, its Investigational Medicine for Pulmonary Arterial Hypertension (PAH).
Big Pharma's Battle With the Biden Administration Could Have Legs
Wall Street should pay attention as the pharma industry mounts a widening legal campaign against the Inflation Reduction Act.
Merck's (MRK) Ebola Vaccine Gets Approval for Kids in Europe
The European Commission approves Merck's (MRK) Ebola vaccine for use in children as young as one year.
Biopharma Bounce-Back: From Policy Pains To Profitable Plains
The recent IRA list of 10 drug publications is not expected to have a significant impact on big pharma stocks in the near term. The legal challenges by big pharma companies against the IRA may derail the implementation of the drug pricing reforms. Investors can consider diversified biotech indexes or healthcare-focused ETFs for exposure to the biopharma sector.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European Commission Expands Merck's ERVEBO® [Ebola Zaire Vaccine, (rVSVΔG-ZEBOV-GP) live] Indication to Include Children 1 Year of Age and Older
RAHWAY, N.J.--(BUSINESS WIRE)---- $MRK #MRK--European Commission Expands Merck's ERVEBO® [Ebola Zaire Vaccine, (rVSVΔG-ZEBOV-GP) live] Indication to Include Children 1 Year of Age and Older.
Merck &amp; Co., Inc. (MRK) Citi 18th Annual BioPharma Conference (Transcript)
Merck &amp; Co., Inc. (NYSE:MRK ) Citi 18th Annual BioPharma Conference September 6, 2023 1:50 PM ET Company Participants Marjorie Green - SVP and Head of Late Stage Oncology, Global Clinical Development Conference Call Participants Andrew Baum - Citi Andrew Baum So delighted to introduce our next speaker, Dr. Marjorie Green at Merck, who heads Oncology Development. Marjorie came five months ago from Seagen.
Long-Term Follow-up Data on Sustained Immunogenicity and Safety for GARDASIL®9 Published in Pediatrics
RAHWAY, N.J.--(BUSINESS WIRE)---- $MRK #MRK--Long-Term Follow-up Data on Sustained Immunogenicity and Safety for GARDASIL®9 Published in Pediatrics.
Merck to Participate in the Morgan Stanley 21st Annual Global Healthcare Conference
RAHWAY, N.J.--(BUSINESS WIRE)---- $MRK #MRK--Merck to Participate in the Morgan Stanley 21st Annual Global Healthcare Conference.</t>
  </si>
  <si>
    <t xml:space="preserve">           1y Target Est          124.24
           52 Week Range  84.52 - 119.65
                     Ask      0.00 x 800
             Avg. Volume       7450293.0
       Beta (5Y Monthly)            0.33
                     Bid     0.00 x 1200
             Day's Range 108.35 - 109.43
               EPS (TTM)            1.22
           Earnings Date    Oct 26, 2023
        Ex-Dividend Date    Sep 14, 2023
Forward Dividend &amp; Yield    2.92 (2.68%)
              Market Cap        276.311B
                    Open          109.32
          PE Ratio (TTM)           89.25
          Previous Close          109.05
             Quote Price      108.889999
                  Volume       1588723.0
    Market Cap (intraday) 276.72B
         Enterprise Value 307.25B
             Trailing P/E   89.39
              Forward P/E   12.94
PEG Ratio (5 yr expected)    0.83
        Price/Sales (ttm)    4.75
         Price/Book (mrq)    7.15
 Enterprise Value/Revenue    5.27
  Enterprise Value/EBITDA   30.26</t>
  </si>
  <si>
    <t>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CARR or KLAC: Which Is the Better Value Stock Right Now?
Investors looking for stocks in the Electronics - Miscellaneous Products sector might want to consider either Carrier Global (CARR) or KLA (KLAC). But which of these two companies is the best option for those looking for undervalued stocks?
Chip Gear Maker KLA Nears Buy Point On Dividend Hike, Share Buybacks
Semiconductor equipment maker KLA announced a 12% increase to its quarterly dividend and raised its stock buyback plans.
KLA stock heads toward 7th-straight gain after dividend boosted, $2 billion added to buyback program
Shares of KLA Corp. KLAC, +1.03% rose 0.2% in premarket trading Tuesday toward a seventh-straight gain, after the semiconductor equipment maker raised its dividend by 11.5% and increased its stock repurchase program by $2 billion. The new quarterly dividend was lifted to $1.45 a share from $1.30 a share.
KLA Corporation Announces Increase in Quarterly Dividend Level to $1.45 per share and $2 billion Increase in Total Share Repurchase Authorization
Announces increase in the quarterly dividend level to $1.45 per share from $1.30, the 14th consecutive annual dividend increase for KLA. Since inception in 2006, KLA has grown the quarterly dividend level at an approximately 15% compounded annual growth rate.</t>
  </si>
  <si>
    <t xml:space="preserve">           1y Target Est                      521.33
           52 Week Range             250.20 - 520.19
                     Ask               486.46 x 1000
             Avg. Volume                    966419.0
       Beta (5Y Monthly)                        1.35
                     Bid               485.55 x 1100
             Day's Range             485.54 - 506.47
               EPS (TTM)                       24.14
           Earnings Date Oct 24, 2023 - Oct 30, 2023
        Ex-Dividend Date                Aug 14, 2023
Forward Dividend &amp; Yield                5.20 (1.04%)
              Market Cap                     66.651B
                    Open                      504.39
          PE Ratio (TTM)                       20.19
          Previous Close                      497.73
             Quote Price                       487.5
                  Volume                    369493.0
    Market Cap (intraday) 68.05B
         Enterprise Value 70.87B
             Trailing P/E  20.61
              Forward P/E  21.05
PEG Ratio (5 yr expected)   2.79
        Price/Sales (ttm)   6.65
         Price/Book (mrq)  23.31
 Enterprise Value/Revenue   6.75
  Enterprise Value/EBITDA  15.74</t>
  </si>
  <si>
    <t>Marathon Petroleum: Elevated Crack Spreads And Share Repurchases Make This Attractive
Marathon Petroleum's history goes back to the days of the Lima, Ohio oilfields. The outlook for the industry remains strong as crack spreads have remained elevated in 2023. The company has an aggressive share repurchase program which has dramatically decreased the shares outstanding to a historic low.
3 Energy Stocks Suited Nicely for Momentum Investors
Relative strength focuses on stocks that have performed well compared to the market as a whole or another relevant benchmark. And by targeting those displaying this favorable price action, investors can find themselves in positive market trends where buyers are in control.
The 3 Best Large-Cap Stocks to Buy Now: September 2023
Although high-flying tech startups offer far greater upside potential, for those interested in playing the long game, the best large-cap stocks may be your ticket to sustained success. To be fair, companies commanding gargantuan market capitalization tend to feature mature and thus slow-rising businesses.</t>
  </si>
  <si>
    <t xml:space="preserve">           1y Target Est                      156.14
           52 Week Range              89.40 - 157.99
                     Ask                  0.00 x 900
             Avg. Volume                   3329075.0
       Beta (5Y Monthly)                        1.62
                     Bid                  0.00 x 900
             Day's Range             152.98 - 157.99
               EPS (TTM)                       27.27
           Earnings Date Oct 30, 2023 - Nov 03, 2023
        Ex-Dividend Date                Aug 15, 2023
Forward Dividend &amp; Yield                3.00 (1.93%)
              Market Cap                     61.442B
                    Open                      155.94
          PE Ratio (TTM)                        5.63
          Previous Close                      155.31
             Quote Price                  153.664505
                  Volume                   1293433.0
    Market Cap (intraday) 62.10B
         Enterprise Value 79.21B
             Trailing P/E   5.70
              Forward P/E   9.32
PEG Ratio (5 yr expected)  15.65
        Price/Sales (ttm)   0.45
         Price/Book (mrq)   2.42
 Enterprise Value/Revenue   0.51
  Enterprise Value/EBITDA   3.52</t>
  </si>
  <si>
    <t>Molina Healthcare Announces Third Quarter 2023 Earnings Release and Conference Call Dates
LONG BEACH, Calif.--(BUSINESS WIRE)--Molina Healthcare, Inc. (NYSE: MOH) today announced details for the release of its results for the third quarter ending September 30, 2023. Molina Healthcare will issue its earnings release for the third quarter ending September 30, 2023, after the market closes on Wednesday, October 25, 2023, and will host a conference call and webcast to discuss the earnings release on Thursday, October 26, 2023, at 8:00 a.m. Eastern Time. To access this interactive teleco.
3 Reasons Growth Investors Will Love Molina (MOH)
Molina (MOH) could produce exceptional returns because of its solid growth attributes.
Molina Healthcare (MOH) Closes $150M My Choice Wisconsin Buyout
Molina Healthcare (MOH) completes the My Choice Wisconsin acquisition ahead of the updated scheduled time.
Molina Healthcare Announces the Closing of its Acquisition of My Choice Wisconsin
LONG BEACH, Calif.--(BUSINESS WIRE)--Molina Healthcare, Inc. (NYSE: MOH) today announced that its acquisition of My Choice Wisconsin (“MCW”) closed on September 1, 2023. As of June 30, 2023, MCW served over 44,000 members. About Molina Healthcare Molina Healthcare, Inc., a FORTUNE 500 company (currently ranked 126), provides managed healthcare services under the Medicaid and Medicare programs and through the state insurance marketplaces. Through its locally operated health plans, Molina Healthc.</t>
  </si>
  <si>
    <t xml:space="preserve">           1y Target Est          350.13
           52 Week Range 256.19 - 374.00
                     Ask      0.00 x 800
             Avg. Volume        469625.0
       Beta (5Y Monthly)            0.65
                     Bid      0.00 x 800
             Day's Range 320.01 - 322.65
               EPS (TTM)           15.99
           Earnings Date    Oct 25, 2023
        Ex-Dividend Date             NaN
Forward Dividend &amp; Yield       N/A (N/A)
              Market Cap         18.808B
                    Open          320.47
          PE Ratio (TTM)           20.18
          Previous Close          320.47
             Quote Price       322.61499
                  Volume         60733.0
    Market Cap (intraday) 18.68B
         Enterprise Value 12.27B
             Trailing P/E  20.30
              Forward P/E  13.95
PEG Ratio (5 yr expected)    NaN
        Price/Sales (ttm)   0.57
         Price/Book (mrq)   5.16
 Enterprise Value/Revenue   0.38
  Enterprise Value/EBITDA   8.09</t>
  </si>
  <si>
    <t>Half of Warren Buffett's Portfolio Is in Apple. These 5 Stocks Make Up 66% of the Other Half.
The conglomerate owns $178 billion in Apple shares, which is roughly 50% of its portfolio. Its next-largest holdings include stocks in the financial, energy, and consumer goods sectors.
Warren Buffett's Highest-Yielding Stock Isn't Citigroup at 5%. He's Netting Almost 57% Annually From Another Top Holding.
The Oracle of Omaha has overseen a greater than 4,400,000% increase in Berkshire Hathaway's Class A shares (BRK.A) since taking the reins in 1965. Money-center bank Citigroup is Berkshire's highest-yielding holding on a nominal basis (5.1%).
Want to Get Richer? 3 Top Warren Buffett Stocks to Buy Now That Could Help You Build Lasting Wealth
Highly profitable and dependable businesses can be your key to generating strong investment returns. Let Warren Buffett guide you toward the best stocks to buy today.
The 7 Best Warren Buffett Stocks to Buy Now: September 2023
If we're going to get right down to it, banking on the best Warren Buffett stocks comes down to leveraging decades of experience. Unlike, say, financial luminaries on YouTube, the Oracle of Omaha has seen it all – bull markets, bear markets and whatever the heck we're currently in.
Best Dividend Stock to Buy: Coca-Cola Stock vs. Deere Stock
Passive income investors have two excellent choices in Coca-Cola and Deere.
3 No-Brainer Dividend Stocks to Buy No Matter What the Market Is Doing
Abbott, J&amp;J, and Coca-Cola all are Dividend Kings, meaning they have a stellar track record of dividend growth. These companies also have solid product portfolios to drive revenue over time.
7 Best Blue Chip Stocks to Buy Now
Sure, short-term gains from the hip "stock of the moment" can be an exciting roller coaster ride, but if you're a truly savvy investor in 2023, you're going to be hunting for stocks that can provide solid returns over the long term, no matter what the market does. Blue-chip stocks are, of course, one of the best places to find that.
The 7 Best Dow Stocks to Buy Now: September 2023
Finding the best Dow stocks to buy can be complex. The companies listed in the Dow Jones Industrial Average tend to be blue-chip stocks that have large market capitalizations and are dominant in their sectors of the economy.
The Coca-Cola Company (KO) Barclays Global Consumer Staples Conference (Transcript)
The Coca-Cola Company (NYSE:KO ) Barclays Global Consumer Staples Conference September 7, 2023 9:45 AM ET Company Participants James Quincey - CEO Jennifer Mann - Head, North America Conference Call Participants Lauren Lieberman - Barclays Lauren Lieberman Let's get started. The clock started moving, so we got to do this.
Warren Buffett's top 5 portfolio positions
Warren Buffett is one of the world's most successful stock investors with a net worth of $118 billion. His success is mostly attributed to finding great companies at a discount.
5 Sturdy Soft Drink Stocks to Watch as the Industry Paces Up
The Beverages - Soft Drinks industry is gaining momentum on robust share gains, improved pricing, digital growth and innovation despite the ongoing cost headwinds. Companies like KO, PEP, FMX, MNST and KDP look strong amid favorable industry trends.
The 3 Best Inflation Stocks to Buy Now: September 2023
Inflation is down from the 40-year highs it registered in 2022. However, I hate to be the bearer of bad news, but any moderation is likely to be over.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8 Dividend Aristocrat Stocks to Buy Now With a Recession (and Inflation) Looming Large in 2024
We follow the bond market closely at 24/7 Wall St., and for almost a year now there has been an inversion (or difference in yield) between the two-year Treasury paper and the benchmark 10-year note.
Dividend Stocks Have Turned Warren Buffett's Portfolio into a Money-Making Machine. Here's How to Follow His Lead.
Warren Buffett's success story involves a combination of stock performance and passive income. You don't have to be a billionaire investor to deploy Buffett's strategy -- and let your portfolio work for you.
3 Stocks to Buy for a Horrible 2024 Recession
Many investors who are fearing the worst are starting to fortify their portfolios with recession-proof stocks. Historically, recessionary periods tend to see the stock market slide as businesses struggle against rising costs and skittish consumers.
3 Forever Stocks to Buy With $100
Disney and Pfizer may be about to enter new phases of growth -- and they are trading at bargain valuations. Coca-Cola offers the advantages of brand strength and a dividend you can count on.</t>
  </si>
  <si>
    <t xml:space="preserve">           1y Target Est                       69.93
           52 Week Range               54.02 - 64.99
                     Ask                 0.00 x 2900
             Avg. Volume                  12134950.0
       Beta (5Y Monthly)                        0.55
                     Bid                  0.00 x 900
             Day's Range               58.22 - 58.97
               EPS (TTM)                        2.41
           Earnings Date Oct 23, 2023 - Oct 27, 2023
        Ex-Dividend Date                Sep 14, 2023
Forward Dividend &amp; Yield                1.84 (3.15%)
              Market Cap                    254.833B
                    Open                        58.4
          PE Ratio (TTM)                       24.45
          Previous Close                       58.33
             Quote Price                       58.93
                  Volume                   7880285.0
    Market Cap (intraday) 252.24B
         Enterprise Value 278.17B
             Trailing P/E   24.20
              Forward P/E   20.66
PEG Ratio (5 yr expected)    2.92
        Price/Sales (ttm)    5.74
         Price/Book (mrq)    9.70
 Enterprise Value/Revenue    6.30
  Enterprise Value/EBITDA   18.17</t>
  </si>
  <si>
    <t>Kenvue oversold, concerns priced in, says Deutsche
Kenvue Inc shares rose 2.5% in pre-market trading on Monday boosted by an upgrade by Deutsche Bank. The German investment bank has moved the firm, the consumer-health business spun-out of Johnson &amp; Johnson (NYSE:JNJ), to buy from hold with an unchanged price target of $27.
Hostess Brands shares rally on deal news and Tesla stock is up on an upgrade, and more moving stocks
Shares of Hostess Brands Inc. TWNK, +0.86% jumped more than 10% after The Wall Street Journal reported late Sunday that J.M. Smucker Co. SJM, +0.88% is close to a roughly $4 billion deal to acquire the snack maker.
Bargain Hunting With $100? This New S&amp;P 500 Dividend Stock Is a No-Brainer to Buy on the Dip
The business is home to seven No. 1 brands globally.
J&amp;J Spinoff Kenvue is the New Dividend Aristocrat on the Block
You're familiar with its products, including Tylenol, Neutrogena, Listerine and Johnson's Baby Shampoo. Still, you may not be up to speed on Kenvue Inc. NYSE: KVUE and its status as a long-term dividend payer.
1 Brand-New Dividend Stock Income Investors Won't Want to Miss
Kenvue, which was recently spun off from Johnson &amp; Johnson, already pays an attractive dividend. The company supports that payout with a strong financial profile and durable business.
Kenvue: Charting A Healthy Future In Consumer Health
Kenvue Incorporated is a leader in the consumer health industry with a large catalog of notable consumer brands. Kenvue has high brand recognition and market share in various sub-sectors of the health industry. Despite initial struggles with costs after the spinoff from Johnson &amp; Johnson, Kenvue is projected to have long-term growth and is a promising stock for investment.</t>
  </si>
  <si>
    <t xml:space="preserve">           1y Target Est         27.78
           52 Week Range 20.38 - 27.80
                     Ask   0.00 x 1000
             Avg. Volume    34784646.0
       Beta (5Y Monthly)           NaN
                     Bid   0.00 x 4000
             Day's Range 21.60 - 22.15
               EPS (TTM)          0.57
           Earnings Date           NaN
        Ex-Dividend Date  Aug 25, 2023
Forward Dividend &amp; Yield  0.80 (3.81%)
              Market Cap       42.206B
                    Open         22.13
          PE Ratio (TTM)         38.67
          Previous Close          21.3
             Quote Price     22.049101
                  Volume    19807583.0
    Market Cap (intraday) 40.79B
         Enterprise Value 48.16B
             Trailing P/E  37.66
              Forward P/E  16.39
PEG Ratio (5 yr expected)    NaN
        Price/Sales (ttm)   2.65
         Price/Book (mrq)   3.69
 Enterprise Value/Revenue   3.17
  Enterprise Value/EBITDA  15.45</t>
  </si>
  <si>
    <t>Leidos Appoints Amy Smith to Senior Vice President, Government Affairs
RESTON, Va. , Sept. 6, 2023 /PRNewswire/ -- Leidos (NYSE:LDOS), a FORTUNE® 500 science and technology leader, today announced the promotion of Amy Smith to Senior Vice President of Government Affairs.
Fortune 500 Company Leidos Chooses Casepoint as eDiscovery Partner
Casepoint renews contract with Leidos, the IT and engineering leader, to provide data collection, processing, and review services. TYSONS, Va.
Leidos advances Department of Defense biometrics to the cloud
RESTON, Va. , Sept. 6, 2023 /PRNewswire/ -- Leidos (NYSE:LDOS), a FORTUNE® 500 science and technology leader, recently completed full cloud deployment of the Department of Defense's (DoD) Automated Biometrics Information System (ABIS).</t>
  </si>
  <si>
    <t xml:space="preserve">           1y Target Est                       114.5
           52 Week Range              76.58 - 110.91
                     Ask                 0.00 x 1300
             Avg. Volume                    862508.0
       Beta (5Y Monthly)                        0.78
                     Bid                  0.00 x 900
             Day's Range               95.22 - 95.95
               EPS (TTM)                        5.14
           Earnings Date Oct 30, 2023 - Nov 03, 2023
        Ex-Dividend Date                Sep 14, 2023
Forward Dividend &amp; Yield                1.44 (1.50%)
              Market Cap                     13.114B
                    Open                       95.57
          PE Ratio (TTM)                       18.58
          Previous Close                        95.8
             Quote Price                   95.480003
                  Volume                    100752.0
    Market Cap (intraday) 13.16B
         Enterprise Value 18.27B
             Trailing P/E  18.64
              Forward P/E  12.94
PEG Ratio (5 yr expected)    NaN
        Price/Sales (ttm)   0.89
         Price/Book (mrq)   2.86
 Enterprise Value/Revenue   1.23
  Enterprise Value/EBITDA  12.50</t>
  </si>
  <si>
    <t>3 Warren Buffett Stocks to Buy for the Next Bull Market
Buffett took positions in homebuilding companies D.R. Horton, Lennar, and NVR.
Adobe Stock, Already At Year's Highs, Faces Earnings Test; Oracle, Lennar Also On Earnings Calendar
Investors should be girding themselves for next Thursday's results for the August-ended quarter after the close.
Quarterra Multifamily and QuadReal Reach Key Milestones at Marymoor Submarket Developments in Redmond
Final, 187-home, phase delivered at Spectra; The Piper achieves topping out REDMOND, Wash. , Sept. 7, 2023 /PRNewswire/ -- Quarterra Multifamily , a subsidiary of Lennar Corporation and a vertically integrated multifamily apartment builder, developer, and property manager, in joint venture with QuadReal Property Group, today announced key milestones at two luxury communities in the Marymoor submarket of Redmond.
Sell These 7 Stocks NOW Before the Next Housing Market Crash
Housing market crash fears are on the rise again. Sure, despite the big jump in interest rates, housing has stayed fairly resilient, thanks to scarce inventory.
The 3 Best Homebuilder Stocks to Buy Now: September 2023
Despite mortgage rates that are at 8% in some areas of the country, the housing market remains relatively strong. While some investors will dismiss investing in the sector as reckless speculation, Warren Buffett is buying the sector.
LENNAR CORPORATION'S THIRD QUARTER EARNINGS CONFERENCE CALL TO BE BROADCAST LIVE ON THE INTERNET
MIAMI , Sept. 5, 2023 /PRNewswire/ -- Lennar Corporation (NYSE: LEN and LEN.B), one of the nation's largest homebuilders, announced today that the Company will release earnings for the third quarter ended August 31, 2023 after the market closes on September 14, 2023.
Builder Stocks Are Falling. Blame the Treasury Yield.
The gain in the 10-year Treasury yield signals more increases in mortgage rates, which have remained high this year relative to their historic lows earlier in the pandemic.</t>
  </si>
  <si>
    <t xml:space="preserve">           1y Target Est          138.17
           52 Week Range  69.90 - 133.24
                     Ask      0.00 x 900
             Avg. Volume       2289633.0
       Beta (5Y Monthly)            1.48
                     Bid      0.00 x 900
             Day's Range 118.77 - 121.52
               EPS (TTM)           14.63
           Earnings Date    Sep 14, 2023
        Ex-Dividend Date    Jul 06, 2023
Forward Dividend &amp; Yield    1.50 (1.26%)
              Market Cap         33.929B
                    Open          118.74
          PE Ratio (TTM)            8.17
          Previous Close          118.67
             Quote Price      119.525002
                  Volume        547162.0
    Market Cap (intraday) 33.69B
         Enterprise Value 34.39B
             Trailing P/E   8.11
              Forward P/E   9.48
PEG Ratio (5 yr expected)   3.08
        Price/Sales (ttm)   1.01
         Price/Book (mrq)   1.36
 Enterprise Value/Revenue   1.02
  Enterprise Value/EBITDA   5.77</t>
  </si>
  <si>
    <t>7 Stocks to Invest In for Big-Time, Long-Term Gains
Here's a look at seven stocks to buy and hold onto for the long haul. Tech stocks aren't the only drivers of wealth in today's economy, although many may be quick to tell you otherwise.
Top 5 Industrials Stocks That Could Lead To Your Biggest Gains In September - Alaska Air Gr (NYSE:ALK), American Airlines Group (NASDAQ:AAL)
The most oversold stocks in the industrials sector presents an opportunity to buy into undervalued companies.
Up To 50% Undervalued - Why L3Harris Has Become My Favorite Dividend Growth Stock
I've recently increased my L3Harris Technologies position by 55% due to my strong belief in its undervaluation. The challenges faced by L3Harris are primarily external, such as supply chain issues and inflation, rather than internal performance issues, as indicated by its robust backlog and revenue guidance. With diverse business segments, high space exposure, and the potential for aggressive dividend growth, L3Harris is my top choice for a dividend growth stock.
L3Harris inks three launch deal on Firefly's Alpha rocket
Firefly Aerospace inked a new launch agreement with defense prime L3Harris Technologies for three launches on the Alpha rocket in 2026. Each mission will launch a single satellite manufactured by L3Harris for the U.S. government, part of a $TK million contract the company won from TK in TK.
L3Harris (LHX) Secures Modification Contract to Aid Submarines
L3Harris (LHX) wins a $35.7M modification contract for the procurement of production hardware for in-service class submarines.
4 Future Dividend Aristocrats
Dividend Aristocrats are among the most consistent companies in the world in terms of generating FCF. Dividend stocks come in all shapes and sizes but dividend growth stocks are among my favorite type to invest in. These companies have strong cash flow, consistent dividend growth, and potential for future growth.</t>
  </si>
  <si>
    <t xml:space="preserve">           1y Target Est                      232.65
           52 Week Range             167.14 - 255.10
                     Ask                  0.00 x 800
             Avg. Volume                   1042177.0
       Beta (5Y Monthly)                        0.72
                     Bid                 0.00 x 1100
             Day's Range             167.90 - 169.54
               EPS (TTM)                        4.23
           Earnings Date Oct 25, 2023 - Oct 30, 2023
        Ex-Dividend Date                Sep 01, 2023
Forward Dividend &amp; Yield                4.56 (2.72%)
              Market Cap                     31.876B
                    Open                       168.9
          PE Ratio (TTM)                       39.84
          Previous Close                      167.94
             Quote Price                  168.539993
                  Volume                    366532.0
    Market Cap (intraday) 31.76B
         Enterprise Value 40.92B
             Trailing P/E  39.70
              Forward P/E  12.71
PEG Ratio (5 yr expected)   0.54
        Price/Sales (ttm)   1.79
         Price/Book (mrq)   1.72
 Enterprise Value/Revenue   2.27
  Enterprise Value/EBITDA  17.85</t>
  </si>
  <si>
    <t>Don't Sleep on These 3 Hydrogen Stocks That Will Mint Millionaires
The green hydrogen boom holds substantial potential. In fact, according to analysts at Strategic Market Research, the market could be worth $75.72 billion by 2030.</t>
  </si>
  <si>
    <t xml:space="preserve">           1y Target Est          424.65
           52 Week Range 262.47 - 393.67
                     Ask     0.00 x 1100
             Avg. Volume       1336319.0
       Beta (5Y Monthly)            0.86
                     Bid      0.00 x 800
             Day's Range 387.48 - 391.27
               EPS (TTM)           11.45
           Earnings Date    Feb 07, 2023
        Ex-Dividend Date    Sep 01, 2023
Forward Dividend &amp; Yield    5.10 (1.32%)
              Market Cap        189.765B
                    Open           388.6
          PE Ratio (TTM)           33.97
          Previous Close          386.81
             Quote Price      388.904999
                  Volume        296235.0
    Market Cap (intraday) 188.74B
         Enterprise Value 202.88B
             Trailing P/E   33.81
              Forward P/E   25.45
PEG Ratio (5 yr expected)    3.13
        Price/Sales (ttm)    5.81
         Price/Book (mrq)    4.73
 Enterprise Value/Revenue    6.13
  Enterprise Value/EBITDA   17.63</t>
  </si>
  <si>
    <t>Lockheed Martin Skunk Works® and University of Iowa Successfully Demonstrate Artificial Intelligence-Commanded Mission
IOWA CITY, Iowa , Sept. 11, 2023 /PRNewswire/ -- Lockheed Martin Corporation (NYSE: LMT), in conjunction with the University of Iowa's Operator Performance Laboratory (OPL), completed an artificial intelligence (AI) demonstration using two piloted L-29 aircraft (acting as surrogates for uncrewed systems) performing jamming support in a simulated air-to-ground mission.
The 3 Best Manufacturing Stocks to Buy Now: September 2023
Though manufacturing activity has moved geographically from the West to the East in recent history, the sector continues to play a vital role in the global economy, providing goods and services that meet the desires of consumers and businesses. However, manufacturing has also seen changes such as technological innovations and renewed geopolitical rivalries.
The 3 Best Defense Stocks to Buy Now: September 2023
Global defense spending hit a record high of $2.24 trillion in 2022. The Russia-Ukraine conflict and East Asia tensions are influencing increases in military expenditure.
Shielding Your Portfolio With 3 Aerospace Companies
Aerospace and defense stocks, such as Lockheed Martin, General Dynamics, and RTX, offer stability, consistent returns, and reliable dividends. These companies play a crucial role in national security and have a diverse portfolio of products and services. Lockheed Martin, General Dynamics, and RTX have strong financial performance, dividend growth, and attractive valuations, making them attractive investment opportunities.
Lockheed Martin (LMT) Deploys 10 Satellites for SDA's Mission
Lockheed Martin (LMT) continues to deliver advanced military capabilities in space, with the latest launch of 10 transport layer satellites.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Lockheed (LMT) Lowers Delivery Forecast for F-35: Shares Down
Lockheed (LMT) reduces its forecast for F-35 jet delivery from 100 to 120 jets to 97 jets in 2023.
U.S. Pledges New Security Aid to Ukraine: 3 Defense Stocks to Gain
The latest U.S. aid package worth $175 million marks the 46th tranche of equipment to be provided from DoD inventories for Ukraine, since August 2021. RTX, LMT &amp; GD stand to gain from this.
Lockheed Martin Chairman, President and CEO and CFO to Speak at the Morgan Stanley 11th Annual Laguna Conference
BETHESDA, Md. , Sept. 7, 2023 /PRNewswire/ -- Lockheed Martin (NYSE: LMT) will webcast live a presentation by Chairman, President and CEO Jim Taiclet and CFO Jay Malave at the Morgan Stanley 11th Annual Laguna Conference on Thursday, Sept.
Lockheed Martin Cuts Its Jet Delivery Outlook, and Shares Drop
Lockheed Martin (LMT) warned that it will deliver fewer-than-expected F-35 jet fighter this year, and that the first of its updated Technology Refresh (TR-3) jets won't be ready until next year.
Lockheed Martin trims delivery outlook for F-35 stealth jets
Lockheed Martin lowered its outlook for F-35 deliveries amid software upgrade delays that trimmed its projected 2023 deliveries for the stealth jets to 97 from a range of 100-125.
Lockheed-RTX joint venture enters weapon system MoU in Poland
Lockheed Martin said on Wednesday that the Javelin Joint Venture, its partnership with RTX , has signed a memorandum of understanding (MoU) related to production of the Javelin anti-tank weapon system in Poland.
Lockheed Martin trims F-35 jet delivery outlook
U.S. weapons maker Lockheed Martin on Wednesday cut its delivery outlook for its F-35 jets, and delayed deliveries of its updated Technology Refresh 3 (TR-3) jets.
7 Cathie Wood Stocks to Invest in for Big-Time, Long-Term Gains
It wasn't too long ago that investing guru Cathie Wood was the hottest money manager in the game. Her ARK Invest exchange-traded funds offered investors blistering returns on their money.
Lockheed (LMT) Wins $67.8M Contract for Aegis Weapon System
Lockheed (LMT) secures a $67.8 million modification contract for the ship integration and test of the Aegis Weapon System.
3 Blue-Chip Stocks That Can Consistently Beat Index Returns
I believe it is very important to explore blue-chip stocks if you're an investor looking to beat the market. If we look at the S&amp;P 500 index, the 10-year annualized (price returns) have been healthy at 10.71%.
4 Future Dividend Aristocrats
Dividend Aristocrats are among the most consistent companies in the world in terms of generating FCF. Dividend stocks come in all shapes and sizes but dividend growth stocks are among my favorite type to invest in. These companies have strong cash flow, consistent dividend growth, and potential for future growth.
3 Defense Stocks to Buy and Hold Until 2030
Last year, global military expenditure increased by 3.7% in real terms to touch new highs of $2.24 trillion. It's noteworthy that military spending in Europe witnessed the steepest year-on-year increase in the last 30 years.</t>
  </si>
  <si>
    <t xml:space="preserve">           1y Target Est                      502.85
           52 Week Range             381.55 - 508.10
                     Ask                  0.00 x 800
             Avg. Volume                   1025961.0
       Beta (5Y Monthly)                        0.65
                     Bid                  0.00 x 800
             Day's Range             416.52 - 422.63
               EPS (TTM)                       27.29
           Earnings Date Oct 16, 2023 - Oct 20, 2023
        Ex-Dividend Date                Aug 31, 2023
Forward Dividend &amp; Yield               12.00 (2.84%)
              Market Cap                    105.224B
                    Open                      422.22
          PE Ratio (TTM)                       15.31
          Previous Close                      423.09
             Quote Price                  417.829987
                  Volume                    569743.0
    Market Cap (intraday) 106.55B
         Enterprise Value 120.42B
             Trailing P/E   15.51
              Forward P/E   15.13
PEG Ratio (5 yr expected)    2.24
        Price/Sales (ttm)    1.62
         Price/Book (mrq)   11.53
 Enterprise Value/Revenue    1.79
  Enterprise Value/EBITDA   11.52</t>
  </si>
  <si>
    <t>Shoplifting Costs Lowe's $1 Billion
What used to be called shoplifting is now known as “shrinking.” That is because shoplifting implies that a single individual takes merchandise from a story.
The 5 Best World-Beater Blue Chips For A Super Pandemic
The COVID-19 pandemic significantly impacted the global economy, costing around $70 trillion, about 10.5 years' income for American workers. Science- and evidence-based living is the best way to protect your health and wealth from the inevitable Super flu pandemic that is a 4% risk in any given year. Up to 500 million people could die, with some estimates as high as 1 billion deaths in an H5N1 avian super pandemic.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7 Stocks to Invest In for Big-Time, Long-Term Gains
Here's a look at seven stocks to buy and hold onto for the long haul. Tech stocks aren't the only drivers of wealth in today's economy, although many may be quick to tell you otherwise.
Home Depot vs. Lowe's Stock: 3 Reasons to Buy the Industry Leader
Home Depot has navigated through many previous downturns in the home improvement industry. It boasts higher a profit margin than Lowe's and the stock pays a higher dividend yield.
The Toro Company and Lowe's Announce Strategic Partnership
BLOOMINGTON, Minn. &amp; MOORESVILLE, N.C.--(BUSINESS WIRE)--The Toro Company and Lowe's announce strategic partnership. All-season lineup of Toro outdoor power equipment available at Lowe's in spring 2024.
Lowe's Renews NFL Partnership, Announces New Lowe's Home Team Roster and 360-Marketing Campaign to Help DIYers Tackle Home Improvement Projects
Retailer releases limited-edition DIY Wrist Coach featuring DIY project 'plays' to inspire NFL fans and millennial homeowners to take on projects, while furthering its commitment to improving communities   MOORESVILLE, N.C. , Sept. 7, 2023 /PRNewswire/ -- Lowe's today announced the renewal of its multi-year contract with the NFL for the 2023 season, which will kick off with an integrated marketing campaign featuring a national television commercial, a refreshed roster of the Lowe's Home Team players and the release of a limited-edition DIY Wrist Coach accessory that will help fans take on home improvement projects this fall.
These Quality Dividend Kings Grow their Dividends the Fastest
Dividend growth is critical for high-quality buy-and-hold stocks. Dividends attract buy-and-hold investors, but the distribution growth keeps them there.
Lowe's to Participate in Goldman Sachs 30th Annual Global Retailing Conference
MOORESVILLE, N.C. , Sept. 6, 2023 /PRNewswire/ -- Lowe's Companies, Inc. (NYSE: LOW) announces that Marvin R.
Look Out, Home Depot. Lowe's Could Keep Catching Up.
Bernstein upgraded Lowe's, arguing it has made important strides in getting up to par with its biggest competitor.
Here are 19 stocks Jim Cramer is watching, including Chipotle, LULU and Airbnb
Here are some of the tickers on my radar for Tuesday, Sept. 5, taken directly from my reporter's notebook.</t>
  </si>
  <si>
    <t xml:space="preserve">           1y Target Est          247.48
           52 Week Range 176.50 - 237.21
                     Ask     0.00 x 1200
             Avg. Volume       2517911.0
       Beta (5Y Monthly)            1.08
                     Bid      0.00 x 800
             Day's Range 231.72 - 233.62
               EPS (TTM)           10.34
           Earnings Date    Nov 21, 2023
        Ex-Dividend Date    Oct 24, 2023
Forward Dividend &amp; Yield    4.40 (1.90%)
              Market Cap        134.122B
                    Open          232.69
          PE Ratio (TTM)           22.48
          Previous Close          231.29
             Quote Price      232.399994
                  Volume        530680.0
    Market Cap (intraday) 133.48B
         Enterprise Value 170.56B
             Trailing P/E   22.39
              Forward P/E   17.42
PEG Ratio (5 yr expected)    1.49
        Price/Sales (ttm)    1.49
         Price/Book (mrq)     NaN
 Enterprise Value/Revenue    1.83
  Enterprise Value/EBITDA   14.46</t>
  </si>
  <si>
    <t>Amazon Leads 5 Stocks Near Buy Points With A Handle On This Market
The market rally is under pressure, but Amazon and Shopify are stocks to watch that are forging handles in bases.
These 10 stocks have the most exposure to China's 'stalling' economy, BofA warns
China's "stalling" economy is putting some US companies at risk, according to Bank of America. High rates of youth unemployment and recent property defaults have put pressure on the Chinese economy.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Lam Research Recognizes 2023 Supplier Excellence Award Winners
FREMONT, Calif. , Sept. 7, 2023 /PRNewswire/ -- Lam Research Corp. (Nasdaq: LRCX) today announced the honorees of its 2023 Supplier Excellence Awards, recognizing 12 companies across several categories whose close collaboration helped Lam drive a resilient, scalable supply chain to meet its customers' needs.
Lam Research Corporation (LRCX) Evercore ISI 2023 Semiconductor &amp; Semiconductor Equipment Conference - (Transcript)
Lam Research Corporation (NASDAQ:LRCX ) Evercore ISI 2023 Semiconductor &amp; Semiconductor Equipment Conference September 6, 2023 10:00 AM ET Company Participants Douglas Bettinger - Executive Vice President and Chief Financial Officer Conference Call Participants C.J. Muse - Evercore ISI Joe McCormack - Evercore ISI C.J.
Is Lam Research (LRCX) Outperforming Other Computer and Technology Stocks This Year?
Here is how Lam Research (LRCX) and Super Micro Computer (SMCI) have performed compared to their sector so far this year.</t>
  </si>
  <si>
    <t xml:space="preserve">           1y Target Est                      673.95
           52 Week Range             299.59 - 726.53
                     Ask               652.60 x 1000
             Avg. Volume                   1165424.0
       Beta (5Y Monthly)                        1.49
                     Bid               651.44 x 1000
             Day's Range             651.39 - 675.37
               EPS (TTM)                       33.24
           Earnings Date Oct 17, 2023 - Oct 23, 2023
        Ex-Dividend Date                Sep 12, 2023
Forward Dividend &amp; Yield                8.00 (1.20%)
              Market Cap                     86.528B
                    Open                      673.62
          PE Ratio (TTM)                       19.64
          Previous Close                      668.88
             Quote Price                   652.97998
                  Volume                    381321.0
    Market Cap (intraday) 88.63B
         Enterprise Value 88.27B
             Trailing P/E  20.14
              Forward P/E  24.63
PEG Ratio (5 yr expected)   2.45
        Price/Sales (ttm)   5.21
         Price/Book (mrq)  10.80
 Enterprise Value/Revenue   5.06
  Enterprise Value/EBITDA  15.66</t>
  </si>
  <si>
    <t>Health Benefit Cost Expected to Rise 5.4% in 2024, Mercer Survey Finds
NEW YORK--(BUSINESS WIRE)--Today, Mercer, a global leader in redefining the world of work, reshaping retirement and investment outcomes, and unlocking real health and well-being, and a business of Marsh McLennan (NYSE: MMC), released preliminary results of the 2023 National Survey of Employer-Sponsored Health Plans. According to the survey, even after taking into account changes US-based employers made to healthcare plans that are designed to slow cost growth, employers expect total health bene.
Marsh McLennan Announces Pricing of $1.6 Billion Senior Notes Offering
NEW YORK--(BUSINESS WIRE)--Marsh McLennan (NYSE: MMC) (the “Company”) announced today that it has priced $600,000,000 aggregate principal amount of its 5.400% Senior Notes due 2033 (the “2033 Notes”) and $1,000,000,000 aggregate principal amount of its 5.700% Senior Notes due 2053 (the “2053 Notes” and, together with the 2033 Notes, the “Notes”). The Company intends to use the net proceeds from the Notes offering for general corporate purposes. The closing of the Notes offering is expected to o.
Mercer Appoints Olaolu Aganga as US Chief Investment Officer
NEW YORK--(BUSINESS WIRE)--Mercer, a global leader in redefining the world of work, reshaping retirement and investment outcomes, and unlocking real health and well-being, and a business of Marsh McLennan (NYSE: MMC), announced the appointment of Olaolu Aganga as Partner, US Chief Investment Officer (CIO), effective today. Ms. Aganga will report to Hooman Kaveh, Global Chief Investment Officer, and join the leadership team for Mercer's US Outsourced Chief Investment Officer (OCIO) practice. Bas.</t>
  </si>
  <si>
    <t xml:space="preserve">           1y Target Est                      202.06
           52 Week Range             148.11 - 197.79
                     Ask                 0.00 x 1200
             Avg. Volume                   1462774.0
       Beta (5Y Monthly)                        0.93
                     Bid                 0.00 x 1300
             Day's Range             194.66 - 195.78
               EPS (TTM)                        6.58
           Earnings Date Oct 18, 2023 - Oct 23, 2023
        Ex-Dividend Date                Jul 26, 2023
Forward Dividend &amp; Yield                2.84 (1.46%)
              Market Cap                     96.593B
                    Open                      195.51
          PE Ratio (TTM)                       29.72
          Previous Close                      194.76
             Quote Price                  195.550003
                  Volume                    197241.0
    Market Cap (intraday)  96.20B
         Enterprise Value 109.66B
             Trailing P/E   29.60
              Forward P/E   23.04
PEG Ratio (5 yr expected)    2.21
        Price/Sales (ttm)    4.51
         Price/Book (mrq)    8.04
 Enterprise Value/Revenue    5.08
  Enterprise Value/EBITDA   19.45</t>
  </si>
  <si>
    <t>Why Lamb Weston (LW) is a Top Momentum Stock for the Long-Term
The Zacks Style Scores offers investors a way to easily find top-rated stocks based on their investing style. Here's why you should take advantage.
Here's Why Lamb Weston (LW) is a Strong Value Stock
Whether you're a value, growth, or momentum investor, finding strong stocks becomes easier with the Zacks Style Scores, a top feature of the Zacks Premium research service.
Here are 19 stocks Jim Cramer is watching, including Chipotle, LULU and Airbnb
Here are some of the tickers on my radar for Tuesday, Sept. 5, taken directly from my reporter's notebook.</t>
  </si>
  <si>
    <t xml:space="preserve">           1y Target Est                       124.0
           52 Week Range              74.91 - 117.38
                     Ask                  0.00 x 900
             Avg. Volume                   1462133.0
       Beta (5Y Monthly)                        0.54
                     Bid                  0.00 x 800
             Day's Range               98.45 - 99.51
               EPS (TTM)                        6.95
           Earnings Date Oct 03, 2023 - Oct 09, 2023
        Ex-Dividend Date                Aug 03, 2023
Forward Dividend &amp; Yield                1.12 (1.14%)
              Market Cap                      14.41B
                    Open                       98.71
          PE Ratio (TTM)                       14.22
          Previous Close                        98.4
             Quote Price                   98.832497
                  Volume                    282303.0
    Market Cap (intraday) 14.35B
         Enterprise Value 17.53B
             Trailing P/E  14.16
              Forward P/E  20.62
PEG Ratio (5 yr expected)   0.87
        Price/Sales (ttm)   2.67
         Price/Book (mrq)  10.17
 Enterprise Value/Revenue   3.28
  Enterprise Value/EBITDA  15.87</t>
  </si>
  <si>
    <t>LyondellBasell to Address J.P. Morgan 14th Annual U.S. All Stars Conference
HOUSTON and LONDON, Sept. 11, 2023 /PRNewswire/ -- LyondellBasell, a leader in the global chemical industry, today announced Michael McMurray, executive vice president and chief financial officer, will participate in a fireside chat at the J.P.
LyondellBasell (LYB) Starts Discourse on Production Unit Closure
LyondellBasell (LYB) believes that closing this unit is the most sustainable response, both strategically and financially.
LyondellBasell's Cyclical Downturn May Be A Great Buying Opportunity For Long-Term Investors
LyondellBasell is currently going through a cyclical downturn and may offer a great buying opportunity for long-term investors. LYB offers great shareholder benefits by providing a strong 5% dividend yield and a 34mm share buyback program. The company is transforming its operations to focus on sustainable, renewables-centric, and circular business models, with a goal of producing 2 million tons of recycled/renewable-based polymers annually by 2030.
LyondellBasell to Host MoReTec Technology Webinar on September 26, 2023
HOUSTON and LONDON , Sept. 6, 2023 /PRNewswire/ -- LyondellBasell (NYSE: LYB) will host a MoReTec Technology Webinar on Tuesday, September 26 from 8 a.m – 9 a.m.</t>
  </si>
  <si>
    <t xml:space="preserve">           1y Target Est                      100.19
           52 Week Range              71.46 - 102.04
                     Ask                  0.00 x 800
             Avg. Volume                   1967682.0
       Beta (5Y Monthly)                        1.23
                     Bid                 0.00 x 1100
             Day's Range             100.05 - 102.04
               EPS (TTM)                        6.47
           Earnings Date Oct 26, 2023 - Oct 30, 2023
        Ex-Dividend Date                Aug 25, 2023
Forward Dividend &amp; Yield                4.88 (4.91%)
              Market Cap                     32.664B
                    Open                      100.81
          PE Ratio (TTM)                       15.57
          Previous Close                       99.38
             Quote Price                  100.754997
                  Volume                    657329.0
    Market Cap (intraday) 32.22B
         Enterprise Value 42.80B
             Trailing P/E  15.36
              Forward P/E  10.21
PEG Ratio (5 yr expected)    NaN
        Price/Sales (ttm)   0.76
         Price/Book (mrq)   2.49
 Enterprise Value/Revenue   1.00
  Enterprise Value/EBITDA   9.54</t>
  </si>
  <si>
    <t>Visa and Mastercard Dispute Reports About Fee Hikes: Here's What Investors Need to Know
According to The Wall Street Journal, Visa and Mastercard planned to increase the fees they charge to merchants. Visa and Mastercard disputed the reporting, saying it didn't provide the whole picture.
A Bull Market Is (Still) Coming: Here Are 3 Spectacular Stocks to Buy Sooner Rather Than Later
Amazon should deliver strong growth over the short term and long term. Mastercard's moat and growth opportunities make it an attractive pick.
The 5 Best World-Beater Blue Chips For A Super Pandemic
The COVID-19 pandemic significantly impacted the global economy, costing around $70 trillion, about 10.5 years' income for American workers. Science- and evidence-based living is the best way to protect your health and wealth from the inevitable Super flu pandemic that is a 4% risk in any given year. Up to 500 million people could die, with some estimates as high as 1 billion deaths in an H5N1 avian super pandemic.
The 3 Best Safe Stocks to Buy Now: September 2023
Summer is unofficially over, but what a difference a year makes. The S&amp;P 500 lost 19% in 2022 yet has rallied 17% higher since the end of July.
7 Tech Stocks to Invest In for Big-Time, Long-Term Gains
Tech stocks to buy and hold are on every investor's radar. Technology has been the driving force behind global growth for multiple years, leading the charge in developing solutions that continue moving the needle across many industries.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Mastercard (MA), KredX Unveil Solution to Ease B2B Payments
Mastercard (MA) partners KredX to launch an enhanced payments solution to ensure hassle-free business payments and promote greater digitization across the B2B space.
Mastercard to Participate in Upcoming Investor Conference
PURCHASE, N.Y.--(BUSINESS WIRE)--Mastercard announced that Sachin Mehra, chief financial officer, will present at the UBS FinTech Leaders Conference on Thursday, September 14.
Mastercard Incorporated (MA) Presents at Goldman Sachs Communacopia &amp; Technology Conference (Transcript)
Mastercard Incorporated (NYSE:MA ) Goldman Sachs Communacopia &amp; Technology Conference September 5, 2023 5:25 PM ET Company Participants Michael Miebach - Chief Executive Officer Conference Call Participants William Nance - Goldman Sachs William Nance All right. I think we will get started here.
The 3 Best Blockchain Stocks to Buy Now: September 2023
Blockchain technology is being adopted by many of the best-known stocks and firms. At its core, the blockchain is simply a publicly distributed digital ledger allowing the recording of transactions in an unalterable way.
Unlocking Profit Potential In MA Stock Put-Ratio Spread
Stable price action is the goal for this put-ratio spread on Mastercard stock.
Mastercard denies report it plans to raise credit card fees on merchants, calls news coverage ‘misleading'
Meanwhile, Visa also said in a blog post that recent press coverage on the issue was "misleading."
7 Tech Stocks to Buy to Go Beyond the ‘Magnificent 7'
In 2023, tech stocks to buy have boomed led by the ‘Magnificent 7' which have propelled much of the overall market gains. However, they've also proven volatile experiencing hiccups early in August as valuation concerns mounted.</t>
  </si>
  <si>
    <t xml:space="preserve">           1y Target Est                      453.92
           52 Week Range             276.87 - 417.78
                     Ask                 0.00 x 1200
             Avg. Volume                   2430608.0
       Beta (5Y Monthly)                        1.09
                     Bid                  0.00 x 800
             Day's Range             414.64 - 417.59
               EPS (TTM)                       10.66
           Earnings Date Oct 25, 2023 - Oct 30, 2023
        Ex-Dividend Date                Jul 06, 2023
Forward Dividend &amp; Yield                2.28 (0.55%)
              Market Cap                    391.188B
                    Open                      416.85
          PE Ratio (TTM)                       38.97
          Previous Close                      414.84
             Quote Price                  415.399994
                  Volume                    511956.0
    Market Cap (intraday) 390.87B
         Enterprise Value 399.97B
             Trailing P/E   38.88
              Forward P/E   28.57
PEG Ratio (5 yr expected)    1.41
        Price/Sales (ttm)   16.86
         Price/Book (mrq)   71.02
 Enterprise Value/Revenue   16.96
  Enterprise Value/EBITDA   28.58</t>
  </si>
  <si>
    <t>1 Stock That's a Screaming Buy Today
This company is growing, and it's trading at a great value for investors.
BetMGM Launches Next Generation Sports Betting App for Football Season
Enhanced Wagering Functionality, Free $100,000 Survivor Pool and Seamless Nationwide Experience Headline New Ways to Play this Season  JERSEY CITY, N.J. , Sept. 7, 2023 /PRNewswire/ -- BetMGM, a leading sports betting and iGaming operator, is kicking off the football season with extensive evolutions in its sports betting app.
MGM Resorts (MGM) BetMGM Boost Offerings With Buffalo Slot
MGM Resorts' (MGM) BetMGM launches online Buffalo slot in New Jersey. It stated plans to launch in Pennsylvania and Michigan in the upcoming periods.
BetMGM First Online Casino in the World to Debut Buffalo Slot
Popular land-based casino slot now available at BetMGM in New Jersey  JERSEY CITY, N.J. , Sept. 5, 2023 /PRNewswire/ -- BetMGM, a leading iGaming and sports betting operator, announced today Buffalo, a land-based casino favorite, is now available at its online casino.
DraftKings and Big 3 sports betting rivals 'on track' to double market in next three years
The US sports betting and iGaming market are on track to top US$30 billion yearly revenue for the industry in the coming years, just five years after being stationed by the US Supreme Court. So far, 35 states have regulated some form of sports betting or online gaming activity, most of which is catered for by the 'big three' of sportsbook providers: Draftkings Inc (NASDAQ:DKNG) (Draftkings Inc (NASDAQ:DKNG)); FanDuel, which is owned by Flutter Entertainment PLC (LSE:FLTR); and BetMGM, a joint venture between MGM Resorts International (NSX:MGM) and Entain PLC (LSE:ENT).
MGM Resorts and BetMGM Executives to Speak at the 2023 Bank of America Gaming and Lodging Conference
LAS VEGAS , Sept. 5, 2023 /PRNewswire/ -- MGM Resorts International (NYSE: MGM) ("MGM Resorts") and BetMGM, LLC ("BetMGM"), one of the leading sports betting and iGaming operators across the U.S., jointly owned by MGM Resorts and Entain plc (LSE: ENT) ("Entain"), will participate in the Bank of America Gaming and Lodging Conference on Thursday, September 7, 2023.</t>
  </si>
  <si>
    <t xml:space="preserve">           1y Target Est                       57.45
           52 Week Range               29.20 - 51.35
                     Ask                 0.00 x 1000
             Avg. Volume                   4444141.0
       Beta (5Y Monthly)                        2.11
                     Bid                 0.00 x 2200
             Day's Range               42.67 - 44.47
               EPS (TTM)                        1.27
           Earnings Date Oct 31, 2023 - Nov 06, 2023
        Ex-Dividend Date                Dec 08, 2022
Forward Dividend &amp; Yield                0.01 (0.02%)
              Market Cap                     14.995B
                    Open                       44.21
          PE Ratio (TTM)                       33.65
          Previous Close                       43.74
             Quote Price                   42.735001
                  Volume                   1805975.0
    Market Cap (intraday) 15.35B
         Enterprise Value 43.35B
             Trailing P/E  34.44
              Forward P/E  30.21
PEG Ratio (5 yr expected)    NaN
        Price/Sales (ttm)   1.13
         Price/Book (mrq)   3.48
 Enterprise Value/Revenue   2.92
  Enterprise Value/EBITDA  12.58</t>
  </si>
  <si>
    <t>Big Institutions Grab ‘Strong Buy' Dividend Stocks in a Sector Not Totally Driven by AI
The strong move higher that Nvidia has driven in the stock market this year has been significant, and the world of artificial intelligence has driven stock prices this year.
Top Wall Street analysts select these dividend stocks to enhance returns
TipRanks' analyst ranking service pinpoints Wall Street's best-performing stocks, including Dell and Verizon.
This High-Yield Stock Is Cutting Its Dividend -- Here Is a Company That Won't
Medical Properties Trust recently cut its dividend due to its financial problems. Medtronic's business is strong enough to handle economic issues, making its dividend secure.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Medtronic plc (MDT) Wells Fargo 2023 Healthcare Conference (Transcript)
Medtronic plc (NYSE:MDT ) Wells Fargo 2023 Healthcare Conference August 6, 2023 12:00 PM ET Company Participants Geoff Martha - CEO Conference Call Participants Larry Biegelsen - Wells Fargo Larry Biegelsen All right. Good afternoon, everyone.
These 5 Dividend Aristocrats are Quality Stocks for AI Investing
AI investing is hot and not contained in the tech world. While names like NVIDIA NASDAQ: NVDA garner much attention, numerous blue-chip names are already leaning into the AI action.</t>
  </si>
  <si>
    <t xml:space="preserve">           1y Target Est         93.48
           52 Week Range 75.77 - 92.39
                     Ask   0.00 x 1200
             Avg. Volume     4893254.0
       Beta (5Y Monthly)          0.72
                     Bid   0.00 x 1100
             Day's Range 80.12 - 81.46
               EPS (TTM)          2.71
           Earnings Date  Nov 21, 2023
        Ex-Dividend Date  Sep 21, 2023
Forward Dividend &amp; Yield  2.76 (3.45%)
              Market Cap      108.345B
                    Open         80.33
          PE Ratio (TTM)         30.05
          Previous Close         79.96
             Quote Price         81.43
                  Volume     1489705.0
    Market Cap (intraday) 106.39B
         Enterprise Value 123.50B
             Trailing P/E   29.51
              Forward P/E   15.67
PEG Ratio (5 yr expected)    1.59
        Price/Sales (ttm)    3.38
         Price/Book (mrq)    2.08
 Enterprise Value/Revenue    3.91
  Enterprise Value/EBITDA   13.97</t>
  </si>
  <si>
    <t>Mondelez International, Inc. (MDLZ) Barclays Global Consumer Staples Conference (Transcript)
Mondelez International, Inc. (NASDAQ:MDLZ ) Barclays Global Consumer Staples Conference September 6, 2023 7:30 AM ET Company Participants Dirk Van de Put - Chairman and CEO Luca Zaramella - CFO Conference Call Participants Andrew Lazar - Barclays Andrew Lazar So welcome back, everyone, to our fireside chat with Mondelez International. I hope everyone had a really, really good productive day yesterday.
2 Warren Buffett Stocks to Buy Hand Over Fist in September
Mondelez International and Visa each enjoy strong brand recognition. The companies' payouts should have growth ahead.
Mondelez: A Reliable Dividend Grower Amidst Market Turmoil
Despite the economic uncertainty, Mondelez has been firing on all cylinders, demonstrating its pricing power and appetite for growth, delivering strong performance since start of 2022. In H1 2023, the company posted a 17.7% Revenue increase and a 23.2% rise in Operating Income, growing across all segments and regions. Mondelez is an excellent dividend payer amidst market volatility, paying a reliable 2.21% dividend yield, with payout ratio below 50%, all while growing its dividend CAGR 10% over 10 years.
Sell the Rally as September Is the Worst Month for Stocks: 5 Warren Buffett Stocks to Move to Now
The recent rally out of the August lows has gotten everybody fired up again. The Magnificent 7 continue to push the markets higher while many of the rest of the S&amp;P 500 stocks tread water.</t>
  </si>
  <si>
    <t xml:space="preserve">           1y Target Est                       83.41
           52 Week Range               54.72 - 78.59
                     Ask                71.25 x 1000
             Avg. Volume                   6159133.0
       Beta (5Y Monthly)                        0.65
                     Bid                71.24 x 1000
             Day's Range               70.06 - 71.57
               EPS (TTM)                        3.01
           Earnings Date Oct 30, 2023 - Nov 03, 2023
        Ex-Dividend Date                Sep 28, 2023
Forward Dividend &amp; Yield                1.70 (2.43%)
              Market Cap                     97.032B
                    Open                       70.13
          PE Ratio (TTM)                        23.7
          Previous Close                       69.82
             Quote Price                   71.324997
                  Volume                   2290351.0
    Market Cap (intraday)  94.98B
         Enterprise Value 115.22B
             Trailing P/E   23.20
              Forward P/E   19.76
PEG Ratio (5 yr expected)    2.00
        Price/Sales (ttm)    2.81
         Price/Book (mrq)    3.32
 Enterprise Value/Revenue    3.38
  Enterprise Value/EBITDA   17.74</t>
  </si>
  <si>
    <t>2 High-Quality Dividend Stocks To Watch Right Now
Dividend stocks to check out in the stock market now.
3 Stocks to Watch in the TradeSmith ‘Green Zone'
TradeSmith offers investors valuable tools for determining which stocks to watch. A good example is its Health Indicator feature.
The 7 Best Dow Stocks to Buy Now: September 2023
Finding the best Dow stocks to buy can be complex. The companies listed in the Dow Jones Industrial Average tend to be blue-chip stocks that have large market capitalizations and are dominant in their sectors of the economy.
McDonald's stock price forecast: fast food chain is ‘firing on all cylinders'
McDonald's Corp (NYSE: MCD) has been a disappointment for shareholders in recent months but a Wells Fargo analyst says a full recovery is brewing.
Jim Cramer says this lagging restaurant stock could help kickstart the Dow
McDonald's (MCD) returning to its winning ways would be a much-needed development for the Dow Jones Industrial Average, CNBC's Jim Cramer said.
Analyst: This Blue Chip Is Ready to 'Weather a Storm'
Wells Fargo upgraded McDonald's Corp (NYSE:MCD) to "overweight" from "equal weight" earlier, highlighting the fast food giant's affordable food items, menu innovation, and digital strength.
Here are the 13 stocks Jim Cramer is watching, including Eli Lilly, McDonald's
Here are some of the tickers on my radar for Thursday, Sept. 7, taken directly from my reporter's notebook.
McDonald's Snags Upgrade. It's 'a Best in Class Operator.
Wells Fargo analysts say the Big-Mac-maker can succeed in a challenging macro environment.
Trustly, Inc. Appoints Frederick Crosby as CRO and Craig McDonald as CBDO
SAN CARLOS, Calif.--(BUSINESS WIRE)--Trustly, the global leader in Open Banking Payments, is proud to announce the appointment of Frederick Crosby as Chief Revenue Officer (“CRO”) and Craig McDonald as Chief Business Development Officer (“CBDO”). Frederick Crosby is a proven go-to-market executive with significant experience in the digital B2C and B2B payment space. He joins Trustly with senior leadership experience at Western Union, eBay, PayPal, and most recently Nium and Veem. Craig assumes.</t>
  </si>
  <si>
    <t xml:space="preserve">           1y Target Est                      328.59
           52 Week Range             230.58 - 299.35
                     Ask                  0.00 x 800
             Avg. Volume                   2360345.0
       Beta (5Y Monthly)                        0.64
                     Bid                 0.00 x 1000
             Day's Range             278.56 - 280.12
               EPS (TTM)                       10.86
           Earnings Date Oct 25, 2023 - Oct 30, 2023
        Ex-Dividend Date                Aug 31, 2023
Forward Dividend &amp; Yield                6.08 (2.18%)
              Market Cap                    203.543B
                    Open                      279.69
          PE Ratio (TTM)                       25.72
          Previous Close                      279.22
             Quote Price                  279.299988
                  Volume                    669172.0
    Market Cap (intraday) 203.49B
         Enterprise Value 250.33B
             Trailing P/E   25.73
              Forward P/E   22.57
PEG Ratio (5 yr expected)    2.27
        Price/Sales (ttm)    8.50
         Price/Book (mrq)     NaN
 Enterprise Value/Revenue   10.35
  Enterprise Value/EBITDA   19.02</t>
  </si>
  <si>
    <t>Microchip (MCHP) Expands Portfolio with New ML Development Suite
Microchip (MCHP) launches the MPLAB Machine Learning Development Suite, which lets developers easily integrate the power of Machine Learning into microcontrollers and microprocessors.
Microchip Launches MPLAB® Machine Learning Development Suite to More Easily Incorporate ML Into MCUs and MPUs
Unique solution is first to support 8-bit, 16-bit and 32-bit MCUs and 32-MPUs for ML at the edge Unique solution is first to support 8-bit, 16-bit and 32-bit MCUs and 32-MPUs for ML at the edge
Microchip Technology to Present at the Citi 2023 Global Technology Conference
CHANDLER, Ariz., Sept. 05, 2023 (GLOBE NEWSWIRE) -- (NASDAQ:MCHP) – Microchip Technology Incorporated, a leading provider of smart, connected, and secure embedded control solutions, today announced that the Company will present at the Citi 2023 Global Technology Conference on Thursday, September 7 at 8:15 a.m. (Eastern Time). Presenting for the Company will be Mr. Ganesh Moorthy, President and Chief Executive Officer, and Mr. Nawaz Sharif, Vice President, Europe Finance and IR. A live webcast of the presentation will be made available by Citi, and can be accessed on the Microchip website at www.microchip.com.
Microchip Technology to Present at the Goldman Sachs 2023 Communacopia + Technology Conference
CHANDLER, Ariz., Sept. 05, 2023 (GLOBE NEWSWIRE) -- Microchip Technology Incorporated, a leading provider of smart, connected, and secure embedded control solutions, today announced that the Company will present at the Goldman Sachs 2023 Communacopia + Technology Conference on Wednesday, September 6 at 1:05 p.m. (Pacific Time). Presenting for the Company will be Mr. Eric Bjornholt, Senior Vice President and Chief Financial Officer, and Mr. Sajid Daudi, Head of Investor Relations. A live webcast of the presentation will be made available by Goldman, and can be accessed on the Microchip website at www.microchip.com.</t>
  </si>
  <si>
    <t xml:space="preserve">           1y Target Est                        97.2
           52 Week Range               54.77 - 94.30
                     Ask                 78.50 x 900
             Avg. Volume                   4904869.0
       Beta (5Y Monthly)                        1.63
                     Bid                 78.49 x 900
             Day's Range               78.04 - 80.13
               EPS (TTM)                        4.33
           Earnings Date Nov 01, 2023 - Nov 06, 2023
        Ex-Dividend Date                Aug 21, 2023
Forward Dividend &amp; Yield                1.48 (1.88%)
              Market Cap                     42.812B
                    Open                        80.0
          PE Ratio (TTM)                       18.16
          Previous Close                       78.78
             Quote Price                   78.644997
                  Volume                    935918.0
    Market Cap (intraday) 42.88B
         Enterprise Value 48.67B
             Trailing P/E  18.19
              Forward P/E  12.89
PEG Ratio (5 yr expected)   2.86
        Price/Sales (ttm)   4.99
         Price/Book (mrq)   6.28
 Enterprise Value/Revenue   5.77
  Enterprise Value/EBITDA  11.86</t>
  </si>
  <si>
    <t>Morgan Stanley says it's a lonely bull, recommending government bonds
Morgan Stanley strategists have been almost apologetic about their view that the stock market would struggle, in a year in which the S&amp;P 500 SPX has gained 16%. But less remarked upon is that the investment bank's team made another wrong call, in being bullish government bonds.
Is Trending Stock Morgan Stanley (MS) a Buy Now?
Recently, Zacks.com users have been paying close attention to Morgan Stanley (MS). This makes it worthwhile to examine what the stock has in store.
Goldman, Morgan Stanley to shine amid struggle for large-cap banks - HSBC
Goldman Sachs and Morgan Stanley are poised for stronger results next year compared to other large-cap U.S. banks as dealmaking on Wall Street picks up and asset management businesses gain momentum, HSBC said on Thursday.
Focus: Morgan Stanley to launch AI chatbot to woo wealthy
Wealthy clients going to a Morgan Stanley banker to discuss their investments may soon have a different sort of experience: having a chatbot listen to their conversation.
7 Blue-Chip Stocks to Buy for a Market Pullback
After a blistering first half of the year, the outlook for the stock market has gotten murky. All three major U.S. indices declined in August, with the Dow Jones Industrial Average falling 2.4%, the Nasdaq losing 2.2%, and the benchmark S&amp;P 500 sliding 1.7%.
Debt-laden Altice in talks to sell data centres to Morgan Stanley - Les Echos
Cable and telecoms group Altice is nearing a deal to sell its data centres in France to Morgan Stanley Infrastructure Partners, Les Echos reported on Wednesday, as the group of French-Israeli billionaire Patrick Drahi rushes to free up cash.
3 Investment Bank Stocks Watch as Industry Navigates Challenges
Though near-erm concerns remain, the Zacks Investment Bank industry sees green shoots in underwriting and advisory businesses. This, along with decent trading, will aid companies like Morgan Stanley (MS), Goldman (GS) and Evercore (EVR) going forward.
Geneoscopy CEO Andrew Barnell to Present at the Morgan Stanley 21st Annual Global Healthcare Conference
ST. LOUIS--(BUSINESS WIRE)--Geneoscopy CEO Andrew Barnell to Present at the Morgan Stanley 21st Annual Global Healthcare Conference on Sept. 11, 2023.
3 Companies Committed to Boosting Shareholder Value
Stock buybacks, or share repurchase programs, are commonly executed by companies to boost shareholder value.
Analysis: US banks hold $3.3 trillion cash amid banking crisis, slowdown worries
U.S. lenders are holding onto large piles of cash as insurance against a slowing economy, continuing deposit outflows and looming tougher liquidity rules that could particularly impact mid-sized banks.</t>
  </si>
  <si>
    <t xml:space="preserve">           1y Target Est          97.95
           52 Week Range 74.67 - 100.99
                     Ask     0.00 x 900
             Avg. Volume      6930938.0
       Beta (5Y Monthly)           1.34
                     Bid     0.00 x 900
             Day's Range  84.28 - 85.67
               EPS (TTM)           5.69
           Earnings Date   Oct 18, 2023
        Ex-Dividend Date   Jul 28, 2023
Forward Dividend &amp; Yield   3.40 (4.00%)
              Market Cap       139.724B
                    Open          85.38
          PE Ratio (TTM)          14.82
          Previous Close          84.92
             Quote Price      84.309998
                  Volume      2222536.0
    Market Cap (intraday) 140.71B
         Enterprise Value     NaN
             Trailing P/E   14.92
              Forward P/E   11.55
PEG Ratio (5 yr expected)    2.57
        Price/Sales (ttm)    2.83
         Price/Book (mrq)    1.54
 Enterprise Value/Revenue     NaN
  Enterprise Value/EBITDA     NaN</t>
  </si>
  <si>
    <t>AstraZeneca's Tagrisso-chemo combo results raise bar for J&amp;J cancer drug-analysts
Data released on Monday by AstraZeneca from a late-stage trial combining its blockbuster cancer drug Tagrisso with chemotherapy to treat a type of lung cancer raises the bar for Johnson &amp; Johnson's rival treatment, analysts said.
Could This Issue Sink Johnson &amp; Johnson's Stock Price?
Three of Johnson &amp; Johnson's drugs could generate less revenue due to the Inflation Reduction Act. However, these three products are no longer part of Johnson &amp; Johnson's long-term growth plans anyway.
3 Bulletproof Stocks to Buy Before the Next Recession Strikes
With ongoing uncertainties in the stock market, investors' search for bulletproof stocks becomes paramount. Investors seek refuge in stable and growth-oriented stocks as the specter of economic downturns looms.
The 7 Best Warren Buffett Stocks to Buy Now: September 2023
If we're going to get right down to it, banking on the best Warren Buffett stocks comes down to leveraging decades of experience. Unlike, say, financial luminaries on YouTube, the Oracle of Omaha has seen it all – bull markets, bear markets and whatever the heck we're currently in.
Big Pharma's Battle With the Biden Administration Could Have Legs
Wall Street should pay attention as the pharma industry mounts a widening legal campaign against the Inflation Reduction Act.
3 No-Brainer Dividend Stocks to Buy No Matter What the Market Is Doing
Abbott, J&amp;J, and Coca-Cola all are Dividend Kings, meaning they have a stellar track record of dividend growth. These companies also have solid product portfolios to drive revenue over time.
The 5 Best Healthcare Stocks to Buy Now: September 2023
In today's dynamic market, many investors are paying attention to the healthcare sector. The segment is known for its resilience and potential for growth.
September Rally? 3 Healthcare Stocks to Buy Before Liftoff.
With inflation taking center stage once again, it's becoming clear that consumers are prioritizing wants and needs. One of those “non-discretionary” expenses is healthcare, which makes it a good time to look for healthcare stocks to buy.
7 Best Blue Chip Stocks to Buy Now
Sure, short-term gains from the hip "stock of the moment" can be an exciting roller coaster ride, but if you're a truly savvy investor in 2023, you're going to be hunting for stocks that can provide solid returns over the long term, no matter what the market does. Blue-chip stocks are, of course, one of the best places to find that.
3 Shaky Stocks to Sell in September Before It's Too Late
Investing in companies you know and understand is the best advice I learned when I started to invest. Familiarity with due diligence made the stock-picking process faster and more manageable.
The 7 Best Dow Stocks to Buy Now: September 2023
Finding the best Dow stocks to buy can be complex. The companies listed in the Dow Jones Industrial Average tend to be blue-chip stocks that have large market capitalizations and are dominant in their sectors of the economy.
AHF Slams J&amp;J's Vaccine Hostage Tactics in South Africa
LOS ANGELES--(BUSINESS WIRE)-- #BigPharma--According to a Health Policy Watch story, Johnson &amp; Johnson (J&amp;J) used scarcity during the COVID-19 pandemic as leverage to charge South Africa inflated prices on vaccine doses – a tactic that the AIDS Healthcare Foundation (AHF) has decried as ruthless pharma profiteering. “It's difficult to describe J&amp;J's behavior as anything other than extortion. On the continent with virtually no vaccines at the time and aggressive vaccine hoarding by the Global Nor.
Johnson &amp; Johnson (JNJ) 2023 Wells Fargo Securities Healthcare Conference - (Transcript)
Johnson &amp; Johnson (NYSE:JNJ ) 2023 Wells Fargo Securities Healthcare Conference September 7, 2023 10:15 AM ET Company Participants Michael Bodner - Global Head of Heart Recovery Andrew Greenfield - Worldwide President Charles Simonton - Chief Medical Officer and Global Vice President, Clinical and Medical Affairs Ashley McEvoy - Executive Vice President and Worldwide Chairman, Medical Devices Conference Call Participants Larry Biegelsen - Wells Fargo Larry Biegelsen All right. Good morning.
3 Stocks Awaiting Winter Winds of Opportunity
As we bid farewell to the sun-soaked days of summer, heralded by the Labor Day long weekend, and prepare to embrace the impending chill of winter, a curious phenomenon unfolds in the world of stocks. As nature transitions through its seasons, specific stocks, often cyclical and sensitive to the changing climate, also experience momentum shifts.
Here are the 13 stocks Jim Cramer is watching, including Eli Lilly, McDonald's
Here are some of the tickers on my radar for Thursday, Sept. 7, taken directly from my reporter's notebook.
J&amp;J (JNJ) to End Pulmonary Hypertension Study on Opsumit
The decision to end the CTEPH study on J&amp;J's (JNJ) Opsumit (macitentan) was made at the recommendation of the study's independent DMC, following a pre-planned interim analysis.
8 Dividend Aristocrat Stocks to Buy Now With a Recession (and Inflation) Looming Large in 2024
We follow the bond market closely at 24/7 Wall St., and for almost a year now there has been an inversion (or difference in yield) between the two-year Treasury paper and the benchmark 10-year note.
J&amp;J to pull the plug on hypertension drug study
Johnson &amp; Johnson said on Wednesday it has decided to stop a late-stage study testing its experimental drug to treat a type of hypertension.
IBM notifies J&amp;J unit Janssen CarePath's customers of unauthorized data access
IBM said on Wednesday it is notifying customers of Janssen CarePath, a Johnson &amp; Johnson unit, of a "data incident" involving unauthorized access of personal information.
Cidara shares surge 18.5% as J&amp;J unit Janssen takes lead on flu drug
Shares of Cidara Therapeutics soared 18.5% in early New York trading, buoyed by news that Janssen Pharmaceuticals, a subsidiary of healthcare giant Johnson &amp; Johnson (NYSE:JNJ) Inc, is set to champion the development of Cidara's promising flu prevention drug, CD388. Preliminary tests have already highlighted the treatment's potential: a single dose notably reduced flu symptoms and was found to be safe for users.
J&amp;J says drug combo contains lung cancer from spreading for longer duration
Johnson &amp; Johnson said on Wednesday its combination drug helped increase the duration of no progress in a type of non small-cell lung cancer in patients.
7 Retirement Stocks That Every Long-Term Investor Should Own Now
Here's a look at the top long-term retirement stocks to buy now. Building a solid retirement portfolio is all about identifying companies that can withstand any storm in the market.
Is J&amp;J a Buy After the Kenvue Separation?
J&amp;J recently completed the spinoff of its consumer health business, letting go of star products that populate most of our medicine cabinets. But J&amp;J's two other units, pharmaceuticals and medtech, actually have driven more growth for the company in recent times.</t>
  </si>
  <si>
    <t xml:space="preserve">           1y Target Est          180.95
           52 Week Range 150.11 - 181.04
                     Ask      0.00 x 800
             Avg. Volume      23085619.0
       Beta (5Y Monthly)            0.54
                     Bid     0.00 x 1800
             Day's Range 160.45 - 161.87
               EPS (TTM)            4.93
           Earnings Date    Oct 17, 2023
        Ex-Dividend Date    Aug 25, 2023
Forward Dividend &amp; Yield    4.76 (2.96%)
              Market Cap        389.712B
                    Open          161.06
          PE Ratio (TTM)           32.83
          Previous Close          160.56
             Quote Price      161.839996
                  Volume       1895442.0
    Market Cap (intraday) 386.63B
         Enterprise Value 403.73B
             Trailing P/E   32.57
              Forward P/E   14.62
PEG Ratio (5 yr expected)    5.13
        Price/Sales (ttm)    4.34
         Price/Book (mrq)    5.14
 Enterprise Value/Revenue    4.13
  Enterprise Value/EBITDA   16.75</t>
  </si>
  <si>
    <t>Sherwin-Williams' (SHW) Shares Jump 16% YTD: Here's Why
Sherwin-Williams (SHW) gains from strong demand and is expanding its retail footprint to increase its market share.</t>
  </si>
  <si>
    <t xml:space="preserve">           1y Target Est                      299.58
           52 Week Range             195.24 - 283.80
                     Ask                 0.00 x 1000
             Avg. Volume                   1395340.0
       Beta (5Y Monthly)                         1.1
                     Bid                 0.00 x 1000
             Day's Range             271.76 - 274.60
               EPS (TTM)                        9.01
           Earnings Date Oct 23, 2023 - Oct 27, 2023
        Ex-Dividend Date                Aug 17, 2023
Forward Dividend &amp; Yield                2.42 (0.89%)
              Market Cap                     70.221B
                    Open                      271.98
          PE Ratio (TTM)                       30.31
          Previous Close                      271.45
             Quote Price                  273.059998
                  Volume                    403847.0
    Market Cap (intraday) 69.80B
         Enterprise Value 81.93B
             Trailing P/E  30.13
              Forward P/E  25.84
PEG Ratio (5 yr expected)   2.72
        Price/Sales (ttm)   3.08
         Price/Book (mrq)  19.22
 Enterprise Value/Revenue   3.57
  Enterprise Value/EBITDA  20.30</t>
  </si>
  <si>
    <t>4 Stocks to Buy on Continued Expansion in Services Activity
The services sector is expanding at a steady pace which is helping stocks like Verisk Analytics, Inc. (VRSK), Huron Consulting Group Inc. (HURN), APi Group Corporation (APG) and MSCI Inc. (MSCI).
MSCI to Participate in the Barclays Global Financial Services Conference
NEW YORK--(BUSINESS WIRE)--MSCI Inc. (“MSCI” or the “Company”) (NYSE: MSCI), a leading provider of critical decision support tools and services for the global investment community, announced today that Eric Moen, Head of ESG and Climate, will participate in a fireside chat on Monday, September 11, 2023, at 12:00 PM Eastern Time as a part of the Barclays Global Financial Services Conference. The live webcast and replay will be available on the events and presentations section of MSCI's Investor.</t>
  </si>
  <si>
    <t xml:space="preserve">           1y Target Est                      586.67
           52 Week Range             385.00 - 572.50
                     Ask                  0.00 x 900
             Avg. Volume                    474509.0
       Beta (5Y Monthly)                        1.13
                     Bid                 0.00 x 1000
             Day's Range             531.66 - 538.09
               EPS (TTM)                       11.42
           Earnings Date Oct 23, 2023 - Oct 27, 2023
        Ex-Dividend Date                Aug 10, 2023
Forward Dividend &amp; Yield                5.52 (1.03%)
              Market Cap                     42.276B
                    Open                      536.02
          PE Ratio (TTM)                       46.81
          Previous Close                      533.79
             Quote Price                  534.539978
                  Volume                     70292.0
    Market Cap (intraday) 42.22B
         Enterprise Value 46.07B
             Trailing P/E  46.82
              Forward P/E  35.71
PEG Ratio (5 yr expected)   2.38
        Price/Sales (ttm)  18.26
         Price/Book (mrq)    NaN
 Enterprise Value/Revenue  19.60
  Enterprise Value/EBITDA  31.84</t>
  </si>
  <si>
    <t>HII to Participate in the Morgan Stanley 11th Annual Laguna Conference
NEWPORT NEWS, Va., Sept. 05, 2023 (GLOBE NEWSWIRE) -- HII (NYSE: HII) will participate in the Morgan Stanley 11th Annual Laguna Conference on Tuesday, Sept. 12. The conversation with HII President and Chief Executive Officer Chris Kastner will begin at 11:40 a.m. Pacific time and will be webcast on ir.hii.com.</t>
  </si>
  <si>
    <t xml:space="preserve">           1y Target Est                      248.44
           52 Week Range             188.51 - 260.02
                     Ask                  0.00 x 800
             Avg. Volume                    252322.0
       Beta (5Y Monthly)                        0.65
                     Bid                  0.00 x 800
             Day's Range             208.37 - 210.89
               EPS (TTM)                       13.01
           Earnings Date Nov 01, 2023 - Nov 06, 2023
        Ex-Dividend Date                Aug 24, 2023
Forward Dividend &amp; Yield                4.96 (2.35%)
              Market Cap                      8.368B
                    Open                      210.59
          PE Ratio (TTM)                       16.13
          Previous Close                      210.84
             Quote Price                  209.897095
                  Volume                     33221.0
    Market Cap (intraday)  8.41B
         Enterprise Value 11.20B
             Trailing P/E  16.22
              Forward P/E  13.11
PEG Ratio (5 yr expected)    NaN
        Price/Sales (ttm)   0.77
         Price/Book (mrq)   2.31
 Enterprise Value/Revenue   1.04
  Enterprise Value/EBITDA   9.62</t>
  </si>
  <si>
    <t>Tesla Chargers Coming to 2,000 Hilton Hotels
Tesla Inc. (TSLA) will install up to 20,000 electric vehicle (EV) chargers at 2,000 Hilton Worldwide Holdings Inc. (HLT) hotels across the U.S., Mexico, and Canada, the companies said Thursday.
Hilton's Tesla Decision Helps Ease EV Range Anxiety
Hilton is installing 20,000 Tesla chargers at its hotels. They aren't the fast chargers, but it's still good news for Tesla and everyone else selling EVs.
Tesla to provide Hilton Hotels with 20,000 EV chargers
Hilton Worldwide Holdings Inc (NYSE:HLT), owner of the Hilton hotel chain, announced on Thursday that it is teaming up with Tesla Inc (NASDAQ:TSLA) to install 20,000 universal electrical vehicle (EV) chargers at 2,000 of its hotels in the US, Canada and Mexico.  The hotel group said the partnership would make Hilton's EV charging network the largest of any hospitality company.
Hilton to install up to 20,000 Tesla Universal Wall Connectors at its hotels, starting early-2024
Shares of Hilton Worldwide Holdings Inc. HLT were indicated up slightly, to buck the broader market selloff, after the hotel operator said it will install up to 20,000 Tesla Universal Wall Connectors at 2,000 hotels in the U.S. The new charging-station installations, which will be begin in early 2024, are part of an expanded agreement with electric vehicle giant Tesla Inc. TSLA Each of the hotels selected for the new chargers will have at least six chargers. Tesla's Universal Wall Connector was designed to seamlessly charge any North American EV model.
Tesla to install charging stations at 2,000 Hiltons in North America
The No. 2 request from business travelers, according to Hilton's chief brand officer, is electric vehicle charging stations.
Hilton to Install Up to 20,000 Tesla Universal Wall Connectors at 2,000 Hotels, Creating Largest Overnight Electric Vehicle Charging Network within Hospitality Industry
MCLEAN, Va.--(BUSINESS WIRE)--Through an expanded agreement with Tesla, Hilton today announced that, beginning in early 2024, up to 20,000 Tesla Universal Wall Connectors are slated to be installed at 2,000 hotels in the U.S., Canada and Mexico, making Hilton's planned EV charging network the largest of any hospitality company. With at least six chargers at each of the selected hotels, Hilton will become the first choice for the dramatically increasing number of travelers who drive electric veh.
Here's Why Hilton Worldwide Holdings Inc. (HLT) is a Strong Growth Stock
The Zacks Style Scores offers investors a way to easily find top-rated stocks based on their investing style. Here's why you should take advantage.</t>
  </si>
  <si>
    <t xml:space="preserve">           1y Target Est                      163.11
           52 Week Range             116.39 - 157.14
                     Ask                  0.00 x 900
             Avg. Volume                   1760350.0
       Beta (5Y Monthly)                        1.25
                     Bid                 0.00 x 1200
             Day's Range             154.21 - 156.57
               EPS (TTM)                        4.76
           Earnings Date Oct 24, 2023 - Oct 30, 2023
        Ex-Dividend Date                Aug 24, 2023
Forward Dividend &amp; Yield                0.60 (0.39%)
              Market Cap                     40.388B
                    Open                       155.0
          PE Ratio (TTM)                       32.45
          Previous Close                      154.12
             Quote Price                  154.440002
                  Volume                    736757.0
    Market Cap (intraday) 40.30B
         Enterprise Value 49.07B
             Trailing P/E  32.31
              Forward P/E  22.22
PEG Ratio (5 yr expected)   1.10
        Price/Sales (ttm)   4.26
         Price/Book (mrq)    NaN
 Enterprise Value/Revenue   5.02
  Enterprise Value/EBITDA  20.40</t>
  </si>
  <si>
    <t>Which Is A Better Pick – Honeywell Stock Or Amgen?
We believe that Honeywell stock (NYSE: HON) and Amgen stock (NASDAQ: AMGN) will offer little returns in the next three years.
HONEYWELL, HEART AEROSPACE TO COLLABORATE ON FLIGHT CONTROLS FOR ES-30 ELECTRIC AIRPLANE
New collaboration will help usher in a more sustainable future of aviation PHOENIX , Sept. 11, 2023 /PRNewswire/ -- Swedish electric airplane maker Heart Aerospace and Honeywell, a leader in aerospace technology, have announced a collaboration to integrate Honeywell's next-generation flight control system into the new ES-30 regional electric airplane.
Honeywell (HON) Secures Utilities' Data With Quantum Encryption
Honeywell (HON) incorporates quantum-computing-hardened encryption keys into the smart utility meters to safeguard end users from data invasions.
The 3 Best Industrials Stocks to Buy Now: September 2023
Do you want to diversify your portfolio to the next level? Investing in industrials stocks can offer exposure to a diverse set of innovative businesses that have the potential to grow and generate long term profits.
Honeywell International Inc. (HON) is Attracting Investor Attention: Here is What You Should Know
Honeywell International Inc. (HON) has received quite a bit of attention from Zacks.com users lately. Therefore, it is wise to be aware of the facts that can impact the stock's prospects.
HONEYWELL LEVERAGES QUANTUM COMPUTING ENCRYPTION KEYS TO BOLSTER UTILITIES' DATA SECURITY AGAINST CYBER THREATS
Company becomes the first to integrate quantum-computing-hardened encryption keys into smart meters for gas, water and electric utilities Quantinuum's advanced technology provides heightened protection against threats to end users and critical infrastructure HOUSTON , Sept. 7, 2023 /PRNewswire/ -- Honeywell (Nasdaq: HON) today announced that it is the first company to integrate quantum-computing-hardened encryption keys into smart utility meters, helping protect end-user data from advanced cybersecurity threats.</t>
  </si>
  <si>
    <t xml:space="preserve">           1y Target Est                      219.13
           52 Week Range             166.63 - 220.96
                     Ask               184.93 x 1000
             Avg. Volume                   2629348.0
       Beta (5Y Monthly)                        1.09
                     Bid                184.88 x 800
             Day's Range             184.75 - 186.64
               EPS (TTM)                        8.08
           Earnings Date Oct 25, 2023 - Oct 30, 2023
        Ex-Dividend Date                Aug 10, 2023
Forward Dividend &amp; Yield                4.12 (2.23%)
              Market Cap                    122.746B
                    Open                      185.93
          PE Ratio (TTM)                       22.88
          Previous Close                      184.52
             Quote Price                  184.869995
                  Volume                    466371.0
    Market Cap (intraday) 122.51B
         Enterprise Value 135.12B
             Trailing P/E   22.84
              Forward P/E   18.32
PEG Ratio (5 yr expected)    1.86
        Price/Sales (ttm)    3.45
         Price/Book (mrq)    7.08
 Enterprise Value/Revenue    3.74
  Enterprise Value/EBITDA   15.67</t>
  </si>
  <si>
    <t>Why Hewlett Packard Enterprise (HPE) is a Top Value Stock for the Long-Term
Wondering how to pick strong, market-beating stocks for your investment portfolio? Look no further than the Zacks Style Scores.
Are You Looking for a Top Momentum Pick? Why Hewlett Packard Enterprise (HPE) is a Great Choice
Does Hewlett Packard Enterprise (HPE) have what it takes to be a top stock pick for momentum investors? Let's find out.
This Analyst With 83% Accuracy Rate Sees Around 17% Upside In Hewlett Packard Enterprise
U.S. stocks closed mostly higher, with the Dow Jones gaining more than 100 points on Friday. The Dow added 1.4% last week, while the S&amp;P 500 climbed 2.5%.</t>
  </si>
  <si>
    <t xml:space="preserve">           1y Target Est                       18.03
           52 Week Range               11.90 - 18.14
                     Ask                 0.00 x 3200
             Avg. Volume                  11823388.0
       Beta (5Y Monthly)                        1.27
                     Bid                 0.00 x 2900
             Day's Range               17.17 - 17.54
               EPS (TTM)                        0.83
           Earnings Date Nov 27, 2023 - Dec 01, 2023
        Ex-Dividend Date                Sep 13, 2023
Forward Dividend &amp; Yield                0.48 (2.77%)
              Market Cap                     22.039B
                    Open                       17.43
          PE Ratio (TTM)                        20.7
          Previous Close                       17.34
             Quote Price                   17.179399
                  Volume                   2879289.0
    Market Cap (intraday) 22.24B
         Enterprise Value 32.68B
             Trailing P/E  20.89
              Forward P/E   8.07
PEG Ratio (5 yr expected)   1.35
        Price/Sales (ttm)   0.77
         Price/Book (mrq)   1.08
 Enterprise Value/Revenue   1.10
  Enterprise Value/EBITDA   7.89</t>
  </si>
  <si>
    <t>Here's How To Play The PC Comeback, The Buffett Way
When the oracle of Omaha, the one and only Warren Buffett, decides to come out of his office and request his executing trader to place an order - and a big one at that - for a given company, investors globally should tune into his decision and attempt their best to reverse engineer it.
Miro and HP Team Up to Accelerate Collaboration &amp; Innovation
New promotion unlocks access to Miro ' s platform on HP commercial PCs for seamless digital workspace productivity SAN FRANCISCO and AMSTERDAM , Sept. 5, 2023 /PRNewswire/ -- Miro®, the visual workspace for innovation, today announced the company is teaming up with HP Inc. (NYSE: HPQ) to accelerate innovation and enable seamless collaboration in digital workspaces.</t>
  </si>
  <si>
    <t xml:space="preserve">           1y Target Est                       29.77
           52 Week Range               24.08 - 33.90
                     Ask                 0.00 x 1800
             Avg. Volume                   6778351.0
       Beta (5Y Monthly)                        1.03
                     Bid                 0.00 x 1800
             Day's Range               29.58 - 29.91
               EPS (TTM)                        2.33
           Earnings Date Nov 20, 2023 - Nov 24, 2023
        Ex-Dividend Date                Sep 12, 2023
Forward Dividend &amp; Yield                1.05 (3.57%)
              Market Cap                     29.268B
                    Open                        29.7
          PE Ratio (TTM)                       12.74
          Previous Close                       29.45
             Quote Price                   29.684999
                  Volume                   1852858.0
    Market Cap (intraday) 29.04B
         Enterprise Value 37.00B
             Trailing P/E  12.64
              Forward P/E   8.39
PEG Ratio (5 yr expected)   8.51
        Price/Sales (ttm)   0.54
         Price/Book (mrq)    NaN
 Enterprise Value/Revenue   0.68
  Enterprise Value/EBITDA   7.85</t>
  </si>
  <si>
    <t>Wall Street's Most Accurate Analysts Say Buy These 3 Energy Stocks With Over 5% Dividend Yields - ONEOK (NYSE:OKE), Equitrans Midstream (NYSE:ETRN)
During times of turbulence and uncertainty in the markets, many investors turn to dividend-yielding stocks. These are often companies that have high free cash flows and reward shareholders with a high dividend payout.
Leading Independent Proxy Advisory Firms ISS and Glass Lewis Recommend ONEOK Shareholders Vote "FOR" Pending Acquisition of Magellan Midstream Partners
TULSA, Okla. , Sept. 7, 2023 /PRNewswire/ -- ONEOK, Inc. (NYSE: OKE) today announced that the two leading proxy advisory firms, Institutional Shareholder Services (ISS) and Glass Lewis &amp; Co. (Glass Lewis), have recommended that ONEOK shareholders vote in favor of all proposals related to ONEOK's pending acquisition of Magellan Midstream Partners, L.P.
Leading Independent Proxy Advisory Firm ISS Recommends Magellan Midstream Unitholders Vote "FOR" the Transaction with ONEOK
Follows recommendation from Glass Lewis that unitholders vote "FOR" the transaction TULSA, Okla. , Sept. 7, 2023 /PRNewswire/ -- Magellan Midstream Partners, L.P.
Oneok Inc. (OKE) is a Top-Ranked Value Stock: Should You Buy?
The Zacks Style Scores offers investors a way to easily find top-rated stocks based on their investing style. Here's why you should take advantage.
Leading Independent Proxy Advisory Firm Glass Lewis Recommends Magellan Midstream Unitholders Vote "FOR" the Transaction with ONEOK
Magellan urges unitholders to vote "FOR" the pending merger today TULSA, Okla. , Sept. 7, 2023 /PRNewswire/ -- Magellan Midstream Partners, L.P.
Why Is Oneok (OKE) Up 2.4% Since Last Earnings Report?
Oneok (OKE) reported earnings 30 days ago. What's next for the stock?
Magellan Releases New Details on Deal With Oneok; Here's 1 Red Flag Investors Should Watch
When a company agrees to be acquired, there's often a premium built into the takeout price. Investors usually bid a stock up toward the purchase offer.
ONEOK to Participate in Barclays CEO Energy-Power Conference
TULSA, Okla. , Sept. 5, 2023 /PRNewswire/ -- ONEOK, Inc. (NYSE: OKE) will participate in the Barclays CEO Energy-Power Conference on September 6, 2023, in New York.</t>
  </si>
  <si>
    <t xml:space="preserve">           1y Target Est                       71.73
           52 Week Range               50.50 - 71.57
                     Ask                  0.00 x 900
             Avg. Volume                   2730448.0
       Beta (5Y Monthly)                        1.65
                     Bid                  0.00 x 900
             Day's Range               64.26 - 65.46
               EPS (TTM)                        5.42
           Earnings Date Oct 30, 2023 - Nov 03, 2023
        Ex-Dividend Date                Jul 31, 2023
Forward Dividend &amp; Yield                3.82 (5.90%)
              Market Cap                     28.902B
                    Open                       65.25
          PE Ratio (TTM)                       11.91
          Previous Close                       64.77
             Quote Price                   64.559998
                  Volume                    818383.0
    Market Cap (intraday) 29.00B
         Enterprise Value 41.71B
             Trailing P/E  11.95
              Forward P/E  13.51
PEG Ratio (5 yr expected)   1.91
        Price/Sales (ttm)   1.51
         Price/Book (mrq)   4.02
 Enterprise Value/Revenue   2.17
  Enterprise Value/EBITDA   9.25</t>
  </si>
  <si>
    <t>History Suggests This S&amp;P 500 Dividend Grower Is a Magnificent Bedrock Stock to Buy and Hold Forever
A confluence of investing trends indicates that Hershey is a potential long-term outperformer. Top-tier profitability and a well-funded dividend make the chocolate maker an excellent bedrock holding.
Can Stocks Picked by Artificial Intelligence Beat the Market? 3 Stocks to Watch
An artificial intelligence stock-picking platform identifying high-potential equities has been sharp in the past. Here are three of its top stocks to watch over the next few months.</t>
  </si>
  <si>
    <t xml:space="preserve">           1y Target Est                      263.79
           52 Week Range             207.50 - 276.88
                     Ask                  0.00 x 800
             Avg. Volume                   1245841.0
       Beta (5Y Monthly)                        0.29
                     Bid                  0.00 x 800
             Day's Range             208.96 - 211.19
               EPS (TTM)                         8.7
           Earnings Date Nov 02, 2023 - Nov 06, 2023
        Ex-Dividend Date                Aug 17, 2023
Forward Dividend &amp; Yield                4.77 (2.28%)
              Market Cap                     43.161B
                    Open                       209.0
          PE Ratio (TTM)                       24.26
          Previous Close                      209.03
             Quote Price                  211.089996
                  Volume                    276681.0
    Market Cap (intraday) 42.74B
         Enterprise Value 47.57B
             Trailing P/E  24.05
              Forward P/E  20.28
PEG Ratio (5 yr expected)   2.67
        Price/Sales (ttm)   3.97
         Price/Book (mrq)  11.57
 Enterprise Value/Revenue   4.38
  Enterprise Value/EBITDA  18.43</t>
  </si>
  <si>
    <t>Texas A&amp;M University Mays Business School and Humana Kick Off Seventh Annual Healthcare Analytics Case Competition
COLLEGE STATION, Texas--(BUSINESS WIRE)--Texas A&amp;M University Mays Business School and Humana kick off seventh annual healthcare analytics case competition.</t>
  </si>
  <si>
    <t xml:space="preserve">           1y Target Est          581.27
           52 Week Range 423.29 - 571.30
                     Ask      0.00 x 800
             Avg. Volume       1514237.0
       Beta (5Y Monthly)            0.66
                     Bid     0.00 x 1400
             Day's Range 467.93 - 472.65
               EPS (TTM)           26.85
           Earnings Date    Nov 01, 2023
        Ex-Dividend Date    Sep 28, 2023
Forward Dividend &amp; Yield    3.54 (0.76%)
              Market Cap         58.373B
                    Open          468.82
          PE Ratio (TTM)           17.55
          Previous Close          467.73
             Quote Price      471.100006
                  Volume        173445.0
    Market Cap (intraday) 57.95B
         Enterprise Value 53.94B
             Trailing P/E  17.42
              Forward P/E  14.56
PEG Ratio (5 yr expected)   1.13
        Price/Sales (ttm)   0.60
         Price/Book (mrq)   3.44
 Enterprise Value/Revenue   0.55
  Enterprise Value/EBITDA    NaN</t>
  </si>
  <si>
    <t>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IBM stock price analysis: Is the 4.50% yield too attractive to ignore?
IBM (NYSE: IBM) stock price has been in a strong bullish trend this year, making it one of the best-performing big technology companies in Wall Street. The shares are sitting at their highest level on record, having soared by over 24% from the lowest level in May.
International Business Machines Corporation (IBM) Presents at Citi 2023 Global Technology Conference (Transcript)
Start Time: 13:45 January 1, 0000 2:25 PM ET International Business Machines Corporation (NYSE:IBM ) Citi 2023 Global Technology Conference September 07, 2023, 13:45 PM ET Company Participants Rob Thomas - SVP, IBM Software and Chief Commercial Officer Conference Call Participants Tyler Radke - Citi Tyler Radke Good afternoon, everybody. Thanks for joining day two of Citi's Tech Conference.
IBM Enhances Data Security Across Multi-Cloud Environments
IBM's newly introduced solution adds an extra layer of data encryption, utilizing format-preserving encryption and anonymization technology.
IBM rolls out new generative AI features and models
Fighting for relevance in the growing — and ultra-competitive — AI space, IBM this week introduced new generative AI models and capabilities across its recently-launched Watsonx data science platform.
IBM Advances watsonx AI and Data Platform with Tech Preview for watsonx.governance and Planned Release of New Models and Generative AI in watsonx.data
- Watsonx AI and data platform to include new generative AI models and enhancements designed to help enterprises scale AI - Capabilities on display for thousands of developers at IBM TechXchange Conference Sept. 11-14 in Las Vegas ARMONK, N.Y.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The 7 Best Sleeper Stocks to Buy Now: September 2023
As a rule of thumb, investors ought to consider securities with strong volume and chart mobility as opposed to sleeper stocks. It's like baseball.
IBM Addresses Data Incident for Janssen CarePath Database
ARMONK, N.Y. , Sept. 6, 2023 /PRNewswire/ -- IBM (NYSE: IBM) is notifying Janssen CarePath customers and users of an incident involving unauthorized access to personal information contained within a database used on the Janssen CarePath platform, a patient support platform that offers savings options and other patient support resources.
IBM notifies J&amp;J unit Janssen CarePath's customers of unauthorized data access
IBM said on Wednesday it is notifying customers of Janssen CarePath, a Johnson &amp; Johnson unit, of a "data incident" involving unauthorized access of personal information.
IBM Expands Cloud Security and Compliance Center to Help Clients Protect Data and Assess Risk Across Hybrid, Multicloud Environments
Enterprises can tackle challenges in data security and privacy by enabling advanced data protection for workloads and AI data repositories with IBM Cloud Security and Compliance Center Data Security Broker ARMONK, N.Y. , Sept. 6, 2023 /PRNewswire/ -- Today, IBM (NYSE:IBM) announced the expansion of the IBM Cloud Security and Compliance Center, a suite of modernized cloud security and compliance solutions designed to help enterprises mitigate risk and protect data  across their hybrid, multicloud environments and workloads.</t>
  </si>
  <si>
    <t xml:space="preserve">           1y Target Est          143.75
           52 Week Range 115.55 - 153.21
                     Ask      0.00 x 800
             Avg. Volume       4137370.0
       Beta (5Y Monthly)            0.85
                     Bid     0.00 x 1300
             Day's Range 147.59 - 148.77
               EPS (TTM)            2.35
           Earnings Date    Oct 25, 2023
        Ex-Dividend Date    Aug 09, 2023
Forward Dividend &amp; Yield    6.64 (4.50%)
              Market Cap        134.556B
                    Open          148.57
          PE Ratio (TTM)           62.85
          Previous Close          147.68
             Quote Price      147.699997
                  Volume       1098807.0
    Market Cap (intraday) 134.54B
         Enterprise Value 178.54B
             Trailing P/E   62.84
              Forward P/E   14.49
PEG Ratio (5 yr expected)    2.24
        Price/Sales (ttm)    2.24
         Price/Book (mrq)    6.06
 Enterprise Value/Revenue    2.95
  Enterprise Value/EBITDA   23.13</t>
  </si>
  <si>
    <t>New Strong Buy Stocks for September 11th
DELL, ATR, NVR, ETD and NVMI have been added to the Zacks Rank #1 (Strong Buy) List on September 11, 2023.
3 Warren Buffett Stocks to Buy for the Next Bull Market
Buffett took positions in homebuilding companies D.R. Horton, Lennar, and NVR.
This Stock Has Already Delivered 61,100% Returns for Long-Term Investors -- but Here's Why I Think It's Still a Bargain
NVR is one of the largest homebuilders in the United States. After some missteps and a bankruptcy in its early years, the company has perfected its asset-light business model.
3 Homebuilder Stocks to Sell in September Before They Crash &amp; Burn
The issue with following popular stocks is that we buy high and hope to sell higher later. That goes against the common sense approach of buying stocks cheap and selling on the rebound.</t>
  </si>
  <si>
    <t xml:space="preserve">           1y Target Est                      6575.0
           52 Week Range         3,816.56 - 6,525.00
                     Ask                 0.00 x 1400
             Avg. Volume                     20846.0
       Beta (5Y Monthly)                        1.04
                     Bid                  0.00 x 900
             Day's Range         6,372.32 - 6,439.90
               EPS (TTM)                      461.06
           Earnings Date Oct 23, 2023 - Oct 27, 2023
        Ex-Dividend Date                         NaN
Forward Dividend &amp; Yield                   N/A (N/A)
              Market Cap                     20.884B
                    Open                     6350.01
          PE Ratio (TTM)                       13.88
          Previous Close                     6307.19
             Quote Price                 6397.620117
                  Volume                      4851.0
    Market Cap (intraday) 20.59B
         Enterprise Value 18.91B
             Trailing P/E  13.47
              Forward P/E  12.95
PEG Ratio (5 yr expected)    NaN
        Price/Sales (ttm)   2.17
         Price/Book (mrq)   4.96
 Enterprise Value/Revenue   1.89
  Enterprise Value/EBITDA   9.17</t>
  </si>
  <si>
    <t>3 Stocks to Avoid This Week
There are near-term concerns for Opendoor, Adobe, and Cracker Barrel this week. Opendoor's revenue declines continue to accelerate, and the near-term outlook isn't kind.
Apple Stock Is Rising. Tech Names From Tesla to Nvidia Can Breathe a Sigh of Relief.
Tech stocks tumbled last week, led lower by shares in Apple. But now the tech giant's stock is rising to start a new trading week.
The 7 Best Tech Stocks to Buy to Capitalize on the AI Revolution
Tech stocks are some of the most appealing and popular in the stock market. But did you ever think about what makes investors so eager to find the best tech stocks to buy?
Cathie Wood Likes This Up-and-Coming Artificial Intelligence (AI) Stock a Lot More Than Nvidia. Should You?
Wood's Ark Invest has invested heavily in a relatively small leader in robotic process automation. Ark believes the company is part of "AI's sleeper wave.
Nvidia's Stock Is Up More Than 200% in 2023. Is It Still Worth Buying as an Artificial Intelligence Play?
Nvidia's stock price has more than tripled this year. A lot of growth is priced into its stock at these levels.
The 3 Best Tech Stocks to Buy Now: September 2023
Recently, Chicago Federal Reserve Bank President Austan Goolsbee stated that the economy is on the golden path, marked by a decrease in inflation and the avoidance of a recession. Fed policymakers are widely expected to leave its target policy rate in its current range of 5.25%-5.50% when they meet in about two weeks.
2 Artificial Intelligence (AI) Stocks to Buy in September 2023 That Could Soar Like Nvidia
Microsoft is supercharging its existing product offerings with advanced AI capabilities. Amazon has been investing heavily in several AI software and hardware initiatives for the past 25 years.
This AI Darling Is the Goldilocks Stock You Need Now
How much longer can Nvidia (NASDAQ: NVDA ) stock be the darling of the financial markets? Nvidia will be the big winner of the artificial intelligence revolution for the foreseeable future.
2 Stock-Split Artificial Intelligence (AI) Stocks to Buy Hand Over First in September
Fast-growing companies often do stock splits to make their shares more accessible to regular investors. Nvidia's GPUs will be crucial in laying the foundation of the generative AI economy.
How savvy trillion-dollar chipmaker Nvidia is powering the AI goldrush | John Naughton
The US firm best known for its gaming tech has long been ahead of the curve in supplying the tools needed by tech developers
Nvidia: Another Reason Why Buying This Artificial Intelligence (AI) Stock Is a No-Brainer Now
Nvidia's Grace Hopper Superchip platform will allow the company to tap a massive market. Earnings growth should accelerate rapidly in the next five years, giving a big boost to the stock.
3 Eye-Opening Numbers From Nvidia's Annual Report
Nvidia GPUs dominate the AI training market. The company has a huge lead in working in the AI chip space.
Before you short Nvidia after reading investment advice from ‘Twitter randos,' read this
Nvidia Corp.'s revenue doubled while its cost of goods barely crept up, so there must be something fishy, right? A company is using their Nvidia graphics processing chips as collateral for billions in loans — that doesn't sound right, does it?
The 3 Best Growth Stocks to Buy Now: September 2023
Growth stocks tend to be riskier than blue-chip stocks, but investors can reap some of the highest returns with these assets. While growth stocks often get hit hard by market corrections, these are the types of stocks that can double or triple within a few years.
NVIDIA May Be Flying Too High
Investors who buy stocks at very high valuations often learn the hard way that valuations do matter most of the time. For example, investors that bought Cisco Systems Inc. (CSCO) stock in March 2000 still haven't gotten their money back 23 years later.
Semiconductor Check: Buy the Dip in These Highly Ranked Stocks
In terms of price-to-earnings valuation, these semiconductor stocks are very attractive relative to their past and rising EPS estimates indicate they could be prime buy-the-dip candidates.
Nvidia partners with Reliance Industries, Tata to bolster AI services in India
Nvidia Corp. NVDA, -0.99% announced two partnerships in India Friday meant to bring AI services to the world's most populous country. Nvidia said it was collaborating with Reliance Industries Ltd.
Are Computer and Technology Stocks Lagging NVIDIA (NVDA) This Year?
Here is how Nvidia (NVDA) and Camtek (CAMT) have performed compared to their sector so far this year.
Wall Street analyst defends Nvidia from 'Twitter randos' spreading bearish conspiracy theory
A conspiracy theory surrounding Nvidia has made the rounds on social media, and a Wall Street firm is having none of it. Bernstein debunked the baseless theory that CoreWeave is a shell company driving much of Nvidia's recent growth.
NVIDIA Corporation (NVDA) Is a Trending Stock: Facts to Know Before Betting on It
Zacks.com users have recently been watching Nvidia (NVDA) quite a bit. Thus, it is worth knowing the facts that could determine the stock's prospects.
Tata Partners With NVIDIA to Build Large-Scale AI Infrastructure
State-of-the-Art AI Supercomputer to Provide Infrastructure-as-a-Service and Platform for AI Services State-of-the-Art AI Supercomputer to Provide Infrastructure-as-a-Service and Platform for AI Services
5 Crypto Stocks to Watch From a Volatile Wall Street
5 Crypto-centric stocks to watch now are: NVDA, V, HOOD, COIN, SQ.
Can The S&amp;P 500 Triumph Over September's Infamous Jinx?
Four of the five most heavily weighted S&amp;P components, Apple Inc. NASDAQ: AAPL, Amazon.com Inc. AMZN: AAPL, Nvidia Corp. NASDAQ: NVDA and Alphabet Inc. NASDAQ: GOOGL, are trading in the red.
Nvidia CEO sells $42M in shares; Is NVDA stock sell-off imminent?
Nvidia Corp's (NASDAQ: NVDA) CEO, Jensen Huang, sold over $42 million worth of shares from September 1 to September 6 as the stock failed to push through the $500 level. Huang exercised his stock options with a price of $4 during the same period and sold them within the range of $466.13 to $497.17 shortly after.
Top 3 Profitable Stocks to Buy Now Using Net Income Ratio
iRadimed (IRMD), PulteGroup (PHM) and NVIDIA (NVDA) have been selected as the top picks with a high net income ratio.
'Smart Money' Investors Pour $2 Billion Into Just 5 Stocks
If you're wondering which S&amp;P 500 stocks the best mutual funds are buying — you might be surprised how selective the list is.
This $300 Billion Market Could Become Nvidia's Next Big Catalyst
Its auto business has gained nice traction and is currently clocking a $1 billion annual revenue run rate. The company's potential revenue pipeline from this business has improved significantly in the past year.
Curb Your FOMO. When It Comes to Nvidia Stock, Wait for Weakness.
Unlike some other artificial intelligence stocks that have zoomed higher in 2023, there's far more substance than hype with Nvidia's (NASDAQ: NVDA ) AI catalyst. In turn, there's been some justification for the triple-digit run-up in the price of NVDA stock this year.
AI Chip Wars: Nvidia May Be Winning, But Don't Sleep on AMD Stock!
In the first half of 2023, Advanced Micro Devices (NASDAQ: AMD ) stock, commonly known as just AMD, was a favorite among the investing community. People held CEO Lisa Su up as a heroic figure.
7 Tech Stocks to Invest In for Big-Time, Long-Term Gains
Tech stocks to buy and hold are on every investor's radar. Technology has been the driving force behind global growth for multiple years, leading the charge in developing solutions that continue moving the needle across many industries.
India's Reliance partners with Nvidia to build large language model
Reliance Industries, India's largest corporate, has partnered with GPU giant Nvidia to work on building a large language model that is trained on the nation's diverse languages, the two firms said Friday.
Nvidia Is the Market's Favorite Chip Stock. This Analyst Thinks Arm Belongs in the Same Tier.
Arm is aiming for an IPO valuation of up to $52 billion despite some market skepticism. Susquehanna's Christopher Rolland says there are reasons to back the chip-design company.
Reliance and NVIDIA Partner to Advance AI in India, for India
Companies to Build Supercomputing Infrastructure to Support Exponential Computational Demands of AI Companies to Build Supercomputing Infrastructure to Support Exponential Computational Demands of AI
Warren Buffett's $690 Million Secret Portfolio Is Invested in 5 Artificial Intelligence (AI) Stocks
Artificial intelligence (AI) is expected to lift global gross domestic product by $15.7 trillion come 2030. Due to an acquisition in 1998, Berkshire Hathaway owns a specialty-investment company -- New England Asset Management -- that's effectively become Buffett's "secret" portfolio.
How Nvidia became a household brand
The chip maker has ridden the AI wave to a $1.1 trillion-dollar valuation and wide name recognition—even though most people aren't exactly sure what it does. Branded is a weekly column devoted to the intersection of marketing, business, design, and culture.
NVDA Stock Alert: Should You Believe the ‘Conspiracy Theories' on Nvidia?
Earlier this week, Bernstein Senior Analyst Stacy Rasgon published a note on Nvidia (NASDAQ: NVDA ) to clients with the following title: “Please don't get your investment thesis from Twitter randos.” It may seem absurd that an industry leading expert who specializes in semiconductors and semiconductor capital equipment would have to write something under that heading.
3 Growth Stocks Likely to See a Late Summer Rally
Stocks fall into two primary categories: value and growth. Value stocks represent established firms with stable finances, while growth stocks are typically dynamic, youthful, and disruptive companies.
NVIDIA Corporation (NVDA) Citi's 2023 Global Technology Conference (Transcript)
NVIDIA Corporation (NASDAQ:NVDA ) Citi's 2023 Global Technology Conference September 7, 2022 12:15 PM ET Company Participants Colette Kress - EVP &amp; CFO Conference Call Participants Atif Malik - Citi Atif Malik To of Citi Global Technology Conference. My name is Atif Malik.
Apple And Nvidia's Losses This Week Cross $250 Billion
It's Apple's worst two-day stretch in 10 months, while Nvidia's losses are apparently tied to a “nonsense” conspiracy theory.
Hold On! 3 Hyper Growth Stocks That May Get a Second Wind
You might be familiar with the term “hyper growth stocks,” often associated with major large-cap technology companies. While these firms certainly have a significant impact on the market, growth stocks aren't limited to this pocket of the market.
This is How to Get the Best Exposure to AI App Development
The AI industry is in high gear, and the money flows fast into all segments. Among the most promising segments are AI apps and services, which will be the largest portion of the market over time.
Bull of the Day: NVIDIA (NVDA)
I last wrote about NVIDIA ( NVDA ) as the Bull of the Day in early August to preview their Q2 report and to explain why I thought investors should be buying any dips back toward $425. I surmised “Shares have ramped, but analysts still underestimate the King of AI and its new paradigm.
What Do Billionaires David Tepper, Ken Griffin, and Warren Buffett Have in Common? Their Companies Own This Unstoppable AI Stock.
Nvidia has become the most popular artificial intelligence (AI) stock in 2023, but Wall Street billionaires are also betting on a different one. Three of the richest fund managers own shares in Amazon, and two of them just increased their positions in a big way.
2 Stock-Split Growth Stocks That Turned $4,000 Into $1 Million (or More) in Just 20 Years
Stock splits generally come on the heels of major share price appreciation, which itself can be an indicator of strong business fundamentals. Nvidia chips are the gold standard in graphics and artificial intelligence, paving the way for success in adjacent software and services.
Better Artificial Intelligence (AI) Stock: Intel vs. Nvidia
Intel's solid server share could help it take advantage of the secular growth opportunity in this space. Nvidia is a dominant player in AI chips and it is looking to push the envelope further with new products.
ServiceNow: SaaS Superstar with a Lucrative NVIDIA Partnership.
ServiceNow ( NOW , Financial) is a Software as a Service [SaaS] company that originally provided a platform for IT service management. The beauty of its solution is it's immensely scalable and therefore can serve thousands of customers, with high operating leverage.
Better Artificial Intelligence (AI) Stock: AMD vs. Nvidia
AMD and Nvidia have enjoyed monster rallies this year. AMD has garnered massive support from the tech community as it expands its AI division.
Nvidia: Bull Case Is Stronger Than You May Think
While investors are focused on the big demand for Nvidia Corporation chips, they are missing the AI software growth prospects beneath the surface that will take the stock to higher levels. On the earnings call, executives shared valuable insights regarding Nvidia's software business. Beneath all the technical jargon, the underlying revenue growth opportunities are actually simple to understand. Investors are now well-aware of the popular CUDA software, but the software growth opportunities extend beyond this, strengthening the bull case for the stock.
NVDA Stock: Nvidia Is Becoming the New Bitcoin
This article is an excerpt from the InvestorPlace Digest newsletter. To get news like this delivered straight to your inbox, click here.
Nvidia (NVDA) is a Great Momentum Stock: Should You Buy?
Does Nvidia (NVDA) have what it takes to be a top stock pick for momentum investors? Let's find out.
Memory Turns Around In Q3 But Inventories Excluding Memory And AI Remain High
Global memory and AI chipmakers are experiencing an end to the supply surplus for semiconductors. Excessive capex spending in memory chips has led to inventory problems and a sharp downturn is expected in 2023.
NVIDIA Corp. (NVDA) Evercore ISI 2023 Semiconductor &amp; Semiconductor Equipment Conference (Transcript)
NVIDIA Corp. (NASDAQ:NVDA ) Evercore ISI 2023 Semiconductor &amp; Semiconductor Equipment Conference Call September 6, 2023 9:00 AM ET Company Participants Colette Kress - Executive Vice President &amp; Chief Financial Officer Conference Call Participants Matthew Prisco - Evercore ISI Matthew Prisco Good morning. Welcome all of you to Evercore's Semiconductor &amp; Semiconductor Equipment Conference 2023.
These 5 Dividend Aristocrats are Quality Stocks for AI Investing
AI investing is hot and not contained in the tech world. While names like NVIDIA NASDAQ: NVDA garner much attention, numerous blue-chip names are already leaning into the AI action.
Nvidia's Pricing Power Isn't What It Used to Be
In the wake of AMD's latest graphics card launch, Nvidia has shaved 10% off the price of its poorly reviewed 16GB RTX 4060 Ti. Nvidia's ability to pass off higher prices to customers may be under pressure as demand sinks and competition heats up.
Nvidia's Not The Only AI Game In Town
Service Now stock is nearing a buy point and has gained 54% this year so far. It has an AI partnership with Nvidia.
Nvidia is a stock bubble and its popping could trigger a broader market crash, investing legend Rob Arnott says
Nvidia stock has formed a bubble and should it pop, that could trigger a total market crash, investing legend Rob Arnott said.  He classed the chipmaker company as a "textbook story of a Big Market Delusion" due to its sky-high valuation.
The Key Catalyst That Could Lead to Another 20% Surge in NVDA Stock
Nvidia (NASDAQ: NVDA ) stock had an interesting past that should lead to an even better future. Founded in 1993, aimed to introduce 3D graphics chips to the multimedia and gaming sectors.
7 Cathie Wood Stocks to Invest in for Big-Time, Long-Term Gains
It wasn't too long ago that investing guru Cathie Wood was the hottest money manager in the game. Her ARK Invest exchange-traded funds offered investors blistering returns on their money.
A Bull Market Is Coming: 2 Brilliant Growth Stocks That Are Screaming Buys and Could Soon Skyrocket 90% and 127%, According to Wall Street
Roblox continues to grow its user base, and the company has big opportunities in advertising. Nvidia is crushing expectations thanks to AI and is beginning a powerful new growth phase.
Nvidia: Why This Phenomenal Artificial Intelligence (AI) Stalwart Is Still a Screaming Buy
Nvidia's ability to maintain its outstanding growth is the reason why Wall Street thinks that the stock is still a bargain. A closer look at how Nvidia is valued when compared to its peers lends credibility to that claim.
Does Nvidia Need to Watch Out for Amazon?
Amazon has anticipated the soaring demand for CPU and GPU technology.
NVIDIA Corporation (NVDA) Goldman Sachs Communacopia &amp; Technology Conference
NVIDIA Corporation (NASDAQ:NVDA ) Goldman Sachs Communacopia &amp; Technology Conference September 5, 2023 3:25 PM ET CorporateParticipants Manuvir Das - Vice President, Enterprise Computing ConferenceCall Participants Toshiya Hari - Goldman Sachs Toshiya Hari Okay, great. Good afternoon, everyone.
Apple, Google, Nvidia, and other tech giants are considering buying Arm shares
A year after regulatory pushback prompted Nvidia to drop its planned Arm acquisition, now Nvidia CEO Jensen Huang is talking up Arm's potential.
The 3 Best Blockchain Stocks to Buy Now: September 2023
Blockchain technology is being adopted by many of the best-known stocks and firms. At its core, the blockchain is simply a publicly distributed digital ledger allowing the recording of transactions in an unalterable way.
S&amp;P500 Logs Worst Month Since February: 5 Top Stocks in ETF
The S&amp;P 500 had its worst month since February, losing 1.4% in August. Despite the losses, some stocks in the ETF stood tall.
Nvidia: Taiwan Risks - Amidst Questionable Valuation Driven By Momentum
As a former Nvidia Corporation investor, I recently sold my position due to concerns about valuation and supply chain risks, which are often overlooked amidst market trends. This reinforces a core principle of my investment philosophy. My in-depth Discounted Cash Flow analysis sheds light on the current conundrum surrounding Nvidia's stock. Even under optimistic assumptions, the current valuation leaves little room for substantial upside. In my article, I explore supply-chain integration and geopolitical challenges for Nvidia, and I also discuss the rationale behind valuation discounts for companies in the chip realm and why it also warrants caution for those who depend on it.
3 Stocks to Avoid This Week
There are near-term concerns for Nvidia, Affirm, and American Eagle Outfitters this week. Nvidia stock has more than tripled this year, making it susceptible to a market sell-off as a high-beta stock.
Nvidia Stock: It's Priced In
Nvidia Corporation stock has performed exceptionally well in 2023, up 244% year-to-date. The company beat expectations in its second quarter earnings release, but its stock now trades at a nosebleed valuation of 37 times sales. Competition is emerging in the AI chip market, which could impact Nvidia's dominance and potentially make the stock even more expensive.
Can Markets Resume Northward Journey in September? 5 Picks
We have narrowed our search to five growth stocks that have solid upside left for the rest of 2023. These are: AMZN, NVDA, CAT, SPLK, RCL.
Nvidia Stock: Priced For Perfection (Rating Downgrade)
Nvidia Corporation's shares reached new highs after impressive Q2 results, but the launch of Advanced Micro Devices, Inc.'s AI chip poses a risk to Nvidia's market position. Nvidia's Q2 results showed a significant increase in revenue and gross margin due to booming AI chip demand. Nvidia's partnership with Google Cloud is a positive, but investors are widely exuberant.
Nvidia: Warning Signs From The Latest Quarter
Nvidia Corporation reported strong Q2 earnings, beating analyst estimates and providing even stronger guidance for future revenues. There are concerns about questionable disclosures and management actions, including the involvement of an AI startup backed by Nvidia in driving the revenue beat. The company's gross margin expansion, timing of buybacks, and insider selling are also raising red flags for investors.
Arm's IPO could value the chip company at $52 billion. Apple, Google and Nvidia show interest
A who's who of Big Tech companies is set to invest in one of the most highly anticipated initial public offerings in recent memory, a blockbuster event that could value a British chip designer at as much as $52.3 billion.
Nvidia Just Passed Intel in This Key Metric for the First Time, but Which Is the Better Buy?
Nvidia looks to be the dominant AI chip company for at least the next few years. But Intel's turnaround appears to be taking hold.
3 Winners as Cooling Jobs Market Lifts Rate Hike Pause Hopes
As Fed rate hike fears wane on weak labor market data, investing in stocks such as Atmos Energy (ATO), TopBuild (BLD) and NVIDIA (NVDA) seems prudent.
3 DeFi Stocks to Invest in for Big-Time, Long-Term Gains
The best DeFi stocks have economic moats, competitive advantages and strong outlooks for the future. These companies are part of the larger societal shift toward being your own bank, which resonates with those who prioritize privacy, liberty and self-determination alike.
Nvidia Stock: Bear vs. Bull
AI demand has driven Nvidia's results. Forward estimates make the stock seem more reasonable.
Nvidia CEO Heads to India. It's a Sign of the Country's Chip-Making Ambitions.
Jensen Huang met with Prime Minister Narendra Modi. The country is hoping to become a chip-manufacturing hub.</t>
  </si>
  <si>
    <t xml:space="preserve">           1y Target Est          623.29
           52 Week Range 108.13 - 502.66
                     Ask   446.06 x 1000
             Avg. Volume      51322572.0
       Beta (5Y Monthly)            1.74
                     Bid    445.75 x 800
             Day's Range 443.12 - 461.63
               EPS (TTM)            4.15
           Earnings Date    Nov 21, 2023
        Ex-Dividend Date    Sep 06, 2023
Forward Dividend &amp; Yield    0.16 (0.04%)
              Market Cap          1.101T
                    Open          461.48
          PE Ratio (TTM)          107.39
          Previous Close          455.72
             Quote Price      445.674988
                  Volume      27279652.0
    Market Cap (intraday)  1.13T
         Enterprise Value  1.12T
             Trailing P/E 110.08
              Forward P/E  43.86
PEG Ratio (5 yr expected)   1.47
        Price/Sales (ttm)  34.74
         Price/Book (mrq)  40.93
 Enterprise Value/Revenue  34.29
  Enterprise Value/EBITDA  86.64</t>
  </si>
  <si>
    <t>Nucor Is A Secular, Not Cyclical, Growth Story
Nucor's shares have defied manufacturing slowdown fears, up 27% in the past year and near an all-time high. The company's strong performance and low earnings multiple suggest it is a good investment opportunity. NUE is benefiting from a nonresidential construction boom and government policies that support the steel industry.
7 S&amp;P 500 Stocks to Sell in September Before They Crash &amp; Burn
Year to date, the S&amp;P 500 and other leading market indexes have been strong. However, thanks to interest rates, the Federal Reserve, and growing fears of a recession, we've seen some cracks in the armor.</t>
  </si>
  <si>
    <t xml:space="preserve">           1y Target Est                       160.2
           52 Week Range             102.86 - 182.68
                     Ask                 0.00 x 1000
             Avg. Volume                   1289837.0
       Beta (5Y Monthly)                        1.63
                     Bid                 0.00 x 1100
             Day's Range             163.33 - 168.58
               EPS (TTM)                       21.76
           Earnings Date Oct 18, 2023 - Oct 23, 2023
        Ex-Dividend Date                Jun 29, 2023
Forward Dividend &amp; Yield                2.03 (1.23%)
              Market Cap                      40.69B
                    Open                       167.5
          PE Ratio (TTM)                        7.52
          Previous Close                      164.94
             Quote Price                  163.595001
                  Volume                    493913.0
    Market Cap (intraday) 41.02B
         Enterprise Value 42.32B
             Trailing P/E   7.58
              Forward P/E  13.81
PEG Ratio (5 yr expected)    NaN
        Price/Sales (ttm)   1.12
         Price/Book (mrq)   2.06
 Enterprise Value/Revenue   1.13
  Enterprise Value/EBITDA   4.77</t>
  </si>
  <si>
    <t>Riding The Rails Of Profit: Norfolk Southern Enters Buy Territory
In this article, we will analyze Norfolk Southern's financial performance using what I call the "Buffett-metrics", revealing areas of strength and of concern. Railroads need to be assessed over long periods of time. In this article, we will look at Norfolk's financials since 2012. After an in-depth review, I explain the reasons why I upgrade my rating of the company.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Norfolk Southern, DrayNow partner to improve customer experience
$8 million investment and joint venture to enhance shipment transparency ATLANTA , Sept. 6, 2023 /PRNewswire/ -- Norfolk Southern Corporation (NYSE: NSC) announced Wednesday an $8 million investment in DrayNow, Inc. and the formation of a joint venture to transform the intermodal capabilities of rail.</t>
  </si>
  <si>
    <t xml:space="preserve">           1y Target Est                      250.64
           52 Week Range             194.60 - 261.71
                     Ask                  0.00 x 800
             Avg. Volume                   1146020.0
       Beta (5Y Monthly)                        1.29
                     Bid                  0.00 x 900
             Day's Range             195.64 - 197.68
               EPS (TTM)                       11.11
           Earnings Date Oct 24, 2023 - Oct 30, 2023
        Ex-Dividend Date                Aug 03, 2023
Forward Dividend &amp; Yield                5.40 (2.72%)
              Market Cap                     44.479B
                    Open                      196.83
          PE Ratio (TTM)                       17.64
          Previous Close                      195.64
             Quote Price                  195.990005
                  Volume                    280535.0
    Market Cap (intraday) 44.41B
         Enterprise Value 58.99B
             Trailing P/E  17.61
              Forward P/E  14.08
PEG Ratio (5 yr expected)   3.14
        Price/Sales (ttm)   3.55
         Price/Book (mrq)   3.51
 Enterprise Value/Revenue   4.65
  Enterprise Value/EBITDA  11.47</t>
  </si>
  <si>
    <t>Under the Radar: 3 Stocks You Didn't Realize Analysts Love
One place where you can get ideas on the best stocks to buy is to review the top stocks analysts love. At the beginning of 2023, Investor's Business Daily published an article discussing the nine stocks analysts thought would deliver the best returns based on 12-month target prices.
TurboTax misled consumers with ads touting free filing, FTC judge rules
A Federal Trade Commission administrative law judge ruled that Intuit, the maker of the widely used TurboTax filing software, engaged in deceptive advertising when it told customers that its service was “free,” the agency announced Friday.
TurboTax maker Intuit deceived users with offers of 'free' tax products, FTC judge rules
A judge ruled that Intuit violated Section 5 of the FTC Act by misleading consumers with "free" service claims.
Intuit (INTU) Launches New Generative AI-Powered Assistant
Intuit (INTU) enhances its solutions with the Generative AI-based feature, Intuit Assist, enhancing platforms, including Intuit TurboTax, Credit Karma, QuickBooks and Mailchimp.
Intuit Hosts Annual Investor Day on Sept. 28
MOUNTAIN VIEW, Calif.--(BUSINESS WIRE)--Intuit (Nasdaq: INTU), the global financial technology platform that makes TurboTax, Credit Karma, QuickBooks, and Mailchimp, will host its annual Investor Day on Sept. 28 at 8:00 a.m. Pacific Time, at its headquarters in Mountain View, CA. Chief Executive Officer Sasan Goodarzi and Chief Financial Officer Sandeep Aujla will be joined by other business leaders to discuss Intuit's strategy for fiscal year 2024. The company's fiscal year runs from August 1,.
Intuit Mailchimp Launches New Global Campaign to Help Marketers Untangle Their Clustomer Problem
Intuit Mailchimp announces the launch of a new global brand and product campaign: ‘Turn Clustomers Into Customers'—all crafted by their in-house agency Wink Creative (named Ad Age's 2023 In-House Agency of the Year). (Photo: Business Wire)
Intuit Inc. (INTU) Goldman Sachs Communacopia &amp; Technology Conference Call Transcript
Intuit Inc. (NASDAQ:INTU ) Goldman Sachs Communacopia &amp; Technology Conference Call September 6, 2023 6:45 PM ET Company Participants Sandeep Aujla - Chief Financial Officer Conference Call Participants Kash Rangan - Goldman Sachs Kash Rangan Wow. I settled into my seat.
Intuit Inc. (INTU) Presents at Citi's 2023 Global Technology Brokers Conference (Transcript)
Intuit Inc. (NASDAQ:INTU ) Citi's 2023 Global Technology Conference September 6, 2023 3:15 PM ET Company Participants Mark Notarainni - Head of the Consumer Group Conference Call Participants Steven Enders - Citi Steven Enders Well, okay. Awesome! Thanks everybody for joining us this afternoon.
Intuit Adds AI Assistant To TurboTax, Other Financial Software
Financial software firm Intuit on Wednesday unveiled an artificial intelligence assistant for its product lineup.
Intuit launches generative AI–powered digital assistant for small businesses and consumers
Intuit, the U.S. financial and accounting software giant, has unveiled its first customer-facing generative AI–powered solution: a digital assistant to assist small businesses and consumers.
Introducing Intuit Assist: The Generative AI-Powered Financial Assistant for Small Businesses and Consumers
MOUNTAIN VIEW, Calif.--(BUSINESS WIRE)--Intuit is introducing Intuit Assist, a new generative AI-powered assistant that delivers personalized, intelligent recommendations for customers.
MEDIA ALERT: Intuit to Host Innovation Day to Unveil New Generative AI Platform and Product Experiences for Consumers, Small Businesses
MOUNTAIN VIEW, Calif.--(BUSINESS WIRE)--Intuit is hosting Innovation Day on Sept. 6, 2023, to unveil new generative AI platform and product experiences for consumers and small businesses.</t>
  </si>
  <si>
    <t xml:space="preserve">           1y Target Est                      558.48
           52 Week Range             352.63 - 558.64
                     Ask                550.98 x 900
             Avg. Volume                   1451000.0
       Beta (5Y Monthly)                        1.18
                     Bid                550.55 x 800
             Day's Range             547.98 - 553.69
               EPS (TTM)                        8.42
           Earnings Date Nov 27, 2023 - Dec 01, 2023
        Ex-Dividend Date                Oct 06, 2023
Forward Dividend &amp; Yield                3.60 (0.65%)
              Market Cap                     154.19B
                    Open                      551.21
          PE Ratio (TTM)                       65.34
          Previous Close                      550.56
             Quote Price                  550.169983
                  Volume                    280861.0
    Market Cap (intraday) 154.30B
         Enterprise Value 157.33B
             Trailing P/E   65.39
              Forward P/E   33.78
PEG Ratio (5 yr expected)    2.38
        Price/Sales (ttm)   10.84
         Price/Book (mrq)    8.94
 Enterprise Value/Revenue   10.95
  Enterprise Value/EBITDA   38.91</t>
  </si>
  <si>
    <t>NRG Energy: Vivint Now A Major Contributor, Eyeing Further Upsides From Here
Electric utilities in the SMID-cap space have seen a strong bid in the backend of the year, with differentiated business models being the most appealing. NRG Energy is one such differentiated name, pulling off solid Q2 numbers and robust economic growth levers. Multiples are compressed opening up the risk/reward asymmetry going forward.
The 7 Best Utilities Stocks to Buy Now: September 2023
While even the so-called best utilities stocks will likely never be mistaken for sexy opportunities, they offer exceptional relevance, especially at this juncture. With Wall Street unsure how to digest various macroeconomic news, the utilities space brings some predictability to your portfolio.
NRG (NRG) Up 2.2% Since Last Earnings Report: Can It Continue?
NRG (NRG) reported earnings 30 days ago. What's next for the stock?</t>
  </si>
  <si>
    <t xml:space="preserve">           1y Target Est                       41.25
           52 Week Range               30.25 - 45.80
                     Ask                  0.00 x 800
             Avg. Volume                   4091946.0
       Beta (5Y Monthly)                        1.01
                     Bid                  0.00 x 800
             Day's Range               38.65 - 39.48
               EPS (TTM)                       -8.76
           Earnings Date Nov 06, 2023 - Nov 10, 2023
        Ex-Dividend Date                Jul 31, 2023
Forward Dividend &amp; Yield                1.51 (3.94%)
              Market Cap                      8.924B
                    Open                       39.51
          PE Ratio (TTM)                         NaN
          Previous Close                       39.51
             Quote Price                   38.950001
                  Volume                    917952.0
    Market Cap (intraday)  9.05B
         Enterprise Value 21.59B
             Trailing P/E    NaN
              Forward P/E   6.23
PEG Ratio (5 yr expected)   2.49
        Price/Sales (ttm)   0.30
         Price/Book (mrq)   3.38
 Enterprise Value/Revenue   0.71
  Enterprise Value/EBITDA -20.26</t>
  </si>
  <si>
    <t>7 Tech Stocks to Invest In for Big-Time, Long-Term Gains
Tech stocks to buy and hold are on every investor's radar. Technology has been the driving force behind global growth for multiple years, leading the charge in developing solutions that continue moving the needle across many industries.
ServiceNow: SaaS Superstar with a Lucrative NVIDIA Partnership.
ServiceNow ( NOW , Financial) is a Software as a Service [SaaS] company that originally provided a platform for IT service management. The beauty of its solution is it's immensely scalable and therefore can serve thousands of customers, with high operating leverage.
September Rally? 3 Technology Stocks to Buy Before Liftoff.
Technology stocks have emerged as champions of global economic growth in a world driven by relentless digital innovation. Tech firms have continuously crafted innovative solutions through years of tenacity, elevating global productivity.
Here are the 14 stocks Jim Cramer is watching, including Oracle, Roku and Southwest
Here are some of the tickers on my radar for Wednesday, Sept. 6, taken directly from my reporter's notebook.
Software Stocks To Watch Amid Artificial Intelligence-Generated Rally
Software growth stocks outperformed in the first half of 2023. But will the artificial intelligence-driven rally be sustainable for software stocks?</t>
  </si>
  <si>
    <t xml:space="preserve">           1y Target Est                      639.23
           52 Week Range             337.00 - 614.36
                     Ask                 0.00 x 1000
             Avg. Volume                   1130679.0
       Beta (5Y Monthly)                        1.01
                     Bid                 0.00 x 1100
             Day's Range             600.79 - 607.90
               EPS (TTM)                        6.95
           Earnings Date Oct 24, 2023 - Oct 30, 2023
        Ex-Dividend Date                         NaN
Forward Dividend &amp; Yield                   N/A (N/A)
              Market Cap                    122.892B
                    Open                       603.5
          PE Ratio (TTM)                       86.68
          Previous Close                      600.07
             Quote Price                  602.409973
                  Volume                    401589.0
    Market Cap (intraday) 122.41B
         Enterprise Value 119.88B
             Trailing P/E   86.22
              Forward P/E   49.02
PEG Ratio (5 yr expected)    1.85
        Price/Sales (ttm)   15.29
         Price/Book (mrq)   17.67
 Enterprise Value/Revenue   14.95
  Enterprise Value/EBITDA  103.08</t>
  </si>
  <si>
    <t>Northrop Grumman: My Favorite High-Tech Investment
Northrop Grumman is a highly advanced defense contractor with a focus on next-gen areas like hypersonics and space. NOC has tremendous growth potential in space and related industries, with its Space Systems segment generating over $12 billion in revenues. The company is well-positioned in the fast-growing space industry, with a high-tech portfolio and a strong domestic customer base.
Northrop (NOC) Wins Contract to Aid E-2D Advanced Hawkeye Jet
Northrop (NOC) is set to offer non-recurring engineering support for the replacement of obsolete parts within the position tracking system for the E-2D Advanced Hawkeye.
Northrop Grumman (NOC) Secures Contract to Aid MQ-4C Triton
Northrop Grumman (NOC) is set to provide for the installation of MQ-4C Triton ground segments mobile operating base (MOB).
3 Defense Stocks to Buy and Hold Until 2030
Last year, global military expenditure increased by 3.7% in real terms to touch new highs of $2.24 trillion. It's noteworthy that military spending in Europe witnessed the steepest year-on-year increase in the last 30 years.</t>
  </si>
  <si>
    <t xml:space="preserve">           1y Target Est                      504.06
           52 Week Range             416.71 - 556.27
                     Ask                  0.00 x 900
             Avg. Volume                    691759.0
       Beta (5Y Monthly)                        0.51
                     Bid                  0.00 x 800
             Day's Range             416.71 - 423.06
               EPS (TTM)                       30.14
           Earnings Date Oct 25, 2023 - Oct 30, 2023
        Ex-Dividend Date                Aug 25, 2023
Forward Dividend &amp; Yield                7.48 (1.77%)
              Market Cap                     63.311B
                    Open                      423.31
          PE Ratio (TTM)                       13.88
          Previous Close                      422.72
             Quote Price                   418.44751
                  Volume                    217514.0
    Market Cap (intraday) 63.96B
         Enterprise Value 76.14B
             Trailing P/E  14.03
              Forward P/E  17.30
PEG Ratio (5 yr expected)  11.76
        Price/Sales (ttm)   1.72
         Price/Book (mrq)   4.13
 Enterprise Value/Revenue   2.01
  Enterprise Value/EBITDA  10.32</t>
  </si>
  <si>
    <t>Here's Why Investors Should Retain IQVIA (IQV) Stock Now
An addressable market size and strong healthcare-specific global IT infrastructure boost IQVIA (IQV).
Biopharma Bounce-Back: From Policy Pains To Profitable Plains
The recent IRA list of 10 drug publications is not expected to have a significant impact on big pharma stocks in the near term. The legal challenges by big pharma companies against the IRA may derail the implementation of the drug pricing reforms. Investors can consider diversified biotech indexes or healthcare-focused ETFs for exposure to the biopharma sector.
IQVIA CFO Ron Bruehlman to Speak at Baird Global Healthcare Conference on September 13, 2023
RESEARCH TRIANGLE PARK, N.C.--(BUSINESS WIRE)--IQVIA Holdings Inc. (“IQVIA”) (NYSE:IQV), announced today that Ron Bruehlman, executive vice president and chief financial officer, will speak at the Baird 2023 Global Healthcare Conference in New York City on Wednesday, September 13, 2023 at 10:50 a.m. ET. A live audio webcast of the presentation will be available on the IQVIA Investor Relations website at http://ir.iqvia.com. A replay of the webcast will be available later that day. About IQVIA I.</t>
  </si>
  <si>
    <t xml:space="preserve">           1y Target Est                      251.71
           52 Week Range             165.75 - 241.86
                     Ask                  0.00 x 800
             Avg. Volume                    930637.0
       Beta (5Y Monthly)                        1.37
                     Bid                 0.00 x 1400
             Day's Range             213.03 - 215.97
               EPS (TTM)                        5.68
           Earnings Date Oct 24, 2023 - Oct 30, 2023
        Ex-Dividend Date                         NaN
Forward Dividend &amp; Yield                   N/A (N/A)
              Market Cap                     39.455B
                    Open                      214.44
          PE Ratio (TTM)                       37.93
          Previous Close                      213.53
             Quote Price                  215.460007
                  Volume                    218320.0
    Market Cap (intraday) 39.10B
         Enterprise Value 51.63B
             Trailing P/E  36.69
              Forward P/E  17.95
PEG Ratio (5 yr expected)   1.56
        Price/Sales (ttm)   2.74
         Price/Book (mrq)   6.80
 Enterprise Value/Revenue   3.52
  Enterprise Value/EBITDA  17.01</t>
  </si>
  <si>
    <t>NiSource: A Stable Utility Trading At An Attractive Valuation
NiSource is a regulated electric and natural gas utility serving customers in six states. The company's stock price has declined 4.69% over the past six months, but it has outperformed the U.S. Utility Index. NiSource has stable cash flows and a growing customer base and plans to invest $15 billion in infrastructure to drive earnings growth.
The 7 Best Utilities Stocks to Buy Now: September 2023
While even the so-called best utilities stocks will likely never be mistaken for sexy opportunities, they offer exceptional relevance, especially at this juncture. With Wall Street unsure how to digest various macroeconomic news, the utilities space brings some predictability to your portfolio.</t>
  </si>
  <si>
    <t xml:space="preserve">           1y Target Est                        31.0
           52 Week Range               23.78 - 30.83
                     Ask                 0.00 x 3000
             Avg. Volume                   3639659.0
       Beta (5Y Monthly)                        0.47
                     Bid                 0.00 x 4000
             Day's Range               26.92 - 27.25
               EPS (TTM)                        1.44
           Earnings Date Nov 06, 2023 - Nov 10, 2023
        Ex-Dividend Date                Oct 30, 2023
Forward Dividend &amp; Yield                1.00 (3.71%)
              Market Cap                     11.214B
                    Open                       26.91
          PE Ratio (TTM)                       18.84
          Previous Close                       26.97
             Quote Price                      27.135
                  Volume                   1103405.0
    Market Cap (intraday) 11.15B
         Enterprise Value 24.77B
             Trailing P/E  18.73
              Forward P/E  16.16
PEG Ratio (5 yr expected)   2.23
        Price/Sales (ttm)   2.05
         Price/Book (mrq)   1.83
 Enterprise Value/Revenue   4.23
  Enterprise Value/EBITDA  11.70</t>
  </si>
  <si>
    <t>1 FAANG Stock That's a Surefire Buy in September and 1 to Avoid
When the going gets tough on Wall Street, smart investors turn to the FAANG stocks. One FAANG stock, with a virtually impenetrable moat within its respective industry, remains historically inexpensive after a monstrous move higher.
Susan Rice Returns To Netflix Board Of Directors After Biden Administration Stint
Susan Rice, who left her post as domestic policy advisor to President Biden last May, has rejoined Netflix's board of directors. In two-plus years in the Biden Administration, Rice oversaw a number of complex and controversial initiatives related to immigration, gun control and student loan relief.
Netflix reappoints former ambassador Susan Rice to board
Netflix Inc has reappointed former White House official and U.N. ambassador Susan Rice to its board of directors, the streaming service announced on Friday.
Netflix: On An Incrementally Accelerating Growth Trajectory
Netflix's advertising venture shows potential for additional revenue streams and reshaping the advertising industry. Management promises to expand the advertising business and contribute more than 10% of total revenues. Netflix's Q2 results were mixed, but management expects robust growth in the fourth quarter and raised their FCF guidance.
2 FAANG Stocks Have Brilliant Wall Street Billionaires Betting Big Ahead of the Next Bull Market
Hedge fund managers David Tepper and Karthik Sarma are heavily invested in Amazon and Netflix, respectively. Amazon has significant growth prospects in multiple markets, and the stock looks cheap at its current valuation.
Which of These 3 Growth Stocks Could Yield the Best Returns?
Several growth stocks have rebounded this year on improved investor sentiment, even as macro uncertainty continues to impact businesses. While many experts anticipate the Federal Reserve holding on to interest rates at current levels, based on data revealed by recent economic releases, it is worth noting that inflation still remains above the Fed's target of 2%.
The 3 Best Streaming Stocks to Buy Now: September 2023
This year has been a time of reckoning for streaming stocks. The pandemic-induced boom in subscription services has long since passed.
Billionaire Barry Diller Tells Kara Swisher that Netflix Is an "Evil Genius" and Offers an Argument for Why You Should Invest in the Streaming Leader
Media mogul Barry Diller says the Hollywood strikes may spell trouble for some of the power players. Interestingly, Diller believes Netflix is the best positioned media company to ride out the storm.
3 Best Ways to Profit From the Seismic Shift to Streaming Video
In the rapidly evolving digital era, the allure of the best streaming video stocks is undeniable. Delving deeper, the streaming ecosystem extends far beyond just broadcasting content.
Netflix CFO to Present at the BofA Media, Communications &amp; Entertainment Conference
LOS GATOS, Calif. , Sept. 6, 2023 /PRNewswire/ -- Netflix, Inc. (Nasdaq: NFLX) announced today that Spence Neumann, CFO, will present at the BofA Media, Communications and Entertainment Conference on Wednesday, September 13, 2023.
Netflix, Inc. (NFLX) Goldman Sachs Communacopia &amp; Technology Conference Call Transcript
Netflix, Inc. (NASDAQ:NFLX ) Goldman Sachs Communacopia &amp; Technology Conference Conference Call September 5, 2023 4:05 PM ET Company Participants Gregory Peters - Co-CEO, President &amp; Director Conference Call Participants Eric Sheridan - Goldman Sachs Group Eric Sheridan Okay. All right.
Dow Jones Leader Apple, Netflix Stock Eye Buy Points In Today's Stock Market
Dow Jones tech titan Apple and streaming giant Netflix stock are approaching new buy points in today's stock market action.</t>
  </si>
  <si>
    <t xml:space="preserve">           1y Target Est                      463.43
           52 Week Range             211.73 - 485.00
                     Ask                444.51 x 800
             Avg. Volume                   6259638.0
       Beta (5Y Monthly)                        1.29
                     Bid                444.29 x 800
             Day's Range             443.04 - 449.89
               EPS (TTM)                        9.31
           Earnings Date Oct 16, 2023 - Oct 20, 2023
        Ex-Dividend Date                         NaN
Forward Dividend &amp; Yield                   N/A (N/A)
              Market Cap                     196.89B
                    Open                      443.07
          PE Ratio (TTM)                       47.72
          Previous Close                       442.8
             Quote Price                  444.299988
                  Volume                   1325517.0
    Market Cap (intraday) 196.23B
         Enterprise Value 204.64B
             Trailing P/E   47.11
              Forward P/E   28.99
PEG Ratio (5 yr expected)    1.62
        Price/Sales (ttm)    6.22
         Price/Book (mrq)    8.59
 Enterprise Value/Revenue    6.37
  Enterprise Value/EBITDA   10.04</t>
  </si>
  <si>
    <t>September Rally? 3 Utilities Stocks to Buy Before Liftoff
Investing in the best utility stocks might emerge as a remarkably steady choice in a constantly evolving market environment. Undeniably, utilities are the unsung maestros, orchestrating a seamless flow of electricity, natural gas, and water to our homes.
FE vs. NEE: Which Stock Is the Better Value Option?
Investors interested in Utility - Electric Power stocks are likely familiar with FirstEnergy (FE) and NextEra Energy (NEE). But which of these two stocks presents investors with the better value opportunity right now?
Wall Street Analysts Look Bullish on NextEra (NEE): Should You Buy?
Investors often turn to recommendations made by Wall Street analysts before making a Buy, Sell, or Hold decision about a stock. While media reports about rating changes by these brokerage-firm employed (or sell-side) analysts often affect a stock's price, do they really matter?
The 7 Best Utilities Stocks to Buy Now: September 2023
While even the so-called best utilities stocks will likely never be mistaken for sexy opportunities, they offer exceptional relevance, especially at this juncture. With Wall Street unsure how to digest various macroeconomic news, the utilities space brings some predictability to your portfolio.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These 5 Dividend Aristocrats are Quality Stocks for AI Investing
AI investing is hot and not contained in the tech world. While names like NVIDIA NASDAQ: NVDA garner much attention, numerous blue-chip names are already leaning into the AI action.
Coiled Spring Dividend Ready To Rip Higher: NextEra Energy
Bond alternatives are unfairly being sold off due to high interest rates. Investors should evaluate the risks associated with a specific investment, not just because it's an assumed asset class. This company has continued to raise its dividend even as shareholders have been selling.</t>
  </si>
  <si>
    <t xml:space="preserve">           1y Target Est                       89.54
           52 Week Range               65.36 - 90.85
                     Ask                  0.00 x 800
             Avg. Volume                   8243520.0
       Beta (5Y Monthly)                        0.47
                     Bid                 0.00 x 1200
             Day's Range               66.95 - 67.89
               EPS (TTM)                        4.05
           Earnings Date Oct 26, 2023 - Oct 30, 2023
        Ex-Dividend Date                Aug 29, 2023
Forward Dividend &amp; Yield                1.87 (2.80%)
              Market Cap                    137.056B
                    Open                        67.0
          PE Ratio (TTM)                       16.72
          Previous Close                       66.83
             Quote Price                   67.724998
                  Volume                   3469323.0
    Market Cap (intraday) 135.24B
         Enterprise Value 205.84B
             Trailing P/E   16.50
              Forward P/E   19.65
PEG Ratio (5 yr expected)    1.60
        Price/Sales (ttm)    4.96
         Price/Book (mrq)    3.02
 Enterprise Value/Revenue    7.64
  Enterprise Value/EBITDA   12.97</t>
  </si>
  <si>
    <t>Nordson Corporation Announces Pricing of $350 Million of 5.600% Notes due 2028 and $500 Million of 5.800% Notes due 2033
WESTLAKE, Ohio--(BUSINESS WIRE)--Nordson Corporation (Nasdaq: NDSN) (“Nordson” or the “Company”) today announced the pricing of its offering (the “Offering”), on September 7, 2023, of $350 million aggregate principal amount of 5.600% notes due 2028 (the “2028 notes”) and $500 million aggregate principal amount of 5.800% notes due 2033 (the “2033 notes” and, together with the 2028 notes, the “notes”). The Offering is expected to close on September 13, 2023, subject to the satisfaction or waiver.
These Quality Dividend Kings Grow their Dividends the Fastest
Dividend growth is critical for high-quality buy-and-hold stocks. Dividends attract buy-and-hold investors, but the distribution growth keeps them there.
Here's Why Investors Should Retain Nordson (NDSN) Stock
Nordson (NDSN) benefits from investments in automation and electronic product innovation, and accretive acquisitions. The company's measures to reward its shareholders are encouraging.</t>
  </si>
  <si>
    <t xml:space="preserve">           1y Target Est          262.17
           52 Week Range 202.57 - 253.40
                     Ask   233.55 x 1000
             Avg. Volume        213403.0
       Beta (5Y Monthly)            0.94
                     Bid    233.11 x 800
             Day's Range 232.24 - 233.92
               EPS (TTM)            8.68
           Earnings Date    Aug 22, 2023
        Ex-Dividend Date    Aug 21, 2023
Forward Dividend &amp; Yield    2.72 (1.17%)
              Market Cap         13.337B
                    Open          233.52
          PE Ratio (TTM)           26.95
          Previous Close           232.8
             Quote Price      233.914993
                  Volume         60017.0
    Market Cap (intraday) 13.27B
         Enterprise Value 14.09B
             Trailing P/E  26.82
              Forward P/E  23.70
PEG Ratio (5 yr expected)   2.44
        Price/Sales (ttm)   5.18
         Price/Book (mrq)   5.14
 Enterprise Value/Revenue   5.43
  Enterprise Value/EBITDA  18.16</t>
  </si>
  <si>
    <t>Jacobs (J) Wins $28M Florida Turnpike ITS Management Contract
Jacobs (J) to manage Florida's Turnpike Enterprise's Intelligent Transportation System.
Jacobs to Manage Intelligent Transportation System for Florida's Turnpike
Supports use of data analytics and technology to improve critical transportation infrastructure Contract drives efficient travel and commerce via traffic management systems DALLAS , Sept. 7, 2023 /PRNewswire/ -- Jacobs (NYSE:J) was selected to operate and maintain Intelligent Transportation Systems (ITS) and manage traffic operations for Florida's Turnpike Enterprise, a division of the Florida Department of Transportation.
Jacobs (J) to Manage $517 Million Austin ISD Capital Program
Jacobs (J) secures a five-year contract worth $517 million to oversee key improvements in Austin ISD, marking a significant boost for the company's growth.
Jacobs to Manage Austin Independent School District Modernization Program
Largest capital program in district's history addresses aging infrastructure and community development DALLAS , Sept. 5, 2023 /PRNewswire/ -- Jacobs (NYSE: J) was selected by Austin Independent School District (ISD) in Austin, Texas to provide program management services in support of the district's capital improvement program.</t>
  </si>
  <si>
    <t xml:space="preserve">           1y Target Est                      153.07
           52 Week Range             106.78 - 137.61
                     Ask                 0.00 x 1200
             Avg. Volume                    584898.0
       Beta (5Y Monthly)                        0.82
                     Bid                  0.00 x 800
             Day's Range             130.56 - 131.79
               EPS (TTM)                         5.8
           Earnings Date Jul 31, 2023 - Aug 04, 2023
        Ex-Dividend Date                Jul 27, 2023
Forward Dividend &amp; Yield                1.04 (0.80%)
              Market Cap                     16.488B
                    Open                      131.19
          PE Ratio (TTM)                       22.58
          Previous Close                      130.74
             Quote Price                  130.940002
                  Volume                    135057.0
    Market Cap (intraday) 16.46B
         Enterprise Value 19.29B
             Trailing P/E  22.50
              Forward P/E  15.43
PEG Ratio (5 yr expected)   1.23
        Price/Sales (ttm)   1.05
         Price/Book (mrq)   2.52
 Enterprise Value/Revenue   1.21
  Enterprise Value/EBITDA  13.60</t>
  </si>
  <si>
    <t>Motorola Solutions to Showcase Video Security Innovation and Integration at GSX 2023
CHICAGO--(BUSINESS WIRE)--Motorola Solutions (NYSE:MSI) will demonstrate at GSX 2023 how its integrated end-to-end video security solutions are helping organizations, such as schools, hospitals, retailers and manufacturers, operate more safely and efficiently. At the center are the company's new Avigilon security suite, spanning on-premise and cloud-native video security and access control, and its Pelco camera portfolio, offering one of the most extensive physical security platforms on the mar.</t>
  </si>
  <si>
    <t xml:space="preserve">           1y Target Est                      311.23
           52 Week Range             212.76 - 299.43
                     Ask                  0.00 x 800
             Avg. Volume                    777972.0
       Beta (5Y Monthly)                        0.92
                     Bid                 0.00 x 1200
             Day's Range             281.70 - 284.24
               EPS (TTM)                        8.81
           Earnings Date Nov 01, 2023 - Nov 06, 2023
        Ex-Dividend Date                Sep 14, 2023
Forward Dividend &amp; Yield                3.52 (1.25%)
              Market Cap                     47.374B
                    Open                      282.77
          PE Ratio (TTM)                        32.2
          Previous Close                       282.5
             Quote Price                  283.641998
                  Volume                    115087.0
    Market Cap (intraday) 47.18B
         Enterprise Value 52.99B
             Trailing P/E  32.07
              Forward P/E  22.32
PEG Ratio (5 yr expected)   2.01
        Price/Sales (ttm)   5.04
         Price/Book (mrq) 140.01
 Enterprise Value/Revenue   5.64
  Enterprise Value/EBITDA  22.78</t>
  </si>
  <si>
    <t>The 7 Best Tech Stocks to Buy to Capitalize on the AI Revolution
Tech stocks are some of the most appealing and popular in the stock market. But did you ever think about what makes investors so eager to find the best tech stocks to buy?
Microsoft, Google and Antitrust: Similar Legal Theories in a Different Era
The government's antitrust case against Google borrows heavily from the landmark lawsuit against Microsoft 25 years ago. But it lacks the same cultural impact.
1 Super Stock Set to Join Apple and Microsoft in the $2 Trillion Club
A $2 trillion market capitalization is rarefied air, to be sure.
2 Artificial Intelligence (AI) Stocks to Buy in September 2023 That Could Soar Like Nvidia
Microsoft is supercharging its existing product offerings with advanced AI capabilities. Amazon has been investing heavily in several AI software and hardware initiatives for the past 25 years.
Why Companies From Microsoft to Shopify Are Investing Millions in Carbon Removal
Companies such as Microsoft, Shopify, H&amp;M, and payments company Stripe are investing millions in carbon removal, the process of extracting carbon dioxide from the atmosphere to limit the impact of climate change. It's an effort that continues to attract investment from companies eager to show they are addressing climate issues while simultaneously lowering the cost of such efforts through rapidly evolving technologies.
Google CEO Sundar Pichai Says AI Could Be "Bigger Than the Internet": 3 Stocks to Buy and Hold If He's Right
Alphabet CEO Sundar Pichai believes that "AI will be the biggest technological shift we see in our lifetimes." If his prediction comes true, three AI stocks are especially poised for tremendous gains.
Microsoft (MSFT) Pledges Copyright Protection for Copilot Users
Microsoft (MSFT) is set to defend commercial customers using its AI Copilot services against copyright lawsuits.
ChatGpt's usage dips again as calm follows early frenzy
ChatGPT saw monthly website visits decline for the third month in a row in August, though the rate of slippage is slowing said analytics firm Similarweb. Around 1.43 billion users clicked on in August down by 3.2% from a month earlier, which itself had seen a drop of approximately 10% from the preceding month.
Can The S&amp;P 500 Triumph Over September's Infamous Jinx?
Four of the five most heavily weighted S&amp;P components, Apple Inc. NASDAQ: AAPL, Amazon.com Inc. AMZN: AAPL, Nvidia Corp. NASDAQ: NVDA and Alphabet Inc. NASDAQ: GOOGL, are trading in the red.
7 Tech Stocks to Invest In for Big-Time, Long-Term Gains
Tech stocks to buy and hold are on every investor's radar. Technology has been the driving force behind global growth for multiple years, leading the charge in developing solutions that continue moving the needle across many industries.
The 7 Best Dow Stocks to Buy Now: September 2023
Finding the best Dow stocks to buy can be complex. The companies listed in the Dow Jones Industrial Average tend to be blue-chip stocks that have large market capitalizations and are dominant in their sectors of the economy.
3 AI Stocks You Might Want to Own Before the Next Bull Market
Alphabet's latest earnings results showcased how AI is already impacting its cloud business and its advertising platforms. Microsoft made headlines when it invested billions into ChatGPT developer OpenAI earlier this year.
Microsoft says it will protect customers from AI copyright lawsuits
Microsoft Corp. says it will defend buyers of its artificial intelligence products from copyright infringement lawsuits, an effort by the software giant to ease concerns customers might have about using its AI "Copilots" to generate content based on existing work.
Microsoft Corporation (MSFT) Citi 2023 Global Technology Conference (Transcript)
Microsoft Corporation (NASDAQ:MSFT ) Citi 2023 Global Technology Conference September 7, 2023 9:00 AM ET Company Participants Charles Lamanna - CVP, Business Apps &amp; Platform Unidentified Analyst And I'm really looking forward to this conversation. We've got A - Charles Lamanna from Microsoft.
Microsoft Corporation (MSFT) Goldman Sachs 2023 Communacopia + Technology Conference (Transcript)
Microsoft Corporation (NASDAQ:MSFT ) Goldman Sachs 2023 Communacopia + Technology Conference September 7, 2023 11:50 AM ET Company Participants Amy Hood - EVP &amp; CFO Conference Call Participants Kash Rangan - Goldman Sachs Kash Rangan Isn't this an amazing conference, what do you guys think? And I wasn't lying when I said day 3 is going to be the best day, don't tell that to executives that presented on day 1 and day 2.
Microsoft teams up with Paige on AI-powered cancer detection
Microsoft Corp (NASDAQ: MSFT) has partnered with Paige on the world's largest AI model for detecting cancer. Paige has a history of winning FDA approval The image-based model can help identify not just common cancers but the rare ones as well that are broadly known as hard to diagnose.
Microsoft to defend customers on AI copyright challenges
Microsoft will pay legal damages on behalf of customers using its artificial intelligence (AI) products if they are sued for copyright infringement for the output generated by such systems, the company said on Thursday.
Yealink Launches New Microsoft Teams Rooms Solutions for More Intelligent and Flexible Meetings
XIAMEN, China , Sept. 7, 2023 /PRNewswire/ -- Yealink, a global leading unified communications (UC) solution provider, has launched its 3rd-Gen MVC Series Microsoft Teams Rooms System, as the first to collaborate with Microsoft in integrating AI technologies like voice control, identity recognition, and transcription into video conferencing.
Microsoft and Paige are building the world's largest AI model for detecting cancer
Microsoft is teaming up with the company Paige to build the world's largest image-based artificial intelligence model for identifying cancer.
Paige Announces Collaboration with Microsoft to Build the World's Largest Image-Based AI Model to Fight Cancer
NEW YORK--(BUSINESS WIRE)--Paige, a technology disruptor in healthcare, has joined forces with Microsoft in the fight against cancer, making headway in their collaboration to transform cancer diagnosis and patient care by building the world's largest image-based artificial intelligence (AI) models for digital pathology and oncology. Paige, a global leader in end-to-end digital pathology solutions and clinical AI, developed the first Large Foundation Model using over one billion images from half.
Heirloom and Microsoft Sign One of the Largest Permanent CO2 Removal Deals To-Date
BRISBANE, Calif.--(BUSINESS WIRE)--Microsoft has signed a long term contract to purchase up to 315,000 metric tons of CO2 removal over a multi-year period from Heirloom – a Direct Air Capture company that harnesses the natural properties of limestone to remove CO2 from the atmosphere – in one of the largest carbon dioxide removal deals to-date. This deal follows Heirloom's DAC Hub selection by the US Department of Energy for up to $600 million in matching funding. Project Cypress, to be located.
Walmart, Apple, And Microsoft: Three Strategy Lessons For Supply Chain Leaders
Lessons from Walmart, Apple, Microsoft. 1) Digitization for Customer Problem-Solving, 2) Regionalization for Resilience, 3) Talent Transformation for Margin Protection.
EU's crackdown on Apple, Meta and others is to avoid forced breakups, top official says
Big Tech is facing tighter scrutiny in the European Union, but officials want to avoid forcing them to break up parts of the business.
Microsoft Will Use Carbon-Absorbing Rocks to Meet Climate Goals
A deal with Heirloom Carbon is one of the largest-ever purchases of carbon-removal credits.
3 Stocks the Smart Money Is Buying Hand Over Fist
There's always a palpable buzz about stocks the smart money is buying. These aren't mere fleeting trends; they're astute decisions of people with incredible financial acumen.
Microsoft gaming chief Phil Spencer says Starfield is seeing 'huge demand'
Microsoft's Phil Spencer told CNBC on Wednesday that the new Starfield game is going to be available to "hundreds of millions of people."
4 Reasons Why Microsoft Remains a Good Long-Term Investment
Shareholders of Microsoft Corp. ( MSFT , Financial) have been the beneficiary of an extraordinary climb in 2023, with the stock gaining more than 39% year to date.
Microsoft (MSFT), G42 Set to Boost Cloud Infrastructure in UAE
Microsoft (MSFT) is set to work with G42 to enable access to sovereign cloud offerings, innovate and deliver advanced AI capabilities, while growing the existing data center infrastructure in the UAE.
Factbox: How the EU's Digital Markets Act challenges Big Tech
New European Union rules will rewrite the basic tenets of business on the internet and on mobile, upending how Big Tech makes money and how consumers access these services.
Here are the 14 stocks Jim Cramer is watching, including Oracle, Roku and Southwest
Here are some of the tickers on my radar for Wednesday, Sept. 6, taken directly from my reporter's notebook.
Microsft-backed AI startup d-Matrix raises $110 million
Generative AI compute startup d-Matrix has successfully closed a $110 million Series-B funding round led by Singapore-based global investment firm Temasek. Announced on Wednesday, d-Matrix intends to use the funding to commercialise its Corsair chiplet, which is aimed at reducing memory bottlenecks and computing costs associated with large-language models (LLMs) and artificial intelligence computational performance.
7 Retirement Stocks That Every Long-Term Investor Should Own Now
Here's a look at the top long-term retirement stocks to buy now. Building a solid retirement portfolio is all about identifying companies that can withstand any storm in the market.
Apple, Amazon, and Meta among 6 tech giants deemed 'gatekeepers' set to face strict competition rules under new EU law
The European Union named six tech giants as "gatekeepers" that have to comply with new laws. The Digital Markets Act aims to give more choice to users and open up the market for competitors.
ECS Attains New Microsoft Solutions Partner Designation
FAIRFAX, Va.--(BUSINESS WIRE)-- #ECS--ECS has attained the new Microsoft “Solutions Partner” designation in three cloud solution areas.
Blame Apple And Microsoft For Dragging Down S&amp;P 500?
Likewise, Microsoft Corp. NASDAQ: MSFT, the S&amp;P 500's second-largest component, after Apple, ended to the downside in July and August. Microsoft, too, logged gains in each month from January through June.
EU targets Apple, Amazon, Alphabet, ByteDance, Meta, Microsoft in next phase of digital crackdown
The European Union on Wednesday targeted Apple, Amazon, Microsoft, Google parent Alphabet, Facebook owner Meta and TikTok parent ByteDance under new digital rules aimed at reining in the market power of online companies.
7 Cathie Wood Stocks to Invest in for Big-Time, Long-Term Gains
It wasn't too long ago that investing guru Cathie Wood was the hottest money manager in the game. Her ARK Invest exchange-traded funds offered investors blistering returns on their money.
EU lists Alphabet, Amazon, Meta and three other tech giants as 'gatekeepers' under strict competition rules
The European Union on Tuesday unveiled a list of six designated "gatekeepers" set to come under its new Digital Markets Act.
EU confirms six (mostly US) tech giants are subject to Digital Markets Act
The European Union has named six tech giants whose market power it hopes to be able to rein in by applying a new set of up-front rules on how these gatekeepers can operate so called core platform services. The six so-called gatekeepers are: Alphabet, Amazon, Apple, ByteDance, Meta, Microsoft.
Zoom CEO says FTC should look into Microsoft Teams bundling in U.S.
Zoom Video Communications Inc. ZM, +2.18% Chief Executive Eric Yuan on Tuesday said the Federal Trade Commission should look into Microsoft Corp.'s MSFT, +1.49% bundling of its Teams videoconferencing software after the tech giant unbundled the software in Europe amid antitrust concerns. “No matter what, you've got to be fair,” Yuan said during the Goldman Sachs Communacopia + Technology Conference.
Biden antitrust enforcers stick to ‘tough talk' despite mounting court losses
The Biden administration is pushing forward with new merger enforcement guidelines even as antitrust enforcers have been dealt a series of losses in court that may call into question whether their aggressive approach can withstand judicial scrutiny.
Microsoft (MSFT) Seeks to Dodge EU's Gatekeepers Tag for Bing
Microsoft (MSFT) may defy the European Union's potential classification of Bing search engine as a gatekeeper under the new Digital Markets Act.
Majesco Strengthens Partnership with Microsoft, Empowering Customers with an Innovative and Scalable SaaS Insurance Platform
MORRISTOWN, N.J.--(BUSINESS WIRE)--Majesco, a global leader in cloud insurance software solutions, and Microsoft have announced a strategic alliance aimed at driving long-term digital transformation for insurers. By leveraging Microsoft Cloud and Analytics capabilities, the partnership empowers customers with a scalable and secure intelligent cloud environment. With a shared vision of empowering individuals and organizations to achieve more, the enhanced collaboration promises innovative and tr.
G42 and Microsoft unlock new opportunities for digital transformation with joint sovereign cloud and AI offering
Combined expertise of both organizations further accelerates UAE's digital transformation, allowing public sector and regulated industries to securely take full advantage of the latest cloud and AI technologies.
4 Future Dividend Aristocrats
Dividend Aristocrats are among the most consistent companies in the world in terms of generating FCF. Dividend stocks come in all shapes and sizes but dividend growth stocks are among my favorite type to invest in. These companies have strong cash flow, consistent dividend growth, and potential for future growth.
Microsoft gambles big on Hollywood-esque 'Starfield' video game
"Starfield", one of the most-anticipated video games in years, launches worldwide on Wednesday with the hype—and production standards—of a Hollywood blockbuster.</t>
  </si>
  <si>
    <t xml:space="preserve">           1y Target Est                      387.17
           52 Week Range             213.43 - 366.78
                     Ask                336.66 x 900
             Avg. Volume                  25836950.0
       Beta (5Y Monthly)                         0.9
                     Bid               336.64 x 1200
             Day's Range             335.43 - 338.07
               EPS (TTM)                        9.69
           Earnings Date Oct 23, 2023 - Oct 27, 2023
        Ex-Dividend Date                Aug 16, 2023
Forward Dividend &amp; Yield                2.72 (0.81%)
              Market Cap                        2.5T
                    Open                      337.24
          PE Ratio (TTM)                       34.73
          Previous Close                      334.27
             Quote Price                  336.515015
                  Volume                   6077895.0
    Market Cap (intraday) 2.48T
         Enterprise Value 2.43T
             Trailing P/E 34.53
              Forward P/E 30.12
PEG Ratio (5 yr expected)  2.45
        Price/Sales (ttm) 11.79
         Price/Book (mrq) 12.04
 Enterprise Value/Revenue 11.48
  Enterprise Value/EBITDA 23.13</t>
  </si>
  <si>
    <t>Starbucks' 40,000 Store Goal
Starbucks started with one store. Today, it has nearly 38,000.
Starbucks visits spiked thanks to Pumpkin Spice Latte, research says
Starbucks' annual launch of its fall-themed Pumpkin Spice Latte sparked a spike in visits to the coffee giant, according to foot-traffic data from analytics company Placer.ai.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Dividend Income Summary: Lanny's August 2023 Summary
2023 has been one heck of a year. The S&amp;P 500 is close to all-time highs. The Fed raised interest rates in July, as the economy is still on fire. The retirement accounts brought in a total dividend income amount of $379.48 or 22% of the dividend income total, similar to last month. Dividend increases created $42.95 in additional passive dividend income.</t>
  </si>
  <si>
    <t xml:space="preserve">           1y Target Est         113.51
           52 Week Range 82.43 - 115.48
                     Ask    95.50 x 800
             Avg. Volume      6279769.0
       Beta (5Y Monthly)           0.93
                     Bid    95.44 x 800
             Day's Range  95.22 - 96.23
               EPS (TTM)           3.28
           Earnings Date   Nov 02, 2023
        Ex-Dividend Date   Aug 10, 2023
Forward Dividend &amp; Yield   2.12 (2.23%)
              Market Cap       109.397B
                    Open          95.65
          PE Ratio (TTM)          29.12
          Previous Close          95.28
             Quote Price      95.510002
                  Volume      1793655.0
    Market Cap (intraday) 109.13B
         Enterprise Value 129.88B
             Trailing P/E   29.05
              Forward P/E   23.42
PEG Ratio (5 yr expected)    1.31
        Price/Sales (ttm)    3.13
         Price/Book (mrq)     NaN
 Enterprise Value/Revenue    3.71
  Enterprise Value/EBITDA   18.89</t>
  </si>
  <si>
    <t>Here's Why DaVita HealthCare (DVA) is a Strong Value Stock
Whether you're a value, growth, or momentum investor, finding strong stocks becomes easier with the Zacks Style Scores, a top feature of the Zacks Premium research service.</t>
  </si>
  <si>
    <t xml:space="preserve">           1y Target Est                       114.0
           52 Week Range              65.28 - 116.97
                     Ask                 0.00 x 1000
             Avg. Volume                    641104.0
       Beta (5Y Monthly)                        0.94
                     Bid                  0.00 x 900
             Day's Range               95.07 - 96.42
               EPS (TTM)                        4.99
           Earnings Date Oct 26, 2023 - Oct 30, 2023
        Ex-Dividend Date                         NaN
Forward Dividend &amp; Yield                   N/A (N/A)
              Market Cap                      8.765B
                    Open                       95.74
          PE Ratio (TTM)                       19.24
          Previous Close                       95.55
             Quote Price                        96.0
                  Volume                    113652.0
    Market Cap (intraday)  8.72B
         Enterprise Value 19.86B
             Trailing P/E  19.19
              Forward P/E  12.84
PEG Ratio (5 yr expected)   0.77
        Price/Sales (ttm)   0.75
         Price/Book (mrq)   8.57
 Enterprise Value/Revenue   1.69
  Enterprise Value/EBITDA   9.83</t>
  </si>
  <si>
    <t>Should Value Investors Buy McKesson (MCK) Stock?
Here at Zacks, our focus is on the proven Zacks Rank system, which emphasizes earnings estimates and estimate revisions to find great stocks. Nevertheless, we are always paying attention to the latest value, growth, and momentum trends to underscore strong picks.
Here's Why McKesson (MCK) is a Strong Value Stock
Wondering how to pick strong, market-beating stocks for your investment portfolio? Look no further than the Zacks Style Scores.
McKesson: Still Trading For A Huge Discount
McKesson is reporting great results for the first quarter of fiscal 2024 and is optimistic for the full year 2024. The company will be able to grow its bottom line by using share buybacks and aside from top line growth, McKesson might also be able to improve its margins. The stock is still trading for low double-digit valuation multiples and clearly below a calculated intrinsic value.
Can Stocks Picked by Artificial Intelligence Beat the Market? 3 Stocks to Watch
An artificial intelligence stock-picking platform identifying high-potential equities has been sharp in the past. Here are three of its top stocks to watch over the next few months.
Are Medical Stocks Lagging McKesson (MCK) This Year?
Here is how McKesson (MCK) and DaVita HealthCare (DVA) have performed compared to their sector so far this year.</t>
  </si>
  <si>
    <t xml:space="preserve">           1y Target Est                      472.86
           52 Week Range             331.75 - 441.00
                     Ask                 0.00 x 2200
             Avg. Volume                    778059.0
       Beta (5Y Monthly)                         0.6
                     Bid                  0.00 x 800
             Day's Range             420.56 - 426.64
               EPS (TTM)                        26.8
           Earnings Date Oct 30, 2023 - Nov 03, 2023
        Ex-Dividend Date                Aug 31, 2023
Forward Dividend &amp; Yield                2.48 (0.59%)
              Market Cap                      57.54B
                    Open                      420.74
          PE Ratio (TTM)                       15.92
          Previous Close                      420.78
             Quote Price                  426.535004
                  Volume                    176588.0
    Market Cap (intraday) 56.76B
         Enterprise Value 61.55B
             Trailing P/E  15.69
              Forward P/E  15.95
PEG Ratio (5 yr expected)   2.42
        Price/Sales (ttm)   0.21
         Price/Book (mrq)   5.04
 Enterprise Value/Revenue   0.22
  Enterprise Value/EBITDA  11.02</t>
  </si>
  <si>
    <t>Reasons Why Investors Should Retain W.R. Berkley (WRB) Stock
W.R. Berkley (WRB) is gaining momentum on the back of high retention, growth in premium rates and exposure as well as effective capital deployment.</t>
  </si>
  <si>
    <t xml:space="preserve">           1y Target Est                       73.55
           52 Week Range               55.50 - 76.99
                     Ask                  0.00 x 800
             Avg. Volume                   1168748.0
       Beta (5Y Monthly)                        0.62
                     Bid                  0.00 x 800
             Day's Range               61.81 - 62.46
               EPS (TTM)                        4.54
           Earnings Date Oct 23, 2023 - Oct 27, 2023
        Ex-Dividend Date                Jun 23, 2023
Forward Dividend &amp; Yield                0.44 (0.71%)
              Market Cap                     16.064B
                    Open                       62.08
          PE Ratio (TTM)                       13.74
          Previous Close                       61.93
             Quote Price                   62.380001
                  Volume                    190194.0
    Market Cap (intraday) 15.95B
         Enterprise Value 16.96B
             Trailing P/E  13.64
              Forward P/E  10.67
PEG Ratio (5 yr expected)    NaN
        Price/Sales (ttm)   1.48
         Price/Book (mrq)   2.32
 Enterprise Value/Revenue   1.46
  Enterprise Value/EBITDA    NaN</t>
  </si>
  <si>
    <t>Here are the 13 stocks Jim Cramer is watching, including Eli Lilly, McDonald's
Here are some of the tickers on my radar for Thursday, Sept. 7, taken directly from my reporter's notebook.
Seven of the Best Energy Stocks to Buy Now
These top-rated energy stocks could see tailwinds from spiking oil and gas prices.
4 Oilfield Services Stocks to Gain From the Prospering Industry
With the expectations that crude prices will remain solid, demand for oilfield services will stay strong, making the outlook for the Zacks Oil &amp; Gas- Field Services industry bright. SLB, HAL, CLB and SOI are expected to benefit the most from this.
SLB to add $5 bln in revenue this year, sees similar growth in 2024
SLB is on track to add about $5 billion in revenue this year, and sees similar potential for growth in 2024, mainly helped by increased drilling in international markets, CEO Olivier Le Peuch said at a conference on Wednesday.</t>
  </si>
  <si>
    <t xml:space="preserve">           1y Target Est                       65.65
           52 Week Range               33.80 - 61.39
                     Ask                 0.00 x 1400
             Avg. Volume                   9289029.0
       Beta (5Y Monthly)                        1.83
                     Bid                  0.00 x 800
             Day's Range               60.59 - 61.39
               EPS (TTM)                        2.73
           Earnings Date Oct 19, 2023 - Oct 23, 2023
        Ex-Dividend Date                Sep 05, 2023
Forward Dividend &amp; Yield                1.00 (1.66%)
              Market Cap                     87.571B
                    Open                       61.01
          PE Ratio (TTM)                       22.33
          Previous Close                       60.17
             Quote Price                   60.950001
                  Volume                   3050700.0
    Market Cap (intraday) 85.51B
         Enterprise Value 95.65B
             Trailing P/E  22.04
              Forward P/E  16.53
PEG Ratio (5 yr expected)   1.13
        Price/Sales (ttm)   2.78
         Price/Book (mrq)   4.60
 Enterprise Value/Revenue   3.07
  Enterprise Value/EBITDA  13.38</t>
  </si>
  <si>
    <t>Boston Scientific (BSX) WATCHMAN FLX Pro Gets FDA Approval
Boston Scientific's (BSX) latest device features a polymer coating, visualization markers and a broader size matrix to treat a wider range of patients.
Boston Scientific Announces FDA Approval for the Latest-Generation WATCHMAN FLX™ Pro Left Atrial Appendage Closure Device
New stroke risk reduction therapy with thromboresistant coating is designed to advance procedural performance and safety MARLBOROUGH, Mass. , Sept. 6, 2023 /PRNewswire/ -- Boston Scientific Corporation (NYSE: BSX) today announced it has received U.S. Food and Drug Administration approval for the latest-generation WATCHMAN FLX™ Pro Left Atrial Appendage Closure (LAAC) Device.
Here's Why You Should Retain Boston Scientific (BSX) Now
Investors are optimistic about Boston Scientific (BSX) on growth in the legacy business and upbeat guidance.
Boston Scientific Announces 2023 Investor Day Meeting and Conference Call Discussing Third Quarter 2023 Results
MARLBOROUGH, Mass. , Sept. 5, 2023 /PRNewswire/ -- Boston Scientific Corporation (NYSE: BSX) will host a meeting with the investor community to review its financial goals and long-term growth strategies on Wednesday, September 20, 2023, between 8:30 a.m.</t>
  </si>
  <si>
    <t xml:space="preserve">           1y Target Est         60.31
           52 Week Range 37.74 - 54.99
                     Ask    0.00 x 900
             Avg. Volume     7171608.0
       Beta (5Y Monthly)          0.78
                     Bid   0.00 x 1000
             Day's Range 53.81 - 54.50
               EPS (TTM)           0.6
           Earnings Date  Oct 26, 2023
        Ex-Dividend Date           NaN
Forward Dividend &amp; Yield     N/A (N/A)
              Market Cap       79.793B
                    Open         54.06
          PE Ratio (TTM)         90.82
          Previous Close         53.87
             Quote Price     54.494999
                  Volume     1963092.0
    Market Cap (intraday) 78.88B
         Enterprise Value 87.91B
             Trailing P/E  89.78
              Forward P/E  23.81
PEG Ratio (5 yr expected)   1.65
        Price/Sales (ttm)   5.81
         Price/Book (mrq)   4.33
 Enterprise Value/Revenue   6.56
  Enterprise Value/EBITDA  29.97</t>
  </si>
  <si>
    <t>United Rentals Still Has Upside After A Monster Run
United Rentals has seen a 70% rally in its stock since being rated a "strong buy," exceeding expectations. The company's strong results are driven by the supportive macroeconomic environment, including infrastructure projects and oil and gas drilling. URI is expected to continue reporting strong results but at a slower growth rate, with high single-digit return potential over time.</t>
  </si>
  <si>
    <t xml:space="preserve">           1y Target Est                      470.83
           52 Week Range             256.23 - 492.33
                     Ask                 0.00 x 1000
             Avg. Volume                    754164.0
       Beta (5Y Monthly)                        1.88
                     Bid                 0.00 x 1200
             Day's Range             457.15 - 470.25
               EPS (TTM)                       32.74
           Earnings Date Oct 24, 2023 - Oct 30, 2023
        Ex-Dividend Date                Aug 08, 2023
Forward Dividend &amp; Yield                5.92 (1.28%)
              Market Cap                     31.381B
                    Open                      469.52
          PE Ratio (TTM)                       14.04
          Previous Close                      463.77
             Quote Price                  459.575012
                  Volume                    156041.0
    Market Cap (intraday) 31.67B
         Enterprise Value 44.27B
             Trailing P/E  14.16
              Forward P/E  10.96
PEG Ratio (5 yr expected)   1.21
        Price/Sales (ttm)   2.45
         Price/Book (mrq)   4.27
 Enterprise Value/Revenue   3.36
  Enterprise Value/EBITDA   7.20</t>
  </si>
  <si>
    <t>5 Mall-Based Retailers: 4 Ready to Rip Higher and 1 that isn't
Retail is tough to crack; no segment is more so than mall-based retailers. Many, if not most, are tied to fashion trends and spending habits, and malls have not been a bastion of consumer strength for years.
Ulta Is Still A Beauty
Ulta Beauty recently released good numbers and a solid outlook. Earnings and Margin ranges for FY23 have been confirmed. The company is valued at levels last seen during COVID-19 and the GFC before that.
1 No-Brainer Stock to Buy With $500 Right Now
This attractive business is trading at a discount. Is Ulta Beauty stock a buy right now?</t>
  </si>
  <si>
    <t xml:space="preserve">           1y Target Est          528.91
           52 Week Range 373.80 - 556.60
                     Ask    414.78 x 800
             Avg. Volume        830474.0
       Beta (5Y Monthly)            1.34
                     Bid   413.90 x 1000
             Day's Range 412.49 - 418.68
               EPS (TTM)           25.43
           Earnings Date    Nov 30, 2023
        Ex-Dividend Date    Mar 16, 2012
Forward Dividend &amp; Yield       N/A (N/A)
              Market Cap         20.418B
                    Open          416.63
          PE Ratio (TTM)           16.31
          Previous Close          413.71
             Quote Price      414.765015
                  Volume        238623.0
    Market Cap (intraday) 20.37B
         Enterprise Value 21.86B
             Trailing P/E  16.61
              Forward P/E  16.39
PEG Ratio (5 yr expected)   1.71
        Price/Sales (ttm)   1.95
         Price/Book (mrq)   9.93
 Enterprise Value/Revenue   2.04
  Enterprise Value/EBITDA  11.62</t>
  </si>
  <si>
    <t>Ameriprise Financial Named “Best Place to Work” on the Disability Equality Index® for the Fourth Consecutive Year
MINNEAPOLIS--(BUSINESS WIRE)--Ameriprise Financial, Inc. (NYSE:AMP) today announced it has been named a “Best Place to Work for Disability Inclusion” by the American Association of People with Disabilities and Disability:IN for the fourth consecutive year. Ameriprise earned the distinction after receiving a score of 90 percent on the Disability Equality Index® (DEI), which measures tangible actions companies take in an effort to support disability inclusion including culture, leadership, enterp.
Maps Credit Union Selects Ameriprise Financial to Manage its Investment Program
MINNEAPOLIS--(BUSINESS WIRE)--Ameriprise Financial (NYSE: AMP) today announced Maps Credit Union, a member-owned financial cooperative with more than $1.3 billion in assets, has transitioned its investment program to the Ameriprise Financial Institution Group (AFIG) from CUSO Financial Services. The credit union's investment program operates under the name Maps Investment Services and includes two financial advisors, Kyle King CRPC®, APMA®, and Wayne Muller, ChFC®, who help clients manage over.</t>
  </si>
  <si>
    <t xml:space="preserve">           1y Target Est                      371.64
           52 Week Range             249.35 - 358.02
                     Ask                  0.00 x 800
             Avg. Volume                    440946.0
       Beta (5Y Monthly)                        1.48
                     Bid                  0.00 x 800
             Day's Range             345.61 - 349.43
               EPS (TTM)                       22.01
           Earnings Date Oct 23, 2023 - Oct 27, 2023
        Ex-Dividend Date                Aug 04, 2023
Forward Dividend &amp; Yield                5.40 (1.56%)
              Market Cap                     35.529B
                    Open                      348.29
          PE Ratio (TTM)                       15.73
          Previous Close                      345.05
             Quote Price                  346.200012
                  Volume                    105783.0
    Market Cap (intraday) 35.41B
         Enterprise Value 33.96B
             Trailing P/E  15.68
              Forward P/E  10.24
PEG Ratio (5 yr expected)   1.22
        Price/Sales (ttm)   2.58
         Price/Book (mrq)   8.68
 Enterprise Value/Revenue   2.30
  Enterprise Value/EBITDA    NaN</t>
  </si>
  <si>
    <t>Tyler Technologies to Provide Enterprise Justice Solution Suite to Licking County, Ohio
PLANO, Texas--(BUSINESS WIRE)---- $TYL #TylerTech--Tyler Technologies has signed an agreement with Licking County, Ohio, for Tyler's Enterprise Justice software suite.
Tyler Technologies: Recommending Buy Rating Based On Strong Demand Trend
TYL is a major provider of integrated information management solutions for the public sector. The company's revenue and operating margin have exceeded 2Q23 expectations, driven by growth in SaaS and subscription revenue. Tyler Technologies is well-positioned for future growth, with strong demand, a healthy deal flow, and a successful transition to cloud-based solutions.</t>
  </si>
  <si>
    <t xml:space="preserve">           1y Target Est                      444.48
           52 Week Range             281.11 - 426.83
                     Ask                  0.00 x 800
             Avg. Volume                    214445.0
       Beta (5Y Monthly)                        0.81
                     Bid                 0.00 x 3000
             Day's Range             389.80 - 394.37
               EPS (TTM)                        3.88
           Earnings Date Oct 24, 2023 - Oct 30, 2023
        Ex-Dividend Date                Jan 31, 1990
Forward Dividend &amp; Yield                   N/A (N/A)
              Market Cap                     16.512B
                    Open                      393.64
          PE Ratio (TTM)                      101.14
          Previous Close                      392.17
             Quote Price                  392.410004
                  Volume                     51204.0
    Market Cap (intraday) 16.50B
         Enterprise Value 17.29B
             Trailing P/E 101.60
              Forward P/E  44.44
PEG Ratio (5 yr expected)   3.17
        Price/Sales (ttm)   8.77
         Price/Book (mrq)   5.96
 Enterprise Value/Revenue   9.09
  Enterprise Value/EBITDA  44.92</t>
  </si>
  <si>
    <t>Which Is A Better Pick – Honeywell Stock Or Amgen?
We believe that Honeywell stock (NYSE: HON) and Amgen stock (NASDAQ: AMGN) will offer little returns in the next three years.
Big Institutions Grab ‘Strong Buy' Dividend Stocks in a Sector Not Totally Driven by AI
The strong move higher that Nvidia has driven in the stock market this year has been significant, and the world of artificial intelligence has driven stock prices this year.
AMGEN PRESENTS NEW LUMAKRAS® (SOTORASIB) PLUS CHEMOTHERAPY DATA IN FIRST-LINE KRAS G12C NSCLC AT WCLC
In Phase 1b Study, Patients Treated in First-Line Demonstrated a Confirmed Objective Response Rate of 65% THOUSAND OAKS, Calif. , Sept. 10, 2023 /PRNewswire/ -- Amgen (NASDAQ:AMGN) today announced exciting data from a study arm of the CodeBreaK 101 clinical trial, a Phase 1b study evaluating LUMAKRAS® (sotorasib) with carboplatin and pemetrexed in adult patients with KRAS G12C-mutated advanced non-small cell lung cancer (NSCLC).
Big Pharma's Battle With the Biden Administration Could Have Legs
Wall Street should pay attention as the pharma industry mounts a widening legal campaign against the Inflation Reduction Act.
AMGEN TO PRESENT AT THE MORGAN STANLEY GLOBAL HEALTHCARE CONFERENCE
THOUSAND OAKS, Calif. , Sept. 7, 2023 /PRNewswire/ -- Amgen (NASDAQ:AMGN) will present at the Morgan Stanley Global Healthcare Conference at 8:50 a.m.
Amgen Inc. (AMGN) Citi Global Healthcare Conference (Transcript)
Amgen Inc.
Amgen: Not An Investment Mistake, But It Was Better Before
Amgen could report great quarterly results with revenue, operating income and EPS growing with a solid pace. The stock is undervalued in my opinion and Amgen could be seen as a good investment. However, I think the Horizon acquisition was not the best use of cash and the high debt levels of Amgen are a red flag.
Amgen Inc. (AMGN) Wells Fargo Securities Healthcare Conference (Transcript)
Amgen Inc. (NASDAQ:AMGN ) Wells Fargo Securities Healthcare Conference September 6, 2023 9:30 AM ET Company Participants Arvind Sood - VP of IR Peter Griffith - EVP and CFO Conference Call Participants Mohit Bansal - Wells Fargo Mohit Bansal Thank you very much for joining us today. My name is Mohit Bansal.
Amgen (AMGN) Stock Outperforms Industry YTD: Here's Why
Amgen (AMGN) expects strong sales growth of products like Tezspire, Evenity and Repatha to be offset by lower revenues from oncology biosimilars and Enbrel.
3 Growth Stocks to Buy in September
We're now into September, and that means many investors wonder if the September effect will be in place. This speaks to the historical trend of stocks underperforming in September compared to other months.
The FTC cleared Amgen's $27.8 billion Horizon buyout — here's what it means for other massive pharma deals
Some analysts and M&amp;A experts say the settlement agreement doesn't mean that the FTC will stop baring its teeth at other large buyouts in the industry.
Analysis: FTC settlement could shelter Amgen from US price cuts, taxes
The U.S. Federal Trade Commission's decision on Friday to allow Amgen's takeover of Horizon Therapeutics was the latest setback to its stated goal of stricter antitrust enforcement, and instead paved the way for Amgen to gain drugs not subject to new price negotiations and possibly lower the company's tax burden.</t>
  </si>
  <si>
    <t xml:space="preserve">           1y Target Est                      258.71
           52 Week Range             211.71 - 296.67
                     Ask               261.16 x 1200
             Avg. Volume                   2551730.0
       Beta (5Y Monthly)                        0.61
                     Bid               260.99 x 1000
             Day's Range             257.41 - 262.21
               EPS (TTM)                       14.84
           Earnings Date Nov 01, 2023 - Nov 06, 2023
        Ex-Dividend Date                Aug 17, 2023
Forward Dividend &amp; Yield                8.52 (3.28%)
              Market Cap                    139.304B
                    Open                      258.21
          PE Ratio (TTM)                       17.55
          Previous Close                      259.43
             Quote Price                  260.429993
                  Volume                    662519.0
    Market Cap (intraday) 138.77B
         Enterprise Value 166.07B
             Trailing P/E   17.48
              Forward P/E   13.23
PEG Ratio (5 yr expected)    1.91
        Price/Sales (ttm)    5.25
         Price/Book (mrq)   20.46
 Enterprise Value/Revenue    6.25
  Enterprise Value/EBITDA   11.21</t>
  </si>
  <si>
    <t>AMETEK Promotes Dalip Puri to Senior Vice President, Operational Finance
BERWYN, Pa. , Sept. 8, 2023 /PRNewswire/ -- AMETEK, Inc. (NYSE: AME) today announced that it has named Dalip Puri as Senior Vice President, Operational Finance, effective September 1, 2023.
AMETEK Acquires United Electronic Industries
BERWYN, Pa. , Sept. 6, 2023 /PRNewswire/ -- AMETEK, Inc. (NYSE: AME) today announced the acquisition of United Electronic Industries (UEI), a leading provider of data acquisition and control solutions for the aerospace, defense, energy and semiconductor industries.</t>
  </si>
  <si>
    <t>Ametek</t>
  </si>
  <si>
    <t xml:space="preserve">           1y Target Est                      173.46
           52 Week Range             110.87 - 164.75
                     Ask                  0.00 x 800
             Avg. Volume                    863590.0
       Beta (5Y Monthly)                        1.22
                     Bid                  0.00 x 800
             Day's Range             152.16 - 154.47
               EPS (TTM)                        5.34
           Earnings Date Oct 30, 2023 - Nov 03, 2023
        Ex-Dividend Date                Sep 13, 2023
Forward Dividend &amp; Yield                1.00 (0.65%)
              Market Cap                     35.239B
                    Open                      154.48
          PE Ratio (TTM)                        28.6
          Previous Close                       153.9
             Quote Price                  152.740005
                  Volume                    318414.0
    Market Cap (intraday) 35.51B
         Enterprise Value 37.09B
             Trailing P/E  28.82
              Forward P/E  22.83
PEG Ratio (5 yr expected)   2.28
        Price/Sales (ttm)   5.54
         Price/Book (mrq)   4.39
 Enterprise Value/Revenue   5.78
  Enterprise Value/EBITDA  19.19</t>
  </si>
  <si>
    <t>Amazon Leads 5 Stocks Near Buy Points With A Handle On This Market
The market rally is under pressure, but Amazon and Shopify are stocks to watch that are forging handles in bases.
3 Cheap Top-Ranked Stocks Investors Can't Ignore
Value-conscious investors are always looking for deals, sitting in the shadows and waiting for the rest of the crowd to catch on. The strategy can be quite lucrative, especially when it's paired with the Zacks Rank.
4 Industrial Stocks to Buy as Rate-Hike Fears Subside
Caterpillar (CAT), 3M (MMM), PACCAR (PCAR) and Masco (MAS) are four industrial stocks that can lend solidity to one's portfolio as the Fed continues to go slow on rate hikes.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4 GARP Stocks to Scoop Up for Maximum Returns
Try the GARP strategy when seeking a profitable portfolio of stocks offering optimum value and growth investing. HUBB, CAT, AOS and ADP are some stocks that hold promise.
The 3 Best Retirement Stocks to Buy Now: September 2023
Building a well-rounded portfolio is crucial as you plan for financial stability in your retirement. Diversification is critical, ensuring your investments are spread across various sectors and asset types.
Can Markets Resume Northward Journey in September? 5 Picks
We have narrowed our search to five growth stocks that have solid upside left for the rest of 2023. These are: AMZN, NVDA, CAT, SPLK, RCL.</t>
  </si>
  <si>
    <t xml:space="preserve">           1y Target Est                      282.86
           52 Week Range             160.60 - 293.88
                     Ask                282.79 x 800
             Avg. Volume                   2724482.0
       Beta (5Y Monthly)                         NaN
                     Bid               282.01 x 1300
             Day's Range             279.95 - 285.00
               EPS (TTM)                         NaN
           Earnings Date Oct 25, 2023 - Oct 30, 2023
        Ex-Dividend Date                         NaN
Forward Dividend &amp; Yield                   N/A (N/A)
              Market Cap                    144.711B
                    Open                      284.56
          PE Ratio (TTM)                       20.73
          Previous Close                      282.28
             Quote Price                  280.200012
                  Volume                    550713.0
    Market Cap (intraday) 144.00B
         Enterprise Value 174.32B
             Trailing P/E   17.58
              Forward P/E   13.72
PEG Ratio (5 yr expected)    1.46
        Price/Sales (ttm)    2.27
         Price/Book (mrq)    7.90
 Enterprise Value/Revenue    2.69
  Enterprise Value/EBITDA   12.81</t>
  </si>
  <si>
    <t>4 P&amp;C Insurers to Add to Portfolio Amid a Sluggish September
Better pricing, increase in interest rate, exposure growth and solid capital position should help Axis Capital (AXS), Chubb Limited (CB), Cincinnati Financial (CINF) and First American Financial (FAF) deliver operational excellence and in turn better returns for investors.
3 Companies Committed to Boosting Shareholder Value
Stock buybacks, or share repurchase programs, are commonly executed by companies to boost shareholder value.
CB vs. TKOMY: Which Stock Is the Better Value Option?
Investors looking for stocks in the Insurance - Property and Casualty sector might want to consider either Chubb (CB) or Tokio Marine Holdings Inc. (TKOMY). But which of these two stocks presents investors with the better value opportunity right now?</t>
  </si>
  <si>
    <t xml:space="preserve">           1y Target Est          239.89
           52 Week Range 173.78 - 231.37
                     Ask    205.09 x 800
             Avg. Volume       1783441.0
       Beta (5Y Monthly)            0.66
                     Bid    204.00 x 900
             Day's Range 205.02 - 207.37
               EPS (TTM)           14.04
           Earnings Date    Jul 26, 2023
        Ex-Dividend Date    Sep 14, 2023
Forward Dividend &amp; Yield    3.44 (1.68%)
              Market Cap         84.517B
                    Open           205.5
          PE Ratio (TTM)           14.66
          Previous Close          204.67
             Quote Price      205.768997
                  Volume        252729.0
    Market Cap (intraday) 84.07B
         Enterprise Value 99.30B
             Trailing P/E  14.58
              Forward P/E  10.10
PEG Ratio (5 yr expected)   0.69
        Price/Sales (ttm)   1.84
         Price/Book (mrq)   1.59
 Enterprise Value/Revenue   2.14
  Enterprise Value/EBITDA    NaN</t>
  </si>
  <si>
    <t>Big Institutions Grab ‘Strong Buy' Dividend Stocks in a Sector Not Totally Driven by AI
The strong move higher that Nvidia has driven in the stock market this year has been significant, and the world of artificial intelligence has driven stock prices this year.
Six-Year Outcomes from Phase 3 CheckMate -227 Trial Show Durable, Long-Term Survival with Opdivo (nivolumab) Plus Yervoy (ipilimumab) in the First-Line Treatment of Patients with Metastatic Non-Small Cell Lung Cancer
PRINCETON, N.J.--(BUSINESS WIRE)---- $BMY #CheckMate--Six-Year Outcomes from Phase 3 CheckMate -227 Trial Show Durable, Long-Term Survival with Opdivo Plus Yervoy in the First-Line Treatment.
Bristol Myers Squibb's Investigational LPA1 Antagonist Reduces Rate of Lung Function Decline in Progressive Pulmonary Fibrosis Cohort of Phase 2 Study
PRINCETON, N.J.--(BUSINESS WIRE)---- $BMY #ALOFT--Bristol Myers Squibb's Investigational LPA1 Antagonist Reduces Rate of Lung Function Decline in Progressive Pulmonary Fibrosis Cohort of Phase 2 Study.
Big Pharma's Battle With the Biden Administration Could Have Legs
Wall Street should pay attention as the pharma industry mounts a widening legal campaign against the Inflation Reduction Act.
The 3 Best Pharma Stocks to Buy Now: September 2023
The pharmaceutical sector will always be a sector in constant evolution and growth. As technology advances, the companies that make life in this sector will always be applying it, as well as implementing new processes, new combinations, and new formulas, always with the aim of being able to make medicines and treatments much more effective and efficient for all of us.
Bristol Myers Squibb Celebrates a Decade of Its Coast 2 Coast 4 Cancer Cross-Country Bike Ride in Support of the V Foundation for Cancer Research
PRINCETON, N.J.--(BUSINESS WIRE)---- $BMY #C2C4C--Bristol Myers Squibb Celebrates a Decade of Its Coast 2 Coast 4 Cancer Cross-Country Bike Ride in Support of the V Foundation for Cancer Research.
Bristol Myers accused of illegal tactics to keep Pomalyst monopoly in lawsuit
Bristol Myers Squibb has been accused in a new lawsuit of using fraudulent patents and other illegal tactics to maintain its monopoly on blockbuster blood cancer drug Pomalyst for years after it should have faced generic competition.</t>
  </si>
  <si>
    <t xml:space="preserve">           1y Target Est         72.72
           52 Week Range 59.45 - 81.44
                     Ask    0.00 x 800
             Avg. Volume     9937474.0
       Beta (5Y Monthly)          0.41
                     Bid   0.00 x 1800
             Day's Range 60.70 - 61.42
               EPS (TTM)          3.76
           Earnings Date  Oct 26, 2023
        Ex-Dividend Date  Jul 06, 2023
Forward Dividend &amp; Yield  2.28 (3.80%)
              Market Cap      127.487B
                    Open         60.75
          PE Ratio (TTM)         16.23
          Previous Close         60.82
             Quote Price     61.025002
                  Volume     2863654.0
    Market Cap (intraday) 127.06B
         Enterprise Value 157.52B
             Trailing P/E   16.18
              Forward P/E    7.70
PEG Ratio (5 yr expected)    0.49
        Price/Sales (ttm)    2.85
         Price/Book (mrq)    3.97
 Enterprise Value/Revenue    3.49
  Enterprise Value/EBITDA    7.94</t>
  </si>
  <si>
    <t>Cboe Global Markets Reports Trading Volume for August 2023
CHICAGO , Sept. 6, 2023 /PRNewswire/ -- Cboe Global Markets, Inc. (Cboe: CBOE), the world's leading derivatives and securities exchange network, today reported August monthly trading volume statistics across its global business lines.
Cboe Q2 Net Revenue Up By Double Digits Driven By Strong Growth In Options Business
CHICAGO, IL / ACCESSWIRE / September 6, 2023 / Cboe Global Markets (BATS: CBOE) has unveiled its Q2 financial results, showcasing robust performance driven by rising revenues in the derivatives markets and Data &amp; Access solutions sectors. These gains were partially counterbalanced by declines in the North American equities, Europe and Asia Pacific, and futures business segments.</t>
  </si>
  <si>
    <t xml:space="preserve">           1y Target Est                      157.38
           52 Week Range             114.17 - 154.89
                     Ask               152.70 x 1100
             Avg. Volume                    594961.0
       Beta (5Y Monthly)                        0.51
                     Bid                152.58 x 800
             Day's Range             152.54 - 153.92
               EPS (TTM)                        6.09
           Earnings Date Nov 02, 2023 - Nov 06, 2023
        Ex-Dividend Date                Aug 30, 2023
Forward Dividend &amp; Yield                2.20 (1.44%)
              Market Cap                     16.137B
                    Open                      152.84
          PE Ratio (TTM)                       25.11
          Previous Close                      153.06
             Quote Price                  152.929993
                  Volume                     70929.0
    Market Cap (intraday) 16.15B
         Enterprise Value 17.38B
             Trailing P/E  25.13
              Forward P/E  19.96
PEG Ratio (5 yr expected)    NaN
        Price/Sales (ttm)   4.19
         Price/Book (mrq)   4.41
 Enterprise Value/Revenue   4.46
  Enterprise Value/EBITDA  14.62</t>
  </si>
  <si>
    <t>Reasons Why You Should Bet on Trane Technologies (TT) Now
Trane Technologies (TT) has a consistent record of rewarding its shareholders through dividend payments and share repurchases.
Trane Technologies: A Good Buy At Current Levels
Trane Technologies has strong revenue growth prospects driven by a strong backlog, secular megatrends, stimulus funding, and M&amp;As. The company's revenue in Q2 2023 increased 12% YoY, driven by robust demand in the commercial HVAC business. Trane Technologies is well-positioned to benefit from decarbonization, sustainability trends, and new product innovations.
Trane Technologies to Present at the Morgan Stanley Laguna Conference
SWORDS, Ireland--(BUSINESS WIRE)--Trane Technologies plc (NYSE: TT) a global climate innovator, today announced that company leadership will participate in a fireside chat at the Morgan Stanley Laguna Conference. They will speak at 11:05 a.m. PDT on Tuesday, September 12, 2023. The live webcast will be accessible on the Trane Technologies website at www.tranetechnologies.com under the investor relations section. An archive of the webcast will be available for 30 days following the event. About.</t>
  </si>
  <si>
    <t xml:space="preserve">           1y Target Est          213.81
           52 Week Range 139.07 - 209.17
                     Ask     0.00 x 2200
             Avg. Volume       1031016.0
       Beta (5Y Monthly)             1.2
                     Bid     0.00 x 1100
             Day's Range 206.00 - 209.15
               EPS (TTM)             8.2
           Earnings Date    Aug 02, 2023
        Ex-Dividend Date    Aug 31, 2023
Forward Dividend &amp; Yield    3.00 (1.45%)
              Market Cap         47.475B
                    Open          206.94
          PE Ratio (TTM)           25.35
          Previous Close          205.94
             Quote Price      207.860001
                  Volume        458891.0
    Market Cap (intraday) 47.04B
         Enterprise Value 51.40B
             Trailing P/E  25.11
              Forward P/E  21.23
PEG Ratio (5 yr expected)   2.04
        Price/Sales (ttm)   2.84
         Price/Book (mrq)   7.52
 Enterprise Value/Revenue   3.06
  Enterprise Value/EBITDA  17.67</t>
  </si>
  <si>
    <t>3 Stocks to Play the Easing Food Supply Chain
Rampant inflation affected price tags across every sector, including grocery items and restaurants. Today, thanks to the efforts made by the FED in combating these out-of-control price increases, consumers have an easier time budgeting for these items.
Tractor Supply Launches Limited-Edition T-shirt to Support 96Th National FFA Convention
BRENTWOOD, Tenn.--(BUSINESS WIRE)-- #FutureFarmers--Tractor Supply Company (NASDAQ: TSCO), the largest rural lifestyle retailer in the United States, announced today the launch of its ninth annual National Future Farmers of America Organization (FFA) T-shirt fundraiser. For a limited time, customers can purchase special-edition FFA T-shirts exclusively at Tractor Supply stores nationwide and online to support FFA and its ongoing commitment to the future of agriculture. Campaign proceeds will be distributed to F.
4 Top Dividend Growth Stocks of the S&amp;P 500 That Have Major Long-Term Potential for Investors
These companies have delivered annual dividend growth of 24% to 35% over the last five years. Despite this rapid pace, the highest payout ratio of the group is only 39%.
Will Tractor Supply's (TSCO) Growth Plans Aid Amid Inflation?
Tractor Supply (TSCO) remains well poised on the back of online strength, solid demand and other growth efforts, despite inflation and cost woes.
Tractor Supply Honors Top Vendor Partners
BRENTWOOD, Tenn.--(BUSINESS WIRE)-- #4H--Tractor Supply Company (NASDAQ: TSCO), the largest rural lifestyle retailer in the United States, announced today its top vendor partners for 2023. The company recognized these vendors during its annual Partnership Conference held on August 30. Companies were selected based on factors including collaboration, service and commitment to providing quality products that support Life Out Here. “Our customers count on us for everything they need to live Life Out Her.</t>
  </si>
  <si>
    <t xml:space="preserve">           1y Target Est                      246.87
           52 Week Range             181.40 - 251.17
                     Ask                218.49 x 800
             Avg. Volume                   1271508.0
       Beta (5Y Monthly)                        0.81
                     Bid                218.25 x 800
             Day's Range             216.90 - 219.03
               EPS (TTM)                        10.0
           Earnings Date Oct 18, 2023 - Oct 23, 2023
        Ex-Dividend Date                Aug 25, 2023
Forward Dividend &amp; Yield                4.12 (1.90%)
              Market Cap                     23.777B
                    Open                       218.1
          PE Ratio (TTM)                       21.85
          Previous Close                      217.39
             Quote Price                  218.520004
                  Volume                    260892.0
    Market Cap (intraday) 23.65B
         Enterprise Value 27.88B
             Trailing P/E  21.72
              Forward P/E  19.30
PEG Ratio (5 yr expected)   1.98
        Price/Sales (ttm)   1.63
         Price/Book (mrq)  11.33
 Enterprise Value/Revenue   1.89
  Enterprise Value/EBITDA  15.06</t>
  </si>
  <si>
    <t>Wall Street Analysts Think Cadence (CDNS) Is a Good Investment: Is It?
Investors often turn to recommendations made by Wall Street analysts before making a Buy, Sell, or Hold decision about a stock. While media reports about rating changes by these brokerage-firm employed (or sell-side) analysts often affect a stock's price, do they really matter?
Cadence (CDNS) Gains From Healthy Consumer Demand Trends
Cadence's (CDNS) performance is being driven by solid customer demand for its diversified product portfolio. Frequent product launches and strategic collaborations are tailwinds.</t>
  </si>
  <si>
    <t xml:space="preserve">           1y Target Est                      261.89
           52 Week Range             138.76 - 248.16
                     Ask                240.82 x 800
             Avg. Volume                   1740246.0
       Beta (5Y Monthly)                        1.03
                     Bid               240.62 x 1000
             Day's Range             238.78 - 241.22
               EPS (TTM)                        3.21
           Earnings Date Oct 23, 2023 - Oct 27, 2023
        Ex-Dividend Date                         NaN
Forward Dividend &amp; Yield                   N/A (N/A)
              Market Cap                     65.394B
                    Open                      238.78
          PE Ratio (TTM)                       74.95
          Previous Close                      237.99
             Quote Price                  240.604996
                  Volume                    381618.0
    Market Cap (intraday) 64.68B
         Enterprise Value 64.46B
             Trailing P/E  73.00
              Forward P/E  41.49
PEG Ratio (5 yr expected)   3.05
        Price/Sales (ttm)  17.13
         Price/Book (mrq)  22.24
 Enterprise Value/Revenue  16.96
  Enterprise Value/EBITDA  51.64</t>
  </si>
  <si>
    <t>The 3 Best Tech Stocks to Buy Now: September 2023
Recently, Chicago Federal Reserve Bank President Austan Goolsbee stated that the economy is on the golden path, marked by a decrease in inflation and the avoidance of a recession. Fed policymakers are widely expected to leave its target policy rate in its current range of 5.25%-5.50% when they meet in about two weeks.
Should You Invest in Applied Materials (AMAT) Based on Bullish Wall Street Views?
The recommendations of Wall Street analysts are often relied on by investors when deciding whether to buy, sell, or hold a stock. Media reports about these brokerage-firm-employed (or sell-side) analysts changing their ratings often affect a stock's price.
These 10 stocks have the most exposure to China's 'stalling' economy, BofA warns
China's "stalling" economy is putting some US companies at risk, according to Bank of America. High rates of youth unemployment and recent property defaults have put pressure on the Chinese economy.
10 U.S. Companies Face Much Larger Problems In China Than Apple
If you think Apple has a big "China problem" — you'll be shocked to know it's tiny compared with some other S&amp;P 500 companies.
Applied Materials Announces Cash Dividend
SANTA CLARA, Calif., Sept. 07, 2023 (GLOBE NEWSWIRE) -- Applied Materials, Inc. today announced that its Board of Directors has approved a quarterly cash dividend of $0.32 per share payable on the company's common stock. The dividend is payable on Dec. 14, 2023 to shareholders of record as of Nov. 24, 2023.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3 Reasons Growth Investors Will Love Applied Materials (AMAT)
Applied Materials (AMAT) possesses solid growth attributes, which could help it handily outperform the market.
Why Applied Materials (AMAT) is a Top Growth Stock for the Long-Term
Whether you're a value, growth, or momentum investor, finding strong stocks becomes easier with the Zacks Style Scores, a top feature of the Zacks Premium research service.
Applied Materials, Inc. (AMAT) Goldman Sachs 2023 Communacopia &amp; Technology Conference (Transcript)
Applied Materials, Inc. (NASDAQ:AMAT ) Goldman Sachs 2023 Communacopia &amp; Technology Conference September 6, 2023 11:50 AM ET Company Participants Gary Dickerson - President and Chief Executive Officer Conference Call Participants Toshiya Hari - Goldman Sachs Toshiya Hari Good morning, everyone. We'd like to get started.
Is Applied Materials (AMAT) Stock Outpacing Its Computer and Technology Peers This Year?
Here is how Applied Materials (AMAT) and Arlo Technologies (ARLO) have performed compared to their sector so far this year.</t>
  </si>
  <si>
    <t xml:space="preserve">           1y Target Est                      154.33
           52 Week Range              71.12 - 155.26
                     Ask                145.29 x 800
             Avg. Volume                   5681551.0
       Beta (5Y Monthly)                         1.6
                     Bid               145.21 x 1100
             Day's Range             144.04 - 150.00
               EPS (TTM)                        7.58
           Earnings Date Nov 16, 2023 - Nov 17, 2023
        Ex-Dividend Date                Nov 22, 2023
Forward Dividend &amp; Yield                1.28 (0.87%)
              Market Cap                    120.959B
                    Open                       150.0
          PE Ratio (TTM)                       19.08
          Previous Close                      147.53
             Quote Price                  144.595001
                  Volume                   1566887.0
    Market Cap (intraday) 123.41B
         Enterprise Value 122.98B
             Trailing P/E   19.46
              Forward P/E   18.73
PEG Ratio (5 yr expected)    4.84
        Price/Sales (ttm)    4.72
         Price/Book (mrq)    8.18
 Enterprise Value/Revenue    4.63
  Enterprise Value/EBITDA   14.93</t>
  </si>
  <si>
    <t>Celanese (CE) Up 0.8% Since Last Earnings Report: Can It Continue?
Celanese (CE) reported earnings 30 days ago. What's next for the stock?</t>
  </si>
  <si>
    <t xml:space="preserve">           1y Target Est                      130.74
           52 Week Range              86.71 - 129.27
                     Ask                125.07 x 800
             Avg. Volume                   1304309.0
       Beta (5Y Monthly)                        1.31
                     Bid                123.87 x 800
             Day's Range             125.63 - 127.33
               EPS (TTM)                       11.65
           Earnings Date Nov 01, 2023 - Nov 06, 2023
        Ex-Dividend Date                Jul 28, 2023
Forward Dividend &amp; Yield                2.80 (2.25%)
              Market Cap                     13.682B
                    Open                      125.92
          PE Ratio (TTM)                       10.79
          Previous Close                      124.55
             Quote Price                  125.690002
                  Volume                    205899.0
    Market Cap (intraday) 13.56B
         Enterprise Value 27.12B
             Trailing P/E  10.70
              Forward P/E   9.36
PEG Ratio (5 yr expected)   4.16
        Price/Sales (ttm)   1.32
         Price/Book (mrq)   2.41
 Enterprise Value/Revenue   2.63
  Enterprise Value/EBITDA  14.29</t>
  </si>
  <si>
    <t>3 Stocks to Play the Easing Food Supply Chain
Rampant inflation affected price tags across every sector, including grocery items and restaurants. Today, thanks to the efforts made by the FED in combating these out-of-control price increases, consumers have an easier time budgeting for these items.
CF Industries (CF) Shares Up 19% in 3 Months: Here's Why
While CF Industries (CF) is facing headwinds from lower nitrogen prices, it is gaining from healthy nitrogen fertilizer demand in major markets and lower natural gas costs.</t>
  </si>
  <si>
    <t xml:space="preserve">           1y Target Est           86.8
           52 Week Range 60.08 - 112.44
                     Ask   84.83 x 1100
             Avg. Volume      2311640.0
       Beta (5Y Monthly)           1.04
                     Bid    83.42 x 900
             Day's Range  82.64 - 85.18
               EPS (TTM)          12.15
           Earnings Date   Nov 01, 2023
        Ex-Dividend Date   Aug 14, 2023
Forward Dividend &amp; Yield   1.60 (1.91%)
              Market Cap         15.98B
                    Open           84.2
          PE Ratio (TTM)           6.82
          Previous Close          83.74
             Quote Price         82.819
                  Volume      1065594.0
    Market Cap (intraday) 16.16B
         Enterprise Value 16.18B
             Trailing P/E   6.89
              Forward P/E  11.21
PEG Ratio (5 yr expected)    NaN
        Price/Sales (ttm)   1.90
         Price/Book (mrq)   2.78
 Enterprise Value/Revenue   1.86
  Enterprise Value/EBITDA   3.64</t>
  </si>
  <si>
    <t>Church &amp; Dwight: Interesting H2 2023 Setup Makes Me Positive About The Near Term (Rating Upgrade)
Church &amp; Dwight is now a buy recommendation with a potential attractive return over the next 1-2 quarters. CHD's 2Q23 results exceeded expectations, driven by organic sales growth and improved margins. Management's guidance suggests a deceleration in the latter half of the year, but potential factors may lead to better-than-expected results.</t>
  </si>
  <si>
    <t xml:space="preserve">           1y Target Est                      100.66
           52 Week Range              70.16 - 100.52
                     Ask                  0.00 x 800
             Avg. Volume                   1374135.0
       Beta (5Y Monthly)                        0.47
                     Bid                 89.62 x 800
             Day's Range               95.82 - 96.89
               EPS (TTM)                        1.81
           Earnings Date Oct 26, 2023 - Oct 30, 2023
        Ex-Dividend Date                Aug 14, 2023
Forward Dividend &amp; Yield                1.09 (1.14%)
              Market Cap                     23.709B
                    Open                       96.93
          PE Ratio (TTM)                       53.24
          Previous Close                       95.67
             Quote Price                   96.360001
                  Volume                    222332.0
    Market Cap (intraday) 23.54B
         Enterprise Value 25.55B
             Trailing P/E  52.86
              Forward P/E  28.17
PEG Ratio (5 yr expected)   3.60
        Price/Sales (ttm)   4.19
         Price/Book (mrq)   6.02
 Enterprise Value/Revenue   4.53
  Enterprise Value/EBITDA  28.98</t>
  </si>
  <si>
    <t>T-Mobile Announces Proposed Public Offering of Senior Notes
BELLEVUE, Wash.--(BUSINESS WIRE)--T-Mobile US, Inc. (NASDAQ: TMUS) (“T-Mobile”) announced today that T-Mobile USA, Inc., its direct wholly-owned subsidiary (“T-Mobile USA” or the “Issuer”), plans to offer, subject to market and other conditions, senior notes (the “notes”) in a registered public offering. T-Mobile USA intends to use the net proceeds from the offering for general corporate purposes, which may include among other things, share repurchases, any dividends declared by T-Mobile's Boar.
Does T-Mobile's New Dividend Make the Stock a Buy?
T-Mobile declared a small dividend with its new shareholder return program. The dividend will grow quickly over the next few years.
Is T-Mobile a Top Dividend Stock?
T-Mobile will pay its first dividend in the fourth quarter. The company will also add to its share buyback program.
Income Alert: Investors Have Another New (and Potentially Brilliant) Dividend Stock to Consider
T-Mobile plans to start paying dividends. While it will offer a lower yield than its wireless rivals, it will likely grow its payout much faster.
Why T-Mobile Rose Today
T-Mobile's CEO announced the company would begin paying a dividend. The stock initially fell yesterday on the announcement, as the company also pushed out its 2025 shareholder return targets slightly.
T-Mobile US, Inc. to Present at the Bank of America Media, Communications &amp; Entertainment Conference
BELLEVUE, Wash.--(BUSINESS WIRE)--Peter Osvaldik, executive vice president &amp; chief financial officer, and Jon Freier, president of the consumer group of T-Mobile US, Inc. (NASDAQ: TMUS), will present and provide a business update on Wednesday, September 13, 2023 at 9:40 a.m. Eastern Daylight Time at the Bank of America Media, Communications &amp; Entertainment Conference. A live webcast of the event will be available on the Company's Investor Relations website at http://investor.t-mobile.co.
T-Mobile: Expected Dividend Growth Does Not Make It A Buy
T-Mobile's management is famous for its focus on cost management and profitability expansion. After a recent 7% workforce layoff, the company plans to start paying dividends by the end of the year and expects a 10% annual dividend growth. T-Mobile's dividend growth plans might look attractive, but the long-term forward yield is still lower than the current forward yield offered by the company's telecom competitors.
T-Mobile US, Inc. (TMUS) Goldman Sachs Communacopia + Technology Conference (Transcript)
T-Mobile US, Inc. (NASDAQ:TMUS ) Goldman Sachs Communacopia + Technology Conference September 6, 2023 1:10 AM ET Company Participants Mike Sievert - President &amp; CEO Conference Call Participants Brett Feldman - Goldman Sachs Brett Feldman Alright. If everyone could please find a seat, we're going to get started here with our next session.
T-Mobile Will Start to Pay a Dividend. The Market Doesn't Like That Idea.
T-Mobile will join telecom peers AT&amp;T and Verizon Communications by starting to pay a dividend. The stock will yield around 1.9%.
T-Mobile announces shareholder return program of up to $19 bln
T-Mobile US said on Wednesday it has authorized a shareholder return program of up to $19 billion that will run through December 31, 2024.
T-Mobile US sets $19 billion shareholder return program, including first-ever dividend payment
Shares of T-Mobile US Inc. TMUS fell 1.1% in afternoon trading Wednesday, even after the Washington-based wireless communications company said it approved a $19 billion shareholder return program through 2024, that includes both stock buybacks and dividends. The program is in addition to the $14 billion stock repurchase program the company announced in September 2022.
5G Stocks To Watch As Huawei Ramps Mate 60 Pro Versus IPhone 15
The best 5G stocks to invest in will change as smartphone apps, fixed broadband, enterprise services and the metaverse develop over time.
Is T-Mobile A Buy Amid 5G Network Build-Out Edge And Buyback?
T-Mobile holds an edge in 5G wireless spectrum but will its market share gains vs. rivals continue?</t>
  </si>
  <si>
    <t xml:space="preserve">           1y Target Est          176.81
           52 Week Range 124.92 - 154.38
                     Ask    139.93 x 900
             Avg. Volume       4824985.0
       Beta (5Y Monthly)            0.55
                     Bid   139.89 x 1000
             Day's Range 138.05 - 140.63
               EPS (TTM)            5.04
           Earnings Date    Oct 25, 2023
        Ex-Dividend Date    May 01, 2013
Forward Dividend &amp; Yield       N/A (N/A)
              Market Cap         164.74B
                    Open          138.31
          PE Ratio (TTM)           27.78
          Previous Close          137.63
             Quote Price      140.029999
                  Volume       1979821.0
    Market Cap (intraday) 161.92B
         Enterprise Value 267.96B
             Trailing P/E   27.42
              Forward P/E   13.24
PEG Ratio (5 yr expected)    0.24
        Price/Sales (ttm)    2.16
         Price/Book (mrq)    2.46
 Enterprise Value/Revenue    3.41
  Enterprise Value/EBITDA   11.11</t>
  </si>
  <si>
    <t>14 Upcoming Dividend Increases
The article provides insights on upcoming dividend increases, indicating strong business performance and commitment to rewarding shareholders. The list includes companies with at least five years of consistent dividend growth and higher total dividends paid out each year. The article also includes tables and metrics to help investors prioritize stocks based on yield, growth rates, and historical returns.
Why Is Broadridge Financial (BR) Up 3.8% Since Last Earnings Report?
Broadridge Financial (BR) reported earnings 30 days ago. What's next for the stock?
Broadridge Named a Leader in Digital Experience Platforms for Asset and Wealth Management Products by Everest Group
Everest Group PEAK Matrix® highlights Broadridge's strength in digital platforms for regulatory investor communications and top rating for value delivered and technology capability NEW YORK , Sept. 7, 2023 /PRNewswire/ -- Broadridge Financial Solutions, Inc. (NYSE:BR), a global Fintech leader, has been recognized by independent research firm Everest Group as a Leader in its inaugural Digital Experience Platforms (DXP) in Asset and Wealth Management (AWM) Products PEAK Matrix® Assessment 2023.
NioCorp Provides Preliminary Financial Results for the Fiscal Year Ended June 30, 2023
CENTENNIAL, CO / ACCESSWIRE / September 6, 2023 / NioCorp Developments Ltd. ("NioCorp" or the "Company") (NASDAQ:NB)(TSX:NB) today provided its preliminary financial results for the fiscal year ended June 30, 2023.
Michael Tae and Doug DeSchutter Appointed Co-Presidents of Broadridge's Investor Communication Solutions Business
Bob Schifellite to become Chairman of Investor Communication Solutions NEW YORK , Sept. 6, 2023 /PRNewswire/ -- Broadridge Financial Solutions, Inc. (NYSE:BR) today announced the appointment of Michael Tae and Doug DeSchutter as Co-Presidents of its Investor Communication Solutions (ICS) business, effective October 1, 2023.
4 Stocks to Benefit from a Blooming Outsourcing Industry
The Zacks Outsourcing industry is expected to prosper with the rising importance of business and IT outsourcing. ADP, PAYX, BR and G are well poised to gain from the prevailing trends.
S&amp;P500 Logs Worst Month Since February: 5 Top Stocks in ETF
The S&amp;P 500 had its worst month since February, losing 1.4% in August. Despite the losses, some stocks in the ETF stood tall.
Is Broadridge Financial Solutions (BR) Stock Outpacing Its Business Services Peers This Year?
Here is how Broadridge Financial Solutions (BR) and Microvast Holdings, Inc. (MVST) have performed compared to their sector so far this year.</t>
  </si>
  <si>
    <t xml:space="preserve">           1y Target Est                       177.0
           52 Week Range             131.35 - 189.08
                     Ask                  0.00 x 800
             Avg. Volume                    482256.0
       Beta (5Y Monthly)                        0.99
                     Bid                  0.00 x 900
             Day's Range             187.28 - 188.75
               EPS (TTM)                         5.3
           Earnings Date Oct 31, 2023 - Nov 06, 2023
        Ex-Dividend Date                Sep 14, 2023
Forward Dividend &amp; Yield                3.20 (1.71%)
              Market Cap                      22.29B
                    Open                      187.83
          PE Ratio (TTM)                       35.61
          Previous Close                      187.73
             Quote Price                  188.710007
                  Volume                     82191.0
    Market Cap (intraday) 22.17B
         Enterprise Value 25.57B
             Trailing P/E  35.42
              Forward P/E  24.51
PEG Ratio (5 yr expected)   1.65
        Price/Sales (ttm)   3.69
         Price/Book (mrq)   9.90
 Enterprise Value/Revenue   4.22
  Enterprise Value/EBITDA  20.67</t>
  </si>
  <si>
    <t>Major shareholder announcement - BlackRock, Inc.
ANNOUNCEMENT NO. 2 4 1 11 September 2023 Major shareholder announcement Major shareholder announcement – BlackRock, Inc.          Pursuant to Section 30 of the Capital Markets Act, it is hereby announced that BlackRock, Inc. has informed ChemoMetec A/S that BlackRock Investment Management (UK) Limited on September 7, 2023, has increased its total holdings and voting rights attached to shares and voting rights in ChemoMetec A/S to above 5% and thus exceeds the 5% limit in section 38 and 39 of the Capital Markets Act.
It's Not Just BlackRock. Exchanges Like Nasdaq Are Pushing into Crypto, Too.
Traditional exchanges have opportunities in crypto beyond listing Bitcoin ETFs, including selling market data and tokenizing other assets.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BlackRock, Temasek back electric-vehicle battery recycling company Ascend Elements
A partnership between BlackRock Inc. BLK and Singapore-based Temasek on Wednesday said they led a $460 million Series D funding round for electric vehicle battery maker Ascend Elements Inc. Decarbonization Partners, which is made up of BlackRock and Temasek, said Westborough, Mass.-based Ascend Elements has raised $542 million in funding in 2023 as it grows its business as a recycler of lithium-ion batteries.
As bonds stumble to start September, BlackRock's fixed-income ETF using options strategy is outperforming this year
The U.S. bond market has kicked September off with broad losses, extending its summer slide as investors hunt for income strategies in a volatile environment for yield.
2 Stocks to Watch as the SEC Stalls on Bitcoin ETF Filings (Revised)
BlackRock (BLK) and Invesco (IVZ) are two asset managers that are directly affected by the SEC's delay in passing the verdict on Bitcoin ETF applications.
Bitcoin ETF would be a win for BlackRock — but maybe not for crypto investors
BlackRock's BLK recent venture into the cryptocurrency market was a bold move that captured the attention of investors, regulators, and industry experts alike. With the announcement of a proposed cryptocurrency exchange-traded fund (ETF), BlackRock signaled its intention to play a significant role in shaping the future of digital assets.
Is Bitcoin ETF Launch A Promising Development For Crypto Stocks?
Coinbase Global Inc. NASDAQ: COIN pulled back after rocketing nearly 15% higher on August 29 on news that a potential launch of a long-awaited Bitcoin ETF may be getting closer.
Blackrock Health Announces €25 Million Investment In New Digital Transformation Programme Creating 60 Jobs
CANTON, Mass.--(BUSINESS WIRE)--Blackrock Health Group, which comprises of the Blackrock, Galway, Hermitage and Limerick Clinics, has announced a €25 million investment in a new digital transformation programme. The investment includes the introduction of the very latest in electronic health record systems, MEDITECH Expanse, and the introduction of Ireland's first integrated digital engagement platform that will enable connectivity between patients, consultants and general practitioners (GPs).</t>
  </si>
  <si>
    <t xml:space="preserve">           1y Target Est                      817.38
           52 Week Range             503.12 - 785.65
                     Ask                  0.00 x 800
             Avg. Volume                    543588.0
       Beta (5Y Monthly)                         1.3
                     Bid                 0.00 x 1400
             Day's Range             691.99 - 697.78
               EPS (TTM)                       34.25
           Earnings Date Oct 11, 2023 - Oct 16, 2023
        Ex-Dividend Date                Sep 07, 2023
Forward Dividend &amp; Yield               20.00 (2.90%)
              Market Cap                    103.452B
                    Open                      695.46
          PE Ratio (TTM)                       20.23
          Previous Close                      690.62
             Quote Price                  692.900024
                  Volume                    109832.0
    Market Cap (intraday) 103.11B
         Enterprise Value 106.00B
             Trailing P/E   20.17
              Forward P/E   17.45
PEG Ratio (5 yr expected)    2.43
        Price/Sales (ttm)    6.03
         Price/Book (mrq)    2.70
 Enterprise Value/Revenue    6.11
  Enterprise Value/EBITDA   14.28</t>
  </si>
  <si>
    <t>4 P&amp;C Insurers to Add to Portfolio Amid a Sluggish September
Better pricing, increase in interest rate, exposure growth and solid capital position should help Axis Capital (AXS), Chubb Limited (CB), Cincinnati Financial (CINF) and First American Financial (FAF) deliver operational excellence and in turn better returns for investors.
Cincinnati Financial (CINF) Gains 9% QTD: Should You Buy It?
Higher level of insured exposures, rate increase, agent-focused business model, consistent cash flow and a solid capital position continue to drive Cincinnati Financial (CINF).</t>
  </si>
  <si>
    <t xml:space="preserve">           1y Target Est                       122.8
           52 Week Range              88.66 - 130.66
                     Ask                105.61 x 800
             Avg. Volume                    689683.0
       Beta (5Y Monthly)                        0.62
                     Bid                105.55 x 800
             Day's Range             105.29 - 106.20
               EPS (TTM)                        8.51
           Earnings Date Oct 30, 2023 - Nov 03, 2023
        Ex-Dividend Date                Sep 15, 2023
Forward Dividend &amp; Yield                3.00 (2.86%)
              Market Cap                     16.583B
                    Open                      105.52
          PE Ratio (TTM)                       12.42
          Previous Close                       105.0
             Quote Price                  105.720001
                  Volume                     88299.0
    Market Cap (intraday) 16.47B
         Enterprise Value 16.59B
             Trailing P/E  12.34
              Forward P/E  16.16
PEG Ratio (5 yr expected)    NaN
        Price/Sales (ttm)   1.77
         Price/Book (mrq)   1.49
 Enterprise Value/Revenue   1.77
  Enterprise Value/EBITDA    NaN</t>
  </si>
  <si>
    <t>Ansys: A Near Perfect Stock?
Ansys Inc ( ANSS , Financial) is a premier player in the realm of 3D engineering, with its headquarters in Pennsylvania. It offers cloud-based software solutions tailored to various industries, including aerospace, automotive, energy, and semiconductors.
Ansys' Global Partnership with F1 in Schools Empowers and Inspires New Generation of Engineers
Ansys computational fluid dynamics (CFD) simulation solutions will enable F1 in Schools teams to design, test, and optimize their race cars  / Key Highlights Ansys' partnership with F1 in Schools extends its support for science, technology, engineering, and math (STEM) initiatives, reaching hundreds of thousands of school-age children in 58 countries Partnership to take effect ahead of the September kickoff of the 2023-2024 F1 in Schools racing season, ensuring students have access to the tools they need to successfully compete throughout the year PITTSBURGH , Sept. 7, 2023 /PRNewswire/ -- Ansys (NASDAQ: ANSS) entered into a partnership with the F1 in Schools organization to provide CFD simulation solutions for participating student teams representing 58 countries.</t>
  </si>
  <si>
    <t xml:space="preserve">           1y Target Est                      339.86
           52 Week Range             194.23 - 351.23
                     Ask                314.64 x 900
             Avg. Volume                    458611.0
       Beta (5Y Monthly)                        1.24
                     Bid                314.17 x 800
             Day's Range             311.36 - 316.67
               EPS (TTM)                        5.91
           Earnings Date Oct 31, 2023 - Nov 06, 2023
        Ex-Dividend Date                         NaN
Forward Dividend &amp; Yield                   N/A (N/A)
              Market Cap                     27.231B
                    Open                       316.1
          PE Ratio (TTM)                       53.09
          Previous Close                      314.35
             Quote Price                  313.757507
                  Volume                     95174.0
    Market Cap (intraday) 27.28B
         Enterprise Value 27.66B
             Trailing P/E  52.39
              Forward P/E  32.47
PEG Ratio (5 yr expected)   3.71
        Price/Sales (ttm)  12.64
         Price/Book (mrq)   5.55
 Enterprise Value/Revenue  12.73
  Enterprise Value/EBITDA  37.47</t>
  </si>
  <si>
    <t>8 Dividend Aristocrat Stocks to Buy Now With a Recession (and Inflation) Looming Large in 2024
We follow the bond market closely at 24/7 Wall St., and for almost a year now there has been an inversion (or difference in yield) between the two-year Treasury paper and the benchmark 10-year note.
3 Winners as Cooling Jobs Market Lifts Rate Hike Pause Hopes
As Fed rate hike fears wane on weak labor market data, investing in stocks such as Atmos Energy (ATO), TopBuild (BLD) and NVIDIA (NVDA) seems prudent.</t>
  </si>
  <si>
    <t xml:space="preserve">           1y Target Est                      127.33
           52 Week Range              97.71 - 125.28
                     Ask                 0.00 x 3100
             Avg. Volume                    710350.0
       Beta (5Y Monthly)                        0.62
                     Bid                  0.00 x 900
             Day's Range             113.50 - 114.62
               EPS (TTM)                        5.81
           Earnings Date Nov 07, 2023 - Nov 13, 2023
        Ex-Dividend Date                Aug 18, 2023
Forward Dividend &amp; Yield                2.96 (2.59%)
              Market Cap                     16.904B
                    Open                      113.84
          PE Ratio (TTM)                        19.6
          Previous Close                      114.18
             Quote Price                  113.860001
                  Volume                    165943.0
    Market Cap (intraday) 16.95B
         Enterprise Value 23.55B
             Trailing P/E  19.65
              Forward P/E  17.67
PEG Ratio (5 yr expected)   2.42
        Price/Sales (ttm)   3.71
         Price/Book (mrq)   1.60
 Enterprise Value/Revenue   5.34
  Enterprise Value/EBITDA  14.14</t>
  </si>
  <si>
    <t>Is Housing A Falling Knife?
Share prices have fallen, but I still believe in REITs and see potential bargains. Mortgage rates have soared, making homes less affordable. Refinancing 2 years ago resulted in much better rates. I suggest a time machine. Go back in time to September 2021, when I explicitly encouraged my readers to lock in 2.125% mortgage rates.
AvalonBay: Increased Guidance And Improved Outlook
AvalonBay Communities is a residential REIT with a focus on coastal markets in the US. Legacy markets are becoming more favorable due to lower supply and strong demand. AVB has seen impressive growth in FFO per share and increased its full-year guidance.
Apartment Rents Level Despite Healthy Demand &amp; Supply Surge
Rent growth is slowing, but demand remains strong. Dive into the dynamics behind this transformation and see how industry leaders like AVB and EQR are adapting to the evolving landscape.
AvalonBay Communities, Inc. Provides Third Quarter 2023 Operating Update
ARLINGTON, Va.--(BUSINESS WIRE)--AVALONBAY COMMUNITIES, INC. (NYSE: AVB) (the “Company”) announced today that Same Store Residential rental revenue for the two months ended August 31, 2023, increased 5.3% over the prior year period. This is approximately 40 basis points above what the Company's expectation was for Same Store Residential rental revenue growth for this two-month period when the Company published its updated outlook for full year 2023 Same Store Residential rental revenue growth o.
3 Top REIT Stocks to Buy in September
Realty Income is a giant net lease REIT with a consistent history of annual dividend increases. Prologis is a massive industrial REIT with warehouses in key markets around the globe.</t>
  </si>
  <si>
    <t xml:space="preserve">           1y Target Est                      204.95
           52 Week Range             153.07 - 216.11
                     Ask                  0.00 x 900
             Avg. Volume                    663054.0
       Beta (5Y Monthly)                        0.94
                     Bid                  0.00 x 800
             Day's Range             178.11 - 180.01
               EPS (TTM)                        8.91
           Earnings Date Nov 01, 2023 - Nov 06, 2023
        Ex-Dividend Date                Jun 29, 2023
Forward Dividend &amp; Yield                6.60 (3.68%)
              Market Cap                     25.425B
                    Open                      179.85
          PE Ratio (TTM)                       20.09
          Previous Close                      179.28
             Quote Price                  179.029999
                  Volume                     90215.0
    Market Cap (intraday) 25.46B
         Enterprise Value 32.91B
             Trailing P/E  20.12
              Forward P/E  32.68
PEG Ratio (5 yr expected)   2.73
        Price/Sales (ttm)   9.33
         Price/Book (mrq)   2.15
 Enterprise Value/Revenue  12.19
  Enterprise Value/EBITDA  14.26</t>
  </si>
  <si>
    <t>Broadcom Reports Slowing Growth as It Awaits Final VMware Acquisition Approval -- Time to Buy the Stock?
Broadcom's sales slowed once again last quarter, but it's still handily outperforming most of its peers in the semiconductor industry. This company generates an incredible amount of cash, and it hopes to replicate past successes with its upcoming acquisition of VMware.
These 10 stocks have the most exposure to China's 'stalling' economy, BofA warns
China's "stalling" economy is putting some US companies at risk, according to Bank of America. High rates of youth unemployment and recent property defaults have put pressure on the Chinese economy.
Broadcom Inc. (AVGO) Goldman Sachs Communacopia &amp; Technology Conference
Broadcom Inc. (NASDAQ:AVGO ) Goldman Sachs Communacopia &amp; Technology Conference September 7, 2023 5:25 PM ET CorporateParticipants Kirsten Spears - Chief Financial Officer ConferenceCall Participants Toshiya Hari - Goldman Sachs Toshiya Hari Okay, great. We'd like to get started.
10 U.S. Companies Face Much Larger Problems In China Than Apple
If you think Apple has a big "China problem" — you'll be shocked to know it's tiny compared with some other S&amp;P 500 companies.
Why Qualcomm, Taiwan Semiconductor, ASML, and Other Semiconductor Stocks Slumped Today
A smartphone developed in China possessed a remarkably advanced processor, suggesting the tech bypassed U.S. sanctions. Some in Congress are calling for additional restrictions on semiconductors and the necessary manufacturing equipment, to keep the tech from falling into the hands of U.S. rivals.
Investors Heavily Search Broadcom Inc. (AVGO): Here is What You Need to Know
Broadcom Inc. (AVGO) has received quite a bit of attention from Zacks.com users lately. Therefore, it is wise to be aware of the facts that can impact the stock's prospects.
Broadcom: The Beauty Within - And VMware Will Add To It
Investors appeared to have misunderstood Broadcom's long-term strategy and were disappointed by the lack of an "AI boost" in Q3 results. Broadcom's investment thesis is focused on generating strong free cash flow for dividend growth, share buybacks, and strategic acquisitions. Despite moderate revenue growth, Broadcom delivered strong free cash flow and growth in FCF/share, aided by share buybacks.
Broadcom: Silicon to Software
Hyperscale spending on generative artificial intelligence is driving significant growth in the technology industry. Companies like Broadcom Inc. ( AVGO , Financial) are experiencing a surge in revenue as they supply custom AI compute engines and networking technologies to hyperscale customers.
Strong Buy Alert: 3 Tech Stocks Practically Screaming ‘Buy Me Now'
Tech stocks have played a pivotal role in the latest rally, and I believe now is still a great time to enter. Particularly, three tech giants have emerged as trailblazers in an era of technology rapidly reshaping industries.
3 AI Stocks to Invest In for Big-Time, Long-Term Gains
The invention of generative artificial intelligence has triggered an arms race. All over the world, companies are investing in AI capabilities that will improve productivity and customer experiences.</t>
  </si>
  <si>
    <t xml:space="preserve">           1y Target Est                       950.0
           52 Week Range             415.07 - 923.67
                     Ask               852.62 x 1200
             Avg. Volume                   2591566.0
       Beta (5Y Monthly)                        1.12
                     Bid               851.71 x 1100
             Day's Range             848.43 - 869.00
               EPS (TTM)                       32.48
           Earnings Date Dec 06, 2023 - Dec 11, 2023
        Ex-Dividend Date                Sep 20, 2023
Forward Dividend &amp; Yield               18.40 (2.15%)
              Market Cap                    350.631B
                    Open                      868.77
          PE Ratio (TTM)                       26.16
          Previous Close                      857.55
             Quote Price                   849.53009
                  Volume                    546575.0
    Market Cap (intraday) 353.94B
         Enterprise Value 381.23B
             Trailing P/E   26.39
              Forward P/E   19.01
PEG Ratio (5 yr expected)    1.32
        Price/Sales (ttm)   10.11
         Price/Book (mrq)   16.03
 Enterprise Value/Revenue   10.75
  Enterprise Value/EBITDA   18.60</t>
  </si>
  <si>
    <t>Air Products (APD) Offers Oxygen Equipment to Wastewater Plant
Air Products (APD) will provide oxygen equipment, including four vacuum swing adsorption oxygen plants, as part of its agreement with the city of Montreal.
Air Products to Provide Oxygen Equipment for One of North America's Largest Wastewater Treatment Plants in Montreal, Quebec, Canada
The Equipment will be Used at the Facility's Ozone Generation Site to Remove Viruses, Bacteria and Pharmaceutical Products from Wastewater LEHIGH VALLEY, Pa. , Sept. 7, 2023 /PRNewswire/ -- Air Products has been chosen by the city of Montreal to supply oxygen equipment to support an ozone generation site that will remove impurities from wastewater at the Jean-R-Marcotte Wastewater Treatment Plant, one of the largest wastewater treatment plants in North America.
Don't Sleep on These 3 Hydrogen Stocks That Will Mint Millionaires
The green hydrogen boom holds substantial potential. In fact, according to analysts at Strategic Market Research, the market could be worth $75.72 billion by 2030.</t>
  </si>
  <si>
    <t xml:space="preserve">           1y Target Est                      329.84
           52 Week Range             224.75 - 328.56
                     Ask                  0.00 x 800
             Avg. Volume                    758159.0
       Beta (5Y Monthly)                        0.88
                     Bid                  0.00 x 800
             Day's Range             299.55 - 302.93
               EPS (TTM)                        9.79
           Earnings Date Nov 01, 2023 - Nov 06, 2023
        Ex-Dividend Date                Sep 29, 2023
Forward Dividend &amp; Yield                7.00 (2.34%)
              Market Cap                     67.038B
                    Open                      299.82
          PE Ratio (TTM)                       30.82
          Previous Close                      298.51
             Quote Price                  301.769989
                  Volume                    184070.0
    Market Cap (intraday) 66.31B
         Enterprise Value 74.43B
             Trailing P/E  30.52
              Forward P/E  23.42
PEG Ratio (5 yr expected)   1.73
        Price/Sales (ttm)   5.12
         Price/Book (mrq)   4.69
 Enterprise Value/Revenue   5.74
  Enterprise Value/EBITDA  17.52</t>
  </si>
  <si>
    <t>American Water's (AWK) Pennsylvania Arm to Invest in Upgrades
American Water's (AWK) unit Pennsylvania American Water is going to invest $22 million to upgrade the Hays Mine Water Treatment Plant and provide reliable services to its customers.
American Water to Contribute Expertise to Several Panels at the National Association of Water Companies 2023 Water Summit
CAMDEN N.J.--(BUSINESS WIRE)--American Water (NYSE: AWK), the largest regulated water and wastewater utility company in the U.S., announced today that four representatives will join regulators, consumer advocates and other water professionals at the National Association of Water Companies (“NAWC”) 2023 Water Summit, taking place from September 11-13, 2023 in Atlanta, Ga. American Water will have a leading presence at the conference, participating in several panels. Nick Santillo, Senior Vice Pr.</t>
  </si>
  <si>
    <t xml:space="preserve">           1y Target Est          158.88
           52 Week Range 122.77 - 162.59
                     Ask      0.00 x 800
             Avg. Volume        937358.0
       Beta (5Y Monthly)            0.57
                     Bid      0.00 x 900
             Day's Range 137.43 - 138.67
               EPS (TTM)            4.81
           Earnings Date    Nov 01, 2023
        Ex-Dividend Date    Aug 07, 2023
Forward Dividend &amp; Yield    2.83 (2.05%)
              Market Cap         26.948B
                    Open          137.43
          PE Ratio (TTM)           28.78
          Previous Close          137.73
             Quote Price      138.429993
                  Volume        131198.0
    Market Cap (intraday) 26.81B
         Enterprise Value 38.27B
             Trailing P/E  28.63
              Forward P/E  26.81
PEG Ratio (5 yr expected)   3.27
        Price/Sales (ttm)   6.33
         Price/Book (mrq)   2.76
 Enterprise Value/Revenue   9.45
  Enterprise Value/EBITDA  17.07</t>
  </si>
  <si>
    <t>Investors Heavily Search Axon Enterprise, Inc (AXON): Here is What You Need to Know
Axon (AXON) has received quite a bit of attention from Zacks.com users lately. Therefore, it is wise to be aware of the facts that can impact the stock's prospects.
The 7 Best Forever Stocks to Buy Now: September 2023
Experts and investors are bullish on U.S. stocks at this point. For example, multi-billionaire Ken Fisher recently called on investors to avoid selling their stocks.
Why Axon Enterprise Stock Jumped 15% in August
Axon beat estimates on the top and bottom lines and raised its revenue guidance. Revenue in its cloud segment jumped by 62%.
Axon Achieves Great Place to Work Certification Second Year in a Row
Great Place To Work is the global authority on workplace culture, employee experience and the leadership behaviors proven to deliver market-leading revenue, employee retention and increased innovation SCOTTSDALE, Ariz. , Sept. 5, 2023 /PRNewswire/ -- Axon Enterprise Inc. , (NASDAQ: AXON), the global public safety technology leader, proudly announced today that it has been Certified™ by Great Place To Work® for the second year in a row.</t>
  </si>
  <si>
    <t xml:space="preserve">           1y Target Est                      235.82
           52 Week Range             109.31 - 229.95
                     Ask                212.04 x 800
             Avg. Volume                    716030.0
       Beta (5Y Monthly)                        0.86
                     Bid                211.66 x 800
             Day's Range             211.14 - 214.82
               EPS (TTM)                        1.33
           Earnings Date Nov 06, 2023 - Nov 10, 2023
        Ex-Dividend Date                         NaN
Forward Dividend &amp; Yield                   N/A (N/A)
              Market Cap                     15.793B
                    Open                      214.47
          PE Ratio (TTM)                      158.83
          Previous Close                      214.71
             Quote Price                      211.25
                  Volume                     93277.0
    Market Cap (intraday) 16.05B
         Enterprise Value 15.63B
             Trailing P/E 160.23
              Forward P/E  52.63
PEG Ratio (5 yr expected)    NaN
        Price/Sales (ttm)  11.60
         Price/Book (mrq)  11.11
 Enterprise Value/Revenue  11.44
  Enterprise Value/EBITDA 113.16</t>
  </si>
  <si>
    <t>Wall Street's Most Accurate Analysts Say Buy These 3 Energy Stocks With Over 5% Dividend Yields - ONEOK (NYSE:OKE), Equitrans Midstream (NYSE:ETRN)
During times of turbulence and uncertainty in the markets, many investors turn to dividend-yielding stocks. These are often companies that have high free cash flows and reward shareholders with a high dividend payout.
3 Midstream Stocks to Gain Amid Energy Market Volatility
Amid heightened volatility, it would be wise for investors to keep an eye on midstream stocks like Kinder Morgan (KMI), The Williams Companies (WMB) and MPLX.
The Williams Companies, Inc. (WMB) Barclays CEO Energy-Power Conference (Transcript)
The Williams Companies, Inc. (NYSE:WMB ) Barclays CEO Energy-Power Conference September 6, 2023 9:45 AM ET Company Participants Alan Armstrong - President and Chief Executive Officer Conference Call Participants Theresa Chen - Barclays Theresa Chen Testing, okay. Good morning, everyone.
Buying Income: What To Make Of Williams Companies' 5% Dividend
The Williams Companies, Inc. is a reliable midstream player in the energy sector, offering stable income opportunities. The company benefits from the increasing need for energy infrastructure and the transition towards cleaner energy sources. Despite a 12% rally, the stock still has upside potential and remains a promising investment option for income-oriented investors.
Williams not interested in utility companies bought by Enbridge -CEO
Williams Companies' Chief Executive Officer Alan Armstrong said on Wednesday the firm is not interested in three utilities recently bought by Canada's pipeline operator Enbridge , as return rate would be too low.</t>
  </si>
  <si>
    <t xml:space="preserve">           1y Target Est                       37.55
           52 Week Range               27.80 - 35.46
                     Ask                 0.00 x 1400
             Avg. Volume                   6804983.0
       Beta (5Y Monthly)                         1.2
                     Bid                 0.00 x 3100
             Day's Range               33.59 - 34.15
               EPS (TTM)                        2.23
           Earnings Date Oct 30, 2023 - Nov 03, 2023
        Ex-Dividend Date                Sep 08, 2023
Forward Dividend &amp; Yield                1.79 (5.29%)
              Market Cap                      41.06B
                    Open                       34.02
          PE Ratio (TTM)                       15.14
          Previous Close                       33.82
             Quote Price                   33.755001
                  Volume                   1546491.0
    Market Cap (intraday) 41.14B
         Enterprise Value 65.03B
             Trailing P/E  15.17
              Forward P/E  18.02
PEG Ratio (5 yr expected)   2.02
        Price/Sales (ttm)   3.59
         Price/Book (mrq)   3.53
 Enterprise Value/Revenue   5.65
  Enterprise Value/EBITDA   9.46</t>
  </si>
  <si>
    <t>AON Stock Jumps 14% in a Year: More Growth on the Horizon?
AON is poised for long-term growth on the back of Strategy and Technology Group performance, talent investments, and improving operations in multiple regions.
Reinsurance Broker Augment Appoints Ex-Aon Exec David Ledger as Senior Advisor and Board Member
MIAMI &amp; LONDON--(BUSINESS WIRE)--Augment, an innovative reinsurance solutions broker offering bespoke solutions to its partners, today announced former Aon UK COO David Ledger has joined as a Senior Advisor and Board Member. In this role, Ledger will lend his depth of experience and insights in the reinsurance industry to continue to strengthen the senior leadership team. Augment focuses on broking the entire client rather than a specific book of business. The firm has generated over $1 billion.</t>
  </si>
  <si>
    <t>Aon</t>
  </si>
  <si>
    <t xml:space="preserve">           1y Target Est                      339.75
           52 Week Range             266.35 - 347.37
                     Ask                 0.00 x 2200
             Avg. Volume                    800848.0
       Beta (5Y Monthly)                        0.89
                     Bid                0.00 x 21500
             Day's Range             333.25 - 336.02
               EPS (TTM)                       12.87
           Earnings Date Oct 26, 2023 - Oct 30, 2023
        Ex-Dividend Date                Jul 31, 2023
Forward Dividend &amp; Yield                2.46 (0.74%)
              Market Cap                     67.802B
                    Open                       334.2
          PE Ratio (TTM)                       25.97
          Previous Close                      333.45
             Quote Price                  334.220001
                  Volume                    155961.0
    Market Cap (intraday) 67.65B
         Enterprise Value 71.16B
             Trailing P/E  25.93
              Forward P/E  20.37
PEG Ratio (5 yr expected)   1.90
        Price/Sales (ttm)   5.41
         Price/Book (mrq)  1.04k
 Enterprise Value/Revenue   5.53
  Enterprise Value/EBITDA  18.09</t>
  </si>
  <si>
    <t>AutoZone: Set Up For Another Good Decade
AutoZone is the largest retailer of aftermarket automotive parts in the US, operating in a defensive sector that remains stable even during economic downturns. The average age of vehicles in the US is increasing, leading to a higher demand for regular maintenance and replacement parts. While the rise of electric vehicles poses a potential risk, AutoZone's presence in emerging markets and strong financial position may help sustain its growth.</t>
  </si>
  <si>
    <t xml:space="preserve">           1y Target Est             2776.95
           52 Week Range 2,050.21 - 2,750.00
                     Ask         0.00 x 1100
             Avg. Volume            155404.0
       Beta (5Y Monthly)                0.66
                     Bid          0.00 x 800
             Day's Range 2,587.77 - 2,623.86
               EPS (TTM)              128.61
           Earnings Date        Sep 19, 2023
        Ex-Dividend Date                 NaN
Forward Dividend &amp; Yield           N/A (N/A)
              Market Cap             47.158B
                    Open             2614.04
          PE Ratio (TTM)                20.2
          Previous Close             2619.29
             Quote Price         2597.370117
                  Volume             28715.0
    Market Cap (intraday) 47.56B
         Enterprise Value 57.77B
             Trailing P/E  20.72
              Forward P/E  17.92
PEG Ratio (5 yr expected)   1.30
        Price/Sales (ttm)   2.97
         Price/Book (mrq)    NaN
 Enterprise Value/Revenue   3.38
  Enterprise Value/EBITDA  15.04</t>
  </si>
  <si>
    <t>A Bull Market Is (Still) Coming: Here Are 3 Spectacular Stocks to Buy Sooner Rather Than Later
Amazon should deliver strong growth over the short term and long term. Mastercard's moat and growth opportunities make it an attractive pick.
3 Unstoppable Growth Stocks to Buy Right Now
Eli Lilly is a healthcare giant poised to get even bigger. Regeneron Pharmaceuticals has nowhere to go but up.
1 Top Pharma Growth Stock to Buy Today and Hold Forever
Vertex Pharmaceuticals has many avenues for chasing growth both big and small. Its cystic fibrosis medicines continue to remain a rock-solid base of revenue.
2 Top Biotech Stocks to Buy in September
Vertex and Regeneron have delivered solid financial results and stock market performance. Both biotechs have exciting pipelines that should produce key new approvals or label expansions.
Could These Be Vertex Pharmaceuticals' Most Promising Candidates?
Vertex Pharmaceuticals is trying to replicate its winning cystic fibrosis formula in other areas. These efforts could yield even better financial results than its potential gene-editing therapy.
September Rally? 3 Stocks to Buy Before Liftoff
September is not known as a good month to buy stocks. In fact, historically it's the worst month.
3 Must-Know Tricks for Investing in Big Pharma Stocks
Pharma companies often have detailed plans for when new revenue will occur. They also sometimes describe periods when sales will be shrinking.
3 Biotech Stocks to Invest In for Big-Time, Long-Term Gains
In the grand tapestry of the investment world, one thread that continues to shine is biotech stocks to buy and hold. It's no secret that delving into biotech investments can be incredibly challenging, even when zeroing in on established firms with market-ready drugs and expansive research and development pipelines.</t>
  </si>
  <si>
    <t xml:space="preserve">           1y Target Est                      384.23
           52 Week Range             276.57 - 367.00
                     Ask               347.23 x 1000
             Avg. Volume                   1082661.0
       Beta (5Y Monthly)                        0.51
                     Bid               346.91 x 1000
             Day's Range             343.05 - 347.73
               EPS (TTM)                        12.9
           Earnings Date Oct 25, 2023 - Oct 30, 2023
        Ex-Dividend Date                         NaN
Forward Dividend &amp; Yield                   N/A (N/A)
              Market Cap                     89.709B
                    Open                      343.42
          PE Ratio (TTM)                       26.94
          Previous Close                      343.05
             Quote Price                  347.579987
                  Volume                    169409.0
    Market Cap (intraday) 88.54B
         Enterprise Value 78.07B
             Trailing P/E  26.51
              Forward P/E  21.83
PEG Ratio (5 yr expected)   0.49
        Price/Sales (ttm)   9.39
         Price/Book (mrq)   5.72
 Enterprise Value/Revenue   8.21
  Enterprise Value/EBITDA  17.31</t>
  </si>
  <si>
    <t>Affirm Partners With Booking.com to Offer Travelers Increased Flexible Payment Options
SAN FRANCISCO--(BUSINESS WIRE)--Affirm (NASDAQ: AFRM), the payment network that empowers consumers and helps merchants drive growth, today announced a partnership with Booking.com, one of the world's leading online travel platforms, to offer flexible payment options for travel bookings. Through this partnership, Affirm is available at checkout across several Booking Holdings Inc.'s (NASDAQ: BKNG) travel brands, expanding on existing partnerships with KAYAK, Agoda, and Priceline. Booking Holding.
Booking Holdings Inc. (BKNG) Goldman Sachs 2023 Communacopia &amp; Technology Conference (Transcript)
Booking Holdings Inc. (NASDAQ:BKNG ) Goldman Sachs 2023 Communacopia &amp; Technology Conference September 6, 2023 4:05 PM ET Company Participants David Goulden - Chief Financial Officer Conference Call Participants Eric Sheridan - Goldman Sachs Eric Sheridan Okay. I think we're going to get going with the next session here.</t>
  </si>
  <si>
    <t xml:space="preserve">           1y Target Est                     3325.79
           52 Week Range         1,616.85 - 3,251.71
                     Ask             3,164.65 x 1000
             Avg. Volume                    294562.0
       Beta (5Y Monthly)                        1.35
                     Bid             3,152.79 x 1100
             Day's Range         3,144.77 - 3,186.79
               EPS (TTM)                      112.66
           Earnings Date Oct 31, 2023 - Nov 06, 2023
        Ex-Dividend Date                         NaN
Forward Dividend &amp; Yield                   N/A (N/A)
              Market Cap                    112.722B
                    Open                     3151.89
          PE Ratio (TTM)                       28.03
          Previous Close                      3143.1
             Quote Price                 3158.175049
                  Volume                     53352.0
    Market Cap (intraday) 112.18B
         Enterprise Value 111.53B
             Trailing P/E   27.57
              Forward P/E   18.90
PEG Ratio (5 yr expected)    0.72
        Price/Sales (ttm)    6.23
         Price/Book (mrq)   34.36
 Enterprise Value/Revenue    6.14
  Enterprise Value/EBITDA   17.96</t>
  </si>
  <si>
    <t>The 7 Best Warren Buffett Stocks to Buy Now: September 2023
If we're going to get right down to it, banking on the best Warren Buffett stocks comes down to leveraging decades of experience. Unlike, say, financial luminaries on YouTube, the Oracle of Omaha has seen it all – bull markets, bear markets and whatever the heck we're currently in.
VeriSign (VRSN) Q2 Domain Name Registrations Rise 1.2% Y/Y
VeriSign's (VRSN) second-quarter domain name registrations increased 1.2% year over year.
DNIB.com Reports Internet Has 356.6 Million Domain Name Registrations at the End of the Second Quarter of 2023
RESTON, Va.--(BUSINESS WIRE)--VeriSign, Inc. (NASDAQ: VRSN), a global provider of domain name registry services and internet infrastructure, today announced that, according to the latest Domain Name Industry Brief Quarterly Report from DNIB.com, the second quarter of 2023 closed with 356.6 million domain name registrations across all top-level domains (TLDs), an increase of 1.7 million domain name registrations, or 0.5%, compared to the first quarter of 2023. Domain name registrations also incr.</t>
  </si>
  <si>
    <t xml:space="preserve">           1y Target Est                      227.45
           52 Week Range             169.24 - 229.72
                     Ask                201.82 x 800
             Avg. Volume                    436779.0
       Beta (5Y Monthly)                        0.96
                     Bid                201.64 x 800
             Day's Range             201.15 - 207.18
               EPS (TTM)                        6.71
           Earnings Date Oct 25, 2023 - Oct 30, 2023
        Ex-Dividend Date                May 05, 2011
Forward Dividend &amp; Yield                   N/A (N/A)
              Market Cap                     20.867B
                    Open                      206.07
          PE Ratio (TTM)                       30.15
          Previous Close                      206.56
             Quote Price                  202.330002
                  Volume                    183869.0
    Market Cap (intraday) 21.30B
         Enterprise Value 22.16B
             Trailing P/E  30.56
              Forward P/E  24.10
PEG Ratio (5 yr expected)   1.95
        Price/Sales (ttm)  14.89
         Price/Book (mrq)    NaN
 Enterprise Value/Revenue  15.15
  Enterprise Value/EBITDA  21.05</t>
  </si>
  <si>
    <t>The 3 Best Growth Stocks to Buy Now: September 2023
Growth stocks tend to be riskier than blue-chip stocks, but investors can reap some of the highest returns with these assets. While growth stocks often get hit hard by market corrections, these are the types of stocks that can double or triple within a few years.
Arista Networks, Inc. (ANET) Citi's 2023 Global Technology Conference Transcript
Arista Networks, Inc. (NYSE:ANET ) Citi's 2023 Global Technology Conference September 7, 2023 1:00 PM ET Company Participants Ita Brennan - CFO Conference Call Participants Atif Malik - Citi Atif Malik Good afternoon everyone. Welcome to day-two of Citi Global Technology Conference.
Arista Networks (ANET) Is Considered a Good Investment by Brokers: Is That True?
When deciding whether to buy, sell, or hold a stock, investors often rely on analyst recommendations. Media reports about rating changes by these brokerage-firm-employed (or sell-side) analysts often influence a stock's price, but are they really important?
S&amp;P500 Logs Worst Month Since February: 5 Top Stocks in ETF
The S&amp;P 500 had its worst month since February, losing 1.4% in August. Despite the losses, some stocks in the ETF stood tall.
Why Arista Networks Soared 26% in August
Arista reported better-than-expected earnings and increased revenue guidance for the year. An analyst also upgraded shares on Aug. 31.</t>
  </si>
  <si>
    <t xml:space="preserve">           1y Target Est                      195.74
           52 Week Range              98.21 - 198.70
                     Ask                  0.00 x 900
             Avg. Volume                   2973453.0
       Beta (5Y Monthly)                        1.17
                     Bid                  0.00 x 800
             Day's Range             191.02 - 198.62
               EPS (TTM)                        5.44
           Earnings Date Oct 30, 2023 - Nov 03, 2023
        Ex-Dividend Date                         NaN
Forward Dividend &amp; Yield                   N/A (N/A)
              Market Cap                     59.172B
                    Open                       198.4
          PE Ratio (TTM)                       35.14
          Previous Close                      196.47
             Quote Price                  191.134995
                  Volume                    713059.0
    Market Cap (intraday) 60.82B
         Enterprise Value 57.13B
             Trailing P/E  36.32
              Forward P/E  28.49
PEG Ratio (5 yr expected)   1.62
        Price/Sales (ttm)  11.78
         Price/Book (mrq)  10.38
 Enterprise Value/Revenue  10.86
  Enterprise Value/EBITDA  28.93</t>
  </si>
  <si>
    <t>4 Stocks to Buy on Continued Expansion in Services Activity
The services sector is expanding at a steady pace which is helping stocks like Verisk Analytics, Inc. (VRSK), Huron Consulting Group Inc. (HURN), APi Group Corporation (APG) and MSCI Inc. (MSCI).
Insurance Industry Faces Average Annual Natural Catastrophe Losses of $133B, A New High According to Verisk Report
BOSTON, Sept. 08, 2023 (GLOBE NEWSWIRE) -- The global modeled insured average annual loss from natural catastrophes is $133 billion, a new high captured in the latest analysis using Verisk's extreme event solutions models.
Verisk Releases First-of-Kind Predictive SRCC Data Model for Political Violence Insurers
LONDON, Sept. 06, 2023 (GLOBE NEWSWIRE) -- A new predictive strikes, riots, and civil commotion (SRCC) data model, providing forecasts for thousands of global locations on the potential for damaging civil unrest events to emerge, has been released by Verisk's (Nasdaq: VRSK) risk intelligence business, Verisk Maplecroft.</t>
  </si>
  <si>
    <t xml:space="preserve">           1y Target Est                      248.06
           52 Week Range             162.94 - 246.24
                     Ask                243.71 x 800
             Avg. Volume                   1080469.0
       Beta (5Y Monthly)                        0.83
                     Bid                243.49 x 900
             Day's Range             243.01 - 245.83
               EPS (TTM)                        5.08
           Earnings Date Oct 30, 2023 - Nov 03, 2023
        Ex-Dividend Date                Sep 14, 2023
Forward Dividend &amp; Yield                1.33 (0.54%)
              Market Cap                     35.287B
                    Open                      244.61
          PE Ratio (TTM)                        47.9
          Previous Close                      244.38
             Quote Price                  243.309998
                  Volume                    168721.0
    Market Cap (intraday) 35.44B
         Enterprise Value 38.21B
             Trailing P/E  47.92
              Forward P/E  36.90
PEG Ratio (5 yr expected)    NaN
        Price/Sales (ttm)  14.59
         Price/Book (mrq) 120.55
 Enterprise Value/Revenue  14.88
  Enterprise Value/EBITDA  27.10</t>
  </si>
  <si>
    <t>BD's (BDX) Tie-Up to Explore Flow Cytometry for Clinical Outcomes
BD's (BDX) latest partnership is likely to accelerate the delivery of innovative personalized therapies to patients who need them the most.
Navigate BioPharma Services, Inc. Announces Collaboration with BD (Becton, Dickinson and Company) to Advance Capabilities for Clinical Phases of Drug Development
CARLSBAD, Calif. , Sept. 7, 2023 /PRNewswire/ -- Navigate BioPharma Services, Inc., a specialty laboratory offering high-quality, innovative precision medicine solutions and bioanalytics for clinical development and diagnostic applications, announces a strategic collaboration with BD (Becton, Dickinson and Company) (NYSE:BDX), a leading global medical technology company, to explore opportunities to develop and commercialize flow cytometry-based companion diagnostics and tools for clinical decisions.</t>
  </si>
  <si>
    <t xml:space="preserve">           1y Target Est                      300.14
           52 Week Range             215.90 - 287.32
                     Ask                  0.00 x 800
             Avg. Volume                   1204087.0
       Beta (5Y Monthly)                        0.59
                     Bid                 0.00 x 1300
             Day's Range             264.11 - 268.63
               EPS (TTM)                        5.52
           Earnings Date Nov 08, 2023 - Nov 13, 2023
        Ex-Dividend Date                Sep 07, 2023
Forward Dividend &amp; Yield                3.64 (1.36%)
              Market Cap                     77.883B
                    Open                      267.23
          PE Ratio (TTM)                       48.63
          Previous Close                      266.76
             Quote Price                  268.460999
                  Volume                    257827.0
    Market Cap (intraday) 77.39B
         Enterprise Value 93.24B
             Trailing P/E  48.24
              Forward P/E  19.49
PEG Ratio (5 yr expected)   1.43
        Price/Sales (ttm)   4.01
         Price/Book (mrq)   2.98
 Enterprise Value/Revenue   4.96
  Enterprise Value/EBITDA  21.00</t>
  </si>
  <si>
    <t>This Behemoth Stock Could Skyrocket 192% in 3 Years -- Here's How
Amazon figured out how to stoke considerable profit growth despite its large size. Today's Amazon prospers because of services, not online selling.
5 Stocks to Buy on a Potential Debt Avalanche
Last week, yields on short-dated U.S. Treasuries quietly climbed to their highest point in almost 25 years. The effects of that rise, however, have been anything but silent.
Is Amazon a Buy?
Amazon is a top dog in e-commerce, benefiting from powerful network effects. Thanks to its huge data advantage, AWS will be a leader in artificial intelligence.
This Warren Buffett Stock Could Soar in a Bull Market
Amazon has solid future prospects thanks to dominance in two key markets. That's likely to please long-term investor Buffett.
A Bull Market Is (Still) Coming: Here Are 3 Spectacular Stocks to Buy Sooner Rather Than Later
Amazon should deliver strong growth over the short term and long term. Mastercard's moat and growth opportunities make it an attractive pick.
2 Stock-Split Artificial Intelligence (AI) Stocks to Buy Hand Over First in September
Fast-growing companies often do stock splits to make their shares more accessible to regular investors. Nvidia's GPUs will be crucial in laying the foundation of the generative AI economy.
Amazon Leads 5 Stocks Near Buy Points With A Handle On This Market
The market rally is under pressure, but Amazon and Shopify are stocks to watch that are forging handles in bases.
This Trillion-Dollar Stock Has 68% Upside, According to This Wall Street Firm
Amazon's business makeup has shifted over the past few years. Efficiency has been a key focus for new CEO Andy Jassy.
Google CEO Sundar Pichai Says AI Could Be "Bigger Than the Internet": 3 Stocks to Buy and Hold If He's Right
Alphabet CEO Sundar Pichai believes that "AI will be the biggest technological shift we see in our lifetimes." If his prediction comes true, three AI stocks are especially poised for tremendous gains.
Amazon to require some authors to disclose the use of AI material
After months of complaints from the Authors Guild and other groups, Amazon.com has started requiring writers who want to sell books through its e-book program to tell the company in advance that their work includes artificial intelligence material.
A Bull Market Is Coming. 2 Stock-Split Stocks to Buy Hand Over Fist
Alphabet and Amazon both performed stock splits last year after their shares climbed in recent years. These companies are leaders in growth markets.
Amazon's (AMZN) AWS Picked by BMW Group, Boosts Clientele
Amazon's (AMZN) AWS is chosen by the BMW Group as the preferred public cloud provider, bolstering AWS's customer base.
Amazon's Unstoppable Competitive Advantage
Amazon's logistics network would be difficult to replicate.
Better Buy: Amazon vs. Apple
Amazon and Apple shares have each soared over 40% this year. Amazon has rallied investors with its growing e-commerce business.
3 Popular Stocks That the Smart Money Is Dumping in Droves
The stock market continues to roar ahead in 2023. The S&amp;P 500 is up 17% year to date and sits only 6% below making a new all-time high.
Does Shopify's Recent Deal With Amazon Make it a No-Brainer Buy?
Amazon is going to release an app that Shopify merchants will be able to use to make its "Buy with Prime" button available to shoppers. Amazon has more than 200 million Prime members, and they spend much more on Amazon than average customers.
Pinterest Partners With Amazon To Overcome Short-Term Challenges And Unlock Untapped Growth
Pinterest partners with Amazon to boost shoppable content and advertising. Pinterest has untapped potential to boost revenue through optimizing ad load and focusing on lower-funnel conversions. Despite short-term challenges, Pinterest shows promising signs of user growth and untapped revenue potential for the long term.
Missed Out on Nvidia? 2 AI Stocks to Buy Hand Over Fist.
Cloud giant Amazon is targeting the hardware and software side of the generative AI market. Meta Platforms' shift from metaverse development to AI could power the next leg of long-term growth.
Amazon Faces FTC Antitrust Suit After “Last Rites” Meeting Failed
Amazon officials did not offer any concessions to the Federal Trade Commission in pursuit of a settlement.
7 Tech Stocks to Invest In for Big-Time, Long-Term Gains
Tech stocks to buy and hold are on every investor's radar. Technology has been the driving force behind global growth for multiple years, leading the charge in developing solutions that continue moving the needle across many industries.
Amazon and Shopify Become Besties
Former adversaries Amazon and Shopify are now working closely together.
3 AI Stocks You Might Want to Own Before the Next Bull Market
Alphabet's latest earnings results showcased how AI is already impacting its cloud business and its advertising platforms. Microsoft made headlines when it invested billions into ChatGPT developer OpenAI earlier this year.
Did Amazon's Recent Move Just Make FedEx and UPS Stock Less Investible?
Amazon already delivers about as many packages as FedEx and United Parcel Service. FedEx and UPS are seeing clear declines in the number of units they're ferrying, putting cost and pricing pressure on both companies.
2 Nasdaq 100 Stocks That Are Surefire Buys in September and 1 to Avoid Like the Plague
Despite bouncing 42% (year-to-date) through the end of August, the Nasdaq 100 still sits 7% below its all-time high. Two Nasdaq 100 components have well-defined moats within their specific industries that should cultivate a sustained double-digit growth rate.
2 FAANG Stocks Have Brilliant Wall Street Billionaires Betting Big Ahead of the Next Bull Market
Hedge fund managers David Tepper and Karthik Sarma are heavily invested in Amazon and Netflix, respectively. Amazon has significant growth prospects in multiple markets, and the stock looks cheap at its current valuation.
1 Growth Stock Down 26% to Buy Right Now
Amazon's stock is up over 60% since Jan. 1 as its business appears to be on a growth path. However, its shares remain down from the high reached in 2021, suggesting the company has plenty of room for growth.
The 3 Best Stocks to Buy Now: September 2023
With the United States economy demonstrating strong performance recently, Federal Reserve officials are considering to double their 2023 growth projections. Economic data has consistently exceeded analysts' and economists' expectations, prompting the unofficial estimate from the Atlanta Federal Reserve to suggest a 5.6% annualized expansion in Q3 2023.
The 7 Best E-Commerce Stocks to Buy Now: September 2023
E-commerce offers consumers a more convenient solution to buy their favorite products. Instead of commuting to the nearby store, shoppers can buy products online from the comfort of their homes or anywhere else, creating big opportunity for some of the best e-commerce stocks.
5 Best Retail Stocks To Buy During Back-To-School Season
Back-to-school shopping is fun for students—but investors get a piece of the action, too. In this article we discuss five stocks to watch as families hit the stores for school supplies, apparel and technology.
ROI Sales Book ‘The Value Sale' By Ian Campbell Reaches #2 Best Seller on The Wall Street Journal and #1 Best Seller on Amazon
MIAMI--(BUSINESS WIRE)-- #ROI--Nucleus Research CEO, Ian Campbell, has been named to the best seller lists of both the Wall Street Journal and Amazon, with his first book, The Value Sale: How To Prove ROI and Win More Deals. In this practical book on ROI selling, Campbell takes a comprehensive approach to unlocking the power of value in the sales funnel. From understanding buying motives to mastering financial metrics and ROI calculations, each chapter is carefully crafted to provide readers with acti.
Amazon: Bull Case Is Much Bigger Than You Might Imagine
Amazon's stock price has not fully reflected its success in various aspects of its business, leading to relative underperformance compared to other tech companies. I anticipate accelerated retail revenue growth and improved profitability through margin expansion, driven by increased Fulfillment by Amazon utilization and higher pricing for Amazon Prime. Bullish on Amazon's long-term growth story, citing strong AWS growth, potential surge in cloud demand driven by Generative AI, cost optimization in North American retail, and advertising as growth drivers.
EmpiricaLab Partners with Futuralis to Revolutionize Healthcare Training with AI Integration with Amazon Bedrock
NEW YORK--(BUSINESS WIRE)--EmpiricaLab, a leading provider of innovative cloud-based healthcare training solutions, is excited to announce its strategic partnership with Futuralis, a cutting-edge Amazon Web Services (AWS) Partner and artificial intelligence (AI) technology company. This collaboration aims to transform the landscape of enterprise training within healthcare organizations by harnessing the power of generative AI. In an era where healthcare organizations continuously seek advanced.
EU's crackdown on Apple, Meta and others is to avoid forced breakups, top official says
Big Tech is facing tighter scrutiny in the European Union, but officials want to avoid forcing them to break up parts of the business.
A Soft Landing In The Age Of AI Will Make Amazon Shine
Amazon's stock has performed very well this year so far, but I expect it to continue its upward trend. The company's long-term strategy and "bar-bell" business model will continue to contribute to the stock's success in the long term. Amazon's North America segment is predicted to perform well in a soft- or no-landing scenario for the US.
Amazon Stock Proved Me Wrong
The rapid pace at which it controlled expenses was shocking.
Aqara Launches Amazon Brand Store in Poland, Expanding Retail Availability in the Country
NEW YORK--(BUSINESS WIRE)--Aqara announces the debut of its Amazon brand store in Poland.
Want to Buy the Dip? Check Out These 3 Top Ranked Stocks
By now, most people who follow the stock market have seen the seasonality statistics for September. On average, it's the weakest month of the year, with a performance of -0.7%.
Amazon's Kuiper satellite network forges partnership with Vodafone's cell networks
Vodafone and its African subsidiary, Vodacom, have made a deal to use Amazon's yet-to-be-deployed Project Kuiper satellite broadband network to extend the reach of their 4G/5G cellular networks.
FTC's big swing at Amazon expected as soon as this month, reports say
A challenge to Amazon's alleged monopoly could result in a breakup of the more-than-trillion-dollar business, should the FTC file the lawsuit and win in court.
Factbox: How the EU's Digital Markets Act challenges Big Tech
New European Union rules will rewrite the basic tenets of business on the internet and on mobile, upending how Big Tech makes money and how consumers access these services.
Is Amazon Stock a Buy?
Amazon reported solid improvements in revenue and operating profit. The tech giant could grow its e-commerce and cloud computing business for many years.
Forget Amazon: 1 Top Growth Stock to Buy Hand Over First in September
Global-e Online is a fast-growing e-commerce company. It focuses on the infrastructure side of the industry.
Amazon's Counterfeit Crimes Unit Files Lawsuits Against Bad Actors Attempting to Use Social Media to Knowingly Sell Counterfeit Luxury Items
SEATTLE--(BUSINESS WIRE)--Amazon.com, Inc. (NASDAQ: AMZN) and its Counterfeit Crimes Unit (CCU) today announced the filing of two new lawsuits against Kamryn Russell, Ashley Hawat, and their co-conspirators who knowingly attempted to evade Amazon's brand protection systems in an effort to promote, advertise, and facilitate the sale of counterfeit luxury fashion goods such as jewelry, handbags, and accessories. Amazon works across the globe to fight counterfeiters, filing joint lawsuits with bra.
Amazon: There Is A Path To Surpass All-Time Highs In 2024
Shares of Amazon have appreciated by 36.05% since the last article was published. AMZN's operating metrics have improved, with the North American segment returning to profitability and the International segment reducing losses. Analysts have raised price targets for AMZN, and EPS projections show positive growth potential for the company.
How to Break Amazon Into Pieces
The Federal Trade Commission is about to file an antitrust lawsuit against Amazon, according to The Wall Street Journal.
3 Things About Amazon That Smart Investors Know
Amazon's stock is on its longest growth streak in two decades. Meanwhile, its Q4 2023 could receive a boost to earnings from a second Prime Day.
Apple, Amazon, and Meta among 6 tech giants deemed 'gatekeepers' set to face strict competition rules under new EU law
The European Union named six tech giants as "gatekeepers" that have to comply with new laws. The Digital Markets Act aims to give more choice to users and open up the market for competitors.
Better Buy: Opendoor Technologies vs. Amazon
Opendoor's stock has plummeted since its SPAC-backed debut in late 2020. Amazon's stock also swooned as macro headwinds throttled its growth.
Amazon reportedly braced for latest antitrust battle
Amazon.com Inc (NASDAQ:AMZN). is bracing for a lawsuit from the Federal Trade Commission (FTC) following a four-year antitrust investigation, according to Bloomberg citing sources.
EU targets Apple, Amazon, Alphabet, ByteDance, Meta, Microsoft in next phase of digital crackdown
The European Union on Wednesday targeted Apple, Amazon, Microsoft, Google parent Alphabet, Facebook owner Meta and TikTok parent ByteDance under new digital rules aimed at reining in the market power of online companies.
EU lists Alphabet, Amazon, Meta and three other tech giants as 'gatekeepers' under strict competition rules
The European Union on Tuesday unveiled a list of six designated "gatekeepers" set to come under its new Digital Markets Act.
EU confirms six (mostly US) tech giants are subject to Digital Markets Act
The European Union has named six tech giants whose market power it hopes to be able to rein in by applying a new set of up-front rules on how these gatekeepers can operate so called core platform services. The six so-called gatekeepers are: Alphabet, Amazon, Apple, ByteDance, Meta, Microsoft.
The FTC Could Call for an Amazon Breakup. Why Investors Should Celebrate.
Amazon could face an antitrust case which advocates breaking up the company, according to The Wall Street Journal. That might not be such a bad thing for shareholders.
Does Nvidia Need to Watch Out for Amazon?
Amazon has anticipated the soaring demand for CPU and GPU technology.
FTC reportedly may sue Amazon later this month after talks break down
The lawsuit will target the company's logistics program, Fulfillment by Amazon, pricing on its website by third-party sellers and will suggest "structural remedies" that could break the company up, the report added.
FTC antitrust suit against Amazon coming in September: report
The Federal Trade Commission is set to file an antitrust lawsuit against Amazon.com Inc. AMZN, -0.62% in September after the two sides could not reach a settlement over antitrust claims, according to a Wall Street Journal report, citing people familiar with the matter. Members of Amazon's legal team held a video call with FTC officials on Aug. 15 during a so-called last-rites meeting, but were unable to agree on concessions, the report said.
The 7 Best Forever Stocks to Buy Now: September 2023
Experts and investors are bullish on U.S. stocks at this point. For example, multi-billionaire Ken Fisher recently called on investors to avoid selling their stocks.
BMW partners with Amazon on next-gen automated driving platform
Amazon.com Inc (NASDAQ: AMZN) is in focus on Tuesday after the BMW Group (ETR: BMW) picked AWS for its next-generation advanced driver-assistance system.
3 Top E-Commerce Stocks to Buy in September
Amazon's e-commerce revenue has soared in its most recent quarter. Meanwhile, Apple has a solid position in the sector thanks to the immense popularity of its products.
BMW to use Amazon cloud technology to build its autonomous driving features for new EVs
BMW will use Amazon and Qualcomm technology for its next-generation advanced driver assistance system, or ADAS, in its Neue Klasse range of electric cars.
Can Markets Resume Northward Journey in September? 5 Picks
We have narrowed our search to five growth stocks that have solid upside left for the rest of 2023. These are: AMZN, NVDA, CAT, SPLK, RCL.
Amazon Just Struck a Deal to Supercharge Its Next $10 Billion Business
Amazon and Shopify agreed to terms allowing Shopify merchants to use "Buy with Prime." Amazon conceded payment processing revenue, but it won the prize of becoming a logistics provider for Shopify's 2 million merchants.
Vodafone links up with Amazon's Project Kuiper to connect rural customers with 'space broadband'
Vodafone Group PLC (LSE:VOD) is working with Amazon.com Inc (NASDAQ:AMZN) on a plan that could see broadband internet rolled out to regional areas via satellites as early as next year. As part of its Project Kuiper low Earth orbit (LEO) satellite constellation, Amazon aims to begin field trials for satellites similar to those providing services under Elon Musk's Starlink and the UK government-backed OneWeb.
Meta Platforms' Growth Is Being Driven by Chinese E-Commerce Companies. Here's Why It's a Red Flag for Amazon's Future.
Meta's recovery over the past year was driven by its soaring ad sales to Chinese e-commerce companies. That spending spree indicates cross-border marketplaces like Temu and Shein are coming after Amazon.
Vodafone teams up with Amazon's Project Kuiper to extend 5G reach
Vodafone plans to work with Amazon's low Earth orbit satellite constellation Project Kuiper to extend the reach of its 4G and 5G telecoms networks in Europe and Africa.</t>
  </si>
  <si>
    <t xml:space="preserve">           1y Target Est                      169.91
           52 Week Range              81.43 - 143.63
                     Ask                141.73 x 800
             Avg. Volume                  53284829.0
       Beta (5Y Monthly)                        1.24
                     Bid               141.65 x 1100
             Day's Range             138.65 - 141.99
               EPS (TTM)                        1.26
           Earnings Date Oct 25, 2023 - Oct 30, 2023
        Ex-Dividend Date                         NaN
Forward Dividend &amp; Yield                   N/A (N/A)
              Market Cap                      1.462T
                    Open                      138.75
          PE Ratio (TTM)                      112.47
          Previous Close                      138.23
             Quote Price                  141.699997
                  Volume                  21089112.0
    Market Cap (intraday)  1.43T
         Enterprise Value  1.50T
             Trailing P/E 109.71
              Forward P/E  41.67
PEG Ratio (5 yr expected)   2.60
        Price/Sales (ttm)   2.65
         Price/Book (mrq)   8.46
 Enterprise Value/Revenue   2.79
  Enterprise Value/EBITDA  24.07</t>
  </si>
  <si>
    <t>VICI Properties Inc. Announces Support of Las Vegas Super Bowl Host Committee Charities
NEW YORK--(BUSINESS WIRE)--VICI Properties Inc. (NYSE: VICI) (“VICI Properties”, “VICI” or the “Company”), an experiential real estate investment trust, today announced its support of the Las Vegas Super Bowl Host Committee Charities, a 501(c)(3) organization (“Las Vegas Host Committee Charities”), in connection with Super Bowl LVIII to be hosted at Allegiant Stadium in Las Vegas, Nevada in February 2024. Leading up to and beyond Super Bowl LVIII, the mission of Las Vegas Host Committee Chariti.
VICI Properties Inc. Increases Regular Quarterly Dividend
NEW YORK--(BUSINESS WIRE)--VICI Properties Inc. (NYSE: VICI) (“VICI Properties”) announced today that its Board of Directors has declared a regular quarterly cash dividend of $0.415 per share of common stock for the period from July 1, 2023 to September 30, 2023, representing an annualized amount of $1.66 per share and a 6.4% increase from the current dividend rate. The dividend will be payable on October 5, 2023 to stockholders of record as of the close of business on September 21, 2023. About.
VICI Properties Inc. Releases 2022-2023 Environmental Sustainability, Social Responsibility and Corporate Governance Report
NEW YORK--(BUSINESS WIRE)--VICI Properties Inc. (NYSE: VICI) (“VICI Properties”, “VICI” or the “Company”) an experiential real estate investment trust, today released its 2022-2023 Environmental Sustainability, Social Responsibility and Corporate Governance Report (“2022-2023 ESG Report”) highlighting VICI's ESG progress over the past twelve months. VICI's 2022-2023 ESG Report aligns with the Sustainability Accounting Standards Board (SASB) and the Task Force on Climate-related Financial Disclo.
Oil Vs. Commercial Real Estate: One Is A Better Buy Today
Timing anything in the markets over the next few months or quarters is extremely difficult, bordering on impossible to do with accuracy consistently. But investors can look at data and trends and surmise the kind of economic environment that is most likely to manifest over the next few years. Over the last two years, oil stocks have massively outperformed real estate stocks, but in the decade before that, the opposite was the case.
VICI Properties Inc. Completes Acquisition of Four Properties in Alberta, Canada in Sale-Leaseback Transaction With Century Casinos, Inc.
NEW YORK--(BUSINESS WIRE)--VICI Properties Inc. (NYSE: VICI) (“VICI Properties” or the “Company”) an experiential real estate investment trust, today announced it has completed the previously announced transaction to acquire the real estate assets of Century Casino &amp; Hotel Edmonton, Century Casino St. Albert and Century Mile Racetrack and Casino, each in Edmonton, Alberta and Century Downs Racetrack and Casino in Calgary, Alberta, (collectively the “Century Canadian Portfolio”) from Century.
Century Casinos, Inc. Completes Sale-Leaseback of Four Properties in Alberta, Canada
Funds to be used for growth initiatives and/or to paying down debt COLORADO SPRINGS, Colo. , Sept. 6, 2023 /PRNewswire/ -- Century Casinos, Inc. (Nasdaq Capital Market®: CNTY) ("Century Casinos" or the "Company") announced that it completed the sale of the real estate assets of Century Casino &amp; Hotel Edmonton, Century Casino St. Albert and Century Mile Racetrack and Casino in Edmonton, Alberta and Century Downs Racetrack and Casino ("Century Downs") in Calgary, Alberta (collectively, the "Century Canadian Portfolio") to subsidiaries of VICI Properties Inc. (NYSE: VICI) ("VICI") for an aggregate purchase price of CAD 221.7 million (USD $162.4 million*) in cash.
5 REIT Picks With Steady Dividends For Income Investors
Investors and analysts are closely watching the upcoming U.S. Federal Reserve meeting for clues on monetary policy. Some experts predict the Fed will pause its inflation-busting policy, while others expect further rate hikes. REITs, such as Crown Castle and National Storage Affiliates Trust, offer potential opportunities for income investors in the high-interest rate environment.
Building An 'All-Weather' REIT Portfolio
Not all REITs are created equal. Some perform better when inflation is high. Others when it is low. We explain how you can build an "all weather" REIT portfolio.
Who's Doubling Down On Casinos?
Leisure and entertainment destinations were heavily impacted by the pandemic but are now experiencing increased consumer demand. VICI Properties and Gaming and Leisure Properties are two top leisure and hospitality REITs with different market caps. VICI Properties has outperformed Gaming and Leisure Properties over the past five years and has a strong portfolio of gaming, hospitality, and entertainment destinations.</t>
  </si>
  <si>
    <t xml:space="preserve">           1y Target Est                       37.47
           52 Week Range               29.29 - 35.07
                     Ask                 0.00 x 2200
             Avg. Volume                   4892422.0
       Beta (5Y Monthly)                        0.95
                     Bid                 0.00 x 1800
             Day's Range               31.11 - 31.43
               EPS (TTM)                        2.24
           Earnings Date Oct 25, 2023 - Oct 30, 2023
        Ex-Dividend Date                Sep 20, 2023
Forward Dividend &amp; Yield                1.66 (5.32%)
              Market Cap                     31.715B
                    Open                        31.2
          PE Ratio (TTM)                       13.97
          Previous Close                       31.19
             Quote Price                      31.295
                  Volume                   1126635.0
    Market Cap (intraday) 31.61B
         Enterprise Value 48.32B
             Trailing P/E  13.92
              Forward P/E  11.60
PEG Ratio (5 yr expected)    NaN
        Price/Sales (ttm)   9.33
         Price/Book (mrq)   1.33
 Enterprise Value/Revenue  14.65
  Enterprise Value/EBITDA  16.46</t>
  </si>
  <si>
    <t>3 Bulletproof Stocks to Buy Before the Next Recession Strikes
With ongoing uncertainties in the stock market, investors' search for bulletproof stocks becomes paramount. Investors seek refuge in stable and growth-oriented stocks as the specter of economic downturns looms.
Top Wall Street analysts select these dividend stocks to enhance returns
TipRanks' analyst ranking service pinpoints Wall Street's best-performing stocks, including Dell and Verizon.
Walmart to open police ‘workspace' inside Atlanta store as shoplifting epidemic rages
A Walmart in Atlanta that was shuttered after it was set on fire by suspected arsonists is installing a police “workspace” inside the store — the latest dire measure aimed at curtailing the shoplifting epidemic that has hit big box chains, groceries, pharmacies, and other retailers.
3 Reasons Walmart Is Winning and Dollar General Isn't
Helped by its massive size, Walmart is better positioned to handle inflation's impact on consumer spending. Dollar General's large number of small stores and complex distribution network are cumbersome to manage.
Walmart lowers starting pay for some new hires
Walmart changed its starting wage structure to make pay more consistent across the store. The only roles that will see higher starting wages are in the deli, bakery and auto care center.
Walmart cut starting pay for some new jobs
Walmart, America's largest private employer, is paying some new hires less than it would have earlier in the year in a sign of a cooling labor market.
Will Walmart's (WMT) New Starting Pay Structure Help Cut Costs?
Walmart (WMT) is making alterations to its beginning hourly wage structure for entry-level store employees, as reported by various media sources.
7 Best Blue Chip Stocks to Buy Now
Sure, short-term gains from the hip "stock of the moment" can be an exciting roller coaster ride, but if you're a truly savvy investor in 2023, you're going to be hunting for stocks that can provide solid returns over the long term, no matter what the market does. Blue-chip stocks are, of course, one of the best places to find that.
Walmart is reportedly lowering pay for some new hires. Do employers have the upper hand now?
In 2021, many businesses began offering higher pay in an effort to attract staff, as the pandemic upended the job market.
The 7 Best E-Commerce Stocks to Buy Now: September 2023
E-commerce offers consumers a more convenient solution to buy their favorite products. Instead of commuting to the nearby store, shoppers can buy products online from the comfort of their homes or anywhere else, creating big opportunity for some of the best e-commerce stocks.
Walmart cuts starting pay for new hires who prepare online orders, stock shelves
New Walmart employees who join the digital or stocking teams now make about a dollar-an-hour less than they would have if hired several months ago.
5 Best Retail Stocks To Buy During Back-To-School Season
Back-to-school shopping is fun for students—but investors get a piece of the action, too. In this article we discuss five stocks to watch as families hit the stores for school supplies, apparel and technology.
Walmart cuts starting pay for some new hires to ‘allow for better staffing': report
The change in pay structure allows workers to move between work groups such as food, registers, stocking or digital fulfillment without pay impacts, the Journal reported.
Walmart, Apple, And Microsoft: Three Strategy Lessons For Supply Chain Leaders
Lessons from Walmart, Apple, Microsoft. 1) Digitization for Customer Problem-Solving, 2) Regionalization for Resilience, 3) Talent Transformation for Margin Protection.
3 Must-Have Dividend Kings for Every Retiree's Portfolio
The allure of having a sturdy financial safety net that takes care of your daily and future needs while relaxing on a beach somewhere is a very attractive setup. But while early retirement is the dream of most young adults, it's not easy to reach.
Walmart (WMT) Is Marching Ahead of the Industry: Here's Why
Walmart (WMT) gains from its consistent omnichannel initiatives and efforts to boost customers' experiences. The company has been seeing comp sales growth for a while now.
Walmart Hovers Around an All-Time High: Can ETFs Soar Higher?
America's largest retailer, Walmart (WMT), is garnering Wall Street's attention with its impressive stock performance.
5 Ways to Play Retail that will Profit in 2023
The takeaway from Q2 earnings results for the retail sector is that consumer habits have changed. Once flush with stimulus cash and little to do but spend it, the consumer buys less discretionary items in favor of everyday items like food, health, and personal grooming.</t>
  </si>
  <si>
    <t xml:space="preserve">           1y Target Est          178.09
           52 Week Range 128.07 - 164.47
                     Ask      0.00 x 900
             Avg. Volume       5374148.0
       Beta (5Y Monthly)            0.49
                     Bid      0.00 x 800
             Day's Range 163.67 - 164.47
               EPS (TTM)            5.21
           Earnings Date    Nov 16, 2023
        Ex-Dividend Date    Dec 07, 2023
Forward Dividend &amp; Yield    2.28 (1.39%)
              Market Cap        441.926B
                    Open           164.0
          PE Ratio (TTM)           31.51
          Previous Close          163.77
             Quote Price      164.189499
                  Volume       1299522.0
    Market Cap (intraday) 440.80B
         Enterprise Value 491.71B
             Trailing P/E   31.49
              Forward P/E   25.77
PEG Ratio (5 yr expected)    2.25
        Price/Sales (ttm)    0.70
         Price/Book (mrq)    5.54
 Enterprise Value/Revenue    0.78
  Enterprise Value/EBITDA   14.17</t>
  </si>
  <si>
    <t>Does Biogen's Latest $1.5 Billion-Dollar Move Make It a Buy?
Biogen will buy Reata Pharmaceuticals before the end of the year. It is using some debt in the purchase but this is likely manageable.
Octave® Bioscience, Inc. Announces Real-World Study Using its Multimodal Precision Care Solution for Multiple Sclerosis Patient Management
MENLO PARK, Calif.--(BUSINESS WIRE)--Octave® Bioscience, Inc., announced that it plans to conduct an observational, real-world study with Biogen (Nasdaq: BIIB) as the sponsor.
Biogen names Dr. Jane Grogan head of research effective Oct. 2
Biogen Inc. BIIB said Wednesday it has appointed Dr. Jane Grogan as head of research, effective Oct. 2. Grogan was most recently chief scientific officer at Graphite Bio, a cell and gene editing company.
Biogen Appoints Jane Grogan as Head of Research
CAMBRIDGE, Mass., Sept. 06, 2023 (GLOBE NEWSWIRE) -- Biogen Inc. (Nasdaq: BIIB) announced the appointment of Jane Grogan, Ph.D., as Executive Vice President, Head of Research effective 2 October 2023. Dr. Grogan will be a member of Biogen's Executive Committee reporting to Christopher A. Viehbacher, President and Chief Executive Officer.
Biogen's (BIIB) Stock Outperforms Industry YTD: Here's Why
While most of Biogen's (BIIB) key drugs are facing declining sales, new products, like Leqembi in Alzheimer's disease, Qalsody in amyotrophic lateral sclerosis and zuranolone in depression, can help revive growth.
Biogen: Leqembi Could Boost Prospects Until Acquisition Comes Into Play
Biogen receives FDA approval for Leqembi, a treatment for Alzheimer's Disease, providing a large market opportunity. Biogen's acquisition of Reata Pharmaceuticals brings the potential for significant sales growth with SKYCLARYS, a drug for Friedreich's Ataxia. Biogen's pipeline includes Cemdomespib, a potential treatment for diabetic peripheral neuropathy, offering another large market opportunity.</t>
  </si>
  <si>
    <t xml:space="preserve">           1y Target Est                       332.2
           52 Week Range             194.45 - 319.76
                     Ask                259.97 x 800
             Avg. Volume                   1093996.0
       Beta (5Y Monthly)                        0.13
                     Bid                259.80 x 800
             Day's Range             259.07 - 261.98
               EPS (TTM)                       18.18
           Earnings Date Oct 23, 2023 - Oct 27, 2023
        Ex-Dividend Date                         NaN
Forward Dividend &amp; Yield                   N/A (N/A)
              Market Cap                     37.624B
                    Open                      260.12
          PE Ratio (TTM)                       14.29
          Previous Close                      258.99
             Quote Price                  259.795013
                  Volume                    175091.0
    Market Cap (intraday) 37.51B
         Enterprise Value 38.02B
             Trailing P/E  14.12
              Forward P/E  15.38
PEG Ratio (5 yr expected)   5.14
        Price/Sales (ttm)   3.77
         Price/Book (mrq)   2.59
 Enterprise Value/Revenue   3.81
  Enterprise Value/EBITDA   9.96</t>
  </si>
  <si>
    <t>BNY Mellon (BK) Launches Open Banking Payments Solution, Bankify
BNY Mellon (BK) teams with Trustly to launch Bankify, an open banking payments solution that will help organizations receive consumer payments from accounts seamlessly.
BNY Mellon Launches Bankify
BNY Mellon forms strategic alliance with Trustly to pioneer an open banking payment solution with guaranteed settlement NEW YORK , Sept. 7, 2023 /PRNewswire/ -- BNY Mellon (NYSE: BK) today announced the launch of BankifySM , an open banking payments solution that helps organizations receive consumer payments from bank accounts, with a seamless user experience and that offers guaranteed funds for business receivables.
BNY Mellon Announces Any and All Cash Tender Offer by its Wholly Owned Subsidiary for Certain of its Senior Notes
NEW YORK , Sept. 5, 2023 /PRNewswire/ -- The Bank of New York Mellon Corporation ("BNY Mellon") (NYSE: BK) today announced the commencement of a cash tender offer (the "Offer") by BNY Mellon Capital Markets, LLC ("BNYMCM"), an indirect wholly owned subsidiary of BNY Mellon, to purchase any and all of the securities of BNY Mellon listed in the table below (the "Securities").</t>
  </si>
  <si>
    <t xml:space="preserve">           1y Target Est         53.66
           52 Week Range 36.22 - 52.26
                     Ask    0.00 x 800
             Avg. Volume     4365604.0
       Beta (5Y Monthly)          1.08
                     Bid   0.00 x 1400
             Day's Range 44.78 - 45.82
               EPS (TTM)          3.44
           Earnings Date  Oct 17, 2023
        Ex-Dividend Date  Jul 27, 2023
Forward Dividend &amp; Yield  1.68 (3.75%)
              Market Cap       35.127B
                    Open         45.25
          PE Ratio (TTM)         13.11
          Previous Close         44.78
             Quote Price        45.105
                  Volume     3657914.0
    Market Cap (intraday) 34.87B
         Enterprise Value    NaN
             Trailing P/E  13.02
              Forward P/E   8.49
PEG Ratio (5 yr expected)   0.51
        Price/Sales (ttm)   2.17
         Price/Book (mrq)   0.97
 Enterprise Value/Revenue    NaN
  Enterprise Value/EBITDA    NaN</t>
  </si>
  <si>
    <t>The 7 Best Sleeper Stocks to Buy Now: September 2023
As a rule of thumb, investors ought to consider securities with strong volume and chart mobility as opposed to sleeper stocks. It's like baseball.</t>
  </si>
  <si>
    <t xml:space="preserve">           1y Target Est                      179.43
           52 Week Range             148.31 - 174.74
                     Ask                  0.00 x 900
             Avg. Volume                   1365241.0
       Beta (5Y Monthly)                        0.72
                     Bid                 0.00 x 1000
             Day's Range             156.16 - 157.44
               EPS (TTM)                        5.55
           Earnings Date Oct 24, 2023 - Oct 30, 2023
        Ex-Dividend Date                Sep 07, 2023
Forward Dividend &amp; Yield                2.80 (1.79%)
              Market Cap                     63.655B
                    Open                      156.43
          PE Ratio (TTM)                       28.32
          Previous Close                      156.45
             Quote Price                  157.149994
                  Volume                    508960.0
    Market Cap (intraday) 63.37B
         Enterprise Value 78.60B
             Trailing P/E  28.14
              Forward P/E  23.47
PEG Ratio (5 yr expected)   2.46
        Price/Sales (ttm)   3.21
         Price/Book (mrq)   9.17
 Enterprise Value/Revenue   3.93
  Enterprise Value/EBITDA  14.30</t>
  </si>
  <si>
    <t>Under the Radar: 3 Stocks You Didn't Realize Analysts Love
One place where you can get ideas on the best stocks to buy is to review the top stocks analysts love. At the beginning of 2023, Investor's Business Daily published an article discussing the nine stocks analysts thought would deliver the best returns based on 12-month target prices.
Why TJX (TJX) is a Top Momentum Stock for the Long-Term
The Zacks Style Scores offers investors a way to easily find top-rated stocks based on their investing style. Here's why you should take advantage.
TJX Companies: Raising Price Target As Momentum Continues
The recovery in TJX Companies' home segment bodes well for the stock. TJX remains in an ideal environment for off-price retailers. I'm rasing my price target as its strong operating momentum continues.
5 Ways to Play Retail that will Profit in 2023
The takeaway from Q2 earnings results for the retail sector is that consumer habits have changed. Once flush with stimulus cash and little to do but spend it, the consumer buys less discretionary items in favor of everyday items like food, health, and personal grooming.</t>
  </si>
  <si>
    <t xml:space="preserve">           1y Target Est                        99.6
           52 Week Range               59.78 - 92.87
                     Ask                  0.00 x 800
             Avg. Volume                   4779096.0
       Beta (5Y Monthly)                         0.9
                     Bid                  0.00 x 800
             Day's Range               91.36 - 92.01
               EPS (TTM)                        3.41
           Earnings Date Nov 14, 2023 - Nov 20, 2023
        Ex-Dividend Date                Aug 09, 2023
Forward Dividend &amp; Yield                1.33 (1.45%)
              Market Cap                    104.878B
                    Open                       91.82
          PE Ratio (TTM)                       26.88
          Previous Close                       91.45
             Quote Price                   91.669998
                  Volume                    901480.0
    Market Cap (intraday) 104.63B
         Enterprise Value 112.64B
             Trailing P/E   26.82
              Forward P/E   25.00
PEG Ratio (5 yr expected)    2.04
        Price/Sales (ttm)    2.08
         Price/Book (mrq)   15.83
 Enterprise Value/Revenue    2.20
  Enterprise Value/EBITDA   18.08</t>
  </si>
  <si>
    <t>Allegion Declares Quarterly Dividend
DUBLIN--(BUSINESS WIRE)--Allegion plc (NYSE: ALLE), a leading global security products and solutions provider, today announced that its board of directors declared a quarterly dividend of $0.45 per ordinary share of the company. The dividend is payable on Sept. 29, 2023, to shareholders of record on Sept. 18, 2023. About Allegion Allegion (NYSE: ALLE) is a global pioneer in seamless access, with leading brands like CISA®, Interflex®, LCN®, Schlage®, SimonsVoss® and Von Duprin®. Focusing on secu.
7 Stocks to Invest In for Big-Time, Long-Term Gains
Here's a look at seven stocks to buy and hold onto for the long haul. Tech stocks aren't the only drivers of wealth in today's economy, although many may be quick to tell you otherwise.</t>
  </si>
  <si>
    <t xml:space="preserve">           1y Target Est                      125.91
           52 Week Range              87.33 - 128.36
                     Ask                  0.00 x 800
             Avg. Volume                    838145.0
       Beta (5Y Monthly)                        1.11
                     Bid                  0.00 x 800
             Day's Range             107.78 - 108.76
               EPS (TTM)                        5.85
           Earnings Date Oct 25, 2023 - Oct 30, 2023
        Ex-Dividend Date                Sep 15, 2023
Forward Dividend &amp; Yield                1.80 (1.67%)
              Market Cap                      9.484B
                    Open                      108.95
          PE Ratio (TTM)                       18.47
          Previous Close                       108.1
             Quote Price                  108.040001
                  Volume                    145073.0
    Market Cap (intraday)  9.49B
         Enterprise Value 11.23B
             Trailing P/E  18.48
              Forward P/E  15.95
PEG Ratio (5 yr expected)   1.55
        Price/Sales (ttm)   2.64
         Price/Book (mrq)   8.33
 Enterprise Value/Revenue   3.11
  Enterprise Value/EBITDA  14.18</t>
  </si>
  <si>
    <t>Colgate-Palmolive: Improving Prospects And A Reasonable Valuation
Colgate-Palmolive's revenue growth is expected to benefit from price increases, advertising spending, and promotional offers, offsetting near-term headwinds from consumer trade downs. The company's volume comparisons are getting easier in the second half of 2023. Colgate's margin growth is expected to continue due to price increases, improving volume leverage, moderating logistics costs, easing FX headwinds, and the impact of newly acquired pet food capacity.
The 3 Best Dividend Stocks to Buy Now: September 2023
Stocks that offer shareholders great dividends are pretty rare. While it is true that about three-quarters (75%) of companies in the benchmark S&amp;P 500 index pay a dividend, the average yield is only 1.54%.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8 Dividend Aristocrat Stocks to Buy Now With a Recession (and Inflation) Looming Large in 2024
We follow the bond market closely at 24/7 Wall St., and for almost a year now there has been an inversion (or difference in yield) between the two-year Treasury paper and the benchmark 10-year note.
3 Must-Have Dividend Kings for Every Retiree's Portfolio
The allure of having a sturdy financial safety net that takes care of your daily and future needs while relaxing on a beach somewhere is a very attractive setup. But while early retirement is the dream of most young adults, it's not easy to reach.
Colgate-Palmolive Company (CL) Presents at Barclays Global Consumer Staples Conference (Transcript)
Colgate-Palmolive Company (NYSE:CL ) Barclays Global Consumer Staples Conference Call September 6, 2023 7:30 AM ET Company Participants Noel Wallace - Chief Executive Officer Conference Call Participants Lauren Lieberman - Barclays Lauren Lieberman Good morning, if everyone can just take their seats. We are going to kick off Day 2 of our conference and we are very happy to have – to welcome back, I should say Colgate-Palmolive's CEO, Noel Wallace.</t>
  </si>
  <si>
    <t xml:space="preserve">           1y Target Est         84.54
           52 Week Range 67.84 - 82.09
                     Ask   0.00 x 1200
             Avg. Volume     4437601.0
       Beta (5Y Monthly)          0.49
                     Bid    0.00 x 800
             Day's Range 73.19 - 73.89
               EPS (TTM)          1.79
           Earnings Date  Oct 27, 2023
        Ex-Dividend Date  Jul 20, 2023
Forward Dividend &amp; Yield  1.92 (2.62%)
              Market Cap        61.08B
                    Open          73.2
          PE Ratio (TTM)         41.28
          Previous Close          73.2
             Quote Price     73.885002
                  Volume      975862.0
    Market Cap (intraday) 60.51B
         Enterprise Value 68.68B
             Trailing P/E  40.89
              Forward P/E  21.28
PEG Ratio (5 yr expected)   2.42
        Price/Sales (ttm)   3.27
         Price/Book (mrq) 156.16
 Enterprise Value/Revenue   3.68
  Enterprise Value/EBITDA  19.58</t>
  </si>
  <si>
    <t>2 Magnificent Stocks to Buy and Never Sell
Adobe's creative design suite is the industry standard for graphics design. Autodesk's products are critical for the daily jobs of engineers and architects.
Autodesk, Inc. (ADSK) Goldman Sachs Communacopia &amp; Technology Conference Call (Transcript)
Autodesk, Inc. (NASDAQ:ADSK ) Goldman Sachs Communacopia &amp; Technology Conference Call September 6, 2023 6:05 PM ET Company Participants Amy Bunszel - Executive Vice President, Architecture, Engineering and Construction Design Solutions Conference Call Participants Unidentified Analyst All right. Let's do a little Autodesk here.
Autodesk, Inc. (ADSK) Presents at Citi's 2023 Global Technology Conference (Transcript)
Autodesk, Inc. (NASDAQ:ADSK ) Citi's 2023 Global Technology Conference September 6, 2023 3:15 PM ET Company Participants Simon Mays-Smith - Investor Relations Jim Lynch - Senior Vice President and General Manager of Autodesk Construction Solutions Conference Call Participants Tyler Radke - Citi Tyler Radke Good evening, everybody. Thanks again for joining the –- I think this is a software room, although I've been moved around all day.
The 3 Best Metaverse Stocks to Buy Now: September 2023
It is true that the metaverse may seem something new for this time, even in its initial stages. But like artificial intelligence ( AI ) and cryptocurrencies, the metaverse is here to stay.</t>
  </si>
  <si>
    <t xml:space="preserve">           1y Target Est                      237.87
           52 Week Range             179.61 - 233.69
                     Ask                218.67 x 800
             Avg. Volume                   1496954.0
       Beta (5Y Monthly)                        1.49
                     Bid               218.51 x 1000
             Day's Range             217.91 - 220.43
               EPS (TTM)                        3.99
           Earnings Date Nov 20, 2023 - Nov 24, 2023
        Ex-Dividend Date                Mar 22, 2005
Forward Dividend &amp; Yield                   N/A (N/A)
              Market Cap                     46.723B
                    Open                      219.49
          PE Ratio (TTM)                       54.78
          Previous Close                      219.19
             Quote Price                  218.574997
                  Volume                    243753.0
    Market Cap (intraday) 46.85B
         Enterprise Value 47.45B
             Trailing P/E  54.39
              Forward P/E  29.67
PEG Ratio (5 yr expected)   1.83
        Price/Sales (ttm)   9.13
         Price/Book (mrq)  38.85
 Enterprise Value/Revenue   9.10
  Enterprise Value/EBITDA  40.90</t>
  </si>
  <si>
    <t>Charles River Laboratories to Present at Baird and Morgan Stanley Conferences
WILMINGTON, Mass.--(BUSINESS WIRE)---- $CRL #CRL--Charles River Laboratories to Present at September Conferences.
Steer Clear of Outrageously Valued VinFast Stock. 3 EV Stocks to Buy Instead.
VinFast Auto (NASDAQ: VFS ) went public through a blank-check merger early in August. By August 28, the Vietnam-based electric vehicle (EV) manufacturer had a market capitalization of $190 billion, making VinFast stock the third most valuable automaker behind Tesla (NASDAQ: TSLA ) and Toyota Motor (NYSE: TM ).
Here's Why You Should Retain Charles River (CRL) Stock Now
Investors are optimistic about Charles River (CRL) on the RMS segment's continued growth and upbeat guidance.
Charles River (CRL) Gains From Global Demand Amid FX Woes
Charles River (CRL) broadens the scope of the products and services across the drug discovery and early-stage development continuum through focused acquisitions.
Charles River and PathoQuest Announce Publication of a Head-to-Head Study Validating Proprietary Next Generation Sequencing Viral Safety Assay as a Reliable In Vitro Alternative to Animal Testing Methods
WILMINGTON, Mass. &amp; PARIS--(BUSINESS WIRE)--Charles River Laboratories International, Inc. (NYSE: CRL) and PathoQuest SAS, a leader in the development and provision of next-generation sequencing (NGS) testing services for biopharmaceuticals, today announced the publication of the results of a seminal study in Vaccine. This unique study demonstrated that PathoQuest's proprietary, good manufacturing practice (GMP) grade NGS-based assay had a greater capability of detecting viral contaminants when.</t>
  </si>
  <si>
    <t xml:space="preserve">           1y Target Est                      248.77
           52 Week Range             181.22 - 262.00
                     Ask                  0.00 x 800
             Avg. Volume                    450819.0
       Beta (5Y Monthly)                        1.33
                     Bid                  0.00 x 800
             Day's Range             199.92 - 202.18
               EPS (TTM)                        9.23
           Earnings Date Oct 31, 2023 - Nov 06, 2023
        Ex-Dividend Date                         NaN
Forward Dividend &amp; Yield                   N/A (N/A)
              Market Cap                     10.356B
                    Open                      200.75
          PE Ratio (TTM)                       21.88
          Previous Close                      199.74
             Quote Price                  201.979996
                  Volume                     57413.0
    Market Cap (intraday) 10.24B
         Enterprise Value 13.12B
             Trailing P/E  21.16
              Forward P/E  16.67
PEG Ratio (5 yr expected)   1.66
        Price/Sales (ttm)   2.45
         Price/Book (mrq)   3.15
 Enterprise Value/Revenue   3.14
  Enterprise Value/EBITDA  12.49</t>
  </si>
  <si>
    <t>Here's Why Cisco Stock Climbed 10% in August
The mature tech giant delivered strong revenue growth and profit expansion. Cisco is executing a successful strategic shift and taking advantage of demand catalysts.
3 Dividend-Paying Tech Stocks to Buy in September
Verizon has one of the highest dividend yields in the S&amp;P 500. Cisco has been focusing on increasing its software and subscription-based offerings.
3 Dividend-Paying Tech Stocks to Buy Right Now
AT&amp;T still generates enough cash for its hefty dividend. Opera's new semi-annual dividend sports a forward yield of more than 5%.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Cisco Systems, Inc. (CSCO) Presents at Goldman Sachs Communacopia &amp; Technology Conference (Transcript)
Cisco Systems, Inc. (NASDAQ:CSCO ) Goldman Sachs Communacopia &amp; Technology Conference September 6, 2023 2:30 PM ET Company Participants Scott Herren - EVP and CFO Conference Call Participants Mike Ng - Goldman Sachs Mike Ng Great. We are going to go ahead and get started.
Cisco: Financial Engineering At Work - But, For How Long?
As a company, what do you do with extra cash flow? Why not implement financial engineering? The fundamental snapshot shows us what Cisco Systems, Inc. has been doing with their excess free cash. There will come a time when this will be less effective. That time may be now.
Is PepsiCo Stock A Better Pick Over Cisco?
We believe that PepsiCo stock (NYSE: PEP) is a better pick over Cisco stock (NASDAQ: CSCO), given its better prospects.</t>
  </si>
  <si>
    <t xml:space="preserve">           1y Target Est                       57.57
           52 Week Range               38.60 - 58.19
                     Ask                56.65 x 4000
             Avg. Volume                  18292269.0
       Beta (5Y Monthly)                        0.95
                     Bid                56.64 x 2900
             Day's Range               56.53 - 56.97
               EPS (TTM)                        3.07
           Earnings Date Nov 14, 2023 - Nov 20, 2023
        Ex-Dividend Date                Oct 03, 2023
Forward Dividend &amp; Yield                1.56 (2.75%)
              Market Cap                    230.465B
                    Open                       56.72
          PE Ratio (TTM)                       18.42
          Previous Close                       56.67
             Quote Price                      56.555
                  Volume                   4092781.0
    Market Cap (intraday) 230.93B
         Enterprise Value 213.18B
             Trailing P/E   18.46
              Forward P/E   14.03
PEG Ratio (5 yr expected)    2.99
        Price/Sales (ttm)    4.08
         Price/Book (mrq)    5.21
 Enterprise Value/Revenue    3.74
  Enterprise Value/EBITDA   12.20</t>
  </si>
  <si>
    <t>Stryker Corporation (SYK) Wells Fargo Securities Healthcare Conference (Transcript)
Stryker Corporation (NYSE:SYK ) Wells Fargo Securities Healthcare Conference Call September 7, 2023 3:00 PM ET Company Participants Glenn Boehnlein - CFO Jason Beach - VP, IR Conference Call Participants Larry Biegelsen - Wells Fargo Larry Biegelsen I'm Larry Biegelsen, the medical device analyst at Wells Fargo and it's my pleasure to host this session with Stryker. From the company, we have Glenn Boehnlein, the CFO; and Jason Beach, the Vice President of Investor Relations.
HAE or SYK: Which Is the Better Value Stock Right Now?
Investors with an interest in Medical - Products stocks have likely encountered both Haemonetics (HAE) and Stryker (SYK). But which of these two stocks offers value investors a better bang for their buck right now?
Stryker upgraded to ‘Buy' on 2024 upside potential
Analysts at Bank of America have upgraded their rating on medical technologies company Stryker Corporation (NYSE:SYK) to ‘Buy' on their belief it is likely to be a top-tier performer in 2024. They also increased their price target on the Kalamazoo, Michigan-based company from US$310 to US$315.
Here are 19 stocks Jim Cramer is watching, including Chipotle, LULU and Airbnb
Here are some of the tickers on my radar for Tuesday, Sept. 5, taken directly from my reporter's notebook.</t>
  </si>
  <si>
    <t xml:space="preserve">           1y Target Est                      320.41
           52 Week Range             200.80 - 306.93
                     Ask                  0.00 x 800
             Avg. Volume                   1260137.0
       Beta (5Y Monthly)                        0.96
                     Bid                 0.00 x 1000
             Day's Range             291.23 - 299.81
               EPS (TTM)                        7.09
           Earnings Date Oct 30, 2023 - Nov 03, 2023
        Ex-Dividend Date                Sep 28, 2023
Forward Dividend &amp; Yield                3.00 (1.04%)
              Market Cap                    113.854B
                    Open                      291.44
          PE Ratio (TTM)                       42.28
          Previous Close                      289.54
             Quote Price                  299.790009
                  Volume                    658911.0
    Market Cap (intraday) 109.96B
         Enterprise Value 121.43B
             Trailing P/E   40.90
              Forward P/E   25.25
PEG Ratio (5 yr expected)    2.85
        Price/Sales (ttm)    5.70
         Price/Book (mrq)    6.33
 Enterprise Value/Revenue    6.24
  Enterprise Value/EBITDA   26.82</t>
  </si>
  <si>
    <t>Automatic Data Processing, Inc. (ADP) Citi's 2023 Global Technology Conference (Transcript)
Automatic Data Processing, Inc. (NASDAQ:ADP ) Citi's 2023 Global Technology Conference September 7, 2023 4:00 PM ET Company Participants Don McGuire - CFO Conference Call Participants Peter Christiansen - Citi Investment Research Peter Christiansen Good morning, everyone. Welcome to Citi Fintech -- I am sorry.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3 Solid Tech Funds to Buy as Interest Rate Hike Fears Wane
Tech funds like FSPTX, ROGSX and KTCAX are likely to gain if the Fed decides not to hike interest rates in the near term.
4 GARP Stocks to Scoop Up for Maximum Returns
Try the GARP strategy when seeking a profitable portfolio of stocks offering optimum value and growth investing. HUBB, CAT, AOS and ADP are some stocks that hold promise.
The Business Impact of Promotions and Measuring Employee Motivation and Commitment: New Findings from the ADP Research Institute
New quarterly report series, Today at Work, leverages proprietary data to deliver a comprehensive view of the world of work. ROSELAND, N.J.
4 Stocks to Benefit from a Blooming Outsourcing Industry
The Zacks Outsourcing industry is expected to prosper with the rising importance of business and IT outsourcing. ADP, PAYX, BR and G are well poised to gain from the prevailing trends.</t>
  </si>
  <si>
    <t xml:space="preserve">           1y Target Est                      259.81
           52 Week Range             201.46 - 274.92
                     Ask               247.96 x 1000
             Avg. Volume                   1571243.0
       Beta (5Y Monthly)                        0.81
                     Bid                247.84 x 800
             Day's Range             247.70 - 249.89
               EPS (TTM)                         8.2
           Earnings Date Oct 24, 2023 - Oct 30, 2023
        Ex-Dividend Date                Sep 07, 2023
Forward Dividend &amp; Yield                5.00 (2.01%)
              Market Cap                    102.119B
                    Open                      249.28
          PE Ratio (TTM)                       30.23
          Previous Close                      249.37
             Quote Price                     247.847
                  Volume                    268705.0
    Market Cap (intraday) 102.74B
         Enterprise Value 103.98B
             Trailing P/E   30.37
              Forward P/E   27.25
PEG Ratio (5 yr expected)    2.83
        Price/Sales (ttm)    6.03
         Price/Book (mrq)   29.28
 Enterprise Value/Revenue    6.05
  Enterprise Value/EBITDA   19.84</t>
  </si>
  <si>
    <t>Why Cintas (CTAS) is a Top Growth Stock for the Long-Term
The Zacks Style Scores offers investors a way to easily find top-rated stocks based on their investing style. Here's why you should take advantage.
Cintas Corporation rises on 2023 Forbes Global 2000 list
CINCINNATI--(BUSINESS WIRE)--The Cincinnati-based business services company continues to be ranked among the largest companies in the world.
4 Top Dividend Growth Stocks of the S&amp;P 500 That Have Major Long-Term Potential for Investors
These companies have delivered annual dividend growth of 24% to 35% over the last five years. Despite this rapid pace, the highest payout ratio of the group is only 39%.</t>
  </si>
  <si>
    <t xml:space="preserve">           1y Target Est                      526.43
           52 Week Range             370.93 - 518.71
                     Ask                496.45 x 800
             Avg. Volume                    394072.0
       Beta (5Y Monthly)                         1.3
                     Bid                495.84 x 900
             Day's Range             494.69 - 497.52
               EPS (TTM)                       12.97
           Earnings Date Sep 26, 2023 - Oct 02, 2023
        Ex-Dividend Date                Aug 14, 2023
Forward Dividend &amp; Yield                5.40 (1.09%)
              Market Cap                     50.538B
                    Open                       494.8
          PE Ratio (TTM)                        38.3
          Previous Close                      495.13
             Quote Price                  496.730011
                  Volume                     83424.0
    Market Cap (intraday) 50.38B
         Enterprise Value 52.92B
             Trailing P/E  38.12
              Forward P/E  34.72
PEG Ratio (5 yr expected)   3.33
        Price/Sales (ttm)   5.81
         Price/Book (mrq)  13.04
 Enterprise Value/Revenue   6.00
  Enterprise Value/EBITDA  23.91</t>
  </si>
  <si>
    <t>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Archer-Daniels-Midland Company (ADM) Barclays Global Consumer Staples Conference (Transcript)
Archer-Daniels-Midland Company (NYSE:ADM ) Barclays Global Consumer Staples Conference September 6, 2023 2:15 PM ET Company Participants Vikram Luthar - CFO Conference Call Participants Ben Theurer - Barclays Ben Theurer Okay. So welcome back.
4 Stocks to Watch as the Agriculture Operations Industry Recovers
Agriculture - Operations industry is well-poised to gain on solid product portfolios and innovation in the near term, offset by impacts of raw material and commodity price inflation. Companies like ADM, AGRO, DOLE and LMNR stand to gain.</t>
  </si>
  <si>
    <t xml:space="preserve">           1y Target Est                       98.82
           52 Week Range               69.92 - 98.28
                     Ask                  0.00 x 800
             Avg. Volume                   2758124.0
       Beta (5Y Monthly)                        0.83
                     Bid                  0.00 x 800
             Day's Range               78.32 - 79.57
               EPS (TTM)                         7.5
           Earnings Date Oct 23, 2023 - Oct 27, 2023
        Ex-Dividend Date                Aug 15, 2023
Forward Dividend &amp; Yield                1.80 (2.28%)
              Market Cap                     42.095B
                    Open                       79.11
          PE Ratio (TTM)                       10.47
          Previous Close                       78.81
             Quote Price                   78.519997
                  Volume                    715129.0
    Market Cap (intraday) 42.25B
         Enterprise Value 50.65B
             Trailing P/E  10.51
              Forward P/E  11.76
PEG Ratio (5 yr expected)    NaN
        Price/Sales (ttm)   0.44
         Price/Book (mrq)   1.69
 Enterprise Value/Revenue   0.51
  Enterprise Value/EBITDA   7.72</t>
  </si>
  <si>
    <t>Skyworks (SWKS) Up 0.3% Since Last Earnings Report: Can It Continue?
Skyworks (SWKS) reported earnings 30 days ago. What's next for the stock?</t>
  </si>
  <si>
    <t xml:space="preserve">           1y Target Est                      120.51
           52 Week Range              76.16 - 123.69
                     Ask                 97.54 x 900
             Avg. Volume                   1624287.0
       Beta (5Y Monthly)                        1.29
                     Bid                 97.46 x 900
             Day's Range              97.33 - 100.96
               EPS (TTM)                        6.49
           Earnings Date Nov 01, 2023 - Nov 06, 2023
        Ex-Dividend Date                Aug 28, 2023
Forward Dividend &amp; Yield                2.72 (2.74%)
              Market Cap                     15.589B
                    Open                      100.94
          PE Ratio (TTM)                       15.07
          Previous Close                       99.38
             Quote Price                   97.800003
                  Volume                    651430.0
    Market Cap (intraday) 15.84B
         Enterprise Value 16.82B
             Trailing P/E  15.31
              Forward P/E  10.86
PEG Ratio (5 yr expected)   1.14
        Price/Sales (ttm)   3.21
         Price/Book (mrq)   2.69
 Enterprise Value/Revenue   3.39
  Enterprise Value/EBITDA   8.74</t>
  </si>
  <si>
    <t>Corteva, Inc.: As Bullish As Ever On This Quality Company
Corteva, Inc. had a solid quarter with margin expansion, making it a good investment opportunity in the fertilizers and agricultural industry. The company has a shareholder-friendly approach, with a significant portion of free cash flow going towards buybacks, making it attractive for investors. Despite challenges in the sector, CTVA has managed to grow well and provide stability, making it worth the premium it's trading at.
Corteva Agriscience to Participate in the Morgan Stanley 11th Annual Laguna Conference
INDIANAPOLIS, Sept. 5, 2023 /PRNewswire/ -- Corteva, Inc. (NYSE: CTVA) announces that Chief Executive Officer, Chuck Magro, and Executive Vice President and Chief Financial Officer, Dave Anderson, will speak at the Morgan Stanley 11th Annual Laguna Conference at 2:40 p.m.</t>
  </si>
  <si>
    <t xml:space="preserve">           1y Target Est                       69.39
           52 Week Range               48.68 - 68.43
                     Ask                 0.00 x 1000
             Avg. Volume                   3925519.0
       Beta (5Y Monthly)                        0.81
                     Bid                  0.00 x 900
             Day's Range               49.57 - 50.25
               EPS (TTM)                        1.57
           Earnings Date Nov 01, 2023 - Nov 06, 2023
        Ex-Dividend Date                Aug 31, 2023
Forward Dividend &amp; Yield                0.64 (1.29%)
              Market Cap                      35.31B
                    Open                       49.72
          PE Ratio (TTM)                       31.69
          Previous Close                       49.58
             Quote Price                   49.748501
                  Volume                    858858.0
    Market Cap (intraday) 35.19B
         Enterprise Value 37.89B
             Trailing P/E  31.58
              Forward P/E  15.13
PEG Ratio (5 yr expected)   1.26
        Price/Sales (ttm)   2.03
         Price/Book (mrq)   1.34
 Enterprise Value/Revenue   2.16
  Enterprise Value/EBITDA  14.38</t>
  </si>
  <si>
    <t>Memory Turns Around In Q3 But Inventories Excluding Memory And AI Remain High
Global memory and AI chipmakers are experiencing an end to the supply surplus for semiconductors. Excessive capex spending in memory chips has led to inventory problems and a sharp downturn is expected in 2023.
Analog Devices to Participate in the Evercore ISI 2023 Semiconductor &amp; Semiconductor Equipment Conference
WILMINGTON, Mass.--(BUSINESS WIRE)--Analog Devices, Inc. (Nasdaq: ADI) today announced that the Company's Executive Vice President, Finance &amp; Chief Financial Officer, Prashanth Mahendra-Rajah, will discuss business topics and trends at the Evercore ISI 2023 Semiconductor &amp; Semiconductor Equipment Conference taking place at the Evercore ISI Offices located in New York, New York, on Thursday, September 7, 2023, at 10:00 a.m. EST. The webcast for the conference may be accessed live via the.
Analog Devices to Participate in Citi's 2023 Global Technology Conference
WILMINGTON, Mass.--(BUSINESS WIRE)--Analog Devices, Inc. (Nasdaq: ADI) today announced that the Company's Executive Vice President, Finance &amp; Chief Financial Officer, Prashanth Mahendra-Rajah, will discuss business topics and trends at Citi's 2023 Global Technology Conference taking place at The New York Hilton Midtown Hotel, located in New York, New York, on Wednesday, September 6, 2023, at 11:15 a.m. EST. The webcast for the conference may be accessed live via the Investor Relations secti.
7 Tech Stocks to Buy to Go Beyond the ‘Magnificent 7'
In 2023, tech stocks to buy have boomed led by the ‘Magnificent 7' which have propelled much of the overall market gains. However, they've also proven volatile experiencing hiccups early in August as valuation concerns mounted.</t>
  </si>
  <si>
    <t xml:space="preserve">           1y Target Est                      200.49
           52 Week Range             133.48 - 200.10
                     Ask               176.35 x 1100
             Avg. Volume                   3411277.0
       Beta (5Y Monthly)                        1.17
                     Bid               176.21 x 1800
             Day's Range             175.30 - 179.91
               EPS (TTM)                        7.35
           Earnings Date Nov 20, 2023 - Nov 24, 2023
        Ex-Dividend Date                Sep 01, 2023
Forward Dividend &amp; Yield                3.44 (1.94%)
              Market Cap                     87.619B
                    Open                      179.54
          PE Ratio (TTM)                       23.92
          Previous Close                      177.47
             Quote Price                  175.830002
                  Volume                    855050.0
    Market Cap (intraday) 88.44B
         Enterprise Value 94.27B
             Trailing P/E  24.15
              Forward P/E  21.14
PEG Ratio (5 yr expected)   2.39
        Price/Sales (ttm)   7.05
         Price/Book (mrq)   2.46
 Enterprise Value/Revenue   7.34
  Enterprise Value/EBITDA  14.17</t>
  </si>
  <si>
    <t>Half of Warren Buffett's Portfolio Is in Apple. These 5 Stocks Make Up 66% of the Other Half.
The conglomerate owns $178 billion in Apple shares, which is roughly 50% of its portfolio. Its next-largest holdings include stocks in the financial, energy, and consumer goods sectors.
Warren Buffett's Highest-Yielding Stock Isn't Citigroup at 5%. He's Netting Almost 57% Annually From Another Top Holding.
The Oracle of Omaha has overseen a greater than 4,400,000% increase in Berkshire Hathaway's Class A shares (BRK.A) since taking the reins in 1965. Money-center bank Citigroup is Berkshire's highest-yielding holding on a nominal basis (5.1%).
Chevron appeals to workplace tribunal to halt Australia LNG strike action
Chevron said on Monday it would ask Australia's industrial relations tribunal to intervene to halt strike action at its Gorgon and Wheatstone liquefied natural gas (LNG) plants.
Chevron evacuates contract crew from Australia LNG project as strikes begin - unions
Chevron Corp started evacuating contractor workers from its Gorgon liquefied natural gas (LNG) facility on Saturday, shortly after staff went on strike at two major projects in Australia, a union alliance said.
Best Dividend Stock to Buy: Devon Stock vs. Chevron Stock
The price of oil is rising as a major producer slows output.
The 3 Best Energy Stocks to Buy Now: September 2023
Here we go again. Crude oil prices are once again marching higher after Saudi Arabia and Russia extended their voluntary production cuts to the end of this year.
LNG Prices Rise as Strikes at Chevron's Australian Facilities Squeeze Global Supplies
Workers at Chevron (CVX) liquefied natural gas (LNG) sites in Australia began partial strikes on Friday after talks between the company and workers broke down, potentially disrupting global supplies and sending gas prices higher.
Chevron Workers in Australia Go on Strike. It's Hitting Natural Gas Prices.
Australia is the biggest producer of liquefied natural gas.
Chevron Australia workers begin strike, threatening global LNG supply
Workers at Chevron's liquified natural gas facilities in Australia have begun to walk off the job in a dispute that threatens as much as 7% of global supplies and could add to rising pressure on energy prices.
Explainer: Chevron Australia LNG workers start strike. What happens now?
Workers at Chevron's liquefied natural gas (LNG) projects in Australia, which produce 5.1% of the world's supply of the super-chilled fuel, went on strike on Friday after mediation talks ended without a deal.
Chevron Stock: Buy, Sell, or Hold?
Chevron has a diversified business with exposure to the entire energy value chain. Oil prices are a big driver of financial performance.
European gas futures jump as Chevron talks in Australia fail
The key European gas contract rose Friday after negotiations at a key Australian liquified natural gas supplier failed to produce an agreement. The Dutch TTF natural gas contract for October rose 6% to 34.83 euros, as a partial strike by Chevron workers in Australia began.
Chevron Australia LNG workers to begin strike from Friday
Workers at Chevron's two major liquefied natural gas(LNG) projects in Australia will begin planned strikes from 1 p.m. (0500 GMT) on Friday, a union alliance said.
Chevron, Repsol quit oil and gas exploration blocks in Mexican Gulf
Energy companies Chevron and Repsol decided to quit offshore oil and gas exploration areas in Mexico, the regulator for the sector said on Thursday, joining more than a dozen other companies after disappointing results.
Warren Buffett's top 5 portfolio positions
Warren Buffett is one of the world's most successful stock investors with a net worth of $118 billion. His success is mostly attributed to finding great companies at a discount.
Chevron LNG workers in Australia to further delay planned strikes
Workers at Chevron's liquefied natural gas facilities in Australia have agreed to further delay a planned strike to later on Friday, the company and a union representative told Reuters late on Thursday.
The 3 Best Inflation Stocks to Buy Now: September 2023
Inflation is down from the 40-year highs it registered in 2022. However, I hate to be the bearer of bad news, but any moderation is likely to be over.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Chevron raises Permian capex for 2024, reduces rig plans
Oil producer Chevron on Wednesday said it plans to raise capital expenditures in the Permian basin by 25% in 2024 from its annual guidance despite a more modest rig count plan for the largest U.S. unconventional basin.
Union flags progress in talks as Chevron Australia LNG strikes delayed
Strike action at Chevron's two major liquefied natural gas (LNG) projects in Australia was paused for 24 hours because of progress made in mediation talks, a union alliance said on Thursday, raising prospects the parties may be nearing a deal.
Chevron, Trafigura and Papé Group Close Investment in Downstream Hydrogen Business OneH2
LONGVIEW, N.C.--(BUSINESS WIRE)--Chevron leads new investment with Trafigura and Papé Group in hydrogen solutions company OneH2.
Chevron Corporation (CVX) Management Presents at 2023 Barclays CEO Energy-Power Conference Call Transcript
Chevron Corporation (NYSE:CVX ) 2023 Barclays CEO Energy-Power Conference September 6, 2023 8:00 AM ET Company Participants Nigel Hearne - EVP, Oil, Products &amp; Gas Conference Call Participants Betty Jiang - Barclays Betty Jiang It is my tremendous pleasure to introduce Chevron's EVP of Oil Products and Gas, Nigel Hearne, as our next speaker. Nigel started at Texaco and has practically been with Chevron and its - including its predecessor for over 30 years, and has held roles across upstream, downstream, and strategy.
Chevron LNG workers in Australia to pause strike action until Friday
Workers at Chevron's liquefied natural gas facilities in Australia will pause strike action originally planned for Thursday for just over 24 hours, according to two union representatives, who declined to be identified.
Warren Buffett's Brilliant Move Is About to Pay Even Bigger Dividends
Warren Buffett loaded his portfolio with shares of oil producers Chevron and Occidental Petroleum. That bold bet could start to really pay off as oil prices rally.
Oil Surges Over $90 on Huge Saudi Production Cuts: 7 ‘Strong Buy' Big Dividend Stocks to Grab Now
Since topping out at $120 a barrel back in the summer of 2022, the major oil benchmarks had traded down every month until bottoming in the beginning of December.
Chevron, unions in final talks ahead of planned Australia LNG strikes
Chevron and a union alliance will hold a final round of talks on Wednesday ahead of planned strike actions at two major liquefied natural gas (LNG) facilities in Australia as ongoing disputes over pay and conditions remained unresolved.
3 Energy Stocks Suited Nicely for Momentum Investors
Relative strength focuses on stocks that have performed well compared to the market as a whole or another relevant benchmark. And by targeting those displaying this favorable price action, investors can find themselves in positive market trends where buyers are in control.
Warren Buffett Energy Stocks Break Out As Saudi Arabia Extends Production Cut
Two of Warren Buffett's favorite energy stocks jumped Tuesday as U.S. oil prices surged above $85 per barrel, hitting fresh 9-month highs.
Australian gas workers escalate strike plans in new threat to global supply
Workers at two Chevron Corporation (NYSE:CVX)-operated liquified natural gas terminals could walk out for a whole two weeks in September, after escalating threats in a row with the company. These could take place from September 14, according to local unions, placing supply from Australia - the world's largest exporter – under threat.
Sell the Rally as September Is the Worst Month for Stocks: 5 Warren Buffett Stocks to Move to Now
The recent rally out of the August lows has gotten everybody fired up again. The Magnificent 7 continue to push the markets higher while many of the rest of the S&amp;P 500 stocks tread water.
Chevron Australia staff offer to repair domestic gas plant through strike
Some employees of Chevron's Wheatstone liquefied natural gas (LNG) facility in Australia have offered to work during industrial action set to begin on Thursday in a bid to avert domestic supply disruptions, a union alliance said on Tuesday.
Chevron faces two-week total strike at Australia LNG projects
Workers at Chevron's Gorgon and Wheatstone liquefied natural gas (LNG) projects in Australia plan a total strike for two weeks from Sept. 14, a union alliance said on Tuesday, a significant escalation on disputes over pay and conditions.</t>
  </si>
  <si>
    <t xml:space="preserve">           1y Target Est                      186.68
           52 Week Range             140.46 - 189.68
                     Ask                 0.00 x 1200
             Avg. Volume                   7523403.0
       Beta (5Y Monthly)                        1.17
                     Bid                  0.00 x 900
             Day's Range             164.91 - 168.59
               EPS (TTM)                       15.77
           Earnings Date Oct 26, 2023 - Oct 30, 2023
        Ex-Dividend Date                Aug 17, 2023
Forward Dividend &amp; Yield                6.04 (3.61%)
              Market Cap                    314.964B
                    Open                      168.08
          PE Ratio (TTM)                       10.47
          Previous Close                      167.21
             Quote Price                  165.110001
                  Volume                   2658970.0
    Market Cap (intraday) 318.97B
         Enterprise Value 330.87B
             Trailing P/E   10.60
              Forward P/E   11.82
PEG Ratio (5 yr expected)     NaN
        Price/Sales (ttm)    1.49
         Price/Book (mrq)    2.01
 Enterprise Value/Revenue    1.55
  Enterprise Value/EBITDA    6.40</t>
  </si>
  <si>
    <t>Accenture Invests in Open Cosmos to Expand Access to Satellite Data
PARIS--(BUSINESS WIRE)--Accenture announced an investment and collaboration with Open Cosmos, a space technology company.
Drug And Tech Services Stocks Surge To New Highs, Buy Zones With Strong Technical Ratings
Eli Lilly and Accenture are at new highs after earnings. Both stocks are supported by strong technical ratings and are in buy zones.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Accenture and Workday Expand Partnership to Help Organizations Accelerate Finance Transformation
NEW YORK--(BUSINESS WIRE)--Accenture and Workday are expanding their partnership to help organizations reinvent their finance functions.
5 Stocks to Gain From a Thriving Consulting Services Industry
Five consulting services stocks to be considered now are: HURN, ACN, CRAI, FC, STN.</t>
  </si>
  <si>
    <t xml:space="preserve">           1y Target Est          338.82
           52 Week Range 242.80 - 330.44
                     Ask     0.00 x 1000
             Avg. Volume       2029798.0
       Beta (5Y Monthly)            1.22
                     Bid     0.00 x 1800
             Day's Range 324.50 - 328.22
               EPS (TTM)           11.23
           Earnings Date    Sep 28, 2023
        Ex-Dividend Date    Jul 12, 2023
Forward Dividend &amp; Yield    4.48 (1.38%)
              Market Cap        205.281B
                    Open          327.49
          PE Ratio (TTM)           28.96
          Previous Close          325.47
             Quote Price      325.170013
                  Volume        428142.0
    Market Cap (intraday) 205.30B
         Enterprise Value 199.86B
             Trailing P/E   29.01
              Forward P/E   26.11
PEG Ratio (5 yr expected)    3.03
        Price/Sales (ttm)    3.27
         Price/Book (mrq)    8.10
 Enterprise Value/Revenue    3.14
  Enterprise Value/EBITDA   17.17</t>
  </si>
  <si>
    <t>These 3 Low-Beta Stocks Sport High Growth
Low-beta stocks can provide many beneficial advantages for investors, including a more defensive nature and overall portfolio balance. And for those seeking this approach, these three stocks are great considerations.</t>
  </si>
  <si>
    <t xml:space="preserve">           1y Target Est                       89.69
           52 Week Range               41.05 - 84.83
                     Ask                78.22 x 1000
             Avg. Volume                   1910966.0
       Beta (5Y Monthly)                        0.72
                     Bid                78.20 x 1100
             Day's Range               77.53 - 78.44
               EPS (TTM)                        5.86
           Earnings Date Oct 24, 2023 - Oct 30, 2023
        Ex-Dividend Date                         NaN
Forward Dividend &amp; Yield                   N/A (N/A)
              Market Cap                     29.165B
                    Open                       77.53
          PE Ratio (TTM)                       13.34
          Previous Close                       77.25
             Quote Price                   78.199997
                  Volume                    287215.0
    Market Cap (intraday) 28.81B
         Enterprise Value 31.89B
             Trailing P/E  13.09
              Forward P/E  10.66
PEG Ratio (5 yr expected)    NaN
        Price/Sales (ttm)   2.49
         Price/Book (mrq)   2.09
 Enterprise Value/Revenue   2.73
  Enterprise Value/EBITDA    NaN</t>
  </si>
  <si>
    <t>3 No-Brainer Dividend Stocks to Buy No Matter What the Market Is Doing
Abbott, J&amp;J, and Coca-Cola all are Dividend Kings, meaning they have a stellar track record of dividend growth. These companies also have solid product portfolios to drive revenue over time.
September Rally? 3 Healthcare Stocks to Buy Before Liftoff.
With inflation taking center stage once again, it's becoming clear that consumers are prioritizing wants and needs. One of those “non-discretionary” expenses is healthcare, which makes it a good time to look for healthcare stocks to buy.
The 3 Best Pharma Stocks to Buy Now: September 2023
The pharmaceutical sector will always be a sector in constant evolution and growth. As technology advances, the companies that make life in this sector will always be applying it, as well as implementing new processes, new combinations, and new formulas, always with the aim of being able to make medicines and treatments much more effective and efficient for all of us.
8 Dividend Aristocrat Stocks to Buy Now With a Recession (and Inflation) Looming Large in 2024
We follow the bond market closely at 24/7 Wall St., and for almost a year now there has been an inversion (or difference in yield) between the two-year Treasury paper and the benchmark 10-year note.
Abbott (ABT) to Advance Diabetes Care With New Acquisition
Abbott's (ABT) recent deal will enable it to create more interconnected solutions to improve the personalization and accuracy of diabetes control.
Is Abbott Stock A Better Healthcare Pick Over Thermo Fisher Scientific?
There is more to the comparison, and in the sections below, we discuss why we believe that TMO will offer better returns than ABT in the next three years.
Abbott to Acquire Bigfoot Biomedical, Furthering Efforts to Develop Personalized, Connected Solutions for People with Diabetes
Bigfoot developed Bigfoot Unity, a smart insulin management system that features the first and only FDA-cleared connected insulin pen caps that turn data from a continuous glucose monitor (CGM) into clear and reliable insulin dosing recommendations displayed right on the insulin pen cap Acquisition will bring together two leaders in different aspects of diabetes care: CGM and insulin injection support Together, Abbott and Bigfoot will continue to advance technology-driven solutions for making diabetes management even more personal and precise ABBOTT PARK, Ill. and MILPITAS, Calif.
Down 10.3%, Is Abbott Laboratories Stock a Buy on the Dip?
Shares of Abbott Laboratories have fallen by more than 10% from the high point they reached in July. The company has a remarkable track record of 50 consecutive years of annual dividend raises.</t>
  </si>
  <si>
    <t xml:space="preserve">           1y Target Est                      124.44
           52 Week Range              93.25 - 115.83
                     Ask                 0.00 x 1000
             Avg. Volume                   4637937.0
       Beta (5Y Monthly)                        0.67
                     Bid                  0.00 x 800
             Day's Range             100.55 - 103.00
               EPS (TTM)                        2.93
           Earnings Date Oct 17, 2023 - Oct 23, 2023
        Ex-Dividend Date                Jul 13, 2023
Forward Dividend &amp; Yield                2.04 (2.03%)
              Market Cap                    178.621B
                    Open                       100.8
          PE Ratio (TTM)                       35.13
          Previous Close                      100.73
             Quote Price                     102.945
                  Volume                   1457323.0
    Market Cap (intraday) 174.80B
         Enterprise Value 183.49B
             Trailing P/E   34.38
              Forward P/E   21.79
PEG Ratio (5 yr expected)   37.59
        Price/Sales (ttm)    4.39
         Price/Book (mrq)    4.70
 Enterprise Value/Revenue    4.56
  Enterprise Value/EBITDA   18.15</t>
  </si>
  <si>
    <t>Big Institutions Grab ‘Strong Buy' Dividend Stocks in a Sector Not Totally Driven by AI
The strong move higher that Nvidia has driven in the stock market this year has been significant, and the world of artificial intelligence has driven stock prices this year.
AbbVie Declares Quarterly Dividend
NORTH CHICAGO, Ill. , Sept. 8, 2023 /PRNewswire/ -- The board of directors of AbbVie Inc. (NYSE: ABBV) today declared a quarterly cash dividend of $1.48 per share.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Join BOTOX® Cosmetic (onabotulinumtoxinA) and IFundWomen in Supporting Women Entrepreneurs
GET TO KNOW THE WOMEN-OWNED BUSINESSES RECEIVING GRANTS AND CONTRIBUTE TO THEIR SUCCESS, FURTHER CLOSING THE "CONFIDENCE GAP" IRVINE, Calif. , Sept. 6, 2023 /PRNewswire/ -- Allergan Aesthetics, an AbbVie company (NYSE: ABBV) today announced the next chapter of the BOTOX® Cosmetic and IFundWomen grant program with the launch of crowdfunding campaigns for the women entrepreneurs.
AbbVie to Present at the Morgan Stanley Healthcare Conference
NORTH CHICAGO, Ill. , Sept. 6, 2023 /PRNewswire/ -- AbbVie (NYSE: ABBV) will participate in the Morgan Stanley 21st Annual Global Healthcare Conference on Wednesday, September 13, 2023.
3 Biotech Stocks to Invest In for Big-Time, Long-Term Gains
In the grand tapestry of the investment world, one thread that continues to shine is biotech stocks to buy and hold. It's no secret that delving into biotech investments can be incredibly challenging, even when zeroing in on established firms with market-ready drugs and expansive research and development pipelines.
AbbVie Inc. (ABBV) Is a Trending Stock: Facts to Know Before Betting on It
Zacks.com users have recently been watching AbbVie (ABBV) quite a bit. Thus, it is worth knowing the facts that could determine the stock's prospects.</t>
  </si>
  <si>
    <t xml:space="preserve">           1y Target Est                      169.14
           52 Week Range             130.96 - 168.11
                     Ask                 0.00 x 1300
             Avg. Volume                   5257330.0
       Beta (5Y Monthly)                        0.55
                     Bid                 0.00 x 1800
             Day's Range             148.41 - 149.40
               EPS (TTM)                        4.86
           Earnings Date Oct 26, 2023 - Oct 30, 2023
        Ex-Dividend Date                Oct 12, 2023
Forward Dividend &amp; Yield                5.92 (3.97%)
              Market Cap                    263.151B
                    Open                      148.86
          PE Ratio (TTM)                       30.68
          Previous Close                      149.02
             Quote Price                  149.089996
                  Volume                    810494.0
    Market Cap (intraday) 263.03B
         Enterprise Value 315.28B
             Trailing P/E   30.66
              Forward P/E   13.61
PEG Ratio (5 yr expected)    5.91
        Price/Sales (ttm)    4.72
         Price/Book (mrq)   20.44
 Enterprise Value/Revenue    5.63
  Enterprise Value/EBITDA   14.71</t>
  </si>
  <si>
    <t>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September Rally? 3 Utilities Stocks to Buy Before Liftoff
Investing in the best utility stocks might emerge as a remarkably steady choice in a constantly evolving market environment. Undeniably, utilities are the unsung maestros, orchestrating a seamless flow of electricity, natural gas, and water to our homes.
3 Dividend Stocks That Could Be Ideal Buys for Retirees in September
Pfizer, Procter &amp; Gamble, and Southern Company are profitable and good dividend payers. These stocks all yield more than 2%, and their payouts look safe for the foreseeable future.
Communities In Schools of Georgia Appoints Rashidah Hasan to Board of Directors
Georgia Natural Gas employee combines passion for learning with serving Georgia's education community ATLANTA , Sept. 6, 2023 /PRNewswire/ -- Communities In Schools of Georgia has appointed Georgia Natural Gas Data Compliance Manager Rashidah Hasan to the nonprofit's board of directors.</t>
  </si>
  <si>
    <t xml:space="preserve">           1y Target Est                       73.38
           52 Week Range               60.71 - 80.32
                     Ask                  0.00 x 900
             Avg. Volume                   3759006.0
       Beta (5Y Monthly)                        0.52
                     Bid                  0.00 x 800
             Day's Range               67.71 - 68.45
               EPS (TTM)                        2.81
           Earnings Date Oct 25, 2023 - Oct 30, 2023
        Ex-Dividend Date                Aug 18, 2023
Forward Dividend &amp; Yield                2.76 (4.06%)
              Market Cap                     74.288B
                    Open                       67.83
          PE Ratio (TTM)                       24.24
          Previous Close                       67.93
             Quote Price                   68.120003
                  Volume                    787856.0
    Market Cap (intraday)  74.08B
         Enterprise Value 134.35B
             Trailing P/E   24.17
              Forward P/E   16.92
PEG Ratio (5 yr expected)    3.24
        Price/Sales (ttm)    2.69
         Price/Book (mrq)    2.42
 Enterprise Value/Revenue    4.62
  Enterprise Value/EBITDA   12.91</t>
  </si>
  <si>
    <t>Best Dividend Stock to Buy: Coca-Cola Stock vs. Deere Stock
Passive income investors have two excellent choices in Coca-Cola and Deere.
The Hunt For Potential 10x Returns: Deere Has High Profitability And Secular Tailwinds
I examine whether John Deere has the potential to appreciate ten times over with its current valuation as part of 'The Hunt For Potential 10x Returns' series. As previously done, I use a rating system based on factors such as returns on invested capital, insider ownership, share repurchases, gross profit margin, and intangibles to evaluate the company. Deere scored 43/50 on the 10-bagger scale, supported by its high profitability, growing profit margins, and strong industry potential.
5 Stocks With Recent Dividend Hikes Amid Market Volatility
Summit Financial Group, Inc. (SMMF), Greif, Inc. (GEF), Bank of Montreal (BMO), Avnet, Inc. (AVT) &amp; Deere &amp; Company (DE) recently hiked dividends.
Dividend Income Summary: Lanny's August 2023 Summary
2023 has been one heck of a year. The S&amp;P 500 is close to all-time highs. The Fed raised interest rates in July, as the economy is still on fire. The retirement accounts brought in a total dividend income amount of $379.48 or 22% of the dividend income total, similar to last month. Dividend increases created $42.95 in additional passive dividend income.</t>
  </si>
  <si>
    <t xml:space="preserve">           1y Target Est          457.18
           52 Week Range 328.62 - 450.00
                     Ask      0.00 x 900
             Avg. Volume       1497690.0
       Beta (5Y Monthly)            1.08
                     Bid     0.00 x 1200
             Day's Range 397.72 - 403.93
               EPS (TTM)           33.73
           Earnings Date    Nov 22, 2023
        Ex-Dividend Date    Sep 28, 2023
Forward Dividend &amp; Yield    5.40 (1.35%)
              Market Cap        114.784B
                    Open           403.3
          PE Ratio (TTM)           11.82
          Previous Close          399.66
             Quote Price      398.554993
                  Volume        517564.0
    Market Cap (intraday) 115.10B
         Enterprise Value 169.86B
             Trailing P/E   11.84
              Forward P/E   12.33
PEG Ratio (5 yr expected)    1.08
        Price/Sales (ttm)    1.97
         Price/Book (mrq)    4.99
 Enterprise Value/Revenue    2.81
  Enterprise Value/EBITDA   10.09</t>
  </si>
  <si>
    <t>Zimmer Biomet Announces Key Updates to Company's Executive Leadership Team
WARSAW, Ind., Sept. 5, 2023 /PRNewswire/ -- Zimmer Biomet Holdings, Inc. (NYSE and SIX: ZBH), a global medical technology leader, today announced key updates to the Company's Executive Leadership Team. Wilfred van Zuilen has been promoted to Group President, EMEA; Mark Bezjak was promoted to President of the Americas; and Chief Science, Technology and Innovation Officer Nitin Goyal, M.D. has been appointed to the Executive Leadership Team, all reporting directly to President and Chief Executive Officer Ivan Tornos.
Zimmer Biomet (ZBH) Business Recovery Continues Despite FX Woe
Zimmer Biomet (ZBH) is benefiting from increased provider capacity, resulting in backlog pull-through in the recent quarters.</t>
  </si>
  <si>
    <t xml:space="preserve">           1y Target Est                      150.15
           52 Week Range             102.60 - 149.25
                     Ask                  0.00 x 800
             Avg. Volume                   1515996.0
       Beta (5Y Monthly)                        1.04
                     Bid                 0.00 x 1000
             Day's Range             121.03 - 123.35
               EPS (TTM)                         2.4
           Earnings Date Oct 31, 2023 - Nov 06, 2023
        Ex-Dividend Date                Sep 28, 2023
Forward Dividend &amp; Yield                0.96 (0.80%)
              Market Cap                     25.726B
                    Open                      121.22
          PE Ratio (TTM)                        51.3
          Previous Close                      120.65
             Quote Price                  123.110001
                  Volume                    404252.0
    Market Cap (intraday) 25.21B
         Enterprise Value 30.76B
             Trailing P/E  50.27
              Forward P/E  15.08
PEG Ratio (5 yr expected)   2.34
        Price/Sales (ttm)   3.53
         Price/Book (mrq)   2.04
 Enterprise Value/Revenue   4.28
  Enterprise Value/EBITDA  17.28</t>
  </si>
  <si>
    <t>Quest Diagnostics to Speak at the Baird 2023 Global Healthcare Conference
SECAUCUS, N.J. , Sept. 8, 2023 /PRNewswire/ -- Quest Diagnostics Incorporated (NYSE: DGX), the world's leading provider of diagnostic information services, announced that Sam Samad, Executive Vice President and Chief Financial Officer, will speak on the company's strategy, performance and the latest market developments and trends during a fireside chat at the Baird 2023 Global Healthcare Conference in New York City on Wednesday, September 13, 2023, at 2:00 p.m.
Quest Diagnostics Releases 2022 Corporate Responsibility Report
SECAUCUS, N.J. , Sept. 7, 2023 /PRNewswire/ -- Quest Diagnostics (NYSE: DGX), the leader in diagnostic information services, today released its 2022 Corporate Responsibility Report.</t>
  </si>
  <si>
    <t xml:space="preserve">           1y Target Est                       147.5
           52 Week Range             120.40 - 158.34
                     Ask                  0.00 x 800
             Avg. Volume                    818166.0
       Beta (5Y Monthly)                        0.94
                     Bid                 0.00 x 1000
             Day's Range             126.64 - 127.53
               EPS (TTM)                        6.92
           Earnings Date Oct 18, 2023 - Oct 23, 2023
        Ex-Dividend Date                Oct 05, 2023
Forward Dividend &amp; Yield                2.84 (2.24%)
              Market Cap                       14.3B
                    Open                      126.89
          PE Ratio (TTM)                       18.41
          Previous Close                      127.02
             Quote Price                  127.415001
                  Volume                     80640.0
    Market Cap (intraday) 14.26B
         Enterprise Value 19.09B
             Trailing P/E  18.36
              Forward P/E  13.77
PEG Ratio (5 yr expected)   2.90
        Price/Sales (ttm)   1.54
         Price/Book (mrq)   2.28
 Enterprise Value/Revenue   2.01
  Enterprise Value/EBITDA  11.60</t>
  </si>
  <si>
    <t>The 7 Best Utilities Stocks to Buy Now: September 2023
While even the so-called best utilities stocks will likely never be mistaken for sexy opportunities, they offer exceptional relevance, especially at this juncture. With Wall Street unsure how to digest various macroeconomic news, the utilities space brings some predictability to your portfolio.
Utility Stocks Should Beat The Market: My 3 Top Buys
Utilities are currently cheap compared to their historical average valuation (as well as compared to the broader market) and offer both growth potential and stock price upside. Federal legislation incentivizing decarbonization and electrification will fuel massive growth in the utility sector. I highlight my three favorite utilities and utility-adjacent stocks to buy during the current dip in utility stock prices.
Is the Options Market Predicting a Spike in American Electric (AEP) Stock?
Investors need to pay close attention to American Electric (AEP) stock based on the movements in the options market lately.</t>
  </si>
  <si>
    <t xml:space="preserve">           1y Target Est                       94.17
           52 Week Range              75.47 - 105.60
                     Ask                 77.97 x 800
             Avg. Volume                   3198920.0
       Beta (5Y Monthly)                        0.46
                     Bid                77.96 x 1000
             Day's Range               77.72 - 78.52
               EPS (TTM)                        3.84
           Earnings Date Oct 25, 2023 - Oct 30, 2023
        Ex-Dividend Date                Aug 09, 2023
Forward Dividend &amp; Yield                3.32 (4.27%)
              Market Cap                     40.215B
                    Open                       77.79
          PE Ratio (TTM)                       20.33
          Previous Close                       77.74
             Quote Price                   78.059998
                  Volume                    685583.0
    Market Cap (intraday) 40.05B
         Enterprise Value 84.20B
             Trailing P/E  20.24
              Forward P/E  13.89
PEG Ratio (5 yr expected)   2.13
        Price/Sales (ttm)   2.06
         Price/Book (mrq)   1.68
 Enterprise Value/Revenue   4.32
  Enterprise Value/EBITDA  12.61</t>
  </si>
  <si>
    <t>AES to Benefit From Investments and Focus on Renewable Energy
AES' strategic investment plans and partnerships to further expand its clean energy generation are likely to drive its performance.
The 7 Best Utilities Stocks to Buy Now: September 2023
While even the so-called best utilities stocks will likely never be mistaken for sexy opportunities, they offer exceptional relevance, especially at this juncture. With Wall Street unsure how to digest various macroeconomic news, the utilities space brings some predictability to your portfolio.</t>
  </si>
  <si>
    <t xml:space="preserve">           1y Target Est                       27.33
           52 Week Range               16.89 - 29.89
                     Ask                 0.00 x 3200
             Avg. Volume                   5514588.0
       Beta (5Y Monthly)                        0.97
                     Bid                 0.00 x 1800
             Day's Range               17.25 - 17.54
               EPS (TTM)                       -0.56
           Earnings Date Nov 02, 2023 - Nov 06, 2023
        Ex-Dividend Date                Jul 31, 2023
Forward Dividend &amp; Yield                0.66 (3.86%)
              Market Cap                     11.668B
                    Open                       17.35
          PE Ratio (TTM)                         NaN
          Previous Close                       17.27
             Quote Price                   17.424999
                  Volume                   1406292.0
    Market Cap (intraday) 11.56B
         Enterprise Value 36.91B
             Trailing P/E    NaN
              Forward P/E   8.86
PEG Ratio (5 yr expected)   1.25
        Price/Sales (ttm)   0.92
         Price/Book (mrq)   6.99
 Enterprise Value/Revenue   2.84
  Enterprise Value/EBITDA  17.77</t>
  </si>
  <si>
    <t>Cummins (CMI), PACCAR (PCAR) and Daimler Form a Battery JV
Cummins (CMI), PACCAR (PCAR) and Daimler collaborate for battery cell production in the United States.
Cummins: 5 Factors Make This A Strong Buy
The revenue and net income growth for Cummins is good. Free cash flow growth has lulled the last three years due to expenditures on Meritor Acquisition. Their balance sheet is healthy from a Net Debt/EBIDTA basis even with a recent spike of this metric, due to the same acquisition. They have an excellent share repurchase program and minimal stock-based compensation, providing more value for the investor.
Cummins, Daimler form joint venture for battery cell production in US
Accelera, a zero-emissions business unit of Cummins , and Daimler Trucks &amp; Buses US Holding said on Wednesday they formed a joint venture to advance battery cell production in the United States.
Accelera by Cummins, Daimler Truck and PACCAR form a joint venture to advance battery cell production in the United States
COLUMBUS, Ind. &amp; PORTLAND, Ore. &amp; BELLEVUE, Wash.--(BUSINESS WIRE)--Accelera by Cummins, the zero-emissions business unit of Cummins Inc. [NYSE: CMI], Daimler Trucks &amp; Buses US Holding LLC (a Daimler Truck Group Company; DAX: DTR0CK; “Daimler Truck”) and PACCAR [NASDAQ: PCAR] are partnering to accelerate and localize battery cell production and the battery supply chain in the United States. The planned joint venture will manufacture battery cells for electric commercial vehicles and industr.
Accelera - Cummins, Daimler Truck and PACCAR Form a Joint Venture to Advance Battery Cell Production in The United States
COLUMBUS, Ind. &amp; PORTLAND, Ore. &amp; BELLEVUE, Wash.--(BUSINESS WIRE)--Accelera by Cummins, the zero-emissions business unit of Cummins Inc. [NYSE: CMI], Daimler Trucks &amp; Buses US Holding LLC (a Daimler Truck Group Company; DAX: DTR0CK; “Daimler Truck”) and PACCAR [NASDAQ: PCAR] are partnering to accelerate and localize battery cell production and the battery supply chain in the United States. The planned joint venture will manufacture battery cells for electric commercial vehicles and industr.
Cummins And Two Truck Giants Will Pour $3 Billion Into A Battery Venture
The biggest diesel engine maker, Daimler and Paccar plan to open the biggest venture in North America making battery cells tailored to commercial vehicles.
3 Hydrogen Stocks to Invest In for Big-Time, Long-Term Gains
Long-term investment thinking is one of the best attributes we can have as investors. Patience, discipline and confidence in the investment plan and analysis of the companies in which we decide to put our capital is key.</t>
  </si>
  <si>
    <t xml:space="preserve">           1y Target Est                      262.26
           52 Week Range             200.40 - 265.28
                     Ask                  0.00 x 800
             Avg. Volume                    901143.0
       Beta (5Y Monthly)                        1.07
                     Bid                 0.00 x 1400
             Day's Range             233.67 - 236.83
               EPS (TTM)                       17.85
           Earnings Date Nov 01, 2023 - Nov 06, 2023
        Ex-Dividend Date                Aug 24, 2023
Forward Dividend &amp; Yield                6.72 (2.86%)
              Market Cap                     33.162B
                    Open                      236.45
          PE Ratio (TTM)                       13.12
          Previous Close                      234.87
             Quote Price                  234.119995
                  Volume                    117358.0
    Market Cap (intraday) 33.27B
         Enterprise Value 39.18B
             Trailing P/E  13.15
              Forward P/E  12.38
PEG Ratio (5 yr expected)   1.62
        Price/Sales (ttm)   1.04
         Price/Book (mrq)   3.22
 Enterprise Value/Revenue   1.30
  Enterprise Value/EBITDA   8.89</t>
  </si>
  <si>
    <t>AM Best Upgrades Credit Ratings of Assurant, Inc. and Its Property/Casualty Subsidiaries; Affirms Credit Ratings of Its Life/Health Subsidiaries
OLDWICK, N.J.--(BUSINESS WIRE)-- #insurance--AM Best has upgraded the Financial Strength Rating (FSR) to A+ (Superior) from A (Excellent) and the Long-Term Issuer Credit Ratings (Long Term ICR) to “aa-” (Superior) from “a+” (Excellent) of the U.S. property/casualty (P/C) subsidiaries of Assurant, Inc. (Assurant) (headquartered in Atlanta, GA) [NYSE: AIZ]. These companies are collectively referred to as Assurant P&amp;C Group (Assurant P&amp;C). At the same time, AM Best has upgraded the Long-Term ICR to “a-.</t>
  </si>
  <si>
    <t xml:space="preserve">           1y Target Est                       167.6
           52 Week Range             104.49 - 165.14
                     Ask                  0.00 x 800
             Avg. Volume                    371166.0
       Beta (5Y Monthly)                        0.55
                     Bid                  0.00 x 800
             Day's Range             139.09 - 140.22
               EPS (TTM)                        6.45
           Earnings Date Oct 30, 2023 - Nov 03, 2023
        Ex-Dividend Date                Aug 25, 2023
Forward Dividend &amp; Yield                2.80 (2.02%)
              Market Cap                      7.403B
                    Open                      138.71
          PE Ratio (TTM)                       21.65
          Previous Close                      138.36
             Quote Price                  139.619995
                  Volume                     49259.0
    Market Cap (intraday) 7.34B
         Enterprise Value 8.06B
             Trailing P/E 21.45
              Forward P/E  9.40
PEG Ratio (5 yr expected)   NaN
        Price/Sales (ttm)  0.70
         Price/Book (mrq)  1.64
 Enterprise Value/Revenue  0.76
  Enterprise Value/EBITDA   NaN</t>
  </si>
  <si>
    <t>West to Participate in Upcoming Investor Conference
EXTON, Pa. , Sept. 7, 2023 /PRNewswire/ -- West Pharmaceutical Services, Inc. (NYSE: WST), a global leader in innovative solutions for injectable drug administration, today announced that it will present at Bank of America Global Healthcare Conference in London, UK on Thursday, September 14, 2023 at 10:50 AM BST.
The 3 Best Retirement Stocks to Buy Now: September 2023
Building a well-rounded portfolio is crucial as you plan for financial stability in your retirement. Diversification is critical, ensuring your investments are spread across various sectors and asset types.</t>
  </si>
  <si>
    <t xml:space="preserve">           1y Target Est                       398.0
           52 Week Range             206.19 - 415.73
                     Ask                  0.00 x 800
             Avg. Volume                    361372.0
       Beta (5Y Monthly)                        1.08
                     Bid                  0.00 x 800
             Day's Range             392.37 - 398.76
               EPS (TTM)                        6.88
           Earnings Date Oct 25, 2023 - Oct 30, 2023
        Ex-Dividend Date                Jul 25, 2023
Forward Dividend &amp; Yield                0.76 (0.19%)
              Market Cap                     29.434B
                    Open                      393.76
          PE Ratio (TTM)                       57.92
          Previous Close                      393.16
             Quote Price                       398.5
                  Volume                     52849.0
    Market Cap (intraday) 29.04B
         Enterprise Value 28.55B
             Trailing P/E  57.23
              Forward P/E  44.64
PEG Ratio (5 yr expected)   6.32
        Price/Sales (ttm)  10.37
         Price/Book (mrq)  10.57
 Enterprise Value/Revenue   9.96
  Enterprise Value/EBITDA  38.43</t>
  </si>
  <si>
    <t>Here's Why You Should Retain Teleflex (TFX) Stock for Now
A diversified product portfolio and a broad geographic footprint bode well for Teleflex (TFX).</t>
  </si>
  <si>
    <t>Teleflex</t>
  </si>
  <si>
    <t xml:space="preserve">           1y Target Est                      268.15
           52 Week Range             182.65 - 276.43
                     Ask                 0.00 x 1800
             Avg. Volume                    288011.0
       Beta (5Y Monthly)                        1.03
                     Bid                 0.00 x 1000
             Day's Range             207.92 - 213.54
               EPS (TTM)                         7.8
           Earnings Date Oct 25, 2023 - Oct 30, 2023
        Ex-Dividend Date                Aug 14, 2023
Forward Dividend &amp; Yield                1.36 (0.66%)
              Market Cap                      9.948B
                    Open                      207.99
          PE Ratio (TTM)                       27.14
          Previous Close                       206.8
             Quote Price                  211.699997
                  Volume                    149084.0
    Market Cap (intraday)  9.72B
         Enterprise Value 11.14B
             Trailing P/E  26.51
              Forward P/E  14.10
PEG Ratio (5 yr expected)   1.37
        Price/Sales (ttm)   3.37
         Price/Book (mrq)   2.31
 Enterprise Value/Revenue   3.89
  Enterprise Value/EBITDA  14.95</t>
  </si>
  <si>
    <t>Align Technologies (ALGN) Set to Acquire Cubicure GmbH
Align Technologies (ALGN) announces acquisition of direct 3D printing pioneer Cubicure GmbH, backed by years of successful collaboration.
Align Technology's (ALGN) New Feature to Boost Patient Experience
Align Technology's (ALGN) introduction of the new SmartForce feature is expected to minimize the number of attachments while maintaining predictable treatment outcomes.
Align Technology Launches Customer Education and Training Center in Toronto, Canada
TORONTO &amp; LAS VEGAS &amp; SAN JOSE, Calif. &amp; TEMPE, Ariz.--(BUSINESS WIRE)--Align Technology, Inc. (“Align”) (Nasdaq: ALGN) a leading global medical device company that designs, manufactures, and sells the Invisalign® System of clear aligners, iTero™ intraoral scanners, and exocad™ CAD/CAM software for digital orthodontics and restorative dentistry, today announced the opening of its customer education and training center in Toronto, Canada to promote professional engagement and training about Invi.
Align Technology Introduces the Invisalign® Palatal Expander System to Address Skeletal Expansion in Growing Patients, Including Teenage Patients Which Represent the Majority of Orthodontic Case Starts Globally
TORONTO &amp; LAS VEGAS &amp; SAN JOSE, Calif. &amp; TEMPE, Ariz.--(BUSINESS WIRE)--Align Technology, Inc. (“Align”) (Nasdaq: ALGN), a leading global medical device company that designs, manufactures, and sells the Invisalign® System of clear aligners, iTero™ intraoral scanners, and exocad™ CAD/CAM software for digital orthodontics and restorative dentistry, today introduced the Invisalign® Palatal Expander System,* a modern and innovative direct 3D printed device based on a proprietary and patented techno.
Align Technology Introduces New Vivera Retainer Doctor Enabled Direct Ship to Patient Feature in Its Doctor Subscription Program
LAS VEGAS &amp; SAN JOSE, Calif. &amp; TEMPE, Ariz.--(BUSINESS WIRE)--Align Technology, Inc. (“Align”) (Nasdaq: ALGN), a leading global medical device company that designs, manufactures, and sells the Invisalign® System of clear aligners, iTero™ intraoral scanners, and exocad™ CAD/CAM software for digital orthodontics and restorative dentistry, today introduced a new doctor enabled direct ship to patient feature in its Vivera™ Retainer Subscription (VRS) platform that allows doctors to have subsequent.
Align Technology Introduces Invisalign® System Innovation for Greater Control of Digital Treatment Planning With Integration of Plan Editor Into ClinCheck® Treatment Planning Software
LAS VEGAS &amp; SAN JOSE, Calif. &amp; TEMPE, Ariz.--(BUSINESS WIRE)--Align Technology, Inc. (“Align”) (Nasdaq: ALGN) a leading global medical device company that designs, manufactures, and sells the Invisalign® System of clear aligners, iTero™ intraoral scanners, and exocad™ CAD/CAM software for digital orthodontics and restorative dentistry, today introduced Plan Editor in ClinCheck® treatment planning software, a new tool in the Align digital workflow built into the Align Digital Platform™. The Alig.
Align Technology to Acquire Privately Held Direct 3D Printing Pioneer Cubicure to Support and Scale Company's Strategic Innovation Roadmap
LAS VEGAS &amp; SAN JOSE, Calif. &amp; TEMPE, Ariz. &amp; VIENNA--(BUSINESS WIRE)--Align Technology, Inc. (Align) (Nasdaq: ALGN) today announced that it has entered into a definitive agreement to acquire privately held Cubicure GmbH, a pioneer in direct 3D printing solutions for polymer additive manufacturing that develops, produces, and distributes innovative materials, equipment, and processes for novel 3D printing solutions. Cubicure's patented Hot Lithography technology uses a special heating and coati.
Align Technology Introduces New SmartForce™ Attachment-free Aligner Activation Feature
LAS VEGAS &amp; SAN JOSE, Calif. &amp; TEMPE, Ariz.--(BUSINESS WIRE)--Align Technology, Inc. (“Align”) (Nasdaq: ALGN) a leading global medical device company that designs, manufactures, and sells the Invisalign® System of clear aligners, iTero™ intraoral scanners, and exocad™ CAD/CAM software for digital orthodontics and restorative dentistry, today introduced a new SmartForce feature, attachment-free aligner activation, that helps minimize the number of attachments while maintaining predictable treatm.
Align Technology Introduces New Software Innovations Designed to Accelerate Digital Practice Transformation
LAS VEGAS &amp; PETACH TIKVA, Israel &amp; SAN JOSE, Calif. &amp; TEMPE, Ariz..--(BUSINESS WIRE)--Align Technology, Inc. (“Align”) (Nasdaq: ALGN) a leading global medical device company that designs, manufactures, and sells the Invisalign® system of clear aligners, iTero intraoral scanners, and exocad™ CAD/CAM software for digital orthodontics and restorative dentistry, today introduced new software innovations to accelerate digital practice transformation. The Align™Oral Health Suite is an intuitive and v.</t>
  </si>
  <si>
    <t xml:space="preserve">           1y Target Est          397.92
           52 Week Range 172.05 - 413.20
                     Ask   333.93 x 3000
             Avg. Volume        718985.0
       Beta (5Y Monthly)            1.63
                     Bid    333.39 x 900
             Day's Range 331.00 - 335.52
               EPS (TTM)            3.95
           Earnings Date    Oct 25, 2023
        Ex-Dividend Date             NaN
Forward Dividend &amp; Yield       N/A (N/A)
              Market Cap         25.604B
                    Open           335.0
          PE Ratio (TTM)           84.69
          Previous Close          332.26
             Quote Price      334.540009
                  Volume        140995.0
    Market Cap (intraday) 25.43B
         Enterprise Value 24.55B
             Trailing P/E  81.64
              Forward P/E  32.57
PEG Ratio (5 yr expected)   2.06
        Price/Sales (ttm)   6.89
         Price/Book (mrq)   6.99
 Enterprise Value/Revenue   6.57
  Enterprise Value/EBITDA  34.55</t>
  </si>
  <si>
    <t>CHIPOTLE MEXICAN GRILL TO ANNOUNCE THIRD QUARTER 2023 RESULTS ON OCTOBER 26, 2023
NEWPORT BEACH, Calif. , Sept. 7, 2023 /PRNewswire/ -- Chipotle Mexican Grill (NYSE: CMG) will host a conference call on Thursday, October 26, 2023 at 4:30 PM Eastern time to discuss third quarter financial results and provide a business update for the fourth quarter to date.
Steer Clear of Outrageously Valued VinFast Stock. 3 EV Stocks to Buy Instead.
VinFast Auto (NASDAQ: VFS ) went public through a blank-check merger early in August. By August 28, the Vietnam-based electric vehicle (EV) manufacturer had a market capitalization of $190 billion, making VinFast stock the third most valuable automaker behind Tesla (NASDAQ: TSLA ) and Toyota Motor (NYSE: TM ).
Chipotle stock could surpass $2,000 ‘in a heartbeat': Jim Cramer
Chipotle Mexican Grill Inc (NYSE: CMG) shareholders have been a happy lot this year but Jim Cramer is convinced that they'll be happier still moving forward.   Cramer remains bullish on the Chipotle stock The chain of fast casual restaurants came in a bit shy of Street estimates for sales in the second quarter.
Here are 19 stocks Jim Cramer is watching, including Chipotle, LULU and Airbnb
Here are some of the tickers on my radar for Tuesday, Sept. 5, taken directly from my reporter's notebook.
Chipotle Mexican Grill: A Growth Stock With Upside Potential
Chipotle Mexican Grill has a predictable growth trajectory and potential for further upside. The company has been expanding its restaurant reach by 6% each year since 2016, doubling its revenue in 7 years. CMG is expected to reach its goal of 7,000 restaurants by 2033, with potential to reach it even earlier.</t>
  </si>
  <si>
    <t xml:space="preserve">           1y Target Est             2175.73
           52 Week Range 1,344.05 - 2,175.01
                     Ask          0.00 x 900
             Avg. Volume            276106.0
       Beta (5Y Monthly)                 1.3
                     Bid         0.00 x 1000
             Day's Range 1,946.70 - 1,958.91
               EPS (TTM)               39.49
           Earnings Date        Oct 26, 2023
        Ex-Dividend Date                 NaN
Forward Dividend &amp; Yield           N/A (N/A)
              Market Cap             53.751B
                    Open             1953.41
          PE Ratio (TTM)               49.34
          Previous Close              1945.1
             Quote Price         1948.390015
                  Volume             39748.0
    Market Cap (intraday) 53.66B
         Enterprise Value 56.19B
             Trailing P/E  48.60
              Forward P/E  35.97
PEG Ratio (5 yr expected)   1.45
        Price/Sales (ttm)   5.83
         Price/Book (mrq)  19.39
 Enterprise Value/Revenue   6.05
  Enterprise Value/EBITDA  31.76</t>
  </si>
  <si>
    <t>3 Lithium Stocks to Invest In for Big-Time, Long-Term Gains
It's not been a great year for lithium stocks. With lithium correcting after a big rally, stocks have followed the trend.
10 U.S. Companies Face Much Larger Problems In China Than Apple
If you think Apple has a big "China problem" — you'll be shocked to know it's tiny compared with some other S&amp;P 500 companies.
Is Trending Stock Albemarle Corporation (ALB) a Buy Now?
Recently, Zacks.com users have been paying close attention to Albemarle (ALB). This makes it worthwhile to examine what the stock has in store.
Lithium behemoth Albemarle makes revised bid to acquire Liontown valued at US$4.3 billion
(Kitco News) - Albemarle (NYSE: ALB), the world's leading lithium producer, yesterday confirmed that it submitted a “best and final” non-binding proposal to acquire all outstanding shares of Liontown (ASX: LTR) by way of scheme of arrangement for A$3.00 cash per share.
Albemarle (ALB) Makes Revised Offer for Liontown Resources
Albemarle (ALB) makes a revised non-binding proposal to acquire Liontown Resources Limited for $4.3 billion.
3 Battery Stocks to Invest In for Big-Time, Long-Term Gains
As electric vehicles shift from the outskirts of the automotive sphere into the mainframe, battery-related enterprises continue to gain traction in the market. In fact, with the industry predicted to soar at a stellar compound annual growth rate of 10.07% through 2028, the trajectory appears nothing short of electrifying.
Lithium Miner Albemarle Eyes Deal to Supply More to Ford, Tesla
Albemarle has submitted a “best and final” bid for Australian lithium miner Liontown Resources. A deal now looks likely.
Albemarle aims to close buyout of lithium developer Liontown by mid-2024
Albemarle aims to close its buyout of Australian lithium developer Liontown Resources by the middle of 2024, its chief executive said on Tuesday.</t>
  </si>
  <si>
    <t xml:space="preserve">           1y Target Est                      263.11
           52 Week Range             171.82 - 334.55
                     Ask                 0.00 x 1800
             Avg. Volume                   1798651.0
       Beta (5Y Monthly)                        1.56
                     Bid                 0.00 x 1000
             Day's Range             185.71 - 188.92
               EPS (TTM)                       33.25
           Earnings Date Oct 31, 2023 - Nov 06, 2023
        Ex-Dividend Date                Sep 14, 2023
Forward Dividend &amp; Yield                1.60 (0.87%)
              Market Cap                     21.949B
                    Open                       186.3
          PE Ratio (TTM)                        5.63
          Previous Close                      184.43
             Quote Price                  187.039993
                  Volume                    405913.0
    Market Cap (intraday) 21.64B
         Enterprise Value 23.56B
             Trailing P/E   5.55
              Forward P/E   8.50
PEG Ratio (5 yr expected)   0.40
        Price/Sales (ttm)   2.25
         Price/Book (mrq)   2.20
 Enterprise Value/Revenue   2.44
  Enterprise Value/EBITDA   6.72</t>
  </si>
  <si>
    <t>Akamai Technologies' potential in niche Cloud sector earns ‘Buy' rating in initial coverage
Analysts at the Bank of America have initiated coverage on cloud services provider Akamai Technologies, Inc. (NASDAQ:AKAM) with a ‘Buy' rating on their belief the company has a unique opportunity in the fast-growing Cloud niche of distributed computing. The analysts also awarded the stock a price objective of US$145, representing an upside of about 38% from Akamai's share price at the time of writing of US$103.80.
Why Is Akamai Technologies (AKAM) Up 0.8% Since Last Earnings Report?
Akamai Technologies (AKAM) reported earnings 30 days ago. What's next for the stock?</t>
  </si>
  <si>
    <t xml:space="preserve">           1y Target Est                      108.29
           52 Week Range              70.65 - 107.47
                     Ask               105.45 x 1400
             Avg. Volume                   1529545.0
       Beta (5Y Monthly)                        0.76
                     Bid                105.41 x 800
             Day's Range             104.82 - 106.17
               EPS (TTM)                        3.07
           Earnings Date Nov 06, 2023 - Nov 10, 2023
        Ex-Dividend Date                         NaN
Forward Dividend &amp; Yield                   N/A (N/A)
              Market Cap                      15.95B
                    Open                      105.87
          PE Ratio (TTM)                       34.24
          Previous Close                      104.68
             Quote Price                  105.129997
                  Volume                    696634.0
    Market Cap (intraday) 15.88B
         Enterprise Value 18.37B
             Trailing P/E  34.32
              Forward P/E  16.23
PEG Ratio (5 yr expected)   2.03
        Price/Sales (ttm)   4.48
         Price/Book (mrq)   3.70
 Enterprise Value/Revenue   5.02
  Enterprise Value/EBITDA  15.49</t>
  </si>
  <si>
    <t>Costco Stock: Buy, Sell, or Hold?
Costco operates a membership-based business model that differentiates it from typical retailers. Prospective investors will be drawn to the company's double-digit revenue and earnings growth.
3 Top Stocks to Buy in September
Carnival's continued success indicates its potential for further growth and expansion within the cruise sector. Costco's membership approach resonates with budget-conscious shoppers, giving it a market advantage.
Costco's Sales Update: Can Wins in Stores Offset Weakness Online?
The retailer updated investors on sales trends ahead of its upcoming earnings report. Online sales are still declining, but Costco shouldn't feel much of a profit pinch from this shift.
5 Best Retail Stocks To Buy During Back-To-School Season
Back-to-school shopping is fun for students—but investors get a piece of the action, too. In this article we discuss five stocks to watch as families hit the stores for school supplies, apparel and technology.
2 Stocks to Hold for the Next 20 Years
Costco's efforts to keep costs down make it a hugely popular and unstoppable business. Airbnb's growing supply of listings and increasing brand awareness should drive solid returns.
Is Costco Stock Overvalued? 2 Things Investors Should Know Before They Buy.
Costco stock is up nearly 61,000% since its IPO in the mid-1980s. It usually sells at a higher earnings multiple than its peers.
5 Ways to Play Retail that will Profit in 2023
The takeaway from Q2 earnings results for the retail sector is that consumer habits have changed. Once flush with stimulus cash and little to do but spend it, the consumer buys less discretionary items in favor of everyday items like food, health, and personal grooming.</t>
  </si>
  <si>
    <t xml:space="preserve">           1y Target Est          569.06
           52 Week Range 447.90 - 571.16
                     Ask    555.52 x 900
             Avg. Volume       1594764.0
       Beta (5Y Monthly)            0.78
                     Bid    555.07 x 900
             Day's Range 551.86 - 558.13
               EPS (TTM)            13.5
           Earnings Date    Sep 26, 2023
        Ex-Dividend Date    Aug 24, 2023
Forward Dividend &amp; Yield    4.08 (0.74%)
              Market Cap        246.313B
                    Open          552.81
          PE Ratio (TTM)           41.17
          Previous Close          551.19
             Quote Price      555.825012
                  Volume        400787.0
    Market Cap (intraday) 244.26B
         Enterprise Value 239.56B
             Trailing P/E   40.83
              Forward P/E   35.97
PEG Ratio (5 yr expected)    3.98
        Price/Sales (ttm)    1.04
         Price/Book (mrq)   10.36
 Enterprise Value/Revenue    1.02
  Enterprise Value/EBITDA   23.53</t>
  </si>
  <si>
    <t>Arthur J. Gallagher &amp; Co. Acquires Southern Insurance Group, LLC
ROLLING MEADOWS, Ill. , Sept. 11, 2023 /PRNewswire/ -- Arthur J.
Arthur J. Gallagher (AJG) Expands in UK With Lifesure Buyout
Arthur J. Gallagher (AJG) strengthens its foothold in the UK with the acquisition of Lifesure Group Limited, enhancing its retail capabilities and underscoring the power of strategic acquisitions.
More Employers Addressing Burnout and Needs of a Diverse Workforce -- From Flexibility to Demand for Weight Loss Drugs, Gallagher US Study Finds
ROLLING MEADOWS, Ill., Sept. 6, 2023 /PRNewswire/ -- In 2023, 9 in 10 employers (90%) increased their support for one or more core employee wellbeing dimensions, including physical, emotional, career and financial.
Arthur J. Gallagher &amp; Co. Acquires Lifesure Group Limited
ROLLING MEADOWS, Ill. , Sept. 5, 2023 /PRNewswire/ -- Arthur J.</t>
  </si>
  <si>
    <t xml:space="preserve">           1y Target Est                      235.36
           52 Week Range             167.93 - 232.41
                     Ask                  0.00 x 900
             Avg. Volume                    768485.0
       Beta (5Y Monthly)                         0.7
                     Bid                 0.00 x 1200
             Day's Range             228.04 - 229.62
               EPS (TTM)                        5.11
           Earnings Date Oct 25, 2023 - Oct 30, 2023
        Ex-Dividend Date                Aug 31, 2023
Forward Dividend &amp; Yield                2.20 (0.96%)
              Market Cap                     49.228B
                    Open                      228.64
          PE Ratio (TTM)                        44.7
          Previous Close                      228.19
             Quote Price                  228.429993
                  Volume                     93039.0
    Market Cap (intraday) 49.18B
         Enterprise Value 55.69B
             Trailing P/E  44.57
              Forward P/E  22.88
PEG Ratio (5 yr expected)    NaN
        Price/Sales (ttm)   5.37
         Price/Book (mrq)   4.73
 Enterprise Value/Revenue   6.05
  Enterprise Value/EBITDA  23.38</t>
  </si>
  <si>
    <t>The 7 Best Autonomous Driving Stocks to Buy Now: September 2023
With self-driving autos likely to become the next big trend, investors may want to keep an eye on the best autonomous driving stocks. For one, as noted by Investorplace contributor Josh Enomoto, research firm Mordor Intelligence says the self-driving market would be worth $33.48 billion in 2023 and grow at a compound annual rate of 22.25% in the next five years.
3 Little-Known Stocks That Wall Street Can't Get Enough Of
Just a handful of stocks are responsible for the stock market's rally this year. The so-called Magnificent 7 stocks are responsible for 73% of the S&amp;P 500 gains this year.
Aptiv: Positive Momentum Should Continue Through FY25
Aptiv's recent performance, particularly in the ASUE segment, shows positive profitability and potential for further growth. 2Q23 results demonstrate strong revenue growth, outperforming industry standards, with key segments like active safety and high voltage expanding significantly. The long-term risk is that growth will ultimately rely on overcoming competition challenges to expand the number of content per vehicle.
Here's Why You Should Hold Aptiv (APTV) Stock in Your Portfolio
Aptiv's (APTV) smart architecture provides a competitive advantage and should help it continue gaining market share.</t>
  </si>
  <si>
    <t xml:space="preserve">           1y Target Est          129.95
           52 Week Range  77.96 - 124.88
                     Ask      0.00 x 800
             Avg. Volume       1751422.0
       Beta (5Y Monthly)            2.05
                     Bid      0.00 x 800
             Day's Range 100.33 - 102.14
               EPS (TTM)             3.3
           Earnings Date    Aug 03, 2023
        Ex-Dividend Date    Feb 04, 2020
Forward Dividend &amp; Yield       N/A (N/A)
              Market Cap         28.379B
                    Open          102.13
          PE Ratio (TTM)           30.41
          Previous Close          100.48
             Quote Price      100.339996
                  Volume        375893.0
    Market Cap (intraday) 28.42B
         Enterprise Value 34.12B
             Trailing P/E  30.45
              Forward P/E  15.48
PEG Ratio (5 yr expected)   0.72
        Price/Sales (ttm)   1.42
         Price/Book (mrq)   3.08
 Enterprise Value/Revenue   1.77
  Enterprise Value/EBITDA  13.61</t>
  </si>
  <si>
    <t>Peach State Health Plan and the Centene Foundation Announce a $1.5 Million Commitment to City of Refuge, Supporting the Atlanta Campus Expansion
Investment will support a new health and wellness center, as well as a workforce innovation hub ATLANTA , Sept. 7, 2023 /PRNewswire/ -- Peach State Health Plan , a care management organization that helps Georgians live healthier lives through innovative healthcare solutions, and the Centene Foundation , the philanthropic arm of Centene Corporation (NYSE: CNC) focused on investing in economically challenged communities, announced today a $1.5 million commitment to City of Refuge , an Atlanta-based nonprofit that seeks to bring light, hope, and transformation to local individuals and families.
Health Net Provides $500,000 in Grants to Support Redetermination Effort
Eight Los Angeles-based grantees to assist residents in retaining their Medi-Cal membership and to educate others about the benefits of healthcare coverage. SACRAMENTO, Calif.
CENTENE RECOGNIZED FOR SECOND CONSECUTIVE YEAR IN FORTUNE'S "BEST WORKPLACES IN HEALTH CARE™ 2023"
Centene ranked 13 on the list of 40 large healthcare companies ST. LOUIS , Sept.
Health Net Providing Special Assistance to Members Affected by Smith River Complex and Happy Camp Complex Fires
Health Net Assisting Members in Del Norte and Siskiyou Counties During State of Emergency SACRAMENTO, Calif. , Sept. 5, 2023 /PRNewswire/ -- In response to Gov.
Here are 19 stocks Jim Cramer is watching, including Chipotle, LULU and Airbnb
Here are some of the tickers on my radar for Tuesday, Sept. 5, taken directly from my reporter's notebook.</t>
  </si>
  <si>
    <t xml:space="preserve">           1y Target Est         81.68
           52 Week Range 60.83 - 93.58
                     Ask    0.00 x 800
             Avg. Volume     3351066.0
       Beta (5Y Monthly)          0.57
                     Bid    0.00 x 800
             Day's Range 65.64 - 67.12
               EPS (TTM)           4.8
           Earnings Date  Oct 24, 2023
        Ex-Dividend Date           NaN
Forward Dividend &amp; Yield     N/A (N/A)
              Market Cap       35.843B
                    Open         65.64
          PE Ratio (TTM)         13.79
          Previous Close         65.41
             Quote Price        66.195
                  Volume     1584552.0
    Market Cap (intraday) 35.42B
         Enterprise Value 37.39B
             Trailing P/E  13.40
              Forward P/E   9.83
PEG Ratio (5 yr expected)   0.73
        Price/Sales (ttm)   0.25
         Price/Book (mrq)   1.38
 Enterprise Value/Revenue   0.25
  Enterprise Value/EBITDA   6.19</t>
  </si>
  <si>
    <t>Solid Underwriting And Higher Rates Make AIG A Buy
AIG's shares have rallied since March and are now trading around the $60 target, with the potential to reach $70 in the next year. The company's financials have improved, with its highest level of earnings since before the financial crisis. AIG's investment portfolio is also benefitting from higher rates as it reinvests maturities.
American International Group, Inc. (AIG) Presents at 2023 Keefe, Bruyette &amp; Woods Insurance Conference (Transcript)
American International Group, Inc. (NYSE:AIG ) 2023 Keefe, Bruyette &amp; Woods Insurance Conference September 6, 2023 4:20 PM ET Company Participants Peter Zaffino - CEO Sabra Purtill - CFO Conference Call Participants Meyer Shields - KBW Meyer Shieldsa Okay. We hopefully have a lot of information to get to you.
Reasons to Hold American International (AIG) Stock Right Now
Streamlining of operations, improving premiums and increasing rates poise American International (AIG) well for growth.
Lucy Fato to Assume Role of Vice Chair at AIG
NEW YORK--(BUSINESS WIRE)--American International Group (NYSE: AIG) today announced that Lucy Fato will transition from her current role as Executive Vice President, General Counsel &amp; Global Head of Communications and Government Affairs to Vice Chair at AIG, effective October 1, 2023. In this newly created role, Ms. Fato will report to Peter Zaffino, Chairman &amp; Chief Executive Officer of AIG, and continue to support AIG's journey to become a top performing global insurer. Mr. Zaffino st.</t>
  </si>
  <si>
    <t xml:space="preserve">           1y Target Est                       70.51
           52 Week Range               45.66 - 64.88
                     Ask                  0.00 x 800
             Avg. Volume                   3243819.0
       Beta (5Y Monthly)                        1.15
                     Bid                 0.00 x 1100
             Day's Range               59.74 - 60.60
               EPS (TTM)                        6.56
           Earnings Date Oct 30, 2023 - Nov 03, 2023
        Ex-Dividend Date                Sep 14, 2023
Forward Dividend &amp; Yield                1.44 (2.41%)
              Market Cap                     42.568B
                    Open                       60.11
          PE Ratio (TTM)                        9.12
          Previous Close                       59.66
             Quote Price                   59.794998
                  Volume                    535590.0
    Market Cap (intraday) 42.47B
         Enterprise Value 64.82B
             Trailing P/E   9.09
              Forward P/E   8.29
PEG Ratio (5 yr expected)    NaN
        Price/Sales (ttm)   0.86
         Price/Book (mrq)   1.01
 Enterprise Value/Revenue   1.24
  Enterprise Value/EBITDA    NaN</t>
  </si>
  <si>
    <t>Thanks To Prudent Management, Capital One Is A Compelling Buy
Capital One Financial shares are trading at a cheap valuation of less than 10x earnings. The company's credit card loan balances and delinquency rates have returned to pre-pandemic levels, indicating a "great normalization" of credit activity. Despite challenges such as declining net interest margins, Capital One has managed through crises well and is expected to sustain its earnings and increase share repurchases.
Warren Buffett Now Has $1.3 Billion Invested in This Consumer Finance Company
Berkshire Hathaway bought 2.5 million shares of Capital One Financial in the second quarter. That added to the nearly 10 million shares it bought in the first quarter sell-off of bank stocks.</t>
  </si>
  <si>
    <t xml:space="preserve">           1y Target Est                      116.18
           52 Week Range              83.93 - 123.09
                     Ask                 0.00 x 1400
             Avg. Volume                   2304308.0
       Beta (5Y Monthly)                        1.47
                     Bid                  0.00 x 800
             Day's Range             100.55 - 101.74
               EPS (TTM)                       13.13
           Earnings Date Oct 25, 2023 - Oct 30, 2023
        Ex-Dividend Date                Aug 04, 2023
Forward Dividend &amp; Yield                2.40 (2.40%)
              Market Cap                     38.407B
                    Open                      100.88
          PE Ratio (TTM)                        7.67
          Previous Close                       99.92
             Quote Price                  100.690002
                  Volume                    418738.0
    Market Cap (intraday) 38.11B
         Enterprise Value    NaN
             Trailing P/E   7.61
              Forward P/E   7.51
PEG Ratio (5 yr expected)   5.36
        Price/Sales (ttm)   1.07
         Price/Book (mrq)   0.70
 Enterprise Value/Revenue    NaN
  Enterprise Value/EBITDA    NaN</t>
  </si>
  <si>
    <t>The 7 Best Robotics Stocks to Buy Now: September 2023
While artificial intelligence stocks have seen a meteoric rise in recent months, there are still some underappreciated opportunities in the broader technology sector. Specifically, robotics stocks remain overlooked by many investors, even as the need for automation and robotics solutions continues to accelerate.
Teledyne to Participate in Upcoming Investor Conferences
THOUSAND OAKS, Calif.--(BUSINESS WIRE)--Teledyne Technologies Incorporated (NYSE:TDY) today announced that Jason VanWees, Vice Chairman, will be participating in the following investor conferences: Jefferies Industrials Conference Thursday, September 7, 2023, at 1:00 p.m. Eastern Time Morgan Stanley 11th Annual Laguna Conference Tuesday, September 12, 2023, at 7:35 a.m. Pacific Time A live webcast of Teledyne's presentation at both conferences may be accessed via the company's website at www.te.
Teledyne LeCroy Develops High-Bandwidth, High-Definition Oscilloscope to Support Next-Generation Serial Data Technologies
CHESTNUT RIDGE, N.Y.--(BUSINESS WIRE)--Teledyne LeCroy, a worldwide leader in advanced oscilloscopes and a business unit of Teledyne Technologies Incorporated (NYSE:TDY), today announced the launch of their new WaveMaster 8000HD high-bandwidth, high-definition oscilloscope platform with models from 20 to 65 GHz of bandwidth and 12 bits of encoding for high-definition vertical resolution. The new WaveMaster 8000HD maintains its unrivaled validation and debug capabilities while adding a new SDA E.</t>
  </si>
  <si>
    <t xml:space="preserve">           1y Target Est                      484.67
           52 Week Range             325.00 - 448.71
                     Ask                  0.00 x 800
             Avg. Volume                    273156.0
       Beta (5Y Monthly)                        1.03
                     Bid                  0.00 x 800
             Day's Range             400.60 - 411.43
               EPS (TTM)                       16.08
           Earnings Date Oct 24, 2023 - Oct 30, 2023
        Ex-Dividend Date                         NaN
Forward Dividend &amp; Yield                   N/A (N/A)
              Market Cap                     19.089B
                    Open                      411.08
          PE Ratio (TTM)                       25.22
          Previous Close                      410.22
             Quote Price                   405.51001
                  Volume                     81920.0
    Market Cap (intraday) 19.31B
         Enterprise Value 22.30B
             Trailing P/E  25.51
              Forward P/E  20.08
PEG Ratio (5 yr expected)    NaN
        Price/Sales (ttm)   3.51
         Price/Book (mrq)   2.25
 Enterprise Value/Revenue   3.99
  Enterprise Value/EBITDA  16.46</t>
  </si>
  <si>
    <t>Oil Prices Are on the Rise: 3 Dividend Stocks to Play the Energy Rally
Pioneer Natural Resources has pegged its dividend to performance, so higher oil prices mean larger dividends. ConocoPhillips' recent deal should boost its cash flow and ability to pay dividends.
Seven of the Best Energy Stocks to Buy Now
These top-rated energy stocks could see tailwinds from spiking oil and gas prices.
3 Integrated US Energy Stocks Set to Escape Industry Weakness
Extreme volatility in oil and gas prices, and high input price in refining activities are making the outlook for the Zacks Oil &amp; Gas US Integrated industry gloomy. ConocoPhillips (COP), Occidental (OXY) and Hess (HES) are likely to survive the business challenges.</t>
  </si>
  <si>
    <t xml:space="preserve">           1y Target Est                      132.87
           52 Week Range              91.53 - 138.49
                     Ask                  0.00 x 800
             Avg. Volume                   4806425.0
       Beta (5Y Monthly)                        1.32
                     Bid                  0.00 x 800
             Day's Range             120.64 - 123.84
               EPS (TTM)                       10.43
           Earnings Date Nov 01, 2023 - Nov 06, 2023
        Ex-Dividend Date                Sep 27, 2023
Forward Dividend &amp; Yield                2.40 (1.96%)
              Market Cap                    144.908B
                    Open                      123.44
          PE Ratio (TTM)                        11.6
          Previous Close                      122.72
             Quote Price                  121.010002
                  Volume                   1593175.0
    Market Cap (intraday) 146.96B
         Enterprise Value 156.59B
             Trailing P/E   11.77
              Forward P/E   11.88
PEG Ratio (5 yr expected)    0.72
        Price/Sales (ttm)    2.27
         Price/Book (mrq)    3.09
 Enterprise Value/Revenue    2.35
  Enterprise Value/EBITDA    5.32</t>
  </si>
  <si>
    <t>Why AmerisourceBergen (COR) is a Top Growth Stock for the Long-Term
The Zacks Style Scores offers investors a way to easily find top-rated stocks based on their investing style. Here's why you should take advantage.</t>
  </si>
  <si>
    <t xml:space="preserve">           1y Target Est                      209.57
           52 Week Range             135.14 - 194.79
                     Ask                  0.00 x 800
             Avg. Volume                   1654491.0
       Beta (5Y Monthly)                        0.56
                     Bid                 0.00 x 1100
             Day's Range             177.26 - 179.00
               EPS (TTM)                        8.21
           Earnings Date Nov 01, 2023 - Nov 06, 2023
        Ex-Dividend Date                Aug 10, 2023
Forward Dividend &amp; Yield                1.94 (1.09%)
              Market Cap                     35.843B
                    Open                      178.34
          PE Ratio (TTM)                       21.74
          Previous Close                       177.7
             Quote Price                  178.455002
                  Volume                    239201.0
    Market Cap (intraday) 35.69B
         Enterprise Value 39.32B
             Trailing P/E  21.64
              Forward P/E  13.72
PEG Ratio (5 yr expected)   5.62
        Price/Sales (ttm)   0.14
         Price/Book (mrq)  52.03
 Enterprise Value/Revenue   0.15
  Enterprise Value/EBITDA  12.17</t>
  </si>
  <si>
    <t>McCormick (MKC) Looks Tempting: Up More Than 10% in 6 Months
McCormick (MKC) benefits from brand strength, prudent acquisitions and efficient saving programs. Solid marketing and innovative initiatives have been working well.
McCormick &amp; Company, Incorporated to Report 2023 Third Quarter Financial Results on October 3, 2023
HUNT VALLEY, Md. , Sept. 6, 2023 /PRNewswire/ -- McCormick &amp; Company, Incorporated (NYSE: MKC), a global leader in flavor, is scheduled to conduct a conference call and webcast of its third quarter 2023 financial results on Tuesday, October 3, 2023, at 8:00 a.m.</t>
  </si>
  <si>
    <t xml:space="preserve">           1y Target Est         89.73
           52 Week Range 70.60 - 94.39
                     Ask    0.00 x 900
             Avg. Volume     1356888.0
       Beta (5Y Monthly)          0.58
                     Bid    0.00 x 800
             Day's Range 80.72 - 81.85
               EPS (TTM)          2.59
           Earnings Date  Oct 03, 2023
        Ex-Dividend Date  Jul 07, 2023
Forward Dividend &amp; Yield  1.56 (1.93%)
              Market Cap       21.959B
                    Open          80.9
          PE Ratio (TTM)          31.6
          Previous Close          80.7
             Quote Price     81.849998
                  Volume      263367.0
    Market Cap (intraday) 21.65B
         Enterprise Value 26.39B
             Trailing P/E  31.16
              Forward P/E  26.95
PEG Ratio (5 yr expected)   2.92
        Price/Sales (ttm)   3.34
         Price/Book (mrq)   4.39
 Enterprise Value/Revenue   4.05
  Enterprise Value/EBITDA  21.48</t>
  </si>
  <si>
    <t>MarketAxess Announces Monthly Volume Statistics for August 2023
NEW YORK--(BUSINESS WIRE)--MarketAxess Holdings Inc. (Nasdaq: MKTX), the operator of a leading electronic trading platform for fixed-income securities, today announced monthly trading volume and preliminary variable transaction fees per million (“FPM”) for August 2023.1 Chris Concannon, CEO of MarketAxess, commented: “In August, we delivered growth in U.S. high-grade trading volumes and strong growth in volumes across our international businesses in emerging markets and Eurobonds. We also regis.</t>
  </si>
  <si>
    <t xml:space="preserve">           1y Target Est                       278.6
           52 Week Range             217.44 - 399.78
                     Ask                225.46 x 800
             Avg. Volume                    384012.0
       Beta (5Y Monthly)                        0.79
                     Bid                225.17 x 800
             Day's Range             224.95 - 230.96
               EPS (TTM)                        6.71
           Earnings Date Oct 17, 2023 - Oct 23, 2023
        Ex-Dividend Date                Aug 01, 2023
Forward Dividend &amp; Yield                2.88 (1.27%)
              Market Cap                      8.488B
                    Open                      228.49
          PE Ratio (TTM)                       33.57
          Previous Close                      226.63
             Quote Price                  225.270004
                  Volume                    219477.0
    Market Cap (intraday) 8.54B
         Enterprise Value 8.20B
             Trailing P/E 33.77
              Forward P/E 26.60
PEG Ratio (5 yr expected)  1.96
        Price/Sales (ttm) 11.62
         Price/Book (mrq)  7.33
 Enterprise Value/Revenue 11.19
  Enterprise Value/EBITDA 20.22</t>
  </si>
  <si>
    <t>The 3 Best Semiconductor Stocks to Buy Now: September 2023
Nowadays, as technology continues to advance, so does the need for semiconductors. Fortunately, the daring companies within this sector are responsible for creating the most efficient, powerful, and capable semiconductors.
These 10 stocks have the most exposure to China's 'stalling' economy, BofA warns
China's "stalling" economy is putting some US companies at risk, according to Bank of America. High rates of youth unemployment and recent property defaults have put pressure on the Chinese economy.
10 U.S. Companies Face Much Larger Problems In China Than Apple
If you think Apple has a big "China problem" — you'll be shocked to know it's tiny compared with some other S&amp;P 500 companies.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t>
  </si>
  <si>
    <t xml:space="preserve">           1y Target Est                      583.79
           52 Week Range             301.69 - 595.98
                     Ask                481.03 x 800
             Avg. Volume                    539338.0
       Beta (5Y Monthly)                        1.14
                     Bid                479.80 x 800
             Day's Range             478.31 - 509.46
               EPS (TTM)                        9.32
           Earnings Date Oct 25, 2023 - Oct 30, 2023
        Ex-Dividend Date                Jun 29, 2023
Forward Dividend &amp; Yield                4.00 (0.80%)
              Market Cap                     22.917B
                    Open                      509.46
          PE Ratio (TTM)                       51.47
          Previous Close                      500.87
             Quote Price                  479.654999
                  Volume                    252980.0
    Market Cap (intraday) 23.93B
         Enterprise Value 23.19B
             Trailing P/E  53.68
              Forward P/E  35.97
PEG Ratio (5 yr expected)   2.00
        Price/Sales (ttm)  13.17
         Price/Book (mrq)  13.01
 Enterprise Value/Revenue  12.55
  Enterprise Value/EBITDA  40.57</t>
  </si>
  <si>
    <t>WestRock (WRK) Engages in Merger Talks With Smurfit Kappa
WestRock (WRK) and Smurfit Kappa are currently exploring merger options, which are expected to create a paper packaging giant.
WestRock and Smurfit in talks over a potential merger
WestRock Co (NYSE: WRK) opened 10% up this morning after Smurfit Kappa Group Plc (LON: SKG) confirmed that it was interested in a merger with the packaging company. Combined company will be worth about $20 billion The talks are ongoing but the two companies are yet to reach a definitive agreement.
WestRock, Smurfit Kappa Discuss Merging Into $20 Billion Paper Company
The combined group would be listed in New York, and WestRock shareholders would primarily receive stock in the merged group, Smurfit said
Smurfit Kappa in talks with WestRock to create packaging giant
Smurfit Kappa Group plc (LSE:SKG) is in talks with Atlanta-based WestRock over a potential combination to create Smurfit WestRock, a global leader in sustainable packaging. The deal, if completed, would create one of the world's largest paper and packaging companies.
Smurfit Kappa and WestRock in discussions regarding key terms of Potential Combination
DUBLIN--(BUSINESS WIRE)--Smurfit Kappa Group (“Smurfit Kappa”) (LSE:SKG; ISE:SKG), a FTSE 100 company, confirms that the boards of directors (the “Boards”) of Smurfit Kappa and WestRock Company (“WestRock”) (NYSE:WRK), a S&amp;P 500 company, are discussing the key terms of a potential combination to create Smurfit WestRock, a global leader in sustainable packaging (the “Potential Combination”). The Potential Combination would be expected to involve the creation of a new holding company, Smurfit.
Paper Companies Near Big Merger Deal
WestRock, Smurfit Kappa are in talks to create a company with combined value of roughly $20 billion.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4 Paper and Related Products Stocks Countering Industry Headwinds
The Zacks Paper and Related Products industry's prospects look dull as low consumer spending is impacting demand. Despite this, stocks like IP, SMFKY, WRK and SPPJY are well-poised to gain from their growth initiatives.</t>
  </si>
  <si>
    <t xml:space="preserve">           1y Target Est                       37.79
           52 Week Range               26.84 - 41.77
                     Ask                  0.00 x 800
             Avg. Volume                   2532709.0
       Beta (5Y Monthly)                        1.22
                     Bid                 0.00 x 1200
             Day's Range               34.06 - 34.90
               EPS (TTM)                       -5.79
           Earnings Date Nov 08, 2023 - Nov 13, 2023
        Ex-Dividend Date                Aug 09, 2023
Forward Dividend &amp; Yield                1.10 (3.31%)
              Market Cap                      8.806B
                    Open                       34.76
          PE Ratio (TTM)                         NaN
          Previous Close                       34.57
             Quote Price                   34.360001
                  Volume                   1014233.0
    Market Cap (intraday)  8.86B
         Enterprise Value 17.57B
             Trailing P/E  12.56
              Forward P/E  11.72
PEG Ratio (5 yr expected) 585.93
        Price/Sales (ttm)   0.43
         Price/Book (mrq)   0.89
 Enterprise Value/Revenue   0.85
  Enterprise Value/EBITDA  27.32</t>
  </si>
  <si>
    <t>5 Sturdy Soft Drink Stocks to Watch as the Industry Paces Up
The Beverages - Soft Drinks industry is gaining momentum on robust share gains, improved pricing, digital growth and innovation despite the ongoing cost headwinds. Companies like KO, PEP, FMX, MNST and KDP look strong amid favorable industry trends.
2 Stock-Split Growth Stocks That Turned $4,000 Into $1 Million (or More) in Just 20 Years
Stock splits generally come on the heels of major share price appreciation, which itself can be an indicator of strong business fundamentals. Nvidia chips are the gold standard in graphics and artificial intelligence, paving the way for success in adjacent software and services.
The 3 Best Stock Picks for the Rest of 2023
Some consider market patterns akin to astrology, but seasonality can play a substantial role.  Research shows that the S&amp;P 500 typically struggles throughout the summer months (July and August).</t>
  </si>
  <si>
    <t xml:space="preserve">           1y Target Est                        62.3
           52 Week Range               42.81 - 60.47
                     Ask                56.75 x 1000
             Avg. Volume                   4304980.0
       Beta (5Y Monthly)                        0.83
                     Bid                 56.74 x 800
             Day's Range               56.30 - 56.85
               EPS (TTM)                        1.35
           Earnings Date Nov 01, 2023 - Nov 06, 2023
        Ex-Dividend Date                         NaN
Forward Dividend &amp; Yield                   N/A (N/A)
              Market Cap                     59.546B
                    Open                        56.4
          PE Ratio (TTM)                       42.11
          Previous Close                       56.37
             Quote Price                   56.845001
                  Volume                    777223.0
    Market Cap (intraday) 59.05B
         Enterprise Value 55.76B
             Trailing P/E  41.60
              Forward P/E  31.45
PEG Ratio (5 yr expected)   1.57
        Price/Sales (ttm)   8.94
         Price/Book (mrq)   7.53
 Enterprise Value/Revenue   8.33
  Enterprise Value/EBITDA  29.59</t>
  </si>
  <si>
    <t>Xylem Announces CEO Succession Aligned with Growth Strategy and Next Steps in Value Creation
WASHINGTON--(BUSINESS WIRE)-- #LetsSolveWater--Xylem Inc. (NYSE: XYL), a leading global water technology company dedicated to solving the world's most challenging water issues, today announced that after a distinguished decade leading Xylem, President and Chief Executive Officer Patrick Decker has announced his plans to retire as CEO at the end of 2023. In accordance with the Company's long-term succession planning process, Decker will be succeeded by Matthew Pine, Xylem's Chief Operating Officer, effective Janu.</t>
  </si>
  <si>
    <t xml:space="preserve">           1y Target Est                       124.1
           52 Week Range              84.16 - 118.58
                     Ask                 0.00 x 1200
             Avg. Volume                   1395625.0
       Beta (5Y Monthly)                        1.09
                     Bid                  0.00 x 800
             Day's Range               95.50 - 96.67
               EPS (TTM)                        1.87
           Earnings Date Oct 30, 2023 - Nov 03, 2023
        Ex-Dividend Date                Aug 30, 2023
Forward Dividend &amp; Yield                1.32 (1.39%)
              Market Cap                     23.279B
                    Open                       95.97
          PE Ratio (TTM)                       51.69
          Previous Close                       95.22
             Quote Price                   96.660004
                  Volume                    612608.0
    Market Cap (intraday) 22.93B
         Enterprise Value 24.83B
             Trailing P/E  50.92
              Forward P/E  23.81
PEG Ratio (5 yr expected)   1.78
        Price/Sales (ttm)   2.95
         Price/Book (mrq)   2.32
 Enterprise Value/Revenue   4.10
  Enterprise Value/EBITDA  32.58</t>
  </si>
  <si>
    <t>Nasdaq Exchange Gets Permission for First-Ever AI-Powered Order Type
Artificial intelligence is coming to orders at the Nasdaq.
It's Not Just BlackRock. Exchanges Like Nasdaq Are Pushing into Crypto, Too.
Traditional exchanges have opportunities in crypto beyond listing Bitcoin ETFs, including selling market data and tokenizing other assets.
Delisting of Securities of Nymox Pharmaceutical Corporation; Aridis Pharmaceuticals Inc.; Novan, Inc.; ViewRay, Inc.; 9 Meters Biopharma, Inc.; Nabriva Therapeutics plc; UTA Acquisition Corporation; AppHarvest, Inc.; Yellow Corporation; Proterra Inc.; Amyris, Inc.; Chain Bridge I; LatAmGrowth SPAC; and SpringBig Holdings, Inc. from The Nasdaq Stock Market
NEW YORK, Sept. 07, 2023 (GLOBE NEWSWIRE) -- The Nasdaq Stock Market announced today that it will delist the common stock of Nymox Pharmaceutical Corporation. Nymox Pharmaceutical Corporation's securities were suspended on July 7, 2023, and have not traded on Nasdaq since that time.
Nasdaq Launches Reimagined MarketSite
NEW YORK, Sept. 07, 2023 (GLOBE NEWSWIRE) -- Nasdaq (Nasdaq: NDAQ) today announced the reopening of the second floor of its iconic MarketSite at 151 W. 42nd Street in Times Square. The new space includes a state-of-the-art broadcast and production studio that will be home to CNBC's “Fast Money,” a dedicated IPO Center for first trade celebrations, and a new gallery space commemorating the historic moments and innovation of our listed companies, many of which are Nasdaq-100® companies.
SEC set to approve proposal to shift audit funding costs to brokers, investors
The Securities and Exchange Commission was on track Wednesday to approve a new proposal for funding the Consolidated Audit Trail, a database that tracks all trades, orders and quotes in the U.S. equity market.
Nasdaq August 2023 Volumes
NEW YORK, Sept. 05, 2023 (GLOBE NEWSWIRE) -- Nasdaq (Nasdaq: NDAQ) today reported monthly volumes for August 2023 on its investor relations website. A data sheet showing this information can be found at: http://ir.nasdaq.com/financials/volume-statistics.</t>
  </si>
  <si>
    <t xml:space="preserve">           1y Target Est                       60.18
           52 Week Range               48.65 - 69.22
                     Ask                 51.08 x 800
             Avg. Volume                   3678954.0
       Beta (5Y Monthly)                        0.91
                     Bid                51.07 x 1000
             Day's Range               51.08 - 51.76
               EPS (TTM)                        2.23
           Earnings Date Oct 17, 2023 - Oct 23, 2023
        Ex-Dividend Date                Sep 14, 2023
Forward Dividend &amp; Yield                0.88 (1.71%)
              Market Cap                     25.141B
                    Open                       51.69
          PE Ratio (TTM)                       22.95
          Previous Close                       51.43
             Quote Price                   51.169998
                  Volume                    383745.0
    Market Cap (intraday) 25.27B
         Enterprise Value 29.99B
             Trailing P/E  23.06
              Forward P/E  17.83
PEG Ratio (5 yr expected)   2.29
        Price/Sales (ttm)   4.17
         Price/Book (mrq)   4.05
 Enterprise Value/Revenue   4.91
  Enterprise Value/EBITDA  16.43</t>
  </si>
  <si>
    <t>Dividend Kings With the Highest Yield: 6 High Yields in 5 Minutes
Dividend Kings are attractive for risk-averse income investors and many other investment strategies. They have sustained and sustainable dividend growth and a relatively high yield compared to the average S&amp;P 500 company.
It's Not Too Late to Capitalize on This Popular Stock's New Dividend Raise
It yields nearly 9%, after all. But yield isn't everything, even with a large and profitable business.
Why Are Passive Income Investors Talking About Altria Stock?
The company has increased its dividend significantly over the years.
Altria: Does The Latest Dividend Increase Mean It's A Buy?
Altria Group is the 4th largest tobacco company in the world by revenue and has raised its dividend for 53 consecutive years. Altria's financial metrics for the past year show positive results, with EPS and FCF increasing in spite of a decrease in revenue of 3%. Analysts have a positive outlook on Altria's prospects, with consistent buy ratings and optimism about its future performance.
14 Upcoming Dividend Increases
The article provides insights on upcoming dividend increases, indicating strong business performance and commitment to rewarding shareholders. The list includes companies with at least five years of consistent dividend growth and higher total dividends paid out each year. The article also includes tables and metrics to help investors prioritize stocks based on yield, growth rates, and historical returns.
7 Perfectly Priced ‘Strong Buy' Dividend Blue Chip Stocks Yielding Up to 9.2%
Conservative investors are partying like it is 1999, as money market rates are at 4.5% and certificates of deposits are above the 5% level.
Huge News for Altria Stock Investors
Altria is planning the transition to a new form of consumption.
Altria: The Market Is Right, It's Cheap For A Reason
As I had anticipated, Altria Group stock recovery was rejected in May. The market denied further buyers' optimism as MO underperformed the S&amp;P 500. The market seems to be pricing in substantial execution risks for Altria despite its improved adjusted EPS in Q2. Buyers aren't convinced that Altria could overcome its challenges convincingly. MO's best-in-class "A+" valuation hasn't been enough to convince buyers that it offers significant appeal, given the industry's secular decline.
Dividend Harvesting Portfolio Week 131: $13,100 Allocated, $1,124.81 In Projected Dividends
The markets had a good week, with the S&amp;P 500 up 1.91% and the Dow Jones up 2.52%. The Dividend Harvesting Portfolio continues to perform well, generating consistent weekly income and increasing projected dividend income. I added to positions in Altria Group, Realty Income, and Eagle Point Credit in Week 131.
3 Amazing 7+% Yielding Dividend Aristocrat Buys
Even dividend aristocrats can fail spectacularly, which is why it's important to distinguish between yield traps and deep value opportunities, even among the bluest of blue-chips. Walgreens is an example of how fundamentals can deteriorate on even legendary dividend stocks, and investors must never ignore reality. These three 7.5% to 9% yielding aristocrat alternatives to Walgreens offer very safe dividends growing at a superior rate, smarter management, and far better long-term return potential.
Altria Group Shares Cross 9% Yield Mark
In trading on Wednesday, shares of Altria Group were yielding above the 9% mark
3 Undervalued Stocks With a Dividend Yield of Over 8%
Stocks with a high dividend yield are worth holding even for the most aggressive investor. In general, dividend stocks have a low beta and help in capital preservation.
Want to Earn Multiple Streams of Passive Income? These High-Yield Dividend Stocks Can Put More Cash in Your Pocket
Enterprise Products Partners excels at turning energy into cash for its investors. Altria Group is currently offering you an 8.9% dividend yield.
What's Going On With Altria Stock?
Altria Group stock offers investors a strong dividend per share.</t>
  </si>
  <si>
    <t xml:space="preserve">           1y Target Est         49.14
           52 Week Range 40.35 - 48.11
                     Ask   0.00 x 1400
             Avg. Volume     7362051.0
       Beta (5Y Monthly)          0.62
                     Bid   0.00 x 1800
             Day's Range 44.18 - 44.83
               EPS (TTM)           3.8
           Earnings Date  Oct 26, 2023
        Ex-Dividend Date  Sep 14, 2023
Forward Dividend &amp; Yield  3.92 (8.97%)
              Market Cap       79.547B
                    Open         44.22
          PE Ratio (TTM)          11.8
          Previous Close         44.08
             Quote Price     44.825001
                  Volume     4422605.0
    Market Cap (intraday)  78.22B
         Enterprise Value 104.55B
             Trailing P/E   11.60
              Forward P/E    8.59
PEG Ratio (5 yr expected)    6.31
        Price/Sales (ttm)    3.81
         Price/Book (mrq)     NaN
 Enterprise Value/Revenue    5.05
  Enterprise Value/EBITDA   10.80</t>
  </si>
  <si>
    <t>Dividend Kings With the Highest Yield: 6 High Yields in 5 Minutes
Dividend Kings are attractive for risk-averse income investors and many other investment strategies. They have sustained and sustainable dividend growth and a relatively high yield compared to the average S&amp;P 500 company.
4 Industrial Stocks to Buy as Rate-Hike Fears Subside
Caterpillar (CAT), 3M (MMM), PACCAR (PCAR) and Masco (MAS) are four industrial stocks that can lend solidity to one's portfolio as the Fed continues to go slow on rate hikes.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Is 3M Stock a Buy?
3M settled a legal dispute over "forever chemicals." The company also settled a legal dispute concerning the effectiveness of ear plugs it produced.</t>
  </si>
  <si>
    <t xml:space="preserve">           1y Target Est                      114.39
           52 Week Range              92.38 - 133.91
                     Ask                  0.00 x 800
             Avg. Volume                   3631795.0
       Beta (5Y Monthly)                        0.97
                     Bid                  0.00 x 900
             Day's Range             106.79 - 107.85
               EPS (TTM)                       -2.82
           Earnings Date Oct 23, 2023 - Oct 27, 2023
        Ex-Dividend Date                Aug 18, 2023
Forward Dividend &amp; Yield                6.00 (5.66%)
              Market Cap                     59.416B
                    Open                       107.0
          PE Ratio (TTM)                         NaN
          Previous Close                      106.24
             Quote Price                  107.639999
                  Volume                    956133.0
    Market Cap (intraday) 58.64B
         Enterprise Value 71.13B
             Trailing P/E  16.99
              Forward P/E  11.05
PEG Ratio (5 yr expected)   3.51
        Price/Sales (ttm)   1.79
         Price/Book (mrq)   7.52
 Enterprise Value/Revenue   2.15
  Enterprise Value/EBITDA -89.81</t>
  </si>
  <si>
    <t>J.M. Smucker to Buy Twinkies Maker Hostess for $4.6 Billion
The sale caps a remarkable turnaround for Hostess, which has been through two Chapter 11 bankruptcies.
Jelly Filled Twinkies? Smucker's Looks To Buy Hostess
Those gains ended a three and four day losing streak for the S&amp;P and Nasdaq Composite, respectively.
Hostess Brands stock soars toward a record after J.M. Smucker buyout deal valued at $5.6 billion
Shares of Hostess Brands Inc. TWNK, +0.86% shot up 16.7% into record territory after the donuts and snacks company confirmed an agreement to be acquired by J.M Smucker Co. SJM, +0.88% in a cash and stock deal valued at $5.6 billion. J.M. Smucker shares tumbled 11.0% ahead of the open.
The J. M. Smucker Co. to Acquire Hostess Brands to Accelerate Focus on Convenient Consumer Occasions
Expands the Company's family of beloved brands in attractive categories with the addition of iconic snacking brands. Furthers the Company's ability to delight consumers with convenient food options across more snacking and meal occasions.
Hostess Brands to Be Acquired by the J.M. Smucker Co. for Approximately $5.6 Billion
LENEXA, Kan.--(BUSINESS WIRE)--Hostess Brands, Inc. (Nasdaq: TWNK) (the “Company” or “Hostess Brands”), announced today that it has entered into a definitive agreement with The J.M. Smucker Co. (NYSE: SJM) to acquire all of the outstanding shares of Hostess Brands in a cash and stock transaction valued at $34.25 per Hostess Brands share, representing a transaction value of approximately $5.6 billion, including the assumption of debt. Under the terms of the agreement, Hostess Brands shareholders.
Twinkies owner Hostess Brands surges on Smucker takeover rumor
Hostess Brands Inc (NASDAQ:TWNK) stock surged around 13% and J.M. Smucker (NYSE:SJM) is closing in on a deal to buy the sweet-sponge finger company.
Hostess Brands Stock Rises on Report Smucker Close to Buying It
Shares jump 13% as Smucker, the food company famous for jams and jellies, said to buy it out for about $4 billion. That's according to a report by The Wall Street Journal.
Hostess Brands shares rally on deal news and Tesla stock is up on an upgrade, and more moving stocks
Shares of Hostess Brands Inc. TWNK, +0.86% jumped more than 10% after The Wall Street Journal reported late Sunday that J.M. Smucker Co. SJM, +0.88% is close to a roughly $4 billion deal to acquire the snack maker.
J.M. Smucker Nears Deal to Buy Hostess
Deal marrying Twinkies owner with jelly maker could be finalized by Monday.
The 3 Best Dividend Stocks to Buy Now: September 2023
Stocks that offer shareholders great dividends are pretty rare. While it is true that about three-quarters (75%) of companies in the benchmark S&amp;P 500 index pay a dividend, the average yield is only 1.54%.
Should You Buy This Blue Chip Dividend Stock for a Plateful of Income?
J.M. Smucker's profits jumped in its fiscal first quarter. The company's payout tops the market and has room to rise.
8 Dividend Aristocrat Stocks to Buy Now With a Recession (and Inflation) Looming Large in 2024
We follow the bond market closely at 24/7 Wall St., and for almost a year now there has been an inversion (or difference in yield) between the two-year Treasury paper and the benchmark 10-year note.</t>
  </si>
  <si>
    <t xml:space="preserve">           1y Target Est                      151.55
           52 Week Range             129.12 - 163.07
                     Ask                  0.00 x 800
             Avg. Volume                    831562.0
       Beta (5Y Monthly)                        0.23
                     Bid                  0.00 x 800
             Day's Range             129.12 - 133.38
               EPS (TTM)                        -0.1
           Earnings Date Nov 20, 2023 - Nov 24, 2023
        Ex-Dividend Date                Aug 17, 2023
Forward Dividend &amp; Yield                4.24 (3.02%)
              Market Cap                     13.564B
                    Open                      131.18
          PE Ratio (TTM)                         NaN
          Previous Close                      141.58
             Quote Price                  132.839996
                  Volume                   2683445.0
    Market Cap (intraday) 14.46B
         Enterprise Value 18.25B
             Trailing P/E    NaN
              Forward P/E  15.13
PEG Ratio (5 yr expected)   2.15
        Price/Sales (ttm)   1.76
         Price/Book (mrq)   2.06
 Enterprise Value/Revenue   2.16
  Enterprise Value/EBITDA  28.37</t>
  </si>
  <si>
    <t>Greatland Gold PLC bounces as Newmont confirms Newcrest vote date
Greatland Gold PLC (AIM:GGP, OTC:GRLGF) shares bounced 10% after an update on the agreed takeover of its joint venture partner in the Havieron project, Newcrest Mining. Suitor Newmont Corporation today confirmed in a scheme of arrangement circular that a shareholder meeting will take place in Melbourne on 13 October to vote on the proposed deal.
Newmont Announces Date of Special Meeting of Stockholders and Filing of Definitive Proxy Statement for Acquisition of Newcrest
DENVER--(BUSINESS WIRE)--Newmont Announces Date of Special Meeting of Stockholders and Filing of Definitive Proxy Statement for Acquisition of Newcrest.
The 3 Best Inflation Stocks to Buy Now: September 2023
Inflation is down from the 40-year highs it registered in 2022. However, I hate to be the bearer of bad news, but any moderation is likely to be over.</t>
  </si>
  <si>
    <t xml:space="preserve">           1y Target Est                       76.65
           52 Week Range               37.45 - 55.41
                     Ask                 0.00 x 3000
             Avg. Volume                   7022587.0
       Beta (5Y Monthly)                        0.39
                     Bid                 0.00 x 1800
             Day's Range               38.71 - 39.22
               EPS (TTM)                       -0.98
           Earnings Date Oct 30, 2023 - Nov 03, 2023
        Ex-Dividend Date                Sep 06, 2023
Forward Dividend &amp; Yield                1.60 (4.17%)
              Market Cap                     30.863B
                    Open                       39.13
          PE Ratio (TTM)                         NaN
          Previous Close                       38.73
             Quote Price                   38.869999
                  Volume                   1972152.0
    Market Cap (intraday) 30.75B
         Enterprise Value 33.62B
             Trailing P/E  44.33
              Forward P/E  10.18
PEG Ratio (5 yr expected)   0.79
        Price/Sales (ttm)   2.75
         Price/Book (mrq)   1.60
 Enterprise Value/Revenue   3.00
  Enterprise Value/EBITDA  16.81</t>
  </si>
  <si>
    <t>3 Under-the-Radar Stocks to Invest In for Big-Time, Long-Term Gains
Half the fun of investing in stocks is digging through the markets to find undervalued gems and under-the-radar stocks with long-term potential. At the same time, markets are complex and the depth of information available is overwhelming.
Robert Half Named One of Fortune's Best Workplaces in Consulting &amp; Professional Services™ 2023
MENLO PARK, Calif. , Sept. 7, 2023 /PRNewswire/ -- Global talent solutions and business consulting firm Robert Half (NYSE: RHI) has been selected by Fortune as one of the Best Workplaces in Consulting &amp; Professional Services™ for the third consecutive year.</t>
  </si>
  <si>
    <t>Robert Half</t>
  </si>
  <si>
    <t xml:space="preserve">           1y Target Est                       71.54
           52 Week Range               64.65 - 89.78
                     Ask                 0.00 x 1000
             Avg. Volume                    998762.0
       Beta (5Y Monthly)                        1.32
                     Bid                  0.00 x 800
             Day's Range               72.47 - 73.60
               EPS (TTM)                        5.05
           Earnings Date Oct 18, 2023 - Oct 23, 2023
        Ex-Dividend Date                Aug 24, 2023
Forward Dividend &amp; Yield                1.92 (2.62%)
              Market Cap                      7.785B
                    Open                       73.42
          PE Ratio (TTM)                        14.4
          Previous Close                        73.2
             Quote Price                   72.705002
                  Volume                    121626.0
    Market Cap (intraday) 7.84B
         Enterprise Value 7.33B
             Trailing P/E 14.50
              Forward P/E 17.24
PEG Ratio (5 yr expected)  4.94
        Price/Sales (ttm)  1.14
         Price/Book (mrq)  4.82
 Enterprise Value/Revenue  1.06
  Enterprise Value/EBITDA 10.21</t>
  </si>
  <si>
    <t>These Stocks Were Big Inflation Winners. Now They're at Risk of a Slowdown.
Ferguson, Pool Corp., Watsco, and Wesco do well when prices are increasing and inventory gets marked up. What happens when inflation slows?</t>
  </si>
  <si>
    <t>Pool Corporation</t>
  </si>
  <si>
    <t xml:space="preserve">           1y Target Est                       381.9
           52 Week Range             278.10 - 423.97
                     Ask               348.33 x 1000
             Avg. Volume                    414904.0
       Beta (5Y Monthly)                        0.98
                     Bid               347.55 x 2200
             Day's Range             346.60 - 351.89
               EPS (TTM)                       15.15
           Earnings Date Oct 18, 2023 - Oct 23, 2023
        Ex-Dividend Date                Aug 09, 2023
Forward Dividend &amp; Yield                4.40 (1.28%)
              Market Cap                     13.615B
                    Open                      346.79
          PE Ratio (TTM)                       23.01
          Previous Close                      344.26
             Quote Price                  348.630005
                  Volume                     66568.0
    Market Cap (intraday) 13.44B
         Enterprise Value 14.86B
             Trailing P/E  22.72
              Forward P/E  22.62
PEG Ratio (5 yr expected)    NaN
        Price/Sales (ttm)   2.34
         Price/Book (mrq)   9.22
 Enterprise Value/Revenue   2.57
  Enterprise Value/EBITDA  16.83</t>
  </si>
  <si>
    <t>TE Connectivity: Valuation Headwinds With Dividend And Buyback Support
TE Connectivity offers plenty of objective strengths, with strong cash flows, dividends, and high returns on capital. Q3 FY'23 results showed stable orders and a decline in sales, but the company generated tidy growth and has returned $1.2 billion to shareholders this YTD. Starting valuations are a headwind in my view, but a repricing may offer a more attractive entry point.
TE Connectivity: Seeing A Connection
TE Connectivity has seen solid growth in the long haul, combining modest sales growth, margin expansion, and consistent share buybacks. While absolute growth is not too convincing, growth on a per-share basis is rock-solid. TE Connectivity recently announced a deal to acquire Schaffner Holding AG to add EMC filter products to its solutions, but the deal is not expected to significantly impact sales or earnings.</t>
  </si>
  <si>
    <t>TE Connectivity</t>
  </si>
  <si>
    <t>Electronic Manufacturing Services</t>
  </si>
  <si>
    <t xml:space="preserve">           1y Target Est          148.09
           52 Week Range 104.76 - 146.60
                     Ask      0.00 x 900
             Avg. Volume       1491285.0
       Beta (5Y Monthly)            1.35
                     Bid      0.00 x 900
             Day's Range 127.03 - 129.16
               EPS (TTM)            6.46
           Earnings Date    Jul 26, 2023
        Ex-Dividend Date    Nov 16, 2023
Forward Dividend &amp; Yield    2.36 (1.85%)
              Market Cap          39.96B
                    Open          129.12
          PE Ratio (TTM)            19.7
          Previous Close          127.86
             Quote Price      127.285004
                  Volume        227360.0
    Market Cap (intraday) 40.14B
         Enterprise Value 43.22B
             Trailing P/E  19.79
              Forward P/E  16.92
PEG Ratio (5 yr expected)   1.54
        Price/Sales (ttm)   2.49
         Price/Book (mrq)   3.54
 Enterprise Value/Revenue   2.64
  Enterprise Value/EBITDA  13.73</t>
  </si>
  <si>
    <t>REIT Meltdown: 3 Rarely Discounted Buying Opportunities
REITs are reviled and shunned by the market, having lost ~30% of their value since the beginning of 2022. Higher interest rates along with negative sentiment from office properties' particular troubles have created a perfect storm for public real estate stocks. But historically, REITs have outperformed every other stock sector in the years after a drawdown this severe.
1 REIT To Sell And 1 REIT To Buy
There are 100s of REITs out there. Being selective is very important. I present one REIT to sell and another one to buy in the same sector.
Public Storage Launches Savvy Insurance to Serve the Self-Storage Industry
GLENDALE, Calif.--(BUSINESS WIRE)--Public Storage (NYSE:PSA) announced today the launch of the Savvy Storage Insurance Program® (“Savvy”), a one-of-a-kind tenant insurance offering that will enable property owners to increase ancillary revenues while enhancing the customer experience. The program is offered through PSCC, Inc., a wholly-owned subsidiary of Public Storage, which also administers the Orange Door Storage Insurance Program® for Public Storage. Savvy will share the benefits of the in.</t>
  </si>
  <si>
    <t>Public Storage</t>
  </si>
  <si>
    <t xml:space="preserve">           1y Target Est                      338.89
           52 Week Range             266.01 - 340.21
                     Ask                  0.00 x 800
             Avg. Volume                    832106.0
       Beta (5Y Monthly)                        0.45
                     Bid                 0.00 x 1800
             Day's Range             272.08 - 275.55
               EPS (TTM)                        23.1
           Earnings Date Oct 30, 2023 - Nov 03, 2023
        Ex-Dividend Date                Sep 12, 2023
Forward Dividend &amp; Yield               12.00 (4.39%)
              Market Cap                     48.496B
                    Open                      273.81
          PE Ratio (TTM)                       11.91
          Previous Close                      273.66
             Quote Price                  275.049988
                  Volume                    166812.0
    Market Cap (intraday) 48.12B
         Enterprise Value 58.71B
             Trailing P/E  11.85
              Forward P/E  24.81
PEG Ratio (5 yr expected)    NaN
        Price/Sales (ttm)  10.98
         Price/Book (mrq)   8.42
 Enterprise Value/Revenue  13.37
  Enterprise Value/EBITDA  11.01</t>
  </si>
  <si>
    <t>1 Magnificent Stock Down 66% That Could Make You Richer
PayPal's longtime CEO announced he was stepping down, just one of the many issues the company has faced. However, the fintech company found a new leader who looks promising.
PayPal Holdings, Inc. (PYPL) CEO Dan Schulman Presents at Goldman Sachs Communacopia &amp; Technology Conference Transcript
PayPal Holdings, Inc. (NASDAQ:PYPL ) Goldman Sachs Communacopia &amp; Technology Conference Call September 7, 2023 4:00 PM ET Company Participants Dan Schulman - President &amp; CEO Conference Call Participants David Solomon - Goldman Sachs David Solomon So good afternoon, everybody, and welcome, Dan. Welcome. I'm thrilled to have Dan here.
September Rally? 3 Financial Stocks to Buy Before Liftoff
A September rally may not be in the cards for financial stocks, as the stock market is off to a lackluster start during this historically very poor month for equities. To make matters worse, Wall Street is upset by slight increases in interest rates and oil prices that we've seen so far in September.
PayPal Sued by Australian Regulator Over Small Business Contract Terms
Australia's securities regulator is suing PayPal (PYPL) for a contract term that it says is unfair to small businesses.
3 Absurdly Discounted Stocks That Are Too Cheap to Ignore
Teladoc, Disney, and PayPal are all leaders in their industries. Yet, the shares of all three are trading near multi-year lows.
PayPal's Shares Look Cheap But We Like Other Ideas
PayPal is a technology platform company that enables digital and mobile payments worldwide. The company is constantly innovating and updating its products, with potential growth from its peer-to-peer platform, Venmo. PayPal faces extensive government regulation and competition from other payment platforms, but its free cash flow generation is top-notch.
Battle Of The Digital Payment Titans: Block, PayPal, And Visa
The digital payments revolution has reshaped the financial landscape, transforming the transactions are conducted and the management of money. In this dynamic era, three prominent contenders vie for the lion's share of the market: Block NASDAQ: SQ, PayPal Holdings Inc. NASDAQ: PYPL, and Visa Inc. NYSE: V.
Why PYPL Stock Might Be 2023's Most Underrated Tech Play
Here's a billion-dollar question for you. Why hasn't PayPal (NASDAQ: PYPL ) stock participated in the massive tech-stock rally of 2023 so far?
The 7 Best Sleeper Stocks to Buy Now: September 2023
As a rule of thumb, investors ought to consider securities with strong volume and chart mobility as opposed to sleeper stocks. It's like baseball.
Is PayPal Stock a Buy?
There may be a big opportunity for PayPal stock.
3 Top E-Commerce Stocks to Buy in September
Amazon's e-commerce revenue has soared in its most recent quarter. Meanwhile, Apple has a solid position in the sector thanks to the immense popularity of its products.
Here is What to Know Beyond Why PayPal Holdings, Inc. (PYPL) is a Trending Stock
Paypal (PYPL) has been one of the stocks most watched by Zacks.com users lately. So, it is worth exploring what lies ahead for the stock.</t>
  </si>
  <si>
    <t xml:space="preserve">           1y Target Est                       86.34
           52 Week Range               57.29 - 99.30
                     Ask                61.39 x 1200
             Avg. Volume                  16827600.0
       Beta (5Y Monthly)                        1.34
                     Bid                 61.38 x 800
             Day's Range               61.27 - 61.99
               EPS (TTM)                        3.45
           Earnings Date Nov 01, 2023 - Nov 06, 2023
        Ex-Dividend Date                         NaN
Forward Dividend &amp; Yield                   N/A (N/A)
              Market Cap                     67.535B
                    Open                       61.73
          PE Ratio (TTM)                       17.83
          Previous Close                       60.98
             Quote Price                   61.505001
                  Volume                   4109418.0
    Market Cap (intraday) 66.96B
         Enterprise Value 67.62B
             Trailing P/E  17.08
              Forward P/E  10.80
PEG Ratio (5 yr expected)   0.48
        Price/Sales (ttm)   2.43
         Price/Book (mrq)   3.41
 Enterprise Value/Revenue   2.41
  Enterprise Value/EBITDA  12.52</t>
  </si>
  <si>
    <t>TransDigm (TDG) Up 1.5% Since Last Earnings Report: Can It Continue?
TransDigm (TDG) reported earnings 30 days ago. What's next for the stock?</t>
  </si>
  <si>
    <t>TransDigm Group</t>
  </si>
  <si>
    <t xml:space="preserve">           1y Target Est                      992.11
           52 Week Range             499.63 - 940.00
                     Ask                 0.00 x 1100
             Avg. Volume                    234954.0
       Beta (5Y Monthly)                         1.4
                     Bid                  0.00 x 800
             Day's Range             861.60 - 881.20
               EPS (TTM)                        18.4
           Earnings Date Nov 08, 2023 - Nov 13, 2023
        Ex-Dividend Date                Aug 18, 2022
Forward Dividend &amp; Yield                   N/A (N/A)
              Market Cap                     47.701B
                    Open                      876.99
          PE Ratio (TTM)                       46.98
          Previous Close                      871.89
             Quote Price                  864.419983
                  Volume                     56800.0
    Market Cap (intraday) 48.11B
         Enterprise Value 64.81B
             Trailing P/E  46.48
              Forward P/E  29.67
PEG Ratio (5 yr expected)   2.62
        Price/Sales (ttm)   7.96
         Price/Book (mrq)    NaN
 Enterprise Value/Revenue  10.38
  Enterprise Value/EBITDA  22.04</t>
  </si>
  <si>
    <t>Regency Centers to Present at the BofA Securities 2023 Global Real Estate Conference
JACKSONVILLE, Fla., Sept. 06, 2023 (GLOBE NEWSWIRE) -- Regency Centers Corporation (“Regency” or the “Company”) (Nasdaq: REG) today announced that Mike Mas, Executive Vice President and Chief Financial Officer, is scheduled to make a presentation at the 2023 BofA Securities 2023 Global Real Estate Conference (the “Conference”) on Wednesday, September 13, 2023, at 2:10 pm ET. To access the Company's live presentation, use the webcast registration link below.</t>
  </si>
  <si>
    <t xml:space="preserve">           1y Target Est                        69.6
           52 Week Range               51.97 - 68.56
                     Ask                 63.54 x 800
             Avg. Volume                   1039520.0
       Beta (5Y Monthly)                        1.18
                     Bid                 63.50 x 800
             Day's Range               63.42 - 64.42
               EPS (TTM)                        2.14
           Earnings Date Nov 01, 2023 - Nov 06, 2023
        Ex-Dividend Date                Sep 13, 2023
Forward Dividend &amp; Yield                2.60 (4.06%)
              Market Cap                     11.593B
                    Open                       64.18
          PE Ratio (TTM)                       29.74
          Previous Close                       64.07
             Quote Price                   63.650002
                  Volume                    260356.0
    Market Cap (intraday) 11.60B
         Enterprise Value 15.51B
             Trailing P/E  29.94
              Forward P/E  28.57
PEG Ratio (5 yr expected)   4.88
        Price/Sales (ttm)   8.78
         Price/Book (mrq)   1.92
 Enterprise Value/Revenue  12.40
  Enterprise Value/EBITDA  18.32</t>
  </si>
  <si>
    <t>Molson Coors Beverage Company Expands Partnership With ZOA Energy Through Increased Investment
CHICAGO--(BUSINESS WIRE)--Molson Coors Beverage Company ("MCBC" or "Molson Coors") (NYSE: TAP, TAP.A) has reached an agreement to expand its partnership with ZOA Energy, a leading energy drink brand co-founded by Dwayne “The Rock” Johnson, Dany Garcia, Dave Rienzi and John Shulman. Molson Coors will strengthen its investment in ZOA as it furthers a push that began in 2019 to expand beyond its beer roots by becoming a total beverage company. With Molson Coors as a partner, ZOA will leverage the.
Why Molson Coors Brewing (TAP) is a Top Growth Stock for the Long-Term
The Zacks Style Scores offers investors a way to easily find top-rated stocks based on their investing style. Here's why you should take advantage.</t>
  </si>
  <si>
    <t xml:space="preserve">           1y Target Est                       68.49
           52 Week Range               46.69 - 70.90
                     Ask                  0.00 x 800
             Avg. Volume                   1906485.0
       Beta (5Y Monthly)                         0.9
                     Bid                  0.00 x 900
             Day's Range               63.83 - 65.19
               EPS (TTM)                        0.19
           Earnings Date Oct 30, 2023 - Nov 03, 2023
        Ex-Dividend Date                Aug 31, 2023
Forward Dividend &amp; Yield                1.64 (2.58%)
              Market Cap                     14.003B
                    Open                       63.15
          PE Ratio (TTM)                      340.76
          Previous Close                       63.64
             Quote Price                   64.745003
                  Volume                    562001.0
    Market Cap (intraday) 13.76B
         Enterprise Value 19.42B
             Trailing P/E 334.95
              Forward P/E  12.58
PEG Ratio (5 yr expected)   3.39
        Price/Sales (ttm)   1.23
         Price/Book (mrq)   1.06
 Enterprise Value/Revenue   1.74
  Enterprise Value/EBITDA  16.99</t>
  </si>
  <si>
    <t>Sysco Central Alabama Recognizes Natonia Smith, Industrial Athlete Headed to IFDA National Championship
CALERA, Ala., Sept. 11, 2023 (GLOBE NEWSWIRE) -- Sysco Central Alabama announced today that Natonia Smith, Forklift Operator, will represent Sysco at the International Foodservice Distributors Association (IFDA) National Championship in Orlando, Florida, October 12-14, 2023.
Sysco Las Vegas Recognizes Randall Bennett, Industrial Athlete Headed to IFDA National Championship
LAS VEGAS, Sept. 11, 2023 (GLOBE NEWSWIRE) -- Sysco Las Vegas announced today that Randall Bennett, Delivery Driver, will represent Sysco at the International Foodservice Distributors Association (IFDA) National Championship in Orlando, Florida, October 12-14, 2023.
Sysco Kansas City Recognizes Luis Escribano, Industrial Athlete Headed to IFDA National Championship
KANSAS CITY, Kan., Sept. 11, 2023 (GLOBE NEWSWIRE) -- Sysco Kansas City announced today that Luis Escribano, Warehouse Selector, will represent Sysco at the International Foodservice Distributors Association (IFDA) National Championship in Orlando, Florida, October 12-14, 2023.
Sysco Ventura Recognizes Richard Edmonds, Industrial Athlete Headed to IFDA National Championship
VENTURA, Calif., Sept. 11, 2023 (GLOBE NEWSWIRE) -- Sysco Ventura announced today that Richard Edmonds, Driver, will represent Sysco at the International Foodservice Distributors Association (IFDA) National Championship in Orlando, Florida, October 12-14, 2023.
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t>
  </si>
  <si>
    <t xml:space="preserve">           1y Target Est                       84.85
           52 Week Range               68.18 - 87.41
                     Ask                  0.00 x 800
             Avg. Volume                   2458288.0
       Beta (5Y Monthly)                        1.11
                     Bid                  0.00 x 900
             Day's Range               69.86 - 70.81
               EPS (TTM)                        3.47
           Earnings Date Oct 30, 2023 - Nov 03, 2023
        Ex-Dividend Date                Oct 05, 2023
Forward Dividend &amp; Yield                2.00 (2.86%)
              Market Cap                     35.587B
                    Open                       70.02
          PE Ratio (TTM)                       20.31
          Previous Close                       69.95
             Quote Price                   70.470001
                  Volume                    902178.0
    Market Cap (intraday) 35.32B
         Enterprise Value 45.74B
             Trailing P/E  20.16
              Forward P/E  15.87
PEG Ratio (5 yr expected)   1.69
        Price/Sales (ttm)   0.47
         Price/Book (mrq)  17.58
 Enterprise Value/Revenue   0.60
  Enterprise Value/EBITDA  12.36</t>
  </si>
  <si>
    <t>Synchrony to Participate in the Barclays Global Financial Services Conference
STAMFORD, Conn. , Sept. 5, 2023 /PRNewswire/ -- Synchrony (NYSE: SYF) Chief Financial Officer, Brian J.</t>
  </si>
  <si>
    <t xml:space="preserve">           1y Target Est                       39.06
           52 Week Range               26.59 - 40.88
                     Ask                 0.00 x 2200
             Avg. Volume                   4114303.0
       Beta (5Y Monthly)                         1.6
                     Bid                 0.00 x 3200
             Day's Range               31.52 - 32.03
               EPS (TTM)                         5.5
           Earnings Date Oct 23, 2023 - Oct 27, 2023
        Ex-Dividend Date                Jul 28, 2023
Forward Dividend &amp; Yield                0.94 (3.01%)
              Market Cap                     13.258B
                    Open                       30.94
          PE Ratio (TTM)                        5.76
          Previous Close                       31.28
             Quote Price                      31.705
                  Volume                   1059411.0
    Market Cap (intraday) 13.08B
         Enterprise Value    NaN
             Trailing P/E   5.69
              Forward P/E   5.69
PEG Ratio (5 yr expected)    NaN
        Price/Sales (ttm)   1.10
         Price/Book (mrq)   1.03
 Enterprise Value/Revenue    NaN
  Enterprise Value/EBITDA    NaN</t>
  </si>
  <si>
    <t>Bernstein Litowitz Berger &amp; Grossmann LLP Receives Approval of a Landmark $1 Billion Settlement for Shareholders in Wells Fargo Securities Class Action
NEW YORK--(BUSINESS WIRE)--The federal judge overseeing a securities class action against Wells Fargo (NYSE:WFC) for deceiving investors about its compliance and risk management practices has given final approval to a $1 billion settlement with Wells Fargo investors who challenged the bank's severe disclosure lapses. Following the announcement of the settlement this past May, U.S. Judge Jennifer L. Rochon of the U.S. District Court for the Southern District of New York granted final settlement.
Wells Fargo (WFC) is a Top-Ranked Value Stock: Should You Buy?
The Zacks Style Scores offers investors a way to easily find top-rated stocks based on their investing style. Here's why you should take advantage.
Is Most-Watched Stock Wells Fargo &amp; Company (WFC) Worth Betting on Now?
Wells Fargo (WFC) has received quite a bit of attention from Zacks.com users lately. Therefore, it is wise to be aware of the facts that can impact the stock's prospects.
FDIC-Insured Banks' Q2 Earnings Up on Higher NII, Deposits Fall
FDIC-Insured banks' (like JPM, BAC, C &amp; WFC) Q2 earnings improve on higher rates, decent loan demand and efforts to bolster fee income. Yet, rising funding costs, poor asset quality and lower deposit balance remain headwinds.
Berry Global hires Citi and Wells Fargo to review strategic alternatives for its health and hygiene business
Berry Global Group Inc. BERY, -2.63% said Friday it hired Citigroup Global Markets and Wells Fargo Security as advisers as it evaluates strategic alternatives for its Health, Hygiene and Specialties (HH&amp;S) unit. Berry Global said it's considering a sale, strategic partnership or joint venture, spin-off to shareholders, or other separation transaction for some or all of the HH&amp;S business.
Wells Fargo Greenlights Year Three of Nasdaq Entrepreneurial Center Peer Support Milestone Circles Program For Women Businesses
Citing the growing "neighbor effect," 12-week Milestone Circles program sees record demand. SAN FRANCISCO , Sept.
Wells Fargo vice chairman of public affairs Daley to retire
Wells Fargo said on Thursday the bank's vice chairman of public affairs, William Daley, will retire at the end of this year.
The 3 Best Bank Stocks to Buy Now: September 2023
The banking sector has been in the spotlight this year, as a series of events shook the industry and the markets. In March, a wave of bond selloffs triggered by rising inflation expectations caused massive losses for banks holding long-term debt securities.
The 3 Best Financial Services Stocks to Buy Now: September 2023
In today's fast-paced financial landscape, investors constantly search for robust avenues to grow their wealth. Enter financial services stocks—a sector brimming with potential and diversity.
Wells Fargo Is Still in Fix-It Mode
Seven years after the fake-accounts scandal erupted, many inside the bank are sensing a make-or-break moment.
Wells Fargo hires long-time Credit Suisse banker Jill Ford to lead equity capital market unit
Wells Fargo &amp; Co. WFC, -0.51% on Tuesday named Credit Suisse veteran banker Jill Ford as head of equity capital markets in its Corporate &amp; Investment Bank (CIB), reporting to Tim O'Hara, head of banking. Ford will work out of the bank's New York City office after 30 years of investment banking experience, including most recently as co-head of Equity Capital Markets Americas at Credit Suisse.
Banks Struggled in August: Will Scenario Change in September?
After a dismal August performance, investors are looking for clues as to how bank stocks like JPMorgan (JPM), Bank of America (BAC), Citigroup (C) and Wells Fargo (WFC) will fare this month as they navigate industry headwinds.
Wells Fargo hires Ford from Credit Suisse as head of equity capital markets
Wells Fargo hired former Credit Suisse banker Jill Ford as its head of equity capital markets, the bank said in a statement.
Wells Fargo to Present at the Barclays Global Financial Services Conference
SAN FRANCISCO--(BUSINESS WIRE)--Wells Fargo &amp; Company (NYSE: WFC) said today that Chief Financial Officer Mike Santomassimo will present at the Barclays Global Financial Services Conference on Tuesday, Sept. 12, 2023 at 7:30 a.m. ET. The live webcast will be available online at https://www.wellsfargo.com/about/investor-relations/events. A replay of the webcast will be available for three months following the presentation. About Wells Fargo Wells Fargo &amp; Company (NYSE: WFC) is a leading.
This Analyst With 83% Accuracy Rate Sees Around 17% Upside In Hewlett Packard Enterprise
U.S. stocks closed mostly higher, with the Dow Jones gaining more than 100 points on Friday. The Dow added 1.4% last week, while the S&amp;P 500 climbed 2.5%.
Analysis: US banks hold $3.3 trillion cash amid banking crisis, slowdown worries
U.S. lenders are holding onto large piles of cash as insurance against a slowing economy, continuing deposit outflows and looming tougher liquidity rules that could particularly impact mid-sized banks.</t>
  </si>
  <si>
    <t xml:space="preserve">           1y Target Est         50.73
           52 Week Range 35.25 - 48.84
                     Ask   0.00 x 3200
             Avg. Volume    15235716.0
       Beta (5Y Monthly)          1.15
                     Bid   0.00 x 1000
             Day's Range 41.22 - 41.72
               EPS (TTM)          3.96
           Earnings Date  Oct 13, 2023
        Ex-Dividend Date  Aug 03, 2023
Forward Dividend &amp; Yield  1.40 (3.41%)
              Market Cap      151.913B
                    Open         41.38
          PE Ratio (TTM)         10.48
          Previous Close          41.0
             Quote Price         41.52
                  Volume     4400134.0
    Market Cap (intraday) 150.01B
         Enterprise Value     NaN
             Trailing P/E   10.35
              Forward P/E    8.36
PEG Ratio (5 yr expected)    0.60
        Price/Sales (ttm)    1.94
         Price/Book (mrq)    0.93
 Enterprise Value/Revenue     NaN
  Enterprise Value/EBITDA     NaN</t>
  </si>
  <si>
    <t>What's Next For Ralph Lauren Stock?
Consequently, the retailer's gross margin rose to almost 69% (up 180 basis points year-over-year).</t>
  </si>
  <si>
    <t xml:space="preserve">           1y Target Est                      136.61
           52 Week Range              82.23 - 135.76
                     Ask                 0.00 x 1000
             Avg. Volume                    903169.0
       Beta (5Y Monthly)                        1.43
                     Bid                  0.00 x 800
             Day's Range             116.52 - 117.88
               EPS (TTM)                        7.86
           Earnings Date Nov 08, 2023 - Nov 13, 2023
        Ex-Dividend Date                Jun 29, 2023
Forward Dividend &amp; Yield                3.00 (2.57%)
              Market Cap                      7.755B
                    Open                      117.57
          PE Ratio (TTM)                       14.86
          Previous Close                      116.95
             Quote Price                  116.800003
                  Volume                    120134.0
    Market Cap (intraday) 7.63B
         Enterprise Value 8.79B
             Trailing P/E 14.97
              Forward P/E 12.56
PEG Ratio (5 yr expected)  1.20
        Price/Sales (ttm)  1.23
         Price/Book (mrq)  3.13
 Enterprise Value/Revenue  1.36
  Enterprise Value/EBITDA  9.13</t>
  </si>
  <si>
    <t>Is It Time to Buy the S&amp;P 500's 3 Worst-Performing August Stocks?
Insulet is seeing increasing price pressure in the insulin market ResMed missed estimates on the top and bottom lines. Investors balked at Tapestry's acquisition of Capri.
ResMed shares can overcome obesity-drug craze, analysts say
Shares of ResMed Inc. RMD, which have been pounded in recent weeks by concerns that the obesity-drug craze could hurt demand for the company's sleep therapy devices, are poised for a turnaround, according to Needham analysts. Although GLP-1 drugs, such as Novo Nordisk's NVO Ozempic and Wegovy, may cause some patients to stop using CPAP machines as their sleep apnea becomes less severe, “these impacts are likely to be small,” the analysts wrote in a note Wednesday, saying that ResMed can sustain 5% to 7% revenue growth and double-digit per-share earnings growth for the next few years.
ResMed Announces Participation in Upcoming Conferences
SAN DIEGO, Sept. 05, 2023 (GLOBE NEWSWIRE) -- ResMed (NYSE: RMD, ASX: RMD) today announced its participation in two upcoming conferences.</t>
  </si>
  <si>
    <t xml:space="preserve">           1y Target Est                      232.95
           52 Week Range             146.44 - 243.52
                     Ask                  0.00 x 800
             Avg. Volume                   1125217.0
       Beta (5Y Monthly)                        0.52
                     Bid                  0.00 x 800
             Day's Range             149.55 - 154.78
               EPS (TTM)                         6.1
           Earnings Date Oct 25, 2023 - Oct 30, 2023
        Ex-Dividend Date                Aug 16, 2023
Forward Dividend &amp; Yield                1.92 (1.30%)
              Market Cap                     22.731B
                    Open                       150.0
          PE Ratio (TTM)                       25.34
          Previous Close                      147.95
             Quote Price                  154.559998
                  Volume                   1287415.0
    Market Cap (intraday) 21.76B
         Enterprise Value 23.11B
             Trailing P/E  24.29
              Forward P/E  21.60
PEG Ratio (5 yr expected)   1.06
        Price/Sales (ttm)   5.17
         Price/Book (mrq)   5.27
 Enterprise Value/Revenue   5.47
  Enterprise Value/EBITDA  17.13</t>
  </si>
  <si>
    <t>State Street to Participate in Barclays Global Financial Services Conference
BOSTON--(BUSINESS WIRE)--State Street Corporation (NYSE: STT) announced today that President &amp; Chief Operating Officer and Head of Investment Services, Lou Maiuri, and Vice Chairman &amp; Chief Financial Officer, Eric Aboaf, will participate in the Barclays Global Financial Services Conference in New York on Monday, September 11, 2023, at 9:00 am ET. An audio webcast and materials will be accessible on the home page of State Street's Investor Relations website, https://investors.statestreet.</t>
  </si>
  <si>
    <t>State Street Corporation</t>
  </si>
  <si>
    <t xml:space="preserve">           1y Target Est                       75.86
           52 Week Range               58.62 - 94.74
                     Ask                 0.00 x 1100
             Avg. Volume                   2602796.0
       Beta (5Y Monthly)                        1.59
                     Bid                  0.00 x 900
             Day's Range               71.38 - 74.00
               EPS (TTM)                        7.39
           Earnings Date Oct 16, 2023 - Oct 20, 2023
        Ex-Dividend Date                Sep 29, 2023
Forward Dividend &amp; Yield                2.76 (3.93%)
              Market Cap                      22.92B
                    Open                       71.49
          PE Ratio (TTM)                        9.73
          Previous Close                       70.16
             Quote Price                       71.93
                  Volume                   1721079.0
    Market Cap (intraday) 22.36B
         Enterprise Value    NaN
             Trailing P/E   9.49
              Forward P/E   8.94
PEG Ratio (5 yr expected)   2.88
        Price/Sales (ttm)   2.02
         Price/Book (mrq)   1.01
 Enterprise Value/Revenue    NaN
  Enterprise Value/EBITDA    NaN</t>
  </si>
  <si>
    <t>Sempra Declares Common and Preferred Dividends
SAN DIEGO , Sept. 6, 2023 /PRNewswire/ -- Sempra (NYSE: SRE) (BMV: SRE) today announced that its board of directors has declared a $0.595 per share quarterly dividend on the company's common stock, which is payable Oct. 15, 2023, to common stock shareholders of record at the close of business on Sept.
Sempra: Decent For A Weak Economy, But Stock Looks Pricey
Sempra is a large regulated electric and natural gas utility serving millions of customers in Southern California and Texas. The company's stability and cash flow make it a safe haven investment during an economic downturn. Sempra has respectable growth prospects, with plans to increase its customer base and invest in renewable energy infrastructure.</t>
  </si>
  <si>
    <t xml:space="preserve">           1y Target Est                       83.82
           52 Week Range               68.27 - 88.24
                     Ask                  0.00 x 800
             Avg. Volume                   2165500.0
       Beta (5Y Monthly)                        0.75
                     Bid                 0.00 x 1100
             Day's Range               71.07 - 71.80
               EPS (TTM)                        3.95
           Earnings Date Nov 01, 2023 - Nov 06, 2023
        Ex-Dividend Date                Sep 26, 2023
Forward Dividend &amp; Yield                2.38 (3.34%)
              Market Cap                      44.92B
                    Open                       71.38
          PE Ratio (TTM)                       18.07
          Previous Close                       71.25
             Quote Price                   71.379997
                  Volume                    400628.0
    Market Cap (intraday) 44.84B
         Enterprise Value 75.63B
             Trailing P/E  18.06
              Forward P/E  14.84
PEG Ratio (5 yr expected)    NaN
        Price/Sales (ttm)   2.65
         Price/Book (mrq)   1.66
 Enterprise Value/Revenue   4.40
  Enterprise Value/EBITDA  14.41</t>
  </si>
  <si>
    <t>S&amp;P Global Is A Gem, But A Too Expensive One
S&amp;P Global is on the verge of becoming a dividend king with consistent sales growth and increasing earnings per share. The company operates in diverse segments, providing stability and growth opportunities. However, the competitive landscape and high valuation pose risks, making it a hold until the forward P/E ratio reaches 25.
Under the Radar: 3 Stocks You Didn't Realize Analysts Love
One place where you can get ideas on the best stocks to buy is to review the top stocks analysts love. At the beginning of 2023, Investor's Business Daily published an article discussing the nine stocks analysts thought would deliver the best returns based on 12-month target prices.
S&amp;P Global Announces Pricing of Offering of $750,000,000 Senior Notes due 2033
NEW YORK , Sept. 7, 2023 /PRNewswire/ -- S&amp;P Global (NYSE: SPGI) (the "Company" or "S&amp;P Global") today announced that it has priced an offering (the "Offering") of $750,000,000 aggregate principal amount of 5.250% senior notes due 2033 (the "Notes") in a private placement transaction pursuant to Rule 144A and Regulation S under the Securities Act of 1933, as amended (the "Securities Act").
S&amp;P Global Announces Proposed Offering of Senior Notes
NEW YORK , Sept. 7, 2023 /PRNewswire/ -- S&amp;P Global (NYSE: SPGI) (the "Company" or "S&amp;P Global") today announced that it is commencing an offering, subject to market conditions, of senior notes due 2033 (the "Notes") in a private placement transaction (the "Offering").
Steer Clear of Outrageously Valued VinFast Stock. 3 EV Stocks to Buy Instead.
VinFast Auto (NASDAQ: VFS ) went public through a blank-check merger early in August. By August 28, the Vietnam-based electric vehicle (EV) manufacturer had a market capitalization of $190 billion, making VinFast stock the third most valuable automaker behind Tesla (NASDAQ: TSLA ) and Toyota Motor (NYSE: TM ).</t>
  </si>
  <si>
    <t xml:space="preserve">           1y Target Est                       446.8
           52 Week Range             279.32 - 428.65
                     Ask                  0.00 x 900
             Avg. Volume                   1196582.0
       Beta (5Y Monthly)                        1.12
                     Bid                  0.00 x 800
             Day's Range             387.64 - 392.83
               EPS (TTM)                        7.11
           Earnings Date Oct 25, 2023 - Oct 30, 2023
        Ex-Dividend Date                Aug 25, 2023
Forward Dividend &amp; Yield                3.60 (0.92%)
              Market Cap                    123.643B
                    Open                      390.71
          PE Ratio (TTM)                       54.65
          Previous Close                      390.71
             Quote Price                  388.570007
                  Volume                    322216.0
    Market Cap (intraday) 124.32B
         Enterprise Value 134.81B
             Trailing P/E   55.03
              Forward P/E   26.95
PEG Ratio (5 yr expected)    2.24
        Price/Sales (ttm)   10.53
         Price/Book (mrq)    3.51
 Enterprise Value/Revenue   11.18
  Enterprise Value/EBITDA   28.09</t>
  </si>
  <si>
    <t>Simon® to Present at BofA Securities 2023 Global Real Estate Conference
INDIANAPOLIS , Sept. 7, 2023 /PRNewswire/ -- Simon®, a real estate investment trust engaged in the ownership of premier shopping, dining, entertainment and mixed-use destinations, announced today that the Company will present at the BofA Securities 2023 Global Real Estate Conference on Tuesday, September 12, 2023 at 11:05 a.m.
Sell Alert: 2 REITs Getting Risky
I am a heavy buyer of REITs. But that doesn't mean that I am bullish on all REITs. I highlight two REITs that I sold and wouldn't buy back.
Cheap Stocks To Buy Today? 3 Real Estate Stocks To Know
Real estate stocks to check out right now.
Simon Property: Graham P/E Indicates Undervaluation, Insiders Are All Buying
The REIT sector is currently under pressure due to rising interest rates. Such pressure has created opportunities for contrarian investors. In the case of Simon Property, its valuation is at a large discount (~26%) both compared to the Graham P/E and the sector median.</t>
  </si>
  <si>
    <t xml:space="preserve">           1y Target Est                      130.87
           52 Week Range              86.02 - 133.08
                     Ask                  0.00 x 800
             Avg. Volume                   1450932.0
       Beta (5Y Monthly)                        1.56
                     Bid                 0.00 x 1400
             Day's Range             114.11 - 115.35
               EPS (TTM)                        6.58
           Earnings Date Oct 30, 2023 - Nov 03, 2023
        Ex-Dividend Date                Sep 07, 2023
Forward Dividend &amp; Yield                7.60 (6.63%)
              Market Cap                     42.942B
                    Open                      114.74
          PE Ratio (TTM)                       17.43
          Previous Close                      114.62
             Quote Price                  114.692101
                  Volume                    528965.0
    Market Cap (intraday) 37.50B
         Enterprise Value 62.19B
             Trailing P/E  17.42
              Forward P/E  20.28
PEG Ratio (5 yr expected)  14.39
        Price/Sales (ttm)   6.90
         Price/Book (mrq)  13.25
 Enterprise Value/Revenue  11.44
  Enterprise Value/EBITDA  13.58</t>
  </si>
  <si>
    <t>Ross Stores (ROST) Q2 Earnings: Taking a Look at Key Metrics Versus Estimates
Although the revenue and EPS for Ross Stores (ROST) give a sense of how its business performed in the quarter ended July 2023, it might be worth considering how some key metrics compare with Wall Street estimates and the year-ago numbers.
S&amp;P500 Logs Worst Month Since February: 5 Top Stocks in ETF
The S&amp;P 500 had its worst month since February, losing 1.4% in August. Despite the losses, some stocks in the ETF stood tall.</t>
  </si>
  <si>
    <t xml:space="preserve">           1y Target Est                      128.75
           52 Week Range              81.21 - 122.70
                     Ask                119.11 x 900
             Avg. Volume                   2338837.0
       Beta (5Y Monthly)                        0.97
                     Bid               119.10 x 1100
             Day's Range             119.09 - 120.03
               EPS (TTM)                        4.71
           Earnings Date Nov 15, 2023 - Nov 20, 2023
        Ex-Dividend Date                Sep 01, 2023
Forward Dividend &amp; Yield                1.34 (1.12%)
              Market Cap                     40.385B
                    Open                      120.03
          PE Ratio (TTM)                       25.32
          Previous Close                      119.36
             Quote Price                  119.260002
                  Volume                    362003.0
    Market Cap (intraday) 40.42B
         Enterprise Value 41.62B
             Trailing P/E  25.34
              Forward P/E  24.10
PEG Ratio (5 yr expected)   1.85
        Price/Sales (ttm)   2.12
         Price/Book (mrq)   9.07
 Enterprise Value/Revenue   2.17
  Enterprise Value/EBITDA  16.02</t>
  </si>
  <si>
    <t>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t>
  </si>
  <si>
    <t xml:space="preserve">           1y Target Est                      264.79
           52 Week Range             200.75 - 297.26
                     Ask                  0.00 x 800
             Avg. Volume                    244704.0
       Beta (5Y Monthly)                         1.1
                     Bid                  0.00 x 800
             Day's Range             259.25 - 261.90
               EPS (TTM)                       18.05
           Earnings Date Oct 18, 2023 - Oct 23, 2023
        Ex-Dividend Date                Aug 17, 2023
Forward Dividend &amp; Yield                6.48 (2.49%)
              Market Cap                     13.845B
                    Open                      260.81
          PE Ratio (TTM)                       14.49
          Previous Close                      259.74
             Quote Price                  261.630005
                  Volume                     59998.0
    Market Cap (intraday) 13.74B
         Enterprise Value 14.13B
             Trailing P/E  14.40
              Forward P/E  13.66
PEG Ratio (5 yr expected)   1.91
        Price/Sales (ttm)   3.03
         Price/Book (mrq)   2.89
 Enterprise Value/Revenue   3.05
  Enterprise Value/EBITDA   9.90</t>
  </si>
  <si>
    <t>Pentair to Present at the Morgan Stanley 11th Annual Laguna Conference
LONDON--(BUSINESS WIRE)--Pentair plc (NYSE:PNR), a leader in helping the world sustainably move, improve and enjoy water, life's most essential resource, will be presenting at the Morgan Stanley 11th Annual Laguna Conference on September 14, 2023. Chief Financial Officer Robert P. Fishman will present at approximately 11:45 a.m. ET. A live audio webcast of the presentation can be accessed through the “Investor Relations” section of Pentair's website (www.pentair.com). A replay of this presentat.</t>
  </si>
  <si>
    <t xml:space="preserve">           1y Target Est                       74.87
           52 Week Range               38.55 - 71.82
                     Ask                  0.00 x 800
             Avg. Volume                   1169819.0
       Beta (5Y Monthly)                        1.15
                     Bid                 0.00 x 1000
             Day's Range               68.09 - 68.96
               EPS (TTM)                        2.98
           Earnings Date Oct 23, 2023 - Oct 27, 2023
        Ex-Dividend Date                Jul 20, 2023
Forward Dividend &amp; Yield                0.88 (1.29%)
              Market Cap                     11.302B
                    Open                        68.5
          PE Ratio (TTM)                       22.97
          Previous Close                       68.08
             Quote Price                   68.449997
                  Volume                    280516.0
    Market Cap (intraday) 11.24B
         Enterprise Value 13.31B
             Trailing P/E  22.85
              Forward P/E  16.13
PEG Ratio (5 yr expected)   1.67
        Price/Sales (ttm)   2.70
         Price/Book (mrq)   3.83
 Enterprise Value/Revenue   3.19
  Enterprise Value/EBITDA  16.72</t>
  </si>
  <si>
    <t>Regional banks may saddle themselves with $63B in fresh debt to meet regulatory requirements: report
Eighteen regional banks may add about $63 billion of holding company debt to meet proposed regulatory guidelines for lending institutions of $100 billion to $250 billion of assets, in the latest challenge to the sector, according to a Bloomberg report.
PNC Survey Shows Business Owner Optimism Soars To 21-Year Record High While Hiring Concerns Linger
77% of surveyed small and mid-sized business owners optimistic about their business Despite economist expectations for recession, elevated optimism for national economy Almost half of respondents say there aren't enough applicants for open positions PITTSBURGH , Sept. 7, 2023 /PRNewswire/ -- PNC's latest semi-annual survey of small and mid-sized businesses, which concluded Aug. 9, shows that business owner optimism about the outlook for their own business in the next six months has reached a 21-year high amid strong expectations for sales, profits and demand.
The 3 Best Bank Stocks to Buy Now: September 2023
The banking sector has been in the spotlight this year, as a series of events shook the industry and the markets. In March, a wave of bond selloffs triggered by rising inflation expectations caused massive losses for banks holding long-term debt securities.
Why Citigroup, PNC Financial, and M&amp;T Bank Stocks Fell in August
Moody's downgraded 10 regional banks in August, including M&amp;T Bank. The credit ratings firm cited several factors that could result in profitability pressures.</t>
  </si>
  <si>
    <t xml:space="preserve">           1y Target Est          140.14
           52 Week Range 110.31 - 170.28
                     Ask      0.00 x 800
             Avg. Volume       2189767.0
       Beta (5Y Monthly)            1.13
                     Bid     0.00 x 1300
             Day's Range 117.65 - 119.38
               EPS (TTM)           14.58
           Earnings Date    Oct 13, 2023
        Ex-Dividend Date    Jul 14, 2023
Forward Dividend &amp; Yield    6.05 (5.17%)
              Market Cap          47.11B
                    Open          118.09
          PE Ratio (TTM)            8.11
          Previous Close          116.93
             Quote Price      118.290001
                  Volume        419131.0
    Market Cap (intraday) 46.57B
         Enterprise Value    NaN
             Trailing P/E   8.02
              Forward P/E   9.11
PEG Ratio (5 yr expected)   5.69
        Price/Sales (ttm)   2.13
         Price/Book (mrq)   0.94
 Enterprise Value/Revenue    NaN
  Enterprise Value/EBITDA    NaN</t>
  </si>
  <si>
    <t>2 High-Yield Stocks to Put on Your Radar This Fall
There are some excellent values in dividend stocks for patient investors right now.
Truist Financial: The 6.3% Yielding Preferred Shares Could Be An Option
Truist Financial's preferred shares offer an overlooked way to invest in the company from an income perspective (but they don't offer a higher yield versus the common shares). The bank's financial performance shows a strong increase in interest income but also a sharp increase in interest expenses. Truist's exposure to commercial real estate is relatively low, and its loan loss provisions are providing additional coverage.
Regional Banks Are on the Hot Seat Again, but I'm Still Excited to Buy Shares of These Two High-Yield Stocks
With proposed regulatory changes in the air, regional banks still have some unanswered questions. However, there are some excellent regional financial institutions trading for a significant discount to book value.
Regional banks may saddle themselves with $63B in fresh debt to meet regulatory requirements: report
Eighteen regional banks may add about $63 billion of holding company debt to meet proposed regulatory guidelines for lending institutions of $100 billion to $250 billion of assets, in the latest challenge to the sector, according to a Bloomberg report.
7 Perfectly Priced ‘Strong Buy' Dividend Blue Chip Stocks Yielding Up to 9.2%
Conservative investors are partying like it is 1999, as money market rates are at 4.5% and certificates of deposits are above the 5% level.
SkillUp Coalition, in Partnership with Truist Foundation, Launches Remote Job Catalog Focused on Access, Quality, and Career Growth for Non-Degree Holders
Remote job catalog curates thousands of high-quality, vetted remote roles for job seekers without a degree SAN FRANCISCO , Sept. 7, 2023 /PRNewswire/ -- SkillUp Coalition, a national collaboration of nonprofits, training providers, and employers, in partnership with Truist Foundation, today announced the launch of a remote job catalog tailored to support individuals who have less than a four-year degree and are skilled through alternative routes (STARs).</t>
  </si>
  <si>
    <t xml:space="preserve">           1y Target Est         36.38
           52 Week Range 25.56 - 51.26
                     Ask   0.00 x 2200
             Avg. Volume    10490477.0
       Beta (5Y Monthly)          1.05
                     Bid   0.00 x 1400
             Day's Range 29.97 - 30.67
               EPS (TTM)          4.33
           Earnings Date  Oct 19, 2023
        Ex-Dividend Date  Aug 10, 2023
Forward Dividend &amp; Yield  2.08 (6.98%)
              Market Cap       40.166B
                    Open         30.29
          PE Ratio (TTM)          6.96
          Previous Close         29.78
             Quote Price     30.155001
                  Volume     4534513.0
    Market Cap (intraday) 39.67B
         Enterprise Value    NaN
             Trailing P/E   6.88
              Forward P/E   8.27
PEG Ratio (5 yr expected)    NaN
        Price/Sales (ttm)   1.65
         Price/Book (mrq)   0.70
 Enterprise Value/Revenue    NaN
  Enterprise Value/EBITDA    NaN</t>
  </si>
  <si>
    <t>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Why Are Cannabis Stocks Still Up Today?
Stocks that deal in cannabis are rising as the U.S. government moves toward re-classifying marijuana. The Department of Health and Human Services (HHS) has asked the Drug Enforcement Administration (DEA) to consider moving marijuana from Schedule I to Schedule III.</t>
  </si>
  <si>
    <t xml:space="preserve">           1y Target Est         113.41
           52 Week Range 82.85 - 105.62
                     Ask    0.00 x 1100
             Avg. Volume      3803362.0
       Beta (5Y Monthly)           0.74
                     Bid    0.00 x 1800
             Day's Range  93.86 - 94.95
               EPS (TTM)           5.17
           Earnings Date   Oct 19, 2023
        Ex-Dividend Date   Jun 22, 2023
Forward Dividend &amp; Yield   5.08 (5.45%)
              Market Cap       147.318B
                    Open          93.95
          PE Ratio (TTM)          18.36
          Previous Close          93.67
             Quote Price      94.900002
                  Volume       620263.0
    Market Cap (intraday) 145.41B
         Enterprise Value 189.81B
             Trailing P/E   18.12
              Forward P/E   13.81
PEG Ratio (5 yr expected)    2.18
        Price/Sales (ttm)    4.38
         Price/Book (mrq)     NaN
 Enterprise Value/Revenue    5.72
  Enterprise Value/EBITDA   14.32</t>
  </si>
  <si>
    <t>Welltower Raises 2023 Guidance and Issues Business Update
TOLEDO, Ohio , Sept. 11, 2023 /PRNewswire/ -- Welltower® Inc. (NYSE: WELL) today announced that it has revised its 2023 outlook.
Welltower to Participate in BofA Securities 2023 Global Real Estate Conference
TOLEDO, Ohio , Sept. 11, 2023 /PRNewswire/ -- Welltower® Inc. (NYSE: WELL) announced today that Chief Executive Officer, Shankh Mitra, will participate on a live panel at the BofA Securities 2023 Global Real Estate Conference.
Oil Vs. Commercial Real Estate: One Is A Better Buy Today
Timing anything in the markets over the next few months or quarters is extremely difficult, bordering on impossible to do with accuracy consistently. But investors can look at data and trends and surmise the kind of economic environment that is most likely to manifest over the next few years. Over the last two years, oil stocks have massively outperformed real estate stocks, but in the decade before that, the opposite was the case.</t>
  </si>
  <si>
    <t xml:space="preserve">           1y Target Est                       88.69
           52 Week Range               56.50 - 86.39
                     Ask                 0.00 x 1200
             Avg. Volume                   2099774.0
       Beta (5Y Monthly)                        1.05
                     Bid                  0.00 x 800
             Day's Range               82.78 - 83.89
               EPS (TTM)                        0.26
           Earnings Date Aug 07, 2023 - Aug 11, 2023
        Ex-Dividend Date                Aug 14, 2023
Forward Dividend &amp; Yield                2.44 (2.95%)
              Market Cap                     43.311B
                    Open                       83.03
          PE Ratio (TTM)                      321.13
          Previous Close                        82.6
             Quote Price                   83.495003
                  Volume                    486998.0
    Market Cap (intraday) 42.85B
         Enterprise Value 56.98B
             Trailing P/E 317.69
              Forward P/E  64.10
PEG Ratio (5 yr expected)   1.53
        Price/Sales (ttm)   6.48
         Price/Book (mrq)   2.02
 Enterprise Value/Revenue   9.16
  Enterprise Value/EBITDA  25.98</t>
  </si>
  <si>
    <t>3 Growing Dividends To Supercharge Your Income
Dividend deals are lining up for us across the board—and they're likely to get better as September unfolds.</t>
  </si>
  <si>
    <t xml:space="preserve">           1y Target Est                       97.09
           52 Week Range              80.82 - 107.60
                     Ask                  0.00 x 800
             Avg. Volume                   1283180.0
       Beta (5Y Monthly)                        0.41
                     Bid                  0.00 x 800
             Day's Range               84.27 - 85.07
               EPS (TTM)                        4.27
           Earnings Date Oct 30, 2023 - Nov 03, 2023
        Ex-Dividend Date                Aug 11, 2023
Forward Dividend &amp; Yield                3.07 (3.62%)
              Market Cap                     26.735B
                    Open                       84.25
          PE Ratio (TTM)                       19.85
          Previous Close                       84.67
             Quote Price                   84.754997
                  Volume                    293130.0
    Market Cap (intraday) 26.71B
         Enterprise Value 44.76B
             Trailing P/E  19.83
              Forward P/E  17.24
PEG Ratio (5 yr expected)   2.70
        Price/Sales (ttm)   2.88
         Price/Book (mrq)   2.29
 Enterprise Value/Revenue   4.82
  Enterprise Value/EBITDA  13.09</t>
  </si>
  <si>
    <t>Habitat for Humanity of Jacksonville Receives $2.6 Million Investment by Northern Trust
JACKSONVILLE, Fla. , Sept. 6, 2023 /PRNewswire/ -- Habitat for Humanity of Jacksonville (HabiJax), one of the largest providers of affordable homes in Northeast Florida, recently received a $2.6 million investment from Northern Trust.
Northern Trust Appoints Head of Asset Servicing, Hong Kong
HONG KONG--(BUSINESS WIRE)--Northern Trust (Nasdaq: NTRS) has appointed Aisling Keane as head of Asset Servicing, Hong Kong, effective 4 September 2023. In the newly created role, Keane will lead Northern Trust's asset servicing business in Hong Kong, Macau and Taiwan. Keane will be responsible for overseeing the overall strategic direction for the asset servicing business and providing solutions to clients. With 20 years of industry experience, Keane was most recently head of alternative inves.</t>
  </si>
  <si>
    <t xml:space="preserve">           1y Target Est                       85.67
           52 Week Range              69.54 - 100.74
                     Ask                 76.98 x 800
             Avg. Volume                   1349843.0
       Beta (5Y Monthly)                        1.09
                     Bid                76.87 x 3000
             Day's Range               76.81 - 78.14
               EPS (TTM)                        5.58
           Earnings Date Oct 17, 2023 - Oct 23, 2023
        Ex-Dividend Date                Sep 07, 2023
Forward Dividend &amp; Yield                3.00 (3.93%)
              Market Cap                      15.96B
                    Open                       76.81
          PE Ratio (TTM)                       13.82
          Previous Close                       76.39
             Quote Price                   77.101997
                  Volume                    407812.0
    Market Cap (intraday) 15.81B
         Enterprise Value    NaN
             Trailing P/E  13.69
              Forward P/E  11.75
PEG Ratio (5 yr expected)   1.55
        Price/Sales (ttm)   2.35
         Price/Book (mrq)   1.47
 Enterprise Value/Revenue    NaN
  Enterprise Value/EBITDA    NaN</t>
  </si>
  <si>
    <t>Verizon Business to showcase 5G's impact on the future of media and entertainment at IBC2023
The industry event brings together the global media, entertainment and technology industries from 170 countries and will feature an exclusive Verizon Business main stage event The industry event brings together the global media, entertainment and technology industries from 170 countries and will feature an exclusive Verizon Business main stage event
Verizon's 17th Annual Dividend Increase Brings The Yield To 7.87%
Verizon's shares have experienced a significant decline, reaching a 5-year low, making their valuation extremely attractive. Compared to a peer group of established non-tech companies, Verizon is generating the largest amount of free cash flow and has a low price-to-FCF ratio. Verizon's dividend payout ratio is low, leaving room for future dividend increases, and the company just announced its 17th consecutive year of dividend increases.
Verizon: Shiny New Dividend Is Backed For Now
Verizon has increased its quarterly dividend to 66.50 cents/share, demonstrating its commitment to shareholders. Despite a 15% YTD stock loss, investing is about future returns, and Verizon's dividend increase suggests the company is confident of a turnaround. Free Cash Flow is to be monitored closely with the payout ratio breaching 90% but Verizon showed marked improvement in H1 2023.
SHAREHOLDER ALERT: Potential Recovery for Verizon Communications Inc. (VZ) Investors Affected by Stock Drop – Levi &amp; Korsinsky Pursuing Class Action Lawsuit
NEW YORK, NY / ACCESSWIRE / September 11, 2023 / If you suffered a loss on your Verizon Communications Inc. (NYSE:VZ) investment and want to learn about a potential recovery under the federal securities laws, follow the link below for more information: https://zlk.com/pslra-1/verizon-lawsuit-submission-form?prid=47550&amp;wire=1 or contact Joseph E. Levi, Esq.
SHAREHOLDER ALERT: The Law Offices of Vincent Wong Remind Verizon Investors of a Lead Plaintiff Deadline of October 2, 2023
NEW YORK , Sept. 11, 2023 /PRNewswire/ -- Attention Verizon Communications Inc. ("Verizon") (NYSE: VZ) shareholders: The Law Offices of Vincent Wong announce that a class action lawsuit has commenced on behalf of investors who purchased between October 30, 2018 and July 26, 2023.
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SHAREHOLDER ACTION ALERT: The Schall Law Firm Encourages Investors in Verizon Communications Inc. with Losses of $500,000 to Contact the Firm
LOS ANGELES, CA / ACCESSWIRE / September 11, 2023 / The Schall Law Firm, a national shareholder rights litigation firm, reminds investors of a class action lawsuit against Verizon Communications Inc. ("Verizon" or "the Company") (NYSE:VZ) for violations of §§10(b) and 20(a) of the Securities Exchange Act of 1934 and Rule 10b-5 promulgated thereunder by the U.S. Securities and Exchange Commission. Investors who purchased the Company's securities between February 4, 2020 and July 26, 2023, inclusive (the "Class Period"), are encouraged to contact the firm before October 2, 2023.
SHAREHOLDER ALERT: Potential Recovery for Verizon Communications Inc. (VZ) Investors Affected by Stock Drop – Levi &amp; Korsinsky Pursuing Class Action Lawsuit
NEW YORK, NY / ACCESSWIRE / September 10, 2023 / If you suffered a loss on your Verizon Communications Inc. (NYSE:VZ) investment and want to learn about a potential recovery under the federal securities laws, follow the link below for more information: https://zlk.com/pslra-1/verizon-lawsuit-submission-form?prid=47513&amp;wire=1 or contact Joseph E. Levi, Esq.
Top Wall Street analysts select these dividend stocks to enhance returns
TipRanks' analyst ranking service pinpoints Wall Street's best-performing stocks, including Dell and Verizon.
7 Best Blue Chip Stocks to Buy Now
Sure, short-term gains from the hip "stock of the moment" can be an exciting roller coaster ride, but if you're a truly savvy investor in 2023, you're going to be hunting for stocks that can provide solid returns over the long term, no matter what the market does. Blue-chip stocks are, of course, one of the best places to find that.
Why I Agree With Wall Street and Continue Piling Into This Nearly 8%-Yielding Dividend Stock
Analysts are growing increasingly bullish on Verizon. They believe it will generate growing free cash, giving it the money to de-lever and continue increasing its high-yielding dividend.
Is This Stock's 7.5% Yield an Opportunity or a Trap?
Verizon is losing consumers in its wireless business. The company has a ton of debt on its balance sheet.
3 Dividend-Paying Tech Stocks to Buy in September
Verizon has one of the highest dividend yields in the S&amp;P 500. Cisco has been focusing on increasing its software and subscription-based offerings.
7 Perfectly Priced ‘Strong Buy' Dividend Blue Chip Stocks Yielding Up to 9.2%
Conservative investors are partying like it is 1999, as money market rates are at 4.5% and certificates of deposits are above the 5% level.
3 Shaky Stocks to Sell in September Before It's Too Late
Investing in companies you know and understand is the best advice I learned when I started to invest. Familiarity with due diligence made the stock-picking process faster and more manageable.
SHAREHOLDER ACTION ALERT: The Schall Law Firm Encourages Investors in Verizon Communications Inc. with Losses of $750,000 to Contact the Firm
LOS ANGELES, CA / ACCESSWIRE / September 8, 2023 / The Schall Law Firm, a national shareholder rights litigation firm, reminds investors of a class action lawsuit against Verizon Communications Inc. ("Verizon" or "the Company") (NYSE:VZ) for violations of 10(b) and 20(a) of the Securities Exchange Act of 1934 and Rule 10b-5 promulgated thereunder by the U.S. Securities and Exchange Commission. Investors who purchased the Company's securities between February 4, 2020 and July 26, 2023, inclusive (the "Class Period"), are encouraged to contact the firm before October 2, 2023.
Verizon Communications Inc. (VZ) Goldman Sachs Communacopia &amp; Technology Conference 2023 - (Transcript)
Verizon Communications Inc. (NYSE:VZ ) Goldman Sachs Communacopia &amp; Technology Conference 2023 September 7, 2023 11:10 AM ET Company Participants Hans Vestberg - Chairman and Chief Executive Officer Conference Call Participants Brett Feldman - Goldman Sachs Brett Feldman All right. Welcome, everyone, to Day Three of our Communacopia and Technology Conference.
Verizon ups dividend by nearly 2%, lifting implied yield to 7.73%
Verizon Communications Inc. VZ plans to up its quarterly dividend by 1.25 cents to 66.50 cents a share, the company said Thursday morning. This increase of nearly 2% marks the company's 17th year in a row of dividend hikes.
Verizon increases dividend for 17th consecutive year
Increase maintains the longest current streak in U.S. telecom industry Increase maintains the longest current streak in U.S. telecom industry
Verizon's New Vehicle Brings Emerging Tech &amp; Award-Winning Connectivity to Enterprise Customers
What you need to know: Called Mobile Onsite Network-as-a-Service (NaaS), the portable 10-foot trailer delivers a private network, private MEC, SD-Wan, and satellite connectivity to customer locations. First deployment is at Lockheed Martin's Waterton, Colorado campus where it is being used as a testing platform to ingest sensor data and video to show key performance indicators to assess network operations.
Nextdoor and Verizon Reunite for Nationwide Neighbor Month Celebrations
SAN FRANCISCO--(BUSINESS WIRE)--For the second year, Nextdoor and Verizon will host five neighborhood block parties, inviting neighbors to celebrate their communities.
SHAREHOLDER ALERT: Levi &amp; Korsinsky Notifies Verizon Communications Inc.(VZ) Investors of a Class Action Lawsuit and Upcoming Deadline
NEW YORK , Sept. 7, 2023 /PRNewswire/ -- Levi &amp; Korsinsky, LLP notifies investors in Verizon Communications Inc. ("Verizon" or the "Company") (NYSE: VZ) of a class action securities lawsuit.
Want $1,000 in Super Safe Annual Dividend Income? Invest $9,950 Into the Following 3 Ultra-High-Yield Stocks
When examined over many decades, dividend stocks have meaningfully outperformed public companies that don't offer a payout. Three supercharged income stocks, with yields ranging from 7.6% to 14.2%, have the sustained catalysts necessary to deliver for their long-term shareholders.
SHAREHOLDER ACTION ALERT: The Schall Law Firm Encourages Investors in Verizon Communications Inc. with Losses of $100,000 to Contact the Firm
LOS ANGELES, CA / ACCESSWIRE / September 7, 2023 / The Schall Law Firm, a national shareholder rights litigation firm, reminds investors of a class action lawsuit against Verizon Communications Inc. ("Verizon" or "the Company") (NYSE:VZ) for violations of §§10(b) and 20(a) of the Securities Exchange Act of 1934 and Rule 10b-5 promulgated thereunder by the U.S. Securities and Exchange Commission. Investors who purchased the Company's securities between February 4, 2020 and July 26, 2023, inclusive (the "Class Period"), are encouraged to contact the firm before October 2, 2023.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Verizon makes massive network investments in Austin
New cell sites, expanded 5G service, increased capacity and upgraded fiber are key additions to Verizon's efforts to keep up with population and data usage growth New cell sites, expanded 5G service, increased capacity and upgraded fiber are key additions to Verizon's efforts to keep up with population and data usage growth
3 Under-Appreciated Stocks with Nowhere to Go But Up
Stocks like V.F. Corporation NYSE: VFC, Verizon NYSE: VZ, and PENN Entertainment NYSE: PENN get beaten up for a reason, but often, the market will take things to the extreme.
Verizon Chairman &amp; CEO to speak at Goldman Sachs conference September 7
NEW YORK, Sept. 06, 2023 (GLOBE NEWSWIRE) -- Hans Vestberg, Chairman and CEO of Verizon (NYSE, Nasdaq: VZ), is scheduled to speak at the Goldman Sachs Communacopia + Technology Conference on Thursday, September 7, at 11:10 a.m. ET. His remarks will be webcast, with access instructions available on Verizon's Investor Relations website, www.verizon.com/about/investors/.
SHAREHOLDER ALERT: The Gross Law Firm Notifies Shareholders of Verizon Communications Inc. of a Class Action Lawsuit and a Lead Plaintiff Deadline of October 2, 2023 - (NYSE: VZ)
NEW YORK , Sept. 6, 2023 /PRNewswire/ -- The Gross Law Firm issues the following notice to shareholders of Verizon Communications Inc..
SHAREHOLDER ACTION ALERT: The Schall Law Firm Encourages Investors in Verizon Communications Inc. with Losses of $500,000 to Contact the Firm
LOS ANGELES, CA / ACCESSWIRE / September 6, 2023 / The Schall Law Firm, a national shareholder rights litigation firm, reminds investors of a class action lawsuit against Verizon Communications Inc. ("Verizon" or "the Company") (NYSE:VZ) for violations of 10(b) and 20(a) of the Securities Exchange Act of 1934 and Rule 10b-5 promulgated thereunder by the U.S. Securities and Exchange Commission. Investors who purchased the Company's securities between February 4, 2020 and July 26, 2023, inclusive (the "Class Period"), are encouraged to contact the firm before October 2, 2023.
Verizon unit agrees to pay $4 million to resolve cybersecurity accusations
Verizon Business Network Services, a unit of the telecom giant, has agreed to pay $4,091,317 to resolve false claims act allegations that it failed to "completely satisfy certain cybersecurity controls" related to an IT service provided to federal agencies, the U.S. Department of Justice said on Tuesday.
SHAREHOLDER ALERT: Pomerantz Law Firm Investigates Claims On Behalf of Investors of Verizon Communications Inc. - VZ
NEW YORK , Sept. 5, 2023 /PRNewswire/ -- Pomerantz LLP is investigating claims on behalf of investors of Verizon Communications Inc. ("Verizon" or the "Company") (NYSE: VZ).
5G Stocks To Watch As Huawei Ramps Mate 60 Pro Versus IPhone 15
The best 5G stocks to invest in will change as smartphone apps, fixed broadband, enterprise services and the metaverse develop over time.
Verizon and NFL launch new offer for customers: Save 40% on an NFL+ Premium annual subscription on +play
Plus, Verizon customers get even more savings with myPlan, including a special “on us” offer for NFL Sunday Ticket from YouTube and YouTubeTV – up to $449 in value Plus, Verizon customers get even more savings with myPlan, including a special “on us” offer for NFL Sunday Ticket from YouTube and YouTubeTV – up to $449 in value
Here is What to Know Beyond Why Verizon Communications Inc. (VZ) is a Trending Stock
Verizon (VZ) has been one of the stocks most watched by Zacks.com users lately. So, it is worth exploring what lies ahead for the stock.
Dividend Income Summary: Lanny's August 2023 Summary
2023 has been one heck of a year. The S&amp;P 500 is close to all-time highs. The Fed raised interest rates in July, as the economy is still on fire. The retirement accounts brought in a total dividend income amount of $379.48 or 22% of the dividend income total, similar to last month. Dividend increases created $42.95 in additional passive dividend income.</t>
  </si>
  <si>
    <t xml:space="preserve">           1y Target Est         40.17
           52 Week Range 31.25 - 42.85
                     Ask   0.00 x 1400
             Avg. Volume    24468808.0
       Beta (5Y Monthly)          0.33
                     Bid   0.00 x 3000
             Day's Range 33.58 - 33.96
               EPS (TTM)           5.0
           Earnings Date  Oct 24, 2023
        Ex-Dividend Date  Jul 07, 2023
Forward Dividend &amp; Yield  2.61 (7.72%)
              Market Cap      142.706B
                    Open          33.7
          PE Ratio (TTM)          6.79
          Previous Close         33.45
             Quote Price     33.948299
                  Volume     7004686.0
    Market Cap (intraday) 140.63B
         Enterprise Value 313.48B
             Trailing P/E    6.69
              Forward P/E    6.97
PEG Ratio (5 yr expected)    6.34
        Price/Sales (ttm)    1.04
         Price/Book (mrq)    1.48
 Enterprise Value/Revenue    2.32
  Enterprise Value/EBITDA    6.31</t>
  </si>
  <si>
    <t>5 Stocks to Buy on a Potential Debt Avalanche
Last week, yields on short-dated U.S. Treasuries quietly climbed to their highest point in almost 25 years. The effects of that rise, however, have been anything but silent.
This Golden High Yield Opportunity May Not Last Long
Rising interest rates have created numerous attractive buying opportunities in the high yield equity corner of the market. We share one of the sectors that offers the most promise right now. We also share our top pick in that sector at the moment that we are buying aggressively.
Realty Income: 2035 Bonds Present Better Upside To Shares
Realty Income Corporation experienced solid revenue growth in the first half of 2023, with revenues reaching just under $2 billion. The company has invested $4 billion in new real estate this year, funded in part by issuing shares, risking dilution of shareholders. Realty Income's 2035 maturing bonds offer a higher coupon yield and yield to maturity compared to its dividend rate, making them an attractive investment.
The 3 Best REITs to Buy Now: September 2023
Buying the best REITs can be a powerful way to diversify your portfolio as well as bring in a stable income stream. Unlike some types of stocks, the price of real estate generally rises along with inflation.
3 Top High-Yield Stocks to Buy in September
Realty Income is a slow and steady giant in the real estate sector. Bank of Nova Scotia has more than 100 years of history and a unique growth approach in the banking sector.
Magnificent Monthly Mailbox Money
Dividend growth is important for long-term stock ownership and has historically outperformed during good and bad times. Monthly dividends provide benefits such as dollar cost averaging, compounding opportunities, and minimizing market risk. Realty Income, STAG Industrial, LTC Properties, Agree Realty, and Whitestone REIT are our recommended monthly dividend stocks.
I've Bought Shares of This High-Yield Stock More Than a Dozen Time. At a 52-Week Low, I'm Planning to Buy Even More.
Realty Income is down by about 20% over the past year. The decline has little to do with the performance of the business itself.
2 Top Dividend Stocks to Buy in September
With interest rates on the rise, investors are shifting away from even well-run dividend stocks, opening an opportunity for investors that think long-term. Toronto-Dominion has a solid foundation in Canada and an expanding presence in the United States, and it is well-prepared for adversity.
Realty Income: A Strong Alignment With The Dividend Income Accelerator Portfolio Approach
I believe that Realty Income strongly aligns with the investment approach of The Dividend Income Accelerator Portfolio. Realty Income has significant competitive advantages and a strong financial health, and I believe it's attractive in regard to risk and reward. The second acquisition for The Dividend Income Accelerator Portfolio helps us to raise the portfolio's Weighted Average Dividend Yield [TTM] while reducing its volatility.
Fall for These 3 Dividend Stocks in September and Buy Them Hand Over Fist
Realty Income stock has been battered, but its record and fundamentals are hard to beat. Invitation Homes should be able to continue growing its dividend at a brisk pace.
Lessons Learned: Perseverance
I ultimately found success through writing on Seeking Alpha. I present three beaten-down REITs that are worth sticking by: Realty Income, Alexandria Real Estate, and American Tower. These three REITs have strong fundamentals and are currently trading with a wide margin of safety.
It's Time To SWAN: 2 Top High-Yield Dividend Picks
The Fed's next interest rate decision is approaching, with expectations of rates remaining stable but some uncertainty in the market. Conflicting data has led to uneasiness among market participants, causing them to second guess their expectations. Here are two SWAN high yielding picks to see you through whatever comes next.
Realty Income: My Largest Position And Sleeping Well At Night
Fauja Singh, a 104-year-old man, completed the Sri Chinmoy Self-Transcendence 3100 Mile Race, running 60 miles a day for 52 days, the only one out of 128 runners to finish. He proves that persistence and determination, not flash and speed, are what can accomplish miraculous feats. Realty Income is the ultimate "boring is beautiful" slow-growing Ultra SWAN REIT.
This Is the Real Story Behind Realty Income's Bellagio Buy-In
Realty Income made a big business shift in 2022 when it bought a Boston casino. It added to this new property type with a recent investment in the Bellagio.
Realty Income Corporation (O) Is a Trending Stock: Facts to Know Before Betting on It
Recently, Zacks.com users have been paying close attention to Realty Income Corp. (O). This makes it worthwhile to examine what the stock has in store.
Dividend Harvesting Portfolio Week 131: $13,100 Allocated, $1,124.81 In Projected Dividends
The markets had a good week, with the S&amp;P 500 up 1.91% and the Dow Jones up 2.52%. The Dividend Harvesting Portfolio continues to perform well, generating consistent weekly income and increasing projected dividend income. I added to positions in Altria Group, Realty Income, and Eagle Point Credit in Week 131.
Realty Income: The Market Is Wrong, I Am Buying This 5.6% Yield Hand Over Fist
Realty Income's shares just reached a 1-year low, but the REIT offers a high quality 5.6% yield for dividend investors. The REIT's dividend yield is the highest in years, potentially indicating that investors are overly fearful of this REIT. The market may overreact to Realty Income's Bellagio deal which means the REIT will have higher exposure to more volatile Gaming properties going forward.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3 Top REIT Stocks to Buy in September
Realty Income is a giant net lease REIT with a consistent history of annual dividend increases. Prologis is a massive industrial REIT with warehouses in key markets around the globe.
3 Dividend Growth Stocks Worth Buying and Holding for the Long Haul
Following July's market peak, stocks face significant pressure with 10-year Treasury yields at levels unseen since the financial crisis. Consequently, investors have a higher-yield, lower-risk alternative than dividends.
Realty Income Corporation - Not Where I Want It To Be
Realty Income Corporation (O) has experienced significant growth in its topline due to the booming housing market. Share dilution is a concern for investors, and the current price is unappealing with a premium valuation. The company has shown consistency and low volatility, but the potential impact of higher interest rates on earnings growth is a risk.
Building An 'All-Weather' REIT Portfolio
Not all REITs are created equal. Some perform better when inflation is high. Others when it is low. We explain how you can build an "all weather" REIT portfolio.
The 3 Best Stock Picks for This Week
In August, the US Bureau of Labor Statistics reported United States job and wage growth slowing while unemployment was growing. This is a signal that the Federal Reserve's plan to reduce inflation and avert a recession appears to be working.</t>
  </si>
  <si>
    <t xml:space="preserve">           1y Target Est                       68.08
           52 Week Range               54.76 - 68.85
                     Ask                 0.00 x 1400
             Avg. Volume                   5173095.0
       Beta (5Y Monthly)                        0.79
                     Bid                 0.00 x 1400
             Day's Range               55.04 - 55.53
               EPS (TTM)                        1.34
           Earnings Date Oct 31, 2023 - Nov 06, 2023
        Ex-Dividend Date                Aug 31, 2023
Forward Dividend &amp; Yield                3.07 (5.54%)
              Market Cap                      39.09B
                    Open                       55.48
          PE Ratio (TTM)                       41.16
          Previous Close                       55.32
             Quote Price                   55.150002
                  Volume                   1286384.0
    Market Cap (intraday) 39.21B
         Enterprise Value 59.07B
             Trailing P/E  41.28
              Forward P/E  40.98
PEG Ratio (5 yr expected)   6.80
        Price/Sales (ttm)   9.70
         Price/Book (mrq)   1.26
 Enterprise Value/Revenue  16.01
  Enterprise Value/EBITDA  17.94</t>
  </si>
  <si>
    <t>6% Yield And Significantly Undervalued: A Closer Look At Organon
Organon &amp; Co. stock is down 30% year-to-date and 40% below its 52-week highs. OGN offers a dividend yield of 5.8%, making it an attractive option for income-oriented investors. The company has a stable revenue base and potential for future dividend hikes as debt decreases.
3 Pharmaceutical Stocks That Are Too Cheap to Ignore
Viatris, known for its branded drugs, has several up-and-coming biosimilars. GSK is seeing sales growth even as its COVID-19-related sales decline.
8 Stocks Face Highest Risk Of Getting Booted Out Of The S&amp;P 500
Getting booted out of the S&amp;P 500 is a mark of shame most companies try to avoid. But it's a harsh possibility several face.
Organon Bolsters Research &amp; Development Expertise with Two Leadership Appointments
JERSEY CITY, N.J.--(BUSINESS WIRE)--Organon Bolsters Research &amp; Development Expertise with Two Leadership Appointments.</t>
  </si>
  <si>
    <t xml:space="preserve">           1y Target Est                        31.0
           52 Week Range               18.87 - 32.43
                     Ask                 0.00 x 1800
             Avg. Volume                   2058154.0
       Beta (5Y Monthly)                        0.77
                     Bid                  0.00 x 800
             Day's Range               19.35 - 19.94
               EPS (TTM)                        2.92
           Earnings Date Nov 01, 2023 - Nov 05, 2023
        Ex-Dividend Date                Aug 17, 2023
Forward Dividend &amp; Yield                1.12 (5.81%)
              Market Cap                      5.081B
                    Open                       19.35
          PE Ratio (TTM)                        6.81
          Previous Close                       19.29
             Quote Price                   19.879999
                  Volume                    706436.0
    Market Cap (intraday)  4.93B
         Enterprise Value 13.33B
             Trailing P/E   6.54
              Forward P/E    NaN
PEG Ratio (5 yr expected)    NaN
        Price/Sales (ttm)   0.80
         Price/Book (mrq)    NaN
 Enterprise Value/Revenue   2.16
  Enterprise Value/EBITDA   8.35</t>
  </si>
  <si>
    <t>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Omnicom (OMC) Snaps Up FP1 Strategies &amp; PLUS Communications
The move is likely to enhance and expand Omnicom's (OMC) offerings in public affairs, corporate and political consulting.
Joanne Wong Returns to FleishmanHillard, Appointed Asia Pacific President
ST. LOUIS , Sept. 7, 2023 /PRNewswire/ -- FleishmanHillard today announced the appointment of Joanne Wong to president of its Asia Pacific operations.
DDB Worldwide and Parley For the Oceans Announce Partnership to Inspire A Better Future Through Creativity and Eco-Innovation
NEW YORK , Sept. 7, 2023 /PRNewswire/ -- DDB Worldwide today announced it has entered a partnership with Parley for the Oceans, a global environmental organization and impact network focused on driving solutions for climate change, plastic pollution and biodiversity loss with a collaborative, futurists' approach to environmentalism.
BrightTower Advises Top Public Affairs Firm PLUS Communications and Political Consulting Firm FP1 Strategies in Sale to Omnicom
NEW YORK , Sept. 7, 2023 /PRNewswire/ -- Omnicom (NYSE: OMC) today announced its public relations division, Omnicom PR Group (OPRG), has acquired PLUS Communications, a top public affairs firm, and FP1 Strategies, a leading political consultancy.
Omnicom Acquires PLUS Communications and FP1 Strategies
Omnicom PR Group (OPRG) is now the leading global network for corporate, public affairs and bipartisan political consulting NEW YORK , Sept. 7, 2023 /PRNewswire/ -- Omnicom (NYSE: OMC) today announced its public relations division, Omnicom PR Group (OPRG), has acquired PLUS Communications, a top public affairs firm, and FP1 Strategies, a leading political consultancy.</t>
  </si>
  <si>
    <t>Omnicom Group</t>
  </si>
  <si>
    <t xml:space="preserve">           1y Target Est                       98.55
           52 Week Range               61.85 - 99.23
                     Ask                  0.00 x 800
             Avg. Volume                   1727096.0
       Beta (5Y Monthly)                        0.87
                     Bid                  0.00 x 800
             Day's Range               78.97 - 80.07
               EPS (TTM)                        6.77
           Earnings Date Oct 16, 2023 - Oct 20, 2023
        Ex-Dividend Date                Sep 20, 2023
Forward Dividend &amp; Yield                2.80 (3.55%)
              Market Cap                      15.77B
                    Open                       79.43
          PE Ratio (TTM)                       11.79
          Previous Close                        78.9
             Quote Price                       79.82
                  Volume                    244711.0
    Market Cap (intraday) 15.59B
         Enterprise Value 19.26B
             Trailing P/E  11.65
              Forward P/E  10.38
PEG Ratio (5 yr expected)   2.01
        Price/Sales (ttm)   1.12
         Price/Book (mrq)   4.94
 Enterprise Value/Revenue   1.34
  Enterprise Value/EBITDA   8.00</t>
  </si>
  <si>
    <t>Here are the 13 stocks Jim Cramer is watching, including Eli Lilly, McDonald's
Here are some of the tickers on my radar for Thursday, Sept. 7, taken directly from my reporter's notebook.
Students Set to Develop Ideas for Improved Access to Green Space
Otis' Made to Move Communities™ global competition brings much-needed attention to the health and wellbeing benefits of open spaces. FARMINGTON, Conn.</t>
  </si>
  <si>
    <t xml:space="preserve">           1y Target Est                       89.87
           52 Week Range               62.49 - 91.33
                     Ask                 0.00 x 1200
             Avg. Volume                   1815408.0
       Beta (5Y Monthly)                        0.86
                     Bid                  0.00 x 800
             Day's Range               82.52 - 83.56
               EPS (TTM)                        3.18
           Earnings Date Oct 24, 2023 - Oct 30, 2023
        Ex-Dividend Date                Aug 17, 2023
Forward Dividend &amp; Yield                1.36 (1.64%)
              Market Cap                      34.13B
                    Open                       83.15
          PE Ratio (TTM)                       26.07
          Previous Close                       82.71
             Quote Price                   82.889999
                  Volume                    404516.0
    Market Cap (intraday) 34.06B
         Enterprise Value 40.01B
             Trailing P/E  26.01
              Forward P/E  20.75
PEG Ratio (5 yr expected)   1.76
        Price/Sales (ttm)   2.50
         Price/Book (mrq)    NaN
 Enterprise Value/Revenue   2.89
  Enterprise Value/EBITDA  17.35</t>
  </si>
  <si>
    <t>Should Value Investors Buy Textron (TXT) Stock?
Here at Zacks, our focus is on the proven Zacks Rank system, which emphasizes earnings estimates and estimate revisions to find great stocks. Nevertheless, we are always paying attention to the latest value, growth, and momentum trends to underscore strong picks.</t>
  </si>
  <si>
    <t xml:space="preserve">           1y Target Est                       86.06
           52 Week Range               58.03 - 80.10
                     Ask                  0.00 x 800
             Avg. Volume                   1160390.0
       Beta (5Y Monthly)                         1.5
                     Bid                  0.00 x 800
             Day's Range               75.12 - 76.28
               EPS (TTM)                        4.35
           Earnings Date Oct 25, 2023 - Oct 30, 2023
        Ex-Dividend Date                Sep 14, 2023
Forward Dividend &amp; Yield                0.08 (0.11%)
              Market Cap                     14.948B
                    Open                       75.94
          PE Ratio (TTM)                       17.35
          Previous Close                        75.6
             Quote Price                   75.470001
                  Volume                    273115.0
    Market Cap (intraday) 14.97B
         Enterprise Value 16.76B
             Trailing P/E  17.38
              Forward P/E  13.24
PEG Ratio (5 yr expected)  11.03
        Price/Sales (ttm)   1.20
         Price/Book (mrq)   2.13
 Enterprise Value/Revenue   1.27
  Enterprise Value/EBITDA  10.75</t>
  </si>
  <si>
    <t>3 Meme Stocks That Could Actually Rebound in Q4
It's the question everybody wants to know: Are meme stocks dead? Well, according to an August report from the Associated Press, apparently not.
Take-Two (TTWO) Up 1.1% Since Last Earnings Report: Can It Continue?
Take-Two (TTWO) reported earnings 30 days ago. What's next for the stock?</t>
  </si>
  <si>
    <t xml:space="preserve">           1y Target Est                      154.48
           52 Week Range              90.00 - 153.84
                     Ask               144.81 x 1200
             Avg. Volume                   1351798.0
       Beta (5Y Monthly)                        0.69
                     Bid                144.71 x 800
             Day's Range             142.55 - 145.46
               EPS (TTM)                       -7.52
           Earnings Date Nov 06, 2023 - Nov 10, 2023
        Ex-Dividend Date                         NaN
Forward Dividend &amp; Yield                   N/A (N/A)
              Market Cap                     24.566B
                    Open                       142.9
          PE Ratio (TTM)                         NaN
          Previous Close                      142.77
             Quote Price                  144.649994
                  Volume                    260626.0
    Market Cap (intraday) 24.25B
         Enterprise Value 26.85B
             Trailing P/E    NaN
              Forward P/E  46.30
PEG Ratio (5 yr expected)   4.62
        Price/Sales (ttm)   4.34
         Price/Book (mrq)   2.71
 Enterprise Value/Revenue   4.85
  Enterprise Value/EBITDA  46.05</t>
  </si>
  <si>
    <t>The 3 Best Stock Picks for This Week
In August, the US Bureau of Labor Statistics reported United States job and wage growth slowing while unemployment was growing. This is a signal that the Federal Reserve's plan to reduce inflation and avert a recession appears to be working.</t>
  </si>
  <si>
    <t xml:space="preserve">           1y Target Est                      389.43
           52 Week Range             262.11 - 375.84
                     Ask                 0.00 x 1000
             Avg. Volume                    540795.0
       Beta (5Y Monthly)                        1.42
                     Bid                 0.00 x 1300
             Day's Range             283.41 - 287.30
               EPS (TTM)                        5.35
           Earnings Date Oct 30, 2023 - Nov 03, 2023
        Ex-Dividend Date                Aug 25, 2023
Forward Dividend &amp; Yield                1.50 (0.53%)
              Market Cap                      16.51B
                    Open                      286.22
          PE Ratio (TTM)                       53.25
          Previous Close                      284.31
             Quote Price                  284.899994
                  Volume                    145494.0
    Market Cap (intraday) 16.48B
         Enterprise Value 15.97B
             Trailing P/E  52.26
              Forward P/E  32.68
PEG Ratio (5 yr expected)   1.47
        Price/Sales (ttm)  10.61
         Price/Book (mrq)  11.71
 Enterprise Value/Revenue  10.25
  Enterprise Value/EBITDA  28.84</t>
  </si>
  <si>
    <t>CGEMY or PAYX: Which Is the Better Value Stock Right Now?
Investors interested in Outsourcing stocks are likely familiar with Cap Gemini SA (CGEMY) and Paychex (PAYX). But which of these two stocks is more attractive to value investors?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Paychex Announces Efrain Rivera Plans to Retire as CFO
ROCHESTER, N.Y.--(BUSINESS WIRE)--Paychex, Inc., a leading provider of integrated human capital management software solutions for human resources, payroll, benefits, and insurance services, announced today that Efrain Rivera, senior vice president and chief financial officer will retire as CFO, effective October 12th, 2023. Rivera will remain as a senior advisor for the remainder of 2023. Robert L. Schrader, currently vice president of Finance and Investor Relations, will be named senior vice p.
4 Stocks to Benefit from a Blooming Outsourcing Industry
The Zacks Outsourcing industry is expected to prosper with the rising importance of business and IT outsourcing. ADP, PAYX, BR and G are well poised to gain from the prevailing trends.
Here are 19 stocks Jim Cramer is watching, including Chipotle, LULU and Airbnb
Here are some of the tickers on my radar for Tuesday, Sept. 5, taken directly from my reporter's notebook.</t>
  </si>
  <si>
    <t xml:space="preserve">           1y Target Est                      121.09
           52 Week Range             104.09 - 129.70
                     Ask                119.76 x 800
             Avg. Volume                   1843901.0
       Beta (5Y Monthly)                        0.98
                     Bid                119.73 x 800
             Day's Range             119.65 - 120.66
               EPS (TTM)                         4.3
           Earnings Date Sep 26, 2023 - Oct 02, 2023
        Ex-Dividend Date                Aug 09, 2023
Forward Dividend &amp; Yield                3.36 (2.79%)
              Market Cap                     43.285B
                    Open                      120.54
          PE Ratio (TTM)                       27.88
          Previous Close                      120.54
             Quote Price                  119.900002
                  Volume                    233356.0
    Market Cap (intraday) 43.52B
         Enterprise Value 42.79B
             Trailing P/E  28.03
              Forward P/E  25.71
PEG Ratio (5 yr expected)   3.28
        Price/Sales (ttm)   8.72
         Price/Book (mrq)  12.46
 Enterprise Value/Revenue   8.55
  Enterprise Value/EBITDA  18.92</t>
  </si>
  <si>
    <t>Tesla Has A Big China Problem Threatening Growth
Tesla, Inc. heavily relies on China for its future growth and manufacturing, with the Chinese market accounting for a significant portion of its sales and production. The potential economic slowdown in China, particularly in the real estate industry, could lead to a decline in car sales and negatively impact Tesla's growth. The current valuation of Tesla stock may not be justified given the rising risks and potential slowdown in growth.
Tesla Stock Upgrade Sees FSD Supercomputer Adding A Half-Trillion Dollars In Value
Morgan Stanley analysts believe Tesla's autonomous driving supercomputer can add $500 billion in value to the company.
Tesla's Market Cap Could Rise by $500 Billion
Tesla Inc. (NASDAQ: TSLA) has a market cap of $800 billion.
Tesla's Dojo supercomputer could add $500 billion to value
Tesla Inc (NASDAQ:TSLA)'s Dojo supercomputer could add as much as $500 billion to the company's market value through faster adoption of robotaxis and network services, according to Morgan Stanley (NYSE:MS). Dojo can open up new markets, just like AWS did for Amazon.com Inc (NASDAQ:AMZN), analysts at the investment bank said, upgrading the stock to overweight from equal-weight and raising its 12-month price target to $400 per share from $250.
Tesla 'mystery low-budget model' talk grows again
Speculation is growing again about a release date for Tesla's secrecy-shrouded, low-budget US$25,000 electric car, often referred to as the "mystery model" Elon Musk, chief executive, initially hinted at this game-changing vehicle during Tesla Battery Day in 2020. Reports say the key to its affordability lies in Tesla's groundbreaking 4680 batteries, expected to slash battery costs by over 50%.
Apple Stock Is Rising. Tech Names From Tesla to Nvidia Can Breathe a Sigh of Relief.
Tech stocks tumbled last week, led lower by shares in Apple. But now the tech giant's stock is rising to start a new trading week.
Nasdaq futures advance, Tesla electrified by upgrade
7:00am: Strong start expected in New York, Tesla boosted by upgrade US stocks are expected to start the week on the front foot as reports indicated the Federal Reserve would leave interest rates unchanged at its next meeting while Tesla rose after an upgrade by Morgan Stanley (NYSE:MS). In pre-market trading, futures for the Dow Jones Industrial Average were 0.2% higher, while those for the S&amp;P 500 rose 0.4%, and contracts for the Nasdaq 100 futures were up 0.6%.
Tesla Gains in Premarket as Analysts Say Dojo Offers Asymmetric Advantage
Tesla's shares edged higher in market pre-open on Monday after Morgan Stanley analysts hiked their price target on the stock, citing bullishness on the company's recently launched supercomputer Dojo.
Hostess Brands shares rally on deal news and Tesla stock is up on an upgrade, and more moving stocks
Shares of Hostess Brands Inc. TWNK, +0.86% jumped more than 10% after The Wall Street Journal reported late Sunday that J.M. Smucker Co. SJM, +0.88% is close to a roughly $4 billion deal to acquire the snack maker.
Tesla shares climb 5.8% after Morgan Stanley upgrades to buy, citing AI prowess via ‘Dojo'
Shares of Tesla Inc. TSLA climbed 5.8% in premarket trading on Monday after Morgan Stanley lifted the electronic-vehicle maker to buy from hold.
The 3 Best Battery Stocks to Buy Now: September 2023
Lithium is a key component of batteries for electric vehicles (EVs), which are expected to see a surge in demand in the coming years. However, lithium prices have been volatile in the past year, causing the best battery stocks to reach record highs in late 2022 before falling sharply in early 2023 due to oversupply and weak demand from China, the world's largest EV market.
Tesla supercomputer could boost EV maker's market cap by $600 bln -Morgan Stanley
Tesla's supercomputer, Dojo, to train AI models for autonomous cars could give the electric vehicle maker an "asymmetric advantage" and boost its market capitalization by nearly $600 billion, or 76%, Morgan Stanley estimated.
Tesla Catches an Upgrade. It's an AI Stock.
Morgan Stanley analyst Adam Jonas upgraded shares of Tesla to Buy from Hold, Sunday. His price target went to a Street high of $400 a share.
Bill Gates thought Elon Musk became 'super mean' after finding out Gates shorted Tesla stock
Musk shot down Gates' attempts to talk about giving to charity after Gates shorted Tesla stock. "He was super mean to me, but he's super mean to so many people, so you can't take it too personally," Gates said about Musk.
Electric Vehicle Industry's Future Could Unseat Tesla &amp; BYD
The transportation "majors" are making their inroads into the multiyear shift to electric
Spotting the Sweet Spot: When to Dive Into TSLA Stock for Maximum Gains
For the long term, I like the growth prospects of electric vehicle (EV) manufacturer Tesla (NASDAQ: TSLA ). However, financial traders need to time their entry points carefully with TSLA stock.
Up 104% YTD, Has Tesla Stock Run Too Far Too Fast?
Tesla stock sold off too much last year. Despite the stock's massive run-up, Tesla looks like a good buy.
Tesla Stock's Sky-High Valuation Might Make Sense. VinFast's Doesn't.
There is a reason the market believes Tesla is so valuable, and not other electric-vehicle makers.
Tesla: When There's A Dividend, Count Me In
Before its last stock split in 2022, there were talks of Tesla, Inc. possibly paying a dividend. Although paying a dividend does not seem to be a priority for Tesla, this could be a possibility in the future. Tesla's balance sheet is healthy, with a strong cash balance and low debt, which could support future dividend payments.
'Smart Money' Investors Pour $2 Billion Into Just 5 Stocks
If you're wondering which S&amp;P 500 stocks the best mutual funds are buying — you might be surprised how selective the list is.
China car sales return to growth in Aug, Tesla nearly doubles EV share
China's passenger vehicle sales returned to growth in August from a year earlier, as further price cuts and new tax breaks for electric vehicles and other green cars boosted consumer sentiment, despite the struggling broader economy.
Honda EVs Will Have Tesla Charging Soon
Honda joins Ford, GM, Nissan and Fisker in the wave of electric carmakers converting to Tesla's NACS charging port.
Which of These 3 Growth Stocks Could Yield the Best Returns?
Several growth stocks have rebounded this year on improved investor sentiment, even as macro uncertainty continues to impact businesses. While many experts anticipate the Federal Reserve holding on to interest rates at current levels, based on data revealed by recent economic releases, it is worth noting that inflation still remains above the Fed's target of 2%.
Tesla Chargers Coming to 2,000 Hilton Hotels
Tesla Inc. (TSLA) will install up to 20,000 electric vehicle (EV) chargers at 2,000 Hilton Worldwide Holdings Inc. (HLT) hotels across the U.S., Mexico, and Canada, the companies said Thursday.
Tesla: Overvalued Car Company - Likely To Face Further Margin Deterioration
Tesla, Inc.'s dwindling margins emphasize its identity as an automaker, refuting the claims of staunch supporters that it deserves a different valuation. Tesla begins to face the hurdles of traditional car companies, including supply chain disruptions, cyclical business patterns, and heightened competition. Thorough examination, including both relative and fundamental valuations through an in-depth DCF, exposes Tesla's current share price as unsustainable. Even if we overlook the margin situation, it remains significantly overvalued. Elon Musk's unpredictable actions and statements, particularly on social media, introduce an additional layer of risk. His disregard for shareholder concerns and potential political associations could impact the company's success.
Hilton's Tesla Decision Helps Ease EV Range Anxiety
Hilton is installing 20,000 Tesla chargers at its hotels. They aren't the fast chargers, but it's still good news for Tesla and everyone else selling EVs.
Honda Latest Carmaker To Adopt Tesla's Charging Standards As EV Competition Soars—Here Are The Others
Honda will join a litany of automakers that have given their drivers access to Tesla's growing charger network.
3 EV Stocks That Will Continue to Surge on Rising Gas Prices
Last year was a nightmare for growth stocks. It goes without saying that even EV stocks were not spared.
Honda confirms it will use Tesla's EV charging port from 2025
Honda has confirmed it'll be the latest automaker to adopt Tesla's charger standard, otherwise known as the North American Charging Standard (NACS), which the latter automaker made an official open standard in November of last year.
Tesla to provide Hilton Hotels with 20,000 EV chargers
Hilton Worldwide Holdings Inc (NYSE:HLT), owner of the Hilton hotel chain, announced on Thursday that it is teaming up with Tesla Inc (NASDAQ:TSLA) to install 20,000 universal electrical vehicle (EV) chargers at 2,000 of its hotels in the US, Canada and Mexico.  The hotel group said the partnership would make Hilton's EV charging network the largest of any hospitality company.
Buy Rating For Tesla Ahead Of An Impending Rally
2023's tech rally has cooled, creating opportunities in formerly overbought stocks like Tesla, Inc. Technical indicators show mixed signals, with potential for another bout of selling. Seasonality suggests potential for higher Tesla prices in October and November, but short-term concerns about margins and valuation remain.
Tesla Stock Makes Up Nearly 8% of Cathie Wood's Portfolio, and AI Is a Big Reason for That. Is It a Buy?
Wood's Ark Invest expects Tesla stock to be worth $2,000 by 2027. The investment firm believes robotaxis could generate nearly half of the company's revenue in a few years.
Tesla: A Great Company At A Bad Price
Tesla, Inc. is not a typical car company and should not be viewed as such. Despite a short-term drop in profitability, long-term prospects remain intact. But the valuation is high, pricing in growth assumptions that may be too high even under the most optimistic scenario.
Hilton to install up to 20,000 Tesla Universal Wall Connectors at its hotels, starting early-2024
Shares of Hilton Worldwide Holdings Inc. HLT were indicated up slightly, to buck the broader market selloff, after the hotel operator said it will install up to 20,000 Tesla Universal Wall Connectors at 2,000 hotels in the U.S. The new charging-station installations, which will be begin in early 2024, are part of an expanded agreement with electric vehicle giant Tesla Inc. TSLA Each of the hotels selected for the new chargers will have at least six chargers. Tesla's Universal Wall Connector was designed to seamlessly charge any North American EV model.
Tesla Profit Margins Are Tumbling. TSLA Bulls Insist A Recovery Is Coming, And Soon.
Tesla profit margins have tumbled in 2023 due to price cuts. But bulls see a 2024 recovery.
Tesla to install charging stations at 2,000 Hiltons in North America
The No. 2 request from business travelers, according to Hilton's chief brand officer, is electric vehicle charging stations.
Hilton to Install Up to 20,000 Tesla Universal Wall Connectors at 2,000 Hotels, Creating Largest Overnight Electric Vehicle Charging Network within Hospitality Industry
MCLEAN, Va.--(BUSINESS WIRE)--Through an expanded agreement with Tesla, Hilton today announced that, beginning in early 2024, up to 20,000 Tesla Universal Wall Connectors are slated to be installed at 2,000 hotels in the U.S., Canada and Mexico, making Hilton's planned EV charging network the largest of any hospitality company. With at least six chargers at each of the selected hotels, Hilton will become the first choice for the dramatically increasing number of travelers who drive electric veh.
Tesla Keeps Slashing Prices -- Here's What It Means for the Stock
Can Tesla maintain profits as the price of vehicles drops?
Tesla Bull vs. Bear: Is TSLA Destined for Apple's Glory or GM's Gloom?
The spread between bullish and bearish sentiment on Tesla (NASDAQ: TSLA ) stock is bigger than for any stock ever. Bulls compare it with Apple (NASDAQ: AAPL ), bears with General Motors (NYSE: GM ).
Is Tesla's Operating Margin Headed to 0%?
Tesla's first-mover advantages in the electric-vehicle (EV) industry have allowed it to deliver three consecutive years of profits. The company's pricing strategy is having a deleterious effect on its operating margin -- and that's unlikely to change anytime soon.
Tesla and BYD Are Winning in China. Why Lucid Is Taking Its Time to Join the Race.
BYD is the market leader in China, followed by Tesla, in what has become a two-horse race.
Tesla pushes US appeals court to uphold ban on workers' union t-shirts
A U.S. appeals court panel on Wednesday seemed open to reversing a labor board's ruling that Tesla Inc violated the rights of factory workers by barring them from wearing t-shirts supporting a union campaign.
Tesla suppliers say carmaker expects 2026 or 2027 Mexico production start, Reforma reports
Tesla is eyeing 2026 or 2027 to potentially begin production at a major new factory planned for Mexico, according to a report published in Mexican daily Reforma on Wednesday.
Strike or No Strike, GM, Ford, and Even Tesla Will Pay Rising Labor Costs
A strike or new contract will raise labor costs for General Motors, Ford, and Stellantis, but even nonunion automakers such as Rivian and Tesla are facing increasing wages.
Cathie Wood Says This Stock Is the Biggest AI Play, and It Could Soar 716% to a $6 Trillion Valuation by 2027
Cathie Wood runs Ark Investment Management, and she's extremely bullish on the potential of artificial intelligence (AI). She thinks AI software companies could generate $8 in revenue for every $1 in hardware sold by chip companies like Nvidia.
The 3 Best Auto Stocks to Buy Now: September 2023
The automotive industry remains in transition as automakers around the world shift their production to EVs as they grab for market share. The stakes are high.
Cathie Wood's Ark Invest Is Selling Tesla Stock and Buying 2 Remarkable Fintech Growth Stocks
Ark Invest has trimmed its Tesla position and redeployed in part to fintech companies Block and Adyen. Block simplifies commerce and consumer finance, and the company is taking sensible steps to grow.
Could Tesla Be in Trouble With This Potentially Game-Changing Electric-Vehicle Development?
Toyota plans to introduce electric vehicles with ranges of more than 900 miles and charging times of 10 minutes. The key to the Japanese automaker's strategy is its solid-state battery technology breakthrough.
1 "Magnificent Seven" Stock That's a Screaming Buy in September and 1 to Avoid
Wall Street and investors flock to outperformers, which is why the magnificent seven -- Apple, Microsoft, Alphabet, Amazon, Nvidia, Meta Platforms, and Tesla -- are garnering so much attention. Despite a mammoth move higher this year, one magnificent seven stock is still historically inexpensive.
Tesla's New AI Frontier: Unveiling the Game-Changing Implications of Its Latest Breakthrough
The recent release of FSD v12 will help Tesla close the gap to Level 4 or Level 5 autonomy. Considerable progress remains, but on its current trajectory, Tesla plans on founding a robotaxi business.
Tesla's Shanghai factory hits 2 mln car production milestone
Tesla's Shanghai factory achieved on Wednesday the milestone of 2 million cars produced, according to the company's WeChat account.
Tesla Shares Surge After China-Made EV Sales Jumped in August
Tesla (TSLA) was the best-performing stock in the S&amp;P 500 as the electric vehicle (EV) maker boosted sales of vehicles made at its Shanghai plant last month on price cuts and increased production.
Why Tesla Stock Raced Higher Today
Tesla's sales in China rose 31% from July to August. An article in The Wall Street Journal also said the company was the clear leader in the EV charger race.
Is Tesla Stock A Buy Or A Sell After The EV Giant Unveiled Its New Model 3?
Tesla stock performance in 2023 is a big question as Elon Musk bets on the Cybertruck and autonomous driving.
Tesla stock bounces, needs a further 2.8% rally to surpass the bull-market threshold
Shares of Tesla Inc. TSLA, +3.39% ran up 2.7% in morning trading, to buck the broader weakness among the electric vehicle maker's peer group and the stock market. The stock's rally comes after it slumped 5.1% on Friday, following a 19.8% rally over the previous two weeks.
3 Blue-Chip Stocks That Can Consistently Beat Index Returns
I believe it is very important to explore blue-chip stocks if you're an investor looking to beat the market. If we look at the S&amp;P 500 index, the 10-year annualized (price returns) have been healthy at 10.71%.
Tesla: A Strong Buy Supported By Fundamental And Technical Strength
Tesla, Inc.'s Q2 2023 results showed strong revenue growth, despite a dip in operating income and average selling prices. The company's diversification into the Energy and Services sectors contributes to its robust performance. Tesla stock has displayed bullish patterns, and the recent pullback is seen as a good entry point for long-term investors.
Tesla Stock: 8 Reasons To Buy
Tesla, Inc.'s Cybertruck production and sales are expected to generate significant revenue, with an order backlog of 1.9 million units. The production of semi-trailer trucks in 2024 could add another $8 billion in annual revenue. Tesla's revenue growth is projected to be high due to increasing EV sales, potential cost reductions in battery technology, and expansion into new markets like autonomous vehicles and battery chargers.
Tesla sues Chinese firm over tech secret infringement -Chinese state media
Tesla Shanghai has sued a Chinese firm over tech secret infringement and unfair competition disputes, Shanghai Securities Journal reported on Tuesday.</t>
  </si>
  <si>
    <t xml:space="preserve">           1y Target Est                      239.82
           52 Week Range             101.81 - 313.80
                     Ask               271.87 x 1400
             Avg. Volume                 125584417.0
       Beta (5Y Monthly)                        2.09
                     Bid               271.83 x 1800
             Day's Range             260.61 - 272.53
               EPS (TTM)                         3.5
           Earnings Date Oct 17, 2023 - Oct 23, 2023
        Ex-Dividend Date                         NaN
Forward Dividend &amp; Yield                   N/A (N/A)
              Market Cap                     862.31B
                    Open                      264.27
          PE Ratio (TTM)                       77.62
          Previous Close                       248.5
             Quote Price                      271.75
                  Volume                 103364748.0
    Market Cap (intraday) 788.74B
         Enterprise Value 771.47B
             Trailing P/E   70.80
              Forward P/E   54.64
PEG Ratio (5 yr expected)    2.10
        Price/Sales (ttm)    9.19
         Price/Book (mrq)   15.43
 Enterprise Value/Revenue    8.20
  Enterprise Value/EBITDA   43.72</t>
  </si>
  <si>
    <t>TRV or ALL: Which P&amp;C Insurance Stock Should You Hold Now?
Let's see how Travelers Companies (TRV) and Allstate Corporation (ALL) fare in terms of some of the key metrics.</t>
  </si>
  <si>
    <t xml:space="preserve">           1y Target Est                      192.83
           52 Week Range             149.65 - 194.51
                     Ask                 0.00 x 1300
             Avg. Volume                   1230017.0
       Beta (5Y Monthly)                        0.61
                     Bid                  0.00 x 900
             Day's Range             159.98 - 162.19
               EPS (TTM)                        9.43
           Earnings Date Oct 17, 2023 - Oct 23, 2023
        Ex-Dividend Date                Sep 07, 2023
Forward Dividend &amp; Yield                4.00 (2.50%)
              Market Cap                     36.848B
                    Open                       160.1
          PE Ratio (TTM)                       17.07
          Previous Close                      159.89
             Quote Price                  160.949997
                  Volume                    233035.0
    Market Cap (intraday) 36.61B
         Enterprise Value 44.03B
             Trailing P/E  16.96
              Forward P/E   9.41
PEG Ratio (5 yr expected)   0.58
        Price/Sales (ttm)   0.97
         Price/Book (mrq)   1.67
 Enterprise Value/Revenue   1.14
  Enterprise Value/EBITDA    NaN</t>
  </si>
  <si>
    <t>Reasons to Hold Principal Financial (PFG) Stock Right Now
Principal Financial (PFG) stands to gain from strong retention and employment growth, higher single premium annuity sales and a solid capital position.
Regional banks facing credit losses for commercial real estate: Moody's study
A survey of commercial real estate exposure by U.S. regional banks reveals increasing asset risk and potential credit losses as loans mature over the next 18 months, Moody's Investors Service said.</t>
  </si>
  <si>
    <t>Principal Financial Group</t>
  </si>
  <si>
    <t xml:space="preserve">           1y Target Est         77.69
           52 Week Range 65.17 - 96.17
                     Ask   75.41 x 800
             Avg. Volume     1051779.0
       Beta (5Y Monthly)          1.31
                     Bid   75.37 x 900
             Day's Range 75.29 - 76.34
               EPS (TTM)          6.56
           Earnings Date  Oct 26, 2023
        Ex-Dividend Date  Sep 06, 2023
Forward Dividend &amp; Yield  2.60 (3.45%)
              Market Cap       18.271B
                    Open         75.75
          PE Ratio (TTM)         11.52
          Previous Close         75.38
             Quote Price     75.589996
                  Volume      213779.0
    Market Cap (intraday) 18.22B
         Enterprise Value 18.17B
             Trailing P/E  11.49
              Forward P/E   9.79
PEG Ratio (5 yr expected)    NaN
        Price/Sales (ttm)   1.33
         Price/Book (mrq)   1.76
 Enterprise Value/Revenue   1.06
  Enterprise Value/EBITDA    NaN</t>
  </si>
  <si>
    <t>Parker Scheduled to Present at the Morgan Stanley Annual Laguna Conference on September 13 at 9:55 a.m. Pacific Time (12:55 p.m.
CLEVELAND, Sept. 06, 2023 (GLOBE NEWSWIRE) -- Parker Hannifin Corporation (NYSE: PH), the global leader in motion and control technologies, today announced that it is scheduled to present at the Morgan Stanley Annual Laguna Conference in Dana Point, California on September 13, 2023 at 9:55 a.m. Pacific time (12:55 p.m. Eastern time).
Parker Elects Denise Russell Fleming to its Board of Directors
CLEVELAND, Sept. 05, 2023 (GLOBE NEWSWIRE) -- Parker Hannifin Corporation (NYSE: PH), the global leader in motion and control technologies, today announced the election of Denise Russell Fleming to its Board of Directors, effective September 1, 2023.</t>
  </si>
  <si>
    <t>Parker Hannifin</t>
  </si>
  <si>
    <t xml:space="preserve">           1y Target Est          444.73
           52 Week Range 235.69 - 428.16
                     Ask      0.00 x 800
             Avg. Volume        705995.0
       Beta (5Y Monthly)            1.52
                     Bid      0.00 x 900
             Day's Range 403.09 - 413.59
               EPS (TTM)           16.04
           Earnings Date    Nov 02, 2023
        Ex-Dividend Date    Aug 25, 2023
Forward Dividend &amp; Yield    5.92 (1.45%)
              Market Cap          52.07B
                    Open          411.91
          PE Ratio (TTM)           25.28
          Previous Close           409.2
             Quote Price      405.429993
                  Volume        189547.0
    Market Cap (intraday) 52.55B
         Enterprise Value 64.63B
             Trailing P/E  25.51
              Forward P/E  17.86
PEG Ratio (5 yr expected)   2.06
        Price/Sales (ttm)   2.79
         Price/Book (mrq)   5.09
 Enterprise Value/Revenue   3.39
  Enterprise Value/EBITDA  15.87</t>
  </si>
  <si>
    <t>Dividend Kings With the Highest Yield: 6 High Yields in 5 Minutes
Dividend Kings are attractive for risk-averse income investors and many other investment strategies. They have sustained and sustainable dividend growth and a relatively high yield compared to the average S&amp;P 500 company.
3 Stocks to Sell in September Before They Crash &amp; Burn
As companies boast robust earnings, pioneer breakthrough technologies and cement a loyal customer base, excitement over their future potential skyrockets. However, as they evolve — sometimes for the worse — businesses become obvious stocks to sell.
Investors Heavily Search Target Corporation (TGT): Here is What You Need to Know
Target (TGT) has received quite a bit of attention from Zacks.com users lately. Therefore, it is wise to be aware of the facts that can impact the stock's prospects.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7 Blue-Chip Stocks to Buy for a Market Pullback
After a blistering first half of the year, the outlook for the stock market has gotten murky. All three major U.S. indices declined in August, with the Dow Jones Industrial Average falling 2.4%, the Nasdaq losing 2.2%, and the benchmark S&amp;P 500 sliding 1.7%.
These Quality Dividend Kings Grow their Dividends the Fastest
Dividend growth is critical for high-quality buy-and-hold stocks. Dividends attract buy-and-hold investors, but the distribution growth keeps them there.
Tuttle Capital files for an ETF shorting Disney, Target and Bud Light stocks
With all the recent controversies surrounding companies like Disney, Target and Bud Light, one financial firm decided to take the matter into its own hands — and file for an ETF.
5 Ways to Play Retail that will Profit in 2023
The takeaway from Q2 earnings results for the retail sector is that consumer habits have changed. Once flush with stimulus cash and little to do but spend it, the consumer buys less discretionary items in favor of everyday items like food, health, and personal grooming.</t>
  </si>
  <si>
    <t xml:space="preserve">           1y Target Est          150.75
           52 Week Range 120.75 - 181.70
                     Ask      0.00 x 800
             Avg. Volume       5380259.0
       Beta (5Y Monthly)            1.01
                     Bid     0.00 x 1100
             Day's Range 122.58 - 124.61
               EPS (TTM)            7.29
           Earnings Date    Nov 15, 2023
        Ex-Dividend Date    Aug 15, 2023
Forward Dividend &amp; Yield    4.34 (3.51%)
              Market Cap         56.722B
                    Open          124.35
          PE Ratio (TTM)           16.86
          Previous Close          123.69
             Quote Price      122.880501
                  Volume       1019793.0
    Market Cap (intraday) 57.10B
         Enterprise Value 74.31B
             Trailing P/E  16.97
              Forward P/E  17.45
PEG Ratio (5 yr expected)   1.12
        Price/Sales (ttm)   0.53
         Price/Book (mrq)   4.76
 Enterprise Value/Revenue   0.69
  Enterprise Value/EBITDA   9.92</t>
  </si>
  <si>
    <t>U.S. Bancorp (USB) Rides on Revenue Growth Amid High Costs
A rise in revenues, solid loan and deposit balance and strategic expansion activities are likely to support U.S. Bancorp (USB). However, escalated expenses and lack of diversification in the loan portfolio are concerns.
September Rally? 3 Stocks to Buy Before Liftoff
September is not known as a good month to buy stocks. In fact, historically it's the worst month.
U.S. Bancorp to speak at the Barclays Global Financial Services Conference
MINNEAPOLIS--(BUSINESS WIRE)--U.S. Bancorp to speak at the Barclays Global Financial Services Conference.</t>
  </si>
  <si>
    <t xml:space="preserve">           1y Target Est         43.95
           52 Week Range 27.27 - 49.95
                     Ask   0.00 x 2900
             Avg. Volume    12805720.0
       Beta (5Y Monthly)           1.0
                     Bid    0.00 x 900
             Day's Range 36.14 - 36.70
               EPS (TTM)          3.59
           Earnings Date  Oct 18, 2023
        Ex-Dividend Date  Jun 29, 2023
Forward Dividend &amp; Yield  1.92 (5.32%)
              Market Cap       56.681B
                    Open          36.5
          PE Ratio (TTM)         10.14
          Previous Close         36.11
             Quote Price     36.404999
                  Volume     2715721.0
    Market Cap (intraday) 56.22B
         Enterprise Value    NaN
             Trailing P/E  10.06
              Forward P/E   8.06
PEG Ratio (5 yr expected)   2.34
        Price/Sales (ttm)   2.03
         Price/Book (mrq)   1.22
 Enterprise Value/Revenue    NaN
  Enterprise Value/EBITDA    NaN</t>
  </si>
  <si>
    <t>Agilent Names Philip Binns to Lead Life Sciences and Applied Markets Group
SANTA CLARA, Calif.--(BUSINESS WIRE)--Agilent Technologies, Inc. (NYSE: A) today announced Philip Binns has been named president of the company's Life Sciences and Applied Markets Group (LSAG). Binns previously served as vice president and general manager of the Spectroscopy and Vacuum Solutions Division for LSAG. Binns replaces Jacob Thaysen who left the company effective today. “We're extremely pleased to have someone with Phil's knowledge, experience and proven leadership strengths heading u.</t>
  </si>
  <si>
    <t xml:space="preserve">           1y Target Est                      140.04
           52 Week Range             113.28 - 160.26
                     Ask                  0.00 x 800
             Avg. Volume                   1921972.0
       Beta (5Y Monthly)                        1.03
                     Bid                 0.00 x 1100
             Day's Range             113.28 - 114.39
               EPS (TTM)                        3.82
           Earnings Date Nov 20, 2023 - Nov 24, 2023
        Ex-Dividend Date                Jun 30, 2023
Forward Dividend &amp; Yield                0.90 (0.79%)
              Market Cap                     33.241B
                    Open                      114.29
          PE Ratio (TTM)                       29.74
          Previous Close                      113.99
             Quote Price                  113.610001
                  Volume                    444072.0
    Market Cap (intraday) 33.35B
         Enterprise Value 34.81B
             Trailing P/E  29.84
              Forward P/E  19.68
PEG Ratio (5 yr expected)   2.64
        Price/Sales (ttm)   4.83
         Price/Book (mrq)   6.00
 Enterprise Value/Revenue   4.98
  Enterprise Value/EBITDA  19.87</t>
  </si>
  <si>
    <t>4 Industrial Stocks to Buy as Rate-Hike Fears Subside
Caterpillar (CAT), 3M (MMM), PACCAR (PCAR) and Masco (MAS) are four industrial stocks that can lend solidity to one's portfolio as the Fed continues to go slow on rate hikes.</t>
  </si>
  <si>
    <t xml:space="preserve">           1y Target Est                        66.4
           52 Week Range               42.33 - 63.86
                     Ask                  0.00 x 800
             Avg. Volume                   1710954.0
       Beta (5Y Monthly)                        1.24
                     Bid                  0.00 x 800
             Day's Range               56.58 - 57.38
               EPS (TTM)                        3.55
           Earnings Date Oct 24, 2023 - Oct 30, 2023
        Ex-Dividend Date                Aug 10, 2023
Forward Dividend &amp; Yield                1.14 (2.03%)
              Market Cap                     12.749B
                    Open                       56.95
          PE Ratio (TTM)                       15.97
          Previous Close                       56.23
             Quote Price                       56.68
                  Volume                    505668.0
    Market Cap (intraday) 12.65B
         Enterprise Value 15.54B
             Trailing P/E  15.84
              Forward P/E  14.58
PEG Ratio (5 yr expected)   2.02
        Price/Sales (ttm)   1.55
         Price/Book (mrq)    NaN
 Enterprise Value/Revenue   1.89
  Enterprise Value/EBITDA  12.55</t>
  </si>
  <si>
    <t>Eversource Energy Closes on the Sale of Uncommitted Offshore Lease Area
BOSTON &amp; HARTFORD, Conn.--(BUSINESS WIRE)--Eversource completed the sale a lease of about 175,000 acres off the coast of Massachusetts to Ørsted for $625 million in an all-cash transaction.</t>
  </si>
  <si>
    <t xml:space="preserve">           1y Target Est                       79.64
           52 Week Range               60.37 - 92.80
                     Ask                  0.00 x 900
             Avg. Volume                   2075266.0
       Beta (5Y Monthly)                         0.5
                     Bid                  0.00 x 800
             Day's Range               62.03 - 62.69
               EPS (TTM)                        3.37
           Earnings Date Oct 31, 2023 - Nov 06, 2023
        Ex-Dividend Date                May 17, 2023
Forward Dividend &amp; Yield                2.70 (4.35%)
              Market Cap                     21.731B
                    Open                       62.04
          PE Ratio (TTM)                       18.47
          Previous Close                       62.08
             Quote Price                       62.25
                  Volume                    479782.0
    Market Cap (intraday) 21.67B
         Enterprise Value 46.45B
             Trailing P/E  18.42
              Forward P/E  13.35
PEG Ratio (5 yr expected)   2.09
        Price/Sales (ttm)   1.71
         Price/Book (mrq)   1.39
 Enterprise Value/Revenue   3.67
  Enterprise Value/EBITDA  13.49</t>
  </si>
  <si>
    <t>Caesars Entertainment (CZR) Opens Retail Sportsbook in Kentucky
Caesars Entertainment (CZR) launches its retail sportsbook, Caesars Sportsbook, in Kentucky, in collaboration with Red Mile Gaming &amp; Racing and Keeneland.
Caesars Sportsbook Opens at Red Mile Gaming &amp; Racing in Lexington
LEXINGTON, Ky.--(BUSINESS WIRE)--Caesars Entertainment, Inc. (NASDAQ: CZR) (“Caesars”) – in partnership with Keeneland and Red Mile Gaming &amp; Racing – celebrated the grand opening of Caesars Sportsbook at Red Mile earlier today. The more than 4,600-square-foot sportsbook in Lexington is the only retail sportsbook in Central Kentucky. Governor Andy Beshear placed the ceremonial first bet alongside Chairman Jonathan Rabinowitz of the Kentucky Horse Racing Commission, Caesars, Keeneland, and Re.</t>
  </si>
  <si>
    <t xml:space="preserve">           1y Target Est                       73.31
           52 Week Range               31.31 - 60.27
                     Ask                 52.76 x 800
             Avg. Volume                   2513893.0
       Beta (5Y Monthly)                        2.91
                     Bid                 52.76 x 800
             Day's Range               52.61 - 55.71
               EPS (TTM)                        3.26
           Earnings Date Oct 30, 2023 - Nov 03, 2023
        Ex-Dividend Date                         NaN
Forward Dividend &amp; Yield                   N/A (N/A)
              Market Cap                     11.404B
                    Open                       55.49
          PE Ratio (TTM)                       16.25
          Previous Close                       54.95
             Quote Price                   52.970001
                  Volume                   1221164.0
    Market Cap (intraday) 11.83B
         Enterprise Value 23.26B
             Trailing P/E  17.23
              Forward P/E  14.16
PEG Ratio (5 yr expected)    NaN
        Price/Sales (ttm)   1.03
         Price/Book (mrq)   2.60
 Enterprise Value/Revenue   2.04
  Enterprise Value/EBITDA   7.02</t>
  </si>
  <si>
    <t>Is Trending Stock Delta Air Lines, Inc. (DAL) a Buy Now?
Delta (DAL) has been one of the stocks most watched by Zacks.com users lately. So, it is worth exploring what lies ahead for the stock.
Delta Air Lines to Present at the Morgan Stanley Laguna Conference
ATLANTA , Sept. 8, 2023 /PRNewswire/ -- Delta Air Lines (NYSE:DAL) will participate in a fireside chat at the Morgan Stanley Laguna Conference at 11:10 a.m.
Tom Brady works for Delta now. Here's what he'll actually be doing
The former NFL quarterback will be Delta's ‘strategic advisor.' The deal looks a bit different than his other sponsorships.
Tom Brady named Delta Air Lines' strategic advisor, will help develop ‘teamwork tools'
As part of the partnership, Tom Brady will will help build teamwork tools for the airline's 90,000-plus employees.
Airline Investors Have a New Fear. The Stocks Are Falling.
It's clear that the third quarter is still going to be a bumper one, or even a record one, for the airline industry. But investors are worried about the months ahead and they now have another reason to be concerned.
The 3 Best Airline Stocks to Buy Now: September 2023
The airline industry has been one of the hardest hit sectors by the COVID-19 pandemic, as travel restrictions and lockdowns severely reduced the demand for air travel. Many airlines suffered huge losses, cut costs, laid off staff and sought government support to survive the crisis.
Delta (DAL) to Expand in Asia Through Honolulu-Tokyo Route
Delta's (DAL) first service between Haneda and Honolulu, post the relocation of its Tokyo operations from Narita Airport to Haneda in March 2020, is set to begin from Oct 28.</t>
  </si>
  <si>
    <t xml:space="preserve">           1y Target Est                        60.5
           52 Week Range               27.20 - 49.81
                     Ask                 0.00 x 3000
             Avg. Volume                   9923429.0
       Beta (5Y Monthly)                         1.3
                     Bid                 0.00 x 1200
             Day's Range               40.74 - 41.19
               EPS (TTM)                        4.62
           Earnings Date Oct 11, 2023 - Oct 16, 2023
        Ex-Dividend Date                Jul 14, 2023
Forward Dividend &amp; Yield                0.40 (0.98%)
              Market Cap                     26.358B
                    Open                        41.1
          PE Ratio (TTM)                        8.87
          Previous Close                       40.82
             Quote Price                      40.965
                  Volume                   1919813.0
    Market Cap (intraday) 26.26B
         Enterprise Value 47.78B
             Trailing P/E   8.76
              Forward P/E   5.44
PEG Ratio (5 yr expected)   0.26
        Price/Sales (ttm)   0.47
         Price/Book (mrq)   3.24
 Enterprise Value/Revenue   0.86
  Enterprise Value/EBITDA   9.94</t>
  </si>
  <si>
    <t>Why You Should Retain DuPont (DD) Stock in Your Portfolio
DuPont (DD) gains on its focus on growth though innovation, the Spectrum Plastics acquisition and pricing and productivity actions amid headwinds from sluggishness in some markets.
DuPont (DD) to Repurchase $2B Stock in New ASR Transaction
DuPont (DD) completes a $3.25 billion accelerated share repurchase transaction and announces a new $2 billion ASR transaction.
DuPont Names Recipients of 2023 Lavoisier Medal and Pedersen Award
Four DuPont scientists and engineers honored for their groundbreaking innovations and achievements WILMINGTON, Del., Sept. 7, 2023 /PRNewswire/ -- DuPont (NYSE:DD) today announced the recipients of the company's 2023 Lavoisier Medal for Lifetime Technical Achievement and the prestigious Pedersen Award.
DuPont Completes $3.25 Billion Accelerated Share Repurchase Transaction; Launches New $2 Billion Accelerated Share Repurchase Transaction
WILMINGTON, Del. , Sept. 6, 2023 /PRNewswire/ -- DuPont (NYSE: DD) today announced completion of the $3.25 billion accelerated share repurchase transaction launched last November (the "$3.25B ASR transaction").
DuPont (DD) Announces Strategic Collaboration with YMT in Korea
The partnership combines DuPont's (DD) knowledge in circuit imaging materials with YMT's local network, allowing them to best serve local customer needs.
duPont REGISTRY Announces Luxury Automotive Investment Platform, duPont REGISTRY Invest
MIAMI &amp; NEW YORK--(BUSINESS WIRE)--Leveraging nearly 40 years of its iconic high-end vehicle legacy, duPont REGISTRY today announced its duPont REGISTRY Invest platform. Aspirational enthusiasts and investors can experience the thrill of premium automobile collecting by buying fractional shares in investment vehicles that own individual rare, high-end collector cars. Investment activities will be enabled through a joint venture with Rally, the investment platform that pioneered fractional equit.
DuPont Announces Strategic Collaboration with YMT to Enhance Riston® Dry Film Photoresist Distribution and Service in Korea
SEOUL, South Korea , Sept. 5, 2023 /PRNewswire/ -- DuPont Interconnect Solutions (DuPont) today announced that it entered into a strategic collaboration relationship with YMT, a Korean printed circuit board (PCB) materials manufacturer listed on the KOSDAQ exchange.</t>
  </si>
  <si>
    <t xml:space="preserve">           1y Target Est                       91.78
           52 Week Range               49.52 - 78.74
                     Ask                  0.00 x 900
             Avg. Volume                   2821985.0
       Beta (5Y Monthly)                        1.24
                     Bid                  0.00 x 900
             Day's Range               75.68 - 76.42
               EPS (TTM)                        2.03
           Earnings Date Nov 06, 2023 - Nov 10, 2023
        Ex-Dividend Date                Jul 28, 2023
Forward Dividend &amp; Yield                1.44 (1.91%)
              Market Cap                      34.76B
                    Open                       75.97
          PE Ratio (TTM)                        37.3
          Previous Close                       75.41
             Quote Price                   75.720001
                  Volume                    461459.0
    Market Cap (intraday) 34.62B
         Enterprise Value 37.74B
             Trailing P/E  37.15
              Forward P/E  18.15
PEG Ratio (5 yr expected)    NaN
        Price/Sales (ttm)   2.85
         Price/Book (mrq)   1.33
 Enterprise Value/Revenue   3.01
  Enterprise Value/EBITDA  12.55</t>
  </si>
  <si>
    <t>3 Warren Buffett Stocks to Buy for the Next Bull Market
Buffett took positions in homebuilding companies D.R. Horton, Lennar, and NVR.
The 3 Best Homebuilder Stocks to Buy Now: September 2023
Despite mortgage rates that are at 8% in some areas of the country, the housing market remains relatively strong. While some investors will dismiss investing in the sector as reckless speculation, Warren Buffett is buying the sector.
D.R. Horton's Strong Market Position and Brand Recognition Pique Buffett's Interest
Berkshire Hathaway Inc. ( BRK.A , Financial) (BKR.B), one of the largest and most successful investment companies in the world, has recently made some interesting new additions to its portfolio. These new holdings present exciting opportunities for the company and showcase its continued strategic investment decisions.
D.R. Horton: Invest In Value Like Buffett
Warren Buffett is investing in US homebuilders due to apparent secular tailwinds for the industry. D.R. Horton is the largest homebuilding company in the US, well-positioned to absorb these tailwinds. The company's financial performance has been strong, with consistent revenue growth and improved profitability metrics.
3 Homebuilder Stocks to Sell in September Before They Crash &amp; Burn
The issue with following popular stocks is that we buy high and hope to sell higher later. That goes against the common sense approach of buying stocks cheap and selling on the rebound.
Builder Stocks Are Falling. Blame the Treasury Yield.
The gain in the 10-year Treasury yield signals more increases in mortgage rates, which have remained high this year relative to their historic lows earlier in the pandemic.</t>
  </si>
  <si>
    <t xml:space="preserve">           1y Target Est                      143.33
           52 Week Range              66.01 - 132.30
                     Ask                 0.00 x 1300
             Avg. Volume                   3008646.0
       Beta (5Y Monthly)                        1.55
                     Bid                 0.00 x 1300
             Day's Range             117.11 - 119.73
               EPS (TTM)                       14.05
           Earnings Date Nov 07, 2023 - Nov 13, 2023
        Ex-Dividend Date                Aug 04, 2023
Forward Dividend &amp; Yield                1.00 (0.85%)
              Market Cap                      39.99B
                    Open                      117.51
          PE Ratio (TTM)                        8.41
          Previous Close                      117.31
             Quote Price                  118.209999
                  Volume                    485108.0
    Market Cap (intraday) 39.69B
         Enterprise Value 42.46B
             Trailing P/E   8.35
              Forward P/E   9.03
PEG Ratio (5 yr expected)   0.67
        Price/Sales (ttm)   1.17
         Price/Book (mrq)   1.83
 Enterprise Value/Revenue   1.23
  Enterprise Value/EBITDA   6.74</t>
  </si>
  <si>
    <t>DOW to Launch Silicone Coatings, Adhesives at Labelexpo Europe
DOW will launch SYL-OFF Protect, a carbon-neutral variety of SYL-OFF Silicone Release Coatings, as part of its commitment to delivering a sustainable future worldwide.
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Dow (DOW) and Qifan Cable Partner for Offshore Wind Power
Dow (DOW) and Qifan Cable partner to develop innovative submarine cable technology to support the growth of offshore wind power.</t>
  </si>
  <si>
    <t xml:space="preserve">           1y Target Est         56.21
           52 Week Range 42.91 - 60.88
                     Ask   0.00 x 2900
             Avg. Volume     4373140.0
       Beta (5Y Monthly)          1.33
                     Bid   0.00 x 1100
             Day's Range 53.66 - 54.89
               EPS (TTM)          2.45
           Earnings Date  Oct 24, 2023
        Ex-Dividend Date  Aug 30, 2023
Forward Dividend &amp; Yield  2.80 (5.18%)
              Market Cap       37.755B
                    Open         54.14
          PE Ratio (TTM)         21.92
          Previous Close         53.71
             Quote Price     53.700001
                  Volume     1350885.0
    Market Cap (intraday) 37.76B
         Enterprise Value 51.14B
             Trailing P/E  21.92
              Forward P/E  12.85
PEG Ratio (5 yr expected)   3.63
        Price/Sales (ttm)   0.78
         Price/Book (mrq)   1.89
 Enterprise Value/Revenue   1.04
  Enterprise Value/EBITDA   8.87</t>
  </si>
  <si>
    <t>September Rally? 3 Utilities Stocks to Buy Before Liftoff
Investing in the best utility stocks might emerge as a remarkably steady choice in a constantly evolving market environment. Undeniably, utilities are the unsung maestros, orchestrating a seamless flow of electricity, natural gas, and water to our homes.
Why Is Duke Energy (DUK) Down 5.7% Since Last Earnings Report?
Duke Energy (DUK) reported earnings 30 days ago. What's next for the stock?
Duke Energy Florida's smart-thinking grid enables rapid power restoration during Hurricane Idalia
Advanced automated technology prevented more than 17,000 outages during powerful storm ST. PETERSBURG, Fla.</t>
  </si>
  <si>
    <t xml:space="preserve">           1y Target Est                      101.06
           52 Week Range              83.76 - 111.26
                     Ask                  0.00 x 800
             Avg. Volume                   2863053.0
       Beta (5Y Monthly)                        0.44
                     Bid                  0.00 x 800
             Day's Range               90.73 - 92.34
               EPS (TTM)                        4.67
           Earnings Date Nov 02, 2023 - Nov 06, 2023
        Ex-Dividend Date                Aug 17, 2023
Forward Dividend &amp; Yield                4.04 (4.44%)
              Market Cap                     70.751B
                    Open                       90.85
          PE Ratio (TTM)                       19.66
          Previous Close                       91.02
             Quote Price                   91.800003
                  Volume                   1121058.0
    Market Cap (intraday)  70.15B
         Enterprise Value 150.55B
             Trailing P/E   19.49
              Forward P/E   15.24
PEG Ratio (5 yr expected)    2.50
        Price/Sales (ttm)    2.42
         Price/Book (mrq)    1.51
 Enterprise Value/Revenue    5.18
  Enterprise Value/EBITDA   11.79</t>
  </si>
  <si>
    <t>Here is What to Know Beyond Why Marriott International, Inc. (MAR) is a Trending Stock
Zacks.com users have recently been watching Marriott (MAR) quite a bit. Thus, it is worth knowing the facts that could determine the stock's prospects.
Southern Charm! MCR Acquires the Courtyard by Marriott North Charleston
NEW YORK--(BUSINESS WIRE)--MCR — the country's 3rd-largest hotel owner-operator — has acquired the Courtyard by Marriott North Charleston, a four-story hotel with 138 rooms in North Charleston, South Carolina. The hotel was purchased with acquisition financing in place and is MCR's fourth hotel in The Palmetto State. Opened in 2019, the hotel is located 10 minutes from Charleston International Airport and 20 minutes from beautiful Downtown Charleston. With strong leisure demand driven by nearby.
5 Stocks to Add to Your Portfolio on Soaring Consumer Spending
Consumer discretionary stocks like Alto Ingredients, Inc. (ALTO), Hilton Grand Vacations Inc. (HGV), Marriott International, Inc. (MAR), Royal Caribbean Cruises Ltd. (RCL) and OneSpaWorld Holdings Limited (OSW) are likely to benefit from the rise in consumer spending.</t>
  </si>
  <si>
    <t xml:space="preserve">           1y Target Est                      204.99
           52 Week Range             135.90 - 210.98
                     Ask                204.02 x 800
             Avg. Volume                   2028651.0
       Beta (5Y Monthly)                        1.59
                     Bid               203.91 x 1100
             Day's Range             203.63 - 208.23
               EPS (TTM)                        8.85
           Earnings Date Nov 01, 2023 - Nov 06, 2023
        Ex-Dividend Date                Aug 16, 2023
Forward Dividend &amp; Yield                2.08 (1.01%)
              Market Cap                      60.92B
                    Open                      206.88
          PE Ratio (TTM)                       23.08
          Previous Close                      205.45
             Quote Price                  204.264999
                  Volume                    660016.0
    Market Cap (intraday) 61.27B
         Enterprise Value 73.01B
             Trailing P/E  23.21
              Forward P/E  21.69
PEG Ratio (5 yr expected)   1.23
        Price/Sales (ttm)   2.82
         Price/Book (mrq)    NaN
 Enterprise Value/Revenue   3.18
  Enterprise Value/EBITDA  16.88</t>
  </si>
  <si>
    <t>8 Dividend Aristocrat Stocks to Buy Now With a Recession (and Inflation) Looming Large in 2024
We follow the bond market closely at 24/7 Wall St., and for almost a year now there has been an inversion (or difference in yield) between the two-year Treasury paper and the benchmark 10-year note.
Here are 19 stocks Jim Cramer is watching, including Chipotle, LULU and Airbnb
Here are some of the tickers on my radar for Tuesday, Sept. 5, taken directly from my reporter's notebook.</t>
  </si>
  <si>
    <t xml:space="preserve">           1y Target Est                       87.93
           52 Week Range              78.10 - 102.21
                     Ask                 0.00 x 1000
             Avg. Volume                   1756422.0
       Beta (5Y Monthly)                        0.37
                     Bid                  0.00 x 800
             Day's Range               88.82 - 89.80
               EPS (TTM)                        6.97
           Earnings Date Nov 01, 2023 - Nov 06, 2023
        Ex-Dividend Date                Aug 15, 2023
Forward Dividend &amp; Yield                3.24 (3.63%)
              Market Cap                     30.857B
                    Open                       88.64
          PE Ratio (TTM)                       12.84
          Previous Close                       89.25
             Quote Price                   89.459999
                  Volume                    372440.0
    Market Cap (intraday) 30.78B
         Enterprise Value 52.66B
             Trailing P/E  12.80
              Forward P/E  17.01
PEG Ratio (5 yr expected)   2.56
        Price/Sales (ttm)   2.03
         Price/Book (mrq)   1.48
 Enterprise Value/Revenue   3.29
  Enterprise Value/EBITDA   8.68</t>
  </si>
  <si>
    <t>Edison International (EIX) to Gain From Long-term Investments
Edison International's (EIX) strategic investment plans to further improve infrastructure and favorable regulatory outcomes are likely to drive its performance.</t>
  </si>
  <si>
    <t>Edison International</t>
  </si>
  <si>
    <t xml:space="preserve">           1y Target Est                       73.75
           52 Week Range               54.45 - 74.92
                     Ask                  0.00 x 800
             Avg. Volume                   1391090.0
       Beta (5Y Monthly)                        0.82
                     Bid                 0.00 x 1100
             Day's Range               69.80 - 70.59
               EPS (TTM)                        2.48
           Earnings Date Oct 30, 2023 - Nov 03, 2023
        Ex-Dividend Date                Sep 28, 2023
Forward Dividend &amp; Yield                2.95 (4.23%)
              Market Cap                     26.825B
                    Open                        70.0
          PE Ratio (TTM)                       28.22
          Previous Close                        69.8
             Quote Price                   69.985497
                  Volume                    307252.0
    Market Cap (intraday) 26.75B
         Enterprise Value 63.25B
             Trailing P/E  28.15
              Forward P/E  13.68
PEG Ratio (5 yr expected)   2.21
        Price/Sales (ttm)   1.56
         Price/Book (mrq)   1.94
 Enterprise Value/Revenue   3.68
  Enterprise Value/EBITDA  11.90</t>
  </si>
  <si>
    <t>Enphase Energy, Inc. (ENPH) is Attracting Investor Attention: Here is What You Should Know
Zacks.com users have recently been watching Enphase Energy (ENPH) quite a bit. Thus, it is worth knowing the facts that could determine the stock's prospects.
These Are the Solar Power Winners and Losers of 2023 So Far
A record amount of solar panels are expected to be installed in the U.S. this year, but the fate of companies in the industry has diverged.
The 3 Best Renewable Energy Stocks to Buy Now: September 2023
Many renewable energy stocks have been trading sideways over the past couple of years. Indeed, that may surprise some investors, considering the initial excitement around this sector and announced government stimulus for green energy.
Down 55%, Is Enphase Stock a Buy Right Now?
Short-term pain for long-term gains.
Enphase Energy: Be Greedy When Others Are Fearful
Enphase Energy stock is massively undervalued and presents a buying opportunity after a significant after-earning price drop. The company's latest earnings report showed strong financial performance, with revenue growth and improved profitability metrics. The macro environment poses challenges, but Enphase is well-positioned for long-term growth due to favorable secular trends and its strong track record of success.
The 7 Best Solar Stocks to Buy Now: September 2023
With its boundless potential, solar power remains at the forefront of renewable energy sources, tapping into the sun's infinite reserves to illuminate homes, electrify businesses, and drive our vehicles forward. Aside from the obvious benefits, solar power shines in its capacity to spark economic growth and job creation.
After A 62% Plunge, Enphase Is Looking Like A Top Solar Pick
Tech stocks have recovered, but that has not stopped Enphase from continuing its plunge from all-time highs. For the first time in many years, Enphase missed on consensus estimates and is now guiding for a decline in revenue in the next quarter. The higher interest rate environment and competition from Tesla pose serious challenges for Enphase's growth.
Enphase Energy: A Solar Power Gem Trading Below Its True Worth
Enphase's primary business revolves around microinverters, which have advantages over string inverters in terms of independent current conversion and longer warranty periods. The microinverter market is valued at $2.8 billion and expected to grow at a rate of 17.8% from 2023 to 2032, indicating potential for Enphase's growth. Enphase has experienced significant revenue growth of 877% since 2017, with strong operating and net income margins, a healthy balance sheet, and robust free cash flow.
3 Explosive Tech Stocks With Triple-Digit Growth Rates
The recent tech selloff has left many high-growth tech stocks trading well below their intrinsic value. While Wall Street remains laser-focused on profits in the near term, I believe the ongoing rally in artificial intelligence has some investors overlooking diamonds in the rough.
Enphase: Poised For A Turnaround
Enphase has capitalized on the growth of the solar industry by focusing on high-quality solar component products. The company has built a strong moat in the MLPE space with its semiconductor-based microinverters, giving it a competitive advantage. Despite challenges and competition, Enphase is well-positioned to capitalize on the growth of distributed energy generation, particularly in rooftop solar.
3 Tumbling Growth Stocks Worth Buying on the Dip
Johnson Controls is a play on corporate commitment to net zero emissions.  Li-Cycle recycles used lithium-ion batteries found in various products.
Enphase: Growing Pains Persist, Spotting One Key Price Level, Shares Undervalued
The Invesco Solar ETF (TAN) is down 20% in 2023, while the S&amp;P 500 is up, highlighting a tough year for solar stocks. Enphase Energy, a major weight in TAN, has seen its stock price cut in half. Despite the challenges, there may be value in Enphase Energy, but attention to momentum and price action is crucial for risk management.
Enphase Energy: Is It Cheap Enough?
Enphase Energy's stock has fallen 51% this year and is now the worst performer in the S&amp;P 500. The company has shown impressive revenue growth, increasing by 879% from 2017 to 2023. Enphase faces challenges from rising interest rates and competition from Tesla, but analysts project continued growth and profitability in the coming years.</t>
  </si>
  <si>
    <t xml:space="preserve">           1y Target Est                      204.17
           52 Week Range             118.14 - 339.92
                     Ask               122.38 x 1000
             Avg. Volume                   3793580.0
       Beta (5Y Monthly)                        1.51
                     Bid                122.26 x 800
             Day's Range             120.30 - 124.14
               EPS (TTM)                        3.88
           Earnings Date Oct 23, 2023 - Oct 27, 2023
        Ex-Dividend Date                         NaN
Forward Dividend &amp; Yield                   N/A (N/A)
              Market Cap                     16.672B
                    Open                      122.29
          PE Ratio (TTM)                       31.51
          Previous Close                      120.23
             Quote Price                  122.270103
                  Volume                   1570184.0
    Market Cap (intraday) 16.39B
         Enterprise Value 15.89B
             Trailing P/E  30.28
              Forward P/E  18.38
PEG Ratio (5 yr expected)   1.22
        Price/Sales (ttm)   6.25
         Price/Book (mrq)  16.86
 Enterprise Value/Revenue   5.68
  Enterprise Value/EBITDA  21.48</t>
  </si>
  <si>
    <t>Is Housing A Falling Knife?
Share prices have fallen, but I still believe in REITs and see potential bargains. Mortgage rates have soared, making homes less affordable. Refinancing 2 years ago resulted in much better rates. I suggest a time machine. Go back in time to September 2021, when I explicitly encouraged my readers to lock in 2.125% mortgage rates.
Essex Property Trust Declares Quarterly Distributions
SAN MATEO, Calif.--(BUSINESS WIRE)--Essex Property Trust, Inc. (NYSE:ESS) announced today that its Board of Directors has declared a regular quarterly cash dividend of $2.31 per common share, payable October 13, 2023 to shareholders of record as of September 29, 2023. About Essex Property Trust, Inc. Essex Property Trust, Inc., an S&amp;P 500 company, is a fully integrated real estate investment trust (REIT) that acquires, develops, redevelops, and manages multifamily residential properties in.
Essex Property Trust to Present at The Bank of America Global Real Estate Conference 2023
SAN MATEO, Calif.--(BUSINESS WIRE)--Essex Property Trust, Inc. (NYSE:ESS) announced today that Angela L. Kleiman, President and CEO, will participate in a roundtable presentation at the 2023 Bank of America Global Real Estate Conference on Tuesday, September 12, 2023, at 2:10 p.m. Eastern Time. To listen to the presentation please visit the webcast link on the Investors section of the Company's website at www.essex.com. An archive of the webcast will be available for ninety days following the e.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t>
  </si>
  <si>
    <t xml:space="preserve">           1y Target Est                      249.79
           52 Week Range             195.03 - 279.96
                     Ask                  0.00 x 800
             Avg. Volume                    406891.0
       Beta (5Y Monthly)                        0.78
                     Bid                  0.00 x 900
             Day's Range             221.77 - 226.17
               EPS (TTM)                         8.2
           Earnings Date Oct 24, 2023 - Oct 30, 2023
        Ex-Dividend Date                Sep 28, 2023
Forward Dividend &amp; Yield                9.24 (4.10%)
              Market Cap                     14.834B
                    Open                      225.67
          PE Ratio (TTM)                       27.23
          Previous Close                      225.29
             Quote Price                  223.259995
                  Volume                    101369.0
    Market Cap (intraday) 14.46B
         Enterprise Value 20.31B
             Trailing P/E  27.44
              Forward P/E  37.74
PEG Ratio (5 yr expected)   2.86
        Price/Sales (ttm)   8.80
         Price/Book (mrq)   2.59
 Enterprise Value/Revenue  12.28
  Enterprise Value/EBITDA  15.54</t>
  </si>
  <si>
    <t>CSX Names Rail Industry Veteran Mike Cory Chief Operating Officer
JACKSONVILLE, Fla., Sept. 08, 2023 (GLOBE NEWSWIRE) -- CSX Corp. (NASDAQ: CSX) announced today the appointment of Mike Cory, a seasoned railroad executive with more than 40 years of operations experience, as the company's executive vice president and chief operating officer.
CSX Corporation (CSX) TD Cowen Global Transportation Conference (Transcript)
CSX Corporation (NASDAQ:CSX ) TD Cowen Global Transportation Conference September 6, 2023 9:10 AM ET Company Participants Joseph Hinrichs - President &amp; CEO Conference Call Participants Jason Seidel - TD Cowen Jason Seidel Good morning, everybody. I'm Jason Seidl.
Riding The Rails Of Profit: CSX Between Strong Tailwinds And Unsustainable Buybacks
Using Warren Buffett's criteria, we take a deep dive into CSX financials to assess its performance in the past decade. Railroads are, in fact, slow moving businesses and need to be understood over a long period of time. We will see why CSX shows a mixed picture, though being one of the most promising bets in the market.</t>
  </si>
  <si>
    <t xml:space="preserve">           1y Target Est                       36.39
           52 Week Range               25.80 - 34.38
                     Ask                 30.07 x 800
             Avg. Volume                  12981119.0
       Beta (5Y Monthly)                        1.22
                     Bid                30.06 x 1000
             Day's Range               30.03 - 30.31
               EPS (TTM)                        1.98
           Earnings Date Oct 18, 2023 - Oct 23, 2023
        Ex-Dividend Date                Aug 30, 2023
Forward Dividend &amp; Yield                0.44 (1.47%)
              Market Cap                      60.31B
                    Open                       30.11
          PE Ratio (TTM)                       15.18
          Previous Close                       29.95
             Quote Price                   30.059999
                  Volume                   4957114.0
    Market Cap (intraday) 60.09B
         Enterprise Value 77.45B
             Trailing P/E  15.13
              Forward P/E  14.53
PEG Ratio (5 yr expected)   2.44
        Price/Sales (ttm)   4.13
         Price/Book (mrq)   4.90
 Enterprise Value/Revenue   5.15
  Enterprise Value/EBITDA  10.05</t>
  </si>
  <si>
    <t>ITGR vs. EW: Which Stock Is the Better Value Option?
Investors interested in Medical - Instruments stocks are likely familiar with Integer (ITGR) and Edwards Lifesciences (EW). But which of these two stocks is more attractive to value investors?</t>
  </si>
  <si>
    <t xml:space="preserve">           1y Target Est                       96.74
           52 Week Range               67.13 - 98.35
                     Ask                  0.00 x 900
             Avg. Volume                   3230962.0
       Beta (5Y Monthly)                        1.03
                     Bid                 0.00 x 1000
             Day's Range               73.99 - 75.27
               EPS (TTM)                         2.2
           Earnings Date Oct 25, 2023 - Oct 30, 2023
        Ex-Dividend Date                         NaN
Forward Dividend &amp; Yield                   N/A (N/A)
              Market Cap                     45.752B
                    Open                       74.01
          PE Ratio (TTM)                       34.21
          Previous Close                       74.07
             Quote Price                   75.260002
                  Volume                   1074195.0
    Market Cap (intraday) 45.03B
         Enterprise Value 44.20B
             Trailing P/E  32.77
              Forward P/E  26.39
PEG Ratio (5 yr expected)   4.36
        Price/Sales (ttm)   8.06
         Price/Book (mrq)   7.06
 Enterprise Value/Revenue   7.81
  Enterprise Value/EBITDA  23.00</t>
  </si>
  <si>
    <t>REIT Meltdown: 3 Rarely Discounted Buying Opportunities
REITs are reviled and shunned by the market, having lost ~30% of their value since the beginning of 2022. Higher interest rates along with negative sentiment from office properties' particular troubles have created a perfect storm for public real estate stocks. But historically, REITs have outperformed every other stock sector in the years after a drawdown this severe.
1 REIT To Sell And 1 REIT To Buy
There are 100s of REITs out there. Being selective is very important. I present one REIT to sell and another one to buy in the same sector.
Real Estate In Turmoil: 3 Top-Tier, High-Yielding REITs We're Buying
Commercial real estate market is facing serious challenges, including pressure on prices and rising interest rates. Regional banks in the US are at risk due to their exposure to trillions of dollars in loans and investments in commercial real estate. Despite the market downturn, there are three stocks worth considering: Extra Space Storage, Alexandria Real Estate, and NNN REIT, all of which have strong financials and attractive dividends.
Janus International Group and Extra Space to Expand Implementation of Nokē™ Smart Entry System
TEMPLE, Ga.--(BUSINESS WIRE)--Janus International Group, Inc (NYSE: JBI) (“Janus” or the “Company”), a leading provider of cutting-edge access control technologies and building product solutions for self-storage and other commercial and industrial sectors, today announced Extra Space Storage, Inc. (NYSE: EXR) (“Extra Space”), intends to expand its install base of Janus's award-winning Nokē digital access products across more than 400 additional facilities with the Nokē Screen over the course of.
Extra Space Storage: I Buy Shares Each Month
Extra Space Storage is a company that provides self-storage facilities for individuals and businesses. The company has seen a significant increase in demand for storage units during the COVID-19 pandemic. Due to the good operating business development and the current undervaluation, Extra Space Storage offers an excellent buying opportunity.
Extra Space Storage: Yielding 5%, May Be My Favorite REIT
The self-storage industry, including Extra Space Storage, faces challenges amid rising interest rates and changing demand, but remains resilient due to strong fundamentals. Extra Space Storage is a standout player in the industry, with a diversified portfolio and a history of robust growth in core FFO and dividends. Despite short-term headwinds, EXR presents a compelling long-term investment opportunity, trading at a reasonable valuation with the potential for capital gains and income growth.</t>
  </si>
  <si>
    <t xml:space="preserve">           1y Target Est                      156.92
           52 Week Range             123.67 - 202.28
                     Ask                  0.00 x 800
             Avg. Volume                   2008991.0
       Beta (5Y Monthly)                        0.57
                     Bid                 0.00 x 1000
             Day's Range             125.52 - 127.14
               EPS (TTM)                        6.12
           Earnings Date Oct 30, 2023 - Nov 03, 2023
        Ex-Dividend Date                Sep 14, 2023
Forward Dividend &amp; Yield                2.44 (1.93%)
              Market Cap                     27.531B
                    Open                      126.55
          PE Ratio (TTM)                       20.59
          Previous Close                      126.39
             Quote Price                  126.004997
                  Volume                    217277.0
    Market Cap (intraday) 26.70B
         Enterprise Value 34.37B
             Trailing P/E  20.65
              Forward P/E  15.17
PEG Ratio (5 yr expected)   8.78
        Price/Sales (ttm)   8.92
         Price/Book (mrq)   8.20
 Enterprise Value/Revenue  17.02
  Enterprise Value/EBITDA  22.81</t>
  </si>
  <si>
    <t>Freeport-McMoRan Inc. (FCX) Jefferies 2023 Industrials Conference (Transcript)
Freeport-McMoRan Inc. (NYSE:FCX ) Jefferies 2023 Industrials Conference Call September 7, 2023 2:30 PM ET Company Participants Richard Adkerson - Chairman &amp; Chief Executive Officer Conference Call Participants Christopher LaFemina - Jefferies Christopher LaFemina All right, everybody. Thank you for attending this afternoon session.
Is Freeport-McMoRan Stock a Buy?
Demand for copper is traditionally seen as being a function of global growth. China remains a pivotal player in global demand, but it's far from the only one.</t>
  </si>
  <si>
    <t xml:space="preserve">           1y Target Est                       45.71
           52 Week Range               26.03 - 46.73
                     Ask                 0.00 x 1400
             Avg. Volume                  10943382.0
       Beta (5Y Monthly)                        2.07
                     Bid                 0.00 x 1100
             Day's Range               39.81 - 40.61
               EPS (TTM)                        1.47
           Earnings Date Oct 18, 2023 - Oct 23, 2023
        Ex-Dividend Date                Jul 13, 2023
Forward Dividend &amp; Yield                0.60 (1.53%)
              Market Cap                     57.807B
                    Open                       40.39
          PE Ratio (TTM)                       27.11
          Previous Close                       39.29
             Quote Price                   39.845001
                  Volume                   2554965.0
    Market Cap (intraday) 56.33B
         Enterprise Value 59.14B
             Trailing P/E  26.73
              Forward P/E  17.27
PEG Ratio (5 yr expected)    NaN
        Price/Sales (ttm)   2.59
         Price/Book (mrq)   3.48
 Enterprise Value/Revenue   2.70
  Enterprise Value/EBITDA   7.60</t>
  </si>
  <si>
    <t>Did Amazon's Recent Move Just Make FedEx and UPS Stock Less Investible?
Amazon already delivers about as many packages as FedEx and United Parcel Service. FedEx and UPS are seeing clear declines in the number of units they're ferrying, putting cost and pricing pressure on both companies.
Will FedEx (FDX) Beat Estimates Again in Its Next Earnings Report?
FedEx (FDX) has an impressive earnings surprise history and currently possesses the right combination of the two key ingredients for a likely beat in its next quarterly report.
FedEx Corporation (FDX) is Attracting Investor Attention: Here is What You Should Know
Recently, Zacks.com users have been paying close attention to FedEx (FDX). This makes it worthwhile to examine what the stock has in store.
FedEx: Strong Business But Risky At Current Valuations
FedEx's extensive global reach and economies of scale solidify its competitive edge. FedEx ranks as America's second most trusted B2B brand, bolstering its customer loyalty and market position. FedEx's cost reduction plan aims to improve margins as economic challenges ease.
Why FedEx (FDX) is a Top Value Stock for the Long-Term
Whether you're a value, growth, or momentum investor, finding strong stocks becomes easier with the Zacks Style Scores, a top feature of the Zacks Premium research service.</t>
  </si>
  <si>
    <t xml:space="preserve">           1y Target Est          264.34
           52 Week Range 141.92 - 270.95
                     Ask     0.00 x 4000
             Avg. Volume       2023198.0
       Beta (5Y Monthly)            1.36
                     Bid     0.00 x 1400
             Day's Range 253.32 - 255.40
               EPS (TTM)           15.48
           Earnings Date    Sep 20, 2023
        Ex-Dividend Date    Sep 08, 2023
Forward Dividend &amp; Yield    4.82 (1.90%)
              Market Cap         64.082B
                    Open          255.11
          PE Ratio (TTM)           16.46
          Previous Close          253.31
             Quote Price      254.789993
                  Volume        407529.0
    Market Cap (intraday) 63.71B
         Enterprise Value 95.19B
             Trailing P/E  16.36
              Forward P/E  14.41
PEG Ratio (5 yr expected)   1.09
        Price/Sales (ttm)   0.72
         Price/Book (mrq)   2.44
 Enterprise Value/Revenue   1.06
  Enterprise Value/EBITDA   9.30</t>
  </si>
  <si>
    <t>F5 to Participate in the 2023 Piper Sandler Growth Frontiers Conference
SEATTLE--(BUSINESS WIRE)--F5, Inc. (NASDAQ: FFIV) today announced that it will participate in the 2023 Piper Sandler Growth Frontiers Conference. F5's fireside chat presentation will be webcast live beginning at 2:00 p.m. ET on Tuesday, September 12, 2023. Interested attendees can access the live webcast via the Investor Relations section of f5.com or via this link. An archived version of the webcast will be available on F5's Investor Relations page. About F5 F5 is a multi-cloud application ser.</t>
  </si>
  <si>
    <t xml:space="preserve">           1y Target Est                      167.25
           52 Week Range             127.05 - 167.89
                     Ask                160.23 x 800
             Avg. Volume                    532124.0
       Beta (5Y Monthly)                        1.06
                     Bid               160.13 x 1000
             Day's Range             159.35 - 161.10
               EPS (TTM)                        5.46
           Earnings Date Oct 23, 2023 - Oct 27, 2023
        Ex-Dividend Date                         NaN
Forward Dividend &amp; Yield                   N/A (N/A)
              Market Cap                      9.484B
                    Open                      161.01
          PE Ratio (TTM)                       29.29
          Previous Close                      160.55
             Quote Price                  159.910004
                  Volume                     66506.0
    Market Cap (intraday) 9.52B
         Enterprise Value 9.12B
             Trailing P/E 29.24
              Forward P/E 12.82
PEG Ratio (5 yr expected)  0.98
        Price/Sales (ttm)  3.46
         Price/Book (mrq)  3.58
 Enterprise Value/Revenue  3.25
  Enterprise Value/EBITDA 15.62</t>
  </si>
  <si>
    <t>Top 5 Materials Stocks That Could Blast Off This Month - Compass Minerals Intl (NYSE:CMP), FMC (NYSE:FMC)
The most oversold stocks in the materials sector presents an opportunity to buy into undervalued companies.
FMC Corporation response to inaccurate short-seller report
PHILADELPHIA , Sept. 7, 2023 /PRNewswire/ -- FMC Corporation (NYSE: FMC ) announced that the report published today by short-seller Blue Orca Capital made misleading and factually inaccurate statements regarding FMC's patents for its diamide insecticide technology and inaccurately speculated on the strength of FMC's business.</t>
  </si>
  <si>
    <t xml:space="preserve">           1y Target Est                      111.66
           52 Week Range              74.79 - 134.38
                     Ask                  0.00 x 800
             Avg. Volume                   1486137.0
       Beta (5Y Monthly)                        0.82
                     Bid                  0.00 x 800
             Day's Range               74.79 - 76.70
               EPS (TTM)                        5.74
           Earnings Date Oct 30, 2023 - Nov 03, 2023
        Ex-Dividend Date                Sep 28, 2023
Forward Dividend &amp; Yield                2.32 (3.07%)
              Market Cap                      9.386B
                    Open                       75.89
          PE Ratio (TTM)                       13.11
          Previous Close                       75.46
             Quote Price                       75.25
                  Volume                    590798.0
    Market Cap (intraday)  9.41B
         Enterprise Value 13.15B
             Trailing P/E  13.15
              Forward P/E  10.64
PEG Ratio (5 yr expected)   1.40
        Price/Sales (ttm)   1.78
         Price/Book (mrq)   2.81
 Enterprise Value/Revenue   2.45
  Enterprise Value/EBITDA  10.88</t>
  </si>
  <si>
    <t>Fox Corporation Chief Financial Officer Steve Tomsic to Participate in Upcoming BofA Securities 2023 Media, Communications &amp; Entertainment Conference
NEW YORK and LOS ANGELES , Sept. 7, 2023 /PRNewswire/ --  Fox Corporation (Nasdaq: FOXA, FOX) today announced that Chief Financial Officer Steve Tomsic will participate in the BofA Securities 2023 Media, Communications &amp; Entertainment Conference on September 14, at approximately 9:40am (Eastern), 6:40am (Pacific).
Tubi Surpasses 74 Million Monthly Active Users
Hits 1.4% of Total TV Viewing Time as The Most Watched Free Ad-Supported TV Streaming Service in the U.S. World's Largest Content Library Now Exceeds 200,000 Movies and TV Episodes and Nearly 200 Tubi Originals SAN FRANCISCO , Sept. 6, 2023 /PRNewswire/ -- Tubi (www.tubi.tv), Fox Corporation's (NASDAQ: FOXA, FOX) ad-supported video-on-demand service, today announced the company surpassed 74 million monthly active users and logged nearly 4 billion streaming hours for the first half of the calendar year.</t>
  </si>
  <si>
    <t xml:space="preserve">           1y Target Est          51.5
           52 Week Range 26.35 - 34.42
                     Ask   29.44 x 900
             Avg. Volume      990904.0
       Beta (5Y Monthly)          0.87
                     Bid  29.43 x 1200
             Day's Range 28.90 - 29.75
               EPS (TTM)          2.37
           Earnings Date           NaN
        Ex-Dividend Date  Aug 29, 2023
Forward Dividend &amp; Yield  0.52 (1.80%)
              Market Cap       14.973B
                    Open          28.9
          PE Ratio (TTM)         12.37
          Previous Close          28.9
             Quote Price     29.309999
                  Volume      440490.0
    Market Cap (intraday) 14.76B
         Enterprise Value 18.70B
             Trailing P/E  12.40
              Forward P/E   8.83
PEG Ratio (5 yr expected)    NaN
        Price/Sales (ttm)   1.03
         Price/Book (mrq)   1.36
 Enterprise Value/Revenue   1.25
  Enterprise Value/EBITDA   7.49</t>
  </si>
  <si>
    <t>Fox Corporation Chief Financial Officer Steve Tomsic to Participate in Upcoming BofA Securities 2023 Media, Communications &amp; Entertainment Conference
NEW YORK and LOS ANGELES , Sept. 7, 2023 /PRNewswire/ --  Fox Corporation (Nasdaq: FOXA, FOX) today announced that Chief Financial Officer Steve Tomsic will participate in the BofA Securities 2023 Media, Communications &amp; Entertainment Conference on September 14, at approximately 9:40am (Eastern), 6:40am (Pacific).
Tubi Surpasses 74 Million Monthly Active Users
Hits 1.4% of Total TV Viewing Time as The Most Watched Free Ad-Supported TV Streaming Service in the U.S. World's Largest Content Library Now Exceeds 200,000 Movies and TV Episodes and Nearly 200 Tubi Originals SAN FRANCISCO , Sept. 6, 2023 /PRNewswire/ -- Tubi (www.tubi.tv), Fox Corporation's (NASDAQ: FOXA, FOX) ad-supported video-on-demand service, today announced the company surpassed 74 million monthly active users and logged nearly 4 billion streaming hours for the first half of the calendar year.
7 Stocks to Buy Based on Unusual Options Activity
As you become more sophisticated in your investing journey, you'll want to pay closer attention to unusual options activity stocks. To briefly explain, options represent a contract that gives the holder the right – but not the obligation – to buy or sell the underlying security (or asset) at the specified strike price on or before the listed expiration date.
Nexstar Media and Fox Corporation Renew and Extend Multi-Year Affiliation Agreement
IRVING, Texas &amp; LOS ANGELES--(BUSINESS WIRE)--Nexstar Media Group, Inc. (NASDAQ: NXST), and Fox Corporation (NASDAQ: FOXA, FOX) today announced that they have reached a comprehensive multi-year agreement renewing the FOX affiliations of 29 Nexstar-owned stations across the United States, including those in six of the country's top twenty markets. In addition, Fox Corporation has reached agreements to renew the FOX affiliations of 12 stations that have shared services agreements with Nexstar, 11.</t>
  </si>
  <si>
    <t xml:space="preserve">           1y Target Est                       36.31
           52 Week Range               28.01 - 37.26
                     Ask                 31.97 x 800
             Avg. Volume                   4188461.0
       Beta (5Y Monthly)                        0.87
                     Bid                 31.96 x 800
             Day's Range               31.32 - 32.31
               EPS (TTM)                        2.37
           Earnings Date Oct 30, 2023 - Nov 03, 2023
        Ex-Dividend Date                Aug 29, 2023
Forward Dividend &amp; Yield                0.52 (1.66%)
              Market Cap                     14.973B
                    Open                       31.36
          PE Ratio (TTM)                       13.42
          Previous Close                       31.36
             Quote Price                      31.805
                  Volume                   1399894.0
    Market Cap (intraday) 14.76B
         Enterprise Value 18.70B
             Trailing P/E  13.46
              Forward P/E   9.59
PEG Ratio (5 yr expected)    NaN
        Price/Sales (ttm)   1.12
         Price/Book (mrq)   1.48
 Enterprise Value/Revenue   1.25
  Enterprise Value/EBITDA   7.49</t>
  </si>
  <si>
    <t>Dividend Kings With the Highest Yield: 6 High Yields in 5 Minutes
Dividend Kings are attractive for risk-averse income investors and many other investment strategies. They have sustained and sustainable dividend growth and a relatively high yield compared to the average S&amp;P 500 company.
Federal Realty Investment Trust: Buy, Sell, or Hold?
Federal Realty has a relatively small portfolio of highly desirable retail and mixed-use properties. The company has a long history of increasing its dividend, ranking as the only Dividend King REIT.
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t>
  </si>
  <si>
    <t xml:space="preserve">           1y Target Est                      110.56
           52 Week Range              85.27 - 115.08
                     Ask                  0.00 x 800
             Avg. Volume                    595866.0
       Beta (5Y Monthly)                        1.24
                     Bid                  0.00 x 800
             Day's Range               96.97 - 98.23
               EPS (TTM)                         4.7
           Earnings Date Feb 08, 2023 - Feb 13, 2023
        Ex-Dividend Date                Sep 21, 2023
Forward Dividend &amp; Yield                4.36 (4.47%)
              Market Cap                      7.998B
                    Open                       98.03
          PE Ratio (TTM)                       20.71
          Previous Close                       97.61
             Quote Price                   97.349998
                  Volume                     75776.0
    Market Cap (intraday)  7.96B
         Enterprise Value 12.60B
             Trailing P/E  20.77
              Forward P/E  32.47
PEG Ratio (5 yr expected)   6.52
        Price/Sales (ttm)   7.20
         Price/Book (mrq)   2.90
 Enterprise Value/Revenue  11.38
  Enterprise Value/EBITDA  14.54</t>
  </si>
  <si>
    <t>General Mills (GIS) Offers Update on Key Enterprise Priorities
General Mills (GIS) offers an update regarding its progress in three key priorities as part of its 2023 Barclays Global Consumer Staples Conference.
Here are the 13 stocks Jim Cramer is watching, including Eli Lilly, McDonald's
Here are some of the tickers on my radar for Thursday, Sept. 7, taken directly from my reporter's notebook.
General Mills, Inc. (GIS) Barclays 2023 Global Consumer Staples Conference (Transcript)
General Mills, Inc. (NYSE:GIS ) Barclays 2023 Global Consumer Staples Conference September 6, 2023 1:30 PM ET Company Participants Kofi Bruce - Chief Financial Officer Jon Nudi - President, North America Retail Segment Conference Call Participants Andrew Lazar - Barclays Andrew Lazar Welcome back, everybody, to our next fireside chat with General Mills. So with me today are CFO, Kofi Bruce; and President of North America Retail segment, Jon Nudi.
General Mills Stock Is Still Boxed In
After reaffirming a full-year forecast, shares of packed-foods firm General Mills are only modestly higher. Investors remain wary of the sector.
General Mills sticks to 2024 outlook as inflation slows down and consumers grow ‘increasingly cautious'
General Mills Inc. GIS said Wednesday it continues to expect fiscal 2024 organic net sales to grow by 3% to 4% as it navigates a “resilient but increasingly cautious consumer” in the marketplace. CEO Jeff Harmening said the company will continue adapting to the changing environment with a focus on supply chain efficiency and disciplined capital allocation.
General Mills Reaffirms Annual Guidance and Provides Business Update at 2023 Barclays Global Consumer Staples Conference
MINNEAPOLIS--(BUSINESS WIRE)--In conjunction with its participation at the 2023 Barclays Global Consumer Staples Conference, General Mills (NYSE: GIS) provided an update on progress against its three enterprise priorities and reaffirmed its full-year financial outlook for fiscal 2024. “We entered fiscal 2024 with a sharp focus on the evolving external environment, headlined by moderating inflation, stabilizing supply chains, and a resilient but increasingly cautious consumer,” said General Mill.</t>
  </si>
  <si>
    <t xml:space="preserve">           1y Target Est         76.24
           52 Week Range 64.70 - 90.89
                     Ask    0.00 x 800
             Avg. Volume     3874806.0
       Beta (5Y Monthly)          0.23
                     Bid   0.00 x 1000
             Day's Range 65.41 - 66.34
               EPS (TTM)          4.31
           Earnings Date  Sep 20, 2023
        Ex-Dividend Date  Jul 07, 2023
Forward Dividend &amp; Yield  2.36 (3.57%)
              Market Cap       38.372B
                    Open         65.79
          PE Ratio (TTM)         15.32
          Previous Close         66.15
             Quote Price     66.025002
                  Volume     1364665.0
    Market Cap (intraday) 38.45B
         Enterprise Value 49.81B
             Trailing P/E  15.35
              Forward P/E  14.53
PEG Ratio (5 yr expected)   1.98
        Price/Sales (ttm)   1.98
         Price/Book (mrq)   3.68
 Enterprise Value/Revenue   2.48
  Enterprise Value/EBITDA  12.20</t>
  </si>
  <si>
    <t>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CVS Health Shuffles C-Suite Responsibilities, Adds New Roles And New Hires
CVS Health shook up its executive suite, adding responsibilities for several members of the company's executive leadership team.
CVS Health announces additional responsibilities for executive leadership team members
WOONSOCKET, R.I. , Sept. 7, 2023 /PRNewswire/ -- CVS Health® Corporation (NYSE: CVS) today announced additional responsibilities for several members of the company's executive leadership team, effective immediately: Shawn Guertin will continue as our Chief Financial Officer and is now President of Health Services.
Pet owners welcome vet probe as CVS and Pets at Home plummet
CVS Group (AIM:CVSG) and Pets at Home Group PLC (LSE:PETS) plunged on Thursday after the UK's competition agency launched an investigation to find out whether customers are being given the best deal when it comes to caring for their four-legged friends. Members of the public have welcomed the review, with some pet owners taking to X to express their desire for the industry reform.
Will CVS Health Stock Recover To Its Pre-Inflation Shock Highs Of $110?
CVS Health stock (NYSE: CVS) currently trades at $66 per share, about 12% lower than the level seen in March 2021, and it can see higher levels over time.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CVS Health survey finds more than two-thirds of Americans plan to get a flu shot this season
CVS Pharmacy® and MinuteClinic® encourage consumers to get an annual flu shot and stay up to date on routine vaccinations Schedule ahead available for flu and RSV vaccinations, allowing patients to plan ahead and secure a convenient appointment WOONSOCKET, R.I. , Sept. 6, 2023 /PRNewswire/ -- CVS Health ®  (NYSE: CVS) is prepared to meet patients' vaccination and other preventive health care needs as flu season approaches.
‘Big Short' Michael Burry's top 5 portfolio positions
Renowned investor Michael Burry, famous for his astute predictions, has garnered attention in the past due to his stock positions. Despite this interest, the ‘Big Short' investor has, in recent months, expressed a bearish position in the general stock market at some point advising investors to ‘sell'.
Dividend Income Summary: Lanny's August 2023 Summary
2023 has been one heck of a year. The S&amp;P 500 is close to all-time highs. The Fed raised interest rates in July, as the economy is still on fire. The retirement accounts brought in a total dividend income amount of $379.48 or 22% of the dividend income total, similar to last month. Dividend increases created $42.95 in additional passive dividend income.</t>
  </si>
  <si>
    <t xml:space="preserve">           1y Target Est                       91.43
           52 Week Range              64.62 - 104.83
                     Ask                 0.00 x 1100
             Avg. Volume                   9449408.0
       Beta (5Y Monthly)                        0.61
                     Bid                 0.00 x 1300
             Day's Range               65.77 - 66.46
               EPS (TTM)                        2.19
           Earnings Date Oct 31, 2023 - Nov 06, 2023
        Ex-Dividend Date                Jul 20, 2023
Forward Dividend &amp; Yield                2.42 (3.68%)
              Market Cap                      84.77B
                    Open                       65.96
          PE Ratio (TTM)                       30.14
          Previous Close                       65.84
             Quote Price                        66.0
                  Volume                   1961310.0
    Market Cap (intraday)  84.56B
         Enterprise Value 149.81B
             Trailing P/E   30.06
              Forward P/E    7.65
PEG Ratio (5 yr expected)    0.29
        Price/Sales (ttm)    0.25
         Price/Book (mrq)    1.16
 Enterprise Value/Revenue    0.44
  Enterprise Value/EBITDA   14.19</t>
  </si>
  <si>
    <t>Andy Florance Named 2023 Tech Titan By Washingtonian Magazine
WASHINGTON--(BUSINESS WIRE)--Andy Florance, Founder and Chief Executive Officer of CoStar Group (NASDAQ: CSGP), a leading provider of online real estate marketplaces, information and analytics in the property markets, today was honored as one of Washingtonian's 2023 Tech Titans. The Tech Titans list, published annually, recognizes industry leaders across the D.C. area who make innovative and important contributions to the region's technology sector. Tech Titan winners include entrepreneurs, gov.</t>
  </si>
  <si>
    <t xml:space="preserve">           1y Target Est         97.92
           52 Week Range 65.12 - 92.36
                     Ask  82.05 x 1000
             Avg. Volume     2920132.0
       Beta (5Y Monthly)          0.89
                     Bid   82.01 x 900
             Day's Range 81.91 - 82.89
               EPS (TTM)          0.94
           Earnings Date  Oct 24, 2023
        Ex-Dividend Date           NaN
Forward Dividend &amp; Yield     N/A (N/A)
              Market Cap       33.484B
                    Open         82.86
          PE Ratio (TTM)         87.23
          Previous Close         82.57
             Quote Price          82.0
                  Volume      228973.0
    Market Cap (intraday) 33.72B
         Enterprise Value 29.61B
             Trailing P/E  86.92
              Forward P/E  65.36
PEG Ratio (5 yr expected)   3.11
        Price/Sales (ttm)  14.37
         Price/Book (mrq)   4.75
 Enterprise Value/Revenue  12.76
  Enterprise Value/EBITDA  60.52</t>
  </si>
  <si>
    <t>4 Industrial Services Stocks Countering Industry Headwinds
The ongoing weakness in order levels mars the near-term outlook for the Zacks Industrial Services industry. The likes of GWW, MSM, HI and BOOM will gain from their heightened focus on enhancing digital capabilities.
Can Stocks Picked by Artificial Intelligence Beat the Market? 3 Stocks to Watch
An artificial intelligence stock-picking platform identifying high-potential equities has been sharp in the past. Here are three of its top stocks to watch over the next few months.</t>
  </si>
  <si>
    <t>W. W. Grainger</t>
  </si>
  <si>
    <t xml:space="preserve">           1y Target Est          766.82
           52 Week Range 483.19 - 811.60
                     Ask      0.00 x 800
             Avg. Volume        266338.0
       Beta (5Y Monthly)            1.21
                     Bid     0.00 x 1200
             Day's Range 688.05 - 694.87
               EPS (TTM)            34.7
           Earnings Date    Oct 26, 2023
        Ex-Dividend Date    Aug 11, 2023
Forward Dividend &amp; Yield    7.44 (1.08%)
              Market Cap         34.557B
                    Open           692.1
          PE Ratio (TTM)           19.92
          Previous Close          689.93
             Quote Price       691.13501
                  Volume         47070.0
    Market Cap (intraday) 34.50B
         Enterprise Value 36.74B
             Trailing P/E  19.89
              Forward P/E  17.89
PEG Ratio (5 yr expected)   1.87
        Price/Sales (ttm)   2.18
         Price/Book (mrq)  11.75
 Enterprise Value/Revenue   2.29
  Enterprise Value/EBITDA  13.45</t>
  </si>
  <si>
    <t>Brown &amp; Brown, Inc. is named one of the Best Workplaces in Financial Services &amp; Insurance by Great Place to Work® and Fortune
DAYTONA BEACH, Fla., Sept. 08, 2023 (GLOBE NEWSWIRE) -- J. Powell Brown, president and chief executive officer, and Julie Turpin, chief people officer, are pleased to announce that Great Place To Work and Fortune Media have named Brown &amp; Brown, Inc. to the 2023 Best Workplaces in Financial Services and Insurance List.
Brown &amp; Brown promotes Mike Bruce to chief executive officer of Brown &amp; Brown Europe; enhances collaboration of European operations
DAYTONA BEACH, Fla., Sept. 07, 2023 (GLOBE NEWSWIRE) -- Brown &amp; Brown, Inc. (NYSE: BRO) has announced the promotion of Mike Bruce to chief executive officer of Brown &amp; Brown Europe. Mike was formerly the chief executive officer of Global Risk Partners (GRP), which was acquired by Brown &amp; Brown in July 2022. In his new role, Mike will lead Brown &amp; Brown's overall European strategy.</t>
  </si>
  <si>
    <t xml:space="preserve">           1y Target Est                        78.1
           52 Week Range               52.82 - 74.57
                     Ask                  0.00 x 900
             Avg. Volume                   1120143.0
       Beta (5Y Monthly)                        0.75
                     Bid                  0.00 x 800
             Day's Range               72.97 - 73.46
               EPS (TTM)                        2.58
           Earnings Date Oct 23, 2023 - Oct 27, 2023
        Ex-Dividend Date                Aug 08, 2023
Forward Dividend &amp; Yield                0.46 (0.63%)
              Market Cap                     20.752B
                    Open                       73.24
          PE Ratio (TTM)                       28.36
          Previous Close                       73.12
             Quote Price                   73.169998
                  Volume                    156777.0
    Market Cap (intraday) 20.74B
         Enterprise Value 24.10B
             Trailing P/E  28.34
              Forward P/E  25.58
PEG Ratio (5 yr expected)    NaN
        Price/Sales (ttm)   5.13
         Price/Book (mrq)   4.09
 Enterprise Value/Revenue   6.05
  Enterprise Value/EBITDA  17.76</t>
  </si>
  <si>
    <t>Aflac Incorporated (AFL) KBW Insurance Conference (Transcript)
Aflac Incorporated (NYSE:AFL ) KBW Insurance Conference September 7, 2023 3:05 PM ET Company Participants David Young - VP, Investor and Rating Agency Relations Conference Call Participants Ryan Krueger - KBW Ryan Krueger We're going to get started. I'm Ryan Krueger from KBW.</t>
  </si>
  <si>
    <t xml:space="preserve">           1y Target Est         75.78
           52 Week Range 56.03 - 78.43
                     Ask   0.00 x 1000
             Avg. Volume     2229846.0
       Beta (5Y Monthly)          0.93
                     Bid   0.00 x 1000
             Day's Range 75.00 - 75.93
               EPS (TTM)          7.46
           Earnings Date  Nov 01, 2023
        Ex-Dividend Date  Aug 22, 2023
Forward Dividend &amp; Yield  1.68 (2.25%)
              Market Cap       44.899B
                    Open         75.13
          PE Ratio (TTM)         10.13
          Previous Close         74.83
             Quote Price     75.580002
                  Volume      458853.0
    Market Cap (intraday) 44.45B
         Enterprise Value 46.82B
             Trailing P/E  10.03
              Forward P/E  12.02
PEG Ratio (5 yr expected)    NaN
        Price/Sales (ttm)   2.43
         Price/Book (mrq)   2.17
 Enterprise Value/Revenue   2.46
  Enterprise Value/EBITDA    NaN</t>
  </si>
  <si>
    <t>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Amcor Demonstrating Connected Packaging at Pack Expo 2023 with VerifyMe, Inc
LAKE MARY, Fla. , Sept. 5, 2023 /PRNewswire/ -- VerifyMe, Inc. (NASDAQ: VRME) together with its subsidiaries, Trust Codes Global Limited ("Trust Codes Global") and PeriShip Global LLC ("PeriShip Global"), (together "VerifyMe," "we," "our," or the "Company") provides brand owners time and temperature sensitive logistics, supply chain traceability, authentication, anti-counterfeiting, and data-rich brand enhancement services, announced today that they will be demonstrating their connected packaging solution in conjunction with Amcor at Pack Expo in Las Vegas between September 11 and 13 2023.</t>
  </si>
  <si>
    <t xml:space="preserve">           1y Target Est                       10.07
           52 Week Range                9.13 - 12.78
                     Ask                0.00 x 21500
             Avg. Volume                   7081454.0
       Beta (5Y Monthly)                        0.86
                     Bid                0.00 x 28000
             Day's Range                 9.37 - 9.47
               EPS (TTM)                         0.7
           Earnings Date Oct 30, 2023 - Nov 04, 2023
        Ex-Dividend Date                Sep 06, 2023
Forward Dividend &amp; Yield                0.49 (5.36%)
              Market Cap                     13.638B
                    Open                        9.37
          PE Ratio (TTM)                       13.45
          Previous Close                        9.25
             Quote Price                       9.415
                  Volume                   2061050.0
    Market Cap (intraday) 13.40B
         Enterprise Value 19.92B
             Trailing P/E  13.12
              Forward P/E  13.46
PEG Ratio (5 yr expected)    NaN
        Price/Sales (ttm)   0.93
         Price/Book (mrq)   3.33
 Enterprise Value/Revenue   1.36
  Enterprise Value/EBITDA   9.36</t>
  </si>
  <si>
    <t>China and India Drive A. O. Smith to Record Results.
Water heaters are the core of A. O. Smith's business.
4 GARP Stocks to Scoop Up for Maximum Returns
Try the GARP strategy when seeking a profitable portfolio of stocks offering optimum value and growth investing. HUBB, CAT, AOS and ADP are some stocks that hold promise.</t>
  </si>
  <si>
    <t xml:space="preserve">           1y Target Est                       75.63
           52 Week Range               46.58 - 76.94
                     Ask                 0.00 x 1000
             Avg. Volume                    890000.0
       Beta (5Y Monthly)                        1.29
                     Bid                  0.00 x 900
             Day's Range               70.12 - 70.70
               EPS (TTM)                        1.82
           Earnings Date Oct 26, 2023 - Oct 31, 2023
        Ex-Dividend Date                Jul 28, 2023
Forward Dividend &amp; Yield                1.20 (1.67%)
              Market Cap                      10.57B
                    Open                       70.63
          PE Ratio (TTM)                       38.59
          Previous Close                       70.19
             Quote Price                   70.239998
                  Volume                    155766.0
    Market Cap (intraday) 10.56B
         Enterprise Value 10.39B
             Trailing P/E  38.57
              Forward P/E  18.73
PEG Ratio (5 yr expected)   1.87
        Price/Sales (ttm)   2.87
         Price/Book (mrq)   5.59
 Enterprise Value/Revenue   2.78
  Enterprise Value/EBITDA  27.84</t>
  </si>
  <si>
    <t>3 Popular Stocks That the Smart Money Is Dumping in Droves
The stock market continues to roar ahead in 2023. The S&amp;P 500 is up 17% year to date and sits only 6% below making a new all-time high.
Biden antitrust enforcers stick to ‘tough talk' despite mounting court losses
The Biden administration is pushing forward with new merger enforcement guidelines even as antitrust enforcers have been dealt a series of losses in court that may call into question whether their aggressive approach can withstand judicial scrutiny.</t>
  </si>
  <si>
    <t xml:space="preserve">           1y Target Est                       94.81
           52 Week Range               70.94 - 93.67
                     Ask                 92.24 x 900
             Avg. Volume                  10845959.0
       Beta (5Y Monthly)                        0.44
                     Bid                92.23 x 1800
             Day's Range               92.11 - 92.44
               EPS (TTM)                        2.74
           Earnings Date Nov 06, 2023 - Nov 10, 2023
        Ex-Dividend Date                Aug 01, 2023
Forward Dividend &amp; Yield                0.99 (1.07%)
              Market Cap                     72.602B
                    Open                       92.12
          PE Ratio (TTM)                       33.68
          Previous Close                       92.12
             Quote Price                   92.275002
                  Volume                   1110722.0
    Market Cap (intraday) 72.48B
         Enterprise Value 63.01B
             Trailing P/E  33.74
              Forward P/E  21.55
PEG Ratio (5 yr expected)   2.14
        Price/Sales (ttm)   8.38
         Price/Book (mrq)   3.49
 Enterprise Value/Revenue   7.24
  Enterprise Value/EBITDA  20.51</t>
  </si>
  <si>
    <t>Avery Dennison Commissions Europe's Largest Concentrated Solar Thermal Platform and Thermal Storage Unit in Turnhout, Belgium
TURNHOUT, Belgium--(BUSINESS WIRE)-- #decarbonisation--Avery Dennison commissions Europe's largest Concentrated Solar Thermal (CST) platform at its production plant in Turnhout, Belgium.
5 Ways to Play Retail that will Profit in 2023
The takeaway from Q2 earnings results for the retail sector is that consumer habits have changed. Once flush with stimulus cash and little to do but spend it, the consumer buys less discretionary items in favor of everyday items like food, health, and personal grooming.</t>
  </si>
  <si>
    <t xml:space="preserve">           1y Target Est                      203.71
           52 Week Range             157.28 - 195.95
                     Ask                  0.00 x 900
             Avg. Volume                    511740.0
       Beta (5Y Monthly)                        0.97
                     Bid                  0.00 x 800
             Day's Range             179.88 - 182.68
               EPS (TTM)                        6.93
           Earnings Date Oct 24, 2023 - Oct 30, 2023
        Ex-Dividend Date                Sep 05, 2023
Forward Dividend &amp; Yield                3.24 (1.79%)
              Market Cap                     14.529B
                    Open                      182.45
          PE Ratio (TTM)                       26.02
          Previous Close                      181.06
             Quote Price                  180.300003
                  Volume                     63943.0
    Market Cap (intraday) 14.59B
         Enterprise Value 17.92B
             Trailing P/E  26.09
              Forward P/E  17.61
PEG Ratio (5 yr expected)   2.76
        Price/Sales (ttm)   1.74
         Price/Book (mrq)   7.24
 Enterprise Value/Revenue   2.11
  Enterprise Value/EBITDA  15.66</t>
  </si>
  <si>
    <t>Half of Warren Buffett's Portfolio Is in Apple. These 5 Stocks Make Up 66% of the Other Half.
The conglomerate owns $178 billion in Apple shares, which is roughly 50% of its portfolio. Its next-largest holdings include stocks in the financial, energy, and consumer goods sectors.
What To Expect From American Express Stock?
American Express' stock (NYSE: AXP) has gained 7% YTD as compared to the 16% rise in the S&amp;P500 over the same period.
September Rally? 3 Financial Stocks to Buy Before Liftoff
A September rally may not be in the cards for financial stocks, as the stock market is off to a lackluster start during this historically very poor month for equities. To make matters worse, Wall Street is upset by slight increases in interest rates and oil prices that we've seen so far in September.
American Express Company (AXP) Is a Trending Stock: Facts to Know Before Betting on It
American Express (AXP) has received quite a bit of attention from Zacks.com users lately. Therefore, it is wise to be aware of the facts that can impact the stock's prospects.
Warren Buffett's top 5 portfolio positions
Warren Buffett is one of the world's most successful stock investors with a net worth of $118 billion. His success is mostly attributed to finding great companies at a discount.
7 Blue-Chip Stocks to Buy for a Market Pullback
After a blistering first half of the year, the outlook for the stock market has gotten murky. All three major U.S. indices declined in August, with the Dow Jones Industrial Average falling 2.4%, the Nasdaq losing 2.2%, and the benchmark S&amp;P 500 sliding 1.7%.
3 Growth Stocks to Buy in September
We're now into September, and that means many investors wonder if the September effect will be in place. This speaks to the historical trend of stocks underperforming in September compared to other months.
Here are 19 stocks Jim Cramer is watching, including Chipotle, LULU and Airbnb
Here are some of the tickers on my radar for Tuesday, Sept. 5, taken directly from my reporter's notebook.
American Express Stock Won't Be Hurt by Lower Late Fees, Says Analyst
RBC analyst Jon Arfstrom upgraded shares of card giant American Express to Outperform from Sector Perform, and ticked up the target price to $200 from $197.
Here's how Amex's stock could stand out from its peers
American Express Co.'s stock looks relatively well positioned in what could be a tougher regulatory environment for card names, according to an analyst.
Sell the Rally as September Is the Worst Month for Stocks: 5 Warren Buffett Stocks to Move to Now
The recent rally out of the August lows has gotten everybody fired up again. The Magnificent 7 continue to push the markets higher while many of the rest of the S&amp;P 500 stocks tread water.</t>
  </si>
  <si>
    <t xml:space="preserve">           1y Target Est                      181.44
           52 Week Range             130.65 - 182.15
                     Ask                  0.00 x 800
             Avg. Volume                   2741540.0
       Beta (5Y Monthly)                        1.19
                     Bid                 0.00 x 1000
             Day's Range             157.40 - 159.16
               EPS (TTM)                        9.84
           Earnings Date Oct 19, 2023 - Oct 23, 2023
        Ex-Dividend Date                Jul 06, 2023
Forward Dividend &amp; Yield                2.40 (1.52%)
              Market Cap                    115.992B
                    Open                      158.37
          PE Ratio (TTM)                       16.01
          Previous Close                      157.43
             Quote Price                       157.5
                  Volume                    634241.0
    Market Cap (intraday) 115.94B
         Enterprise Value     NaN
             Trailing P/E   16.00
              Forward P/E   12.71
PEG Ratio (5 yr expected)    0.98
        Price/Sales (ttm)    2.07
         Price/Book (mrq)    4.34
 Enterprise Value/Revenue     NaN
  Enterprise Value/EBITDA     NaN</t>
  </si>
  <si>
    <t>Biden Visit Lands $7.8 Billion Boeing Deal With Vietnam Airlines
President Biden announced Boeing landed a $7.8 billion deal with Vietnam Airlines early Monday after meeting with leaders. Boeing stock rises.
Biden Reveals Boeing's $8 Billion 737 MAX Deal with Vietnam Air. The Stock Is Up.
The president provided a scoop for investors while visiting the country, welcoming the airline's agreement to buy the jets.
Vietnam Airlines Selects 50 Boeing 737 MAX Airplanes to Grow its Fleet
HANOI, Vietnam , Sept. 11, 2023 /PRNewswire/ -- Boeing [NYSE: BA] and Vietnam Airlines announced today the carrier has selected the 737 MAX family to expand its single-aisle fleet, with a commitment to order 50 737-8 airplanes.
Vietnam Air signs $7.8 bln deal for 50 Boeing 737 max planes, White House says
Vietnam Airlines' deal to buy 50 737 Max jets from U.S. planemaker Boeing is worth $7.8 billion, the White House said in a statement on Monday.
Private Jets and Pop-Up Workspaces: Boeing Eases Return to Office for Top Brass
Company flight patterns suggest CEO Calhoun travels infrequently to headquarters from two distant homes, while CFO West occupies a new office five minutes from his Connecticut doorstep.
Vietnam Air, Boeing near $10 bln deal for 50 737 max planes - Bloomberg News
Vietnam Airlines JSC will sign an initial agreement to buy about 50 Boeing 737 Max jets in a deal valued at $10 billion, Bloomberg News reported on Sunday, citing people familiar with the matter.
The 3 Best Transportation Stocks to Buy Now: September 2023
Transportation is a classic contender in the investment realm that often goes unnoticed. It might not have the glitz of newer sectors, but it stitches together over 5% of the U.S. GDP, translating to $1.3 trillion annually.
Boeing (BA) Wins Contract to Enhance Japan's F-15 Fighter Jets
Boeing (BA) secures a $474.5 million contract to enhance Japan's F-15 with the Eagle Passive Warning Survivability System.
The Boeing Company (BA) Jefferies 2023 Industrials Conference (Transcript)
The Boeing Company (NYSE:BA ) Jefferies 2023 Industrials Conference September 7, 2023 8:00 AM ET Company Participants Brian West - CFO Conference Call Participants Sheila Kahyaoglu - Jefferies Sheila Kahyaoglu Good morning, everyone. My name is Sheila Kahyaoglu with Jefferies Aaerospace and Defense Equity Research team.
Arajet Announces Special Fare Offer in Partnership with Boeing to Commemorate its First Year of Operations
SANTO DOMINGO, Dominican Republic--(BUSINESS WIRE)--Arajet, the leading low-price airline of the Caribbean, is commemorating its first year of operations on September 15th with the launch of an anniversary campaign in partnership with Boeing that will allow passengers to purchase tickets at a special offer of only $ 7.37 per segment (taxes or fees not included). This special limited-time offer will be available for flights to Argentina, Chile, Peru, Ecuador, Colombia, Saint Maarten, Curaçao, Ar.
Boeing Needs a New Plane Model or Risks Losing Market Share. There Is a Wild Solution.
Boeing has a hole in its product lineup, according to BofA Securities analyst Ron Epstein. He wants the company to lean into new technologies to leapfrog Airbus.
Boeing 737 Max deliveries for the year at ‘low end' of guidance, CFO says
Boeing Co.'s 737 Max deliveries for the year will be at the “low end” of guidance, a top executive at the aerospace and defense company said Thursday, leading the company's stock to waver between gains and losses in midday trading.
Boeing will meet 737 delivery goal despite new production problem -CFO
Boeing is set to meet targets to deliver at least 400 narrowbody 737s this year, its chief financial officer said on Thursday, despite a recently discovered production flaw that has slowed deliveries of its bestselling 737 MAX.
Boeing (BA) Clinches $173M Contract to Aid F/A-18 E/F Aircraft
Boeing (BA) is set to provide support for the repair of landing gear used on the F/A-18 E/F aircraft.
Boeing, Aviation Capital Group finalize order for 13 737 MAX jets
Boeing and aircraft leasing firm Aviation Capital Group on Tuesday finalized an order for 13 737 MAX jets, the companies said in a statement.
SHAREHOLDER ALERT: Pomerantz Law Firm Investigates Claims on Behalf of Investors of The Boeing Company - BA
NEW YORK , Sept. 5, 2023 /PRNewswire/ -- Pomerantz LLP is investigating claims on behalf of investors of The Boeing Company ("Boeing" or the "Company") (NYSE: BA).
Boeing, Aviation Capital Group Finalize Order For 13 737 MAX Jets
SEATTLE--(BUSINESS WIRE)-- #acg--Boeing [NYSE: BA] and Aviation Capital Group LLC (ACG) announced today the airplane lessor has finalized an order for 13 737 MAX jets, increasing the lessor's order book to 47 737 MAXs. The new, incremental order includes seven 737-8 and six 737-10 jets as ACG grows its single-aisle options to meet robust customer demand for the fuel-efficient 737 MAX airplane family. “We are pleased to expand ACG's commitment to the 737 MAX program. This additional order will allow AC.
Boeing, Aviation Capital Group Finalize Order for 13 737 MAX Jets
SEATTLE , Sept. 5, 2023 /PRNewswire/ -- Boeing [NYSE: BA] and Aviation Capital Group LLC (ACG) announced today the airplane lessor has finalized an order for 13 737 MAX jets, increasing the lessor's order book to 47 737 MAXs.</t>
  </si>
  <si>
    <t xml:space="preserve">           1y Target Est                       252.2
           52 Week Range             120.99 - 243.10
                     Ask                  0.00 x 900
             Avg. Volume                   5347180.0
       Beta (5Y Monthly)                        1.43
                     Bid                 0.00 x 1000
             Day's Range             208.77 - 214.20
               EPS (TTM)                       -7.43
           Earnings Date Oct 24, 2023 - Oct 30, 2023
        Ex-Dividend Date                Feb 13, 2020
Forward Dividend &amp; Yield                   N/A (N/A)
              Market Cap                    126.033B
                    Open                      213.76
          PE Ratio (TTM)                         NaN
          Previous Close                      211.27
             Quote Price                  208.940002
                  Volume                   2098241.0
    Market Cap (intraday) 127.44B
         Enterprise Value 165.94B
             Trailing P/E     NaN
              Forward P/E   41.84
PEG Ratio (5 yr expected)    6.53
        Price/Sales (ttm)    1.72
         Price/Book (mrq)     NaN
 Enterprise Value/Revenue    2.25
  Enterprise Value/EBITDA -640.71</t>
  </si>
  <si>
    <t>Ball Corporation to Present at the Morgan Stanley 11th Annual Laguna Conference
WESTMINSTER, Colo. , Sept. 7, 2023 /PRNewswire/ -- Ball Corporation (NYSE: BALL), one of the world's leading suppliers of aluminum packaging and aerospace technologies, will speak to the investment community at the Morgan Stanley 11th Annual Laguna Conference, September 14 th, 2023.
Ball Aerospace Completes Testing on Space Systems Command Operational Weather Monitoring Satellite
BROOMFIELD, Colo. , Sept. 7, 2023 /PRNewswire/ -- Ball Aerospace successfully concluded testing on the Weather System Follow-on – Microwave (WSF-M) satellite this week, representing the completion of the first of two satellites Ball is delivering for the U.S. Space Force's Space Systems Command next-generation operational environmental satellite system.
Ball Corporation CFO Morrison to Retire; Howard Yu Named Successor
Morrison to Remain Senior Advisor to Ensure Smooth Transition and Successful Completion of Aerospace Transaction WESTMINSTER, Colo. , Sept. 7, 2023 /PRNewswire/ -- Ball Corporation (NYSE:BALL) today announced that Scott C.</t>
  </si>
  <si>
    <t xml:space="preserve">           1y Target Est                       60.91
           52 Week Range               46.00 - 62.14
                     Ask                 0.00 x 1100
             Avg. Volume                   1783066.0
       Beta (5Y Monthly)                         0.8
                     Bid                  0.00 x 800
             Day's Range               52.01 - 52.78
               EPS (TTM)                        2.51
           Earnings Date Nov 01, 2023 - Nov 06, 2023
        Ex-Dividend Date                Aug 31, 2023
Forward Dividend &amp; Yield                0.80 (1.54%)
              Market Cap                     16.437B
                    Open                        52.5
          PE Ratio (TTM)                       20.78
          Previous Close                       52.09
             Quote Price                   52.169998
                  Volume                    266975.0
    Market Cap (intraday) 16.41B
         Enterprise Value 25.67B
             Trailing P/E  20.75
              Forward P/E  15.60
PEG Ratio (5 yr expected)   1.76
        Price/Sales (ttm)   1.13
         Price/Book (mrq)   4.28
 Enterprise Value/Revenue   1.76
  Enterprise Value/EBITDA  12.85</t>
  </si>
  <si>
    <t>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Franklin Resources, Inc. Announces Quarterly Dividend
SAN MATEO, Calif.--(BUSINESS WIRE)--Franklin Resources, Inc. (the “Company”) [NYSE:BEN] announced a quarterly cash dividend in the amount of $0.30 per share payable on October 13, 2023 to stockholders of record holding shares of common stock at the close of business on September 29, 2023. The quarterly dividend of $0.30 per share is equivalent to the dividend paid for the prior quarter and represents a 3.4% increase over the quarterly dividend paid for the same quarter last year. About Franklin.</t>
  </si>
  <si>
    <t xml:space="preserve">           1y Target Est                       26.48
           52 Week Range               20.24 - 34.37
                     Ask                  0.00 x 900
             Avg. Volume                   3019653.0
       Beta (5Y Monthly)                        1.32
                     Bid                 0.00 x 3000
             Day's Range               25.85 - 26.34
               EPS (TTM)                         1.6
           Earnings Date Oct 30, 2023 - Nov 03, 2023
        Ex-Dividend Date                Sep 28, 2023
Forward Dividend &amp; Yield                1.20 (4.63%)
              Market Cap                     12.914B
                    Open                       26.19
          PE Ratio (TTM)                       16.17
          Previous Close                       25.93
             Quote Price                     25.8799
                  Volume                    755374.0
    Market Cap (intraday) 12.94B
         Enterprise Value 20.39B
             Trailing P/E  16.21
              Forward P/E   9.98
PEG Ratio (5 yr expected)    NaN
        Price/Sales (ttm)   1.63
         Price/Book (mrq)   1.08
 Enterprise Value/Revenue   2.61
  Enterprise Value/EBITDA  11.24</t>
  </si>
  <si>
    <t>Baker Hughes (BKR) to Supply Equipment for Driftwood Project
Baker Hughes (BKR) is expected to supply eight LM6000PF+ gas turbines, main refrigerant compressors and control units for the first phase of the Driftwood LNG project.
US drillers add oil rig for first time since June - Baker Hughes
U.S. energy firms this week increased the number of oil rigs operating for the first time since June, while cutting the natural gas rig count, energy services firm Baker Hughes said in its closely followed report on Friday.
Baker Hughes, Pioneer, Diamondback: Energy Stocks on the Rise
The energy sector has rotated back into leadership, with big S&amp;P 500 components such as Exxon Mobil Corp. NYSE: XOM, Chevron Corp. NYSE: CVX and Schlumberger Ltd. NYSE: SLB trading to the upside in recent weeks.
Baker Hughes Announces Date for Third Quarter 2023 Earnings Release and Webcast
HOUSTON and LONDON, Sept. 07, 2023 (GLOBE NEWSWIRE) -- Baker Hughes (NASDAQ: BKR) will announce the results of the third quarter ending Sept. 30, 2023, via a press release at 5 p.m. Eastern Time (4 p.m. Central Time) on Wednesday, Oct. 25, 2023. A webcast to discuss the results will be held Thursday, Oct. 26, 2023, at 9:30 a.m. Eastern Time (8:30 a.m. Central Time).
Permian Oil Drilling Rig Count Falls For Two Straight Weeks
In its weekly release, Baker Hughes (BKR) reports that its count of oil and gas rigs is down for eight straight weeks.
Tellurian and Baker Hughes Announce Agreement for Driftwood LNG Phase 1 Liquefaction Equipment
SINGAPORE, Sept. 05, 2023 (GLOBE NEWSWIRE) -- Tellurian Inc. (NYSE American: TELL) and Baker Hughes (NASDAQ: BKR) announced Wednesday an agreement to supply eight main refrigerant compression packages for Phase 1 of the Driftwood LNG project. The agreement secures a delivery schedule for the eight LM6000PF+ gas turbines, main refrigerant compressors, and control units required for Phase 1, supporting Driftwood's ability to achieve initial liquefied natural gas (LNG) production in 2027.
Venture Global and Baker Hughes Announce Expanded Master Equipment Supply Agreement to Support Venture Global's Long-Term Expansion Plan
Long-term Expansion plan will increase Venture Global's production to more than 100MTPA across its current and future projects both in and outside of Louisiana Expanded Master Equipment Supply Agreement with Baker Hughes to support expansion SINGAPORE , Sept. 4, 2023 /PRNewswire/ -- Today, Venture Global LNG announced its long-term expansion plan to increase production from 70 million tonnes per annum (MTPA) to more than 100MTPA of nameplate LNG export capacity.
Baker Hughes and Venture Global Announce Expanded Master Equipment Supply Agreement to Support Venture Global's Long-Term Expansion Plan
SINGAPORE, Sept. 04, 2023 (GLOBE NEWSWIRE) -- Today, Venture Global LNG announced its long-term expansion plan to increase production from 70 million tonnes per annum (MTPA) to more than 100 MTPA of nameplate LNG export capacity. To support this initiative, Venture Global and Baker Hughes have executed an expanded master equipment supply agreement for the delivery of additional liquefaction train systems and power island systems for Venture Global's future LNG export projects. The expanded agreement was announced on the margins of Gastech in Singapore in the presence of Venture Global CEO Mike Sabel and Baker Hughes Chairman and CEO Lorenzo Simonelli.</t>
  </si>
  <si>
    <t xml:space="preserve">           1y Target Est         40.17
           52 Week Range 20.42 - 37.58
                     Ask   36.84 x 900
             Avg. Volume     6993870.0
       Beta (5Y Monthly)          1.51
                     Bid   36.83 x 800
             Day's Range 36.78 - 37.55
               EPS (TTM)          1.15
           Earnings Date  Oct 25, 2023
        Ex-Dividend Date  Aug 07, 2023
Forward Dividend &amp; Yield  0.80 (2.17%)
              Market Cap       37.418B
                    Open         37.34
          PE Ratio (TTM)          32.0
          Previous Close         36.95
             Quote Price        36.805
                  Volume     1484199.0
    Market Cap (intraday) 37.31B
         Enterprise Value 41.15B
             Trailing P/E  32.13
              Forward P/E  17.92
PEG Ratio (5 yr expected)    NaN
        Price/Sales (ttm)   1.60
         Price/Book (mrq)   2.47
 Enterprise Value/Revenue   1.77
  Enterprise Value/EBITDA  12.98</t>
  </si>
  <si>
    <t>Bank of America picks 14 small cap stocks with untapped upside potential
Bank of America has revealed a list of small and mid cap stocks where they see near- or long-term upside potential that may not be appreciated or well-understood by investors. The list of 14 US-listed stocks are all undergoing significant business transformations and all offer around 50% implied upside potential to Bank of America's price objectives (PO).</t>
  </si>
  <si>
    <t xml:space="preserve">           1y Target Est                       51.51
           52 Week Range               27.41 - 47.05
                     Ask                40.36 x 1000
             Avg. Volume                   2325422.0
       Beta (5Y Monthly)                        1.43
                     Bid                39.65 x 2900
             Day's Range               40.12 - 40.63
               EPS (TTM)                        4.05
           Earnings Date Oct 25, 2023 - Oct 30, 2023
        Ex-Dividend Date                Aug 31, 2023
Forward Dividend &amp; Yield                0.44 (1.10%)
              Market Cap                      9.504B
                    Open                       40.61
          PE Ratio (TTM)                        9.98
          Previous Close                       40.03
             Quote Price                       40.43
                  Volume                    369782.0
    Market Cap (intraday)  9.41B
         Enterprise Value 13.01B
             Trailing P/E   9.88
              Forward P/E   9.59
PEG Ratio (5 yr expected)   1.60
        Price/Sales (ttm)   0.56
         Price/Book (mrq)   1.25
 Enterprise Value/Revenue   0.77
  Enterprise Value/EBITDA   6.01</t>
  </si>
  <si>
    <t>Copart, Inc. to Release Fourth Quarter Fiscal 2023 Results
DALLAS--(BUSINESS WIRE)--Copart, Inc. (NASDAQ: CPRT) announced today that it will release earnings for the fourth quarter of fiscal 2023 after 4:00 p.m. Eastern Time (3:00 p.m. Central) on Thursday, September 14, 2023. On Thursday, September 14, 2023, at 5:30 p.m. Eastern Time (4:30 p.m. Central), Copart will conduct a conference call to discuss the results for the quarter. The call will be webcast live and can be accessed via hyperlink at www.copart.com/investorrelations. A replay of the call.</t>
  </si>
  <si>
    <t xml:space="preserve">           1y Target Est         46.71
           52 Week Range 26.14 - 47.38
                     Ask   44.62 x 800
             Avg. Volume     4003751.0
       Beta (5Y Monthly)          1.19
                     Bid  44.60 x 1400
             Day's Range 44.46 - 44.94
               EPS (TTM)           1.2
           Earnings Date  Sep 14, 2023
        Ex-Dividend Date           NaN
Forward Dividend &amp; Yield     N/A (N/A)
              Market Cap       42.686B
                    Open         44.85
          PE Ratio (TTM)         37.05
          Previous Close         44.69
             Quote Price        44.465
                  Volume      861849.0
    Market Cap (intraday) 42.90B
         Enterprise Value 40.92B
             Trailing P/E  37.40
              Forward P/E  16.56
PEG Ratio (5 yr expected)   1.66
        Price/Sales (ttm)  11.48
         Price/Book (mrq)   7.67
 Enterprise Value/Revenue  10.90
  Enterprise Value/EBITDA  26.31</t>
  </si>
  <si>
    <t>Conagra Brands' Cash Flow Increases The Safety Of Its Dividend Yield
Conagra Brands Inc. (CAG) is the featured stock in August's Safest Dividend Yields Model Portfolio.
CONAGRA BRANDS ANNOUNCES DETAILS OF FISCAL 2024 FIRST QUARTER EARNINGS RELEASE, WEBCAST AND CONFERENCE CALL
CHICAGO , Sept. 5, 2023 /PRNewswire/ -- Conagra Brands, Inc. (NYSE: CAG) will host a webcast and conference call to review its fiscal 2024 first quarter results on Thursday, Oct. 5, 2023, at 9:30 a.m.</t>
  </si>
  <si>
    <t xml:space="preserve">           1y Target Est         36.93
           52 Week Range 28.80 - 41.30
                     Ask  30.51 x 1000
             Avg. Volume     3907048.0
       Beta (5Y Monthly)          0.54
                     Bid   29.12 x 800
             Day's Range 28.89 - 29.19
               EPS (TTM)          1.42
           Earnings Date  Oct 05, 2023
        Ex-Dividend Date  Jul 28, 2023
Forward Dividend &amp; Yield  1.40 (4.81%)
              Market Cap       13.945B
                    Open         29.04
          PE Ratio (TTM)         20.55
          Previous Close          29.1
             Quote Price        29.181
                  Volume     1233645.0
    Market Cap (intraday) 13.91B
         Enterprise Value 23.24B
             Trailing P/E  20.49
              Forward P/E  10.64
PEG Ratio (5 yr expected)   1.27
        Price/Sales (ttm)   1.14
         Price/Book (mrq)   1.59
 Enterprise Value/Revenue   1.89
  Enterprise Value/EBITDA  15.77</t>
  </si>
  <si>
    <t>Big Institutions Grab ‘Strong Buy' Dividend Stocks in a Sector Not Totally Driven by AI
The strong move higher that Nvidia has driven in the stock market this year has been significant, and the world of artificial intelligence has driven stock prices this year.
The 3 Best Safe Stocks to Buy Now: September 2023
Summer is unofficially over, but what a difference a year makes. The S&amp;P 500 lost 19% in 2022 yet has rallied 17% higher since the end of July.
8 Dividend Aristocrat Stocks to Buy Now With a Recession (and Inflation) Looming Large in 2024
We follow the bond market closely at 24/7 Wall St., and for almost a year now there has been an inversion (or difference in yield) between the two-year Treasury paper and the benchmark 10-year note.</t>
  </si>
  <si>
    <t xml:space="preserve">           1y Target Est                       97.65
           52 Week Range               64.99 - 95.45
                     Ask                 94.96 x 800
             Avg. Volume                   2328875.0
       Beta (5Y Monthly)                         0.8
                     Bid                 79.49 x 900
             Day's Range               88.64 - 89.60
               EPS (TTM)                         1.0
           Earnings Date Nov 02, 2023 - Nov 06, 2023
        Ex-Dividend Date                Oct 02, 2023
Forward Dividend &amp; Yield                2.00 (2.26%)
              Market Cap                      22.46B
                    Open                       88.77
          PE Ratio (TTM)                        89.6
          Previous Close                       88.78
             Quote Price                   89.595001
                  Volume                    404933.0
    Market Cap (intraday) 22.26B
         Enterprise Value 22.91B
             Trailing P/E  88.78
              Forward P/E  13.32
PEG Ratio (5 yr expected)   1.70
        Price/Sales (ttm)   0.11
         Price/Book (mrq)    NaN
 Enterprise Value/Revenue   0.11
  Enterprise Value/EBITDA  16.10</t>
  </si>
  <si>
    <t>Carrier (CARR) Adds New Heat Pumps to Its HVAC Offerings
Carrier (CARR) launches AquaForce and AquaSnap, a new line of high-temperature air and water source heat pumps.
CARR or KLAC: Which Is the Better Value Stock Right Now?
Investors looking for stocks in the Electronics - Miscellaneous Products sector might want to consider either Carrier Global (CARR) or KLA (KLAC). But which of these two companies is the best option for those looking for undervalued stocks?
Carrier and Viessmann Climate Solutions Webcast
PALM BEACH GARDENS, Fla. , Sept. 6, 2023 /PRNewswire/ -- Carrier Global Corporation (NYSE: CARR) today announced it will host a webcast featuring Chairman &amp; CEO David Gitlin and Viessmann Group CEO Max Viessmann on Tuesday, Sept.</t>
  </si>
  <si>
    <t xml:space="preserve">           1y Target Est                       60.65
           52 Week Range               33.10 - 60.04
                     Ask                 62.60 x 800
             Avg. Volume                   5014201.0
       Beta (5Y Monthly)                        1.25
                     Bid                58.66 x 1000
             Day's Range               58.23 - 59.49
               EPS (TTM)                        2.52
           Earnings Date Oct 25, 2023 - Oct 30, 2023
        Ex-Dividend Date                Jun 22, 2023
Forward Dividend &amp; Yield                0.74 (1.31%)
              Market Cap                      48.88B
                    Open                       59.05
          PE Ratio (TTM)                       23.16
          Previous Close                       58.66
             Quote Price                      58.355
                  Volume                   2040124.0
    Market Cap (intraday) 49.14B
         Enterprise Value 55.20B
             Trailing P/E  23.28
              Forward P/E  20.58
PEG Ratio (5 yr expected)   2.09
        Price/Sales (ttm)   2.29
         Price/Book (mrq)   6.17
 Enterprise Value/Revenue   2.53
  Enterprise Value/EBITDA  15.38</t>
  </si>
  <si>
    <t>CORRECTING and REPLACING CBRE Group, Inc. to Present at the Barclays 2023 Global Financial Services Conference
DALLAS--(BUSINESS WIRE)--Event time in first paragraph of release should read 10:30 am (instead of 10 am). The updated release reads: CBRE GROUP, INC. TO PRESENT AT THE BARCLAYS 2023 GLOBAL FINANCIAL SERVICES CONFERENCE CBRE Group, Inc. (NYSE:CBRE) announced today that Emma Giamartino, CBRE's Chief Financial Officer, will participate in a fireside chat at the Barclays 2023 Global Financial Services Conference on Wednesday, September 13, 2023 at 10:30 am Eastern time. A live audio webcast of the.
CBRE Group, Inc. to Present at the Barclays 2023 Global Financial Services Conference
DALLAS--(BUSINESS WIRE)--CBRE Group, Inc. (NYSE:CBRE) announced today that Emma Giamartino, CBRE's Chief Financial Officer, will participate in a fireside chat at the Barclays 2023 Global Financial Services Conference on Wednesday, September 13, 2023 at 10 am Eastern time. A live audio webcast of the presentation will be accessible via the Investor Relations section of the company's web site at https://ir.cbre.com. An audio replay of the webcast will be posted within 24 hours of the live event.</t>
  </si>
  <si>
    <t xml:space="preserve">           1y Target Est                        95.5
           52 Week Range               66.31 - 89.58
                     Ask                 85.64 x 900
             Avg. Volume                   1557253.0
       Beta (5Y Monthly)                        1.36
                     Bid                 84.68 x 800
             Day's Range               85.22 - 86.20
               EPS (TTM)                        2.67
           Earnings Date Oct 25, 2023 - Oct 30, 2023
        Ex-Dividend Date                Jan 20, 2023
Forward Dividend &amp; Yield                   N/A (N/A)
              Market Cap                     26.615B
                    Open                       85.61
          PE Ratio (TTM)                       32.17
          Previous Close                       85.24
             Quote Price                   85.900002
                  Volume                    365330.0
    Market Cap (intraday) 26.41B
         Enterprise Value 30.53B
             Trailing P/E  32.05
              Forward P/E  18.45
PEG Ratio (5 yr expected)   1.99
        Price/Sales (ttm)   0.88
         Price/Book (mrq)   3.26
 Enterprise Value/Revenue   0.99
  Enterprise Value/EBITDA  19.78</t>
  </si>
  <si>
    <t>REIT Meltdown: 3 Rarely Discounted Buying Opportunities
REITs are reviled and shunned by the market, having lost ~30% of their value since the beginning of 2022. Higher interest rates along with negative sentiment from office properties' particular troubles have created a perfect storm for public real estate stocks. But historically, REITs have outperformed every other stock sector in the years after a drawdown this severe.
This Golden High Yield Opportunity May Not Last Long
Rising interest rates have created numerous attractive buying opportunities in the high yield equity corner of the market. We share one of the sectors that offers the most promise right now. We also share our top pick in that sector at the moment that we are buying aggressively.
Oil Vs. Commercial Real Estate: One Is A Better Buy Today
Timing anything in the markets over the next few months or quarters is extremely difficult, bordering on impossible to do with accuracy consistently. But investors can look at data and trends and surmise the kind of economic environment that is most likely to manifest over the next few years. Over the last two years, oil stocks have massively outperformed real estate stocks, but in the decade before that, the opposite was the case.
Crown Castle, Inc. (CCI) Goldman Sachs Communacopia &amp; Technology Conference Call Transcript
Crown Castle, Inc. (NYSE:CCI ) Goldman Sachs Communacopia &amp; Technology Conference Call September 6, 2023 2:30 PM ET Company Participants Jay Brown - President, CEO &amp; Director Conference Call Participants Joseph Gaebler - Goldman Sachs Group Joseph Gaebler All right. Welcome, everyone.
5 REIT Picks With Steady Dividends For Income Investors
Investors and analysts are closely watching the upcoming U.S. Federal Reserve meeting for clues on monetary policy. Some experts predict the Fed will pause its inflation-busting policy, while others expect further rate hikes. REITs, such as Crown Castle and National Storage Affiliates Trust, offer potential opportunities for income investors in the high-interest rate environment.
3 Growing Dividends To Supercharge Your Income
Dividend deals are lining up for us across the board—and they're likely to get better as September unfolds.
Crown Castle: 6.3% Dividend Yield And Undervalued
Crown Castle is now considered undervalued and offers a yield of over 5.5%, compared to my last article on the company. Despite a slowdown in tower activity and lower earnings expectations, CCI has a strong balance sheet and portfolio appeal. Telcos are likely to reduce CapEx spending, but CCI's valuation makes it an attractive investment. I won't change my price target on the company, and now see it as "BUY".</t>
  </si>
  <si>
    <t xml:space="preserve">           1y Target Est                      126.35
           52 Week Range              97.94 - 177.78
                     Ask                101.27 x 800
             Avg. Volume                   3151206.0
       Beta (5Y Monthly)                        0.65
                     Bid                 99.00 x 800
             Day's Range               98.22 - 99.74
               EPS (TTM)                        3.93
           Earnings Date Oct 17, 2023 - Oct 23, 2023
        Ex-Dividend Date                Sep 14, 2023
Forward Dividend &amp; Yield                6.26 (6.31%)
              Market Cap                     42.756B
                    Open                       99.25
          PE Ratio (TTM)                       25.09
          Previous Close                       99.24
             Quote Price                   98.589996
                  Volume                    774436.0
    Market Cap (intraday) 43.04B
         Enterprise Value 71.27B
             Trailing P/E  25.25
              Forward P/E  24.81
PEG Ratio (5 yr expected)   3.27
        Price/Sales (ttm)   6.02
         Price/Book (mrq)   6.11
 Enterprise Value/Revenue   9.97
  Enterprise Value/EBITDA  16.91</t>
  </si>
  <si>
    <t>5 Ways to Play Retail that will Profit in 2023
The takeaway from Q2 earnings results for the retail sector is that consumer habits have changed. Once flush with stimulus cash and little to do but spend it, the consumer buys less discretionary items in favor of everyday items like food, health, and personal grooming.</t>
  </si>
  <si>
    <t>Technology Distributors</t>
  </si>
  <si>
    <t xml:space="preserve">           1y Target Est                      216.33
           52 Week Range             147.91 - 215.70
                     Ask                209.96 x 800
             Avg. Volume                    644167.0
       Beta (5Y Monthly)                        1.08
                     Bid                209.79 x 900
             Day's Range             209.56 - 213.67
               EPS (TTM)                        7.87
           Earnings Date Oct 31, 2023 - Nov 06, 2023
        Ex-Dividend Date                Aug 24, 2023
Forward Dividend &amp; Yield                2.36 (1.11%)
              Market Cap                     28.112B
                    Open                      213.47
          PE Ratio (TTM)                       26.65
          Previous Close                      212.67
             Quote Price                  209.714996
                  Volume                    108738.0
    Market Cap (intraday) 28.51B
         Enterprise Value 34.24B
             Trailing P/E  27.06
              Forward P/E  19.88
PEG Ratio (5 yr expected)    NaN
        Price/Sales (ttm)   1.30
         Price/Book (mrq)  17.67
 Enterprise Value/Revenue   1.53
  Enterprise Value/EBITDA  17.54</t>
  </si>
  <si>
    <t>Scott+Scott Attorneys at Law LLP Files Consumer Class Action Against Cigna Corporation and Cigna Life Insurance Company
NEW YORK--(BUSINESS WIRE)--Scott+Scott Attorneys at Law LLP (“Scott+Scott”), an international consumer rights and securities litigation firm, announced that it has filed a class action lawsuit against Defendants The Cigna Group, Cigna Corporation and Cigna Life Insurance Company (collectively, the “Defendants”). The action, which was filed in the U.S. District Court for the District of Connecticut, captioned Van Pelt v. The Cigna Group, et al., Case No. 3:23-cv-01135, alleges that Defendants ha.
Cigna's (CI) Unit Brings New Plan for Globally Mobile Seniors
The new product from Cigna's (CI) Cigna Healthcare unit is likely to face significant demand in the global market.
‘Big Short' Michael Burry's top 5 portfolio positions
Renowned investor Michael Burry, famous for his astute predictions, has garnered attention in the past due to his stock positions. Despite this interest, the ‘Big Short' investor has, in recent months, expressed a bearish position in the general stock market at some point advising investors to ‘sell'.
CIGNA HEALTHCARE LAUNCHES NEW GLOBAL HEALTH BENEFITS PLAN FOR ADULTS AGED 60+
Bespoke solution designed to meet growing consumer demand for international health coverage Includes full cancer coverage and benefits to support health and well-being across all areas of life Includes optional outpatient cover for certain chronic conditions, including type 2 diabetes and arthritis LONDON , Sept. 5, 2023 /PRNewswire/ -- The International Health business of Cigna Healthcare, the global health benefits provider of The Cigna Group (NYSE: CI) announced the launch of a new, customized health benefits plan aimed at supporting the health and vitality of globally mobile people aged 60 and older.</t>
  </si>
  <si>
    <t xml:space="preserve">           1y Target Est          333.67
           52 Week Range 240.50 - 340.11
                     Ask   281.96 x 1000
             Avg. Volume       1466208.0
       Beta (5Y Monthly)            0.66
                     Bid   280.66 x 1200
             Day's Range 280.91 - 287.27
               EPS (TTM)           21.84
           Earnings Date    Nov 02, 2023
        Ex-Dividend Date    Sep 05, 2023
Forward Dividend &amp; Yield    4.92 (1.75%)
              Market Cap         84.351B
                    Open          282.01
          PE Ratio (TTM)           13.05
          Previous Close          281.48
             Quote Price       284.98999
                  Volume        311060.0
    Market Cap (intraday)  83.31B
         Enterprise Value 106.46B
             Trailing P/E   12.89
              Forward P/E    9.96
PEG Ratio (5 yr expected)    0.89
        Price/Sales (ttm)    0.46
         Price/Book (mrq)    1.83
 Enterprise Value/Revenue    0.57
  Enterprise Value/EBITDA     NaN</t>
  </si>
  <si>
    <t>Xfinity Stream app crashes for many just as new NFL season kicks off
Comcast Corp.'s Xfinity Stream app suffered an untimely outage Sunday, crashing around much of the U.S. just as the NFL season kicked off.
The 3 Best Streaming Stocks to Buy Now: September 2023
This year has been a time of reckoning for streaming stocks. The pandemic-induced boom in subscription services has long since passed.
COMMUNITY COLLEGE OF BALTIMORE COUNTY LAUNCHES DIGITAL NAVIGATOR PROGRAM TO DRIVE INTERNET ADOPTION, SUPPORTED BY $150,000 COMCAST GRANT
Partnership Trains CCBC Students to Help Drive Awareness and Adoption of the Affordable Connectivity Program (ACP)and Build Digital Skills BALTIMORE , Sept. 7, 2023 /PRNewswire/ -- Comcast and the Community College of Baltimore County (CCBC) today announced the launch of an innovative Digital Navigator program that will utilize trained students to get more Baltimore-area residents – including CCBC students – connected to the Internet at home, while also teaching digital literacy skills and how to use devices.
Hulu sale date brought forward by Comcast and Disney
Comcast (NASDAQ:CMCSA) has moved forward the date for the sale of its stake in the Hulu streaming venture with Disney to the end of the month (September).  “As of September 30, after some short period of time, Disney can call, we can put, and I believe that's what will end up happening,”  Brian Roberts, Comcast chief executive said at a conference on Wednesday : Disney and Comcast own Hulu 66%/33% respectively.
Bob Iger and Brian Roberts Are Set to Begin Hammering Out Details for Disney to Acquire Comcast's One-Third Stake in Hulu
Comcast CEO Brian Roberts revealed that he and Disney CEO Bob Iger agreed to move up the date to begin closing the Hulu deal. The agreement dates back to 2019, when Disney took operational control of the streaming service.
Comcast Corporation (CMCSA) CEO Brian Roberts presents at Goldman Sachs Communacopia + Technology Conference (Transcript)
Comcast Corporation (NASDAQ:CMCSA ) Goldman Sachs Communacopia + Technology Conference September 6, 2023 10:30 AM ET Company Participants Brian Roberts - Chairman &amp; Chief Executive Officer Conference Call Participants Brett Feldman - Goldman Sachs Brett Feldman All right. Well, welcome, everyone, to day two of our Communacopia + Technology Conference.
Comcast, Disney move up date for Hulu deal
Hulu had 48.3 million subscribers at the end of the most recent quarter, compared with 24 million paid subscribers for Peacock and 105.7 million global subscribers for Disney+.
Comcast, Disney move up deadline to decide Hulu future ownership
Comcast and Disney have been in discussions regarding Hulu's valuation.
Comcast extends date for Hulu deal with Disney to Sept 2024
Comcast has extended the date for the sale or purchase of its remaining stake in Hulu to Disney to Sept. 30 next year, CEO Brian Roberts said on Wednesday.
COMCAST AWARDS $110,000 TO SUPPORT DIGITAL EQUITY AND BROADBAND ADOPTION EFFORTS ACROSS WESTERN MASSACHUSETTS
The Urban League of Greater Springfield, the Boys &amp; Girls Club of Greater Holyoke and the Western Massachusetts Alliance for Digital Equity all Receive Grants SPRINGFIELD, Mass. , Sept. 6, 2023 /PRNewswire/ -- Comcast today announced it is awarding a total of $110,000 to three nonprofit organizations throughout western Massachusetts to help advance digital literacy skills.
NFL games are shifting away from traditional TV. Are you ready to stream some football?
The NFL season, which kicks off Thursday, will see more games exclusively on streaming services as media companies invest more outside of traditional TV.</t>
  </si>
  <si>
    <t xml:space="preserve">           1y Target Est                       49.09
           52 Week Range               28.39 - 47.46
                     Ask                45.41 x 2200
             Avg. Volume                  17217782.0
       Beta (5Y Monthly)                        0.99
                     Bid                45.40 x 1300
             Day's Range               44.93 - 45.71
               EPS (TTM)                        1.59
           Earnings Date Oct 25, 2023 - Oct 30, 2023
        Ex-Dividend Date                Oct 03, 2023
Forward Dividend &amp; Yield                1.16 (2.58%)
              Market Cap                    187.013B
                    Open                       45.08
          PE Ratio (TTM)                       28.51
          Previous Close                       45.03
             Quote Price                   45.334999
                  Volume                   6832263.0
    Market Cap (intraday) 185.75B
         Enterprise Value 276.10B
             Trailing P/E   28.32
              Forward P/E   10.70
PEG Ratio (5 yr expected)    0.77
        Price/Sales (ttm)    1.60
         Price/Book (mrq)    2.21
 Enterprise Value/Revenue    2.29
  Enterprise Value/EBITDA    9.50</t>
  </si>
  <si>
    <t>Consumers Energy Releases 56 Turtles Rescued During Pipeline Project into Native Habitat
DANSVILLE, Mich. , Sept. 7, 2023 /PRNewswire/ -- Consumers Energy released 56 turtle hatchlings today back into natural wetland habitats after the juveniles were rescued as eggs along the path of the Mid-Michigan Pipeline Project.</t>
  </si>
  <si>
    <t>CMS Energy</t>
  </si>
  <si>
    <t xml:space="preserve">           1y Target Est                        65.0
           52 Week Range               52.41 - 70.46
                     Ask                  0.00 x 900
             Avg. Volume                   1703590.0
       Beta (5Y Monthly)                        0.37
                     Bid                  0.00 x 900
             Day's Range               55.84 - 56.44
               EPS (TTM)                         2.5
           Earnings Date Oct 25, 2023 - Oct 30, 2023
        Ex-Dividend Date                Aug 03, 2023
Forward Dividend &amp; Yield                1.95 (3.48%)
              Market Cap                     16.389B
                    Open                       55.73
          PE Ratio (TTM)                       22.47
          Previous Close                       55.97
             Quote Price                       56.18
                  Volume                    393856.0
    Market Cap (intraday) 16.33B
         Enterprise Value 31.28B
             Trailing P/E  22.39
              Forward P/E  16.69
PEG Ratio (5 yr expected)   2.20
        Price/Sales (ttm)   2.00
         Price/Book (mrq)   2.36
 Enterprise Value/Revenue   3.84
  Enterprise Value/EBITDA  12.31</t>
  </si>
  <si>
    <t>Cord Blood Registry® Announces Thought Leadership Role at Cord Blood Connect
Marquee industry conference will showcase data from CBR's Newborn Possibilities Program® TRUMBULL, Conn. , Sept. 8, 2023 /PRNewswire/ -- CooperSurgical, a global leader in fertility and women's health, announced that Cord Blood Registry® (CBR®) will have a key role in the upcoming Cord Blood Connect meeting from September 8 th – 11th, which is the annual meeting of the Cord Blood Association.</t>
  </si>
  <si>
    <t>CooperCompanies</t>
  </si>
  <si>
    <t xml:space="preserve">           1y Target Est          409.62
           52 Week Range 244.22 - 399.62
                     Ask      0.00 x 800
             Avg. Volume        267175.0
       Beta (5Y Monthly)            0.91
                     Bid      0.00 x 800
             Day's Range 349.19 - 352.39
               EPS (TTM)            5.53
           Earnings Date    Dec 07, 2023
        Ex-Dividend Date    Jul 26, 2023
Forward Dividend &amp; Yield    0.06 (0.02%)
              Market Cap         17.368B
                    Open           351.6
          PE Ratio (TTM)           63.42
          Previous Close          350.01
             Quote Price      350.695007
                  Volume         70583.0
    Market Cap (intraday) 17.33B
         Enterprise Value 19.81B
             Trailing P/E  63.29
              Forward P/E  24.39
PEG Ratio (5 yr expected)   2.38
        Price/Sales (ttm)   4.96
         Price/Book (mrq)   2.30
 Enterprise Value/Revenue   5.64
  Enterprise Value/EBITDA  23.45</t>
  </si>
  <si>
    <t>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Garmin (GRMN) Boosts Marine Offerings With its New Radars
Garmin (GRMN) launches two new magnetron dome radars, namely the GMR 18 xHD3 and the GMR 24 xHD3.
Garmin expands xHD3 series with new magnetron dome radars
New magnetron radomes offer premium features for maximum clarity, accuracy and awareness OLATHE, Kan. , Sept. 6, 2023 /PRNewswire/ -- Garmin (NYSE: GRMN), the world's most innovative and recognized marine electronics manufacturer, today announced the addition of two radars to the magnetron lineup, the GMR™ xHD3/HD3 dome radar series.
Garmin (GRMN) Expands Smartwatch Offerings With Venu 3 Series
Garmin (GRMN) unveils a series of premium multisport GPS smartwatches, namely Venu 3 and Venu 3S, to boost its smartwatch offerings.</t>
  </si>
  <si>
    <t xml:space="preserve">           1y Target Est                       112.0
           52 Week Range              76.37 - 108.56
                     Ask                  0.00 x 900
             Avg. Volume                    757880.0
       Beta (5Y Monthly)                        0.92
                     Bid                  0.00 x 900
             Day's Range             102.88 - 104.59
               EPS (TTM)                        5.17
           Earnings Date Oct 24, 2023 - Oct 30, 2023
        Ex-Dividend Date                Sep 14, 2023
Forward Dividend &amp; Yield                2.92 (2.84%)
              Market Cap                     20.014B
                    Open                      102.97
          PE Ratio (TTM)                       20.22
          Previous Close                      102.77
             Quote Price                  104.540001
                  Volume                    160107.0
    Market Cap (intraday) 19.68B
         Enterprise Value 18.11B
             Trailing P/E  19.88
              Forward P/E  18.45
PEG Ratio (5 yr expected)   1.95
        Price/Sales (ttm)   4.02
         Price/Book (mrq)   3.21
 Enterprise Value/Revenue   3.68
  Enterprise Value/EBITDA  15.66</t>
  </si>
  <si>
    <t>Why Is Zoetis (ZTS) Down 1.3% Since Last Earnings Report?
Zoetis (ZTS) reported earnings 30 days ago. What's next for the stock?
4 Top Dividend Growth Stocks of the S&amp;P 500 That Have Major Long-Term Potential for Investors
These companies have delivered annual dividend growth of 24% to 35% over the last five years. Despite this rapid pace, the highest payout ratio of the group is only 39%.
Zoetis Foundation Announces $2.6 Million in Grants to Advance Opportunities for Veterinarians and Livestock Farmers
PARSIPPANY, N.J.--(BUSINESS WIRE)---- $ZTS #DrivenToCare--Today, the Zoetis Foundation announced that it will distribute $2.6 million during its second round of 2023 grants, supporting six initiatives to help enable thriving professions and livelihoods for livestock farmers and veterinary professionals. The Zoetis Foundation has selected grantees that will help provide greater access to education and mental wellness resources, provide veterinary education debt relief funding, support diversity and inclusion efforts,.
Zoetis to Participate in the Morgan Stanley 21st Annual Global Healthcare Conference
PARSIPPANY, N.J.--(BUSINESS WIRE)---- $ZTS #Fortune500--Zoetis Inc. (NYSE:ZTS) will participate in the Morgan Stanley 21st Annual Global Healthcare Conference on Tuesday, Sept. 12, 2023. Wetteny Joseph, Executive Vice President and Chief Financial Officer, will represent the company and respond to questions from analysts. He is scheduled to present at 12:55 p.m. ET. Investors and other interested parties will be able to access a live audio webcast of the presentation by visiting http://investor.zoetis.com/events-pr.</t>
  </si>
  <si>
    <t xml:space="preserve">           1y Target Est                      221.23
           52 Week Range             124.15 - 194.99
                     Ask                 0.00 x 1100
             Avg. Volume                   1850361.0
       Beta (5Y Monthly)                        0.77
                     Bid                  0.00 x 800
             Day's Range             185.46 - 187.20
               EPS (TTM)                        4.76
           Earnings Date Nov 01, 2023 - Nov 06, 2023
        Ex-Dividend Date                Jul 20, 2023
Forward Dividend &amp; Yield                1.50 (0.81%)
              Market Cap                     85.845B
                    Open                      186.16
          PE Ratio (TTM)                       39.18
          Previous Close                      185.78
             Quote Price                  186.490005
                  Volume                    238434.0
    Market Cap (intraday) 85.52B
         Enterprise Value 90.55B
             Trailing P/E  39.11
              Forward P/E  29.59
PEG Ratio (5 yr expected)   3.14
        Price/Sales (ttm)  10.53
         Price/Book (mrq)  18.49
 Enterprise Value/Revenue  11.01
  Enterprise Value/EBITDA  25.59</t>
  </si>
  <si>
    <t>BANK INVESTMENT AIMS TO IMPROVE REVENUE CYCLE FOR HEALTHCARE INDUSTRY
Huntington Bancshares Incorporated, Veuu to create AI-based solutions to address pain points COLUMBUS, Ohio , Sept. 7, 2023 /PRNewswire/ -- Huntington Bancshares Incorporated has invested in Veuu, a healthcare fintech, to develop artificial intelligence-based solutions to revenue cycle challenges common within the healthcare industry.</t>
  </si>
  <si>
    <t xml:space="preserve">           1y Target Est         12.83
           52 Week Range  9.13 - 15.74
                     Ask  10.92 x 2900
             Avg. Volume    12691483.0
       Beta (5Y Monthly)           1.1
                     Bid  10.91 x 1300
             Day's Range 10.89 - 11.07
               EPS (TTM)          1.55
           Earnings Date  Oct 20, 2023
        Ex-Dividend Date  Sep 15, 2023
Forward Dividend &amp; Yield  0.62 (5.70%)
              Market Cap       15.804B
                    Open         10.99
          PE Ratio (TTM)          7.04
          Previous Close         10.87
             Quote Price        10.915
                  Volume     5066573.0
    Market Cap (intraday) 15.74B
         Enterprise Value    NaN
             Trailing P/E   7.01
              Forward P/E   8.17
PEG Ratio (5 yr expected)   7.43
        Price/Sales (ttm)   2.09
         Price/Book (mrq)   0.97
 Enterprise Value/Revenue    NaN
  Enterprise Value/EBITDA    NaN</t>
  </si>
  <si>
    <t>3 Stocks to Play the Easing Food Supply Chain
Rampant inflation affected price tags across every sector, including grocery items and restaurants. Today, thanks to the efforts made by the FED in combating these out-of-control price increases, consumers have an easier time budgeting for these items.</t>
  </si>
  <si>
    <t xml:space="preserve">           1y Target Est                      199.96
           52 Week Range             156.28 - 209.21
                     Ask                184.46 x 900
             Avg. Volume                    752685.0
       Beta (5Y Monthly)                        1.16
                     Bid               184.36 x 1300
             Day's Range             184.27 - 186.10
               EPS (TTM)                         8.2
           Earnings Date Oct 17, 2023 - Oct 21, 2023
        Ex-Dividend Date                Aug 03, 2023
Forward Dividend &amp; Yield                1.68 (0.91%)
              Market Cap                     19.054B
                    Open                      185.39
          PE Ratio (TTM)                       22.48
          Previous Close                      184.63
             Quote Price                  184.369995
                  Volume                    114171.0
    Market Cap (intraday) 19.08B
         Enterprise Value 20.23B
             Trailing P/E  22.54
              Forward P/E  20.12
PEG Ratio (5 yr expected)   3.94
        Price/Sales (ttm)   1.40
         Price/Book (mrq)   4.88
 Enterprise Value/Revenue   1.46
  Enterprise Value/EBITDA  10.72</t>
  </si>
  <si>
    <t>SXI vs. IEX: Which Stock Is the Better Value Option?
Investors interested in Manufacturing - General Industrial stocks are likely familiar with Standex International (SXI) and Idex (IEX). But which of these two stocks offers value investors a better bang for their buck right now?
IDEX Corporation Declares Regular Quarterly Cash Dividend
NORTHBROOK, Ill.--(BUSINESS WIRE)--IDEX CORPORATION (NYSE:IEX) today announced that its Board of Directors has approved a regular quarterly cash dividend of $0.64 per common share. This dividend will be paid October 27, 2023 to shareholders of record as of October 13, 2023. This dividend represents the company's 116th consecutive regular quarterly cash dividend payment. About IDEX IDEX Corporation (NYSE: IEX) makes thousands of products and mission-critical components that improve everyday life.</t>
  </si>
  <si>
    <t xml:space="preserve">           1y Target Est                      233.41
           52 Week Range             195.27 - 246.23
                     Ask                 0.00 x 1000
             Avg. Volume                    551103.0
       Beta (5Y Monthly)                        0.99
                     Bid                 0.00 x 1300
             Day's Range             213.98 - 217.10
               EPS (TTM)                        7.71
           Earnings Date Oct 23, 2023 - Oct 27, 2023
        Ex-Dividend Date                Oct 12, 2023
Forward Dividend &amp; Yield                2.56 (1.18%)
              Market Cap                     16.187B
                    Open                      216.92
          PE Ratio (TTM)                       27.77
          Previous Close                      216.09
             Quote Price                  214.110001
                  Volume                     92187.0
    Market Cap (intraday) 16.34B
         Enterprise Value 17.47B
             Trailing P/E  27.99
              Forward P/E  24.57
PEG Ratio (5 yr expected)   2.14
        Price/Sales (ttm)   4.93
         Price/Book (mrq)   4.98
 Enterprise Value/Revenue   5.25
  Enterprise Value/EBITDA  18.69</t>
  </si>
  <si>
    <t>Kraft Heinz: 5% Yield And Up To 40% Undervalued
Rising interest rates and inflation are posing risks of stagflation, impacting even strong stocks like The Kraft Heinz Company. KHC is implementing strategic moves, such as entering the school lunch market, to boost organic net sales and profitability. With a strong balance sheet and commitment to maintaining dividends, KHC stock is attractively valued and poised for significant upside in the coming years.
The Kraft Heinz Company (KHC) Barclays Global Consumer Staples Conference (Transcript)
The Kraft Heinz Company (NASDAQ:KHC ) Barclays Global Consumer Staples Conference Call September 6, 2023 11:15 AM ET Company Participants Carlos Abrams-Rivera - President of Kraft Heinz Miguel Patricio - Chief Executive Officer Andre Maciel - Executive Vice President and Global Chief Financial Officer Conference Call Participants Andrew Lazar - Barclays Bank PLC Andrew Lazar Why don't we kick this off, our next fireside chat with Kraft Heinz. With me today are Chairman and CEO, Miguel Patricio; CFO, Andre Maciel; and EVP and President of North America as well as CEO-elect, Carlos Abrams-Rivera.
Kraft Heinz's Beloved Kids' Brands Enter the Book Business with New FUNdamental Textbooks
CHICAGO &amp; PITTSBURGH--(BUSINESS WIRE)--Summer encapsulates the very essence of childhood fun: friends, freedom, outdoor play, relaxed rules, and no homework. As post summer blues set in and kids return to the classroom, Kraft Heinz uncovered that more than half of parents in the U.S. worry that their kids won't enjoy school this year and over 75 percent believe that more play in school would make their child more engaged. On a mission to make education fun and engaging, Kraft Heinz's most belov.</t>
  </si>
  <si>
    <t xml:space="preserve">           1y Target Est                        41.1
           52 Week Range               32.42 - 42.80
                     Ask                33.58 x 1100
             Avg. Volume                   7638932.0
       Beta (5Y Monthly)                        0.68
                     Bid                33.57 x 2900
             Day's Range               33.04 - 33.64
               EPS (TTM)                        2.56
           Earnings Date Oct 24, 2023 - Oct 30, 2023
        Ex-Dividend Date                Aug 31, 2023
Forward Dividend &amp; Yield                1.60 (4.85%)
              Market Cap                     41.234B
                    Open                       33.07
          PE Ratio (TTM)                       13.11
          Previous Close                       32.96
             Quote Price                       33.57
                  Volume                   3152143.0
    Market Cap (intraday) 40.48B
         Enterprise Value 59.53B
             Trailing P/E  12.88
              Forward P/E  11.01
PEG Ratio (5 yr expected)   1.42
        Price/Sales (ttm)   1.49
         Price/Book (mrq)   0.81
 Enterprise Value/Revenue   2.20
  Enterprise Value/EBITDA  10.57</t>
  </si>
  <si>
    <t>The 5 Best World-Beater Blue Chips For A Super Pandemic
The COVID-19 pandemic significantly impacted the global economy, costing around $70 trillion, about 10.5 years' income for American workers. Science- and evidence-based living is the best way to protect your health and wealth from the inevitable Super flu pandemic that is a 4% risk in any given year. Up to 500 million people could die, with some estimates as high as 1 billion deaths in an H5N1 avian super pandemic.</t>
  </si>
  <si>
    <t xml:space="preserve">           1y Target Est                      169.54
           52 Week Range             139.28 - 202.66
                     Ask                150.35 x 800
             Avg. Volume                    523591.0
       Beta (5Y Monthly)                        0.64
                     Bid                150.23 x 800
             Day's Range             150.07 - 152.80
               EPS (TTM)                        5.03
           Earnings Date Nov 06, 2023 - Nov 10, 2023
        Ex-Dividend Date                Sep 07, 2023
Forward Dividend &amp; Yield                2.05 (1.35%)
              Market Cap                     10.969B
                    Open                      152.28
          PE Ratio (TTM)                        29.9
          Previous Close                       151.4
             Quote Price                  150.399994
                  Volume                     88763.0
    Market Cap (intraday) 11.04B
         Enterprise Value 11.31B
             Trailing P/E  30.16
              Forward P/E  30.40
PEG Ratio (5 yr expected)   3.15
        Price/Sales (ttm)   5.33
         Price/Book (mrq)   6.86
 Enterprise Value/Revenue   5.44
  Enterprise Value/EBITDA  16.62</t>
  </si>
  <si>
    <t>Black Knight Originations Market Monitor: Mortgage Activity Falls as Rates Hit Two-Decade High Amid Seasonal Headwinds
According to the Optimal Blue Mortgage Market Indices, 30-year conforming rates climbed above 7.25% in August, the highest level in more than 20 years, before settling to 7.07% at the end of the month Overall rate lock volumes were down for the third consecutive month, falling 1.5% from July, driven by a 1.9% decrease in purchase volume Purchase lock counts were down 22% year over year and 34% compared to 2019 pre-pandemic levels, as higher interest rates and the tightest affordability since the early 1980s dampened demand As reported in Black Knight's August Mortgage Monitor report, signs of credit tightening have been seen in rising down payments, falling loan-to-value ratios and higher credit scores Average purchase price edged lower for the second straight month to $450K, with an average loan amount of $352K in August The average credit score among primary residence purchase locks dropped slightly for the first time since November 2022, but remains close to an all-time high The share of adjustable-rate mortgages (ARMs) continued to fall, dropping to 6.56% of August's lock activity, as rate offerings for such products continue to be less competitive against fixed products JACKSONVILLE, Fla. , Sept. 11, 2023 /PRNewswire/ -- Today, Black Knight, now a part of Intercontinental Exchange (NYSE:ICE), announced the release of its latest Originations Market Monitor report, looking at mortgage activity through August 2023 month-end.
NYSE President and ICE Fixed Income &amp; Data Services Chair Lynn Martin to Present at the UBS Fintech Leaders Conference on September 14
ATLANTA &amp; NEW YORK--(BUSINESS WIRE)--Intercontinental Exchange, Inc. (NYSE:ICE), a leading global provider of data, technology, and market infrastructure, announced today that Lynn Martin, NYSE President and Fixed Income &amp; Data Services Chair, will present at the UBS Fintech Leaders Conference. The presentation will take place on Thursday, September 14 at 10:00 a.m. ET. The presentation will be available live and in replay via webcast and can be accessed in the investor relations and media.
Black Knight: As Interest Rates Hit 22-Year Highs, 51% of Homebuyers Face $2,000+ Monthly Mortgage Payments; Nearly a Quarter Face $3,000 Payments or More
In July 2023, the average monthly principal and interest (P&amp;I) payment for borrowers purchasing a home using a 30-year fixed-rate loan was $2,306 – before taxes and insurance are even included That's the highest average P&amp;I payment on record and has risen by 60% (+$871) over the past two years; it's also poised to push even higher given recent rate increases More than half of such July purchase originations had a payment of more than $2,000 a month, up from just 18% 2 years ago, with nearly a quarter (23%) having payments of more than $3,000 – up from 5% in 2021 Beyond purchase affordability, rising interest rates are also having a clear and decisive impact on how much equity mortgage holders are willing to withdraw from their homes, and by what means Mortgage holders tapped $39B in equity in Q2 2023 via cash-out refis as well as home equity loans and lines of credit, up modestly from the first quarter but just half the volume of Q1 2022 ($79B) before rates began to rise From 2010-2021, mortgage holders withdrew an average 0.92% of available tappable equity each quarter; that share has fallen to just 0.4% over the past three quarters, resulting in a roughly 55% decline in equity withdrawals Put simply, since rates began their climb roughly 15 months ago, nearly $200B in equity that might have otherwise been withdrawn and injected into the broader economy has remained untapped JACKSONVILLE, Fla. , Sept. 6, 2023 /PRNewswire/ -- Today, Black Knight, Inc., now part of Intercontinental Exchange, Inc. (NYSE: ICE), released its September 2023 Mortgage Monitor Report, based on the company's industry-leading mortgage, real estate and public records data sets.
Intercontinental Exchange Reports August 2023 Statistics
ATLANTA &amp; NEW YORK--(BUSINESS WIRE)--Intercontinental Exchange, Inc. (NYSE:ICE), a leading global provider of data, technology and market infrastructure, today reported August 2023 trading volume and related revenue statistics, which can be viewed on the company's investor relations website at https://ir.theice.com/ir-resources/supplemental-information in the Monthly Statistics Tracking spreadsheet. August highlights include: Total average daily volume (ADV) up 12% y/y Energy ADV up 34% y/y; op.
Enterprise and Magellan's Terminal Transfer Fee Waiver for ICE Midland WTI (HOU) Extended Through 2024 as HOU Trades at Record Levels During August
HOUSTON--(BUSINESS WIRE)--Intercontinental Exchange, Inc. (NYSE: ICE), a leading global provider of data, technology, and market infrastructure, today announced that Enterprise Products Partners L.P. (NYSE: EPD) and Magellan Midstream Partners, L.P. (NYSE: MMP) have extended their fee waiver arrangement between the Enterprise Crude Houston (“ECHO”) and Magellan East Houston (“MEH”) terminals to transfer crude oil delivered through ICE's Midland WTI futures contract (ICE: HOU) until December 31,.
ICE Completes $11.9 Billion Acquisition of Black Knight After Settling FTC Concerns
Intercontinental Exchange (ICE) completed its $11.9 billion purchase of software, data, and analytics company Black Knight (BKI) after federal regulators dropped their opposition to the deal.
Intercontinental Exchange Completes Acquisition of Black Knight and Announces Preliminary Results of Elections Made by Black Knight Stockholders in Connection with the Acquisition
ATLANTA &amp; NEW YORK &amp; JACKSONVILLE, Fla.--(BUSINESS WIRE)--Intercontinental Exchange, Inc. (NYSE: ICE), a leading global provider of data, technology, and market infrastructure, and Black Knight, Inc. (NYSE: BKI), a software, data and analytics company that serves the housing finance continuum, including real estate data, mortgage lending and servicing, as well as the secondary markets, today announced that ICE has completed its acquisition of Black Knight. The Black Knight acquisition follows I.</t>
  </si>
  <si>
    <t xml:space="preserve">           1y Target Est                      133.98
           52 Week Range              88.60 - 118.79
                     Ask                 0.00 x 1000
             Avg. Volume                   2359779.0
       Beta (5Y Monthly)                        0.94
                     Bid                 0.00 x 1300
             Day's Range             114.45 - 114.99
               EPS (TTM)                        3.01
           Earnings Date Nov 01, 2023 - Nov 06, 2023
        Ex-Dividend Date                Sep 14, 2023
Forward Dividend &amp; Yield                1.68 (1.48%)
              Market Cap                     65.551B
                    Open                      115.43
          PE Ratio (TTM)                       38.13
          Previous Close                      114.96
             Quote Price                  114.760002
                  Volume                    534912.0
    Market Cap (intraday) 65.67B
         Enterprise Value 81.13B
             Trailing P/E  38.19
              Forward P/E  18.80
PEG Ratio (5 yr expected)   1.08
        Price/Sales (ttm)   6.73
         Price/Book (mrq)   2.76
 Enterprise Value/Revenue   8.41
  Enterprise Value/EBITDA  22.85</t>
  </si>
  <si>
    <t>Have $1,500 to Invest? 2 Growth Stocks to Buy Now
E-commerce and healthcare spending are projected to grow significantly in the years ahead. Shopify is capitalizing on the AI boom and just entered a game-changing partnership with an e-commerce giant.
The 5 Best Healthcare Stocks to Buy Now: September 2023
In today's dynamic market, many investors are paying attention to the healthcare sector. The segment is known for its resilience and potential for growth.
With 2x Potential Returns Is DexCom A Better Pick Over Intuitive Surgical?
We believe DexCom stock (NASDAQ: DXCM) is a better healthcare pick than Intuitive Surgical stock (NASDAQ: ISRG).
2 Nasdaq 100 Stocks That Are Surefire Buys in September and 1 to Avoid Like the Plague
Despite bouncing 42% (year-to-date) through the end of August, the Nasdaq 100 still sits 7% below its all-time high. Two Nasdaq 100 components have well-defined moats within their specific industries that should cultivate a sustained double-digit growth rate.
3 Med Tech Stocks That the AI Boom Will Only Help
Med tech stocks are ripe for growth due to the advent of artificial intelligence ( AI ). AI is going to improve healthcare overall.
Intuitive Surgical, Inc. (ISRG) Management Presents at 2023 Wells Fargo Healthcare Conference (Transcript)
Intuitive Surgical, Inc. (NASDAQ:ISRG ) 2023 Wells Fargo Healthcare Conference Transcript September 7, 2023 3:00 PM ET Executives Jamie Samath - Senior Vice President and CFO Brian King - Treasurer and Head, Investor Relations Analysts Larry Biegelsen - Wells Fargo Larry Biegelsen Good afternoon. I am Larry Biegelsen, the Medical Device Analyst at Wells Fargo and it's my pleasure to host this session with Intuitive Surgical.
Is Trending Stock Intuitive Surgical, Inc. (ISRG) a Buy Now?
Intuitive Surgical, Inc. (ISRG) has received quite a bit of attention from Zacks.com users lately. Therefore, it is wise to be aware of the facts that can impact the stock's prospects.</t>
  </si>
  <si>
    <t xml:space="preserve">           1y Target Est                      367.95
           52 Week Range             180.07 - 358.07
                     Ask               302.31 x 1000
             Avg. Volume                   1804038.0
       Beta (5Y Monthly)                         1.3
                     Bid                302.07 x 800
             Day's Range             298.70 - 302.49
               EPS (TTM)                         4.0
           Earnings Date Oct 16, 2023 - Oct 20, 2023
        Ex-Dividend Date                         NaN
Forward Dividend &amp; Yield                   N/A (N/A)
              Market Cap                    106.206B
                    Open                       300.0
          PE Ratio (TTM)                       75.57
          Previous Close                      298.22
             Quote Price                  302.274994
                  Volume                    446770.0
    Market Cap (intraday) 104.78B
         Enterprise Value 100.64B
             Trailing P/E   74.74
              Forward P/E   45.87
PEG Ratio (5 yr expected)    2.97
        Price/Sales (ttm)   16.00
         Price/Book (mrq)    8.82
 Enterprise Value/Revenue   15.10
  Enterprise Value/EBITDA   50.11</t>
  </si>
  <si>
    <t>3 Tumbling Growth Stocks Worth Buying on the Dip
Johnson Controls is a play on corporate commitment to net zero emissions.  Li-Cycle recycles used lithium-ion batteries found in various products.</t>
  </si>
  <si>
    <t xml:space="preserve">           1y Target Est                       72.47
           52 Week Range               48.82 - 70.43
                     Ask                  0.00 x 800
             Avg. Volume                   3870504.0
       Beta (5Y Monthly)                        1.26
                     Bid                 0.00 x 1000
             Day's Range               57.22 - 57.75
               EPS (TTM)                        2.98
           Earnings Date Nov 01, 2023 - Nov 06, 2023
        Ex-Dividend Date                Jun 16, 2023
Forward Dividend &amp; Yield                1.48 (2.58%)
              Market Cap                     38.969B
                    Open                       57.74
          PE Ratio (TTM)                       19.22
          Previous Close                       57.35
             Quote Price                   57.279999
                  Volume                    960337.0
    Market Cap (intraday) 39.02B
         Enterprise Value 47.72B
             Trailing P/E  19.24
              Forward P/E  14.35
PEG Ratio (5 yr expected)   0.75
        Price/Sales (ttm)   1.49
         Price/Book (mrq)   2.39
 Enterprise Value/Revenue   1.79
  Enterprise Value/EBITDA  16.52</t>
  </si>
  <si>
    <t>Kimberly-Clark Corporation (KMB) CEO Mike Hsu presents at Barclays 2023 Global Consumer Staples Conference (Transcript)
Kimberly-Clark Corporation (NYSE:KMB ) Barclays 2023 Global Consumer Staples Conference September 6, 2023 9:45 AM ET Company Participants Mike Hsu - Chairman and Chief Executive Officer Nelson Urdaneta - Chief Financial Officer Conference Call Participants Lauren Lieberman - Barclays Capital Lauren Lieberman We are going to get started. Next up, we have Kimberly-Clark and we've got Mike Hsu, company's Chairman and Chief Executive Officer, and Nelson Urdaneta, the company's Chief Financial Officer.
Kimberly-Clark (KMB) is Poised on Growth Efforts, FORCE Program
Kimberly-Clark (KMB) is navigating the evolving landscape of consumer goods with a strategic blueprint that encompasses innovation, market growth, cost control and digital transformation.
Kimberly-Clark Corporation (KMB) is Attracting Investor Attention: Here is What You Should Know
Kimberly-Clark (KMB) has received quite a bit of attention from Zacks.com users lately. Therefore, it is wise to be aware of the facts that can impact the stock's prospects.</t>
  </si>
  <si>
    <t xml:space="preserve">           1y Target Est          138.06
           52 Week Range 108.74 - 147.87
                     Ask     0.00 x 1000
             Avg. Volume       1673495.0
       Beta (5Y Monthly)            0.41
                     Bid     0.00 x 1200
             Day's Range 127.78 - 128.66
               EPS (TTM)            4.84
           Earnings Date    Oct 24, 2023
        Ex-Dividend Date    Sep 07, 2023
Forward Dividend &amp; Yield    4.72 (3.70%)
              Market Cap          43.46B
                    Open          128.03
          PE Ratio (TTM)           26.55
          Previous Close          127.48
             Quote Price      128.509995
                  Volume        395377.0
    Market Cap (intraday) 43.11B
         Enterprise Value 50.67B
             Trailing P/E  26.28
              Forward P/E  18.87
PEG Ratio (5 yr expected)   2.39
        Price/Sales (ttm)   2.12
         Price/Book (mrq)  86.22
 Enterprise Value/Revenue   2.49
  Enterprise Value/EBITDA  17.20</t>
  </si>
  <si>
    <t>3 Midstream Stocks to Gain Amid Energy Market Volatility
Amid heightened volatility, it would be wise for investors to keep an eye on midstream stocks like Kinder Morgan (KMI), The Williams Companies (WMB) and MPLX.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t>
  </si>
  <si>
    <t xml:space="preserve">           1y Target Est                       20.32
           52 Week Range               16.00 - 19.36
                     Ask                 0.00 x 4000
             Avg. Volume                  12805375.0
       Beta (5Y Monthly)                        0.93
                     Bid                 0.00 x 4000
             Day's Range               16.67 - 16.91
               EPS (TTM)                        1.11
           Earnings Date Oct 17, 2023 - Oct 23, 2023
        Ex-Dividend Date                Jul 28, 2023
Forward Dividend &amp; Yield                1.13 (6.81%)
              Market Cap                     37.277B
                    Open                       16.88
          PE Ratio (TTM)                       15.07
          Previous Close                        16.8
             Quote Price                       16.73
                  Volume                   4025750.0
    Market Cap (intraday) 37.43B
         Enterprise Value 68.33B
             Trailing P/E  15.14
              Forward P/E  12.71
PEG Ratio (5 yr expected)   2.70
        Price/Sales (ttm)   2.20
         Price/Book (mrq)   1.22
 Enterprise Value/Revenue   3.99
  Enterprise Value/EBITDA  10.57</t>
  </si>
  <si>
    <t>Interpublic Group to Present at the BofA Securities Media, Communications &amp; Entertainment Conference
New York, NY, Sept. 08, 2023 (GLOBE NEWSWIRE) -- Interpublic Group (NYSE: IPG) senior management will present at the BofA Securities Media, Communications &amp; Entertainment Conference on Wednesday, September 13th, 2023, at 8:50 am Eastern time, as scheduled.</t>
  </si>
  <si>
    <t xml:space="preserve">           1y Target Est                        39.1
           52 Week Range               25.14 - 40.95
                     Ask                 0.00 x 1000
             Avg. Volume                   4375627.0
       Beta (5Y Monthly)                        1.11
                     Bid                 0.00 x 3000
             Day's Range               31.92 - 32.43
               EPS (TTM)                         2.4
           Earnings Date Oct 19, 2023 - Oct 23, 2023
        Ex-Dividend Date                Aug 31, 2023
Forward Dividend &amp; Yield                1.24 (3.91%)
              Market Cap                     12.335B
                    Open                       32.04
          PE Ratio (TTM)                       13.35
          Previous Close                       31.75
             Quote Price                   32.044998
                  Volume                    674109.0
    Market Cap (intraday) 12.22B
         Enterprise Value 15.25B
             Trailing P/E  13.23
              Forward P/E  11.06
PEG Ratio (5 yr expected)   3.20
        Price/Sales (ttm)   1.15
         Price/Book (mrq)   3.32
 Enterprise Value/Revenue   1.41
  Enterprise Value/EBITDA   9.11</t>
  </si>
  <si>
    <t>5 Sturdy Soft Drink Stocks to Watch as the Industry Paces Up
The Beverages - Soft Drinks industry is gaining momentum on robust share gains, improved pricing, digital growth and innovation despite the ongoing cost headwinds. Companies like KO, PEP, FMX, MNST and KDP look strong amid favorable industry trends.</t>
  </si>
  <si>
    <t xml:space="preserve">           1y Target Est                       38.76
           52 Week Range               30.47 - 39.73
                     Ask                 33.63 x 800
             Avg. Volume                   8976288.0
       Beta (5Y Monthly)                        0.58
                     Bid                33.63 x 4000
             Day's Range               33.37 - 33.72
               EPS (TTM)                        1.13
           Earnings Date Oct 25, 2023 - Oct 30, 2023
        Ex-Dividend Date                Jun 29, 2023
Forward Dividend &amp; Yield                0.80 (2.40%)
              Market Cap                     46.955B
                    Open                       33.43
          PE Ratio (TTM)                       29.74
          Previous Close                       33.36
             Quote Price                      33.605
                  Volume                   1970969.0
    Market Cap (intraday) 46.61B
         Enterprise Value 60.50B
             Trailing P/E  29.52
              Forward P/E  17.36
PEG Ratio (5 yr expected)   3.14
        Price/Sales (ttm)   3.25
         Price/Book (mrq)   1.84
 Enterprise Value/Revenue   4.15
  Enterprise Value/EBITDA  19.07</t>
  </si>
  <si>
    <t>Jennifer Meade Named President at Aldevron
FARGO, N.D. , Sept. 11, 2023 /PRNewswire/ -- Jennifer Meade has been named President of Aldevron, effective September 11 th 2023, as part of a planned leadership transition.</t>
  </si>
  <si>
    <t xml:space="preserve">           1y Target Est                       89.64
           52 Week Range               59.78 - 87.88
                     Ask                 73.00 x 800
             Avg. Volume                   1769298.0
       Beta (5Y Monthly)                        1.01
                     Bid                 72.98 x 900
             Day's Range               72.13 - 73.03
               EPS (TTM)                        1.93
           Earnings Date Oct 30, 2023 - Nov 03, 2023
        Ex-Dividend Date                         NaN
Forward Dividend &amp; Yield                   N/A (N/A)
              Market Cap                     17.866B
                    Open                       72.59
          PE Ratio (TTM)                       37.79
          Previous Close                       72.23
             Quote Price                   72.940002
                  Volume                    474187.0
    Market Cap (intraday) 17.69B
         Enterprise Value 17.77B
             Trailing P/E  37.04
              Forward P/E  17.83
PEG Ratio (5 yr expected)    NaN
        Price/Sales (ttm)   4.47
         Price/Book (mrq)   3.41
 Enterprise Value/Revenue   4.40
  Enterprise Value/EBITDA  15.65</t>
  </si>
  <si>
    <t>Hess Announces Regular Quarterly Dividend On Common Stock
NEW YORK--(BUSINESS WIRE)--Hess Announces Regular Quarterly Dividend On Common Stock.
3 Integrated US Energy Stocks Set to Escape Industry Weakness
Extreme volatility in oil and gas prices, and high input price in refining activities are making the outlook for the Zacks Oil &amp; Gas US Integrated industry gloomy. ConocoPhillips (COP), Occidental (OXY) and Hess (HES) are likely to survive the business challenges.</t>
  </si>
  <si>
    <t xml:space="preserve">           1y Target Est                      168.05
           52 Week Range             100.34 - 162.86
                     Ask                 0.00 x 1400
             Avg. Volume                   1669216.0
       Beta (5Y Monthly)                         1.6
                     Bid                 0.00 x 1000
             Day's Range             158.20 - 162.86
               EPS (TTM)                        4.78
           Earnings Date Oct 24, 2023 - Oct 30, 2023
        Ex-Dividend Date                Sep 15, 2023
Forward Dividend &amp; Yield                1.75 (1.09%)
              Market Cap                       48.6B
                    Open                      161.92
          PE Ratio (TTM)                       33.11
          Previous Close                      160.52
             Quote Price                  158.119995
                  Volume                    565445.0
    Market Cap (intraday) 49.29B
         Enterprise Value 56.33B
             Trailing P/E  33.51
              Forward P/E  19.34
PEG Ratio (5 yr expected)   0.29
        Price/Sales (ttm)   4.60
         Price/Book (mrq)   5.96
 Enterprise Value/Revenue   5.24
  Enterprise Value/EBITDA  10.86</t>
  </si>
  <si>
    <t>Here's Why It Is Worth Investing in Ingersoll Rand (IR) Stock
Strength in the Industrial Technologies &amp; Services segment, driven by solid demand and higher orders, augurs well for Ingersoll Rand (IR). The company's shareholder-friendly policies are promising.
Ingersoll Rand Names Santiago Arias Duval as Interim Leader for Global Precision &amp; Science Technologies Business Segment
DAVIDSON, N.C.--(BUSINESS WIRE)--Ingersoll Rand Inc. (NYSE: IR) today announced Santiago Arias Duval, vice president and general manager of Life Sciences, to serve as the interim business leader for the global Precision &amp; Science Technologies (PST) business segment, effective immediately. Enrique Minarro Viseras, who previously served as the senior vice president and general manager of PST, will depart the company on September 8, 2023 to pursue an external opportunity. While the company con.
4 Stocks Backed by High Efficiency to Strengthen Your Portfolio
Invest in companies like Dillard's (DDS), The Andersons (ANDE), Shift4 Payments (FOUR) and Ingersoll Rand (IR) to make the most of their higher efficiency levels.</t>
  </si>
  <si>
    <t xml:space="preserve">           1y Target Est                       74.98
           52 Week Range               42.20 - 70.65
                     Ask                  0.00 x 800
             Avg. Volume                   2344567.0
       Beta (5Y Monthly)                        1.43
                     Bid                 0.00 x 1800
             Day's Range               68.06 - 70.22
               EPS (TTM)                        1.68
           Earnings Date Oct 31, 2023 - Nov 06, 2023
        Ex-Dividend Date                Aug 22, 2023
Forward Dividend &amp; Yield                0.08 (0.12%)
              Market Cap                     27.653B
                    Open                       69.82
          PE Ratio (TTM)                        40.7
          Previous Close                       69.42
             Quote Price                   68.379997
                  Volume                   1018583.0
    Market Cap (intraday) 28.07B
         Enterprise Value 29.66B
             Trailing P/E  41.32
              Forward P/E  21.74
PEG Ratio (5 yr expected)   1.46
        Price/Sales (ttm)   4.40
         Price/Book (mrq)   2.98
 Enterprise Value/Revenue   4.60
  Enterprise Value/EBITDA  20.38</t>
  </si>
  <si>
    <t>Henry Schein Hosts 26th Annual ‘Back to School' Program, Helping Students Worldwide Start The School Year Successfully
MELVILLE, N.Y.--(BUSINESS WIRE)--For the 26th consecutive year, Henry Schein, Inc. (Nasdaq: HSIC) is helping children around the world start the academic year off right through its “Back to School” program, a flagship initiative of Henry Schein Cares, the Company's global corporate social responsibility program. Team Schein Members at 32 locations in the U.S., Canada, U.K., and Ireland are providing nearly 5,000 students with backpacks filled with school supplies and hygiene essentials, with mo.
Henry Schein to Present at Investor Conferences in September 2023
MELVILLE, N.Y.--(BUSINESS WIRE)--Henry Schein to present at investor conferences in September 2023.</t>
  </si>
  <si>
    <t xml:space="preserve">           1y Target Est                       82.84
           52 Week Range               64.75 - 89.72
                     Ask                74.42 x 1000
             Avg. Volume                    869058.0
       Beta (5Y Monthly)                        0.81
                     Bid                 74.39 x 800
             Day's Range               73.79 - 74.55
               EPS (TTM)                        3.41
           Earnings Date Oct 30, 2023 - Nov 03, 2023
        Ex-Dividend Date                         NaN
Forward Dividend &amp; Yield                   N/A (N/A)
              Market Cap                      9.735B
                    Open                        74.0
          PE Ratio (TTM)                       21.86
          Previous Close                       73.88
             Quote Price                   74.550003
                  Volume                    119511.0
    Market Cap (intraday)  9.65B
         Enterprise Value 11.39B
             Trailing P/E  21.60
              Forward P/E  12.82
PEG Ratio (5 yr expected)   1.51
        Price/Sales (ttm)   0.79
         Price/Book (mrq)   2.71
 Enterprise Value/Revenue   0.90
  Enterprise Value/EBITDA  12.74</t>
  </si>
  <si>
    <t>Illinois Tool (ITW) Picks O'Herlihy as CEO, Santi to Retire
Illinois Tool (ITW) appoints current vice chairman, Christopher A. O'Herlihy, as its new CEO and president.
ITW Announces CEO Succession Plan
Vice Chairman Christopher A. O'Herlihy Named President and Chief Executive Officer E.
Miller Announces New Millermatic® 142 MIG Welder
Lightweight machine in the 140-amp class delivers professional-quality welds for any project APPLETON, Wis. , Sept. 5, 2023 /PRNewswire/ -- Miller Electric Mfg.
Dividend Income Summary: Lanny's August 2023 Summary
2023 has been one heck of a year. The S&amp;P 500 is close to all-time highs. The Fed raised interest rates in July, as the economy is still on fire. The retirement accounts brought in a total dividend income amount of $379.48 or 22% of the dividend income total, similar to last month. Dividend increases created $42.95 in additional passive dividend income.</t>
  </si>
  <si>
    <t xml:space="preserve">           1y Target Est                      245.74
           52 Week Range             180.27 - 264.19
                     Ask                  0.00 x 800
             Avg. Volume                   1020450.0
       Beta (5Y Monthly)                        1.16
                     Bid                  0.00 x 800
             Day's Range             236.35 - 240.02
               EPS (TTM)                       10.11
           Earnings Date Oct 23, 2023 - Oct 27, 2023
        Ex-Dividend Date                Sep 28, 2023
Forward Dividend &amp; Yield                5.60 (2.35%)
              Market Cap                      71.75B
                    Open                      239.53
          PE Ratio (TTM)                       23.47
          Previous Close                      238.45
             Quote Price                  237.274994
                  Volume                    308261.0
    Market Cap (intraday) 72.10B
         Enterprise Value 79.40B
             Trailing P/E  23.61
              Forward P/E  22.73
PEG Ratio (5 yr expected)   2.61
        Price/Sales (ttm)   4.55
         Price/Book (mrq)  23.31
 Enterprise Value/Revenue   4.94
  Enterprise Value/EBITDA  17.27</t>
  </si>
  <si>
    <t>For a Limited Time, Hormel Foodservice Offers Cure 81® Pumpkin Spice Ham
Available only this fall, these hams are available to be ordered until Sept. 15 AUSTIN, Minn.
These 5 Dividend Aristocrats are Quality Stocks for AI Investing
AI investing is hot and not contained in the tech world. While names like NVIDIA NASDAQ: NVDA garner much attention, numerous blue-chip names are already leaning into the AI action.</t>
  </si>
  <si>
    <t xml:space="preserve">           1y Target Est                       40.01
           52 Week Range               36.78 - 49.73
                     Ask                  0.00 x 800
             Avg. Volume                   1913682.0
       Beta (5Y Monthly)                        0.19
                     Bid                 0.00 x 1300
             Day's Range               37.10 - 37.58
               EPS (TTM)                         1.6
           Earnings Date Nov 28, 2023 - Dec 04, 2023
        Ex-Dividend Date                Jul 14, 2023
Forward Dividend &amp; Yield                1.10 (2.96%)
              Market Cap                     20.417B
                    Open                       37.13
          PE Ratio (TTM)                       23.35
          Previous Close                       37.12
             Quote Price                   37.360001
                  Volume                    579590.0
    Market Cap (intraday) 20.29B
         Enterprise Value 22.91B
             Trailing P/E  23.20
              Forward P/E  20.62
PEG Ratio (5 yr expected)   2.80
        Price/Sales (ttm)   1.67
         Price/Book (mrq)   2.63
 Enterprise Value/Revenue   1.88
  Enterprise Value/EBITDA  15.42</t>
  </si>
  <si>
    <t>Is Housing A Falling Knife?
Share prices have fallen, but I still believe in REITs and see potential bargains. Mortgage rates have soared, making homes less affordable. Refinancing 2 years ago resulted in much better rates. I suggest a time machine. Go back in time to September 2021, when I explicitly encouraged my readers to lock in 2.125% mortgage rates.
Oil Vs. Commercial Real Estate: One Is A Better Buy Today
Timing anything in the markets over the next few months or quarters is extremely difficult, bordering on impossible to do with accuracy consistently. But investors can look at data and trends and surmise the kind of economic environment that is most likely to manifest over the next few years. Over the last two years, oil stocks have massively outperformed real estate stocks, but in the decade before that, the opposite was the case.
MAA Announces Planned Retirement of Albert M. Campbell, CFO, and Internal Promotion of A.
GERMANTOWN, Tenn. , Sept. 6, 2023 /PRNewswire/ -- Mid-America Apartment Communities, Inc. ("MAA") (NYSE: MAA) announced today that Albert M.</t>
  </si>
  <si>
    <t xml:space="preserve">           1y Target Est                      165.92
           52 Week Range             136.29 - 176.36
                     Ask                  0.00 x 800
             Avg. Volume                    569283.0
       Beta (5Y Monthly)                        0.75
                     Bid                 0.00 x 1000
             Day's Range             136.29 - 138.30
               EPS (TTM)                        5.12
           Earnings Date Oct 24, 2023 - Oct 30, 2023
        Ex-Dividend Date                Jul 13, 2023
Forward Dividend &amp; Yield                5.60 (4.06%)
              Market Cap                     16.376B
                    Open                       138.0
          PE Ratio (TTM)                       26.69
          Previous Close                       137.9
             Quote Price                  136.660004
                  Volume                    139915.0
    Market Cap (intraday) 16.09B
         Enterprise Value 20.34B
             Trailing P/E  26.93
              Forward P/E  27.62
PEG Ratio (5 yr expected)    NaN
        Price/Sales (ttm)   7.57
         Price/Book (mrq)   2.60
 Enterprise Value/Revenue   9.62
  Enterprise Value/EBITDA  15.42</t>
  </si>
  <si>
    <t>Targa Resources Corp. to Participate in Investor Conferences
HOUSTON, Sept. 05, 2023 (GLOBE NEWSWIRE) -- Targa Resources Corp. (NYSE: TRGP) ("Targa" or the "Company") announced today that representatives from the Company will participate in investor meetings at the following investor conferences in New York City, NY:</t>
  </si>
  <si>
    <t xml:space="preserve">           1y Target Est                      101.59
           52 Week Range               57.23 - 87.86
                     Ask                  0.00 x 900
             Avg. Volume                   1509761.0
       Beta (5Y Monthly)                        2.26
                     Bid                  0.00 x 800
             Day's Range               83.60 - 86.38
               EPS (TTM)                        3.68
           Earnings Date Nov 01, 2023 - Nov 06, 2023
        Ex-Dividend Date                Jul 28, 2023
Forward Dividend &amp; Yield                2.00 (2.34%)
              Market Cap                     18.825B
                    Open                       85.95
          PE Ratio (TTM)                       22.87
          Previous Close                       85.33
             Quote Price                   84.129997
                  Volume                    514444.0
    Market Cap (intraday) 19.09B
         Enterprise Value 31.36B
             Trailing P/E  23.19
              Forward P/E  12.47
PEG Ratio (5 yr expected)   1.86
        Price/Sales (ttm)   1.09
         Price/Book (mrq)   7.14
 Enterprise Value/Revenue   1.76
  Enterprise Value/EBITDA   8.42</t>
  </si>
  <si>
    <t>Why Constellation Brands (STZ) Could Beat Earnings Estimates Again
Constellation Brands (STZ) has an impressive earnings surprise history and currently possesses the right combination of the two key ingredients for a likely beat in its next quarterly report.
Constellation Brands, Inc. (STZ) Presents at Barclays Global Consumer Staples Conference (Transcript)
Constellation Brands, Inc. (NYSE:STZ ) Barclays Global Consumer Staples Conference Call September 6, 2023 4:30 PM ET Company Participants Garth Hankinson - Chief Financial Officer Conference Call Participants Lauren Lieberman - Barclays Lauren Lieberman Okay, we are going to get started our last session of the day. Really happy to have Garth Hankinson, Constellation's CFO with us today.
Why Are Cannabis Stocks Still Up Today?
Stocks that deal in cannabis are rising as the U.S. government moves toward re-classifying marijuana. The Department of Health and Human Services (HHS) has asked the Drug Enforcement Administration (DEA) to consider moving marijuana from Schedule I to Schedule III.
Will This New Development Mean A Big Rally In Cannabis Stocks?
Curaleaf Holdings Inc. OTCMKTS: CURLF,  Innovative Industrial Properties Inc. NYSE: IIPR and Tilray Inc. NASDAQ: TLRY were among cannabis stocks jumping higher after the Department of Health and Human Services recommended that marijuana no longer be classified as a Schedule 1 drug.
Constellation Brands: Too Hefty Of A Price
Constellation Brands has a history of stable growth and high margins, that seems to be continuing into at least the current year, despite a challenging macroeconomic climate. The company owns popular brands such as Modelo Especial and Corona Extra, with a large focus on been brands. Although a good company, Constellation Brands' current valuation is concerning; my DCF model estimates a significant downside for the stock.</t>
  </si>
  <si>
    <t xml:space="preserve">           1y Target Est          287.85
           52 Week Range 208.12 - 273.65
                     Ask      0.00 x 800
             Avg. Volume        990582.0
       Beta (5Y Monthly)            1.05
                     Bid     0.00 x 1100
             Day's Range 258.73 - 260.61
               EPS (TTM)           -1.45
           Earnings Date    Oct 05, 2023
        Ex-Dividend Date    Aug 09, 2023
Forward Dividend &amp; Yield    3.56 (1.37%)
              Market Cap         47.677B
                    Open          259.32
          PE Ratio (TTM)             NaN
          Previous Close           259.2
             Quote Price      260.070007
                  Volume        237888.0
    Market Cap (intraday) 47.51B
         Enterprise Value 59.68B
             Trailing P/E 359.38
              Forward P/E  21.83
PEG Ratio (5 yr expected)   2.44
        Price/Sales (ttm)   5.16
         Price/Book (mrq)   5.53
 Enterprise Value/Revenue   6.21
  Enterprise Value/EBITDA  65.28</t>
  </si>
  <si>
    <t>Dividend Kings With the Highest Yield: 6 High Yields in 5 Minutes
Dividend Kings are attractive for risk-averse income investors and many other investment strategies. They have sustained and sustainable dividend growth and a relatively high yield compared to the average S&amp;P 500 company.
The 3 Best Dividend Stocks to Buy Now: September 2023
Stocks that offer shareholders great dividends are pretty rare. While it is true that about three-quarters (75%) of companies in the benchmark S&amp;P 500 index pay a dividend, the average yield is only 1.54%.
3 Debt-Ridden S&amp;P 500 Stocks to Sell Before It's Too Late
S&amp;P 500 companies collectively saw second-quarter earnings fall by 4% over last year. A big problem for the index constituents is the higher interest expenses that are eating into corporate profits.
Stanley Black &amp; Decker To Present At The Morgan Stanley 11th Annual Laguna Conference
NEW BRITAIN, Conn. , Sept. 6, 2023 /PRNewswire/ -- Stanley Black &amp; Decker (NYSE: SWK) invites investors and the general public to listen to a webcast of a presentation by Pat Hallinan, Executive Vice President and CFO, at Morgan Stanley's 11th Annual Laguna Conference in Dana Point, CA on Wednesday, September 13, 2023 at 1:30 PM ET.
2 Manufacturing Tools Stocks to Watch Amid Industry Woes
Continued slowdown in the manufacturing sector weighs on the Zacks Manufacturing-Tools &amp; Related Products industry's near-term prospects. However, SWK and LECO are well-positioned to capitalize on improving supply chains.</t>
  </si>
  <si>
    <t xml:space="preserve">           1y Target Est                       101.0
           52 Week Range              70.24 - 104.21
                     Ask                  0.00 x 800
             Avg. Volume                   1471490.0
       Beta (5Y Monthly)                        1.37
                     Bid                  0.00 x 800
             Day's Range               90.79 - 92.15
               EPS (TTM)                       -0.51
           Earnings Date Oct 25, 2023 - Oct 30, 2023
        Ex-Dividend Date                Sep 01, 2023
Forward Dividend &amp; Yield                3.24 (3.56%)
              Market Cap                     13.964B
                    Open                       91.34
          PE Ratio (TTM)                         NaN
          Previous Close                       90.99
             Quote Price                   91.129997
                  Volume                    377544.0
    Market Cap (intraday) 13.94B
         Enterprise Value 21.44B
             Trailing P/E    NaN
              Forward P/E  21.41
PEG Ratio (5 yr expected)    NaN
        Price/Sales (ttm)   0.85
         Price/Book (mrq)   1.46
 Enterprise Value/Revenue   1.32
  Enterprise Value/EBITDA  30.83</t>
  </si>
  <si>
    <t>Regional banks may saddle themselves with $63B in fresh debt to meet regulatory requirements: report
Eighteen regional banks may add about $63 billion of holding company debt to meet proposed regulatory guidelines for lending institutions of $100 billion to $250 billion of assets, in the latest challenge to the sector, according to a Bloomberg report.</t>
  </si>
  <si>
    <t xml:space="preserve">           1y Target Est         34.53
           52 Week Range 23.37 - 44.82
                     Ask  27.55 x 1400
             Avg. Volume     6108561.0
       Beta (5Y Monthly)          1.33
                     Bid  27.03 x 2200
             Day's Range 27.58 - 28.09
               EPS (TTM)          4.44
           Earnings Date  Oct 18, 2023
        Ex-Dividend Date  Aug 01, 2023
Forward Dividend &amp; Yield  1.68 (6.24%)
              Market Cap       13.047B
                    Open         27.73
          PE Ratio (TTM)          6.22
          Previous Close         27.37
             Quote Price        27.625
                  Volume     1759185.0
    Market Cap (intraday) 12.93B
         Enterprise Value    NaN
             Trailing P/E   6.16
              Forward P/E   6.67
PEG Ratio (5 yr expected)    NaN
        Price/Sales (ttm)   1.56
         Price/Book (mrq)   0.60
 Enterprise Value/Revenue    NaN
  Enterprise Value/EBITDA    NaN</t>
  </si>
  <si>
    <t>Exclusive: Goldman shrinks executive committee in reshuffle, moves admin officer to banking, markets - sources
Goldman Sachs has named Chief Administrative Officer Ericka Leslie to head global banking and markets operations, its largest division, a memo seen by Reuters showed.
Goldman (GS) Plans Another Round of Job Cuts from Next Month
Goldman (GS) has been planning to cut jobs worldwide of those who are underperformers. This process is most likely to start by October end.
Goldman Sachs prepares for another round of layoffs as soon as next month: sources
Goldman Sachs is planning another round of layoffs aimed at laggard employees — and it could come as soon as next month, sources told The Post.
Goldman Sachs 10,000 Small Businesses Launches $100 Million Investment in Rural Communities Across America
BISMARCK, N.D.--(BUSINESS WIRE)--Goldman Sachs 10,000 Small Businesses today announced a $100 million Investment in Rural Communities across the country to support job creation and economic growth. The new initiative, first launching in North Dakota and Arkansas, is an extension of Goldman Sachs' successful 10,000 Small Businesses program, which has served over 14,000 businesses across the country for more than a decade by providing access to education and capital. The initiative will reach rur.
SoFi Technologies: Anthony Noto's Fireside Chat At The Goldman Sachs Conference Confirms Positive Speculations
SoFi Bank is gaining traction and attracting deposits from the 5 large money centers. SoFi's technology platform and capabilities make it an attractive option for potential customers and potential partnerships with large institutions. SoFi's long-term potential lies in its ability to expand its product offerings, become a top financial institution, and generate significant revenue from its technology segment.
Shares of Goldman Sachs-controlled fund manager dive after profit warning
The private equity-focused fund manager spun out of Goldman Sachs saw its stock drop as much as 16% on Friday after cutting its outlook.
Goldman Sachs plans job cuts after performance reviews
Goldman Sachs Group Inc. GS, +0.26% plans to lay off underperforming bankers as early as October as part of the bank's review process that has resulted in 1% to 5% overall job cuts in the past, the Financial Times reported. Citing people familiar with the bank, the FT report said Goldman is aiming for the lower end of the range in its investment banking and trading units.
Goldman Sachs Plans More Job Cuts for Underperformers
The investment bank traditionally lets go of between 1% and 5% of its workforce every year, but it paused the practice during the pandemic.
Goldman Sachs to cull more staff as trading slump drags on
Goldman Sachs (NYSE:GS) is set to wield the axe on staff numbers again in October in what has now become an annual round of culling those perceived to be weak performers by teh investment bank. Typically the cull sees 1% and 5% of staff depart, with this time Goldman is looking at the lower end of the range with a focus on its core investment banking and trading divisions, according to a report in the FT.
Goldman Sachs plans fresh round of job cuts for underperformers - FT
Goldman Sachs is planning for another round of job cuts for employees who are deemed underperformers, which could come as soon as late October, the Finanical Times reported on Thursday, citing people familiar with the matter.
Goldman Sachs CEO David hits back at critics: ‘I don't recognize the caricature'
"But that doesn't stop me from reflecting on anything that's said, and I always try to think about how I can do better," he said.
David Solomon defends his leadership of Goldman Sachs on CNBC. 'I don't recognize the caricature that is painted of me.
David Solomon took to cable news network CNBC to defend his leadership of Goldman Sachs. The wide-ranging interview follows unrest at the highest levels, as Insider's Dakin Campbell has reported.
Goldman Sachs CEO David Solomon says he doesn't recognize ‘caricature' that critics have painted of him
Embattled Goldman Sachs Group Inc. Chief Executive David Solomon said Thursday he remains optimistic about the firm's prospects despite media reports that he's difficult to work with as he continues to steer the bank toward an expected uptick in deal-making.
Goldman Sachs CEO Solomon pushes back against critics
Goldman Sachs CEO David Solomon on Thursday responded to a string of critical comments in news reports in recent weeks, saying it was "not fun" but that he was focused on running the firm in a live interview on CNBC.
Goldman Sachs CEO David Solomon sees Wall Street rebound if tech IPOs perform
Capital markets could get a boost from upcoming tech IPOs, such as Arm and Instacart, Solomon told CNBC.
Goldman Sachs lawyer says suit by Russia's Otkritie Bank should be heard in London
A lawyer for Goldman Sachs argued in a Moscow court on Thursday that a $6.3 million lawsuit against it by Russia's Otkritie Bank should be heard instead in London.
Goldman, Morgan Stanley to shine amid struggle for large-cap banks - HSBC
Goldman Sachs and Morgan Stanley are poised for stronger results next year compared to other large-cap U.S. banks as dealmaking on Wall Street picks up and asset management businesses gain momentum, HSBC said on Thursday.
Is It Time to Buy the Dow Jones' 3 Worst-Performing August Stocks?
Walgreens Boots Alliance continues to face multiple challenges. Goldman Sachs' CEO has come under heavy fire.
3 Investment Bank Stocks Watch as Industry Navigates Challenges
Though near-erm concerns remain, the Zacks Investment Bank industry sees green shoots in underwriting and advisory businesses. This, along with decent trading, will aid companies like Morgan Stanley (MS), Goldman (GS) and Evercore (EVR) going forward.
These four Dow stocks take top prizes for dividend growth
Investors love dividend stocks, but there are different ways to approach them. Below are two screens of the 30 stocks in the Dow Jones Industrial Average, to show which companies have grown their dividend payouts the most over the past five years and 10 years.
BAE Systems pensions appoint Goldman Sachs to manage 23 bln stg in assets
The trustees of two BAE Systems pensions schemes have appointed Goldman Sachs Asset Management to manage 23 billion pounds ($28.88 billion) in defined benefit pension scheme assets, the fund manager said on Wednesday.
Goldman Sachs slapped with $1.1M lawsuit over ‘culture of bullying' where meetings ended in ‘tears'
Goldman Sachs' former global head of recruiting accused the investment bank's "dysfunctional" workplace for giving him a mental breakdown during his four-year stint at the firm in a $1.1 million lawsuit filed in London's High Court.
Artificial intelligence: Bubble or boom? Goldman gives its verdict
Artificial intelligence (AI) has evolved at break-neck speed. In less than a year the tech sector has been transformed by the introduction of large language models, which has spawned thousands of new business opportunities, while automation promises huge cost savings to businesses, but also threatens millions of jobs.
Analysis: US banks hold $3.3 trillion cash amid banking crisis, slowdown worries
U.S. lenders are holding onto large piles of cash as insurance against a slowing economy, continuing deposit outflows and looming tougher liquidity rules that could particularly impact mid-sized banks.</t>
  </si>
  <si>
    <t xml:space="preserve">           1y Target Est                      383.77
           52 Week Range             287.75 - 389.58
                     Ask                  0.00 x 900
             Avg. Volume                   2232569.0
       Beta (5Y Monthly)                         1.4
                     Bid                 0.00 x 4000
             Day's Range             325.12 - 330.14
               EPS (TTM)                        23.5
           Earnings Date Oct 16, 2023 - Oct 20, 2023
        Ex-Dividend Date                Aug 30, 2023
Forward Dividend &amp; Yield               11.00 (3.42%)
              Market Cap                     107.38B
                    Open                      328.26
          PE Ratio (TTM)                       13.86
          Previous Close                      325.52
             Quote Price                  325.720001
                  Volume                    531608.0
    Market Cap (intraday) 107.31B
         Enterprise Value     NaN
             Trailing P/E   13.85
              Forward P/E    8.61
PEG Ratio (5 yr expected)    1.76
        Price/Sales (ttm)    2.52
         Price/Book (mrq)    1.01
 Enterprise Value/Revenue     NaN
  Enterprise Value/EBITDA     NaN</t>
  </si>
  <si>
    <t>8 Stocks Face Highest Risk Of Getting Booted Out Of The S&amp;P 500
Getting booted out of the S&amp;P 500 is a mark of shame most companies try to avoid. But it's a harsh possibility several face.
2 Stocks to Watch as the SEC Stalls on Bitcoin ETF Filings (Revised)
BlackRock (BLK) and Invesco (IVZ) are two asset managers that are directly affected by the SEC's delay in passing the verdict on Bitcoin ETF applications.
Is Bitcoin ETF Launch A Promising Development For Crypto Stocks?
Coinbase Global Inc. NASDAQ: COIN pulled back after rocketing nearly 15% higher on August 29 on news that a potential launch of a long-awaited Bitcoin ETF may be getting closer.</t>
  </si>
  <si>
    <t xml:space="preserve">           1y Target Est                       17.79
           52 Week Range               13.20 - 20.56
                     Ask                 0.00 x 2900
             Avg. Volume                   3870669.0
       Beta (5Y Monthly)                         1.4
                     Bid                 0.00 x 3200
             Day's Range               15.39 - 15.77
               EPS (TTM)                         1.4
           Earnings Date Oct 23, 2023 - Oct 27, 2023
        Ex-Dividend Date                Aug 10, 2023
Forward Dividend &amp; Yield                0.80 (5.18%)
              Market Cap                      6.913B
                    Open                       15.68
          PE Ratio (TTM)                       11.01
          Previous Close                       15.45
             Quote Price                       15.41
                  Volume                    737612.0
    Market Cap (intraday)  6.93B
         Enterprise Value 18.03B
             Trailing P/E  11.04
              Forward P/E   8.14
PEG Ratio (5 yr expected)   1.84
        Price/Sales (ttm)   1.23
         Price/Book (mrq)   0.61
 Enterprise Value/Revenue   3.14
  Enterprise Value/EBITDA  13.12</t>
  </si>
  <si>
    <t>SHAREHOLDER ALERT: The Law Offices of Vincent Wong Remind AT&amp;T Investors of a Lead Plaintiff Deadline of September 26, 2023
NEW YORK , Sept. 11, 2023 /PRNewswire/ -- Attention AT&amp;T Inc. ("AT&amp;T") (NYSE: T) shareholders: The Law Offices of Vincent Wong announce that a class action lawsuit has commenced on behalf of investors who purchased between November 2, 2018 and July 26, 2023.
AT&amp;T: Growth In Customer Lifetime Value Necessary For Upside
AT&amp;T continues to face competition from T-Mobile US. Customer lifetime value has seen a decline over the past couple of years. I take the view that an increase in this metric will be necessary to justify further upside at this time.
SHAREHOLDER ALERT: Potential Recovery for AT&amp;T Inc. (T) Investors Affected by Stock Drop – Levi &amp; Korsinsky Pursuing Class Action Lawsuit
NEW YORK, NY / ACCESSWIRE / September 10, 2023 / If you suffered a loss on your AT&amp;T Inc. (NYSE:T) investment and want to learn about a potential recovery under the federal securities laws, follow the link below for more information: https://zlk.com/pslra-1/att-lawsuit-submission-form?prid=47510&amp;wire=1 or contact Joseph E. Levi, Esq.
AT&amp;T Isn't Worried About Competition From Cable Companies
AT&amp;T is facing aggressive cable companies bundling wireless services with home internet. AT&amp;T CEO John Stankey sees the practice as unsustainable since cable companies are buying capacity on the major wireless networks.
ROSEN, TOP RANKED INVESTOR COUNSEL, Encourages AT&amp;T Inc. Investors to Secure Counsel Before Important Deadline in First Filed Securities Class Action Commenced by the Firm - T
NEW YORK , Sept. 9, 2023 /PRNewswire/ -- WHY: Rosen Law Firm, a global investor rights law firm, reminds purchasers of the securities of AT&amp;T Inc. (NYSE: T) between March 1, 2020 and July 26, 2023, both dates inclusive (the "Class Period"), of the important September 26, 2023 lead plaintiff deadline in the securities class action commenced by the Firm.
Top 3 dividend stocks to add to your portfolio in September
Dividend stocks are typically added to a portfolio during recessions because even if the stock price drops, you could offset the losses by getting paid each quarter. Depending on the yield, you could even offset the yearly inflation with some stocks.
Wall Street Thinks This 7.6% Yielding Stock Has Up to 91% Upside. Should You Buy?
AT&amp;T's stock price is projected to rise over the next year. The 7.6% dividend looks safe.
September Rally? 3 Stocks to Buy Before Liftoff
September is not known as a good month to buy stocks. In fact, historically it's the worst month.
3 Dividend-Paying Tech Stocks to Buy Right Now
AT&amp;T still generates enough cash for its hefty dividend. Opera's new semi-annual dividend sports a forward yield of more than 5%.
AT&amp;T to Webcast Fireside Chat with Pascal Desroches at the 2023 Bank of America Media, Communications &amp; Entertainment Conference
DALLAS , Sept. 7, 2023 /PRNewswire/ -- Tune in live or for replay as we webcast a chat with our CFO Pascal Desroches at the Bank of America Conference on September 14, scheduled to begin at 8:00 a.m.
3 Things About AT&amp;T That Smart Investors Know
AT&amp;T's free cash flow should be more than twice its dividend obligations in the second half of 2023. The company has reduced its debt by around $20 billion in the past three years.
2 Ultra-High-Yield Dividend Stocks to Buy and Hold
There are lots of ways to invest your money, but few have as strong a track record as buying dividend-paying stocks. AT&amp;T stock offers a yield that's way above average despite steadily adding new mobile and internet subscribers.
SHAREHOLDER ALERT: Levi &amp; Korsinsky Notifies AT&amp;T Inc.(T) Investors of a Class Action Lawsuit and Upcoming Deadline
NEW YORK , Sept. 7, 2023 /PRNewswire/ -- Levi &amp; Korsinsky, LLP notifies investors in AT&amp;T Inc. ("AT&amp;T" or the "Company") (NYSE: T) of a class action securities lawsuit.
SHAREHOLDER ACTION ALERT: The Schall Law Firm Encourages Investors in AT&amp;T Inc. with Losses of $100,000 to Contact the Firm
LOS ANGELES, CA / ACCESSWIRE / September 7, 2023 / The Schall Law Firm, a national shareholder rights litigation firm, reminds investors of a class action lawsuit against AT&amp;T Inc. ("AT&amp;T" or "the Company") (NYSE:T) for violations of §§10(b) and 20(a) of the Securities Exchange Act of 1934 and Rule 10b-5 promulgated thereunder by the U.S. Securities and Exchange Commission. Investors who purchased the Company's securities between March 1, 2020 and July 26, 2023, inclusive (the "Class Period"), are encouraged to contact the firm before September 26, 2023.
FILING DEADLINE--Kuznicki Law PLLC Announces Class Action on Behalf of Shareholders of AT&amp;T Inc. - T
CEDARHURST, N.Y. , Sept. 6, 2023 /PRNewswire/ -- The securities litigation law firm of Kuznicki Law PLLC issues this alert to shareholders of AT&amp;T Inc. (NYSE: T), if they purchased the Company's securities between November 2, 2018 and July 26, 2023, inclusive (the "Class Period").
John Stankey Updates Shareholders at the 2023 Goldman Sachs Communacopia + Technology Conference
DALLAS , Sept. 6, 2023 /PRNewswire/ -- AT&amp;T confident in full-year guidance, including free cash flow of better than $16 billion and adjusted EBITDA growth of 3+ percent  Key Takeaways: AT&amp;T remains on track to generate full-year free cash flow of better than $16 billion driven by its successful and sustainable long-term growth strategy.
AT&amp;T Inc. (T) Presents at Goldman Sachs Communacopia &amp; Technology Conference (Transcript)
AT&amp;T Inc. (NYSE:T ) Goldman Sachs Communacopia &amp; Technology Conference September 6, 2023 11:10 AM ET Company Participants John Stankey - CEO Conference Call Participants Brett Feldman - Goldman Sachs Brett Feldman All right. Welcome. We are going to get started with our second session this morning.
AT&amp;T says tests at some lead cable sites show no public health risk
AT&amp;T's CEO said on Wednesday tests conducted at several sites where the telecom operator abandoned lead-clad cables decades ago have shown no risks of a public health crisis.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ATT&amp;CKcon 4.0 to Celebrate 10th Anniversary of MITRE ATT&amp;CK® with Content &amp; Networking for Cyber Defenders
MCLEAN, Va.--(BUSINESS WIRE)-- #MITREATTACK--Celebrating the 10th anniversary of MITRE ATT&amp;CK®, ATT&amp;CKcon 4.0 will help users leverage the cybersecurity framework and level up their threat-informed defense, while also providing time to build personal connections with other cyber defenders and the MITRE ATT&amp;CK team. Running October 24-25 at MITRE's headquarters in McLean, Va., ATT&amp;CKcon features content and networking geared for cyber leaders and practitioners across the workforce spectrum, whe.
SHAREHOLDER ALERT: The Gross Law Firm Notifies Shareholders of AT&amp;T Inc. of a Class Action Lawsuit and a Lead Plaintiff Deadline of September 26, 2023 - (NYSE: T)
NEW YORK , Sept. 6, 2023 /PRNewswire/ -- The Gross Law Firm issues the following notice to shareholders of AT&amp;T Inc..
DEADLINE ACTION ALERT: The Schall Law Firm Encourages Investors in AT&amp;T Inc. with Losses of $100,000 to Contact the Firm
LOS ANGELES, CA / ACCESSWIRE / September 6, 2023 / The Schall Law Firm, a national shareholder rights litigation firm, reminds investors of a class action lawsuit against AT&amp;T Inc. ("AT&amp;T" or "the Company") (NYSE: T) for violations of §§10(b) and 20(a) of the Securities Exchange Act of 1934 and Rule 10b-5 promulgated thereunder by the U.S. Securities and Exchange Commission. Investors who purchased the Company's securities between March 1, 2020 and July 26, 2023, inclusive (the "Class Period"), are encouraged to contact the firm before September 26, 2023.
SHAREHOLDER ALERT: Pomerantz Law Firm Investigates Claims On Behalf of Investors of AT&amp;T Inc. - T
NEW YORK , Sept. 5, 2023 /PRNewswire/ -- Pomerantz LLP is investigating claims on behalf of investors of AT&amp;T Inc. ("AT&amp;T" or the "Company") (NYSE: T).
5G Stocks To Watch As Huawei Ramps Mate 60 Pro Versus IPhone 15
The best 5G stocks to invest in will change as smartphone apps, fixed broadband, enterprise services and the metaverse develop over time.
Investors Heavily Search AT&amp;T Inc. (T): Here is What You Need to Know
Recently, Zacks.com users have been paying close attention to AT&amp;T (T). This makes it worthwhile to examine what the stock has in store.
SHAREHOLDER ACTION ALERT: The Schall Law Firm Encourages Investors in AT&amp;T Inc. with Losses of $500,000 to Contact the Firm
LOS ANGELES, CA / ACCESSWIRE / September 5, 2023 / The Schall Law Firm, a national shareholder rights litigation firm, reminds investors of a class action lawsuit against AT&amp;T Inc. ("AT&amp;T" or "the Company") (NYSE:T) for violations of §§10(b) and 20(a) of the Securities Exchange Act of 1934 and Rule 10b-5 promulgated thereunder by the U.S. Securities and Exchange Commission. Investors who purchased the Company's securities between March 1, 2020 and July 26, 2023, inclusive (the "Class Period"), are encouraged to contact the firm before September 26, 2023.
Dividend Income Summary: Lanny's August 2023 Summary
2023 has been one heck of a year. The S&amp;P 500 is close to all-time highs. The Fed raised interest rates in July, as the economy is still on fire. The retirement accounts brought in a total dividend income amount of $379.48 or 22% of the dividend income total, similar to last month. Dividend increases created $42.95 in additional passive dividend income.
3 Reliable Ultra-High-Yield Dividend Stocks That Are No-Brainer Buys in September
Dividend stocks are almost always profitable and time-tested, which is what allows them to handily outperform nonpayers over long periods. Though there are plenty of income stocks for investors to choose from, the list of supercharged, reliable dividend stocks is quite short.</t>
  </si>
  <si>
    <t xml:space="preserve">           1y Target Est                       18.49
           52 Week Range               13.43 - 21.53
                     Ask                0.00 x 36100
             Avg. Volume                  44170298.0
       Beta (5Y Monthly)                        0.75
                     Bid                0.00 x 47300
             Day's Range               14.44 - 14.59
               EPS (TTM)                       -1.17
           Earnings Date Oct 18, 2023 - Oct 23, 2023
        Ex-Dividend Date                Jul 07, 2023
Forward Dividend &amp; Yield                1.11 (7.60%)
              Market Cap                    103.839B
                    Open                       14.61
          PE Ratio (TTM)                         NaN
          Previous Close                        14.4
             Quote Price                      14.525
                  Volume                   9763493.0
    Market Cap (intraday) 102.95B
         Enterprise Value 255.01B
             Trailing P/E   19.23
              Forward P/E    5.78
PEG Ratio (5 yr expected)    9.33
        Price/Sales (ttm)    0.88
         Price/Book (mrq)    1.01
 Enterprise Value/Revenue    2.10
  Enterprise Value/EBITDA   12.32</t>
  </si>
  <si>
    <t>Is It Time to Buy the S&amp;P 500's 3 Worst-Performing August Stocks?
Insulet is seeing increasing price pressure in the insulin market ResMed missed estimates on the top and bottom lines. Investors balked at Tapestry's acquisition of Capri.</t>
  </si>
  <si>
    <t xml:space="preserve">           1y Target Est         48.56
           52 Week Range 27.53 - 47.48
                     Ask    0.00 x 800
             Avg. Volume     3552175.0
       Beta (5Y Monthly)          1.51
                     Bid   0.00 x 1400
             Day's Range 31.58 - 32.19
               EPS (TTM)          3.89
           Earnings Date  Nov 09, 2023
        Ex-Dividend Date  Sep 07, 2023
Forward Dividend &amp; Yield  1.40 (4.39%)
              Market Cap        7.248B
                    Open         31.98
          PE Ratio (TTM)          8.19
          Previous Close         31.89
             Quote Price     31.870001
                  Volume      751310.0
    Market Cap (intraday) 7.25B
         Enterprise Value 9.80B
             Trailing P/E  8.22
              Forward P/E  7.50
PEG Ratio (5 yr expected)  0.71
        Price/Sales (ttm)  1.16
         Price/Book (mrq)  3.18
 Enterprise Value/Revenue  1.47
  Enterprise Value/EBITDA  7.25</t>
  </si>
  <si>
    <t>C.H. Robinson Opens One of the Largest Cross-border Logistics Facilities in Dominant U.S. Trade Hub of Laredo
LAREDO, Texas--(BUSINESS WIRE)-- #freight--To serve the nearshoring boom in Mexico, C.H. Robinson has opened the largest logistics facility of its kind at the No. 1 border crossing.
C.H. Robinson: Navigating Challenges And Opportunities
C.H. Robinson is a third-party logistics company that connects people who need things moved with transportation providers. CHRW's weakened earnings outlook can be primarily attributed to the challenging conditions in global freight markets. These conditions include weak demand, high inventories, and excess capacity. The company's new CEO, Dave Bozeman, brings significant industry experience and is expected to navigate these challenges.
C.H. Robinson (CHRW) Gains From Dividends Amid Freight Woes
C.H. Robinson's (CHRW) measures to reward its shareholders are encouraging. However, softness in freight demand hurts.</t>
  </si>
  <si>
    <t xml:space="preserve">           1y Target Est                       93.58
           52 Week Range              85.23 - 114.57
                     Ask                 86.58 x 800
             Avg. Volume                    952832.0
       Beta (5Y Monthly)                         0.8
                     Bid                 86.53 x 800
             Day's Range               86.11 - 87.06
               EPS (TTM)                        4.46
           Earnings Date Oct 31, 2023 - Nov 06, 2023
        Ex-Dividend Date                Aug 31, 2023
Forward Dividend &amp; Yield                2.44 (2.83%)
              Market Cap                     10.083B
                    Open                        86.8
          PE Ratio (TTM)                       19.42
          Previous Close                       86.32
             Quote Price                   86.599998
                  Volume                    131619.0
    Market Cap (intraday) 10.05B
         Enterprise Value 11.94B
             Trailing P/E  19.35
              Forward P/E  19.16
PEG Ratio (5 yr expected)    NaN
        Price/Sales (ttm)   0.52
         Price/Book (mrq)   7.24
 Enterprise Value/Revenue   0.59
  Enterprise Value/EBITDA  14.17</t>
  </si>
  <si>
    <t>Vecima Announces Warrant Agreement with Charter Communications
VICTORIA, British Columbia--(BUSINESS WIRE)--Vecima Networks announces that it has entered into a warrant agreement with Charter Communications Holding Company, LLC.
Why Is Football So Hard to Watch This Year? Look Past the Disney-Charter Dispute.
Football's availability this year highlights how much of the TV industry remains in flux years after cord-cutting became de rigueur—and as cable blackouts become more common.
Charter-Disney cable TV dispute leaves some NFL, U.S. Open fans in the dark
Football fans will be the next biggest losers if an epic battle between Walt Disney and Charter Communications fails to settle before the kickoff of Monday Night Football next week.
Disney and Spectrum Clash Leaves Millions Without ESPN Access
A breakdown in negotiations could lead to viewers missing the US Open finals and NFL Monday Night Football.
Disney stokes anger with ads for the bundle while its channels are dark on Spectrum
TV viewers may disagree on most things, but they seem aligned on not wanting to be caught in the middle of a contract battle between two corporate entities. The pay-TV stalemate that has left millions of Spectrum cable subscribers unable to watch more than a dozen Disney-owned television networks is showing no signs of letting up.
The Charter-Disney Negotiations Impasse Will Change Cable &amp; Streaming
With the industry paying close attention, the impasse on the Charter-Disney subscriber fee negotiations enters it second week, with no resolution in sight.
Charter Stock Has Fallen During the Disney Dispute. Why It's a Buy, Analyst Says.
Charter Communications stock has fallen during its dispute with Disney, but a Benchmark analyst says the 'current stock price level adequately recognizes the uncertainty' over its ongoing dispute with Disney.
Charter CEO emphasizes urgency in resolving Disney carriage dispute
“I apologize that our consumers have been put in the middle here, but we felt it was worth it,” Chris Winfrey said.
Disney's stock heads for longest losing streak in nearly a year as Spectrum dispute wears on
Walt Disney Co. shares were falling toward their longest losing streak in almost a year as the company's feud with Charter Communications Inc. continues.
Charter CEO says it is urgent to resolve distribution dispute with Disney
Charter Communications Chief Executive Chris Winfrey said he has a sense of urgency to resolve a distribution dispute with Walt Disney , in remarks on Thursday at the Goldman Sachs Communacopia + Technology conference in San Francisco.
Charter Communications: Is The Current Stance With Disney A Good Or Bad Development?
Charter Communications is in a carriage dispute with The Walt Disney Company over access to video channels for Charter's customers. Charter believes that Disney's selective content strategy on Direct to Consumer platforms is hurting the competitive positioning of traditional cable networks. Whilst these developments may cause some short-term pressures, over the long term, we believe CHTR will be less impacted as investor focus is primarily centered around broadband, wireless, and FCF dynamics.
The 3 Best Communication Stocks to Buy Now: September 2023
Communications stocks are arguably more important than ever. Whether it is broadband internet, text messages, telephone calls or voice mail, communications dominate our daily lives more than at anytime in human history.
Charter Faces Class Action Lawsuit In Carriage Standoff With Disney
A class action has arrived at the doorstep of Charter Communications in its high-stakes carriage standoff with The Walt Disney Co. A Florida customer of Charter's Spectrum service, Jen Gonzalez, filed suit in a Florida federal court, alleging that the company has continued to bill for services not delivered.
Is Disney's Dispute With Charter the End of Cable As We Know It?
Traditional purveyors of network television programming and the cable outlets distributing it know full well how video streaming has upended their decades-old model.
Is Charter Communications (Finally) Calling Walt Disney's Bluff?
Charter's CEO is losing interest in acquiescing to ever-rising demands from Walt Disney. Now, however, Walt Disney isn't applying pricing pressure from a position of strength.
Disney vs. Spectrum: Here's Why Millions of People Can't Watch ESPN Right Now
A breakdown in negotiations led to viewers missing out on the US Open and college football. Many wonder if ESPN will be back in time for NFL kickoff.
What is Charter's Spectrum-Disney dispute over the future of TV?
Charter Communications , one of the biggest cable companies in the United States, is locked in a battle with Walt Disney in a distribution dispute that may shape the future of television in the streaming era.
Disney-Charter Battle Makes Pay-TV Bundle's Fadeout A Stark Reality For Streaming-Focused Media Companies And Investors: “The Lifeboats Have Already Been Burned”
Just as this summer's New York City wildfire smoke, LA hurricane and sneaker-melting heat have brought home the reality of climate change, the Disney-Charter carriage battle is foregrounding the fragility of the pay-TV bundle.
Disney urges Charter customers to switch to Hulu amid cable TV blackout
The Walt Disney Company urged Charter Communications customers to cut the cord in favor of its own Hulu + Live TV.
Charter vs. Disney: Is this the end of the bundle as we know it?
Late Thursday, all Disney channels, including ESPN and ABC, went dark on Charter Communications Inc.'s CHTR, -1.85% Spectrum cable service as discussions over affiliate renewals hit an impasse — in the middle of the U.S. Open and college football season, and with the NFL regular season kicking off this Thursday night on NBC.
‘Big Short' Michael Burry's top 5 portfolio positions
Renowned investor Michael Burry, famous for his astute predictions, has garnered attention in the past due to his stock positions. Despite this interest, the ‘Big Short' investor has, in recent months, expressed a bearish position in the general stock market at some point advising investors to ‘sell'.
No ESPN On Spectrum? Disney Beef Escalates As Thousands Lose Access To Channels
The company is beefing big time with Disney over a distribution agreement where cable and streaming services collide head-on, with no resolution in sight
Disney encourages Spectrum customers to move to Hulu + Live TV amid Charter dispute
Disney is urging Spectrum cable service customers to consider switching to Hulu + Live TV for a streaming alternative amid its ongoing dispute with Charter.
Disney and Charter Locked in Dispute. Why the Consumer Is the Loser.
A dispute between Disney and Charter Communications ultimately led to customers of the cable service Spectrum being cut off over the Labor Day holiday weekend.
Disney asks Spectrum customers to switch to Hulu+ amid Charter dispute
Walt Disney on Monday said it is hopeful that Charter Communications will be ready to have more conversations to reach a distribution deal that will restore access to Disney's content and urged Spectrum customers to switch to Hulu's live service to access channels blacked out on Charter.</t>
  </si>
  <si>
    <t xml:space="preserve">           1y Target Est                      479.57
           52 Week Range             297.66 - 452.25
                     Ask                431.77 x 800
             Avg. Volume                   1257554.0
       Beta (5Y Monthly)                        1.12
                     Bid                431.12 x 800
             Day's Range             423.82 - 437.35
               EPS (TTM)                       29.95
           Earnings Date Oct 26, 2023 - Oct 30, 2023
        Ex-Dividend Date                         NaN
Forward Dividend &amp; Yield                   N/A (N/A)
              Market Cap                     64.716B
                    Open                      424.37
          PE Ratio (TTM)                       14.44
          Previous Close                      422.42
             Quote Price                   432.38501
                  Volume                    690099.0
    Market Cap (intraday)  63.22B
         Enterprise Value 161.01B
             Trailing P/E   14.19
              Forward P/E    9.70
PEG Ratio (5 yr expected)    0.33
        Price/Sales (ttm)    1.20
         Price/Book (mrq)    6.04
 Enterprise Value/Revenue    2.95
  Enterprise Value/EBITDA    7.80</t>
  </si>
  <si>
    <t>AI Is Hauling Tyson Chicken in Arkansas. It's a Start.
Food giant Tyson is deploying autonomous-trucking technology from start-up Gatik in a pilot test of cost and productivity.
Tyson Foods and Gatik to Deploy Autonomous Trucks in Northwest Arkansas to Optimize Supply Chain Efficiency
SPRINGDALE, Ark., Sept. 06, 2023 (GLOBE NEWSWIRE) -- Tyson Foods, Inc. (NYSE: TSN), one of the world's largest food companies, and Gatik AI, Inc. (Gatik), the leader in autonomous middle mile logistics, announced a multi-year collaboration to deploy autonomous refrigerated box trucks to bolster Tyson routes in Northwest Arkansas. Operating 18 hours a day, trucks will deliver Tyson®, Jimmy Dean® and BallPark® products, among others, to the company's distribution and storage facilities in the Rogers and Springdale, Arkansas areas.
Tyson Foods Couldn't Produce Enough Chicken. Now It Has Too Much.
The company is closing chicken plants after some say it went too far in building up the business, which produces one-fifth of U.S. supply.</t>
  </si>
  <si>
    <t xml:space="preserve">           1y Target Est                       56.43
           52 Week Range               47.11 - 76.23
                     Ask                  0.00 x 800
             Avg. Volume                   3043496.0
       Beta (5Y Monthly)                        0.78
                     Bid                  0.00 x 800
             Day's Range               52.06 - 52.88
               EPS (TTM)                        0.94
           Earnings Date Nov 13, 2023 - Nov 17, 2023
        Ex-Dividend Date                Nov 30, 2023
Forward Dividend &amp; Yield                1.92 (3.69%)
              Market Cap                     18.638B
                    Open                       52.06
          PE Ratio (TTM)                       55.77
          Previous Close                       52.05
             Quote Price                   52.419998
                  Volume                    705447.0
    Market Cap (intraday) 18.51B
         Enterprise Value 27.13B
             Trailing P/E  55.37
              Forward P/E  16.64
PEG Ratio (5 yr expected)  11.39
        Price/Sales (ttm)   0.35
         Price/Book (mrq)   0.99
 Enterprise Value/Revenue   0.51
  Enterprise Value/EBITDA  12.66</t>
  </si>
  <si>
    <t>Here are the 13 stocks Jim Cramer is watching, including Eli Lilly, McDonald's
Here are some of the tickers on my radar for Thursday, Sept. 7, taken directly from my reporter's notebook.
Memory Turns Around In Q3 But Inventories Excluding Memory And AI Remain High
Global memory and AI chipmakers are experiencing an end to the supply surplus for semiconductors. Excessive capex spending in memory chips has led to inventory problems and a sharp downturn is expected in 2023.
Micron Technology, Inc. (MU) Is a Trending Stock: Facts to Know Before Betting on It
Zacks.com users have recently been watching Micron (MU) quite a bit. Thus, it is worth knowing the facts that could determine the stock's prospects.
Micron Reportedly Boosts NAND Prices, but There's a Catch
An analyst reported that Micron was able to raise NAND wafer contract prices by 10% in September. This is a positive move following a brutal downturn, but it's not clear that end-market demand has meaningfully improved.
Here's My Top AI Stock to Buy in September
The AI revolution will be great not only for Nvidia, but also a host of semiconductor stocks. My top AI pick in September is coming out of one of its worst downturns ever.</t>
  </si>
  <si>
    <t xml:space="preserve">           1y Target Est          75.4
           52 Week Range 48.43 - 74.77
                     Ask   69.39 x 800
             Avg. Volume    14267572.0
       Beta (5Y Monthly)          1.36
                     Bid  69.36 x 1100
             Day's Range 69.31 - 70.86
               EPS (TTM)         -2.64
           Earnings Date  Sep 27, 2023
        Ex-Dividend Date  Jul 07, 2023
Forward Dividend &amp; Yield  0.46 (0.65%)
              Market Cap       76.145B
                    Open         70.83
          PE Ratio (TTM)           NaN
          Previous Close         70.18
             Quote Price     69.519997
                  Volume     4318674.0
    Market Cap (intraday) 76.87B
         Enterprise Value 80.36B
             Trailing P/E  10.05
              Forward P/E 588.24
PEG Ratio (5 yr expected)    NaN
        Price/Sales (ttm)   4.23
         Price/Book (mrq)   1.69
 Enterprise Value/Revenue   4.42
  Enterprise Value/EBITDA  15.00</t>
  </si>
  <si>
    <t>Is the Options Market Predicting a Spike in Campbell Soup (CPB) Stock?
Investors need to pay close attention to Campbell Soup (CPB) stock based on the movements in the options market lately.</t>
  </si>
  <si>
    <t xml:space="preserve">           1y Target Est                       45.83
           52 Week Range               40.76 - 57.78
                     Ask                 0.00 x 1100
             Avg. Volume                   2537324.0
       Beta (5Y Monthly)                        0.33
                     Bid                 0.00 x 1800
             Day's Range               42.12 - 42.76
               EPS (TTM)                        2.85
           Earnings Date Dec 05, 2023 - Dec 11, 2023
        Ex-Dividend Date                Jul 05, 2023
Forward Dividend &amp; Yield                1.48 (3.51%)
              Market Cap                     12.717B
                    Open                       42.18
          PE Ratio (TTM)                       14.97
          Previous Close                       42.18
             Quote Price                       42.66
                  Volume                    833390.0
    Market Cap (intraday) 12.57B
         Enterprise Value 16.88B
             Trailing P/E  14.80
              Forward P/E  13.59
PEG Ratio (5 yr expected)   2.40
        Price/Sales (ttm)   1.36
         Price/Book (mrq)   3.43
 Enterprise Value/Revenue   1.80
  Enterprise Value/EBITDA   9.66</t>
  </si>
  <si>
    <t>The Clorox Company (CLX) Barclays Global Consumer Staples Conference (Transcript)
The Clorox Company (NYSE:CLX ) Barclays Global Consumer Staples Conference Call September 6, 2023 3:45 PM ET Company Participants Linda Rendle - Chief Executive Officer Kevin Jacobsen - Executive Vice President and Chief Financial Officer Conference Call Participants Lauren Lieberman - Barclays Bank PLC Question-and-Answer Session Q - Lauren Lieberman Really excited to have Clorox with us again this year. We have the company's CEO, Linda Rendle; and CFO, Kevin Jacobsen, with us.</t>
  </si>
  <si>
    <t xml:space="preserve">           1y Target Est                      157.82
           52 Week Range             124.58 - 178.21
                     Ask                 0.00 x 1000
             Avg. Volume                   1174712.0
       Beta (5Y Monthly)                        0.26
                     Bid                  0.00 x 800
             Day's Range             153.81 - 155.40
               EPS (TTM)                        1.21
           Earnings Date Oct 30, 2023 - Nov 03, 2023
        Ex-Dividend Date                Aug 08, 2023
Forward Dividend &amp; Yield                4.80 (3.10%)
              Market Cap                     19.145B
                    Open                      154.92
          PE Ratio (TTM)                      127.78
          Previous Close                       154.7
             Quote Price                  154.610001
                  Volume                    204918.0
    Market Cap (intraday) 19.16B
         Enterprise Value 21.71B
             Trailing P/E 128.92
              Forward P/E  26.25
PEG Ratio (5 yr expected)   1.73
        Price/Sales (ttm)   2.60
         Price/Book (mrq)  87.07
 Enterprise Value/Revenue   2.94
  Enterprise Value/EBITDA  38.50</t>
  </si>
  <si>
    <t>FDIC-Insured Banks' Q2 Earnings Up on Higher NII, Deposits Fall
FDIC-Insured banks' (like JPM, BAC, C &amp; WFC) Q2 earnings improve on higher rates, decent loan demand and efforts to bolster fee income. Yet, rising funding costs, poor asset quality and lower deposit balance remain headwinds.
Berry Global hires Citi and Wells Fargo to review strategic alternatives for its health and hygiene business
Berry Global Group Inc. BERY, -2.63% said Friday it hired Citigroup Global Markets and Wells Fargo Security as advisers as it evaluates strategic alternatives for its Health, Hygiene and Specialties (HH&amp;S) unit. Berry Global said it's considering a sale, strategic partnership or joint venture, spin-off to shareholders, or other separation transaction for some or all of the HH&amp;S business.
7 Perfectly Priced ‘Strong Buy' Dividend Blue Chip Stocks Yielding Up to 9.2%
Conservative investors are partying like it is 1999, as money market rates are at 4.5% and certificates of deposits are above the 5% level.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Citigroup Inc. (C) Is a Trending Stock: Facts to Know Before Betting on It
Zacks.com users have recently been watching Citigroup (C) quite a bit. Thus, it is worth knowing the facts that could determine the stock's prospects.
Why Citigroup, PNC Financial, and M&amp;T Bank Stocks Fell in August
Moody's downgraded 10 regional banks in August, including M&amp;T Bank. The credit ratings firm cited several factors that could result in profitability pressures.
Banks Struggled in August: Will Scenario Change in September?
After a dismal August performance, investors are looking for clues as to how bank stocks like JPMorgan (JPM), Bank of America (BAC), Citigroup (C) and Wells Fargo (WFC) will fare this month as they navigate industry headwinds.
Sell the Rally as September Is the Worst Month for Stocks: 5 Warren Buffett Stocks to Move to Now
The recent rally out of the August lows has gotten everybody fired up again. The Magnificent 7 continue to push the markets higher while many of the rest of the S&amp;P 500 stocks tread water.
Analysis: US banks hold $3.3 trillion cash amid banking crisis, slowdown worries
U.S. lenders are holding onto large piles of cash as insurance against a slowing economy, continuing deposit outflows and looming tougher liquidity rules that could particularly impact mid-sized banks.</t>
  </si>
  <si>
    <t xml:space="preserve">           1y Target Est         54.12
           52 Week Range 40.01 - 53.23
                     Ask  40.65 x 1000
             Avg. Volume    16026100.0
       Beta (5Y Monthly)          1.57
                     Bid  40.61 x 3100
             Day's Range 40.80 - 41.37
               EPS (TTM)          6.31
           Earnings Date  Oct 13, 2023
        Ex-Dividend Date  Aug 04, 2023
Forward Dividend &amp; Yield  2.06 (5.08%)
              Market Cap       78.703B
                    Open         40.81
          PE Ratio (TTM)          6.48
          Previous Close         40.59
             Quote Price     40.870098
                  Volume     3839603.0
    Market Cap (intraday) 78.16B
         Enterprise Value    NaN
             Trailing P/E   6.43
              Forward P/E   6.20
PEG Ratio (5 yr expected)    NaN
        Price/Sales (ttm)   1.03
         Price/Book (mrq)   0.41
 Enterprise Value/Revenue    NaN
  Enterprise Value/EBITDA    NaN</t>
  </si>
  <si>
    <t>KELLOGG COMPANY BOARD OF DIRECTORS APPROVES SEPARATION INTO TWO COMPANIES, KELLANOVA AND WK KELLOGG CO
Kellogg Company's Board of Directors approved the pending separation of Kellogg Company into Kellanova and WK Kellogg Co The separation is expected to become effective on October 2, 2023 The Company also set the distribution ratio of shares at 1 share of WK Kellogg Co for every 4 shares of current Kellogg Company The Company believes that the separation will create two stronger, more focused companies, each with a strong financial outlook BATTLE CREEK, Mich. , Sept. 11, 2023 /PRNewswire/ -- Kellogg Company (NYSE: K) today announced that its Board of Directors formally approved the previously announced separation into two independent, publicly traded companies, Kellanova and WK Kellogg Co.  Upon completion of the separation on October 2, 2023, Kellogg Company will be renamed Kellanova, and will continue to trade on the New York Stock Exchange (NYSE) under the ticker symbol "K", while WK Kellogg Co is expected to begin trading on the NYSE under the ticker symbol "KLG".
Sonesta Announces Enhanced Complimentary Breakfast Offerings at Sonesta ES Suites
New Partnership with Kellogg's Elevates the Breakfast Buffet at  All 95 Sonesta ES Suites Branded Hotels NEWTON, Mass. , Sept. 7, 2023 /PRNewswire/ -- Sonesta International Hotels Corporation (Sonesta), the 8th largest hotel company in the U.S., today announced a new complimentary breakfast program for guests across its Sonesta ES Suites hotels and a new partnership with Kellogg's to feature a variety of Kellogg's cereals in the program.
NEW POP-TARTS FROSTED CHOCOLATEY CHIP PANCAKE MAKES ALL-DAY-BREAKFAST A REALITY FOR SNACKERS EVERYWHERE
Pop-Tarts ®  embraces diner classics with this latest flavor innovation and the return of Frosted Strawberry Milkshake, both hitting shelves this month. BATTLE CREEK, Mich.
RXBAR AND MARIA MENOUNOS WANT YOU TO MANIFEST YOUR WELLNESS AMBITIONS WITH NEW CUSTOMIZABLE MANIFX BARS
Limited-edition ManifX bars encourage No B.S. manifestation and goal setting with writeable wrappers.</t>
  </si>
  <si>
    <t xml:space="preserve">           1y Target Est         71.69
           52 Week Range 58.88 - 77.17
                     Ask   0.00 x 1200
             Avg. Volume     2382635.0
       Beta (5Y Monthly)          0.42
                     Bid   0.00 x 1100
             Day's Range 59.29 - 59.94
               EPS (TTM)           2.5
           Earnings Date  Nov 02, 2023
        Ex-Dividend Date  Aug 31, 2023
Forward Dividend &amp; Yield  2.40 (4.04%)
              Market Cap        20.51B
                    Open         59.58
          PE Ratio (TTM)         23.96
          Previous Close         59.42
             Quote Price         59.91
                  Volume      722177.0
    Market Cap (intraday) 20.34B
         Enterprise Value 27.36B
             Trailing P/E  23.77
              Forward P/E  13.81
PEG Ratio (5 yr expected)   2.17
        Price/Sales (ttm)   1.29
         Price/Book (mrq)   5.13
 Enterprise Value/Revenue   1.72
  Enterprise Value/EBITDA  14.99</t>
  </si>
  <si>
    <t>Wabtec Comment on Progress Rail Complaint
PITTSBURGH--(BUSINESS WIRE)--Wabtec Corporation today released the following statement about the purported antitrust complaint filed last week by Progress Rail, a Caterpillar Inc. company: “We believe that Progress Rail's recent complaint against Wabtec at its core is an unsupported attack on the merger of Wabtec and GE Transportation, which was completed over four years ago. The merger has provided benefits to the entire industry, as well as Progress Rail itself. Progress Rail actively partici.</t>
  </si>
  <si>
    <t xml:space="preserve">           1y Target Est                       127.1
           52 Week Range              79.33 - 119.70
                     Ask                 0.00 x 1800
             Avg. Volume                    899287.0
       Beta (5Y Monthly)                        1.51
                     Bid                  0.00 x 800
             Day's Range             106.26 - 107.24
               EPS (TTM)                        3.75
           Earnings Date Oct 30, 2023 - Nov 03, 2023
        Ex-Dividend Date                Aug 11, 2023
Forward Dividend &amp; Yield                0.66 (0.62%)
              Market Cap                     19.113B
                    Open                      107.51
          PE Ratio (TTM)                       28.45
          Previous Close                      106.57
             Quote Price                  106.699997
                  Volume                    206774.0
    Market Cap (intraday) 19.09B
         Enterprise Value 23.12B
             Trailing P/E  28.42
              Forward P/E  17.06
PEG Ratio (5 yr expected)    NaN
        Price/Sales (ttm)   2.15
         Price/Book (mrq)   1.87
 Enterprise Value/Revenue   2.57
  Enterprise Value/EBITDA  14.89</t>
  </si>
  <si>
    <t>Here's Why You Should Avoid Zebra Technologies (ZBRA) Now
Weakness in the Enterprise Visibility &amp; Mobility segment due to the soft mobile computing market and an unfavorable foreign currency movement are weighing on Zebra Technologies' (ZBRA) performance.
Minnesota Vikings Partner with Zebra to Gain Real-Time Insights on Player Performance
LINCOLNSHIRE, Ill.--(BUSINESS WIRE)--Zebra Technologies Corporation (NASDAQ: ZBRA), an innovator at the front line of business with solutions and partners that deliver a performance edge, today announced a new partnership with the Minnesota Vikings. Zebra is applying its best-in-class RFID tracking technology to capture player and ball data for each of the Vikings' practice sessions this season, uncovering insights that inform game plans, evaluate player performance, and contextualize player he.</t>
  </si>
  <si>
    <t xml:space="preserve">           1y Target Est                      304.22
           52 Week Range             224.87 - 351.74
                     Ask                255.92 x 900
             Avg. Volume                    434745.0
       Beta (5Y Monthly)                        1.67
                     Bid                255.46 x 900
             Day's Range             254.20 - 258.11
               EPS (TTM)                        12.1
           Earnings Date Oct 31, 2023 - Nov 04, 2023
        Ex-Dividend Date                         NaN
Forward Dividend &amp; Yield                   N/A (N/A)
              Market Cap                      13.13B
                    Open                      257.79
          PE Ratio (TTM)                       21.14
          Previous Close                      256.37
             Quote Price                  255.759995
                  Volume                     95675.0
    Market Cap (intraday) 13.16B
         Enterprise Value 15.50B
             Trailing P/E  20.58
              Forward P/E  18.66
PEG Ratio (5 yr expected)   5.04
        Price/Sales (ttm)   2.42
         Price/Book (mrq)   4.40
 Enterprise Value/Revenue   2.82
  Enterprise Value/EBITDA  13.95</t>
  </si>
  <si>
    <t>Best Inverse/Leveraged ETFs of Last Week
Wall Street delivered downbeat performances last week due to rising rates.
Financial Healthcheck of Apple After iPhone Restrictions in China
Apple (AAPL, Financial), the tech giant, has been facing significant challenges recently as China announced bans on government employees using iPhones at work. This development has potentially dire consequences as nearly 20% of Apple's annual revenues could be affected, leading to a significant drop in its market capitalization.
Apple Has a $74 Billion Problem
China has banned the use of iPhones in central government offices. While the ban is narrow in scope, fellow U.S. tech company Micron estimates that half of its revenue in China is at risk from a similarly narrow ban.
Qualcomm to Supply Apple With iPhone Chips Through 2026. The Stock Is Flying.
Chip maker Qualcomm will supply Apple with 5G chips for smartphone launches in 2024, 2025, and 2026. Its stock is reversing recent declines.
Google Antitrust Case: Why Apple Will Be Part Of The Courtroom Drama
The Department of Justice's antitrust trial vs. Google starts Tuesday.
Qualcomm to supply Apple with 5G chips until 2026 under new deal
Qualcomm on Monday said it had signed a new deal with Apple to supply 5G chips to the iPhone maker until at least 2026.
Qualcomm will make Apple's iPhone modems until 2026, and its stock is surging
Qualcomm Inc. will supply modem chips for Apple Inc.'s iPhones for at least three more years, removing a financial pothole in Qualcomm's path and suggesting Apple's attempt to make its own chips is moving slower than expected.
Qualcomm says it will supply Apple with 5G modems for iPhones through 2026
Wall Street analysts and Qualcomm officials had previously said they expected Apple to use an internally developed 5G modem starting in 2024.
Qualcomm Announces Agreement with Apple for Chip Supply
SAN DIEGO , Sept. 11, 2023 /PRNewswire/ -- Qualcomm Technologies, Inc. today announced that it has entered into an agreement with Apple Inc. to supply Snapdragon® 5G Modem‑RF Systems for smartphone launches in 2024, 2025 and 2026.
Apple's big event: Consumers likely to see new iPhone, Apple Watch
Apple will hold a widely-anticipated event Tuesday, with many expecting the tech giant to unveil new devices that could soon hit the market. One of those is the iPhone 15, according to reports.
Apple Stock Is Rising. Tech Names From Tesla to Nvidia Can Breathe a Sigh of Relief.
Tech stocks tumbled last week, led lower by shares in Apple. But now the tech giant's stock is rising to start a new trading week.
Apple stock gets on front foot ahead of iPhone 15 unveiling
Apple Inc (NASDAQ:AAPL) stock started a pivotal and high profile week on the front foot, with the stock up just shy of 1% in early premarket deals. In New York, Apple was up $1.40 or 0.8% changing hands at $179.58.
Apple Stock: Buy, Sell, or Hold?
iPhone sales have been sluggish, but a new version will be out shortly. Meanwhile, its services segment has been growing steadily.
Want to Get Richer? 3 Top Warren Buffett Stocks to Buy Now That Could Help You Build Lasting Wealth
Highly profitable and dependable businesses can be your key to generating strong investment returns. Let Warren Buffett guide you toward the best stocks to buy today.
Apple, Moderna, Inflation, and More to Watch This Week
The Consumer Price Index is expected to be up 3.6%. Results from Oracle, Adobe, and Lennar.
Watch Out Warren: $310 Billion Sub Peak, Apple's Market Value Could Fall
Apple has gotten smaller for three quarters in a row and new products are not likely to offset fresh woes in China — it most significant market
Where Will Apple Stock Be in 3 Years?
With $384 billion in trailing 12-month sales, Apple is already a massive enterprise. The tech giant will certainly be able to return lots of capital to shareholders.
What to expect from Apple's iPhone 15 reveal
Apple is expected to debut its iPhone 15 lineup at the company's annual September keynote event on Tuesday, and it could introduce the biggest change to the phone's design in 11 years.
Is Apple a Buy Now?
Its popular products and services have created one of the most successful companies ever. However, Apple's massive size means future growth will likely be slower than in the past.
Apple Stock: Unfazed Buffett And iPhone 15 Vs. China Concern
Apple's stock prices have suffered sizable corrections lately due to quarterly sales fluctuations and market concern about China's ban on its iPhone products. At times like this, it is always important to go back to basics and review if AAPL's long-term moat has changed or not. After analyzing its profitability, pricing power, and product lineups, my conclusion is that the moat is as wide as ever.
Apple Just Shed More Than $230 Billion In Market Cap. Here's Why It's a Buying Opportunity.
Reports reveal that China banned government employees from using iPhones at work. The resulting selloff was swift and severe, wiping $230 billion from Apple's market cap.
China troubles could upset Apple's cart as it prepares to launch the iPhone 15
Geopolitics may affect sales in a big market – and customers may be annoyed by the new charging socket too
Is Apple (AAPL) Stock a Risky Investment?
For phones over $600, the iPhone dominates the market with a 65% market share. Chinese consumers love Apple products.
Apple's worrying week: China concerns mar upcoming iPhone 15 launch
Apple Inc (NASDAQ:AAPL) shares struggled this week in the lead-up to the highly anticipated launch of the iPhone 15 on Tuesday on concerns about the tech titan's ability to retain its market share in China following the launch of Huawei's Mate 60 smartphone and reports that the country has banned the use of iPhones for work purposes by state employees. Shares of the tech titan have shed about 5% since the market open on Tuesday, the first trading day this week following the Labor Day long weekend, closing at about US$178 on Friday.
This Warren Buffett Stock Looks Too Good to Pass Up Right Now
Apple's latest earnings were a mixed bag, as growth stalls in hardware devices. The services business is thriving and Apple's install base of active devices continues to grow.
Apple: iPhone 15, Understand Its Pricing Strategy
Apple stock price historically drops the day after new iPhone releases, but the new product releases will assert Apple's dominance in the long term. This year's new iPhone event is expected to focus on higher price point versions to increase the average selling price and margins. An analyst predicts a 20% increase in Apple's stock due to higher pricing justified by improved chip, battery, and photo technology in the new iPhone Pro models.
Is Apple Stock Overvalued?
Apple stock is more expensive than ever, and that could be bad news for shareholders.
Apple's Rough Week Dragged Many of the Biggest ETFs Down With It
Apple (AAPL) shares had a rough week, tumbling almost 6% and dragging down a number of popular exchange-traded funds (ETFs) that are heavily exposed to the world's most valuable company.
Apple lost nearly $200B in market capital in matter of days on reports of iPhone restrictions in China
Apple has lost nearly $200 billion in market value amid a string of reports citing iPhone curbs for workers in China, according to data collected by Dow Jones Market Data Group.
The Score: GameStop, Apple, Kroger and More Stocks That Defined the Week
Here are some of the major companies whose stocks moved on the week's news.
The Apple Stock Rally Can Resume. Look At the Chart.
Apple stock dropped more than 6% over Wednesday and Thursday. Scary, but shares are at support now.
Apple's iPhone 15 event kicks off on Tuesday. Here's what to expect
Apple is hoping that its new iPhones can bust a sales slump, fend off renewed competition from Huawei, and can persuade owners of Android phones to switch.
China key to Apple's iPhone 15 launch success
China will be key to the success of the launch of Apple Inc (NASDAQ:AAPL)'s latest iPhone, the iPhone 15 which is releasing on Tuesday next week, according to analysts at Wedbush. “On the recent China news over the last few days, we believe, in a worst-case scenario, any China government agency iPhone ban is way overblown.
China's Apple iPhone Ban Is Hurting These Stocks Too
Reports of a Chinese government ban on Apple's (AAPL) iPhone have sent the stock lower and some of its suppliers are hurting too.
Apple Event 2023: iPhone 15 &amp; Apple Stock Catalysts
Apple's September 2023 event is coming up and that means new announcements. Here's analysis of possible iPhone 15 updates and other possible AAPL stock catalysts
Apple voices support for California climate bill proposing strict emissions reporting
Apple sent a letter to Scott Wiener, a California senator, voicing its strong support for including supply chain (Scope 3) emissions in climate disclosures
Apple Stock Springs Back From Two-Day Dive On Reassuring Analyst Comments
Apple stock rebounded on Friday from a two-day dive as analysts called the pullback an overreaction to China government restrictions.
What Lies Ahead for Apple ETFs After iPhone Use Ban?
Apple (AAPL) shed nearly $200 billion in market value in just two days amid the reports of China planning to expand a ban on the use of iPhones to government-backed agencies and state companies.
Apple stock outlook: LightShed analyst warns of a 33% downside
Apple Inc (NASDAQ: AAPL) has come a bit under pressure in recent days but a LightShed Partners analyst warns that could exacerbate significantly moving forward.
Apple loses about $200 billion in market capitalization on reports of iPhone restrictions in China
Apple has lost around $200 billion in market capitalization over several days as tensions between the U.S. and China rise, with several media outlets reporting this week that the iPhone maker is being singled out by Beijing.
Apple Could Lose Its Title as Most Valuable Company, Analyst Says
The growth of generative artificial intelligence could leave the iPhone maker dwarfed by rivals.
Apple's worst-case scenario in China isn't so bad, says Morgan Stanley
Apple Inc.'s worst-case scenario in China doesn't look that bad, according to a Morgan Stanley analyst — and that's unlikely to occur in the first place.
The iPhone 15 is coming: Everything to expect from Apple's big event
The company is expected to launch the iPhone 15 at an event Tuesday, but don't get too excited about the new phone. This year, the biggest change from Apple AAPL, +0.73% could be the iPhone's price.
Apple yet to recover from Huawei shock
Apple Inc (NASDAQ:AAPL) shares have failed to fully recover from the shock of Huawei's surprise drop of its new Mate 60 Pro smartphone. To the surprise of global tech leaders, Huawei's new phone is considerably more technically advanced than expected, given the strict tech sanctions imposed by the US government in recent years.
AAPL Stock Alert: Is China About to Ban Apple iPhones?
Apple (NASDAQ: AAPL ) stock is on the move Friday as investors discuss the potential of an iPhone ban in China. According to recent reports, China is further pushing for its government officials to stop Apple iPhones while at work.
Disney execs reportedly think CEO Bob Iger's ‘end game' is to sell company to Apple
Bob Iger's showed interest in teaming up with Apple as early as in 2006, when Disney acquired Pixar, which was then chaired by Apple founder Steve Jobs. The $7.4 billion deal led to a close friendship between the two.
Apple could be about to make the biggest change to the iPhone in 11 years
Apple is set to unveil the iPhone 15 in just a few days, and it's widely expected to come with a significant change.
Better Buy: Amazon vs. Apple
Amazon and Apple shares have each soared over 40% this year. Amazon has rallied investors with its growing e-commerce business.
Can The S&amp;P 500 Triumph Over September's Infamous Jinx?
Four of the five most heavily weighted S&amp;P components, Apple Inc. NASDAQ: AAPL, Amazon.com Inc. AMZN: AAPL, Nvidia Corp. NASDAQ: NVDA and Alphabet Inc. NASDAQ: GOOGL, are trading in the red.
Why Is The Nasdaq Down This Week? Apple, China And Jobless Claims Worries Fuel Stock Market Slide
With the stock market, you win and lose some, but investors are concerned this is the beginning of a longer trend after August's dismal performance.
Apple May Be Losing in China, While Biden Is Also Taking Some Lumps
Shares of Apple Inc. (NASDAQ: AAPL) have fallen by nearly 7% this week.
Apple Stock Halts Slide. What Analysts Say About Its Recovery Chances.
Apple shares were inching up Friday after worries about a ban on iPhone use by Chinese government officials hit the stock. Wall Street analysts are assessing the likely direction for the rest of the year.
Apple's $200 billion valuation wipeout may foreshadow a post-US tech future
Apple experience a $200 billion market cap drop amid investor concerns about China. A new phone from Huawei has been built mostly with equipment from China.
Morning Bid: Markets find feet after Apple topples
A look at the day ahead in U.S. and global markets from Mike Dolan
The 7 Best Dow Stocks to Buy Now: September 2023
Finding the best Dow stocks to buy can be complex. The companies listed in the Dow Jones Industrial Average tend to be blue-chip stocks that have large market capitalizations and are dominant in their sectors of the economy.
How To Set Up Apple Pay
Here's how to use your iPhone to buy whatever you want.
Apple's stock is the biggest short for investor Dan Niles amid worries about China's iPhone ban
Apple's stock is currently the single biggest short for hedge fund investor Dan Niles.  "Sold $AAPL &amp; now our largest single stock short," the Satori Fund founder said in a Thursday post on X.
Warren Buffett's $690 Million Secret Portfolio Is Invested in 5 Artificial Intelligence (AI) Stocks
Artificial intelligence (AI) is expected to lift global gross domestic product by $15.7 trillion come 2030. Due to an acquisition in 1998, Berkshire Hathaway owns a specialty-investment company -- New England Asset Management -- that's effectively become Buffett's "secret" portfolio.
Apple: Record High Service Revenue And Investment In Mixed Reality
Apple's service revenue reached a record high of $21.2 billion, accounting for 26% of total revenue. Huawei's market share in China dropped due to U.S. chip sanctions, but they may regain some market share with new product launches. Apple's early investment in mixed reality technology could maintain their competitive advantage in the post-smartphone era.
Apple Becomes the Biggest U.S.-China Pawn Yet
Few companies are safe if the iPhone maker isn't immune to China retaliation.
Can Apple Be the Next Big AI Stock?
Apple is making significant investments in artificial intelligence (AI), allocating millions of dollars daily to developing AI models across multiple teams.
Here's why Wall Street may be overreacting about Apple's China's challenges
Apple Inc. shares sold off for the second session in a row Thursday amid swirling concerns about the company's China business, but some analysts say those fears may be overblown.
Cramer says stick with Apple despite reports of China government iPhone ban
CNBC's Jim Cramer told investors not to sell Apple, saying the company can adapt even if China has banned iPhones for its government employees.
3 Growth Stocks Likely to See a Late Summer Rally
Stocks fall into two primary categories: value and growth. Value stocks represent established firms with stable finances, while growth stocks are typically dynamic, youthful, and disruptive companies.
Stock Market Today: Another Apple Stock Slump Drags on Nasdaq
The tech-heavy Nasdaq fell for a fourth straight day as Apple sold off again on China worries.
China's iPhone ban for government workers roils Apple, other tech stocks
Wall Street analysts said that even a company with a good relationship with the Chinese government was not immune to rising tensions between the US and China.
Apple lost $200 billion in two days after reports of iPhone ban in China
Shares of Apple fell by 3.4% on Thursday following reports that China plans to expand a ban on the use of iPhones to government-backed agencies and companies.
Apple And Nvidia's Losses This Week Cross $250 Billion
It's Apple's worst two-day stretch in 10 months, while Nvidia's losses are apparently tied to a “nonsense” conspiracy theory.
Why Apple's iPhone 15 Launch Is Unlikely To Drive Its Stock Higher
Wall Street analysts predict a muted investor response to Apple's iPhone 15 introduction on Tuesday.
Apple shares fall after reports that China banned iPhone use by government employees
The reported restrictions, which have not been publicly announced by the Chinese government, raise concerns that Apple's products could get caught up in international tensions between the U.S. and China.
What we expect from Apple's ‘Wonderlust' 15 event
Not all who wonder are lust. Some of us will be forming an orderly queue in the holding room at One Apple Park Way on Tuesday morning.
Why $74 Billion Of Apple Revenue Is Suddenly At Risk
Apple shares are down 3.34% and the company is worth about $90 billion less this morning after two body blows from China in the last two days.
Apple stock has lost $191 billion in market cap over 2 days on fears of China's crackdown
Apple stock has lost about $191 billion in market capitalization over the last two days.  China has banned government workers from using iPhones, while EU regulators have also cracked down.
The Apple Update For September
On August 13th, Apple was recommended as a short sale. The biggest profits for short sellers lie ahead.
Apple Is Now in Crosshairs of China-U.S. Chip War
The tech war between the U.S. and China continues to escalate. It's not just Apple that's at risk.
China's iPhone Ban for Government Workers Could Have Negligible Impact on Apple
China's ban on government officials using iPhones probably will have little impact on Apple's (AAPL) sales, as the banned devices are just a fraction of the roughly 45 million iPhones expected to be sold in China over the next 12 months, according to a research note from Wedbush Securities on Thursday.
Apple shares fall on reports of China iPhone restrictions
Apple shares fell sharply for a second straight session Thursday following reports of significant Chinese restrictions on iPhones at government offices and state-backed entities.
US House panel chair: wider Chinese iPhone ban aims to quash Apple's market access
A wider ban on China state employees from using Apple's iPhones is not surprising and seeks to limit a Western company's market access, the chairman of the U.S. House panel on China told Reuters on Thursday.
How Options Traders Are Playing Apple Stock
Shares of Apple Inc (NASDAQ:AAPL) are 3.2% lower at glance, trading at $177.06 after Bloomberg News reported China's plans to extend its iPhone ban for state-owned corporations.
Report: China is further extending its ban on iPhones
Apple Inc (NASDAQ: AAPL) opened another 3.0% down on Thursday following a report that China is extending its ban on iPhones. China news is a big deal for Apple The largest Asian economy was recently reported to have ordered its government officials to not bring their iPhones to work.
Why Apple Stock Just Dropped 5%
China has announced bans on government employees using iPhones at work. The precise scope of the new regulations remains unclear.
Warren Buffett's top 5 portfolio positions
Warren Buffett is one of the world's most successful stock investors with a net worth of $118 billion. His success is mostly attributed to finding great companies at a discount.
Apple stock is poised to jump 20% as its iPhone 15 will drive a 'mini super cycle,' Wedbush says
The new iPhone 15 will spark 20% upside for Apple stock, Wedbush Securities' Dan Ives wrote. He maintained an outperform rating and held a price target of $230.
Apple Stock Has Been Dropping. Here's How Far It Could Fall.
The stock has been hit by concerns over a ban on iPhone use by Chinese government officials. Analysts are weighing in on what comes next.
Walmart, Apple, And Microsoft: Three Strategy Lessons For Supply Chain Leaders
Lessons from Walmart, Apple, Microsoft. 1) Digitization for Customer Problem-Solving, 2) Regionalization for Resilience, 3) Talent Transformation for Margin Protection.
Apple's stock selloff would shave more than 40 points off the Dow's price
The selloff in Apple Inc.'s stock AAPL was a big reason for the early drop in stock market futures. The technology behemoth's stock fell 3.7% to pace the Dow Jones Industrial Average's DJIA premarket decliners, amid growing worries about the implications of China's reported ban on government iPhones.
Apple extends falls on reports China bans state use of iPhones
Apple Inc (NASDAQ:AAPL) shares extended Wednesday's falls in pre-market trading after reports China appears to be setting limits on the use of iPhones by state-linked employees. The Wall Street Journal reported Wednesday that China had banned government officials from using iPhones for work purposes, while Bloomberg said overnight that Chinese officials could extend that ban to government-backed agencies and state companies.
Apple's stock set to extend selloff as China fears build
Shares of Apple Inc. looked poised to further their selloff Thursday amid new concerns about the company's China business.
EU's crackdown on Apple, Meta and others is to avoid forced breakups, top official says
Big Tech is facing tighter scrutiny in the European Union, but officials want to avoid forcing them to break up parts of the business.
Apple Shares Slide Further As Beijing Targets iPhone Maker In Escalating Tech War
Government officials have reportedly been banned from using iPhones in China and Apple faces stiff competition from domestic firm Huawei after the launch of its new smartphone featuring an advanced microchip.
Apple shares fall after China reportedly bans iPhone use by government officials
The move suggests that China, which is one of Apple's biggest markets, is unwilling to spare any US company in fight to boost homegrown technology
Apple Stock And The EU's Digital Markets Act
The EU designates six tech giants as gatekeepers under the Digital Market Act: Google, Amazon, Apple Inc., ByteDance, Meta, and Microsoft. The Digital Markets Act is expected to create a fairer business environment for business users, provide new opportunities for innovators and start-ups, and offer consumers more choices and fairer prices. The act could have a significant impact on Apple's services business, potentially forcing changes to the App Store, increasing competition and pricing pressure, and weakening Apple's control and profitability in its services segment.
Apple Shares Slide 4% On Report China Banned Its Officials From Using iPhones
Apple (AAPL) shares fell 4% Wednesday after a report that China banned its government officials from using the company's iPhones for work, as part of Beijing's effort to reduce its reliance on foreign technology and strengthen cybersecurity.
7 Blue-Chip Stocks to Buy for a Market Pullback
After a blistering first half of the year, the outlook for the stock market has gotten murky. All three major U.S. indices declined in August, with the Dow Jones Industrial Average falling 2.4%, the Nasdaq losing 2.2%, and the benchmark S&amp;P 500 sliding 1.7%.
Apple Faces New China Risk
Apple is preparing for its annual product launch event, where new iPhones will be showcased, but faces competition from Huawei's new Mate 60 smartphone series. Huawei's new product release indicates a potential comeback for the company, which has been hindered by US sanctions in recent years. Apple's potential growth in the Chinese market could be limited if Huawei's Mate 60 line proves to be competitive and gains strong sales.
China has reportedly banned iPhones for government officials
China has reportedly restricted its government officials from using foreign-branded devices including the Apple iPhone for work. Analyst reacts to China news on CNBC Anonymous sources told the Wall Street Journal today that superiors at the central government agencies have been informing staff to not even bring their iPhones to work anymore.
Apple Is A Strong Buy Based On Technical Strength (Technical Analysis)
Apple Inc.'s recent quarterly report showed a minor dip in revenue but a rise in earnings per diluted share, with the Services sector setting a revenue record. Investors remain optimistic due to new product launches, investments in AI, and the introduction of premium products. Technical analysis suggests that Apple's stock price has breached crucial long-term levels, indicating upward momentum and potential investment opportunities.
Apple and Arm sign deal for chip technology that goes beyond 2040
Apple has secured access to a core piece of intellectual property, the Arm architecture, used in its iPhone and Mac chips, for the foreseeable future.
3 Stocks the Smart Money Is Buying Hand Over Fist
There's always a palpable buzz about stocks the smart money is buying. These aren't mere fleeting trends; they're astute decisions of people with incredible financial acumen.
Apple stock falls as EU regulators tighten screws and China bans iPhones for government workers
Apple stock dropped about 3% Wednesday following developments with regulators in Europe and China. The European Commission named Apple a "gatekeeper" along with Microsoft, ByteDance, Meta, Amazon, and Alphabet.
Factbox: How the EU's Digital Markets Act challenges Big Tech
New European Union rules will rewrite the basic tenets of business on the internet and on mobile, upending how Big Tech makes money and how consumers access these services.
Wall Street Journal: China bans use of iPhones for government officials
China has banned the use of iPhones for central government officials, The Wall Street Journal reported, citing unnamed people familiar with the matter.
3 Growth Stocks to Buy in September
We're now into September, and that means many investors wonder if the September effect will be in place. This speaks to the historical trend of stocks underperforming in September compared to other months.
China bans iPhone use for gov't employees to curb reliance on American-owned Apple, foreign tech: report
Beijing is reportedly instructing central government agency staffers not to use iPhones at work as part of a push to curb reliance on foreign technology.
Chip Designer Arm Locks Apple As A Customer Until After 2040
Arm Holdings has locked in Apple (AAPL) as a customer beyond 2040 via a long-term agreement, the British chip design company revealed in a regulatory filing related to its initial public offering (IPO).
7 Retirement Stocks That Every Long-Term Investor Should Own Now
Here's a look at the top long-term retirement stocks to buy now. Building a solid retirement portfolio is all about identifying companies that can withstand any storm in the market.
Apple, Amazon, and Meta among 6 tech giants deemed 'gatekeepers' set to face strict competition rules under new EU law
The European Union named six tech giants as "gatekeepers" that have to comply with new laws. The Digital Markets Act aims to give more choice to users and open up the market for competitors.
Apple's iPhone 15 Faces a Hurdle in China. It Shouldn't Hurt Revenue Growth.
The Chinese government is banning the use of iPhones by government officials at work, according to The Wall Street Journal.
Blame Apple And Microsoft For Dragging Down S&amp;P 500?
Likewise, Microsoft Corp. NASDAQ: MSFT, the S&amp;P 500's second-largest component, after Apple, ended to the downside in July and August. Microsoft, too, logged gains in each month from January through June.
EU targets Apple, Amazon, Alphabet, ByteDance, Meta, Microsoft in next phase of digital crackdown
The European Union on Wednesday targeted Apple, Amazon, Microsoft, Google parent Alphabet, Facebook owner Meta and TikTok parent ByteDance under new digital rules aimed at reining in the market power of online companies.
Apple buying Disney would be a storybook ending for Iger, but fairy tales aren't real
Disney CEO Bob Iger may want to eventually sell Disney to Apple, but it's unclear if Apple wants to buy Disney.
Apple says it remains worried about risks of EU Digital Markets Act
Apple on Wednesday said it remained concerned about privacy and security risks it sees in the new EU Digital Markets Act (DMA), after the European Commission had designated it and five other major tech companies as gatekeepers of online services.
EU lists Alphabet, Amazon, Meta and three other tech giants as 'gatekeepers' under strict competition rules
The European Union on Tuesday unveiled a list of six designated "gatekeepers" set to come under its new Digital Markets Act.
EU confirms six (mostly US) tech giants are subject to Digital Markets Act
The European Union has named six tech giants whose market power it hopes to be able to rein in by applying a new set of up-front rules on how these gatekeepers can operate so called core platform services. The six so-called gatekeepers are: Alphabet, Amazon, Apple, ByteDance, Meta, Microsoft.
China reportedly bars some government officials from using iPhones
China has made a massive move of barring central government officials from using iPhones at work, part of its grand plan to restrict foreign influence as its relationship with the U.S. sours. The move, first reported by the Wall Street Journal, will likely deal a blow to Apple's public perception in its second-biggest market.
Apple Tests Limits for Most Expensive iPhones
The tech company is expected to raise prices by $100 on some premium models next week.
Week Of 08/28 Notable Insider Buys
Energy Transfer LP, Cassava Sciences, and PENN Entertainment Inc. were discussed in last week's insider trades update. CEO of Sirius XM Holdings Inc., Jennifer Witz, purchased 250,000 shares for over $1 million. Lyft, Inc. shares have risen nearly 20% since the introduction of new CEO David Risher in April, and insiders like the stock also.
The 3 Best Long-Term Stocks to Buy Now: September 2023
The United States economy added 187,000 new jobs last month, and this is accompanied by an unexpected rise in the unemployment rate to 3.8% . This in turn raises the odds for the soft landing that the Federal Reserve wanted.
Apple buys Swedish classical record label
Apple has bought classical music-focused record company BIS Records and will fold it into its Apple Music Classical and Platoon music services.
Apple inks new long-term deal with Arm for chip technology - filing
Apple has signed a new deal with Arm for chip technology that "extends beyond 2040," according to Arm's initial public offering documents filed on Tuesday.
Apple's newest China challenge could be a blast from the past
BofA Securities analyst Wamsi Mohan is curious about whether Huawei could put a dent in Apple's AAPL, +0.13% China momentum as it enjoys a technological rebound.
Apple executives lose bid to block testimony at Google antitrust trial
Three senior Apple executives have lost their bid to stop the U.S. Justice Department from calling them as witnesses in the government's upcoming trial accusing Alphabet's Google of abusing its search power.
Apple, Google, Nvidia, and other tech giants are considering buying Arm shares
A year after regulatory pushback prompted Nvidia to drop its planned Arm acquisition, now Nvidia CEO Jensen Huang is talking up Arm's potential.
Dow Jones Leader Apple, Netflix Stock Eye Buy Points In Today's Stock Market
Dow Jones tech titan Apple and streaming giant Netflix stock are approaching new buy points in today's stock market action.
Apple's BIS acquisition is a bet on a classical music catalogue, and on building cred in the industry
More than 80% of the music we listen to today is delivered over streaming, according to figures from last year. But when you look at classical music, it's been a stubborn hold-out, accounting for just a tiny fraction of that, with just 0.8% of streams (and that's in the stream-friendly market of the U.S.).
Apple's MLS Season Pass subscriptions skyrocket thanks to 'Messi Effect'
Subscriptions for Apple Inc (NASDAQ:AAPL) MLS Season Pass streaming service are surging as fans clamor to watch Lionel Messi in the US soccer league.  Since Messi's debut with Inter Miami on July 21, MLS Season Pass has seen a 1,690% surge in US signups, according to reports — including 110,000 the day of the match, which, fittingly, ended with a game-winning goal from Messi in stoppage time.
Apple to make low-cost MacBooks to challenge Chromebooks: report
Apple is reportedly working on a low-cost MacBook that will be entirely different from its existing MacBook Pro and Air models to rival Chromebook, insiders told DigiTimes.
Huawei's new phone could take a bite out of Apple's market share in China
The launch of Huawei's Mate 60 series phones containing its in-house 5G chip the Kirin 9000S could help the phone maker regain market share from Apple Inc (NASDAQ:AAPL) in China, according to analysts at the Bank of America. “This launch marks a significant milestone for the company after being cut off from critical supply due to U.S. sanctions in 2019,” the analysts wrote, referring to sanctions that banned American companies from selling software and equipment to Chinese firms.
3 Top E-Commerce Stocks to Buy in September
Amazon's e-commerce revenue has soared in its most recent quarter. Meanwhile, Apple has a solid position in the sector thanks to the immense popularity of its products.
3 Blue-Chip Stocks That Can Consistently Beat Index Returns
I believe it is very important to explore blue-chip stocks if you're an investor looking to beat the market. If we look at the S&amp;P 500 index, the 10-year annualized (price returns) have been healthy at 10.71%.
Arm's IPO could value the chip company at $52 billion. Apple, Google and Nvidia show interest
A who's who of Big Tech companies is set to invest in one of the most highly anticipated initial public offerings in recent memory, a blockbuster event that could value a British chip designer at as much as $52.3 billion.
Apple TV Wins With Live Sports as Messi Boosts Subscriptions
MLS Season Pass got more than 110,000 U.S. sign-ups when the soccer star played his first match for Inter Miami
Mosyle First Apple MDM and Security Provider to Release Beta Access to Apple Watch Management at Work or School
WINTER PARK, Fla.--(BUSINESS WIRE)--Mosyle is the first Apple MDM and security provider to release beta access to Apple Watch device management to businesses and educational institutions.
Apple may introduce a low-cost MacBook to take on Google's Chromebook dominance: report
Rumors about Apple coming out with a low-cost anything should always be taken with a grain of salt, but this move would make sense for a few reasons. The Apple Vision Pro mixed-reality headset might not be the only all-new product the iPhone maker is set to introduce in 2024 if a report from DigiTimes is correct (via MacRumors).
A Bull Market Could Be Here: 2 Reasons to Buy Apple Stock
Apple's stock has fallen 4% since Aug. 1 after reporting declines in multiple product segments. However, a major product release this month could offer a boost to sales.
Apple stock price prediction; Can AAPL hit $200 in 2023?
Apple (NASDAQ: AAPL) stock gained 5% last week after an impressive performance of 51% returned to investors year-to-date.
Messi Drives Jump in Apple TV+, MLS Subscriptions
The Argentine soccer superstar's arrival brings more than 110,000 sign-ups to MLS Season Pass on the day of his first match with Inter Miami.</t>
  </si>
  <si>
    <t xml:space="preserve">           1y Target Est                       199.8
           52 Week Range             124.17 - 198.23
                     Ask                178.49 x 800
             Avg. Volume                  56253912.0
       Beta (5Y Monthly)                        1.27
                     Bid               178.49 x 1100
             Day's Range             177.34 - 180.30
               EPS (TTM)                        5.97
           Earnings Date Oct 25, 2023 - Oct 30, 2023
        Ex-Dividend Date                Aug 11, 2023
Forward Dividend &amp; Yield                0.96 (0.54%)
              Market Cap                       2.79T
                    Open                      180.07
          PE Ratio (TTM)                       29.89
          Previous Close                      178.18
             Quote Price                  178.434998
                  Volume                  27211130.0
    Market Cap (intraday) 2.79T
         Enterprise Value 2.83T
             Trailing P/E 29.90
              Forward P/E 26.81
PEG Ratio (5 yr expected)  2.27
        Price/Sales (ttm)  7.39
         Price/Book (mrq) 46.22
 Enterprise Value/Revenue  7.38
  Enterprise Value/EBITDA 22.32</t>
  </si>
  <si>
    <t>Meta Stock Is Rising. Its Bid for AI Dominance Enters a New Stage.
Meta is developing a much more powerful artificial intelligence model that may help it better compete against OpenAI, The Wall Street Journal reported.
Has Meta's Cost-Cutting Gone Far Enough?
Meta expects to reduce capital expenditures by about 10% this year. It's spending heavily on AI, just like Microsoft and Alphabet.
Meta is building an AI model as powerful as GPT-4, report says
Wall Street Journal report says Meta is developing an AI model designed to compete with GPT-4. It's expected to be much more powerful than Llama 2, the open-source AI that Meta recently released.
The 7 Best Tech Stocks to Buy to Capitalize on the AI Revolution
Tech stocks are some of the most appealing and popular in the stock market. But did you ever think about what makes investors so eager to find the best tech stocks to buy?
1 FAANG Stock That's a Surefire Buy in September and 1 to Avoid
When the going gets tough on Wall Street, smart investors turn to the FAANG stocks. One FAANG stock, with a virtually impenetrable moat within its respective industry, remains historically inexpensive after a monstrous move higher.
3 Social Media Stocks Investors Shouldn't Give Up On Yet
While not as innovative or disruptive as it used to be, social media remains a rapidly-growing industry. With 3.8 billion users in 2021, it's expected to reach 4.4 billion by 2025!
META Stock Outlook: 3 Catalysts That Could Fuel Meta Platform's Next Rally
Meta Platforms (NASDAQ: META ) had a turbulent 2022, plunging from a high of roughly $380 per share to the $88 level, and then more than tripling in early 2023. At around $300 per share at the time of writing, META stock has certainly become one of the come back stories investors like to see.
Meta's VR technology is helping to train surgeons and treat patients, though costs remain a hurdle
Virtual reality technology from Meta and other companies is finding its way into hospitals and medical schools even as it struggles to find consumer traction.
Meta Platforms must face medical privacy class action
A U.S. federal judge said Meta Platforms must face a lawsuit claiming that it violated the medical privacy of patients who were treated by hospitals and other healthcare providers that used its Meta Pixel tracking tool.
Why Meta Platforms Is Poised for Trillion-Dollar Valuation Next Year
Only a handful of companies are part of the illustrious trillion-dollar club. Currently, all eyes are on Meta Platforms Inc ( META , Financial), the comeback story that's left heads turning this year.
Can The S&amp;P 500 Triumph Over September's Infamous Jinx?
Four of the five most heavily weighted S&amp;P components, Apple Inc. NASDAQ: AAPL, Amazon.com Inc. AMZN: AAPL, Nvidia Corp. NASDAQ: NVDA and Alphabet Inc. NASDAQ: GOOGL, are trading in the red.
'Smart Money' Investors Pour $2 Billion Into Just 5 Stocks
If you're wondering which S&amp;P 500 stocks the best mutual funds are buying — you might be surprised how selective the list is.
Missed Out on Nvidia? 2 AI Stocks to Buy Hand Over Fist.
Cloud giant Amazon is targeting the hardware and software side of the generative AI market. Meta Platforms' shift from metaverse development to AI could power the next leg of long-term growth.
7 Tech Stocks to Invest In for Big-Time, Long-Term Gains
Tech stocks to buy and hold are on every investor's radar. Technology has been the driving force behind global growth for multiple years, leading the charge in developing solutions that continue moving the needle across many industries.
3 Growth Stocks Likely to See a Late Summer Rally
Stocks fall into two primary categories: value and growth. Value stocks represent established firms with stable finances, while growth stocks are typically dynamic, youthful, and disruptive companies.
Meta: Danger Ahead, Despite Zuckerberg's Stellar Delivery
META has demonstrated its successful social media execution, with growing Monthly Active Users and Average Revenue Per Person. This naturally contributed to its expanding top and bottom line, significantly boosted by the returning ad spend and aggressive Year of Efficiency. META's AI offerings have also improved its monetization, thanks to intensified R&amp;D efforts while staying "as lean as possible," with a Family Of Apps subsidizing Metaverse thus far.
Meta Earnings Could Climb. It's All About Reels.
Morgan Stanley analyst Brian Nowak sees Meta's earnings going up to $20 a share by 2024.
Meta Platforms (META) to Shut Down Facebook News Tab in Europe
Meta Platforms (META) to cease the News tab on Facebook in the United Kingdom, France and Germany by December 2023.
Is Meta Platforms Stock a Buy?
Meta's advertising business is back on track. But Meta's metaverse bet remains highly uncertain.
Empower Media Hires Global Executives From Meta and GroupM
NEW YORK--(BUSINESS WIRE)-- #advertising--Empower Media, the largest woman-owned media agency in America, has hired two widely respected industry veterans, Yating Sun and Art Zambianchi.
EU's crackdown on Apple, Meta and others is to avoid forced breakups, top official says
Big Tech is facing tighter scrutiny in the European Union, but officials want to avoid forcing them to break up parts of the business.
Meta's Push Into Artificial Intelligence Powers A Turnaround Story
On the strength of an improving advertising business and cost-cutting measures, Meta stock has surged nearly 150% thus far in 2023.
Meta to end Facebook news service in Europe's biggest markets
Meta Platforms Inc. plans to stop promoting news content for people in three major European countries, the latest sign that the social network giant is trying to leave the industry behind.
Factbox: How the EU's Digital Markets Act challenges Big Tech
New European Union rules will rewrite the basic tenets of business on the internet and on mobile, upending how Big Tech makes money and how consumers access these services.
Meta denied injunction against Norway's ban order on its surveillance ads
Meta has lost a first bid to get an injunction slapped on a ban Norway's data protection authority imposed on its consentless behavioral ad targeting in July. The order also provides for daily fines for non-compliance.
Court Says Facebook Joke Is Protected By The First Amendment
After being arrested for a joke he posted on his Facebook page, a Louisiana man sued the sheriff's deputies for false arrest. A court just let his suit move forward.
Norway court rejects Meta bid to defer ban
A Norway court on Wednesday rejected US tech giant Meta's request to defer a ban on behavioral marketing based on users' personal information, which has landed it a heavy fine in the country.
Apple, Amazon, and Meta among 6 tech giants deemed 'gatekeepers' set to face strict competition rules under new EU law
The European Union named six tech giants as "gatekeepers" that have to comply with new laws. The Digital Markets Act aims to give more choice to users and open up the market for competitors.
META Stock's Road to $500: Why Analysts Are So Bullish
Meta Platforms (NASDAQ: META ) stock floundered in August, but 2023's second half still has plenty of trading days left. Analysts are busy issuing their predictions about Meta Platforms, and they have high hopes for the company and the stock.
EU targets Apple, Amazon, Alphabet, ByteDance, Meta, Microsoft in next phase of digital crackdown
The European Union on Wednesday targeted Apple, Amazon, Microsoft, Google parent Alphabet, Facebook owner Meta and TikTok parent ByteDance under new digital rules aimed at reining in the market power of online companies.
EU lists Alphabet, Amazon, Meta and three other tech giants as 'gatekeepers' under strict competition rules
The European Union on Tuesday unveiled a list of six designated "gatekeepers" set to come under its new Digital Markets Act.
EU confirms six (mostly US) tech giants are subject to Digital Markets Act
The European Union has named six tech giants whose market power it hopes to be able to rein in by applying a new set of up-front rules on how these gatekeepers can operate so called core platform services. The six so-called gatekeepers are: Alphabet, Amazon, Apple, ByteDance, Meta, Microsoft.
What is WhatsApp? A guide to navigating the free Meta-owned communication platform
WhatsApp is a free, multiplatform messaging app that lets you make video and voice calls, send text messages, and more — all with just a Wi-Fi connection.  With over 2 billion active users, WhatsApp is especially popular among friends and family who live in different countries and want to stay in touch.
1 "Magnificent Seven" Stock That's a Screaming Buy in September and 1 to Avoid
Wall Street and investors flock to outperformers, which is why the magnificent seven -- Apple, Microsoft, Alphabet, Amazon, Nvidia, Meta Platforms, and Tesla -- are garnering so much attention. Despite a mammoth move higher this year, one magnificent seven stock is still historically inexpensive.
Meta's return-to-office edict takes affect as employees report to work
The return to office is a reversal of the tech giant's remote work policies that were introduced during the coronavirus pandemic.
Facebook is getting rid of the News tab in Europe
Meta plans to deprecate the Facebook News tab in early December for users in those the United Kingdom, France and Germany.
Biden antitrust enforcers stick to ‘tough talk' despite mounting court losses
The Biden administration is pushing forward with new merger enforcement guidelines even as antitrust enforcers have been dealt a series of losses in court that may call into question whether their aggressive approach can withstand judicial scrutiny.
Meta's requirement that employees work from the office three days a week goes into effect
Meta's has begun requiring its employees to work at the office at least three days a week, according to reports.  The company first notified employees of the plan in June, which applies to all employees who are not fully remote.
Meta Platforms: Tap The Brakes
Meta Platforms has seen its shares rally over 137% this year, recovering most of their losses from 2022. The company's "Year of Efficiency" has certainly helped control costs, but expenses are expected to rise a bit further in 2024. Analysts expect revenue growth of 12% in 2024, with earnings per share expected to grow at a much higher rate.
Meta employees are back in the office three days a week as part of new mandate
Meta's return-to-office mandate requires employees to work from the company's offices at least three days a week.
This Is Why It's Not Too Late For You To Buy Meta Stock
One stock that has surprised markets with a wild ride during the past twelve months is Meta Platforms NASDAQ: META, which went from a high of $350 a share in 2022 to a low of roughly $88 during the same year and began 2023 by rising as much as 269%.
Meta to stop paying for news content in Europe
Facebook owner Meta is to stop paying for news content from UK, French and German publishers, it announced today, with Facebook news also to close in early December. “As a company, we have to focus our time and resources on things people tell us they want to see more of on the platform, including short-form video,” Meta said in a statement.
Meta to drop 'Facebook News' tab in some European countries
Meta Platforms said on Tuesday it will discontinue the "Facebook News" feature on its social media app in the UK, France and Germany, later this year.
Meta Platforms' Growth Is Being Driven by Chinese E-Commerce Companies. Here's Why It's a Red Flag for Amazon's Future.
Meta's recovery over the past year was driven by its soaring ad sales to Chinese e-commerce companies. That spending spree indicates cross-border marketplaces like Temu and Shein are coming after Amazon.
Malaysia mulls rules for Google, Meta to pay news outlets for content
Malaysia said on Tuesday it is considering regulations that will make internet giants Alphabet Inc's Google and Facebook parent Meta Platforms compensate news outlets for content sourced from them.</t>
  </si>
  <si>
    <t xml:space="preserve">           1y Target Est                      363.27
           52 Week Range              88.09 - 326.20
                     Ask               303.30 x 1400
             Avg. Volume                  23774922.0
       Beta (5Y Monthly)                        1.23
                     Bid               303.24 x 1000
             Day's Range             301.28 - 306.40
               EPS (TTM)                        8.55
           Earnings Date Oct 24, 2023 - Oct 30, 2023
        Ex-Dividend Date                         NaN
Forward Dividend &amp; Yield                   N/A (N/A)
              Market Cap                    781.296B
                    Open                      301.41
          PE Ratio (TTM)                       35.42
          Previous Close                      297.89
             Quote Price                  302.819885
                  Volume                   8669528.0
    Market Cap (intraday) 766.52B
         Enterprise Value 749.29B
             Trailing P/E   34.72
              Forward P/E   18.90
PEG Ratio (5 yr expected)    0.75
        Price/Sales (ttm)    6.52
         Price/Book (mrq)    5.72
 Enterprise Value/Revenue    6.22
  Enterprise Value/EBITDA   19.56</t>
  </si>
  <si>
    <t>Potential UAW strike presents a near-term headwind for auto insurers - JPM
J.P.Morgan on Thursday said supply chain disruptions from a potential United Auto Workers (UAW) union strike would cut new vehicle production, drive up used car prices and put pressure on margins in the personal auto insurance business.
TRV or ALL: Which P&amp;C Insurance Stock Should You Hold Now?
Let's see how Travelers Companies (TRV) and Allstate Corporation (ALL) fare in terms of some of the key metrics.
The 3 Best Investing Ideas for the Rest of 2023
With rising pressures evident in the consumer economy, market participants may want to consider the best investing ideas for the remainder of the year. That's not to say you should exclusively focus on these publicly traded securities.</t>
  </si>
  <si>
    <t xml:space="preserve">           1y Target Est                      127.94
           52 Week Range             100.57 - 142.15
                     Ask                  0.00 x 800
             Avg. Volume                   1814895.0
       Beta (5Y Monthly)                        0.57
                     Bid                  0.00 x 800
             Day's Range             106.43 - 108.47
               EPS (TTM)                      -10.34
           Earnings Date Nov 01, 2023 - Nov 05, 2023
        Ex-Dividend Date                Aug 30, 2023
Forward Dividend &amp; Yield                3.56 (3.30%)
              Market Cap                     27.994B
                    Open                      107.04
          PE Ratio (TTM)                         NaN
          Previous Close                       106.2
             Quote Price                  107.019997
                  Volume                    342599.0
    Market Cap (intraday) 27.78B
         Enterprise Value 37.03B
             Trailing P/E    NaN
              Forward P/E   8.28
PEG Ratio (5 yr expected)    NaN
        Price/Sales (ttm)   0.51
         Price/Book (mrq)   2.06
 Enterprise Value/Revenue   0.68
  Enterprise Value/EBITDA    NaN</t>
  </si>
  <si>
    <t>3 Things About AMD That Smart Investors Know
AMD is heavily investing in AI but has a mountain to climb as it goes up against the increasingly dominant Nvidia. Meanwhile, its business could be left vulnerable in a potential recession.
2 Super Growth Stocks to Buy Now Before They Soar
AMD is a top chip supplier that's about to make its debut in the AI chip market. Demand for better productivity tools is driving robust growth for top software stock Monday.com.
AMD's Graphics Card Market Share Bounces Back
The graphics card market registered a small sales gain in the second quarter compared to the first quarter. AMD's shipments surged, likely due to progress in clearing out excess inventories of older graphics cards.
AMD: Downgrading To Sell, Only A.I. Fumes Here
We are downgrading Advanced Micro Devices to a sell. We are now less optimistic about AMD because we think Wall Street expectations for AI revenue are too high. We expect AMD's AI GPU to lag behind Nvidia Corporation in a material way, and we now see a higher risk profile for the stock in the near-to-mid term. Additionally, we also believe the industry spending shift to AI will have a negative effect on its data center CPU business.
AMD: Still Undervalued And Ready To Compete With Nvidia
Advanced Micro Devices, Inc. experienced a tough first half of 2023 due to the global weakness in PC shipments. Despite weakness in revenue, AMD's wide gross margin enabled the company to continue investing heavily in innovation, which allowed it to improve its portfolio of offerings. My valuation analysis suggests AMD stock is still attractively valued even after a massive year-to-date rally.
AI Chip Wars: Nvidia May Be Winning, But Don't Sleep on AMD Stock!
In the first half of 2023, Advanced Micro Devices (NASDAQ: AMD ) stock, commonly known as just AMD, was a favorite among the investing community. People held CEO Lisa Su up as a heroic figure.
AMD Expands Clientele, Powers Hitachi Astemo's Next-Gen Camera
Advanced Micro Devices (AMD) fuels Hitachi Astemo's next-gen forward camera system for adaptive cruise control and autonomous emergency braking, improving next-gen vehicles' vision capabilities.
AMD Stock: Bear vs. Bull
While the PC market is showing signs of recovery, it may still weigh on a potential turnaround at AMD. The company's focus on AI chips could turn out to be a key growth driver in the back end of the year.
Better Artificial Intelligence (AI) Stock: AMD vs. Nvidia
AMD and Nvidia have enjoyed monster rallies this year. AMD has garnered massive support from the tech community as it expands its AI division.
Stocks on the Mend: A Mean Reversion Duo
September is starting in classic, historically weak form. However, if the market finds it's footing, two stocks have explosive, reversion to the mean potential.
Memory Turns Around In Q3 But Inventories Excluding Memory And AI Remain High
Global memory and AI chipmakers are experiencing an end to the supply surplus for semiconductors. Excessive capex spending in memory chips has led to inventory problems and a sharp downturn is expected in 2023.
AMD: Ready For A Short-Term Opportunity Right Now
There is a specific setup for a swing long trade right here with Advanced Micro Devices, Inc. We reiterate Lyn Alden's fundamental point of view. The window for this opportunity is small, and the risk skew for a larger top forming is significant.
7 S&amp;P 500 Stocks to Sell in September Before They Crash &amp; Burn
Year to date, the S&amp;P 500 and other leading market indexes have been strong. However, thanks to interest rates, the Federal Reserve, and growing fears of a recession, we've seen some cracks in the armor.
AMD CEO Lisa Su says interest in new AI chip is translating into sales
Advanced Micro Devices Inc. shares were gaining Tuesday after the chip maker's chief executive said high interest in the company's premier artificial-intelligence data-center chip has translated into sales.
AMD: Generative AI Growth Doesn't Only Belong To Nvidia
Advanced Micro Devices, Inc.'s data center guidance for the upcoming quarter forecasts a 35% increase in revenue, driven by sales of MI300A processors and MI300X. AMD may have conceded a marginal amount of market share in server CPU unit sales, but it mitigated the loss with strong gaming revenue. AMD's AI roadmap and customer interest in the MI300X processor indicate potential for continuous growth in the data center sector.
AMD: Maybe Not The Best Long-Term Investment
When looking at the last decades, Advanced Micro Devices, Inc. was an unstable business with fluctuating margins and growing outstanding shares. However, AMD changed its business model during the last decade and is now a fabless, asset-light business with higher levels of stability and consistency. To be fairly valued, AMD has to grow its free cash flow at least 20% annually for the next decade, and the stock certainly does not seem like a bargain.
Forget Nvidia: 1 Artificial Intelligence (AI) Stock to Buy Hand Over Fist in September
Despite near-term challenges, AMD enjoys exposure to the fast-growing artificial intelligence opportunity. The chipmaker's stock boasts a significantly lower valuation than its high-flying rival, Nvidia.
7 Tech Stocks to Buy to Go Beyond the ‘Magnificent 7'
In 2023, tech stocks to buy have boomed led by the ‘Magnificent 7' which have propelled much of the overall market gains. However, they've also proven volatile experiencing hiccups early in August as valuation concerns mounted.</t>
  </si>
  <si>
    <t xml:space="preserve">           1y Target Est                      137.67
           52 Week Range              54.57 - 132.83
                     Ask                103.46 x 900
             Avg. Volume                  65343743.0
       Beta (5Y Monthly)                         1.8
                     Bid                103.42 x 900
             Day's Range             103.00 - 107.50
               EPS (TTM)                       -0.04
           Earnings Date Oct 30, 2023 - Nov 03, 2023
        Ex-Dividend Date                Apr 27, 1995
Forward Dividend &amp; Yield                   N/A (N/A)
              Market Cap                    166.977B
                    Open                      107.32
          PE Ratio (TTM)                         NaN
          Previous Close                      106.09
             Quote Price                  103.339996
                  Volume                  26437319.0
    Market Cap (intraday) 171.41B
         Enterprise Value 167.98B
             Trailing P/E     NaN
              Forward P/E   25.45
PEG Ratio (5 yr expected)    1.21
        Price/Sales (ttm)    7.84
         Price/Book (mrq)    3.11
 Enterprise Value/Revenue    7.68
  Enterprise Value/EBITDA   41.20</t>
  </si>
  <si>
    <t>This Massive Dividend Stock Is Down 30% -- Should You Buy the Dip or Stay Away?
One of the largest real estate companies in the world has performed terribly, but is it a buy?
Lessons Learned: Perseverance
I ultimately found success through writing on Seeking Alpha. I present three beaten-down REITs that are worth sticking by: Realty Income, Alexandria Real Estate, and American Tower. These three REITs have strong fundamentals and are currently trading with a wide margin of safety.
Signal Says Avoid This Sector in September
The real estate sector has been on shaky footing all 2023.
American Tower Corporation (AMT) Goldman Sachs 2023 Communacopia + Technology Conference (Transcript)
American Tower Corporation (NYSE:AMT ) Goldman Sachs 2023 Communacopia + Technology Conference September 7, 2023 12:30 PM ET Company Participants Rod Smith - CFO Conference Call Participants Brett Feldman - Goldman Sachs Brett Feldman All right. If everyone could please take their seats, we are going to go ahead and get started here with our next session.
2 Insanely Cheap REITs I Am Buying
REITs are currently trading at significant discounts due to high interest rates, making them a great opportunity for value investors. Some sectors are faring better than others, but the Office sector is far and away the worst sector within Real Estate. Both of these REITs offer great dividend yields but also some very strong upside as they are both rated strong buys by analysts.
Cheap Stocks To Buy Today? 3 Real Estate Stocks To Know
Real estate stocks to check out right now.</t>
  </si>
  <si>
    <t xml:space="preserve">           1y Target Est                      232.35
           52 Week Range             172.55 - 265.56
                     Ask                  0.00 x 900
             Avg. Volume                   2159319.0
       Beta (5Y Monthly)                        0.58
                     Bid                  0.00 x 900
             Day's Range             177.55 - 180.99
               EPS (TTM)                        2.04
           Earnings Date Oct 25, 2023 - Oct 30, 2023
        Ex-Dividend Date                Jun 15, 2023
Forward Dividend &amp; Yield                6.28 (3.47%)
              Market Cap                     83.442B
                    Open                      180.76
          PE Ratio (TTM)                       87.75
          Previous Close                      180.89
             Quote Price                  178.964996
                  Volume                    384966.0
    Market Cap (intraday)  84.32B
         Enterprise Value 129.48B
             Trailing P/E   88.24
              Forward P/E   35.84
PEG Ratio (5 yr expected)    2.12
        Price/Sales (ttm)    7.74
         Price/Book (mrq)   16.32
 Enterprise Value/Revenue   11.86
  Enterprise Value/EBITDA   23.55</t>
  </si>
  <si>
    <t>REIT Meltdown: 3 Rarely Discounted Buying Opportunities
REITs are reviled and shunned by the market, having lost ~30% of their value since the beginning of 2022. Higher interest rates along with negative sentiment from office properties' particular troubles have created a perfect storm for public real estate stocks. But historically, REITs have outperformed every other stock sector in the years after a drawdown this severe.
Real Estate In Turmoil: 3 Top-Tier, High-Yielding REITs We're Buying
Commercial real estate market is facing serious challenges, including pressure on prices and rising interest rates. Regional banks in the US are at risk due to their exposure to trillions of dollars in loans and investments in commercial real estate. Despite the market downturn, there are three stocks worth considering: Extra Space Storage, Alexandria Real Estate, and NNN REIT, all of which have strong financials and attractive dividends.
Lessons Learned: Perseverance
I ultimately found success through writing on Seeking Alpha. I present three beaten-down REITs that are worth sticking by: Realty Income, Alexandria Real Estate, and American Tower. These three REITs have strong fundamentals and are currently trading with a wide margin of safety.
Oil Vs. Commercial Real Estate: One Is A Better Buy Today
Timing anything in the markets over the next few months or quarters is extremely difficult, bordering on impossible to do with accuracy consistently. But investors can look at data and trends and surmise the kind of economic environment that is most likely to manifest over the next few years. Over the last two years, oil stocks have massively outperformed real estate stocks, but in the decade before that, the opposite was the case.
2 Insanely Cheap REITs I Am Buying
REITs are currently trading at significant discounts due to high interest rates, making them a great opportunity for value investors. Some sectors are faring better than others, but the Office sector is far and away the worst sector within Real Estate. Both of these REITs offer great dividend yields but also some very strong upside as they are both rated strong buys by analysts.
Alexandria Real Estate: The Market Got This Right, But The Turnaround Is Here
Alexandria Real Estate stock has formed a long-term bottom, as the Fed is expected to be near the peak of its rate hikes. The company's second-quarter results and forward guidance suggest improvement in the second half, with more robust occupancy rates. ARE's conservative AFFO payout ratio and narrowed AFFO guidance range provide clarity and confidence for dividend investors to remain vested.
Alexandria Real Estate: Why The Bears Are Wrong
Alexandria Real Estate Equities is a unique REIT focused on Life Sciences and accounts for 5% of the author's portfolio. The bear arguments against ARE, including low space utilization and potential conversions, are debunked. ARE has achieved strong leasing results and high leasing spreads, indicating tenants use and value their space.
Alexandria Real Estate Equities, Inc. Declares Cash Dividend of $1.24 per Common Share for 3Q23, for an Aggregate of $4.90 per Common Share for the 12 Months Ending September 30, 2023, an Increase of 24 Cents, or 5 Percent, Over the 12 Months Ended September 30, 2022
PASADENA, Calif. , Sept. 5, 2023 /PRNewswire/ -- Alexandria Real Estate Equities, Inc. (NYSE: ARE) today announced that its Board of Directors declared a quarterly cash dividend of $1.24 per common share for the third quarter of 2023.</t>
  </si>
  <si>
    <t xml:space="preserve">           1y Target Est          158.67
           52 Week Range 108.81 - 172.65
                     Ask      0.00 x 800
             Avg. Volume        949404.0
       Beta (5Y Monthly)            0.96
                     Bid      0.00 x 800
             Day's Range 113.21 - 115.24
               EPS (TTM)            3.39
           Earnings Date    Oct 23, 2023
        Ex-Dividend Date    Sep 28, 2023
Forward Dividend &amp; Yield    4.96 (4.31%)
              Market Cap         19.696B
                    Open          115.01
          PE Ratio (TTM)           33.58
          Previous Close          115.01
             Quote Price      113.830002
                  Volume        209121.0
    Market Cap (intraday) 19.90B
         Enterprise Value 30.55B
             Trailing P/E  33.93
              Forward P/E  16.69
PEG Ratio (5 yr expected)    NaN
        Price/Sales (ttm)   7.05
         Price/Book (mrq)   1.06
 Enterprise Value/Revenue  11.20
  Enterprise Value/EBITDA  16.39</t>
  </si>
  <si>
    <t>2 Value Stocks To Claim Your Place In The Appliances Bottom
Today's economic uncertainty, namely wild guesses from economists and talking heads as to where the United States economy will head next, sends aftershocks across different industries and makes some of them attractive places to look for upside today.
Whirlpool Corporation Named One of the World's Most Trustworthy Companies for 2023 by Newsweek
BENTON HARBOR, Mich. , Sept. 6, 2023 /PRNewswire/ -- Whirlpool Corporation (NYSE: WHR) announced today that it has been recognized as one of the World's Most Trustworthy Companies in 2023 by Newsweek.</t>
  </si>
  <si>
    <t>Whirlpool Corporation</t>
  </si>
  <si>
    <t>Household Appliances</t>
  </si>
  <si>
    <t xml:space="preserve">           1y Target Est          145.64
           52 Week Range 124.10 - 163.15
                     Ask      0.00 x 800
             Avg. Volume        690119.0
       Beta (5Y Monthly)            1.54
                     Bid      0.00 x 800
             Day's Range 136.41 - 138.02
               EPS (TTM)          -27.97
           Earnings Date    Oct 23, 2023
        Ex-Dividend Date    Aug 24, 2023
Forward Dividend &amp; Yield    7.00 (5.13%)
              Market Cap          7.488B
                    Open           136.7
          PE Ratio (TTM)             NaN
          Previous Close           136.5
             Quote Price      136.604996
                  Volume         91834.0
    Market Cap (intraday)  7.48B
         Enterprise Value 14.48B
             Trailing P/E  12.72
              Forward P/E   8.67
PEG Ratio (5 yr expected)   1.08
        Price/Sales (ttm)   0.39
         Price/Book (mrq)   3.71
 Enterprise Value/Revenue   0.76
  Enterprise Value/EBITDA -32.53</t>
  </si>
  <si>
    <t>7 Perfectly Priced ‘Strong Buy' Dividend Blue Chip Stocks Yielding Up to 9.2%
Conservative investors are partying like it is 1999, as money market rates are at 4.5% and certificates of deposits are above the 5% level.
Lincoln National (LNC) Stock Up 8.7% in 3 months: Here's Why
Lincoln National's (LNC) improving net investment income and strong Group Protection business poise the company well for growth.
8 Stocks Face Highest Risk Of Getting Booted Out Of The S&amp;P 500
Getting booted out of the S&amp;P 500 is a mark of shame most companies try to avoid. But it's a harsh possibility several face.
Here are 19 stocks Jim Cramer is watching, including Chipotle, LULU and Airbnb
Here are some of the tickers on my radar for Tuesday, Sept. 5, taken directly from my reporter's notebook.</t>
  </si>
  <si>
    <t>Lincoln Financial</t>
  </si>
  <si>
    <t xml:space="preserve">           1y Target Est                       26.08
           52 Week Range               18.50 - 54.59
                     Ask                  0.00 x 800
             Avg. Volume                   2390470.0
       Beta (5Y Monthly)                        1.81
                     Bid                 0.00 x 1100
             Day's Range               25.02 - 26.02
               EPS (TTM)                      -29.92
           Earnings Date Oct 31, 2023 - Nov 06, 2023
        Ex-Dividend Date                Oct 09, 2023
Forward Dividend &amp; Yield                1.80 (7.01%)
              Market Cap                       4.25B
                    Open                        25.9
          PE Ratio (TTM)                         NaN
          Previous Close                       25.67
             Quote Price                      25.055
                  Volume                    726148.0
    Market Cap (intraday) 4.35B
         Enterprise Value 8.03B
             Trailing P/E   NaN
              Forward P/E  3.28
PEG Ratio (5 yr expected)   NaN
        Price/Sales (ttm)  0.28
         Price/Book (mrq)  0.90
 Enterprise Value/Revenue  0.45
  Enterprise Value/EBITDA   NaN</t>
  </si>
  <si>
    <t>UDR to Participate in Bank of America Securities 2023 Global Real Estate Conference
DENVER--(BUSINESS WIRE)--UDR, Inc. (the “Company”) (NYSE: UDR), a leading multifamily real estate investment trust and GRESB 5 Star rated company for its sustainability leadership, announced today that the Company will participate in the Bank of America Securities 2023 Global Real Estate Conference being held at the Westin New York Times Square on September 12-13, 2023. The UDR Executive Team will host a roundtable discussion on Wednesday, September 13, 2023, at 1:25 p.m. Eastern Time. The Comp.
Is It Wise to Retain UDR Stock in Your Portfolio for Now?
UDR's geographically diverse portfolio, technological moves and healthy balance sheet position bode well for growth. However, elevated deliveries and high interest rates are concerns.</t>
  </si>
  <si>
    <t>UDR, Inc.</t>
  </si>
  <si>
    <t xml:space="preserve">           1y Target Est                       45.53
           52 Week Range               37.18 - 48.33
                     Ask                 0.00 x 1000
             Avg. Volume                   2130412.0
       Beta (5Y Monthly)                        0.75
                     Bid                  0.00 x 900
             Day's Range               38.24 - 38.77
               EPS (TTM)                        1.35
           Earnings Date Oct 24, 2023 - Oct 30, 2023
        Ex-Dividend Date                Jul 07, 2023
Forward Dividend &amp; Yield                1.68 (4.35%)
              Market Cap                     13.562B
                    Open                       38.69
          PE Ratio (TTM)                       28.49
          Previous Close                       38.66
             Quote Price                   38.459999
                  Volume                    435800.0
    Market Cap (intraday) 12.74B
         Enterprise Value 18.40B
             Trailing P/E  28.64
              Forward P/E 113.64
PEG Ratio (5 yr expected)    NaN
        Price/Sales (ttm)   7.98
         Price/Book (mrq)   3.13
 Enterprise Value/Revenue  11.53
  Enterprise Value/EBITDA  13.76</t>
  </si>
  <si>
    <t>3 Pharmaceutical Stocks That Are Too Cheap to Ignore
Viatris, known for its branded drugs, has several up-and-coming biosimilars. GSK is seeing sales growth even as its COVID-19-related sales decline.
10 U.S. Companies Face Much Larger Problems In China Than Apple
If you think Apple has a big "China problem" — you'll be shocked to know it's tiny compared with some other S&amp;P 500 companies.
Why Is Viatris (VTRS) Down 4.8% Since Last Earnings Report?
Viatris (VTRS) reported earnings 30 days ago. What's next for the stock?
Biocon Biologics Continues to Expand Global Footprint, Completes Integration of Viatris Biosimilars' Business In North America Ahead of Schedule
BRIDGEWATER, N.J. and BENGALURU, India, Sept.
Viatris (VTRS) Gets Tentative Approval for HIV Regimen for Kids
Viatris (VTRS) obtains tentative approval from the FDA for a pediatric formulation of abacavir/dolutegravir/lamivudine, a once-daily treatment for children living with HIV.
Viatris Announces U.S. FDA Tentative Approval of a Paediatric Formulation of Abacavir (ABC)/Dolutegravir (DTG)/Lamivudine (3TC), a Once-daily Treatment for Children Living with HIV
Tentative approval will help enhance access to WHO-recommended paediatric regimen with the goal of improved adherence of HIV treatment for children in low- and middle-income countries PITTSBURGH and BANGALORE, India , Sept. 5, 2023 /PRNewswire/ -- Viatris Inc. (NASDAQ: VTRS), a global healthcare company, today announced U.S. Food and Drug Administration (FDA) tentative approval for a New Drug Application for abacavir 60 mg/dolutegravir 5 mg/lamivudine 30 mg tablets for oral suspension for the treatment of HIV-1 infection in paediatric patients.</t>
  </si>
  <si>
    <t xml:space="preserve">           1y Target Est                       14.41
           52 Week Range                8.42 - 12.40
                     Ask                10.11 x 3200
             Avg. Volume                   8644109.0
       Beta (5Y Monthly)                        1.18
                     Bid                10.10 x 1300
             Day's Range               10.08 - 10.22
               EPS (TTM)                        1.53
           Earnings Date Nov 06, 2023 - Nov 10, 2023
        Ex-Dividend Date                Aug 23, 2023
Forward Dividend &amp; Yield                0.48 (4.80%)
              Market Cap                     12.121B
                    Open                       10.15
          PE Ratio (TTM)                         6.6
          Previous Close                       10.11
             Quote Price                      10.105
                  Volume                   1387023.0
    Market Cap (intraday) 12.13B
         Enterprise Value 30.18B
             Trailing P/E   6.61
              Forward P/E   3.55
PEG Ratio (5 yr expected)    NaN
        Price/Sales (ttm)   0.79
         Price/Book (mrq)   0.58
 Enterprise Value/Revenue   1.93
  Enterprise Value/EBITDA   4.92</t>
  </si>
  <si>
    <t>5 Stocks to Buy on a Potential Debt Avalanche
Last week, yields on short-dated U.S. Treasuries quietly climbed to their highest point in almost 25 years. The effects of that rise, however, have been anything but silent.
Half of Warren Buffett's Portfolio Is in Apple. These 5 Stocks Make Up 66% of the Other Half.
The conglomerate owns $178 billion in Apple shares, which is roughly 50% of its portfolio. Its next-largest holdings include stocks in the financial, energy, and consumer goods sectors.
1 No-Brainer Warren Buffett Stock to Buy in September
Berkshire Hathaway's stock portfolio is a great resource to mine new investing ideas. Bank of America, Berkshire's second-largest stock position, screens as a compelling buy this month for multiple reasons.
FDIC-Insured Banks' Q2 Earnings Up on Higher NII, Deposits Fall
FDIC-Insured banks' (like JPM, BAC, C &amp; WFC) Q2 earnings improve on higher rates, decent loan demand and efforts to bolster fee income. Yet, rising funding costs, poor asset quality and lower deposit balance remain headwinds.
7 Best Blue Chip Stocks to Buy Now
Sure, short-term gains from the hip "stock of the moment" can be an exciting roller coaster ride, but if you're a truly savvy investor in 2023, you're going to be hunting for stocks that can provide solid returns over the long term, no matter what the market does. Blue-chip stocks are, of course, one of the best places to find that.
September Rally? 3 Financial Stocks to Buy Before Liftoff
A September rally may not be in the cards for financial stocks, as the stock market is off to a lackluster start during this historically very poor month for equities. To make matters worse, Wall Street is upset by slight increases in interest rates and oil prices that we've seen so far in September.
Warren Buffett's top 5 portfolio positions
Warren Buffett is one of the world's most successful stock investors with a net worth of $118 billion. His success is mostly attributed to finding great companies at a discount.
Bank Of America Stock Is Trading Below Its Intrinsic Value
Bank of America's stock (NYSE: BAC) is down 13% YTD as compared to the 17% rise in the S&amp;P500 index over the same period.
The 3 Best Bank Stocks to Buy Now: September 2023
The banking sector has been in the spotlight this year, as a series of events shook the industry and the markets. In March, a wave of bond selloffs triggered by rising inflation expectations caused massive losses for banks holding long-term debt securities.
Bank of America most favored for activism defense in H1 2023 - LSEG data
Bank of America vaulted past several rivals to rank as the top financial adviser to companies targeted by activist investors in the first six months of 2023, according to data published by LSEG.
Here is What to Know Beyond Why Bank of America Corporation (BAC) is a Trending Stock
Bank of America (BAC) has received quite a bit of attention from Zacks.com users lately. Therefore, it is wise to be aware of the facts that can impact the stock's prospects.
Banks Struggled in August: Will Scenario Change in September?
After a dismal August performance, investors are looking for clues as to how bank stocks like JPMorgan (JPM), Bank of America (BAC), Citigroup (C) and Wells Fargo (WFC) will fare this month as they navigate industry headwinds.
Here's How Significantly Higher Interest Rates Have Helped (and Hurt) Bank of America Over the Years
Higher interest rates are crimping demand for all sorts of loans. Higher borrowing costs are also slowing domestic and international economic growth, undermining other businesses Bank of America operates.
Analysis: US banks hold $3.3 trillion cash amid banking crisis, slowdown worries
U.S. lenders are holding onto large piles of cash as insurance against a slowing economy, continuing deposit outflows and looming tougher liquidity rules that could particularly impact mid-sized banks.</t>
  </si>
  <si>
    <t xml:space="preserve">           1y Target Est         35.52
           52 Week Range 26.32 - 38.60
                     Ask  0.00 x 27000
             Avg. Volume    42281956.0
       Beta (5Y Monthly)          1.38
                     Bid   0.00 x 1200
             Day's Range 28.40 - 28.76
               EPS (TTM)          3.48
           Earnings Date  Oct 17, 2023
        Ex-Dividend Date  Aug 31, 2023
Forward Dividend &amp; Yield  0.96 (3.39%)
              Market Cap      225.995B
                    Open         28.51
          PE Ratio (TTM)          8.17
          Previous Close         28.36
             Quote Price     28.440001
                  Volume    10395397.0
    Market Cap (intraday) 225.36B
         Enterprise Value     NaN
             Trailing P/E    8.15
              Forward P/E    8.47
PEG Ratio (5 yr expected)    7.70
        Price/Sales (ttm)    2.30
         Price/Book (mrq)    0.88
 Enterprise Value/Revenue     NaN
  Enterprise Value/EBITDA     NaN</t>
  </si>
  <si>
    <t>Kroger Opioid Settlement: Stock Price Gains As Supermarket Chain Agrees To $1.4 Billion Payout
The settlement will hit Kroger's earnings, but the supermarket chain is focusing on the positives and its bright future with the Albertsons merger if it goes ahead.
Kroger and Albertsons plan to sell over 400 stores in connection with $24.6B merger
Kroger and Albertsons will sell 413 stores to C&amp;S Wholesale Grocers in connection with a proposed $24.6 billion merger announced last October.,
Earnings Beat of the Week: Kroger Posts Higher-than-Expected Q2 Profit
Kroger (KR) shares surged Friday after the supermarket chain posted higher-than-expected earnings for the second quarter, settled claims from an opioid lawsuit, and sold more than 400 stores to win approval for a merger.
Baron &amp; Budd Announces $1.4 Billion Settlement From Kroger in Nationwide Opioid Lawsuit
DALLAS--(BUSINESS WIRE)--Today, the nationally recognized attorneys at Baron &amp; Budd announced a $1.4 billion nationwide settlement agreement with retail pharmacy giant Kroger concerning the company's role in the opioid epidemic. Baron &amp; Budd's President and Managing Shareholder, Russell Budd, played a lead role in negotiating the settlement. When added to the previous settlements obtained from opioids manufacturers, distributors, and pharmacies, this $1.4 billion settlement with Kroger.
Time to Buy the Recent Surge in Kroger (KR) or Albertsons (ACI) Stock?
Gravitating to the growth conversation of a potential Kroger (KR) and Albertsons (ACI) merger is at the forefront of investors' minds and the FTC's agenda.
The Score: GameStop, Apple, Kroger and More Stocks That Defined the Week
Here are some of the major companies whose stocks moved on the week's news.
Kroger warns of weaker sales, further stress for consumers
Kroger on Friday said it expects weaker sales in the second half of the year as high prices continue to take a toll on consumers, despite inflation slowing.
The Kroger Co. (KR) Q2 2023 Earnings Call Transcript
The Kroger Co. (NYSE:KR ) Q2 2023 Earnings Conference Call September 8, 2023 10:00 AM ET Company Participants Rob Quast - Senior Director, Investor Relations Rodney McMullen - Chairman and Chief Executive Officer Gary Millerchip - Senior Vice President and Chief Financial Officer Conference Call Participants Simeon Gutman - Morgan Stanley Krisztina Katai - Deutsche Bank Michael Lasser - UBS John Heinbockel - Guggenheim Partners Michael Montani - Evercore ISI Kenneth Goldman - JPMorgan Edward Kelly - Wells Fargo Kelly Bania - BMO Rupesh Parikh - Oppenheimer Robert Ohmes - Bank of America Merrill Lynch Dean Rosenblum - Bernstein Operator Good morning and welcome to the Kroger Co. Second Quarter 2023 Earnings Conference Call. Please note this event is being recorded.
Kroger to pay $1.4B to settle lawsuits over fueling opioid epidemic
"This settlement is not an admission of wrongdoing or liability by Kroger," Kroger said in a press release issued Friday, the same day it reported a loss of $180 million in its fiscal second quarter.
Kroger (KR) Q2 Earnings Beat, Identical Sales Up 1% Y/Y
Kroger (KR) believes that the consumer environment is likely to continue to pose challenges. It anticipates fiscal 2023 identical sales, without fuel, to land at the lower end of the projected range.
Kroger's Case for Bagging Albertsons Grows Stronger
After Kroger took steps to overcome opposition to the deal, its results showed why it is needed.
Kroger and Albertsons sell 400 stores to Piggly Wiggly's parent company
Kroger and Albertsons are selling roughly 400 stores to Piggly Wiggly's parent company in an attempt to win antitrust approval for the mega merger between the grocery stores.
Kroger just made three big announcements
Kroger Co (NYSE: KR) swung to a net loss in its second financial quarter as sales failed to meet expectations. Its shares are still trading up this morning.
Kroger Reports Earnings, Opioid Settlement
Cincinnati-based Kroger Co  (NYSE:KR) stock is 4.5% higher to trade at $47.57 at last check, though it earlier fell as low as $44.32, following a mixed second-quarter report.
Kroger (KR) Q2 Earnings Top Estimates
Kroger (KR) came out with quarterly earnings of $0.96 per share, beating the Zacks Consensus Estimate of $0.92 per share. This compares to earnings of $0.90 per share a year ago.
Slowing inflation is dragging on Kroger sales, even as consumers still feel a pinch
The grocer Kroger said it expects stabilizing and falling prices to hurt its revenue numbers.
Kroger shares open down after posting mixed earnings amidst $1.4B opioid charge
The Kroger Co (NYSE:KR) shares fell in early trade after the supermarket chain reported a second-quarter loss as it booked a $1.4 billion charge for a nationwide opioid settlement. However, it said the settlement, with payments over the next 11 years, won't affect its ability to complete its proposed merger with US grocery rival Albertsons Companies Inc and it still expects to meet debt targets that were set out as part of the merger agreement.
Kroger Agrees To Pay $1.2 Billion In Opioid Settlements
Kroger joins fellow corporations CVS, Walgreens, Walmart and Johnson &amp; Johnson in ponying up billions to opioid settlement funds.
Kroger Stock Is Falling. It's Paying $1.2 Billion to Settle Opioid Claims.
Kroger also posts second-quarter adjusted earnings Friday of 96 cents a share, better than analysts' estimates, but sales that came up short.
Kroger, Albertsons to sell more than 400 stores to C&amp;S Wholesale in a $1.9 billion cash deal in connection with the proposed merger
Kroger Co. KR, +0.82% and Albertsons Companies Inc. ACI, +0.09% announced Friday an agreement to sell 413 stores and 8 distribution centers across 17 states to C&amp;S Wholesale Grocers LLC for $1.9 billion in cash, as part of the plan to gain regulatory approval of Kroger's acquisition of Albertsons. The sale plan includes 2 offices and 5 private label brands.
Kroger will pay up to $1.2 billion to settle most nationwide opioid claims
Kroger said it has agreed to pay $1.2 billion to U.S. states, local governments and Native American tribes to settle the majority claims that it fueled the opioid epidemic through lax oversight of its pill sales.
Kroger's stock sinks after sales miss, $1.4 billion charge to settle opioid claims
Shares of Kroger Co. KR, +0.82% dropped 2.7% toward a six-month low in premarket trading Friday, after the grocery chain reported fiscal second-quarter sales that missed expectations and said it recorded a $1.4 billion charge to settle opioid claims. For the quarter through July, the company swung to a net loss of $180 million, or 25 cents a share, from net income of $732 million, or $1.00 a share, in the year-ago period.
Kroger and Albertsons Companies Announce Comprehensive Divestiture Plan with C&amp;S Wholesale Grocers, LLC in Connection with Proposed Merger
Plan Marks Key Step in Merger Process Both the Kroger and Albertsons Cos. Combination and the Divestiture Sale to C&amp;S will Create Meaningful and Measurable Benefits for Associates, Customers and Communities Agreement with C&amp;S Includes Sale of 413 Stores, 8 Distribution Centers, 2 Offices and 5 Private Label Brands Across 17 States and the District of Columbia Extending a Well-Capitalized Competitor into New Geographies Agreement Includes Sale of the QFC, Mariano's and Carrs Brand Names and the Exclusive Licensing Rights to the Albertsons Brand Name in Arizona, California, Colorado and Wyoming C&amp;S, an Industry Leader in Wholesale Grocery Supply and One of the Largest Privately Held Companies in the United States, Brings 104 Years of Food Industry Experience and a Track Record as a Successful Grocery Retailer  C&amp;S Agrees to Maintain Collective Bargaining Agreements, Securing the Future of Union Jobs Merger Remains on Track to Close in Early 2024, Subject to Regulatory Clearance and Other Closing Conditions CINCINNATI and BOISE, Idaho , Sept.
Kroger settles opioid case, posts net loss on related charge
Kroger reported a quarterly net loss on Friday as the U.S. retailer took a $1.4 billion charge related to a nationwide opioid settlement, sending its shares down as much as 3% in premarket trading.
Kroger to pay up to $1.2 billion to US states and subdivisions in opiod settlement
Kroger on Friday said it would pay up to $1.2 billion to U.S. states and subdivisions and $36 million to Native American tribes to settle the majority of opioid claims brought against the company by the states and Native American Tribes.
Kroger Reports Second Quarter 2023 Results and Reaffirms Guidance
Second Quarter Highlights Identical Sales without fuel increased 1.0% with underlying growth of 2.6%( 1) Operating Loss of ($479) million; EPS of ($0.25) Includes a $1.4 billion charge ($1.54 loss per share) for nationwide opioid settlement framework Adjusted FIFO Operating Profit of $989 million; Adjusted EPS of $0.96 Achieved strong Adjusted Free Cash Flow leading to a record low net total debt to adjusted EBITDA ratio Executed its go-to-market strategy to deliver value for customers Grew digital sales 12% Increased total and loyal customer households CINCINNATI , Sept. 8, 2023 /PRNewswire/ -- The Kroger Co. (NYSE: KR) today reported its second quarter 2023 results, reaffirmed 2023 guidance and updated investors on how Leading with Fresh and Accelerating with Digital continues to position Kroger for long-term sustainable growth.
Kroger Reaches Agreement in Principle for Nationwide Opioid Settlement
CINCINNATI , Sept. 8, 2023 /PRNewswire/ -- The Kroger Co. (NYSE: KR) has reached an agreement in principle with plaintiffs to settle the majority of opioid claims that have been or could be brought against the Company by states, subdivisions, and Native American tribes.
Earnings Previews: DocuSign, Kroger, Smith &amp; Wesson
After markets closed on Tuesday, Gitlab beat estimates for both earnings per share (EPS) and revenue.
Kroger, Albertsons in talks to sell stores to C&amp;S, SoftBank - Bloomberg News
Kroger and Albertsons Companies Inc are in talks to sell some grocery stores to C&amp;S Wholesale Grocers to obtain regulatory approval for their $25 billion merger, Bloomberg News reported on Tuesday, citing people familiar with the matter.
Kroger (KR) Set to Report Q2 Earnings: Key Factors to Note
Kroger's (KR) second-quarter results are likely to reflect investments made to enhance product freshness and quality as well as digital capabilities.</t>
  </si>
  <si>
    <t xml:space="preserve">           1y Target Est                       50.39
           52 Week Range               41.82 - 51.81
                     Ask                 0.00 x 1300
             Avg. Volume                   4784154.0
       Beta (5Y Monthly)                        0.48
                     Bid                 0.00 x 1000
             Day's Range               45.41 - 46.93
               EPS (TTM)                        2.24
           Earnings Date Nov 29, 2023 - Dec 04, 2023
        Ex-Dividend Date                Aug 14, 2023
Forward Dividend &amp; Yield                1.16 (2.47%)
              Market Cap                     32.934B
                    Open                       46.85
          PE Ratio (TTM)                       20.48
          Previous Close                       46.94
             Quote Price                   45.884998
                  Volume                   2419486.0
    Market Cap (intraday) 33.69B
         Enterprise Value 49.96B
             Trailing P/E  20.96
              Forward P/E  10.36
PEG Ratio (5 yr expected)   1.67
        Price/Sales (ttm)   0.23
         Price/Book (mrq)   3.18
 Enterprise Value/Revenue   0.34
  Enterprise Value/EBITDA   6.66</t>
  </si>
  <si>
    <t>How Juicy Is Best Buy's 5% Yield?
Best Buy is facing challenges in the current economic environment and struggles to offer compelling long-term returns compared to other options. The company's strategies, such as membership programs and in-store services, are commendable but may not be enough to navigate current challenges. Despite its strong dividend history and healthy balance sheet, caution is advised with Best Buy and better opportunities exist with a more favorable risk-reward ratio.
It's Time To SWAN: 2 Top High-Yield Dividend Picks
The Fed's next interest rate decision is approaching, with expectations of rates remaining stable but some uncertainty in the market. Conflicting data has led to uneasiness among market participants, causing them to second guess their expectations. Here are two SWAN high yielding picks to see you through whatever comes next.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Why Best Buy Stock Could Be an Underrated Buy Right Now
Best Buy beat expectations last quarter but also trimmed its guidance for the year. Demand for PCs and electronics isn't strong right now, but a recovery may be around the corner.
A Look at the Consumer Debt Situation
And we break down Best Buy's latest report.
Should Best Buy Be in Your Cart for the Holiday Season?
Big box consumer electronics retailer Best Buy Co. Inc. NYSE: BBY may be the last of its kind as the nation's largest standalone pure-play consumer electronics chain. A tough macroeconomic environment has caused consumers to tighten their wallet strings on discretionary retail products.
Is Best Buy Stock a Buy?
Is this a value stock or a value trap?</t>
  </si>
  <si>
    <t xml:space="preserve">           1y Target Est                        82.0
           52 Week Range               60.79 - 93.32
                     Ask                  0.00 x 800
             Avg. Volume                   2284025.0
       Beta (5Y Monthly)                        1.55
                     Bid                 0.00 x 1000
             Day's Range               72.83 - 73.98
               EPS (TTM)                         5.8
           Earnings Date Nov 20, 2023 - Nov 24, 2023
        Ex-Dividend Date                Sep 18, 2023
Forward Dividend &amp; Yield                3.68 (5.03%)
              Market Cap                     15.864B
                    Open                       73.77
          PE Ratio (TTM)                       12.57
          Previous Close                       73.23
             Quote Price                   72.889999
                  Volume                    675850.0
    Market Cap (intraday) 15.94B
         Enterprise Value 18.87B
             Trailing P/E  12.63
              Forward P/E  12.06
PEG Ratio (5 yr expected)   1.70
        Price/Sales (ttm)   0.37
         Price/Book (mrq)   5.62
 Enterprise Value/Revenue   0.43
  Enterprise Value/EBITDA   7.14</t>
  </si>
  <si>
    <t>CarMax Announces Second Quarter Conference Call
RICHMOND, Va.--(BUSINESS WIRE)--CarMax, Inc. (NYSE:KMX) will report its financial results for the second quarter ended August 31, 2023 before the market opens on September 28, 2023, and it will host a conference call with investors at 9:00 a.m. ET to discuss these results. Participants on the call will include Bill Nash, president and CEO, Enrique Mayor-Mora, executive vice president, CFO and Jon Daniels, senior vice president, CAF Operations. The live conference call can be accessed by dialing.</t>
  </si>
  <si>
    <t xml:space="preserve">           1y Target Est         80.86
           52 Week Range 52.10 - 93.34
                     Ask   0.00 x 1000
             Avg. Volume     1622912.0
       Beta (5Y Monthly)          1.44
                     Bid    0.00 x 800
             Day's Range 81.38 - 82.78
               EPS (TTM)           2.9
           Earnings Date  Sep 28, 2023
        Ex-Dividend Date           NaN
Forward Dividend &amp; Yield     N/A (N/A)
              Market Cap       12.875B
                    Open         81.86
          PE Ratio (TTM)         28.06
          Previous Close         81.18
             Quote Price     81.379997
                  Volume      251135.0
    Market Cap (intraday) 12.84B
         Enterprise Value 31.83B
             Trailing P/E  27.90
              Forward P/E  29.41
PEG Ratio (5 yr expected)   1.27
        Price/Sales (ttm)   0.46
         Price/Book (mrq)   2.21
 Enterprise Value/Revenue   1.13
  Enterprise Value/EBITDA  22.87</t>
  </si>
  <si>
    <t>Kimco Realty® Management to Present at the BofA Securities 2023 Global Real Estate Conference
JERICHO, N.Y.--(BUSINESS WIRE)--Kimco Realty® (NYSE: KIM) announced today that its management will present at the BofA Securities 2023 Global Real Estate Conference on Tuesday, September 12, 2023. Event: Kimco Realty® Management Presentation When: Tuesday, September 12, 2023 from 2:10 PM – 2:45 PM, ET Live Webcast: Kimco Management to Present at BofA Securities 2023 Global Real Estate Conference A replay of the webcast will be available 24 hours after the conclusion of the live event until Dece.
Fall for These 3 Dividend Stocks in September and Buy Them Hand Over Fist
Realty Income stock has been battered, but its record and fundamentals are hard to beat. Invitation Homes should be able to continue growing its dividend at a brisk pace.</t>
  </si>
  <si>
    <t>Kimco Realty</t>
  </si>
  <si>
    <t xml:space="preserve">           1y Target Est                       22.57
           52 Week Range               17.34 - 23.27
                     Ask                 0.00 x 4000
             Avg. Volume                   4337875.0
       Beta (5Y Monthly)                        1.46
                     Bid                 0.00 x 2200
             Day's Range               18.43 - 18.70
               EPS (TTM)                        0.61
           Earnings Date Oct 25, 2023 - Oct 30, 2023
        Ex-Dividend Date                Sep 06, 2023
Forward Dividend &amp; Yield                0.92 (4.95%)
              Market Cap                     11.434B
                    Open                       18.73
          PE Ratio (TTM)                       30.24
          Previous Close                       18.58
             Quote Price                      18.445
                  Volume                    792781.0
    Market Cap (intraday) 11.52B
         Enterprise Value 17.91B
             Trailing P/E  30.46
              Forward P/E  29.07
PEG Ratio (5 yr expected)   5.02
        Price/Sales (ttm)   6.54
         Price/Book (mrq)   1.20
 Enterprise Value/Revenue  10.18
  Enterprise Value/EBITDA  15.27</t>
  </si>
  <si>
    <t>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Did Amazon's Recent Move Just Make FedEx and UPS Stock Less Investible?
Amazon already delivers about as many packages as FedEx and United Parcel Service. FedEx and UPS are seeing clear declines in the number of units they're ferrying, putting cost and pricing pressure on both companies.
United Parcel Service, Inc. (UPS) is Attracting Investor Attention: Here is What You Should Know
UPS (UPS) has received quite a bit of attention from Zacks.com users lately. Therefore, it is wise to be aware of the facts that can impact the stock's prospects.
As UPS Stock Falls Through The Floor, Consider This Bearish Option Trade
United Parcel Service stock is showing weak relative strength as it breaks through key support.
Matternet Partner UPS Flight Forward Receives FAA Authorization to Operate Matternet M2 Delivery Drones Beyond Visual Line of Sight
MOUNTAIN VIEW, Calif.--(BUSINESS WIRE)--Matternet, the developer of the world's leading urban drone delivery system, today announced that its partner, UPS Flight Forward (UPSFF), a wholly owned subsidiary of UPS (United Parcel Service), received approval by the Federal Aviation Administration (FAA) to operate the Matternet M2 drone beyond the visual line of sight (BVLOS) for package delivery. With this approval, UPSFF will now be able to fly the Matternet M2 drone without requiring expensive Vi.
United Parcel Service: Steep Plunge Unleashes Its Bullish Turnaround Story (Rating Upgrade)
My Sell rating on United Parcel Service stock last year panned out accordingly. However, I assessed that the worst decline experienced by UPS holders is likely over. UPS saw selling pressure intensifying over the past month, hampered by uncertain macroeconomic conditions and its recently concluded labor negotiations. Despite that, UPS should see its revenue and earnings improve further as the global economy is not expected to fall into a deep recession.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
Dividend Income Summary: Lanny's August 2023 Summary
2023 has been one heck of a year. The S&amp;P 500 is close to all-time highs. The Fed raised interest rates in July, as the economy is still on fire. The retirement accounts brought in a total dividend income amount of $379.48 or 22% of the dividend income total, similar to last month. Dividend increases created $42.95 in additional passive dividend income.</t>
  </si>
  <si>
    <t xml:space="preserve">           1y Target Est          189.67
           52 Week Range 154.87 - 200.96
                     Ask      0.00 x 800
             Avg. Volume       3588064.0
       Beta (5Y Monthly)            1.09
                     Bid     0.00 x 1000
             Day's Range 160.44 - 162.26
               EPS (TTM)           11.53
           Earnings Date    Oct 26, 2023
        Ex-Dividend Date    Aug 11, 2023
Forward Dividend &amp; Yield    6.48 (4.02%)
              Market Cap        138.062B
                    Open           161.6
          PE Ratio (TTM)           14.01
          Previous Close          161.04
             Quote Price      161.580002
                  Volume       1121498.0
    Market Cap (intraday) 137.60B
         Enterprise Value 154.83B
             Trailing P/E   13.97
              Forward P/E   14.86
PEG Ratio (5 yr expected)    2.44
        Price/Sales (ttm)    1.45
         Price/Book (mrq)    6.87
 Enterprise Value/Revenue    1.61
  Enterprise Value/EBITDA    9.09</t>
  </si>
  <si>
    <t>Sell Alert: 2 REITs Getting Risky
I am a heavy buyer of REITs. But that doesn't mean that I am bullish on all REITs. I highlight two REITs that I sold and wouldn't buy back.
BXP Declares Regular Quarterly Dividend
BOSTON--(BUSINESS WIRE)--Boston Properties, Inc. (NYSE: BXP), the largest publicly traded developer, owner, and manager of premier workplaces in the United States, announced today that its Board of Directors declared a regular quarterly cash dividend of $0.98 per share of common stock for the period July 1, 2023 to September 30, 2023, payable on October 31, 2023 to shareholders of record as of the close of business on September 29, 2023. BXP (NYSE: BXP) is the largest publicly traded developer,.
Here are 19 stocks Jim Cramer is watching, including Chipotle, LULU and Airbnb
Here are some of the tickers on my radar for Tuesday, Sept. 5, taken directly from my reporter's notebook.
Boston Properties: The Stock Has Become Fairly Valued
Boston Properties is a high-quality office REIT with A-class properties in major cities. The company's Q2 results are pretty solid, making the company fairly valued compared to the last quarter. I present my analysis, which leads me to a hold rating.</t>
  </si>
  <si>
    <t xml:space="preserve">           1y Target Est                       69.29
           52 Week Range               46.18 - 87.61
                     Ask                66.95 x 1200
             Avg. Volume                   1628124.0
       Beta (5Y Monthly)                        1.15
                     Bid                66.13 x 1000
             Day's Range               65.71 - 66.90
               EPS (TTM)                        4.23
           Earnings Date Oct 23, 2023 - Oct 27, 2023
        Ex-Dividend Date                Sep 28, 2023
Forward Dividend &amp; Yield                3.92 (5.89%)
              Market Cap                     10.381B
                    Open                        66.7
          PE Ratio (TTM)                       15.65
          Previous Close                       66.58
             Quote Price                       66.18
                  Volume                    290530.0
    Market Cap (intraday) 10.44B
         Enterprise Value 24.78B
             Trailing P/E  15.74
              Forward P/E  27.86
PEG Ratio (5 yr expected)   4.12
        Price/Sales (ttm)   3.27
         Price/Book (mrq)   1.73
 Enterprise Value/Revenue   7.74
  Enterprise Value/EBITDA  11.64</t>
  </si>
  <si>
    <t>American Airlines: Unlocking Value Through Debt Reduction And Growth
American Airlines has faced challenges due to the Covid-19 pandemic but has been able to rebuild and achieve record quarterly revenue. The company has been focusing on debt reduction and aims to reduce its debt by $15 billion by 2025. American Airlines looks undervalued compared to its competitors and has a fair value per share of $20.37, implying an upside of 45.81%.
Most Airline Stocks Hurt During Wednesday's Trading: Here's Why
The increase in the oil price does not bode well for the likes of United Airlines (UAL), Southwest Airlines (LUV) and Alaska Air (ALK).
Top 5 Industrials Stocks That Could Lead To Your Biggest Gains In September - Alaska Air Gr (NYSE:ALK), American Airlines Group (NASDAQ:AAL)
The most oversold stocks in the industrials sector presents an opportunity to buy into undervalued companies.
Airline Investors Have a New Fear. The Stocks Are Falling.
It's clear that the third quarter is still going to be a bumper one, or even a record one, for the airline industry. But investors are worried about the months ahead and they now have another reason to be concerned.
7 S&amp;P 500 Stocks to Sell in September Before They Crash &amp; Burn
Year to date, the S&amp;P 500 and other leading market indexes have been strong. However, thanks to interest rates, the Federal Reserve, and growing fears of a recession, we've seen some cracks in the armor.</t>
  </si>
  <si>
    <t xml:space="preserve">           1y Target Est                       17.82
           52 Week Range               11.65 - 19.08
                     Ask                14.06 x 3000
             Avg. Volume                  23042280.0
       Beta (5Y Monthly)                        1.57
                     Bid                14.05 x 2900
             Day's Range               13.94 - 14.12
               EPS (TTM)                        3.87
           Earnings Date Oct 18, 2023 - Oct 23, 2023
        Ex-Dividend Date                Feb 04, 2020
Forward Dividend &amp; Yield                   N/A (N/A)
              Market Cap                      9.177B
                    Open                       14.02
          PE Ratio (TTM)                        3.62
          Previous Close                       13.98
             Quote Price                      14.025
                  Volume                   7769841.0
    Market Cap (intraday)  9.13B
         Enterprise Value 39.66B
             Trailing P/E   3.60
              Forward P/E   4.03
PEG Ratio (5 yr expected)   0.06
        Price/Sales (ttm)   0.18
         Price/Book (mrq)    NaN
 Enterprise Value/Revenue   0.75
  Enterprise Value/EBITDA   7.12</t>
  </si>
  <si>
    <t>Is Housing A Falling Knife?
Share prices have fallen, but I still believe in REITs and see potential bargains. Mortgage rates have soared, making homes less affordable. Refinancing 2 years ago resulted in much better rates. I suggest a time machine. Go back in time to September 2021, when I explicitly encouraged my readers to lock in 2.125% mortgage rates.
Camden Property Trust Announces Participation in BofA Securities 2023 Global Real Estate Conference and Provides Third Quarter 2023 Operating Update
HOUSTON--(BUSINESS WIRE)--Camden Property Trust (NYSE:CPT) (the “Company”) announced today that the Company will participate in the BofA Securities 2023 Global Real Estate Conference to be held September 12 – 13, 2023. Camden's presentation has been scheduled for Tuesday, September 12, 2023, at 3:40 PM Eastern Time. The event will be webcast live in a listen-only mode at camdenliving.com in the Investors section, and an audio archive will be available on the Company's website shortly after the.
Oil Vs. Commercial Real Estate: One Is A Better Buy Today
Timing anything in the markets over the next few months or quarters is extremely difficult, bordering on impossible to do with accuracy consistently. But investors can look at data and trends and surmise the kind of economic environment that is most likely to manifest over the next few years. Over the last two years, oil stocks have massively outperformed real estate stocks, but in the decade before that, the opposite was the case.</t>
  </si>
  <si>
    <t xml:space="preserve">           1y Target Est                      125.38
           52 Week Range              97.74 - 136.02
                     Ask                 0.00 x 1000
             Avg. Volume                    714809.0
       Beta (5Y Monthly)                         0.8
                     Bid                 0.00 x 1000
             Day's Range             101.50 - 103.21
               EPS (TTM)                        1.88
           Earnings Date Oct 25, 2023 - Oct 30, 2023
        Ex-Dividend Date                Jun 29, 2023
Forward Dividend &amp; Yield                4.00 (3.88%)
              Market Cap                     10.891B
                    Open                      103.08
          PE Ratio (TTM)                       54.26
          Previous Close                      102.99
             Quote Price                       102.0
                  Volume                    122773.0
    Market Cap (intraday) 11.00B
         Enterprise Value 14.66B
             Trailing P/E  54.78
              Forward P/E  44.05
PEG Ratio (5 yr expected)    NaN
        Price/Sales (ttm)   7.39
         Price/Book (mrq)   2.23
 Enterprise Value/Revenue   9.69
  Enterprise Value/EBITDA  15.64</t>
  </si>
  <si>
    <t>Old Dominion (ODFL) Posts LTL Unit Performance for August
Old Dominion's (ODFL) revenue per day fell 1.4% year over year in August 2023 due to a 6% decrease in LTL tons per day.
4 Top Dividend Growth Stocks of the S&amp;P 500 That Have Major Long-Term Potential for Investors
These companies have delivered annual dividend growth of 24% to 35% over the last five years. Despite this rapid pace, the highest payout ratio of the group is only 39%.
Old Dominion Freight Line Provides Update for Third Quarter 2023
THOMASVILLE, N.C.--(BUSINESS WIRE)--Old Dominion Freight Line, Inc. (Nasdaq: ODFL) today reported certain less-than-truckload (“LTL”) operating metrics for August 2023. Revenue per day decreased 1.4% as compared to August 2022, primarily due to a 6.0% decrease in LTL tons per day that was partially offset by an increase in LTL revenue per hundredweight. The change in LTL tons per day was attributable to a 1.2% decrease in LTL shipments per day and a 4.8% decrease in LTL weight per shipment. For.
7 S&amp;P 500 Stocks to Sell in September Before They Crash &amp; Burn
Year to date, the S&amp;P 500 and other leading market indexes have been strong. However, thanks to interest rates, the Federal Reserve, and growing fears of a recession, we've seen some cracks in the armor.</t>
  </si>
  <si>
    <t xml:space="preserve">           1y Target Est                       408.7
           52 Week Range             240.00 - 438.05
                     Ask                422.00 x 800
             Avg. Volume                    830112.0
       Beta (5Y Monthly)                        1.12
                     Bid                421.55 x 800
             Day's Range             420.53 - 426.94
               EPS (TTM)                        11.5
           Earnings Date Sep 12, 2023 - Sep 18, 2023
        Ex-Dividend Date                Sep 05, 2023
Forward Dividend &amp; Yield                1.50 (0.36%)
              Market Cap                     46.206B
                    Open                      424.28
          PE Ratio (TTM)                       36.77
          Previous Close                      421.25
             Quote Price                  422.869995
                  Volume                    177762.0
    Market Cap (intraday) 46.03B
         Enterprise Value 46.05B
             Trailing P/E  36.60
              Forward P/E  33.22
PEG Ratio (5 yr expected)   4.18
        Price/Sales (ttm)   7.86
         Price/Book (mrq)  12.01
 Enterprise Value/Revenue   7.74
  Enterprise Value/EBITDA  23.01</t>
  </si>
  <si>
    <t>The 3 Best REITs to Buy Now: September 2023
Buying the best REITs can be a powerful way to diversify your portfolio as well as bring in a stable income stream. Unlike some types of stocks, the price of real estate generally rises along with inflation.
Digital Realty (DLR) Expands Into Rome to Boost Digital Growth
Digital Realty (DLR) acquires 22 hectares of land in Rome to build the city's first four-tier data center facility. The move expands its asset base in the Mediterranean region, a key connectivity hub.
Signal Says Avoid This Sector in September
The real estate sector has been on shaky footing all 2023.
Sell Alert: 2 REITs Getting Risky
I am a heavy buyer of REITs. But that doesn't mean that I am bullish on all REITs. I highlight two REITs that I sold and wouldn't buy back.
Digital Realty Expands Mediterranean Presence with Development of New Colocation and Connectivity Hub in Rome
Expansion into Rome highlights Digital Realty's integrated strategy across the Mediterranean, enhancing its ability to meet growing customer demand in the region ROME , Sept. 7, 2023 /PRNewswire/ -- Digital Realty (NYSE: DLR), the largest global provider of cloud- and carrier-neutral data center, colocation and interconnection solutions, today announced its expansion into the Italian market following the acquisition and pre-development planning of land in Rome.
Is It Wise to Retain Digital Realty (DLR) Stock for Now?
Robust data center demand and expansion efforts are likely to aid Digital Realty's (DLR) growth. However, high interest rates and a competitive landscape are worrisome.</t>
  </si>
  <si>
    <t xml:space="preserve">           1y Target Est                      124.06
           52 Week Range              85.76 - 133.39
                     Ask                 0.00 x 1000
             Avg. Volume                   2584375.0
       Beta (5Y Monthly)                        0.56
                     Bid                  0.00 x 800
             Day's Range             129.65 - 131.19
               EPS (TTM)                        1.27
           Earnings Date Oct 24, 2023 - Oct 30, 2023
        Ex-Dividend Date                Sep 14, 2023
Forward Dividend &amp; Yield                4.88 (3.75%)
              Market Cap                     40.334B
                    Open                      130.82
          PE Ratio (TTM)                      102.72
          Previous Close                      129.98
             Quote Price                  130.449997
                  Volume                    569839.0
    Market Cap (intraday) 39.35B
         Enterprise Value 59.10B
             Trailing P/E 102.35
              Forward P/E 107.53
PEG Ratio (5 yr expected)   2.99
        Price/Sales (ttm)   7.79
         Price/Book (mrq)   2.33
 Enterprise Value/Revenue  11.52
  Enterprise Value/EBITDA  23.52</t>
  </si>
  <si>
    <t>2 Dirt Cheap Stocks to Buy With $100
Pfizer's investing in growth through new products and business development deals. Etsy recently reached a record high in active buyers, a good sign for revenue growth moving forward.
Better Buy: Etsy vs. Pinterest
While Etsy's gross merchandise sales are flat, the take rate it gets from each sale is increasing at a healthy clip, and buying trends are beginning to normalize. Pinterest increased users and revenue across all geographies for the second quarter in a row.
1 Growth Stock Down 42% to Buy Right Now
After a pandemic-fueled surge, Etsy has seen revenue growth slow dramatically. The company's two-sided platform benefits from network effects.
2 Incredible Growth Stocks to Buy With $1,000 Right Now
E-commerce is a massive and explosive global industry, and even a potential recession shouldn't slow this space down over the long term. Shopify is gradually building a track record of positive cash flow, and its net losses are shrinking too.
These Top Growth Stocks Could Soar More Than 50%, Wall Street Says
Chewy and Etsy both have dropped more than 30% since the beginning of the year. Investors have shied away from companies that depend on consumer spending.
Etsy, Inc. (ETSY) Goldman Sachs 2023 Communacopia &amp; Technology Conference (Transcript)
Etsy, Inc. (NASDAQ:ETSY ) Goldman Sachs 2023 Communacopia &amp; Technology Conference September 6, 2023 2:30 PM ET Company Participants Rachel Glaser - CFO Conference Call Participants Alexandra Steiger - Goldman Sachs Alexandra Steiger Great. So good morning, everyone.</t>
  </si>
  <si>
    <t xml:space="preserve">           1y Target Est                      110.07
           52 Week Range              65.31 - 149.91
                     Ask                 65.35 x 800
             Avg. Volume                   3166432.0
       Beta (5Y Monthly)                        2.02
                     Bid                65.33 x 1300
             Day's Range               65.31 - 67.81
               EPS (TTM)                        -5.2
           Earnings Date Oct 31, 2023 - Nov 06, 2023
        Ex-Dividend Date                         NaN
Forward Dividend &amp; Yield                   N/A (N/A)
              Market Cap                      8.068B
                    Open                        67.3
          PE Ratio (TTM)                         NaN
          Previous Close                       67.13
             Quote Price                   65.589897
                  Volume                   1403219.0
    Market Cap (intraday)  8.26B
         Enterprise Value  9.57B
             Trailing P/E    NaN
              Forward P/E  17.12
PEG Ratio (5 yr expected)   1.37
        Price/Sales (ttm)   3.15
         Price/Book (mrq)    NaN
 Enterprise Value/Revenue   3.58
  Enterprise Value/EBITDA -16.86</t>
  </si>
  <si>
    <t>Qorvo, Inc. (QRVO) Goldman Sachs Communacopia + Technology Conference (Transcript)
Qorvo, Inc. (NASDAQ:QRVO ) Goldman Sachs Communacopia + Technology Conference September 7, 2023 6:45 PM ET Company Participants Grant Brown - CFO Frank Stewart - SVP, President Conference Call Participants Toshiya Hari - Goldman Sachs Toshiya Hari Great. I'd like to get started.</t>
  </si>
  <si>
    <t>Qorvo</t>
  </si>
  <si>
    <t xml:space="preserve">           1y Target Est                      114.36
           52 Week Range              75.38 - 114.59
                     Ask                97.63 x 1200
             Avg. Volume                   1194533.0
       Beta (5Y Monthly)                        1.44
                     Bid                97.56 x 1000
             Day's Range              97.38 - 100.90
               EPS (TTM)                       -0.08
           Earnings Date Oct 31, 2023 - Nov 06, 2023
        Ex-Dividend Date                         NaN
Forward Dividend &amp; Yield                   N/A (N/A)
              Market Cap                      9.576B
                    Open                      100.48
          PE Ratio (TTM)                         NaN
          Previous Close                       99.34
             Quote Price                      97.805
                  Volume                    285125.0
    Market Cap (intraday)  9.73B
         Enterprise Value 11.03B
             Trailing P/E    NaN
              Forward P/E  19.80
PEG Ratio (5 yr expected)   1.54
        Price/Sales (ttm)   3.15
         Price/Book (mrq)   2.55
 Enterprise Value/Revenue   3.46
  Enterprise Value/EBITDA 178.27</t>
  </si>
  <si>
    <t>Royal Caribbean Cruises Ltd. (RCL) is Attracting Investor Attention: Here is What You Should Know
Zacks.com users have recently been watching Royal Caribbean (RCL) quite a bit. Thus, it is worth knowing the facts that could determine the stock's prospects.
3 Travel Stocks Poised to Fly High in 2024
The global travel and tourism industry went through one of the worst phases during the pandemic. Companies faced slumps in revenue and they drained financial resources in a quest for survival.
GEMS AND ICONS: SILVERSEA® OPENS EXCLUSIVE PRE-SALE ON 206 NEW VOYAGES FOR SUMMER 2025
Unlocking hidden gems and iconic cities, Silversea's summer 2025 voyage collection includes two new Grand Voyages and 24 maiden calls Watch a video on Silversea's new summer 2025 voyage collection. MIAMI , Sept.
The 3 Best Long-Term Stocks to Buy Now: September 2023
The United States economy added 187,000 new jobs last month, and this is accompanied by an unexpected rise in the unemployment rate to 3.8% . This in turn raises the odds for the soft landing that the Federal Reserve wanted.
7 S&amp;P 500 Stocks to Sell in September Before They Crash &amp; Burn
Year to date, the S&amp;P 500 and other leading market indexes have been strong. However, thanks to interest rates, the Federal Reserve, and growing fears of a recession, we've seen some cracks in the armor.
5 Stocks to Add to Your Portfolio on Soaring Consumer Spending
Consumer discretionary stocks like Alto Ingredients, Inc. (ALTO), Hilton Grand Vacations Inc. (HGV), Marriott International, Inc. (MAR), Royal Caribbean Cruises Ltd. (RCL) and OneSpaWorld Holdings Limited (OSW) are likely to benefit from the rise in consumer spending.
Can Markets Resume Northward Journey in September? 5 Picks
We have narrowed our search to five growth stocks that have solid upside left for the rest of 2023. These are: AMZN, NVDA, CAT, SPLK, RCL.</t>
  </si>
  <si>
    <t xml:space="preserve">           1y Target Est                      120.73
           52 Week Range              36.92 - 112.95
                     Ask                 0.00 x 1200
             Avg. Volume                   3230008.0
       Beta (5Y Monthly)                        2.48
                     Bid                  0.00 x 800
             Day's Range               94.89 - 98.36
               EPS (TTM)                       -0.22
           Earnings Date Nov 01, 2023 - Nov 06, 2023
        Ex-Dividend Date                Mar 05, 2020
Forward Dividend &amp; Yield                   N/A (N/A)
              Market Cap                     24.672B
                    Open                       98.25
          PE Ratio (TTM)                         NaN
          Previous Close                       97.35
             Quote Price                   96.309998
                  Volume                    977862.0
    Market Cap (intraday) 24.94B
         Enterprise Value 45.23B
             Trailing P/E  57.31
              Forward P/E  11.74
PEG Ratio (5 yr expected)    NaN
        Price/Sales (ttm)   2.08
         Price/Book (mrq)   7.41
 Enterprise Value/Revenue   3.77
  Enterprise Value/EBITDA  15.69</t>
  </si>
  <si>
    <t>News Corp in negotiations with AI companies over content usage, CEO says
News Corp is engaged in "various negotiations" with artificial intelligence companies over their use of its content, the company's chief executive said at an investor conference Thursday, adding it does not plan to pursue legal action against them at this stage.
Dow Jones and Cision Unveil Exclusive Global Content Partnership for the PR and Corporate Communications Market
New Agreement Empowers Reputation Management and Strategic Communication Agendas Worldwide CHICAGO and NEW YORK , Sept. 7, 2023 /PRNewswire/ -- Cision, the leading provider of consumer and media intelligence and communications solutions, has entered into a long-term agreement to distribute Dow Jones content to Public Relations and Corporate Communications (PRCC) professionals.</t>
  </si>
  <si>
    <t>News Corp (Class A)</t>
  </si>
  <si>
    <t>Publishing</t>
  </si>
  <si>
    <t xml:space="preserve">           1y Target Est                       26.42
           52 Week Range               14.87 - 21.69
                     Ask                21.11 x 1000
             Avg. Volume                   2278746.0
       Beta (5Y Monthly)                        1.33
                     Bid                 21.10 x 900
             Day's Range               21.03 - 21.29
               EPS (TTM)                        0.26
           Earnings Date Nov 06, 2023 - Nov 10, 2023
        Ex-Dividend Date                Sep 12, 2023
Forward Dividend &amp; Yield                0.20 (0.95%)
              Market Cap                      12.14B
                    Open                       21.11
          PE Ratio (TTM)                        81.0
          Previous Close                       21.06
             Quote Price                   21.059999
                  Volume                    558499.0
    Market Cap (intraday) 12.14B
         Enterprise Value 14.51B
             Trailing P/E  81.00
              Forward P/E  26.60
PEG Ratio (5 yr expected)   1.15
        Price/Sales (ttm)   1.23
         Price/Book (mrq)   1.49
 Enterprise Value/Revenue   1.47
  Enterprise Value/EBITDA  12.69</t>
  </si>
  <si>
    <t>What I Wish I Knew Before Investing In REITs
REITs can be very rewarding investments. But they can also lead to large losses if you pick the wrong ones. I highlight 5 mistakes to avoid at all costs.
Equity Residential to Participate in Bank of America 2023 Global Real Estate Conference
CHICAGO--(BUSINESS WIRE)--Equity Residential (NYSE: EQR) today announced that the Company's President and CEO, Mark J. Parrell, will participate in a roundtable discussion at the Bank of America Securities 2023 Global Real Estate Conference on Tuesday, September 12 at 1:55 p.m. CT. The event will be web cast live. A link to the web cast will be available in the Presentations section of the Investor section of the Company's website at www.equityapartments.com. On September 6, 2023, the Company i.
Is Housing A Falling Knife?
Share prices have fallen, but I still believe in REITs and see potential bargains. Mortgage rates have soared, making homes less affordable. Refinancing 2 years ago resulted in much better rates. I suggest a time machine. Go back in time to September 2021, when I explicitly encouraged my readers to lock in 2.125% mortgage rates.
Equity Residential Seems Overcooked
Equity Residential ('EQR')'s stock has ticked up by nearly 10% since the turn of the year, defying the odds as most believed the U.S. residential market would shed significant value in 2023 due to the disinflationary environment.
Apartment Rents Level Despite Healthy Demand &amp; Supply Surge
Rent growth is slowing, but demand remains strong. Dive into the dynamics behind this transformation and see how industry leaders like AVB and EQR are adapting to the evolving landscape.
Equity Residential Provides Operating Update
CHICAGO--(BUSINESS WIRE)--Equity Residential (NYSE: EQR) today provided an update regarding certain same store operating trends in its business. Same store revenue growth remains on track with the Company's guidance range described in its second quarter 2023 earnings release. The Company is finishing a good leasing season with healthy demand and pricing for its apartment units. Consistent with normal seasonal demand patterns, in early August 2023 rents peaked for the year and the Company expect.</t>
  </si>
  <si>
    <t xml:space="preserve">           1y Target Est                       72.89
           52 Week Range               54.60 - 77.92
                     Ask                  0.00 x 800
             Avg. Volume                   1669700.0
       Beta (5Y Monthly)                        0.84
                     Bid                  0.00 x 800
             Day's Range               62.08 - 62.90
               EPS (TTM)                        2.12
           Earnings Date Oct 23, 2023 - Oct 27, 2023
        Ex-Dividend Date                Jun 23, 2023
Forward Dividend &amp; Yield                2.65 (4.23%)
              Market Cap                     23.636B
                    Open                       62.78
          PE Ratio (TTM)                       29.42
          Previous Close                       62.65
             Quote Price                   62.360001
                  Volume                    365308.0
    Market Cap (intraday) 23.75B
         Enterprise Value 31.50B
             Trailing P/E  29.46
              Forward P/E  36.10
PEG Ratio (5 yr expected)   2.57
        Price/Sales (ttm)   8.68
         Price/Book (mrq)   2.16
 Enterprise Value/Revenue  11.18
  Enterprise Value/EBITDA  15.60</t>
  </si>
  <si>
    <t>These 10 stocks have the most exposure to China's 'stalling' economy, BofA warns
China's "stalling" economy is putting some US companies at risk, according to Bank of America. High rates of youth unemployment and recent property defaults have put pressure on the Chinese economy.
Warren Buffett's $690 Million Secret Portfolio Is Invested in 5 Artificial Intelligence (AI) Stocks
Artificial intelligence (AI) is expected to lift global gross domestic product by $15.7 trillion come 2030. Due to an acquisition in 1998, Berkshire Hathaway owns a specialty-investment company -- New England Asset Management -- that's effectively become Buffett's "secret" portfolio.
NXP Semiconductors N.V. (NXPI) Citi's 2023 Global Technology Conference (Transcript)
NXP Semiconductors N.V. (NASDAQ:NXPI ) Citi's 2023 Global Technology Conference Call September 7, 2023 1:45 PM ET Company Participants Bill Betz - Executive Vice President and Chief Financial Officer Henri Ardevol - Executive Vice President and General Manager of Automotive Processing Jeff Palmer - Vice President of Investor Relations Conference Call Participants Christopher Danely - Citigroup Inc. Christopher Danely All right.
10 U.S. Companies Face Much Larger Problems In China Than Apple
If you think Apple has a big "China problem" — you'll be shocked to know it's tiny compared with some other S&amp;P 500 companies.
Chipmaker NXP confirms data breach involving customers' information
Dutch chipmaker NXP Semiconductors has alerted customers to a data breach involving their personal information. The data breach was first flagged by Troy Hunt, the owner of Have I Been Pwned, who tweeted a copy of the email NXP had sent to customers affected by the breach.</t>
  </si>
  <si>
    <t xml:space="preserve">           1y Target Est           231.0
           52 Week Range 132.08 - 225.57
                     Ask   201.26 x 1100
             Avg. Volume       2311619.0
       Beta (5Y Monthly)            1.58
                     Bid    201.03 x 900
             Day's Range 200.74 - 205.10
               EPS (TTM)           10.58
           Earnings Date    Nov 06, 2023
        Ex-Dividend Date    Sep 12, 2023
Forward Dividend &amp; Yield    4.06 (2.00%)
              Market Cap         51.945B
                    Open          204.86
          PE Ratio (TTM)           19.04
          Previous Close          203.05
             Quote Price      201.490005
                  Volume        373040.0
    Market Cap (intraday) 52.35B
         Enterprise Value 59.65B
             Trailing P/E  19.21
              Forward P/E  13.42
PEG Ratio (5 yr expected)   1.63
        Price/Sales (ttm)   4.04
         Price/Book (mrq)   6.41
 Enterprise Value/Revenue   4.53
  Enterprise Value/EBITDA  11.91</t>
  </si>
  <si>
    <t>FE vs. NEE: Which Stock Is the Better Value Option?
Investors interested in Utility - Electric Power stocks are likely familiar with FirstEnergy (FE) and NextEra Energy (NEE). But which of these two stocks presents investors with the better value opportunity right now?
FirstEnergy's (FE) Arm to Boost Transmission Line in Eastern Ohio
FirstEnergy's (FE) subsidiary American Transmission Systems starts upgrading 20 miles of a high-voltage power line in the Ohio region to further improve the overall system???s performance.
JCP&amp;L Joining with Community Agencies for Energy Assistance Days to Help Customers Pay Utility Bills
MORRISTOWN, N.J., Sept. 8, 2023 /PRNewswire/ -- FirstEnergy Corp. (NYSE: FE) subsidiary Jersey Central Power &amp; Light (JCP&amp;L) is teaming with New Jersey Natural Gas (NJNG) and other community organizations to host Energy Assistance Days in local communities.
FirstEnergy Begins Upgrade of 20-Mile Transmission Line in Eastern Ohio
Project is part of larger 64-mile line rebuild to enhance reliability AKRON, Ohio , Sept. 7, 2023 /PRNewswire/ -- American Transmission Systems, Inc. (ATSI), a subsidiary of FirstEnergy Corp. (NYSE: FE), has begun upgrading 20 miles of a high-voltage power line in Belmont and Harrison counties in Ohio to strengthen the regional transmission system.</t>
  </si>
  <si>
    <t xml:space="preserve">           1y Target Est                       41.54
           52 Week Range               34.69 - 43.31
                     Ask                 0.00 x 3100
             Avg. Volume                   2944572.0
       Beta (5Y Monthly)                        0.45
                     Bid                  0.00 x 900
             Day's Range               35.56 - 35.98
               EPS (TTM)                         0.8
           Earnings Date Oct 23, 2023 - Oct 27, 2023
        Ex-Dividend Date                Aug 04, 2023
Forward Dividend &amp; Yield                1.56 (4.38%)
              Market Cap                     20.518B
                    Open                       35.64
          PE Ratio (TTM)                       44.73
          Previous Close                       35.62
             Quote Price                      35.785
                  Volume                   1009042.0
    Market Cap (intraday) 20.42B
         Enterprise Value 44.26B
             Trailing P/E  44.52
              Forward P/E  13.30
PEG Ratio (5 yr expected)   2.22
        Price/Sales (ttm)   1.58
         Price/Book (mrq)   1.94
 Enterprise Value/Revenue   3.43
  Enterprise Value/EBITDA  11.32</t>
  </si>
  <si>
    <t>3 Under-the-Radar Stocks to Invest In for Big-Time, Long-Term Gains
Half the fun of investing in stocks is digging through the markets to find undervalued gems and under-the-radar stocks with long-term potential. At the same time, markets are complex and the depth of information available is overwhelming.</t>
  </si>
  <si>
    <t xml:space="preserve">           1y Target Est                       55.53
           52 Week Range               30.60 - 51.34
                     Ask                  0.00 x 800
             Avg. Volume                   2561585.0
       Beta (5Y Monthly)                        1.27
                     Bid                 0.00 x 1000
             Day's Range               47.27 - 47.91
               EPS (TTM)                        1.26
           Earnings Date Oct 30, 2023 - Nov 03, 2023
        Ex-Dividend Date                Aug 03, 2023
Forward Dividend &amp; Yield                0.16 (0.34%)
              Market Cap                      19.51B
                    Open                       47.89
          PE Ratio (TTM)                       37.56
          Previous Close                       47.65
             Quote Price                   47.330002
                  Volume                    589329.0
    Market Cap (intraday) 19.64B
         Enterprise Value 23.26B
             Trailing P/E  37.82
              Forward P/E  22.68
PEG Ratio (5 yr expected)   0.80
        Price/Sales (ttm)   3.21
         Price/Book (mrq)   5.28
 Enterprise Value/Revenue   3.75
  Enterprise Value/EBITDA  19.24</t>
  </si>
  <si>
    <t>Intel: Fallacies That An Incumbent Can't Bridge The Gap Fast
Intel may not be capitalizing on the increased capital expenditure in the cloud sector, but its ability to pivot and capture opportunities should not be underestimated. Despite skepticism about Intel's AI roadmap, the broader trend in AI adoption can still work in the company's favor and expand the compute market significantly. Intel's recent performance has shown strong revenue growth and margin improvement, positioning the company for future growth.
Intel stock price forecast: INTC slowly forms rising wedge
Intel (NASDAQ: INTC) stock price has staged a strong recovery this year as investors predict more demand for semiconductors in the near term. The shares jumped to a high of $38.83 on Friday, the highest level since July last year.
3 Artificial Intelligence (AI) Winners to Buy Before the Next Bull Run Starts
The stock market's recent volatility has created buying opportunities in the AI sector. Even industry titans in AI look like bargains right now.
Intel Stock Has Soared 44% in 2023. Is It Still a Buy?
After a tough couple of years, Intel stock is on the rebound. The company's results are still depressed, but its plan to regain manufacturing dominance is on track.
Could Intel's Mystery Foundry Customer Be Apple?
A large prepayment for Intel's upcoming Intel 18A process node came from an unnamed customer. The customer could be a big spender like Apple, which ships hundreds of millions of devices each year and is totally dependent on TSMC for its chips.
Intel's Shares Up 42% YTD as Foundry Plans Spark Optimism
Intel shares have gained 42% year-to-date (YTD) as investors remain confident in the company's foundry strategy.
Intel: Don't Let The 'Whale' Fool You
The Intel stock has struggled to rally past the $36 range this year, reflecting investor wariness over the company's capital-intensive turnaround strategy. The demand environment in Intel's core end markets remains mixed, which clouds prospects over growth reacceleration and margin expansion. Intel's accelerated computing portfolio also faces roadblocks to adoption, which could limit its participation in AI tailwinds.
Here is What to Know Beyond Why Intel Corporation (INTC) is a Trending Stock
Recently, Zacks.com users have been paying close attention to Intel (INTC). This makes it worthwhile to examine what the stock has in store.
Shovels In A Gold Rush: 3 Cheap AI Chip Stocks
NVIDIA is a popular chip stock due to its role as a supplier of GPUs/accelerator chips to the AI industry. Despite delivering a massive earnings beat, NVIDIA's stock has not performed well since its Q2 release came out. In this article I explore alternative AI chip stocks that are cheaper than NVIDIA, and offer unique opportunities.
Media Alert: Join Intel Innovation on Sept. 19-20
SANTA CLARA, Calif.--(BUSINESS WIRE)--At Intel Innovation 2023, Intel will showcase breakthroughs in hardware, software, services and advanced technologies.
Why Intel Rose Today Even as Chip Stocks Were Down
Rising U.S.-China tensions are causing chip stock investors to sell others and buy Intel. The thinking is Intel's fledgling foundry would benefit if China invaded Taiwan.
Intel Stock Heads Higher Even as China Worries Mount
Investors may be using Intel as a hedge if the chip war between the U.S and China spins out of control.
Intel's stock on track for longest winning streak in nearly 3 years
Intel Corp. INTC shares were on track for their longest winning streak in nearly three years Thursday as the chip maker's stock led gainers on the Dow Jones Industrial Average DJIA, according to Dow Jones data. Intel shares rose as much as 3% to an intraday high of $38.10, and were last up 2.6%, while the Dow Average was up 0.3%.
Intel: Upgrading To Buy - More Near-Term Upside Ahead
We are upgrading Intel to a buy from a hold. We expect more near-term upside for the stock due to low expectations coupled with PC client demand recovery. Additionally, we expect share loss to Advanced Micro Devices to moderate significantly. We think institutional investors are comfortable with a higher stock multiple as INTC is now showing better process roadmap execution.
Intel's Semiconductor Dominance: Challenges, Catalysts, And Transformation
Intel aims to become the global leader in chip manufacturing, focusing on at-scale production and infrastructure capabilities. The company has government support and is achieving timelines to meet demand, with subsidies and partnerships aiding their transformation. Intel faces risks such as potential debt burden, lack of consumer demand, and competition from other foundry competitors.
Better Artificial Intelligence (AI) Stock: Intel vs. Nvidia
Intel's solid server share could help it take advantage of the secular growth opportunity in this space. Nvidia is a dominant player in AI chips and it is looking to push the envelope further with new products.
7 Blue-Chip Stocks to Buy for a Market Pullback
After a blistering first half of the year, the outlook for the stock market has gotten murky. All three major U.S. indices declined in August, with the Dow Jones Industrial Average falling 2.4%, the Nasdaq losing 2.2%, and the benchmark S&amp;P 500 sliding 1.7%.
Intel gets surprise data-center tailwind as it looks toward ‘meaningful' AI growth next year
The coming year could be one of stabilization for Intel Corp. as it begins to recognize material gains from artificial-intelligence spending, which could give its data-center business a surprise tailwind.
Intel Corporation (INTC) Citi 2023 Global Technology Conference (Transcript)
Intel Corporation (NASDAQ:INTC ) Citi 2023 Global Technology Conference September 6, 2023 12:15 PM ET Company Participants Dave Zinsner - CFO Conference Call Participants Chris Danely - Citi Chris Danely All right. Great. Quiet on the set, quiet on the set.
Memory Turns Around In Q3 But Inventories Excluding Memory And AI Remain High
Global memory and AI chipmakers are experiencing an end to the supply surplus for semiconductors. Excessive capex spending in memory chips has led to inventory problems and a sharp downturn is expected in 2023.
Intel (INTC) Partners Tower to Boost Semiconductor Ecosystem
The partnership underscores Intel's (INTC) dedication to expanding its foundry services and manufacturing capabilities to fuel its growth engine.
Intel's Nascent Graphics Business Gets a Black Eye
Highly anticipated "Starfield" failed to work on Intel's Arc graphics cards. The company has released beta drivers to at least get the game up and running, but full compatibility is still being worked on.
Intel: Second Half Recovery
Intel's revenue declined by 26.8% in H1 2023, exceeding projections of -9% for the year. The decline was driven by underperformance in the DCAI and Others segments, particularly the NEX segment. However, there is optimism for the second half of the year, with expected improvements in the PC and server markets and positive growth in segments like PSG, IFS, and Mobileye.
This Analysis Makes Intel An Attractive Watchlist Addition
Shares of Intel NASDAQ: INTC have been on a tear lately, rising by as much as 37% year to date while leaving the S&amp;P 500 index behind by a gap of 18.5%; the strong momentum that is being built is a refreshing change from the steady declines that got started in 2021.
Intel: Massive 18A Foundry Prepayment
Intel has received a "significant" foundry prepayment for its 18A process node, signaling progress in its turnaround efforts as the very first tangible evidence of regaining process leadership. The company is accelerating the buildout of its new Arizona fabs, indicating that all pieces are coming together for a successful turnaround. The market is not giving Intel credit yet for these developments, as transforming from industry laggard to leader significantly changes the potential financial profile.
Intel Foundry Teams Up With Tower Semiconductor After Failed Acquisition
Intel's attempted acquisition of Tower Semiconductor failed when China rejected the deal. Now Intel has partnered with Tower to provide specialty foundry U.S. manufacturing capacity and foundry services.
Intel Corporation (INTC) Goldman Sachs Communacopia &amp; Technology Conference (Transcript)
Intel Corporation (NASDAQ:INTC ) Goldman Sachs Communacopia &amp; Technology Conference Call September 5, 2023 2:30 PM ET Company Participants Stuart Pann - Senior Vice President and General Manager of Intel Foundry Services Conference Call Participants Toshiya Hari - Goldman Sachs Group, Inc. Toshiya Hari Okay. Great. We would like to get started.
Former Intel Exec Joins Untether AI as President to Drive Commercial Efforts in the Burgeoning AI Acceleration Market
TORONTO--(BUSINESS WIRE)-- #AI--Today, Untether AI®, the leader in energy-centric AI acceleration technology, announced it has appointed Chris Walker, former Corporate Vice President and General Manager at Intel Corporation, as President. After leading the silicon giant's mobile business unit through multiple years of growth and fostering the company's client AI work, Walker joins Untether AI to lead its commercial efforts at a time when demand for efficient AI compute is rapidly accelerating. “Untet.
Intel stock hits a new 52-week high; What's next for INTL?
Intel Corporation (NASDAQ: INTC)  stock recently achieved a notable milestone by reaching a new 52-week high on September 5 at $37.21.
Intel and Tower ink major foundry deal, $300M investment after Intel cancels its $5.4B Tower acquisition
Two weeks after Intel said it would cancel its plan to acquire Tower Semiconductor for $5.4 billion amidst pushback from regulators, the two companies intend to work together anyway. Intel today said that it would provide foundry services and 300mm manufacturing capacity to Tower.
Intel notches new foundry arrangement with Tower Semiconductor
Intel Corp. INTC, +4.18% has struck an agreement with Tower Semiconductor TSEM, +0.86% through which Intel will provide foundry services and 300-millimeter manufacturing capacity, the companies said Tuesday. Tower plans to invest up to $300 million to acquire and own equipment and other assets that will be installed in Intel's New Mexico manufacturing facility.
Intel Foundry Services and Tower Semiconductor Announce New US Foundry Agreement
SANTA CLARA, Calif. &amp; MIGDAL HAEMEK, Israel--(BUSINESS WIRE)--Intel Foundry Services and Tower Semiconductor announce an agreement where Intel will provide foundry services and manufacturing capacity to Tower.</t>
  </si>
  <si>
    <t xml:space="preserve">           1y Target Est                       35.14
           52 Week Range               24.59 - 38.83
                     Ask                38.02 x 2200
             Avg. Volume                  40605441.0
       Beta (5Y Monthly)                        0.89
                     Bid                38.03 x 3100
             Day's Range               37.85 - 38.27
               EPS (TTM)                       -0.23
           Earnings Date Oct 25, 2023 - Oct 30, 2023
        Ex-Dividend Date                Aug 04, 2023
Forward Dividend &amp; Yield                0.50 (1.31%)
              Market Cap                    159.481B
                    Open                       38.12
          PE Ratio (TTM)                         NaN
          Previous Close                       38.01
             Quote Price                       38.09
                  Volume                  10900035.0
    Market Cap (intraday) 159.19B
         Enterprise Value 183.97B
             Trailing P/E     NaN
              Forward P/E   21.60
PEG Ratio (5 yr expected)    1.85
        Price/Sales (ttm)    2.92
         Price/Book (mrq)    1.58
 Enterprise Value/Revenue    3.40
  Enterprise Value/EBITDA   20.69</t>
  </si>
  <si>
    <t>Fall for These 3 Dividend Stocks in September and Buy Them Hand Over Fist
Realty Income stock has been battered, but its record and fundamentals are hard to beat. Invitation Homes should be able to continue growing its dividend at a brisk pace.
Is Housing A Falling Knife?
Share prices have fallen, but I still believe in REITs and see potential bargains. Mortgage rates have soared, making homes less affordable. Refinancing 2 years ago resulted in much better rates. I suggest a time machine. Go back in time to September 2021, when I explicitly encouraged my readers to lock in 2.125% mortgage rates.
Sell These 7 Stocks NOW Before the Next Housing Market Crash
Housing market crash fears are on the rise again. Sure, despite the big jump in interest rates, housing has stayed fairly resilient, thanks to scarce inventory.</t>
  </si>
  <si>
    <t xml:space="preserve">           1y Target Est                       37.56
           52 Week Range               28.52 - 40.20
                     Ask                 0.00 x 1400
             Avg. Volume                   2689959.0
       Beta (5Y Monthly)                        0.91
                     Bid                  0.00 x 900
             Day's Range               33.78 - 34.04
               EPS (TTM)                        0.72
           Earnings Date Oct 24, 2023 - Oct 30, 2023
        Ex-Dividend Date                Aug 07, 2023
Forward Dividend &amp; Yield                1.04 (3.07%)
              Market Cap                      20.91B
                    Open                       34.04
          PE Ratio (TTM)                       47.26
          Previous Close                       33.88
             Quote Price                     34.0285
                  Volume                    498189.0
    Market Cap (intraday) 20.73B
         Enterprise Value 28.08B
             Trailing P/E  47.06
              Forward P/E  39.68
PEG Ratio (5 yr expected)   4.70
        Price/Sales (ttm)   8.88
         Price/Book (mrq)   2.02
 Enterprise Value/Revenue  12.01
  Enterprise Value/EBITDA  19.99</t>
  </si>
  <si>
    <t>Fifth Third Bank Certifies 25 Graduates of its Empowering Community Leaders Program
CINCINNATI--(BUSINESS WIRE)--Fifth Third congratulates the 25 community leaders who have completed the Bank's 18-month Empowering Community Leaders career development growth program. A Harvard Kennedy School Executive Leadership Certification Ceremony was held at Fifth Third Center in Cincinnati on August 28. “We developed this program for the simple reason that many community leaders don't have the resources to spend on their own development,” said Kala Gibson, chief corporate responsibility o.</t>
  </si>
  <si>
    <t xml:space="preserve">           1y Target Est         32.13
           52 Week Range 22.11 - 38.06
                     Ask   26.35 x 900
             Avg. Volume     5198470.0
       Beta (5Y Monthly)          1.23
                     Bid   26.35 x 900
             Day's Range 26.34 - 27.01
               EPS (TTM)           3.5
           Earnings Date  Oct 19, 2023
        Ex-Dividend Date  Jun 29, 2023
Forward Dividend &amp; Yield  1.32 (5.00%)
              Market Cap       17.989B
                    Open         26.58
          PE Ratio (TTM)          7.55
          Previous Close         26.41
             Quote Price         26.42
                  Volume     1562847.0
    Market Cap (intraday) 17.98B
         Enterprise Value    NaN
             Trailing P/E   7.55
              Forward P/E   8.14
PEG Ratio (5 yr expected)   5.81
        Price/Sales (ttm)   2.10
         Price/Book (mrq)   1.15
 Enterprise Value/Revenue    NaN
  Enterprise Value/EBITDA    NaN</t>
  </si>
  <si>
    <t>International Paper Announces CEO Succession Plan
MEMPHIS, Tenn. , Sept. 6, 2023 /PRNewswire/ -- International Paper (NYSE: IP) announced today that Chairman and CEO Mark Sutton has requested that the Board of Directors move forward with the next phase of the company's CEO succession plan.
4 Paper and Related Products Stocks Countering Industry Headwinds
The Zacks Paper and Related Products industry's prospects look dull as low consumer spending is impacting demand. Despite this, stocks like IP, SMFKY, WRK and SPPJY are well-poised to gain from their growth initiatives.</t>
  </si>
  <si>
    <t xml:space="preserve">           1y Target Est         33.57
           52 Week Range 29.01 - 42.69
                     Ask    0.00 x 900
             Avg. Volume     3050487.0
       Beta (5Y Monthly)          1.05
                     Bid   0.00 x 1800
             Day's Range 34.64 - 35.06
               EPS (TTM)          4.04
           Earnings Date  Oct 26, 2023
        Ex-Dividend Date  Aug 14, 2023
Forward Dividend &amp; Yield  1.85 (5.34%)
              Market Cap       12.004B
                    Open         34.87
          PE Ratio (TTM)          8.59
          Previous Close         34.63
             Quote Price        34.695
                  Volume      969433.0
    Market Cap (intraday) 11.98B
         Enterprise Value 17.36B
             Trailing P/E   8.57
              Forward P/E  16.50
PEG Ratio (5 yr expected)   2.27
        Price/Sales (ttm)   0.61
         Price/Book (mrq)   1.43
 Enterprise Value/Revenue   0.86
  Enterprise Value/EBITDA   6.97</t>
  </si>
  <si>
    <t>RTX to take $3 billion charge on Pratt &amp; Whitney engine problem
The issue is forcing inspections on hundreds of Pratt &amp; Whitney GTF engines ahead of schedule.
RTX Corporation: Wide-Moat Aerospace Company Could Make A Spectacular Comeback
RTX Corporation buyers have held the $80 support level robustly since RTX crashed after its second-quarter earnings release. The company announced a $500M reduction in its free cash flow guidance for FY23 due to issues with some of its Pratt &amp; Whitney engines. Unless things take a significant turn for the worst, I don't expect much further downside below the $80 level, suggesting the worst is likely reflected.
RTX Stock Falls. It Will Cost Billions To Fix Airbus A320 Jet Engines.
The aerospace company announced it will take a $3 billion charge in the third quarter to reflect the costs of fixing some parts on its geared turbofan that powers A320 jets.
RTX to take $3 billion charge, cut its sales outlook as a result of ‘powder metal' condition
Shares of RTX Corp. RTX, -1.01%, formerly known as Raytheon Technologies, sank 4.4% toward a near two-year low in premarket trading Monday, after the defense contractor lowered its sales outlook as a result of the “rare condition in power metal” used to make certain engine parts. The company said because of the powder metal condition, about 600 to 700 Pratt &amp; Whitney engines will be removed for shop visits, with the most being removed in 2023 and early 2024.
RTX expects $3 bln hit in Q3 from Pratt &amp; Whitney GTF engine issues
Aerospace supplier RTX said on Monday it would take a nearly $3 billion pre-tax charge in the third quarter due to quality issues with its Pratt &amp; Whitney GTF engines.
RTX: Bearish Headline Risks And Technical Signals - Shares Near Fair Value
iShares U.S. Aerospace &amp; Defense ETF has underperformed the S&amp;P 500 this year. RTX Corporation, a major component of ITA, saw its stock plunge despite positive earnings and guidance. RTX faces challenges with inspections and inventory issues, which may impact cash flow and earnings.
RTX provides update on Pratt &amp; Whitney GTF fleet; Updates 2023 and 2025 outlook; Updates 2023 sales outlook and reaffirms adjusted EPS¹ and free cash flow¹ outlook
RTX to recognize charge in third quarter due to Pratt &amp; Whitney powder metal manufacturing matter ARLINGTON, Va. , Sept. 11, 2023 /PRNewswire/ -- RTX (NYSE:  RTX) is providing an update on the impact to the Pratt &amp; Whitney GTF fleet arising from the previously disclosed rare condition in powder metal used to manufacture certain engine parts.
RTX begins fabrication of 1MW generator for Air Force Research Laboratory
CHARLOTTE, N.C. , Sept. 11, 2023 /PRNewswire/ -- Collins Aerospace, an RTX (NYSE: RTX) business, has completed detailed design review and started fabrication of a one megawatt electric generator for the Air Force Research Laboratory (AFRL) as part of the Advanced Turbine Technologies for Affordable Mission-Capability program.
SHAREHOLDER ALERT: The Law Offices of Vincent Wong Remind RTX Investors of a Lead Plaintiff Deadline of October 2, 2023
NEW YORK , Sept. 11, 2023 /PRNewswire/ -- Attention RTX Corporation f/k/a Raytheon Technologies Corporation ("RTX") (NYSE: RTX) shareholders: The Law Offices of Vincent Wong announce that a class action lawsuit has commenced on behalf of investors who purchased between February 8, 2021 and July 25, 2023.
SHAREHOLDER ALERT: Potential Recovery for RTX Corporation f/k/a Raytheon Technologies Corporation (RTX) Investors Affected by Stock Drop – Levi &amp; Korsinsky Pursuing Class Action Lawsuit
NEW YORK, NY / ACCESSWIRE / September 11, 2023 / If you suffered a loss on your RTX Corporation f/k/a Raytheon Technologies Corporation (NYSE:RTX) investment and want to learn about a potential recovery under the federal securities laws, follow the link below for more information: https://zlk.com/pslra-1/rtx-lawsuit-submission-form?prid=47545&amp;wire=1 or contact Joseph E. Levi, Esq.
DEADLINE ACTION ALERT: The Schall Law Firm Encourages Investors in RTX Corporation with Losses of $500,000 to Contact the Firm
LOS ANGELES, CA / ACCESSWIRE / September 11, 2023 / The Schall Law Firm, a national shareholder rights litigation firm, reminds investors of a class action lawsuit against RTX Corporation f/k/a Raytheon Technologies ("RTX" or "the Company") (NYSE:RTX) for violations of §§10(b) and 20(a) of the Securities Exchange Act of 1934 and Rule 10b-5 promulgated thereunder by the U.S. Securities and Exchange Commission. Investors who purchased the Company's securities between February 8, 2021 and July 25, 2023, inclusive (the "Class Period"), are encouraged to contact the firm before October 2, 2023.
RTX to host an investor call to provide an update on Pratt &amp; Whitney GTF fleet on September 11, 2023 at 8:30 a.m. ET
ARLINGTON, Va. , Sept. 10, 2023 /PRNewswire/ -- RTX (NYSE: RTX) will host a conference call on Monday, September 11, at 8:30 a.m.
SHAREHOLDER ALERT: Potential Recovery for RTX Corporation f/k/a Raytheon Technologies Corporation (RTX) Investors Affected by Stock Drop – Levi &amp; Korsinsky Pursuing Class Action Lawsuit
NEW YORK, NY / ACCESSWIRE / September 10, 2023 / If you suffered a loss on your RTX Corporation f/k/a Raytheon Technologies Corporation (NYSE:RTX) investment and want to learn about a potential recovery under the federal securities laws, follow the link below for more information: https://zlk.com/pslra-1/rtx-lawsuit-submission-form?prid=47522&amp;wire=1 or contact Joseph E. Levi, Esq.
RTX CORPORATION SHAREHOLDER ALERT: CLAIMSFILER REMINDS INVESTORS WITH LOSSES IN EXCESS OF $100,000 of Lead Plaintiff Deadline in Class Action Lawsuit Against RTX Corporation f/k/a Raytheon Technologies Corporation - RTX
NEW ORLEANS , Sept. 8, 2023 /PRNewswire/ -- ClaimsFiler, a FREE shareholder information service, reminds investors that they have until October 2, 2023 to file lead plaintiff applications in a securities class action lawsuit against RTX Corporation f/k/a Raytheon Technologies Corporation (NYSE: RTX), if they purchased the Company's securities between February 8, 2021 and July 25, 2023, inclusive (the "Class Period").
The 3 Best Defense Stocks to Buy Now: September 2023
Global defense spending hit a record high of $2.24 trillion in 2022. The Russia-Ukraine conflict and East Asia tensions are influencing increases in military expenditure.
RTX Secures Contract to Support Maintenance of AESA Radar
RTX is set to provide engineering and technical services for the installation, operation, and maintenance of the F/A-18 and EA-18G aircraft's AESA.
Shielding Your Portfolio With 3 Aerospace Companies
Aerospace and defense stocks, such as Lockheed Martin, General Dynamics, and RTX, offer stability, consistent returns, and reliable dividends. These companies play a crucial role in national security and have a diverse portfolio of products and services. Lockheed Martin, General Dynamics, and RTX have strong financial performance, dividend growth, and attractive valuations, making them attractive investment opportunities.
FINAL DEADLINE APPROACHING: The Schall Law Firm Encourages Investors in RTX Corporation with Losses of $500,000 to Contact the Firm
LOS ANGELES, CA / ACCESSWIRE / September 8, 2023 / The Schall Law Firm, a national shareholder rights litigation firm, reminds investors of a class action lawsuit against RTX Corporation f/k/a Raytheon Technologies ("RTX" or "the Company") (NYSE: RTX) for violations of 10(b) and 20(a) of the Securities Exchange Act of 1934 and Rule 10b-5 promulgated thereunder by the U.S. Securities and Exchange Commission. Investors who purchased the Company's securities between February 8, 2021 and July 25, 2023, inclusive (the "Class Period"), are encouraged to contact the firm before October 2, 2023.
U.S. Pledges New Security Aid to Ukraine: 3 Defense Stocks to Gain
The latest U.S. aid package worth $175 million marks the 46th tranche of equipment to be provided from DoD inventories for Ukraine, since August 2021. RTX, LMT &amp; GD stand to gain from this.
U.S. Navy awards RTX and Elbit Systems of America a $16 million contract for improved F/A-18 pilot helmet mounted display systems
CEDAR RAPIDS, Iowa and FORT WORTH, Texas , Sept. 7, 2023 /PRNewswire/ -- Collins Elbit Vision Systems (CEVS) – a joint venture between Collins Aerospace, an RTX (NYSE: RTX) business, and Elbit Systems of America – has been awarded a contract by the Naval Air Warfare Center Aircraft Division for development, engineering, logistics and test support of the Improved Joint Helmet Mounted Cueing System used in Block III F/A-18E/F and E/A-18G aircraft.
SHAREHOLDER ALERT: Levi &amp; Korsinsky Notifies RTX Corporation f/k/a Raytheon Technologies Corporation(RTX) Investors of a Class Action Lawsuit and Upcoming Deadline
NEW YORK , Sept. 7, 2023 /PRNewswire/ -- Levi &amp; Korsinsky, LLP notifies investors in RTX Corporation f/k/a Raytheon Technologies Corporation ("RTX" or the "Company") (NYSE: RTX) of a class action securities lawsuit.
SHAREHOLDER ACTION ALERT: The Schall Law Firm Encourages Investors in RTX Corporation with Losses of $100,000 to Contact the Firm
LOS ANGELES, CA / ACCESSWIRE / September 7, 2023 / The Schall Law Firm, a national shareholder rights litigation firm, reminds investors of a class action lawsuit against RTX Corporation f/k/a Raytheon Technologies ("RTX" or "the Company") (NYSE:RTX) for violations of §§10(b) and 20(a) of the Securities Exchange Act of 1934 and Rule 10b-5 promulgated thereunder by the U.S. Securities and Exchange Commission. Investors who purchased the Company's securities between February 8, 2021 and July 25, 2023, inclusive (the "Class Period"), are encouraged to contact the firm before October 2, 2023.
FILING DEADLINE--Kuznicki Law PLLC Announces Class Action on Behalf of Shareholders of RTX Corporation f/k/a Raytheon Technologies Corporation - RTX
CEDARHURST, N.Y. , Sept. 6, 2023 /PRNewswire/ -- The securities litigation law firm of Kuznicki Law PLLC issues this alert to shareholders of RTX Corporation f/k/a Raytheon Technologies Corporation (NYSE: RTX), if they purchased the Company's securities between February 8, 2021 and July 25, 2023, inclusive (the "Class Period").
Lockheed-RTX joint venture enters weapon system MoU in Poland
Lockheed Martin said on Wednesday that the Javelin Joint Venture, its partnership with RTX , has signed a memorandum of understanding (MoU) related to production of the Javelin anti-tank weapon system in Poland.
RTX Secures $192M Air Force Contract to Buy AMRAAM Weapons
RTX is set to purchase fielded AMRAAM weapons from various sources.
SHAREHOLDER ALERT: The Gross Law Firm Notifies Shareholders of RTX Corporation f/k/a Raytheon Technologies Corporation of a Class Action Lawsuit and a Lead Plaintiff Deadline of October 2, 2023 - (NYSE: RTX)
NEW YORK , Sept. 6, 2023 /PRNewswire/ -- The Gross Law Firm issues the following notice to shareholders of RTX Corporation f/k/a Raytheon Technologies Corporation.
DEADLINE ACTION ALERT: The Schall Law Firm Encourages Investors in RTX Corporation with Losses of $100,000 to Contact the Firm
LOS ANGELES, CA / ACCESSWIRE / September 6, 2023 / The Schall Law Firm, a national shareholder rights litigation firm, reminds investors of a class action lawsuit against RTX Corporation f/k/a Raytheon Technologies ("RTX" or "the Company") (NYSE: RTX) for violations of 10(b) and 20(a) of the Securities Exchange Act of 1934 and Rule 10b-5 promulgated thereunder by the U.S. Securities and Exchange Commission. Investors who purchased the Company's securities between February 8, 2021 and July 25, 2023, inclusive (the "Class Period"), are encouraged to contact the firm before October 2, 2023.
SHAREHOLDER ALERT: Pomerantz Law Firm Investigates Claims On Behalf of Investors of RTX Corporation (f/k/a Raytheon Technologies Corporation) (RTX)
NEW YORK , Sept. 5, 2023 /PRNewswire/ -- Pomerantz LLP is investigating claims on behalf of investors of RTX Corporation f/k/a Raytheon Technologies Corporation ("RTX" or the "Company") (NYSE: RTX).</t>
  </si>
  <si>
    <t xml:space="preserve">           1y Target Est                       100.7
           52 Week Range              76.86 - 104.91
                     Ask                  0.00 x 800
             Avg. Volume                   6298316.0
       Beta (5Y Monthly)                        0.72
                     Bid                 0.00 x 1000
             Day's Range               76.86 - 80.50
               EPS (TTM)                        3.77
           Earnings Date Oct 23, 2023 - Oct 27, 2023
        Ex-Dividend Date                Aug 17, 2023
Forward Dividend &amp; Yield                2.36 (2.83%)
              Market Cap                    112.533B
                    Open                        80.2
          PE Ratio (TTM)                       20.51
          Previous Close                       83.48
             Quote Price                   77.285004
                  Volume                  11807124.0
    Market Cap (intraday) 121.51B
         Enterprise Value 153.04B
             Trailing P/E   22.14
              Forward P/E   14.77
PEG Ratio (5 yr expected)    4.65
        Price/Sales (ttm)    1.74
         Price/Book (mrq)    1.68
 Enterprise Value/Revenue    2.17
  Enterprise Value/EBITDA   12.56</t>
  </si>
  <si>
    <t>Airbnb and VRBO regulations in NYC is the latest among other cities
Short-term rentals in New York City recently became subject to new restrictions. However, the Big Apple doesn't mark the first city where they experience some form of regulation.
‘Big Short' Michael Burry's top 5 portfolio positions
Renowned investor Michael Burry, famous for his astute predictions, has garnered attention in the past due to his stock positions. Despite this interest, the ‘Big Short' investor has, in recent months, expressed a bearish position in the general stock market at some point advising investors to ‘sell'.</t>
  </si>
  <si>
    <t xml:space="preserve">           1y Target Est                      128.83
           52 Week Range              82.39 - 124.95
                     Ask                108.38 x 900
             Avg. Volume                   2513740.0
       Beta (5Y Monthly)                        1.64
                     Bid                108.28 x 800
             Day's Range             108.05 - 111.38
               EPS (TTM)                         5.9
           Earnings Date Nov 01, 2023 - Nov 06, 2023
        Ex-Dividend Date                Mar 09, 2020
Forward Dividend &amp; Yield                   N/A (N/A)
              Market Cap                     15.511B
                    Open                      110.78
          PE Ratio (TTM)                       18.34
          Previous Close                       109.8
             Quote Price                  108.190002
                  Volume                    627426.0
    Market Cap (intraday) 15.74B
         Enterprise Value 15.99B
             Trailing P/E  19.33
              Forward P/E   9.29
PEG Ratio (5 yr expected)   0.57
        Price/Sales (ttm)   1.44
         Price/Book (mrq)   8.95
 Enterprise Value/Revenue   1.30
  Enterprise Value/EBITDA   6.92</t>
  </si>
  <si>
    <t>News Corp (Class B)</t>
  </si>
  <si>
    <t xml:space="preserve">           1y Target Est           NaN
           52 Week Range 15.15 - 22.14
                     Ask  21.71 x 1800
             Avg. Volume      833085.0
       Beta (5Y Monthly)          1.33
                     Bid  21.70 x 1800
             Day's Range 21.61 - 21.88
               EPS (TTM)          0.26
           Earnings Date           NaN
        Ex-Dividend Date  Sep 12, 2023
Forward Dividend &amp; Yield  0.20 (0.92%)
              Market Cap       12.131B
                    Open         21.72
          PE Ratio (TTM)         83.25
          Previous Close         21.66
             Quote Price        21.645
                  Volume      490245.0
    Market Cap (intraday) 12.14B
         Enterprise Value 14.51B
             Trailing P/E  83.31
              Forward P/E  27.40
PEG Ratio (5 yr expected)   1.18
        Price/Sales (ttm)   1.27
         Price/Book (mrq)   1.53
 Enterprise Value/Revenue   1.47
  Enterprise Value/EBITDA  12.69</t>
  </si>
  <si>
    <t>Buy The Dip on Charles Schwab Stock
On the charts, Charles Schwab Corp (NYSE:SCHW) has completely erased its mid-August bull gap , and is currently down 30.5% since the start of the year.</t>
  </si>
  <si>
    <t xml:space="preserve">           1y Target Est                       74.57
           52 Week Range               45.00 - 86.63
                     Ask                 0.00 x 1400
             Avg. Volume                  10541787.0
       Beta (5Y Monthly)                        0.92
                     Bid                 0.00 x 1400
             Day's Range               59.73 - 60.59
               EPS (TTM)                        3.44
           Earnings Date Oct 16, 2023 - Oct 20, 2023
        Ex-Dividend Date                Aug 10, 2023
Forward Dividend &amp; Yield                1.00 (1.69%)
              Market Cap                    109.494B
                    Open                       59.89
          PE Ratio (TTM)                       17.48
          Previous Close                       59.33
             Quote Price                   60.119999
                  Volume                   2528080.0
    Market Cap (intraday) 108.05B
         Enterprise Value     NaN
             Trailing P/E   17.25
              Forward P/E   14.31
PEG Ratio (5 yr expected)    1.16
        Price/Sales (ttm)    5.31
         Price/Book (mrq)    3.86
 Enterprise Value/Revenue     NaN
  Enterprise Value/EBITDA     NaN</t>
  </si>
  <si>
    <t>10 U.S. Companies Face Much Larger Problems In China Than Apple
If you think Apple has a big "China problem" — you'll be shocked to know it's tiny compared with some other S&amp;P 500 companies.
Corning Incorporated (GLW) Citi's 2023 Global Technology Conference (Transcript)
Corning Incorporated (NYSE:GLW ) Citi's 2023 Global Technology Conference Call September 7, 2023 8:15 AM ET Company Participants Jeffrey Evenson - Executive Vice President and Chief Strategy Officer Conference Call Participants Asiya Merchant - Citigroup Inc. Asiya Merchant Asiya Merchant here, I work with the Citi Research team, looking at hardware and the components name. Really glad to have Corning here.</t>
  </si>
  <si>
    <t xml:space="preserve">           1y Target Est                       38.25
           52 Week Range               28.98 - 37.10
                     Ask                  0.00 x 900
             Avg. Volume                   4194695.0
       Beta (5Y Monthly)                        1.06
                     Bid                 0.00 x 2200
             Day's Range               30.93 - 31.66
               EPS (TTM)                        0.74
           Earnings Date Oct 23, 2023 - Oct 27, 2023
        Ex-Dividend Date                Aug 30, 2023
Forward Dividend &amp; Yield                1.12 (3.57%)
              Market Cap                       26.4B
                    Open                        31.6
          PE Ratio (TTM)                       41.82
          Previous Close                       31.37
             Quote Price                     30.9499
                  Volume                    616616.0
    Market Cap (intraday) 26.76B
         Enterprise Value 33.77B
             Trailing P/E  42.39
              Forward P/E  13.40
PEG Ratio (5 yr expected)   1.14
        Price/Sales (ttm)   2.02
         Price/Book (mrq)   2.34
 Enterprise Value/Revenue   2.54
  Enterprise Value/EBITDA  13.02</t>
  </si>
  <si>
    <t>INVESTOR ACTION ALERT: The Schall Law Firm Encourages Investors in Discover Financial Services with Losses of $100,000 to Contact the Firm
LOS ANGELES, CA / ACCESSWIRE / September 10, 2023 / The Schall Law Firm, a national shareholder rights litigation firm, reminds investors of a class action lawsuit against Discover Financial Services ("Discover" or "the Company") (NYSE: DFS) for violations of §§10(b) and 20(a) of the Securities Exchange Act of 1934 and Rule 10b-5 promulgated thereunder by the U.S. Securities and Exchange Commission. Investors who purchased the Company's securities between February 21, 2019 and August 14, 2023, inclusive (the "Class Period"), are encouraged to contact the firm before October 31, 2023.
Deadline Reminder: Law Offices of Howard G. Smith Reminds Investors of Looming Deadline in the Class Action Lawsuit Against Discover Financial Services (DFS)
BENSALEM, Pa.--(BUSINESS WIRE)--Law Offices of Howard G. Smith reminds investors of the upcoming October 31, 2023 deadline to file a lead plaintiff motion in the case filed on behalf of investors who purchased Discover Financial Services (“Discover” or the “Company”) (NYSE: DFS) common stock between February 21, 2019 and August 14, 2023, inclusive (the “Class Period”). Investors suffering losses on their Discover investments are encouraged to contact the Law Offices of Howard G. Smith to discus.
Kessler Topaz Meltzer &amp; Check, LLP Announces Investor Securities Fraud Class Action Lawsuit Filed Against Discover Financial Services
RADNOR, Pa. , Sept. 8, 2023 /PRNewswire/ -- The law firm of Kessler Topaz Meltzer &amp; Check, LLP (www.ktmc.com)  informs investors that a securities class action lawsuit has been against Discover Financial Services ("DFS") (NYSE: DFS).
INVESTOR ACTION ALERT: The Schall Law Firm Encourages Investors in Discover Financial Services with Losses of $100,000 to Contact the Firm
LOS ANGELES, CA / ACCESSWIRE / September 8, 2023 / The Schall Law Firm, a national shareholder rights litigation firm, reminds investors of a class action lawsuit against Discover Financial Services ("Discover" or "the Company") (NYSE:DFS) for violations of 10(b) and 20(a) of the Securities Exchange Act of 1934 and Rule 10b-5 promulgated thereunder by the U.S. Securities and Exchange Commission. Investors who purchased the Company's securities between February 21, 2019 and August 14, 2023, inclusive (the "Class Period"), are encouraged to contact the firm before October 31, 2023.
Glancy Prongay &amp; Murray LLP, a Leading Securities Fraud Law Firm, Announces the Filing of a Securities Class Action on Behalf of Discover Financial Services (DFS) Investors
LOS ANGELES--(BUSINESS WIRE)--Glancy Prongay &amp; Murray LLP (“GPM”), a leading national shareholder rights law firm, announces that a class action lawsuit has been filed on behalf of investors who purchased or otherwise acquired Discover Financial Services (“Discover” or the “Company”) (NYSE: DFS) common stock between February 21, 2019 and August 14, 2023, inclusive (the “Class Period”). Discover investors have until October 31, 2023 to file a lead plaintiff motion. If you suffered a loss on.
Kirby McInerney LLP Announces the Filing of a Securities Class Action on Behalf of Discover Financial Services (DFS) Investors
NEW YORK--(BUSINESS WIRE)---- $DFS #classactionlawsuit--The law firm of Kirby McInerney LLP announces that a class action lawsuit has been filed in the U.S. District Court for the Northern District of Illinois on behalf of those who acquired Discover Financial Services (“Discover” or the “Company”) (NYSE: DFS) securities during the period from February 21, 2019 through August 14, 2023, inclusive (the “Class Period”). Investors have until October 31, 2023 to apply to the Court to be appointed as lead plaintiff in the lawsui.
DFS Investor Announcement: Kessler Topaz Meltzer &amp; Check, LLP Announces October 31, 2023 Lead Plaintiff Deadline in Securities Fraud Class Action Lawsuit Filed Against Discover Financial Services (DFS)
RADNOR, Pa.--(BUSINESS WIRE)-- #classaction--The law firm of Kessler Topaz Meltzer &amp; Check, LLP (www.ktmc.com) informs investors that a securities class action lawsuit has been filed in the United States District Court for the Northern District of Illinois against Discover Financial Services (“DFS”) (NYSE: DFS). The action charges DFS with violations of the federal securities laws, including omissions and fraudulent misrepresentations relating to the company's business, operations, and prospects. As a res.
SHAREHOLDER ALERT: Kaskela Law LLC Announces Investigation of Discover Financial Services and Encourages Long-Term Investors to Contact the Firm – DFS
PHILADELPHIA--(BUSINESS WIRE)--Kaskela Law LLC announces that it is investigating Discover Financial Services (NYSE: DFS) (“Discover Financial”) on behalf of the company's long-term investors. On July 19, 2023, Discover Financial disclosed in a statement that the company had misclassified some of its credit cards. Specifically, Discover Financial revealed that it misclassified certain credit card accounts into its highest pricing tier, starting in 2007, meaning merchants were charged more than.
SHAREHOLDER ACTION ALERT: The Schall Law Firm Encourages Investors in Discover Financial Services with Losses of $100,000 to Contact the Firm
LOS ANGELES, CA / ACCESSWIRE / September 7, 2023 / The Schall Law Firm, a national shareholder rights litigation firm, reminds investors of a class action lawsuit against Discover Financial Services ("Discover" or "the Company") (NYSE:DFS) for violations of §§10(b) and 20(a) of the Securities Exchange Act of 1934 and Rule 10b-5 promulgated thereunder by the U.S. Securities and Exchange Commission. Investors who purchased the Company's securities between February 21, 2019 and August 14, 2023, inclusive (the "Class Period"), are encouraged to contact the firm before October 31, 2023.
ROSEN, A LEADING LAW FIRM, Encourages Discover Financial Services Investors with Losses to Secure Counsel Before Important Deadline in Securities Class Action - DFS
NEW YORK , Sept. 6, 2023 /PRNewswire/ -- WHY: Rosen Law Firm, a global investor rights law firm, announces the filing of a class action lawsuit on behalf of purchasers of common stock of Discover Financial Services (NYSE: DFS) between February 21, 2019 and August 14, 2023, both dates inclusive (the "Class Period").
INVESTOR ALERT: Law Offices of Howard G. Smith Announces the Filing of a Securities Class Action on Behalf of Discover Financial Services (DFS) Investors
BENSALEM, Pa.--(BUSINESS WIRE)--Law Offices of Howard G. Smith announces that a class action lawsuit has been filed on behalf of investors who purchased Discover Financial Services (“Discover” or the “Company”) (NYSE: DFS) common stock between February 21, 2019 and August 14, 2023, inclusive (the “Class Period”). Discover investors have until October 31, 2023 to file a lead plaintiff motion. Investors suffering losses on their Discover investments are encouraged to contact the Law Offices of Ho.
INVESTOR ACTION NOTICE: The Schall Law Firm Encourages Investors in Discover Financial Services with Losses of $100,000 to Contact the Firm
LOS ANGELES, CA / ACCESSWIRE / September 6, 2023 / The Schall Law Firm, a national shareholder rights litigation firm, reminds investors of a class action lawsuit against Discover Financial Services ("Discover" or "the Company") (NYSE:DFS) for violations of 10(b) and 20(a) of the Securities Exchange Act of 1934 and Rule 10b-5 promulgated thereunder by the U.S. Securities and Exchange Commission. Investors who purchased the Company's securities between February 21, 2019 and August 14, 2023, inclusive (the "Class Period"), are encouraged to contact the firm before October 31, 2023.
Discover Financial Services and Discover Bank Appoint Kathy “Moe” Lonowski to Their Boards of Directors
RIVERWOODS, Ill.--(BUSINESS WIRE)--Discover Financial Services (NYSE: DFS) today announced that Kathy “Moe” Lonowski has been appointed to the Boards of Directors of Discover Financial Services and its subsidiary, Discover Bank, effective immediately. She will serve on the Boards' Risk Oversight Committee. Moe has 38 years of bank regulatory experience, including with prudential oversight of some of the largest financial institutions in the U.S. She recently retired as Regional Director of the.
Shareholder Alert: Robbins LLP Informs Shareholders of Class Action Filed Against Discover Financial Services (DFS)
SAN DIEGO--(BUSINESS WIRE)---- $DFS #DiscoverBank--Discover Financial Services (DFS) Failed to Disclose its Deficient Risk Management and Compliance Procedures.
Discover Financial Services (DFS) Investors: Contact Bronstein, Gewirtz &amp; Grossman, LLC to Actively Participate in the Class Action Lawsuit!
NEW YORK , Sept. 5, 2023 /PRNewswire/ -- Attorney Advertising -- Bronstein, Gewirtz &amp; Grossman, LLC, a nationally recognized law firm, notifies investors that a class action lawsuit has been filed against Discover Financial Services ("Discover" or "the Company") (NYSE: DFS) and certain of its officers.
SHAREHOLDER ALERT: Pomerantz Law Firm Reminds Shareholders with Losses on their Investment in Discover Financial Services of Class Action Lawsuit and Upcoming Deadline - DFS
NEW YORK , Sept. 5, 2023 /PRNewswire/ -- Pomerantz LLP announces that a class action lawsuit has been filed against Discover Financial Services ("DFS" or the "Company") (NYSE: DFS) and certain officers.
ROSEN, A TOP RANKED LAW FIRM, Encourages Discover Financial Services Investors with Losses to Secure Counsel Before Important Deadline in Securities Class Action – DFS
NEW YORK--(BUSINESS WIRE)--WHY: Rosen Law Firm, a global investor rights law firm, announces the filing of a class action lawsuit on behalf of purchasers of common stock of Discover Financial Services (NYSE: DFS) between February 21, 2019 and August 14, 2023, both dates inclusive (the “Class Period”). A class action lawsuit has already been filed. If you wish to serve as lead plaintiff, you must move the Court no later than October 31, 2023. SO WHAT: If you purchased Discover Financial securiti.</t>
  </si>
  <si>
    <t xml:space="preserve">           1y Target Est                      113.55
           52 Week Range              87.64 - 122.50
                     Ask                  0.00 x 900
             Avg. Volume                   2506950.0
       Beta (5Y Monthly)                        1.44
                     Bid                  0.00 x 800
             Day's Range               89.82 - 90.81
               EPS (TTM)                       14.47
           Earnings Date Oct 23, 2023 - Oct 27, 2023
        Ex-Dividend Date                Aug 23, 2023
Forward Dividend &amp; Yield                2.60 (2.90%)
              Market Cap                     22.458B
                    Open                       90.44
          PE Ratio (TTM)                        6.21
          Previous Close                       89.57
             Quote Price                   89.849998
                  Volume                    273894.0
    Market Cap (intraday) 22.39B
         Enterprise Value    NaN
             Trailing P/E   6.19
              Forward P/E   6.96
PEG Ratio (5 yr expected)  11.60
        Price/Sales (ttm)   1.60
         Price/Book (mrq)   1.75
 Enterprise Value/Revenue    NaN
  Enterprise Value/EBITDA    NaN</t>
  </si>
  <si>
    <t>Better Growth Stock to Buy: Lululemon vs. Nike
Nike is predicting a profitability rebound ahead. Lululemon has a brighter sales and earnings outlook for 2023 and beyond.
The 7 Best Dow Stocks to Buy Now: September 2023
Finding the best Dow stocks to buy can be complex. The companies listed in the Dow Jones Industrial Average tend to be blue-chip stocks that have large market capitalizations and are dominant in their sectors of the economy.
Is It Time to Buy the Dow Jones' 3 Worst-Performing August Stocks?
Walgreens Boots Alliance continues to face multiple challenges. Goldman Sachs' CEO has come under heavy fire.
Nike Stock's Challenges Amid Economic Turbulence: A Bearish Option Play In Focus
Nike stock had a rough day Tuesday, dropping over 2% and crossing back below the 50-day moving average.
Nike: Turnaround Is Expected With A Strong Brand Equity
Nike is the most valuable apparel brand, with a brand value of over $30 billion and a market share of 38.23%. Nike faced inventory challenges during the pandemic, leading to delayed shipments and excess inventory, impacting margins in the short term. These problems are expected to be short-lived, and a turnaround should happen soon to the benefit of shareholders.</t>
  </si>
  <si>
    <t xml:space="preserve">           1y Target Est         125.93
           52 Week Range 82.22 - 131.31
                     Ask    0.00 x 1000
             Avg. Volume      7760979.0
       Beta (5Y Monthly)           1.12
                     Bid     0.00 x 800
             Day's Range  97.22 - 98.38
               EPS (TTM)           3.23
           Earnings Date   Sep 28, 2023
        Ex-Dividend Date   Sep 01, 2023
Forward Dividend &amp; Yield   1.36 (1.39%)
              Market Cap       148.851B
                    Open          98.33
          PE Ratio (TTM)          30.12
          Previous Close          97.67
             Quote Price      97.290001
                  Volume      2333940.0
    Market Cap (intraday) 149.43B
         Enterprise Value 150.90B
             Trailing P/E   30.24
              Forward P/E   26.04
PEG Ratio (5 yr expected)    1.78
        Price/Sales (ttm)    2.99
         Price/Book (mrq)   10.67
 Enterprise Value/Revenue    2.95
  Enterprise Value/EBITDA   22.28</t>
  </si>
  <si>
    <t>Disney: A Contrarian Pick With 3 Catalysts That Investors Disregarded
Disney is a buy for contrarian investors who can hold for at least two years. Short-term catalysts include the reinstatement of dividends, the return to normalcy of air travel that will boost profits from the Parks and Experience segment even further, and Disney+ achieving profitability. With an experienced CEO at the helm, investors should feel assured that he will navigate Disney through the current issues and emerge stronger.
Disney Agrees To $9.5M Preliminary Settlement In Magic Key Annual Pass Lawsuit
The Walt Disney Co. has agreed to pay $9.5 million to settle a class-action lawsuit over the Magic Key annual pass program at Disneyland, according to a court filing Thursday.
Disney's Streaming Business Needs Help. Owning All of Hulu Probably Won't Provide It.
A steady cadence of price increases is forcing streaming consumers to selectively cancel certain services. The industry has focused far too much on quantity, leaving subscribers overwhelmed.
Great News for Disney Stock Investors
The Walt Disney Company has factors in its favor despite an overall difficult operating environment.
Why Is Football So Hard to Watch This Year? Look Past the Disney-Charter Dispute.
Football's availability this year highlights how much of the TV industry remains in flux years after cord-cutting became de rigueur—and as cable blackouts become more common.
Charter-Disney cable TV dispute leaves some NFL, U.S. Open fans in the dark
Football fans will be the next biggest losers if an epic battle between Walt Disney and Charter Communications fails to settle before the kickoff of Monday Night Football next week.
Disney and Spectrum Clash Leaves Millions Without ESPN Access
A breakdown in negotiations could lead to viewers missing the US Open finals and NFL Monday Night Football.
Disney stokes anger with ads for the bundle while its channels are dark on Spectrum
TV viewers may disagree on most things, but they seem aligned on not wanting to be caught in the middle of a contract battle between two corporate entities. The pay-TV stalemate that has left millions of Spectrum cable subscribers unable to watch more than a dozen Disney-owned television networks is showing no signs of letting up.
Disney agrees to $9.5 million settlement over Magic Key annual pass dispute
The Walt Disney Company agreed to pay $9.5 million to settle a class-action lawsuit that accused the entertainment giant of "deceptive business practices" in regards to its Disneyland annual pass program.
The Charter-Disney Negotiations Impasse Will Change Cable &amp; Streaming
With the industry paying close attention, the impasse on the Charter-Disney subscriber fee negotiations enters it second week, with no resolution in sight.
Why Is Disney (DIS) Down 12.2% Since Last Earnings Report?
Disney (DIS) reported earnings 30 days ago. What's next for the stock?
Disney drops all but free speech claims in political retaliation suit against DeSantis
Disney narrowed its federal lawsuit against Florida Gov. Ron DeSantis to focus solely on its First Amendment claim that the lawmaker politically retaliated against the Mouse House.
Disney Fight Marks Cable TV's Last Stand
Dispute with Charter has left millions without access to football and the U.S. Open—and could mean a permanent change to the business as customers flee to streaming at an accelerated pace
Disney execs reportedly think CEO Bob Iger's ‘end game' is to sell company to Apple
Bob Iger's showed interest in teaming up with Apple as early as in 2006, when Disney acquired Pixar, which was then chaired by Apple founder Steve Jobs. The $7.4 billion deal led to a close friendship between the two.
Is Disney a Buy Now?
Shares at the House of Mouse are down 9% in 2023 and trade at a 5-year low. Its parks, experiences, and products segment is surpassing pre-pandemic levels.
Time to Buy Disney Stock?
Shares of Disney aren't just down over the last year; they're down over the last five years, too. The media giant's big content spending has weighed on the company's profitability.
1 Red Flag for Disney Stock Investors
The House of Mouse is struggling to adapt to changing consumer behavior.
Disney drops part of its lawsuit against DeSantis to focus on free speech claims
Walt Disney Parks and Resorts has amended its lawsuit against Florida Governor Ron DeSantis and his hand-picked oversight board, dropping all of its claims except one.
Disney revises federal suit against Florida's Ron DeSantis to focus solely on First Amendment retaliation
The Walt Disney Company (NYSE:DIS) has narrowed its focus in its federal lawsuit against Florida Gov. Ron DeSantis to solely the company's First Amendment argument that the governor politically retaliated against it.
Disney drops all but free speech claim in political retaliation suit against DeSantis
Disney on Thursday amended its federal lawsuit against Florida Gov. Ron DeSantis to focus solely on its First Amendment claim that the governor politically retaliated against the company following its criticism of a controversial bill dubbed “Don't Say Gay” by critics.
Charter CEO emphasizes urgency in resolving Disney carriage dispute
“I apologize that our consumers have been put in the middle here, but we felt it was worth it,” Chris Winfrey said.
Disney's stock heads for longest losing streak in nearly a year as Spectrum dispute wears on
Walt Disney Co. shares were falling toward their longest losing streak in almost a year as the company's feud with Charter Communications Inc. continues.
Disney's stock threatens to close at lowest price in nearly a decade
Shares of Walt Disney Co. DIS are hovering around $80 Thursday, potentially setting up its lowest close in nearly a decade, as the media giant navigates two Hollywood strikes, a high-profile battle over fees with large cable operator Charter Communications Inc. CHTR and the prospect of sustained losses in its TV and streaming businesses.
NFL Games Are Back. These 3 Stocks Could Win Football Season.
Kickoff is scheduled for 8:20 p.m. Eastern on Thursday when the Kansas City Chiefs go up against the Detroit Lions.
Charter CEO says it is urgent to resolve distribution dispute with Disney
Charter Communications Chief Executive Chris Winfrey said he has a sense of urgency to resolve a distribution dispute with Walt Disney , in remarks on Thursday at the Goldman Sachs Communacopia + Technology conference in San Francisco.
DeSantis board asks court to dismiss Disney's counterclaims in contract clash
Disney is embroiled in two lawsuits stemming from its battle with Florida Gov. Ron DeSantis over the classroom bill dubbed "Don't Say Gay" by critics.
Hulu sale date brought forward by Comcast and Disney
Comcast (NASDAQ:CMCSA) has moved forward the date for the sale of its stake in the Hulu streaming venture with Disney to the end of the month (September).  “As of September 30, after some short period of time, Disney can call, we can put, and I believe that's what will end up happening,”  Brian Roberts, Comcast chief executive said at a conference on Wednesday : Disney and Comcast own Hulu 66%/33% respectively.
Bob Iger and Brian Roberts Are Set to Begin Hammering Out Details for Disney to Acquire Comcast's One-Third Stake in Hulu
Comcast CEO Brian Roberts revealed that he and Disney CEO Bob Iger agreed to move up the date to begin closing the Hulu deal. The agreement dates back to 2019, when Disney took operational control of the streaming service.
Disney+ Cancel Rate at 18%
Add to Disney's long list of problems that Disney+ is among the most canceled streaming services based on data from Vorhaus Advisors, according to Yahoo!
3 Absurdly Discounted Stocks That Are Too Cheap to Ignore
Teladoc, Disney, and PayPal are all leaders in their industries. Yet, the shares of all three are trading near multi-year lows.
Disney stock hits a 10-year low as DIS battles to hold above $80
The shares of Walt Disney (NYSE: DIS) have experienced a sustained downturn, plummeting to $80.98, marking a disheartening decline of $18.08 or 18.25% over the past six months.
3 Best Ways to Profit From the Seismic Shift to Streaming Video
In the rapidly evolving digital era, the allure of the best streaming video stocks is undeniable. Delving deeper, the streaming ecosystem extends far beyond just broadcasting content.
Disney+ slashes subscription price to $1.99 amid cable dispute
The timing of the price drop comes as Disney+ is set to release a wave of new movies such as Pixar's "Elemental" and the live-action adaptation of "The Little Mermaid."
Comcast, Disney move up date for Hulu deal
Hulu had 48.3 million subscribers at the end of the most recent quarter, compared with 24 million paid subscribers for Peacock and 105.7 million global subscribers for Disney+.
Disney faces mounting challenges, but its Hulu ‘overhang' could resolve sooner than expected
The media giant already owns two thirds of the streaming platform, with Comcast Corp. CMCSA owning the balance. Disney DIS was going to have the option in January to purchase the portion of Hulu it didn't already own, but Comcast Chief Executive Brian Roberts said the parties have pushed up the date of that.
Streaming Anti-Conservative Bias: Google And Disney Up To Same Old Tricks?
Disney and Google's animus and censorship towards conservatives is well known, but it is now extending as these companies are dominating the Streaming TV business and
Climate change is hurting Six Flags, SeaWorld and Disney World
Over the weekend, intense rain and flooding stranded more than 70,000 people at Burning Man in the Nevada desert. It's the latest example of how extreme weather, exacerbated by climate change, impacted major North American attractions this summer.
Comcast, Disney move up deadline to decide Hulu future ownership
Comcast and Disney have been in discussions regarding Hulu's valuation.
Comcast extends date for Hulu deal with Disney to Sept 2024
Comcast has extended the date for the sale or purchase of its remaining stake in Hulu to Disney to Sept. 30 next year, CEO Brian Roberts said on Wednesday.
Tuttle Capital files for an ETF shorting Disney, Target and Bud Light stocks
With all the recent controversies surrounding companies like Disney, Target and Bud Light, one financial firm decided to take the matter into its own hands — and file for an ETF.
Is Disney's Dispute With Charter the End of Cable As We Know It?
Traditional purveyors of network television programming and the cable outlets distributing it know full well how video streaming has upended their decades-old model.
Louise Pentland Named Chief Counsel for Disney Parks, Experiences and Products
BURBANK, Calif.--(BUSINESS WIRE)--Louise Pentland has been named Chief Counsel for the Disney Parks, Experiences and Products segment of The Walt Disney Company (NYSE: DIS), effective September 15. Pentland, who previously served as Chief Business Affairs and Legal Officer at PayPal, will report to Horacio Gutierrez, Senior Executive Vice President, General Counsel and Chief Compliance Officer of The Walt Disney Company, and act as a strategic advisor to Josh D'Amaro, Chairman, Disney Parks, Ex.
NFL games are shifting away from traditional TV. Are you ready to stream some football?
The NFL season, which kicks off Thursday, will see more games exclusively on streaming services as media companies invest more outside of traditional TV.
Disney's wildest ride: Iger, Chapek and the making of an epic succession mess
Here's the inside story of the executive chaos at Disney over the past few years — and how it could shape the fate of the iconic entertainment company.
Apple buying Disney would be a storybook ending for Iger, but fairy tales aren't real
Disney CEO Bob Iger may want to eventually sell Disney to Apple, but it's unclear if Apple wants to buy Disney.
Is Charter Communications (Finally) Calling Walt Disney's Bluff?
Charter's CEO is losing interest in acquiescing to ever-rising demands from Walt Disney. Now, however, Walt Disney isn't applying pricing pressure from a position of strength.
What's Going On With Disney Stock?
Disney stock is arguably cheaper than it has been in the last decade.
Disney vs. Spectrum: Here's Why Millions of People Can't Watch ESPN Right Now
A breakdown in negotiations led to viewers missing out on the US Open and college football. Many wonder if ESPN will be back in time for NFL kickoff.
What is Charter's Spectrum-Disney dispute over the future of TV?
Charter Communications , one of the biggest cable companies in the United States, is locked in a battle with Walt Disney in a distribution dispute that may shape the future of television in the streaming era.
Disney-Charter Battle Makes Pay-TV Bundle's Fadeout A Stark Reality For Streaming-Focused Media Companies And Investors: “The Lifeboats Have Already Been Burned”
Just as this summer's New York City wildfire smoke, LA hurricane and sneaker-melting heat have brought home the reality of climate change, the Disney-Charter carriage battle is foregrounding the fragility of the pay-TV bundle.
Disney urges Charter customers to switch to Hulu amid cable TV blackout
The Walt Disney Company urged Charter Communications customers to cut the cord in favor of its own Hulu + Live TV.
3 Forever Stocks to Buy With $100
Disney and Pfizer may be about to enter new phases of growth -- and they are trading at bargain valuations. Coca-Cola offers the advantages of brand strength and a dividend you can count on.
Charter vs. Disney: Is this the end of the bundle as we know it?
Late Thursday, all Disney channels, including ESPN and ABC, went dark on Charter Communications Inc.'s CHTR, -1.85% Spectrum cable service as discussions over affiliate renewals hit an impasse — in the middle of the U.S. Open and college football season, and with the NFL regular season kicking off this Thursday night on NBC.
Disney Stock: Prepare For A Seismic Strategic Shift
The Walt Disney Company is facing challenges in its traditional cable and broadcasting divisions, with declining viewership and profits. Management is actively seeking strategic alternatives for these assets, including a potential partnership or sale to companies like Apple, Amazon, or Verizon. The company's streaming platforms, such as Disney+, ESPN+, and Hulu, have seen growth and are becoming increasingly important for Disney's future success.
Here is What to Know Beyond Why The Walt Disney Company (DIS) is a Trending Stock
Disney (DIS) has received quite a bit of attention from Zacks.com users lately. Therefore, it is wise to be aware of the facts that can impact the stock's prospects.
Disney's Trouble Gets Worse
Cable company Charter Communications wants to pay less money than it has in the past for some Disney programs that run on its cable systems.
ESPN's ‘melting iceberg' is yet another challenge for Disney, analyst says
ESPN was already expected to be a hot topic for Walt Disney Co. as the company planned to separate out the business's financials later this year, but now the sports network appears to also be a major sticking point in a distribution dispute.
No ESPN On Spectrum? Disney Beef Escalates As Thousands Lose Access To Channels
The company is beefing big time with Disney over a distribution agreement where cable and streaming services collide head-on, with no resolution in sight
How Much Is ESPN Worth? Not Enough to Make Disney Stock a Buy, Analyst Says.
KeyBanc's Brandon Nispel says Disney investors might be disappointed when they see ESPN's financials broken out as a stand-alone unit.
Disney's Return To High Margins May Be Your Easiest Win This year
If any reasonable investor were told that Walt Disney NYSE: DIS would underperform the S&amp;P 500 by as much as 41.8% during the past twelve months, such a claim would have been thought to be as crazy as apples falling upward from a tree. Well, today apples are falling upward.
Disney encourages Spectrum customers to move to Hulu + Live TV amid Charter dispute
Disney is urging Spectrum cable service customers to consider switching to Hulu + Live TV for a streaming alternative amid its ongoing dispute with Charter.
Disney and Charter Locked in Dispute. Why the Consumer Is the Loser.
A dispute between Disney and Charter Communications ultimately led to customers of the cable service Spectrum being cut off over the Labor Day holiday weekend.
1 Green Flag for Disney Stock Investors
The Walt Disney Company is struggling to lift its stock price.
Disney asks Spectrum customers to switch to Hulu+ amid Charter dispute
Walt Disney on Monday said it is hopeful that Charter Communications will be ready to have more conversations to reach a distribution deal that will restore access to Disney's content and urged Spectrum customers to switch to Hulu's live service to access channels blacked out on Charter.</t>
  </si>
  <si>
    <t xml:space="preserve">           1y Target Est                      108.23
           52 Week Range              79.75 - 118.18
                     Ask                  0.00 x 900
             Avg. Volume                  15813125.0
       Beta (5Y Monthly)                        1.28
                     Bid                  0.00 x 800
             Day's Range               81.58 - 83.85
               EPS (TTM)                        1.25
           Earnings Date Nov 06, 2023 - Nov 10, 2023
        Ex-Dividend Date                Dec 13, 2019
Forward Dividend &amp; Yield                   N/A (N/A)
              Market Cap                    150.133B
                    Open                       81.94
          PE Ratio (TTM)                       65.64
          Previous Close                       81.58
             Quote Price                   82.010002
                  Volume                  14370903.0
    Market Cap (intraday) 149.27B
         Enterprise Value 185.00B
             Trailing P/E   66.33
              Forward P/E   15.95
PEG Ratio (5 yr expected)    0.74
        Price/Sales (ttm)    1.70
         Price/Book (mrq)    1.53
 Enterprise Value/Revenue    2.11
  Enterprise Value/EBITDA   16.34</t>
  </si>
  <si>
    <t>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t>
  </si>
  <si>
    <t xml:space="preserve">           1y Target Est                       25.13
           52 Week Range               19.09 - 28.43
                     Ask                 0.00 x 3200
             Avg. Volume                   4014054.0
       Beta (5Y Monthly)                        0.89
                     Bid                 0.00 x 3200
             Day's Range               19.80 - 20.12
               EPS (TTM)                        0.98
           Earnings Date Oct 30, 2023 - Nov 03, 2023
        Ex-Dividend Date                Aug 04, 2023
Forward Dividend &amp; Yield                1.20 (5.99%)
              Market Cap                     10.877B
                    Open                       20.06
          PE Ratio (TTM)                       20.29
          Previous Close                       20.02
             Quote Price                     19.8829
                  Volume                    994104.0
    Market Cap (intraday) 10.95B
         Enterprise Value 17.62B
             Trailing P/E  20.43
              Forward P/E 114.94
PEG Ratio (5 yr expected)    NaN
        Price/Sales (ttm)   5.14
         Price/Book (mrq)   1.68
 Enterprise Value/Revenue   8.33
  Enterprise Value/EBITDA  11.97</t>
  </si>
  <si>
    <t>Innovating Together: 54 Organizations Invited to Participate in PG&amp;E's Innovation Pitch Fest September 12-14
Pitches to Showcase Innovative Solutions Aimed at Addressing Key Challenges in Building a Decarbonized Energy Future OAKLAND, Calif. , Sept. 8, 2023 /PRNewswire/ -- Pacific Gas and Electric Company (PG&amp;E) today announced the 54 organizations invited to participate in its first-ever Innovation Pitch Fest, September 12-14 in San Ramon, Calif.
PG&amp;E Helps Small Businesses Save Money with PG&amp;E's Energy Advisors
Recent Outreach Campaign Saves Businesses $4.5 Million by Changing Rate Plans OAKLAND, Calif. , Sept. 8, 2023 /PRNewswire/ -- Pacific Gas and Electric Company (PG&amp;E) knows how important it is for small and medium business customers manage expenses.
PG&amp;E &amp; Uplight Reach 100,000-Participant Milestone in Smart Thermostat Demand Response Program
Program Helps Balance the Grid in Peak Demand Periods, Delivering Enough Energy Savings to Power 30,000 Homes OAKLAND, Calif. &amp; BOULDER, Colo.
Create 100 Feet of Defensible Space to Protect Your Home and Family from Wildfire Risk
During National Preparedness Month, Remember That a Few Hours Work on a Saturday Can Make All the Difference OAKLAND, Calif. , Sept. 5, 2023 /PRNewswire/ -- Just like home-security systems and motion-detectors protect your home and family, creating 100 feet of defensible space around your property serves as another way for you to keep what you own and those you love safe.</t>
  </si>
  <si>
    <t xml:space="preserve">           1y Target Est                       19.46
           52 Week Range               12.13 - 18.19
                     Ask                 0.00 x 2900
             Avg. Volume                  15859700.0
       Beta (5Y Monthly)                        1.13
                     Bid                 0.00 x 1000
             Day's Range               16.94 - 17.10
               EPS (TTM)                        0.91
           Earnings Date Oct 25, 2023 - Oct 30, 2023
        Ex-Dividend Date                Sep 28, 2017
Forward Dividend &amp; Yield                   N/A (N/A)
              Market Cap                     42.521B
                    Open                       17.06
          PE Ratio (TTM)                       18.68
          Previous Close                       16.96
             Quote Price                        17.0
                  Volume                   3954707.0
    Market Cap (intraday) 42.42B
         Enterprise Value 97.33B
             Trailing P/E  18.64
              Forward P/E  12.56
PEG Ratio (5 yr expected)   1.35
        Price/Sales (ttm)   1.62
         Price/Book (mrq)   1.79
 Enterprise Value/Revenue   4.37
  Enterprise Value/EBITDA  14.28</t>
  </si>
  <si>
    <t>Wall Street Analysts Think SolarEdge (SEDG) Is a Good Investment: Is It?
Investors often turn to recommendations made by Wall Street analysts before making a Buy, Sell, or Hold decision about a stock. While media reports about rating changes by these brokerage-firm employed (or sell-side) analysts often affect a stock's price, do they really matter?
The 3 Best Renewable Energy Stocks to Buy Now: September 2023
Many renewable energy stocks have been trading sideways over the past couple of years. Indeed, that may surprise some investors, considering the initial excitement around this sector and announced government stimulus for green energy.
Despite the Green Energy Boom, Solar Stocks Are Not Doing Great
While the solar power industry has experienced tremendous growth, the performance of solar stocks has not met expectations.
The 7 Best Solar Stocks to Buy Now: September 2023
With its boundless potential, solar power remains at the forefront of renewable energy sources, tapping into the sun's infinite reserves to illuminate homes, electrify businesses, and drive our vehicles forward. Aside from the obvious benefits, solar power shines in its capacity to spark economic growth and job creation.</t>
  </si>
  <si>
    <t xml:space="preserve">           1y Target Est                      291.81
           52 Week Range             146.10 - 345.80
                     Ask               149.60 x 1000
             Avg. Volume                   1532808.0
       Beta (5Y Monthly)                         1.4
                     Bid               149.31 x 1000
             Day's Range             148.17 - 151.98
               EPS (TTM)                        4.94
           Earnings Date Nov 06, 2023 - Nov 10, 2023
        Ex-Dividend Date                         NaN
Forward Dividend &amp; Yield                   N/A (N/A)
              Market Cap                      8.611B
                    Open                      151.38
          PE Ratio (TTM)                       30.13
          Previous Close                      148.85
             Quote Price                  148.820007
                  Volume                    662673.0
    Market Cap (intraday) 8.42B
         Enterprise Value 8.10B
             Trailing P/E 28.79
              Forward P/E 13.26
PEG Ratio (5 yr expected)  0.32
        Price/Sales (ttm)  2.40
         Price/Book (mrq)  3.34
 Enterprise Value/Revenue  2.21
  Enterprise Value/EBITDA 18.38</t>
  </si>
  <si>
    <t>Potential UAW strike presents a near-term headwind for auto insurers - JPM
J.P.Morgan on Thursday said supply chain disruptions from a potential United Auto Workers (UAW) union strike would cut new vehicle production, drive up used car prices and put pressure on margins in the personal auto insurance business.</t>
  </si>
  <si>
    <t xml:space="preserve">           1y Target Est                      139.19
           52 Week Range             110.04 - 149.87
                     Ask                  0.00 x 800
             Avg. Volume                   2729196.0
       Beta (5Y Monthly)                        0.47
                     Bid                  0.00 x 900
             Day's Range             136.18 - 137.85
               EPS (TTM)                        2.91
           Earnings Date Oct 11, 2023 - Oct 16, 2023
        Ex-Dividend Date                Oct 04, 2023
Forward Dividend &amp; Yield                0.40 (0.29%)
              Market Cap                       80.6B
                    Open                      136.08
          PE Ratio (TTM)                       47.34
          Previous Close                      135.76
             Quote Price                  137.755005
                  Volume                    385533.0
    Market Cap (intraday) 79.43B
         Enterprise Value 86.65B
             Trailing P/E  46.65
              Forward P/E  17.76
PEG Ratio (5 yr expected)    NaN
        Price/Sales (ttm)   1.43
         Price/Book (mrq)   4.90
 Enterprise Value/Revenue   1.55
  Enterprise Value/EBITDA    NaN</t>
  </si>
  <si>
    <t>Host Hotels &amp; Resorts Publishes 2023 Corporate Responsibility Report
BETHESDA, Md., Sept. 11, 2023 (GLOBE NEWSWIRE) -- Host Hotels &amp; Resorts, Inc. (NASDAQ: HST) (the “Company”), the nation's largest lodging real estate investment trust, released its 2023 Corporate Responsibility (CR) Report, which details the Company's CR program and responsible investment strategy along with its environmental, social and governance (ESG) initiatives, performance, progress and industry-leading accomplishments.
Host Hotels &amp; Resorts Provides Update on Maui Wildfires and Other Recent Weather Events
BETHESDA, Md., Sept. 06, 2023 (GLOBE NEWSWIRE) -- Host Hotels &amp; Resorts, Inc. (NASDAQ: HST) (the “Company”), the nation's largest lodging real estate investment trust, today provided an update regarding the impact of the Maui wildfires and other recent weather events on its hotels and the communities where they operate.</t>
  </si>
  <si>
    <t>Host Hotels &amp; Resorts</t>
  </si>
  <si>
    <t xml:space="preserve">           1y Target Est                       20.44
           52 Week Range               14.51 - 19.42
                     Ask                16.19 x 2900
             Avg. Volume                   7257395.0
       Beta (5Y Monthly)                        1.32
                     Bid                16.18 x 3000
             Day's Range               16.14 - 16.30
               EPS (TTM)                        1.06
           Earnings Date Oct 31, 2023 - Nov 06, 2023
        Ex-Dividend Date                Jun 29, 2023
Forward Dividend &amp; Yield                0.60 (3.82%)
              Market Cap                     11.675B
                    Open                       16.11
          PE Ratio (TTM)                       15.26
          Previous Close                       16.05
             Quote Price                     16.1791
                  Volume                   1653811.0
    Market Cap (intraday) 11.42B
         Enterprise Value 15.40B
             Trailing P/E  15.14
              Forward P/E  16.05
PEG Ratio (5 yr expected)   1.08
        Price/Sales (ttm)   2.20
         Price/Book (mrq)   1.64
 Enterprise Value/Revenue   2.95
  Enterprise Value/EBITDA   9.45</t>
  </si>
  <si>
    <t>Top 3 Profitable Stocks to Buy Now Using Net Income Ratio
iRadimed (IRMD), PulteGroup (PHM) and NVIDIA (NVDA) have been selected as the top picks with a high net income ratio.
The 3 Best Homebuilder Stocks to Buy Now: September 2023
Despite mortgage rates that are at 8% in some areas of the country, the housing market remains relatively strong. While some investors will dismiss investing in the sector as reckless speculation, Warren Buffett is buying the sector.
PulteGroup Announces Quarterly Cash Dividend of $0.16 Per Share
ATLANTA--(BUSINESS WIRE)--PulteGroup, Inc. (NYSE: PHM) announced today that its Board of Directors has declared a quarterly dividend of $0.16 per common share payable October 3, 2023, to shareholders of record at the close of business on September 18, 2023. About PulteGroup PulteGroup, Inc. (NYSE: PHM), based in Atlanta, Georgia, is one of America's largest homebuilding companies with operations in more than 40 markets throughout the country. Through its brand portfolio that includes Centex, Pu.
7 S&amp;P 500 Stocks to Sell in September Before They Crash &amp; Burn
Year to date, the S&amp;P 500 and other leading market indexes have been strong. However, thanks to interest rates, the Federal Reserve, and growing fears of a recession, we've seen some cracks in the armor.
PulteGroup (PHM) to Perform Strongly in 2H23: Here's Why
PulteGroup's (PHM) second half of 2023 to gain from a solid buyout strategy and asset efficiency moves.
3 Homebuilder Stocks to Sell in September Before They Crash &amp; Burn
The issue with following popular stocks is that we buy high and hope to sell higher later. That goes against the common sense approach of buying stocks cheap and selling on the rebound.
PulteGroup stock leads S&amp;P 500 losers amid beatdown of homebuilder sector as Treasury yields climb
Shares of PulteGroup Inc. PHM, -5.77% took a 5.7% dive in afternoon trading Tuesday, enough to pace the S&amp;P 500's SPX, -0.27% decliners, amid concerns that new home purchases will be hurt as Treasury yields rise. The homebuilder's stock was headed for its biggest one-day selloff since it tumbled 6.2% on Oct. 19, 2022.
Builder Stocks Are Falling. Blame the Treasury Yield.
The gain in the 10-year Treasury yield signals more increases in mortgage rates, which have remained high this year relative to their historic lows earlier in the pandemic.</t>
  </si>
  <si>
    <t xml:space="preserve">           1y Target Est                       97.27
           52 Week Range               35.99 - 86.16
                     Ask                  0.00 x 800
             Avg. Volume                   2558383.0
       Beta (5Y Monthly)                        1.39
                     Bid                  0.00 x 800
             Day's Range               80.85 - 83.17
               EPS (TTM)                       12.02
           Earnings Date Oct 23, 2023 - Oct 27, 2023
        Ex-Dividend Date                Sep 15, 2023
Forward Dividend &amp; Yield                0.64 (0.79%)
              Market Cap                     18.035B
                    Open                       81.04
          PE Ratio (TTM)                        6.84
          Previous Close                       80.72
             Quote Price                   82.184998
                  Volume                    813605.0
    Market Cap (intraday) 17.71B
         Enterprise Value 18.33B
             Trailing P/E   6.72
              Forward P/E   7.13
PEG Ratio (5 yr expected)   0.45
        Price/Sales (ttm)   1.08
         Price/Book (mrq)   1.83
 Enterprise Value/Revenue   1.08
  Enterprise Value/EBITDA   4.95</t>
  </si>
  <si>
    <t>‘The Nun II' conjures a solid $32.6 million to top box office
Like many horrors before it, bad reviews didn't scare off moviegoers from buying tickets for “The Nun II.” The sequel to the 2018 hit, released in 3,728 theaters by Warner Bros.
Warner Bros. Discovery's (WBD) SAVIOR COMPLEX to Debut on Sep 26
Warner Bros. Discovery's (WBD) HBO Original three-part documentary series, SAVIOR COMPLEX, is set to premiere on Sep 26.
MotorTrend and BlackBerry Announce "Call for Entries" for Second Annual SDV (Software-Defined Vehicle) Innovator Awards
Awards Celebrate Visionaries Driving the Future of Mobility Through Software Innovation LOS ANGELES and WATERLOO, ON , Sept. 7, 2023 /PRNewswire/ -- MotorTrend Group , a Warner Bros.
The TV Biz Is Coming Unglued. Paramount and Warner CEOs Weigh In.
Warner Bros. Discovery CEO David Zaslav and Paramount Global CEO Bob Bakish addressed the future of television at the Goldman Sachs conference in San Francisco.
Warner Bros. Discovery, Inc. (WBD) Goldman Sachs Communacopia &amp; Technology Conference (Transcript)
Warner Bros. Discovery, Inc. (NASDAQ:WBD ) Goldman Sachs Communacopia &amp; Technology Conference September 6, 2023 5:25 PM ET Company Participants David Zaslav - President &amp; Chief Executive Officer Conference Call Participants Brett Feldman - Goldman Sachs Operator I'd just like to remind everybody today's presentation may include forward-looking statements regarding the company's future business prospects, plans and financial information.
Warner Bros. Discovery CEO David Zaslav says writers, actors strikes need to end as media industry is in a transitional moment
The media industry needs to do everything it can to end the writers and actors strike, Warner Bros. Discovery CEO David Zaslav said Wednesday.
Warner Bros. Discovery (WBD) Cuts FY23 Profit Outlook by $500M
Warner Bros. Discovery (WBD) trims its full-year 2023 adjusted earnings outlook as Hollywood labor strikes drag on longer than the entertainment conglomerate expected.
Warner Bros. Discovery reportedly to offer live sports for free on Max
Customers will need to pay an added cost for sports on the platform starting next year, Bloomberg reported, citing people familiar with the matter.
Warner Bros. Discovery: On The Verge Of Its Big Turnaround Story
Warner Bros. Discovery stock suffered a stunning decline over the past three weeks as its early summer gains evaporated. My previous Buy rating panned out accordingly as WBD surged to its early August highs. Given the steep plunge, investors are afforded another opportunity to strike. I assessed the market remains uncertain about the company's DTC segment to mitigate the losses from its Networks business.
Warner Bros Discovery plans to offer live sports for free on Max, Bloomberg reports
Warner Bros Discovery plans to offer live sports at no additional price on its Max streaming service for a short period later this year, Bloomberg News reported on Wednesday.
Warner Bros Discovery Needs to Fire CEO Zaslav
Warner Bros. Discovery Inc. (NASDAQ: WBD) is the house that Zaslav built.
Warner Bros. Discovery says Hollywood strikes could cost company up to $500M this year
Warner Bros. Discovery cut its earnings outlook for the year by hundreds of millions of dollars, blaming the ongoing Hollywood actors and writers strikes.
Warner Bros. Discovery braces for earnings hit from Hollywood strikes
Warner Bros. Discovery cut its earnings outlook for the year by hundreds of millions of dollars, blaming the ongoing Hollywood actors and writers strikes.
Warner Bros. Discovery Warns of Hit From Hollywood Strikes
Warner Bros. Discover (WBD) shares rose as the entertainment giant's update on its free cast flow and debt payments helped offset concerns about a negative impact to its earnings from Hollywood strikes.
Warner Bros. Discovery Claims Strikes Could Cost Company Up To $500 Million
The financial impact of the writers and actors strikes will likely persist through the end of the year, according to the company.
Warner Bros. warns of profit hit of up to $500M over Hollywood strikes
Warner Bros Discovery is bracing for a hit to its full-year profit as the ongoing Hollywood actors and writers strike shows no signs of let-up.
Warner Brothers Discovery warns Hollywood strikes will strip as much as $500M from earnings
Warner Bros Discovery Inc (NASDAQ:WBD) has cut its full-year earnings guidance due to the ongoing impact of the strike by writers and actors. In a Securities and Exchange Commission filing, the entertainment group lowered its adjusted underlying earnings (EBITDA) for 2023 to between $10.5 billion and $11 billion, saying earnings would be $300 million to $500 million lower than previously forecast, mostly due to the impact of the strikes.
Here are 19 stocks Jim Cramer is watching, including Chipotle, LULU and Airbnb
Here are some of the tickers on my radar for Tuesday, Sept. 5, taken directly from my reporter's notebook.
Warner Brothers says strike will impact 2023 results, while ‘Barbie' movie boosts cash flow view
Warner Bros. Discovery WBD, -12.02% stock was down 0.2% in premarket trades on Tuesday after the company lowered its 2023 financial guidance due to the ongoing strikes by the Writers Guild of America and the SAG-AFTRA actors in Hollywood.
Warner Bros. Cuts Profit Outlook as Hollywood Strikes Drag On
It is now targeting full-year adjusted earnings, before interest, taxes, depreciation and amortization, of $10.5 billion to $11 billion, down by $500 million.
Warner Bros Discovery expects earnings hit of up to $500 million as strikes drag on
Warner Bros. Discovery cut profit expectations as the writers' and actors' strikes drag on, keeping production halted.
Warner Bros. Discovery Expects Earnings Hit Of Up To $500 Million From Strikes This Year
The financial impact of ongoing actors and writers strikes as a number on it now as Warner Bros. Discovery said today it's looking at a hit of $300 million to $500 million in adjusted EBTITDA (earnings before interest, taxes, depreciation and amortization) for 2023.</t>
  </si>
  <si>
    <t xml:space="preserve">           1y Target Est                        19.8
           52 Week Range                8.82 - 16.34
                     Ask                11.47 x 3200
             Avg. Volume                  20446585.0
       Beta (5Y Monthly)                        1.51
                     Bid                11.46 x 1200
             Day's Range               11.25 - 12.04
               EPS (TTM)                       -2.64
           Earnings Date Nov 01, 2023 - Nov 06, 2023
        Ex-Dividend Date                         NaN
Forward Dividend &amp; Yield                   N/A (N/A)
              Market Cap                     27.762B
                    Open                       11.41
          PE Ratio (TTM)                         NaN
          Previous Close                       11.32
             Quote Price                       11.39
                  Volume                  22743884.0
    Market Cap (intraday) 27.59B
         Enterprise Value 71.84B
             Trailing P/E    NaN
              Forward P/E  26.32
PEG Ratio (5 yr expected)   1.32
        Price/Sales (ttm)   0.66
         Price/Book (mrq)   0.61
 Enterprise Value/Revenue   1.74
  Enterprise Value/EBITDA   4.00</t>
  </si>
  <si>
    <t>Why Insulet Stock Is Sinking Today
Insulet's CEO stated today that new diabetes drugs could impact how quickly patients begin insulin therapy. However, the company doesn't expect any long-term impact on sales of its insulin pumps.
Insulet shares slump on concerns of sales hit from new diabetes drugs
Insulin pumps maker Insulet Corp said on Thursday a new generation of diabetes drugs, known as GLP-1s, could delay the time that diabetes patients become dependent on insulin, sending its shares down 10%.
Is It Time to Buy the S&amp;P 500's 3 Worst-Performing August Stocks?
Insulet is seeing increasing price pressure in the insulin market ResMed missed estimates on the top and bottom lines. Investors balked at Tapestry's acquisition of Capri.</t>
  </si>
  <si>
    <t xml:space="preserve">           1y Target Est                      289.71
           52 Week Range             170.87 - 335.91
                     Ask                175.81 x 800
             Avg. Volume                    933530.0
       Beta (5Y Monthly)                        0.81
                     Bid               175.48 x 1200
             Day's Range             172.88 - 177.52
               EPS (TTM)                        0.86
           Earnings Date Nov 01, 2023 - Nov 06, 2023
        Ex-Dividend Date                         NaN
Forward Dividend &amp; Yield                   N/A (N/A)
              Market Cap                     12.219B
                    Open                      174.87
          PE Ratio (TTM)                      203.49
          Previous Close                      171.92
             Quote Price                       175.0
                  Volume                    447040.0
    Market Cap (intraday) 12.00B
         Enterprise Value 12.76B
             Trailing P/E 191.02
              Forward P/E  80.65
PEG Ratio (5 yr expected)   0.56
        Price/Sales (ttm)   8.25
         Price/Book (mrq)  21.67
 Enterprise Value/Revenue   8.71
  Enterprise Value/EBITDA  75.00</t>
  </si>
  <si>
    <t>The 4 key reasons why the UAW could strike GM, Ford and Stellantis this week
Time is running short to avoid a strike at America's three unionized automakers, and the distance between the United Auto Workers union and the companies remains large.
Here's what to know as auto workers are poised to strike this week
DETROIT — About 146,000 U.S. auto workers are set to go on strike this week if General Motors GM, +1.17%, Ford F, +2.84% and Stellantis STLA, +0.77% fail to meet their demands for big pay raises and the restoration of concessions the workers made years ago when the companies were in financial trouble.
The 7 Best Autonomous Driving Stocks to Buy Now: September 2023
With self-driving autos likely to become the next big trend, investors may want to keep an eye on the best autonomous driving stocks. For one, as noted by Investorplace contributor Josh Enomoto, research firm Mordor Intelligence says the self-driving market would be worth $33.48 billion in 2023 and grow at a compound annual rate of 22.25% in the next five years.
UAW president calls GM's contract offer 'insulting' a week before potential strike could begin
The United Auto Workers could be headed for a strike against the big three US automakers as soon as next week.  The UAW is negotiating with General Motors, Ford and Chrysler parent Stellanits in separate talks for new terms before the union's current contract expires at 11:59 pm Thursday.
Precious Metals Royalty And Streaming Companies: The August Report
The Precious Metals R&amp;S Index declined by 2.97% in August. The Precious Metals R&amp;S Equally Weighted Index declined by 2.66%. The best performance was recorded by Sailfish Royalty; its share price grew by 31.17%.
GM and Ford are facing a 'nightmare situation' that could be great news for Tesla
A looming strike is a "nightmare situation" for Detroit automakers. Work stoppages and labor cost increases pose setbacks for their EV ambitions.
Factbox: Impact of possible strikes on Detroit Three automakers
A union representing workers at General Motors , Ford Motor and Jeep-maker Stellantis has threatened strikes if a contract deal is not reached before the current ones expire on Sept. 14 at midnight.
General Motors' (GM) 10% Wage Hike is 'Insulting' for UAW
General Motors (GM) offers a 10% pay increase to the UAW. However, the president of the UAW finds the offer 'insulting'.
UAW strike threat: Experts weigh in on likelihood of strikes at Ford, GM, Stellantis
As the deadline soon approaches for Detroit's Big Three automakers to reach contract agreements with the United Auto Workers, experts assess the likelihood of a strike.
Big Three automakers need to step up for the workers who keep them profitable
One of the greatest Super Bowl ads ever came out in 2011. It was a Chrysler ad, but it sold a broader domestic brand — “imported from Detroit” — by drawing on the story of the American worker, stirring up hard-won feelings of place, patriotism, and dignity.
Correction Protection: 3 Stocks to Sell Before the Market Takes a Dive
While the US stock market is going through uncertainties, investors need to navigate the turbulent waters of the stock market with caution. As economic tides flow high, even the mightiest giants can find themselves listed as stocks to sell.
General Motors Company (GM) Presents at Goldman Sachs Communacopia &amp; Technology Conference (Transcript)
General Motors Company (NYSE:GM ) Goldman Sachs Communacopia &amp; Technology Conference September 7, 2023 2:30 PM ET Company Participants Kyle Vogt - Co-founder and Chief Executive Officer of Cruise Conference Call Participants Mark Delaney - Goldman Sachs Mark Delaney Okay, great. Thank you, everybody, for joining us.
Cruise nears approval to mass-produce robotaxis with no steering wheel, pedals
Cruise CEO Kyle Vogt said Thursday at an investor conference that the company is “just days away” from getting the green light to begin mass production of its purpose-built autonomous vehicle without a steering wheel or pedals.
Ford, GM Try To Sweeten the Pot For Workers To Avoid Strike
General Motors Co. (GM) and Ford Motor Co. (F) on Thursday increased their wage offers to the United Auto Workers (UAW) as the carmakers and Chrysler parent Stellantis N.V. (STLA) attempt to reach an agreement with the union before a Sept.
'It's Looking That Way': Auto Workers Union Warns Of Looming Strike After Biden Says He's 'Not Worried'
Employees of General Motors, Ford Motor Co. and Stellantis are threatening to strike if a deal isn't reached next week.
GM stock adds to losses after UAW calls company's offer ‘an insult'
Shares of General Motors Co. GM dropped nearly 2% on Thursday, adding to earlier losses, after the auto maker released its proposal to unionized workers and the United Auto Workers called it an “insult.” GM's proposal included a 10% wage increase and other payments, according to the Wall Street Journal, which also reported on the UAW's reaction.
GM employee's racial bias lawsuit is revived over NY plant where nooses were displayed
General Motors was ordered by a federal appeals court on Thursday to defend against claims by a Black safety supervisor, who said she endured years of racism and sexism at an upstate New York plant where other workers displayed Confederate flags and nooses.
GM offers 10% wage increases, $5,500 ratification bonuses to UAW as strike looms
GM's latest offer still falls short of the union's demands. The UAW could strike against all three Detroit automakers next week.
GM offers 10% wage hike in UAW contract talks
General Motors said Thursday it has offered workers a 10% wage hike and two additional 3% annual lump sum payments in its offer to the United Auto Workers union ahead of the Sept. 14 contract expiration.
7 Stocks to Invest In for Big-Time, Long-Term Gains
Here's a look at seven stocks to buy and hold onto for the long haul. Tech stocks aren't the only drivers of wealth in today's economy, although many may be quick to tell you otherwise.
Strike A 'Potential Nightmare' For General Motors, Ford. Union Touts $825 Million War Chest
General Motors, Ford and Stellantis are officially on strike watch as the current contracts with the UAW are set to expire next week.
The 3 Best Stock Picks for the Rest of 2023
Some consider market patterns akin to astrology, but seasonality can play a substantial role.  Research shows that the S&amp;P 500 typically struggles throughout the summer months (July and August).
UAW strike would show Biden, other leaders that it's time to 'pick a side,' union boss says
UAW President Shawn Fain's comments add to unusual tension between the leader of the historically Democratic union and Biden.
The 7 Best Sleeper Stocks to Buy Now: September 2023
As a rule of thumb, investors ought to consider securities with strong volume and chart mobility as opposed to sleeper stocks. It's like baseball.
UAW president warns strike coming next week for any Detroit automaker with no deal by deadline
UAW President Shawn Fain is doubling down on his threats to Ford, General Motors and Stellantis, warning that the union will strike next week against any automaker without a deal.
Biden to give pep talk about unions as UAW could go on strike next week
President Joe Biden on Wednesday is slated to praise a deal between unionized dockworkers and their employers that prevented a strike at West Coast ports, but the spotlight has shifted to the United Auto Workers union, which could strike when its contract with Detroit's Big Three ends Sept. 14.
3 Stocks in Focus on Biden's $15.5B Offer to Fastrack EV Shift
The $15.5 billion funding is set to accelerate the journey toward e-mobility. Ride the EV revolution with stocks like GM, F and SLDP.
Strike or No Strike, GM, Ford, and Even Tesla Will Pay Rising Labor Costs
A strike or new contract will raise labor costs for General Motors, Ford, and Stellantis, but even nonunion automakers such as Rivian and Tesla are facing increasing wages.
GM exec says UAW demands 'would threaten
General Motors' global head of manufacturing, Gerald Johnson, said in a video statement released on Tuesday the demands received from the United Auto Workers union have “significant costs attached that would threaten our ability to maintain our manufacturing momentum.”</t>
  </si>
  <si>
    <t xml:space="preserve">           1y Target Est         49.66
           52 Week Range 31.11 - 43.63
                     Ask   0.00 x 2200
             Avg. Volume    12713472.0
       Beta (5Y Monthly)          1.41
                     Bid   0.00 x 3000
             Day's Range 32.63 - 33.27
               EPS (TTM)          7.16
           Earnings Date  Oct 24, 2023
        Ex-Dividend Date  Aug 31, 2023
Forward Dividend &amp; Yield  0.36 (1.09%)
              Market Cap       45.013B
                    Open         33.08
          PE Ratio (TTM)          4.57
          Previous Close         32.95
             Quote Price        32.715
                  Volume     3765822.0
    Market Cap (intraday)  45.34B
         Enterprise Value 130.75B
             Trailing P/E    4.60
              Forward P/E    4.88
PEG Ratio (5 yr expected)    1.63
        Price/Sales (ttm)    0.28
         Price/Book (mrq)    0.63
 Enterprise Value/Revenue    0.77
  Enterprise Value/EBITDA    5.28</t>
  </si>
  <si>
    <t>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Is Fastenal's Business Sending Warning Signs to Investors? 3 Things to Watch
Fastenal sells fasteners and tools used in manufacturing and construction. The business is cyclical, and right now it is starting to show signs of weakness.</t>
  </si>
  <si>
    <t xml:space="preserve">           1y Target Est          57.7
           52 Week Range 43.73 - 59.43
                     Ask   54.27 x 800
             Avg. Volume     3094077.0
       Beta (5Y Monthly)          1.15
                     Bid  54.25 x 1100
             Day's Range 54.22 - 54.84
               EPS (TTM)          1.96
           Earnings Date  Oct 12, 2023
        Ex-Dividend Date  Jul 26, 2023
Forward Dividend &amp; Yield  1.40 (2.57%)
              Market Cap       31.058B
                    Open         54.54
          PE Ratio (TTM)         27.73
          Previous Close         54.51
             Quote Price     54.360001
                  Volume      644323.0
    Market Cap (intraday) 31.14B
         Enterprise Value 31.52B
             Trailing P/E  27.81
              Forward P/E  25.13
PEG Ratio (5 yr expected)   2.96
        Price/Sales (ttm)   4.32
         Price/Book (mrq)   9.21
 Enterprise Value/Revenue   4.35
  Enterprise Value/EBITDA  18.76</t>
  </si>
  <si>
    <t>Generac: Inventory Issues Remain, But Getting Better
Generac is facing issues with excessive inventory of standby generators in the dealer channel, impacting sales and financial performance. However, areas such as the C&amp;I business and international have been strong. Its inventory issues could linger due to higher interest rates and less spending on home and energy projects.
‘Big Short' Michael Burry's top 5 portfolio positions
Renowned investor Michael Burry, famous for his astute predictions, has garnered attention in the past due to his stock positions. Despite this interest, the ‘Big Short' investor has, in recent months, expressed a bearish position in the general stock market at some point advising investors to ‘sell'.</t>
  </si>
  <si>
    <t xml:space="preserve">           1y Target Est                      141.43
           52 Week Range              86.29 - 244.14
                     Ask                 0.00 x 1400
             Avg. Volume                   1606787.0
       Beta (5Y Monthly)                        1.28
                     Bid                 0.00 x 1200
             Day's Range             114.18 - 116.59
               EPS (TTM)                        2.33
           Earnings Date Oct 17, 2023 - Oct 23, 2023
        Ex-Dividend Date                Jun 10, 2013
Forward Dividend &amp; Yield                   N/A (N/A)
              Market Cap                      7.215B
                    Open                      115.71
          PE Ratio (TTM)                       49.75
          Previous Close                      115.18
             Quote Price                  115.910004
                  Volume                    342926.0
    Market Cap (intraday) 7.17B
         Enterprise Value 8.92B
             Trailing P/E 48.19
              Forward P/E 15.43
PEG Ratio (5 yr expected)  1.56
        Price/Sales (ttm)  1.82
         Price/Book (mrq)  2.96
 Enterprise Value/Revenue  2.22
  Enterprise Value/EBITDA 18.36</t>
  </si>
  <si>
    <t>Ford Faces Crippling Strike
Ford faces a strike by the United Auto Workers (UAW) that could cripple it financially and set it back in its critical race to become an important player in the electric vehicle (EV) market.
The 4 key reasons why the UAW could strike GM, Ford and Stellantis this week
Time is running short to avoid a strike at America's three unionized automakers, and the distance between the United Auto Workers union and the companies remains large.
Stocks This Week: Buy Adobe And Sell Short Ford
Here is a strategy to profit from this market. Buy Adobe at months end and sell short Ford at the end of this week.
4 Ideal Fortune 500 Top September Dividend Dogs
A Summer 2023 edition of Fortune Magazine revealed 500 biggest U.S. companies by revenue. The quest to sniff-out the best dividend buys focused on 68 industry leaders using YCharts 9/7/23. Those 68 industry leaders were segmented into 21 business sectors ranging (alphabetically) from apparel to transportation. 58 dividend yielding stocks highlighted those 68 industry leaders and ranged 0.15% to 9.05% in annual yield and ranged -65.47% to 45.11% in broker-estimated one-year price-target-upsides by YCharts 9/7/23 reckoning.
Here's what to know as auto workers are poised to strike this week
DETROIT — About 146,000 U.S. auto workers are set to go on strike this week if General Motors GM, +1.17%, Ford F, +2.84% and Stellantis STLA, +0.77% fail to meet their demands for big pay raises and the restoration of concessions the workers made years ago when the companies were in financial trouble.
GM and Ford are facing a 'nightmare situation' that could be great news for Tesla
A looming strike is a "nightmare situation" for Detroit automakers. Work stoppages and labor cost increases pose setbacks for their EV ambitions.
Factbox: Impact of possible strikes on Detroit Three automakers
A union representing workers at General Motors , Ford Motor and Jeep-maker Stellantis has threatened strikes if a contract deal is not reached before the current ones expire on Sept. 14 at midnight.
UAW strike threat: Experts weigh in on likelihood of strikes at Ford, GM, Stellantis
As the deadline soon approaches for Detroit's Big Three automakers to reach contract agreements with the United Auto Workers, experts assess the likelihood of a strike.
Big Three automakers need to step up for the workers who keep them profitable
One of the greatest Super Bowl ads ever came out in 2011. It was a Chrysler ad, but it sold a broader domestic brand — “imported from Detroit” — by drawing on the story of the American worker, stirring up hard-won feelings of place, patriotism, and dignity.
Ford Motor: Automakers' Strike Deadline Creates A Long-Term Entry Point
Ford Motor stock prices have been negatively impacted by a series of setbacks since July, nosediving from $15+ to the current level around $11. This creates a good entry point for long-term investors. Its issues (like the ongoing disputes with United Auto Workers, high-interest rates, and components shortage) are only temporary in my view. Looking beyond these near-term issues, F maintains a robust profit margin, owns some of the most iconic brand names and can invest sustainably for long-term growth.
Ford, GM Try To Sweeten the Pot For Workers To Avoid Strike
General Motors Co. (GM) and Ford Motor Co. (F) on Thursday increased their wage offers to the United Auto Workers (UAW) as the carmakers and Chrysler parent Stellantis N.V. (STLA) attempt to reach an agreement with the union before a Sept.
'It's Looking That Way': Auto Workers Union Warns Of Looming Strike After Biden Says He's 'Not Worried'
Employees of General Motors, Ford Motor Co. and Stellantis are threatening to strike if a deal isn't reached next week.
Are Hybrids Losing Their Appeal in the Age of Pure EVs?
While environmental advocates urge a swift transition to all-electric vehicles to combat climate change, automakers and consumers are reevaluating the merits of hybrids.
7 Stocks to Invest In for Big-Time, Long-Term Gains
Here's a look at seven stocks to buy and hold onto for the long haul. Tech stocks aren't the only drivers of wealth in today's economy, although many may be quick to tell you otherwise.
Strike A 'Potential Nightmare' For General Motors, Ford. Union Touts $825 Million War Chest
General Motors, Ford and Stellantis are officially on strike watch as the current contracts with the UAW are set to expire next week.
Ford raises pay for 8,000 UAW workers in line with 2019 contract
Ford Motor Co said about 8,000 U.S. workers represented by the United Auto Workers union will get an average $4.33 an hour in additional pay under provisions of the current contract agreed in 2019.
UAW strike would show Biden, other leaders that it's time to 'pick a side,' union boss says
UAW President Shawn Fain's comments add to unusual tension between the leader of the historically Democratic union and Biden.
UAW president warns strike coming next week for any Detroit automaker with no deal by deadline
UAW President Shawn Fain is doubling down on his threats to Ford, General Motors and Stellantis, warning that the union will strike next week against any automaker without a deal.
UAW plans to make contract counteroffer to Ford - source
The United Auto Workers union on Wednesday plans to make a labor contract counterproposal on economic issues to Ford Motor , a source told Reuters.
Biden to give pep talk about unions as UAW could go on strike next week
President Joe Biden on Wednesday is slated to praise a deal between unionized dockworkers and their employers that prevented a strike at West Coast ports, but the spotlight has shifted to the United Auto Workers union, which could strike when its contract with Detroit's Big Three ends Sept. 14.
3 Stocks in Focus on Biden's $15.5B Offer to Fastrack EV Shift
The $15.5 billion funding is set to accelerate the journey toward e-mobility. Ride the EV revolution with stocks like GM, F and SLDP.
Strike or No Strike, GM, Ford, and Even Tesla Will Pay Rising Labor Costs
A strike or new contract will raise labor costs for General Motors, Ford, and Stellantis, but even nonunion automakers such as Rivian and Tesla are facing increasing wages.
The 3 Best Auto Stocks to Buy Now: September 2023
The automotive industry remains in transition as automakers around the world shift their production to EVs as they grab for market share. The stakes are high.
3 EV Stocks to Invest in for Big-Time, Long-Term Gains
By now, you've all heard about the electric vehicle (EV) boom. You're well aware that global leaders want millions of them on the roads in the next decade.</t>
  </si>
  <si>
    <t xml:space="preserve">           1y Target Est                       14.44
           52 Week Range               10.90 - 15.74
                     Ask                 0.00 x 3200
             Avg. Volume                  51527500.0
       Beta (5Y Monthly)                        1.63
                     Bid                0.00 x 38500
             Day's Range               12.17 - 12.40
               EPS (TTM)                        1.03
           Earnings Date Oct 24, 2023 - Oct 30, 2023
        Ex-Dividend Date                Jul 24, 2023
Forward Dividend &amp; Yield                0.60 (5.02%)
              Market Cap                     48.827B
                    Open                       12.36
          PE Ratio (TTM)                       11.84
          Previous Close                        12.3
             Quote Price                      12.195
                  Volume                  13879726.0
    Market Cap (intraday)  49.23B
         Enterprise Value 151.26B
             Trailing P/E   11.94
              Forward P/E    6.76
PEG Ratio (5 yr expected)    0.70
        Price/Sales (ttm)    0.29
         Price/Book (mrq)    1.13
 Enterprise Value/Revenue    0.89
  Enterprise Value/EBITDA    7.36</t>
  </si>
  <si>
    <t>1 Warren Buffett Stock Down 86% to Buy Now and Hold Forever
The Oracle of Omaha doesn't get them all right, but he's got a pretty darn good track record.
The TV Biz Is Coming Unglued. Paramount and Warner CEOs Weigh In.
Warner Bros. Discovery CEO David Zaslav and Paramount Global CEO Bob Bakish addressed the future of television at the Goldman Sachs conference in San Francisco.
Paramount Global (PARA) Goldman Sachs Communacopia &amp; Technology Conference (Transcript)
Paramount Global (NASDAQ:PARA ) Goldman Sachs Communacopia &amp; Technology Conference Call September 6, 2023 6:05 PM ET Company Participants Bob Bakish - President &amp; Chief Executive Officer Conference Call Participants Brett Feldman - Goldman Sachs Brett Feldman Welcome, everybody. We're going to go ahead and get started with our next session here.
3 Best Ways to Profit From the Seismic Shift to Streaming Video
In the rapidly evolving digital era, the allure of the best streaming video stocks is undeniable. Delving deeper, the streaming ecosystem extends far beyond just broadcasting content.
NFL games are shifting away from traditional TV. Are you ready to stream some football?
The NFL season, which kicks off Thursday, will see more games exclusively on streaming services as media companies invest more outside of traditional TV.</t>
  </si>
  <si>
    <t xml:space="preserve">           1y Target Est                       18.48
           52 Week Range               12.84 - 25.93
                     Ask                13.79 x 3100
             Avg. Volume                  11272611.0
       Beta (5Y Monthly)                        1.68
                     Bid                13.78 x 1100
             Day's Range               13.43 - 14.46
               EPS (TTM)                       -2.41
           Earnings Date Oct 31, 2023 - Nov 06, 2023
        Ex-Dividend Date                Sep 14, 2023
Forward Dividend &amp; Yield                0.20 (1.54%)
              Market Cap                      9.007B
                    Open                       13.75
          PE Ratio (TTM)                         NaN
          Previous Close                       13.66
             Quote Price                      13.625
                  Volume                  11687696.0
    Market Cap (intraday)   9.04B
         Enterprise Value  24.47B
             Trailing P/E     NaN
              Forward P/E   10.19
PEG Ratio (5 yr expected)    0.56
        Price/Sales (ttm)    0.30
         Price/Book (mrq)    0.41
 Enterprise Value/Revenue    0.82
  Enterprise Value/EBITDA -130.14</t>
  </si>
  <si>
    <t>8 Stocks Face Highest Risk Of Getting Booted Out Of The S&amp;P 500
Getting booted out of the S&amp;P 500 is a mark of shame most companies try to avoid. But it's a harsh possibility several face.
Can Strategic Growth Endeavors Aid Newell (NWL) Amid Inflation?
Despite inflationary pressures, Newell (NWL) looks promising on the back of cost-cutting initiatives and a solid online show.
Here are 19 stocks Jim Cramer is watching, including Chipotle, LULU and Airbnb
Here are some of the tickers on my radar for Tuesday, Sept. 5, taken directly from my reporter's notebook.</t>
  </si>
  <si>
    <t>Newell Brands</t>
  </si>
  <si>
    <t>Housewares &amp; Specialties</t>
  </si>
  <si>
    <t xml:space="preserve">           1y Target Est                       12.75
           52 Week Range                7.80 - 18.54
                     Ask                 9.21 x 1800
             Avg. Volume                   5562114.0
       Beta (5Y Monthly)                         1.0
                     Bid                 9.20 x 1800
             Day's Range                 9.12 - 9.99
               EPS (TTM)                       -0.75
           Earnings Date Oct 26, 2023 - Oct 30, 2023
        Ex-Dividend Date                Aug 30, 2023
Forward Dividend &amp; Yield                0.28 (2.76%)
              Market Cap                      3.798B
                    Open                        9.93
          PE Ratio (TTM)                         NaN
          Previous Close                        9.94
             Quote Price                       9.175
                  Volume                   3166029.0
    Market Cap (intraday) 4.12B
         Enterprise Value 9.76B
             Trailing P/E 10.62
              Forward P/E  8.95
PEG Ratio (5 yr expected)   NaN
        Price/Sales (ttm)  0.48
         Price/Book (mrq)  1.24
 Enterprise Value/Revenue  1.14
  Enterprise Value/EBITDA 80.64</t>
  </si>
  <si>
    <t>DXC Technology Ranked as a Luminary Among Reinsurance Administrators by Celent
DXC Assure Cede Excels in both Advanced Technology and Breadth of Functionality ASHBURN, Va. , Sept. 7, 2023 /PRNewswire/ - DXC Technology (NYSE: DXC), a leading Fortune 500 global technology services and insurance software provider, was ranked as a Luminary in Celent's report for insurers on reinsurance administration.
8 Stocks Face Highest Risk Of Getting Booted Out Of The S&amp;P 500
Getting booted out of the S&amp;P 500 is a mark of shame most companies try to avoid. But it's a harsh possibility several face.</t>
  </si>
  <si>
    <t xml:space="preserve">           1y Target Est                       25.31
           52 Week Range               18.61 - 30.27
                     Ask                  0.00 x 800
             Avg. Volume                   2276043.0
       Beta (5Y Monthly)                        1.98
                     Bid                  0.00 x 900
             Day's Range               20.29 - 20.92
               EPS (TTM)                       -2.77
           Earnings Date Nov 01, 2023 - Nov 06, 2023
        Ex-Dividend Date                Mar 24, 2020
Forward Dividend &amp; Yield                   N/A (N/A)
              Market Cap                      4.163B
                    Open                        20.7
          PE Ratio (TTM)                         NaN
          Previous Close                       20.55
             Quote Price                      20.291
                  Volume                    680180.0
    Market Cap (intraday) 4.22B
         Enterprise Value 8.13B
             Trailing P/E   NaN
              Forward P/E  5.92
PEG Ratio (5 yr expected)   NaN
        Price/Sales (ttm)  0.32
         Price/Book (mrq)  1.29
 Enterprise Value/Revenue  0.57
  Enterprise Value/EBITDA 10.11</t>
  </si>
  <si>
    <t>Rollins to Present at Upcoming Investor Conferences
ATLANTA , Sept. 8, 2023 /PRNewswire/ -- Rollins, Inc. (NYSE: ROL) ("Rollins" or the "Company"), a premier global consumer and commercial services company, today announced that Rollins Executive Vice President and Chief Financial Officer, Kenneth Krause will present at the following conference: Morgan Stanley 11th Annual Laguna Conference at the Waldorf Astoria Monarch Beach Resort &amp; Club in Dana Point, CA, September 12 th, 2023, from 11:45 a.m.
Why Investors Were Bugged About Rollins Stock This Week
Investors traded out of the stock following the announcement of a share sale. The selling party is the pest control conglomerate's major shareholder.
4 Factor Dividend Growth Portfolio - Closing In On A Historic First Year
The 4-factor dividend growth portfolio is a strategy that leverages the stock selection process of Schwab U.S. Dividend Equity ETF, with a few minor twists. The portfolio fell by 0.57% in August, outperforming the S&amp;P 500 by 1.02%. Year-to-date, the portfolio is up 14.07%. Since inception, the portfolio is generating 3.95% of alpha over the S&amp;P 500.
Orkin parent Rollins' stock drops after 38.7 million-share public offering prices at an 8% discount
Shares of Rollins Inc. ROL dropped 6.3% toward a six-month low in premarket trading Thursday, after the parent of the Orkin pest-control brand announced a public offering of 38.72 million shares by a selling shareholder. The offering, which was announced late Wednesday, is by LOR Inc., which is a member of the control group that owns more than half of the outstanding shares.
Rollins, Inc. Announces Pricing of Secondary Public Offering of Common Stock
ATLANTA , Sept. 7, 2023 /PRNewswire/ -- Rollins, Inc. (NYSE: ROL) ("Rollins" or the "Company") today announced the pricing of a secondary public offering of 38,724,100 shares of its common stock (the "Offering") by LOR, Inc., one of the Company's existing stockholders (the "Selling Stockholder") at a price to the public of $35.00 per share.
Rollins, Inc. Announces Launch of Secondary Public Offering of Common Stock
ATLANTA , Sept. 6, 2023 /PRNewswire/ -- Rollins, Inc. (NYSE: ROL) ("Rollins" or the "Company") today announced the commencement of a proposed secondary public offering of $1.35 billion of shares of its common stock (the "Offering") by LOR, Inc., one of the Company's existing stockholders (the "Selling Stockholder").</t>
  </si>
  <si>
    <t xml:space="preserve">           1y Target Est                       45.33
           52 Week Range               34.20 - 45.04
                     Ask                 0.00 x 1400
             Avg. Volume                   1803958.0
       Beta (5Y Monthly)                        0.66
                     Bid                 0.00 x 1100
             Day's Range               36.06 - 36.80
               EPS (TTM)                        0.79
           Earnings Date Oct 24, 2023 - Oct 30, 2023
        Ex-Dividend Date                Aug 09, 2023
Forward Dividend &amp; Yield                0.52 (1.44%)
              Market Cap                     17.657B
                    Open                        36.5
          PE Ratio (TTM)                       46.17
          Previous Close                       36.11
             Quote Price                   36.474998
                  Volume                   1722426.0
    Market Cap (intraday) 17.48B
         Enterprise Value 17.95B
             Trailing P/E  45.71
              Forward P/E  34.36
PEG Ratio (5 yr expected)   2.60
        Price/Sales (ttm)   6.20
         Price/Book (mrq)  13.02
 Enterprise Value/Revenue   6.25
  Enterprise Value/EBITDA  28.15</t>
  </si>
  <si>
    <t>Seagate Announces Pricing of $1.3 Billion of Exchangeable Senior Unsecured Notes
FREMONT, Calif.--(BUSINESS WIRE)--Seagate HDD Cayman (the “Company”), a subsidiary of Seagate Technology Holdings plc (NASDAQ: STX) (“Seagate”), announced that it priced its earlier announced offering of $1.3 billion aggregate principal amount of exchangeable senior notes due 2028 (the “Notes”). The 2028 Notes were priced at 100% of the aggregate principal amount and will bear interest at a rate of 3.50% per annum. In addition, the Company has granted the initial purchasers of the Notes an opti.
The Law Offices of Frank R. Cruz Reminds Investors of Looming Deadline in the Class Action Lawsuit Against Seagate Technology Holdings plc (STX)
LOS ANGELES--(BUSINESS WIRE)--The Law Offices of Frank R. Cruz reminds investors of the upcoming September 8, 2023 deadline to file a lead plaintiff motion in the class action filed on behalf of investors who acquired Seagate Technology Holdings plc (“Seagate” or the “Company”) (NASDAQ: STX) common stock between September 15, 2020 and October 25, 2022, inclusive (the “Class Period”). If you are a shareholder who suffered a loss, click here to participate. On October 26, 2022, before the market.
Seagate: Ding Ding, Bottom Materializing (Rating Upgrade)
We're upgrading Seagate Technology Holdings plc to a buy. Seagate expects its next quarter topline and EPS to be at the low end of its guided range at yesterday's investor conference due to the weaker-than-expected demand in China. We are confident that Seagate will see improved demand with its cloud customers starting from the December quarter and into 2024.
SHAREHOLDER ALERT: Levi &amp; Korsinsky Notifies Seagate Technology Holdings plc(STX) Investors of a Class Action Lawsuit and Upcoming Deadline
NEW YORK , Sept. 7, 2023 /PRNewswire/ -- Levi &amp; Korsinsky, LLP notifies investors in Seagate Technology Holdings plc ("Seagate" or the "Company") (NASDAQ: STX) of a class action securities lawsuit.
Seagate Announces Offering of Exchangeable Senior Unsecured Notes
FREMONT, Calif.--(BUSINESS WIRE)--Seagate HDD Cayman (the “Company”), a subsidiary of Seagate Technology Holdings plc (NASDAQ: STX) (“Seagate”), today announced that it intends, subject to market and other conditions, to offer up to $1.3 billion in aggregate principal amount of exchangeable senior notes due 2028 (the “Notes”) in a private placement to persons reasonably believed to be qualified institutional buyers pursuant to Rule 144A under the Securities Act of 1933, as amended (the “Securit.
STX Investors Have Opportunity to Lead Seagate Technology Holdings plc Securities Fraud Lawsuit
LOS ANGELES , Sept. 6, 2023 /PRNewswire/ -- The Law Offices of Frank R.
SHAREHOLDER ALERT: The Gross Law Firm Notifies Shareholders of Seagate Technology Holdings plc of a Class Action Lawsuit and a Lead Plaintiff Deadline of September 8, 2023 - (NASDAQ: STX)
NEW YORK , Sept. 6, 2023 /PRNewswire/ -- The Gross Law Firm issues the following notice to shareholders of Seagate Technology Holdings plc.
Seagate Technology Holdings plc (STX) Goldman Sachs 2023 Communacopia &amp; Technology Conference (Transcript)
Seagate Technology Holdings plc (NASDAQ:STX ) Goldman Sachs 2023 Communacopia &amp; Technology Conference September 5, 2023 1:00 PM ET Company Participants Gianluca Romano - EVP &amp; CFO Conference Call Participants Toshiya Hari - Goldman Sachs Toshiya Hari Okay. Great. We'd like to get started.
SHAREHOLDER ALERT: Pomerantz Law Firm Investigates Claims On Behalf of Investors of Seagate Technology Holdings plc - STX
NEW YORK , Sept. 5, 2023 /PRNewswire/ -- Pomerantz LLP is investigating claims on behalf of investors of Seagate Technology Holdings plc ("Seagate" or the "Company") (NASDAQ: STX).
FINBAL DEADLINE APPROACHING: The Schall Law Firm Encourages Investors in Baxter International Inc. with Losses of $100,000 to Contact the Firm
LOS ANGELES, CA / ACCESSWIRE / September 5, 2023 / The Schall Law Firm, a national shareholder rights litigation firm, reminds investors of a class action lawsuit against Seagate Technology Holdings plc ("Seagate" or "the Company") (NASDAQ:STX) for violations of §§10(b) and 20(a) of the Securities Exchange Act of 1934 and Rule 10b-5 promulgated thereunder by the U.S. Securities and Exchange Commission. Investors who purchased the Company's securities between September 15, 2020 and October 25, 2022, inclusive (the "Class Period"), are encouraged to contact the firm before September 8, 2023.
FINAL DEADLINE IMMINENT: The Schall Law Firm Encourages Investors in Seagate Technology Holdings plc with Losses of $100,000 to Contact the Firm
LOS ANGELES, CA / ACCESSWIRE / September 5, 2023 / The Schall Law Firm, a national shareholder rights litigation firm, reminds investors of a class action lawsuit against Seagate Technology Holdings plc ("Seagate" or "the Company") (NASDAQ:STX) for violations of §§10(b) and 20(a) of the Securities Exchange Act of 1934 and Rule 10b-5 promulgated thereunder by the U.S. Securities and Exchange Commission. Investors who purchased the Company's securities between September 15, 2020 and October 25, 2022, inclusive (the "Class Period"), are encouraged to contact the firm before September 8, 2023.</t>
  </si>
  <si>
    <t xml:space="preserve">           1y Target Est                       63.47
           52 Week Range               47.47 - 74.51
                     Ask                64.03 x 1400
             Avg. Volume                   2543351.0
       Beta (5Y Monthly)                         1.1
                     Bid                 63.97 x 800
             Day's Range               63.41 - 65.50
               EPS (TTM)                       -2.56
           Earnings Date Oct 24, 2023 - Oct 30, 2023
        Ex-Dividend Date                Sep 25, 2023
Forward Dividend &amp; Yield                2.80 (4.41%)
              Market Cap                     13.325B
                    Open                       65.79
          PE Ratio (TTM)                         NaN
          Previous Close                       65.37
             Quote Price                   64.110001
                  Volume                   2226869.0
    Market Cap (intraday) 13.59B
         Enterprise Value 18.64B
             Trailing P/E    NaN
              Forward P/E  58.14
PEG Ratio (5 yr expected)   0.54
        Price/Sales (ttm)   1.83
         Price/Book (mrq)    NaN
 Enterprise Value/Revenue   2.52
  Enterprise Value/EBITDA  56.47</t>
  </si>
  <si>
    <t>8 Stocks Face Highest Risk Of Getting Booted Out Of The S&amp;P 500
Getting booted out of the S&amp;P 500 is a mark of shame most companies try to avoid. But it's a harsh possibility several face.</t>
  </si>
  <si>
    <t xml:space="preserve">           1y Target Est                       47.17
           52 Week Range               33.45 - 56.43
                     Ask                  0.00 x 900
             Avg. Volume                   1891372.0
       Beta (5Y Monthly)                         1.3
                     Bid                 0.00 x 1000
             Day's Range               33.61 - 34.40
               EPS (TTM)                        2.63
           Earnings Date Oct 30, 2023 - Nov 03, 2023
        Ex-Dividend Date                Sep 07, 2023
Forward Dividend &amp; Yield                0.80 (2.36%)
              Market Cap                      4.898B
                    Open                        34.2
          PE Ratio (TTM)                       12.84
          Previous Close                       33.96
             Quote Price                   33.779999
                  Volume                    390734.0
    Market Cap (intraday) 4.92B
         Enterprise Value 9.71B
             Trailing P/E 12.91
              Forward P/E  9.33
PEG Ratio (5 yr expected)  2.08
        Price/Sales (ttm)  0.89
         Price/Book (mrq) 11.94
 Enterprise Value/Revenue  1.75
  Enterprise Value/EBITDA  9.44</t>
  </si>
  <si>
    <t>7 Consumer Stocks to Sell in September Before They Crash &amp; Burn
The market is giving investors mixed signals. But this is a time when what's happening on Main Street differs from what's happening on Wall Street.</t>
  </si>
  <si>
    <t xml:space="preserve">           1y Target Est          193.07
           52 Week Range 147.18 - 283.62
                     Ask     0.00 x 1200
             Avg. Volume       2583011.0
       Beta (5Y Monthly)            1.03
                     Bid      0.00 x 900
             Day's Range 152.74 - 155.55
               EPS (TTM)            2.79
           Earnings Date    Nov 01, 2023
        Ex-Dividend Date    Aug 30, 2023
Forward Dividend &amp; Yield    2.64 (1.71%)
              Market Cap          54.78B
                    Open          155.42
          PE Ratio (TTM)           54.89
          Previous Close           154.0
             Quote Price      153.149994
                  Volume        566297.0
    Market Cap (intraday) 55.08B
         Enterprise Value 61.22B
             Trailing P/E  55.20
              Forward P/E  41.84
PEG Ratio (5 yr expected)   2.90
        Price/Sales (ttm)   3.49
         Price/Book (mrq)   9.86
 Enterprise Value/Revenue   3.85
  Enterprise Value/EBITDA  25.55</t>
  </si>
  <si>
    <t>Why Did Dollar Tree Stock Drop 21% in August?
Dollar Tree reported quarterly earnings that were slightly better than forecast. The discount retailer's commentary on sales mix and theft fueled concerns about the state of consumers today.
Inflation May Not Be the Biggest Problem for Retail Stocks Right Now
Multiple retailers have been blaming shrink on worsening margins. Some companies are resorting to locking up merchandise.
Is It Time to Buy August's 3 Worst-Performing Nasdaq Stocks?
Fortinet tumbled on a revenue guidance cut. Dollar Tree is seeing significant margin compression.</t>
  </si>
  <si>
    <t xml:space="preserve">           1y Target Est                      154.31
           52 Week Range             114.83 - 170.36
                     Ask                115.96 x 800
             Avg. Volume                   2179388.0
       Beta (5Y Monthly)                        0.73
                     Bid               115.82 x 1300
             Day's Range             115.79 - 117.40
               EPS (TTM)                        5.48
           Earnings Date Nov 20, 2023 - Nov 24, 2023
        Ex-Dividend Date                         NaN
Forward Dividend &amp; Yield                   N/A (N/A)
              Market Cap                     25.488B
                    Open                      116.53
          PE Ratio (TTM)                       21.14
          Previous Close                      116.02
             Quote Price                  115.849998
                  Volume                    627310.0
    Market Cap (intraday) 25.53B
         Enterprise Value 35.36B
             Trailing P/E  21.09
              Forward P/E  19.27
PEG Ratio (5 yr expected)   1.81
        Price/Sales (ttm)   0.88
         Price/Book (mrq)   2.83
 Enterprise Value/Revenue   1.21
  Enterprise Value/EBITDA  14.20</t>
  </si>
  <si>
    <t>These 10 stocks have the most exposure to China's 'stalling' economy, BofA warns
China's "stalling" economy is putting some US companies at risk, according to Bank of America. High rates of youth unemployment and recent property defaults have put pressure on the Chinese economy.
Western Digital Corporation (WDC) Evercore ISI Semiconductor &amp; Semiconductor Equipment Conference (Transcript)
Western Digital Corporation (NASDAQ:WDC ) Evercore ISI Semiconductor &amp; Semiconductor Equipment Conference September 7, 2023 9:00 AM ET Company Participants David Goeckeler - Chief Executive Officer Wissam Jabre - Chief Financial Officer Conference Call Participants C.J. Muse - Evercore ISI Unidentified Company Representative Perfect.
Western Digital Struggles With Short-Term Headwinds
Western Digital Corporation is an under-covered data storage device manufacturer that benefits from long-term trends in data storage technology. Despite the strong long-term trends, the company has some short-term headwinds, including low demand in all of its three end markets. Combined with known unknowns such as the Kioxia merger, this is a name to stay away from. Therefore, WDC stock gets a "Hold" rating.
Western Digital Corporation (WDC) Presents at Goldman Sachs Communacopia &amp; Technology Conference Transcript
Western Digital Corporation (NASDAQ:WDC ) Goldman Sachs Communacopia &amp; Technology Conference Call August 30, 2023 6:45 PM ET Company Participants Peter Andrew - VP, Financial Planning and Analyst and IR David Goeckeler - CEO Conference Call Participants Toshiya Hari - Goldman Sachs Toshiya Hari Okay, great. We'd like to get started.
Western Digital: The Unfolding M&amp;A Narrative You Can't Afford To Ignore
Western Digital shows strong indicators of potential M&amp;A activity, including discussing separating its Flash and HDD business units. WDC's diverse portfolio and financial flexibility make it an attractive target for strategic M&amp;A deals in the data storage industry. WDC's undervaluation, particularly in its EV/Sales ratio, highlights a significant room for upward revaluation.</t>
  </si>
  <si>
    <t xml:space="preserve">           1y Target Est                       46.43
           52 Week Range               29.73 - 46.33
                     Ask                43.01 x 1800
             Avg. Volume                   3359482.0
       Beta (5Y Monthly)                        1.67
                     Bid                 42.98 x 900
             Day's Range               42.88 - 44.03
               EPS (TTM)                       -5.45
           Earnings Date Oct 25, 2023 - Oct 30, 2023
        Ex-Dividend Date                Apr 02, 2020
Forward Dividend &amp; Yield                   N/A (N/A)
              Market Cap                     13.838B
                    Open                       43.98
          PE Ratio (TTM)                         NaN
          Previous Close                       43.47
             Quote Price                   42.990002
                  Volume                    765158.0
    Market Cap (intraday) 13.99B
         Enterprise Value 19.92B
             Trailing P/E    NaN
              Forward P/E    NaN
PEG Ratio (5 yr expected)    NaN
        Price/Sales (ttm)   1.12
         Price/Book (mrq)   1.29
 Enterprise Value/Revenue   1.62
  Enterprise Value/EBITDA -47.42</t>
  </si>
  <si>
    <t>3 Dividend-Paying Tech Stocks to Buy in September
Verizon has one of the highest dividend yields in the S&amp;P 500. Cisco has been focusing on increasing its software and subscription-based offerings.
10 U.S. Companies Face Much Larger Problems In China Than Apple
If you think Apple has a big "China problem" — you'll be shocked to know it's tiny compared with some other S&amp;P 500 companies.
Texas Instruments: Investors Bought The Dip Despite Recent Share Plunge
I assigned Texas Instruments stock a Hold rating in January 2023 as I didn't think it was time to be bullish. TXN has underperformed the S&amp;P 500 significantly since then. The company's second-quarter earnings led to further weakness initially. But, strong buying support has underpinned its long-term uptrend. The company is undergoing near-term margin challenges while navigating downstream inventory burn. Despite that, analysts' estimates suggest a more robust FY24-25 ahead.
Texas Instruments: Overvalued
Texas Instruments faces declining demand in most sectors, except for automotive. The company's financials are concerning, with consistent margin declines and increased debt. A discounted cash flow analysis suggests that TXN's current market valuation may not align with projected growth.
Texas Instruments Incorporated (TXN) Citi's 2023 Global Technology Conference (Transcript)
Texas Instruments Incorporated (NASDAQ:TXN ) Citi's 2023 Global Technology Conference September 6, 2023 9:00 AM ET Company Participants Haviv Ilan - President and CEO Conference Call Participants Christopher Danely - Citi Christopher Danely Thanks for coming, everyone. I'm just adjusting all my AV up here.
Texas Instruments Incorporated (TXN) Goldman Sachs Communacopia &amp; Technology Conference (Transcript)
Texas Instruments Incorporated (NASDAQ:TXN ) Goldman Sachs Communacopia &amp; Technology Conference Call September 6, 2023 11:10 AM ET Company Participants Haviv Ilan - President &amp; Chief Executive Officer Conference Call Participants Christopher Danely - Citi Christopher Danely Thanks for coming, everyone. I'm just adjusting all my AV up here.
Memory Turns Around In Q3 But Inventories Excluding Memory And AI Remain High
Global memory and AI chipmakers are experiencing an end to the supply surplus for semiconductors. Excessive capex spending in memory chips has led to inventory problems and a sharp downturn is expected in 2023.
Bert's August 2023 Dividend Income Summary
We invest in dividend stocks to grow passive income and eventually cover monthly expenses for early retirement. We use a stock screener to find undervalued stocks with a strong payout ratio and a history of increasing dividends. In August, we received $1,097 in dividend income, with notable contributions from National Grid and Texas Instruments.</t>
  </si>
  <si>
    <t xml:space="preserve">           1y Target Est                      183.94
           52 Week Range             145.97 - 188.12
                     Ask               164.98 x 1100
             Avg. Volume                   5095293.0
       Beta (5Y Monthly)                        1.02
                     Bid                164.94 x 900
             Day's Range             164.10 - 166.69
               EPS (TTM)                        8.33
           Earnings Date Oct 23, 2023 - Oct 27, 2023
        Ex-Dividend Date                Jul 28, 2023
Forward Dividend &amp; Yield                4.96 (3.01%)
              Market Cap                    150.114B
                    Open                      166.52
          PE Ratio (TTM)                       19.85
          Previous Close                      164.66
             Quote Price                  165.330002
                  Volume                    896099.0
    Market Cap (intraday) 149.51B
         Enterprise Value 151.17B
             Trailing P/E   19.77
              Forward P/E   20.62
PEG Ratio (5 yr expected)    2.64
        Price/Sales (ttm)    8.03
         Price/Book (mrq)    9.38
 Enterprise Value/Revenue    8.03
  Enterprise Value/EBITDA   14.90</t>
  </si>
  <si>
    <t>Is the Worst Over for Illumina Stock?
Illumina has had a bad few years due to its troubles with the Grail purchase. It now has new management, and its fines from regulators in the E.U.
Biopharma Bounce-Back: From Policy Pains To Profitable Plains
The recent IRA list of 10 drug publications is not expected to have a significant impact on big pharma stocks in the near term. The legal challenges by big pharma companies against the IRA may derail the implementation of the drug pricing reforms. Investors can consider diversified biotech indexes or healthcare-focused ETFs for exposure to the biopharma sector.
Carl Icahn says new Illumina CEO has his 'full support' months after proxy fight
Activist investor Icahn's blessing is a relief for the company as it tries to rebound from a bitter proxy fight with the billionaire investor.
Illumina Picks New CEO, but Shares Continue To Slide
Illumina (ILMN) said Tuesday it has chosen Agilent Technologies (A) executive Jacob Thaysen as its new chief executive officer (CEO) as the gene sequencing firm works to recover from a proxy fight with activist investor Carl Icahn and a tumbling share price.
Illumina gets new CEO following proxy battle with Carl Ichan
Illumina Inc (NASDAQ:ILMN) has a new CEO following its public proxy battle with activist investor Carl Ichan over its troubled acquisition of Grail Inc. The biotech firm named former Agilent executive Jacob Thaysen as its new boss on Tuesday morning.
EXEL vs. ILMN: Which Stock Is the Better Value Option?
Investors looking for stocks in the Medical - Biomedical and Genetics sector might want to consider either Exelixis (EXEL) or Illumina (ILMN). But which of these two stocks presents investors with the better value opportunity right now?
Illumina names new CEO months after Icahn proxy fight over Grail deal
The announcement comes after a proxy fight with activist investor Carl Icahn, which ended with Illumina's former CEO Francis deSouza voluntarily stepping down.
Illumina Names New Chief Executive
Jacob Thaysen was named to the role after Francis deSouza resigned from the gene-sequencing maker in June amid a fight with regulators.
Illumina names Agilent executive as new CEO
Illumina Inc. ILMN, +1.96% on Tuesday announced that its board has appointed Agilent Technologies Inc. A, +0.69% senior vice president Jacob Thaysen as its new CEO, effective Sept. 25. The DNA sequencing company faced leadership turmoil after its proxy fight earlier this year with activist investor Carl Icahn, and CEO Francis deSouza stepped down in June.
Illumina's Board Appoints Jacob Thaysen, Ph.D. as its New Chief Executive Officer
SAN DIEGO , Sept. 5, 2023 /PRNewswire/ -- Illumina, Inc. (NASDAQ: ILMN), a global leader in DNA sequencing and array-based technologies, today announced that its Board of Directors has appointed Jacob Thaysen, Ph.D.</t>
  </si>
  <si>
    <t xml:space="preserve">           1y Target Est                      214.09
           52 Week Range             156.14 - 248.87
                     Ask               157.77 x 1300
             Avg. Volume                   1565074.0
       Beta (5Y Monthly)                        1.12
                     Bid                157.70 x 800
             Day's Range             157.27 - 159.28
               EPS (TTM)                       -26.7
           Earnings Date Nov 01, 2023 - Nov 06, 2023
        Ex-Dividend Date                         NaN
Forward Dividend &amp; Yield                   N/A (N/A)
              Market Cap                     24.988B
                    Open                      159.28
          PE Ratio (TTM)                         NaN
          Previous Close                      158.36
             Quote Price                  157.850006
                  Volume                    321043.0
    Market Cap (intraday) 25.07B
         Enterprise Value 26.56B
             Trailing P/E    NaN
              Forward P/E  64.10
PEG Ratio (5 yr expected)   1.37
        Price/Sales (ttm)   5.59
         Price/Book (mrq)   3.82
 Enterprise Value/Revenue   5.95
  Enterprise Value/EBITDA  -7.53</t>
  </si>
  <si>
    <t>3 Top Stocks to Buy in September
Carnival's continued success indicates its potential for further growth and expansion within the cruise sector. Costco's membership approach resonates with budget-conscious shoppers, giving it a market advantage.
Down -11.87% in 4 Weeks, Here's Why You Should You Buy the Dip in Carnival (CCL)
Carnival (CCL) has become technically an oversold stock now, which implies exhaustion of the heavy selling pressure on it. This, combined with strong agreement among Wall Street analysts in revising earnings estimates higher, indicates a potential trend reversal for the stock in the near term.
Carnival: Buy on the Dip?
Carnival shares have fallen by more than 18% since early July. The company has reported record bookings and is making progress toward profitability -- but its debt load remains significant.</t>
  </si>
  <si>
    <t xml:space="preserve">           1y Target Est                       17.32
           52 Week Range                6.11 - 19.55
                     Ask                15.32 x 4000
             Avg. Volume                  38258337.0
       Beta (5Y Monthly)                        2.41
                     Bid                15.17 x 1100
             Day's Range               14.95 - 15.60
               EPS (TTM)                       -2.76
           Earnings Date Sep 28, 2023 - Oct 02, 2023
        Ex-Dividend Date                Feb 20, 2020
Forward Dividend &amp; Yield                   N/A (N/A)
              Market Cap                     19.898B
                    Open                       15.56
          PE Ratio (TTM)                         NaN
          Previous Close                        15.3
             Quote Price                      15.235
                  Volume                   8778064.0
    Market Cap (intraday) 19.98B
         Enterprise Value 50.59B
             Trailing P/E   5.99
              Forward P/E  15.53
PEG Ratio (5 yr expected)    NaN
        Price/Sales (ttm)   1.09
         Price/Book (mrq)   3.41
 Enterprise Value/Revenue   2.89
  Enterprise Value/EBITDA  60.74</t>
  </si>
  <si>
    <t>Railroad inspectors find alarming safety defects on Union Pacific locomotives, railcars
OMAHA, Neb. — Federal inspectors said they found an alarming number of defects in the locomotives and railcars Union Pacific was using at the world's largest railyard in western Nebraska this summer, and the railroad was reluctant to fix the problems.
The 3 Best Railroad Stocks to Buy Now: September 2023
Railroad stocks are often under-appreciated, despite delivering strong top-line and EPS growth over the last decade. While the industry faces macroeconomic uncertainties, investors should take a look at the best railroad stocks to buy.
Here's Why You Should Avoid Union Pacific (UNP) Stock Now
A decline in volumes &amp; high debt hurt Union Pacific (UNP).
Union Pacific Uses Proceeds from 2022 Green Bond to Reduce Carbon Footprint in Support of Climate Change Goals
Projects funded by the $600 million in bonds are highlighted in newly published impact and allocation report OMAHA, Neb. , Sept. 5, 2023 /PRNewswire/ -- Union Pacific Corporation (NYSE: UNP) today published its 2023 Green Bond Allocation and Impact Report, which outlines how proceeds from green bonds issued in September 2022 were used to help the railroad invest in its climate action goals.
Union Pacific Corporation CEO Jim Vena and CFO Jennifer Hamann to Address Morgan Stanley's 11th Annual Laguna Conference
OMAHA, Neb. , Sept. 5, 2023 /PRNewswire/ -- Jim Vena, chief executive officer, and Jennifer Hamann, executive vice president and chief financial officer, of Union Pacific Corporation (NYSE: UNP) will address Morgan Stanley's 11th Annual Laguna Conference at 10:35 a.m.</t>
  </si>
  <si>
    <t xml:space="preserve">           1y Target Est                      247.93
           52 Week Range             183.69 - 240.48
                     Ask                  0.00 x 900
             Avg. Volume                   2730401.0
       Beta (5Y Monthly)                        1.12
                     Bid                  0.00 x 900
             Day's Range             210.06 - 212.79
               EPS (TTM)                       10.95
           Earnings Date Oct 18, 2023 - Oct 23, 2023
        Ex-Dividend Date                Aug 30, 2023
Forward Dividend &amp; Yield                5.20 (2.46%)
              Market Cap                    128.492B
                    Open                      212.51
          PE Ratio (TTM)                       19.25
          Previous Close                       211.8
             Quote Price                  210.830002
                  Volume                    629021.0
    Market Cap (intraday) 129.08B
         Enterprise Value 163.12B
             Trailing P/E   19.34
              Forward P/E   17.64
PEG Ratio (5 yr expected)    3.19
        Price/Sales (ttm)    5.25
         Price/Book (mrq)    9.78
 Enterprise Value/Revenue    6.59
  Enterprise Value/EBITDA   13.24</t>
  </si>
  <si>
    <t>Mohawk Industries</t>
  </si>
  <si>
    <t>Home Furnishings</t>
  </si>
  <si>
    <t xml:space="preserve">           1y Target Est                      118.54
           52 Week Range              87.02 - 130.63
                     Ask                  0.00 x 800
             Avg. Volume                    678740.0
       Beta (5Y Monthly)                        1.33
                     Bid                 0.00 x 1100
             Day's Range               93.29 - 94.75
               EPS (TTM)                       -4.94
           Earnings Date Oct 25, 2023 - Oct 30, 2023
        Ex-Dividend Date                         NaN
Forward Dividend &amp; Yield                   N/A (N/A)
              Market Cap                       5.96B
                    Open                       94.09
          PE Ratio (TTM)                         NaN
          Previous Close                       94.09
             Quote Price                   93.589996
                  Volume                    121569.0
    Market Cap (intraday) 5.99B
         Enterprise Value 8.89B
             Trailing P/E  7.61
              Forward P/E  8.90
PEG Ratio (5 yr expected)   NaN
        Price/Sales (ttm)  0.53
         Price/Book (mrq)  0.73
 Enterprise Value/Revenue  0.78
  Enterprise Value/EBITDA 19.20</t>
  </si>
  <si>
    <t>New Strong Sell Stocks for September 11th
AVTR, TECH and CPRI have been added to the Zacks Rank #5 (Strong Sell) List on September 11, 2023.</t>
  </si>
  <si>
    <t xml:space="preserve">           1y Target Est                       100.7
           52 Week Range               68.00 - 90.63
                     Ask                71.44 x 1400
             Avg. Volume                    874041.0
       Beta (5Y Monthly)                        1.21
                     Bid                71.35 x 1100
             Day's Range               71.18 - 72.36
               EPS (TTM)                        1.76
           Earnings Date Oct 30, 2023 - Nov 03, 2023
        Ex-Dividend Date                Aug 17, 2023
Forward Dividend &amp; Yield                0.32 (0.45%)
              Market Cap                     11.315B
                    Open                       72.36
          PE Ratio (TTM)                       40.64
          Previous Close                       71.82
             Quote Price                   71.535004
                  Volume                    281562.0
    Market Cap (intraday) 11.36B
         Enterprise Value 11.61B
             Trailing P/E  40.81
              Forward P/E  36.23
PEG Ratio (5 yr expected)    NaN
        Price/Sales (ttm)  10.23
         Price/Book (mrq)   5.78
 Enterprise Value/Revenue  10.21
  Enterprise Value/EBITDA  25.40</t>
  </si>
  <si>
    <t>Why Norwegian Cruise Lines Plunged 25% in August
Norwegian's stock fell after Q3 earnings guidance failed to live up to optimistic expectations. Still, Q2 results were fairly solid.
Oceania Cruises Unveils Inaugural Season Sailings for Allura
Brand's Newest Ship to Launch Summer 2025, Voyages Open for Sale September 13, 2023 MIAMI , Sept. 6, 2023 /PRNewswire/ -- Oceania Cruises, the world's leading culinary- and destination-focused cruise line, has revealed the Inaugural Season sailings for Allura, its newest ship, due to join the fleet in summer 2025.</t>
  </si>
  <si>
    <t xml:space="preserve">           1y Target Est                       20.73
           52 Week Range               10.83 - 22.75
                     Ask                 0.00 x 1000
             Avg. Volume                  13607193.0
       Beta (5Y Monthly)                        2.61
                     Bid                 0.00 x 1800
             Day's Range               16.02 - 16.61
               EPS (TTM)                       -1.99
           Earnings Date Nov 06, 2023 - Nov 10, 2023
        Ex-Dividend Date                         NaN
Forward Dividend &amp; Yield                   N/A (N/A)
              Market Cap                       6.92B
                    Open                       16.59
          PE Ratio (TTM)                         NaN
          Previous Close                        16.3
             Quote Price                   16.264999
                  Volume                   4474143.0
    Market Cap (intraday)  6.93B
         Enterprise Value 19.79B
             Trailing P/E   3.81
              Forward P/E  11.32
PEG Ratio (5 yr expected)    NaN
        Price/Sales (ttm)   0.96
         Price/Book (mrq) 455.58
 Enterprise Value/Revenue   2.76
  Enterprise Value/EBITDA  30.38</t>
  </si>
  <si>
    <t>Organic Growth Supports M&amp;T Bank (MTB), High Costs Disappoint
M&amp;T Bank's (MTB) top-line growth is supported by rising NII and non-interest income. However, high costs and significant exposure to commercial real estate loans are concerning.
Regional banks may saddle themselves with $63B in fresh debt to meet regulatory requirements: report
Eighteen regional banks may add about $63 billion of holding company debt to meet proposed regulatory guidelines for lending institutions of $100 billion to $250 billion of assets, in the latest challenge to the sector, according to a Bloomberg report.
Regional banks facing credit losses for commercial real estate: Moody's study
A survey of commercial real estate exposure by U.S. regional banks reveals increasing asset risk and potential credit losses as loans mature over the next 18 months, Moody's Investors Service said.
Why Citigroup, PNC Financial, and M&amp;T Bank Stocks Fell in August
Moody's downgraded 10 regional banks in August, including M&amp;T Bank. The credit ratings firm cited several factors that could result in profitability pressures.</t>
  </si>
  <si>
    <t xml:space="preserve">           1y Target Est             NaN
           52 Week Range 109.36 - 192.56
                     Ask      0.00 x 900
             Avg. Volume       1013304.0
       Beta (5Y Monthly)            0.81
                     Bid      0.00 x 800
             Day's Range 122.85 - 127.51
               EPS (TTM)           17.13
           Earnings Date    Oct 18, 2023
        Ex-Dividend Date    Aug 31, 2023
Forward Dividend &amp; Yield    5.20 (4.27%)
              Market Cap         20.928B
                    Open          122.85
          PE Ratio (TTM)            7.36
          Previous Close          121.78
             Quote Price      126.110001
                  Volume        459918.0
    Market Cap (intraday) 20.21B
         Enterprise Value    NaN
             Trailing P/E   7.11
              Forward P/E   8.44
PEG Ratio (5 yr expected)   1.67
        Price/Sales (ttm)   2.18
         Price/Book (mrq)   0.85
 Enterprise Value/Revenue    NaN
  Enterprise Value/EBITDA    NaN</t>
  </si>
  <si>
    <t>Why Is Wynn (WYNN) Down 9.4% Since Last Earnings Report?
Wynn (WYNN) reported earnings 30 days ago. What's next for the stock?
These 10 stocks have the most exposure to China's 'stalling' economy, BofA warns
China's "stalling" economy is putting some US companies at risk, according to Bank of America. High rates of youth unemployment and recent property defaults have put pressure on the Chinese economy.</t>
  </si>
  <si>
    <t xml:space="preserve">           1y Target Est                      129.96
           52 Week Range              53.81 - 117.86
                     Ask                 94.39 x 800
             Avg. Volume                   1936343.0
       Beta (5Y Monthly)                        2.06
                     Bid                 94.28 x 900
             Day's Range               93.87 - 95.94
               EPS (TTM)                       -0.16
           Earnings Date Nov 07, 2023 - Nov 13, 2023
        Ex-Dividend Date                Aug 18, 2023
Forward Dividend &amp; Yield                1.00 (1.06%)
              Market Cap                     10.768B
                    Open                       95.26
          PE Ratio (TTM)                         NaN
          Previous Close                       94.71
             Quote Price                   94.504997
                  Volume                    392050.0
    Market Cap (intraday) 10.79B
         Enterprise Value 20.60B
             Trailing P/E  52.91
              Forward P/E  22.37
PEG Ratio (5 yr expected)   0.53
        Price/Sales (ttm)   2.17
         Price/Book (mrq)  12.01
 Enterprise Value/Revenue   4.19
  Enterprise Value/EBITDA  15.78</t>
  </si>
  <si>
    <t>Alaska Air Group to webcast from the Morgan Stanley 11th Annual Laguna Conference
SEATTLE , Sept. 8, 2023 /PRNewswire/ -- Alaska Air Group Inc., the parent company of Alaska Airlines Inc. and Horizon Air Industries Inc., today announced it will webcast a fireside chat with CFO Shane Tackett at 3:15 p.m.
Is the Options Market Predicting a Spike in Alaska Air (ALK) Stock?
Investors need to pay close attention to Alaska Air (ALK) stock based on the movements in the options market lately.
The 3 Best Mid-Cap Stocks to Buy Now: September 2023
Banking on the Goldilocks narrative, targeting the best mid-cap stocks centers mostly on balance. If you go the small-capitalization route, you'll benefit from maximum upside potential.
Most Airline Stocks Hurt During Wednesday's Trading: Here's Why
The increase in the oil price does not bode well for the likes of United Airlines (UAL), Southwest Airlines (LUV) and Alaska Air (ALK).
8 Stocks Face Highest Risk Of Getting Booted Out Of The S&amp;P 500
Getting booted out of the S&amp;P 500 is a mark of shame most companies try to avoid. But it's a harsh possibility several face.
Top 5 Industrials Stocks That Could Lead To Your Biggest Gains In September - Alaska Air Gr (NYSE:ALK), American Airlines Group (NASDAQ:AAL)
The most oversold stocks in the industrials sector presents an opportunity to buy into undervalued companies.
3 Airline Stocks to Watch as Fuel Costs Rise
Alaska Air Group, Inc. (NYSE:ALK), United Airlines Holdings Inc (NASDAQ:UAL), and Southwest Airlines Co (NYSE:LUV) are in focus, after each flagged higher fuel costs for the third quarter.
3 Airline Stocks to Sell in September Before They Crash And Burn
If you're wondering what airline stocks to sell this month, look no further. The airline industry remains in a tricky spot.
Alaska Air tightens revenue guidance as fuel prices jump
Alaska Air Group (NYSE:ALK) Inc's shares eased in pre-market trading after it tightened revenue guidance and warned of lower margin following a sharp rise in fuel costs in recent weeks. In a regulatory filing, the airline said it's now expecting third-quarter economic fuel cost per gallon to be about $3.15 to $3.25, up from prior guidance of $2.70 to $2.80.
Alaska Air revises Q3 guidance to reflect spike in fuel costs in recent weeks
Alaska Air Group Inc. ALK revised its third-quarter guidance on Wednesday, after a considerable increase in fuel costs in recent weeks. In a regulatory filing, the airline said it's now expecting third-quarter economic fuel cost per gallon to be about $3.15 to $3.25, up from prior guidance of $2.70 to $2.80.</t>
  </si>
  <si>
    <t xml:space="preserve">           1y Target Est                       63.36
           52 Week Range               37.20 - 57.18
                     Ask                  0.00 x 800
             Avg. Volume                   1766282.0
       Beta (5Y Monthly)                        1.55
                     Bid                  0.00 x 800
             Day's Range               39.50 - 40.24
               EPS (TTM)                        1.23
           Earnings Date Oct 18, 2023 - Oct 23, 2023
        Ex-Dividend Date                Feb 14, 2020
Forward Dividend &amp; Yield                   N/A (N/A)
              Market Cap                      5.115B
                    Open                       39.93
          PE Ratio (TTM)                       32.69
          Previous Close                       39.81
             Quote Price                   40.200001
                  Volume                    564472.0
    Market Cap (intraday) 5.06B
         Enterprise Value 6.51B
             Trailing P/E 32.10
              Forward P/E  5.31
PEG Ratio (5 yr expected)   NaN
        Price/Sales (ttm)  0.50
         Price/Book (mrq)  1.28
 Enterprise Value/Revenue  0.63
  Enterprise Value/EBITDA  8.80</t>
  </si>
  <si>
    <t>3 Debt-Ridden S&amp;P 500 Stocks to Sell Before It's Too Late
S&amp;P 500 companies collectively saw second-quarter earnings fall by 4% over last year. A big problem for the index constituents is the higher interest expenses that are eating into corporate profits.
Catalent, Inc. to Present at September Investor Conferences
SOMERSET, N.J.--(BUSINESS WIRE)--Catalent, Inc. (NYSE: CTLT), the leader in enabling the development and supply of better treatments for patients worldwide, today announced that members of its executive leadership team will participate at two upcoming investor conferences. On September 12, 2023, at 10:50 a.m. ET, the Company will present at the Morgan Stanley 21st Annual Global Healthcare Conference. On September 13, 2023, at 7:55 a.m. ET, the Company will present at Baird's 2023 Global Healthc.</t>
  </si>
  <si>
    <t xml:space="preserve">           1y Target Est                        53.6
           52 Week Range               31.45 - 97.54
                     Ask                  0.00 x 900
             Avg. Volume                   2939833.0
       Beta (5Y Monthly)                        1.23
                     Bid                  0.00 x 800
             Day's Range               48.02 - 50.23
               EPS (TTM)                       -1.28
           Earnings Date Oct 30, 2023 - Nov 03, 2023
        Ex-Dividend Date                         NaN
Forward Dividend &amp; Yield                   N/A (N/A)
              Market Cap                      9.017B
                    Open                        48.1
          PE Ratio (TTM)                         NaN
          Previous Close                       48.48
             Quote Price                       50.02
                  Volume                    437842.0
    Market Cap (intraday)   8.74B
         Enterprise Value  13.31B
             Trailing P/E     NaN
              Forward P/E   54.64
PEG Ratio (5 yr expected)    2.68
        Price/Sales (ttm)    2.05
         Price/Book (mrq)    1.89
 Enterprise Value/Revenue    3.11
  Enterprise Value/EBITDA -101.59</t>
  </si>
  <si>
    <t>3 REITs to Sell in September Before They Crash &amp; Burn
Just as there are REITs to buy, there are REITs to sell in September. Some of these stocks are no longer in favor due to changes in how we fundamentally navigate through society.
Sell Alert: 2 REITs Getting Risky
I am a heavy buyer of REITs. But that doesn't mean that I am bullish on all REITs. I highlight two REITs that I sold and wouldn't buy back.
5 REIT Picks With Steady Dividends For Income Investors
Investors and analysts are closely watching the upcoming U.S. Federal Reserve meeting for clues on monetary policy. Some experts predict the Fed will pause its inflation-busting policy, while others expect further rate hikes. REITs, such as Crown Castle and National Storage Affiliates Trust, offer potential opportunities for income investors in the high-interest rate environment.
7 S&amp;P 500 Stocks to Sell in September Before They Crash &amp; Burn
Year to date, the S&amp;P 500 and other leading market indexes have been strong. However, thanks to interest rates, the Federal Reserve, and growing fears of a recession, we've seen some cracks in the armor.</t>
  </si>
  <si>
    <t xml:space="preserve">           1y Target Est                       62.75
           52 Week Range               43.33 - 64.37
                     Ask                 0.00 x 1100
             Avg. Volume                   1354582.0
       Beta (5Y Monthly)                        0.94
                     Bid                  0.00 x 800
             Day's Range               62.13 - 62.88
               EPS (TTM)                        1.29
           Earnings Date Nov 01, 2023 - Nov 06, 2023
        Ex-Dividend Date                Sep 14, 2023
Forward Dividend &amp; Yield                2.60 (4.15%)
              Market Cap                     18.302B
                    Open                       62.87
          PE Ratio (TTM)                       48.61
          Previous Close                       62.68
             Quote Price                   62.709999
                  Volume                    311423.0
    Market Cap (intraday) 18.29B
         Enterprise Value 31.90B
             Trailing P/E  48.59
              Forward P/E  37.45
PEG Ratio (5 yr expected)    NaN
        Price/Sales (ttm)   3.51
         Price/Book (mrq)  43.95
 Enterprise Value/Revenue   6.09
  Enterprise Value/EBITDA  18.17</t>
  </si>
  <si>
    <t>8 Stocks Face Highest Risk Of Getting Booted Out Of The S&amp;P 500
Getting booted out of the S&amp;P 500 is a mark of shame most companies try to avoid. But it's a harsh possibility several face.
Regional banks facing credit losses for commercial real estate: Moody's study
A survey of commercial real estate exposure by U.S. regional banks reveals increasing asset risk and potential credit losses as loans mature over the next 18 months, Moody's Investors Service said.</t>
  </si>
  <si>
    <t xml:space="preserve">           1y Target Est         37.47
           52 Week Range 18.26 - 59.75
                     Ask   35.04 x 800
             Avg. Volume     3575156.0
       Beta (5Y Monthly)          1.14
                     Bid  35.05 x 2200
             Day's Range 35.01 - 35.68
               EPS (TTM)          5.67
           Earnings Date  Oct 18, 2023
        Ex-Dividend Date  Aug 16, 2023
Forward Dividend &amp; Yield  1.64 (4.70%)
              Market Cap         5.21B
                    Open         35.12
          PE Ratio (TTM)           6.2
          Previous Close         34.92
             Quote Price     35.169998
                  Volume      737148.0
    Market Cap (intraday) 5.17B
         Enterprise Value   NaN
             Trailing P/E  6.16
              Forward P/E  7.69
PEG Ratio (5 yr expected)  0.71
        Price/Sales (ttm)  1.56
         Price/Book (mrq)  1.07
 Enterprise Value/Revenue   NaN
  Enterprise Value/EBITDA   NaN</t>
  </si>
  <si>
    <t>The League Launches "Be A GoalDigger" Campaign, Hailing GoalMates as the new Soulmates
Inclusive of the global campaign, The League introduces a new feature that advances the rise of goal setting in dating NEW YORK , Sept. 6, 2023 /PRNewswire/ -- The League , the dating app for ambitious and career-focused individuals, today announced the launch of its new campaign, Be a GoalDigger— alongside its newest feature, GoalMates - designed to celebrate goals and match members who share the same ones.
Match Group releases its guiding principles for integrating AI into its dating apps
AI isn't exactly new to the dating world; companies have long used the tech to help predict some matches and implement safety features. Dating conglomerate Match Group quietly released its guiding set of AI principles on Tuesday.
Match Group: Swiping Left On Important Metrics
Revenue growth is fine, but Net Income and Free Cash flow growth is less to be desired. Balance sheet exhibits a high Net Debt/EBITDA ratio of 3.5. Share dilution and stock-based compensation is a problem. Management is trying to fix this, but it's going to be tough with deteriorating earnings.</t>
  </si>
  <si>
    <t xml:space="preserve">           1y Target Est                        56.1
           52 Week Range               30.73 - 63.47
                     Ask                 44.35 x 900
             Avg. Volume                   4500624.0
       Beta (5Y Monthly)                        1.57
                     Bid                44.32 x 1000
             Day's Range               44.23 - 44.76
               EPS (TTM)                        1.63
           Earnings Date Oct 30, 2023 - Nov 03, 2023
        Ex-Dividend Date                Nov 10, 2015
Forward Dividend &amp; Yield                   N/A (N/A)
              Market Cap                     12.425B
                    Open                       44.55
          PE Ratio (TTM)                       27.15
          Previous Close                       44.05
             Quote Price                       44.25
                  Volume                    728390.0
    Market Cap (intraday) 12.25B
         Enterprise Value 15.35B
             Trailing P/E  26.86
              Forward P/E  15.55
PEG Ratio (5 yr expected)   0.71
        Price/Sales (ttm)   4.03
         Price/Book (mrq)  10.97
 Enterprise Value/Revenue   4.78
  Enterprise Value/EBITDA  19.53</t>
  </si>
  <si>
    <t>Southwest Airlines to Present at the Morgan Stanley 11th Annual Laguna Conference
DALLAS , Sept. 7, 2023 /PRNewswire/ -- Southwest Airlines Co. (NYSE: LUV) has been invited to speak at the Morgan Stanley 11th Annual Laguna Conference.
3 Stocks to Sell in September Before They Crash &amp; Burn
As companies boast robust earnings, pioneer breakthrough technologies and cement a loyal customer base, excitement over their future potential skyrockets. However, as they evolve — sometimes for the worse — businesses become obvious stocks to sell.
SOUTHWEST AIRLINES OFFERS RAPID REWARDS CUSTOMERS QUICKER WAY TO EARN COVETED COMPANION PASS
DALLAS , Sept. 7, 2023 /PRNewswire/ -- Southwest Airlines Co.  (NYSE: LUV) is rewarding its Rapid Rewards® Members for their loyalty by making it easier to earn Companion Pass®.
Most Airline Stocks Hurt During Wednesday's Trading: Here's Why
The increase in the oil price does not bode well for the likes of United Airlines (UAL), Southwest Airlines (LUV) and Alaska Air (ALK).
Southwest Airlines (LUV) &amp; IBT Sign Tentative Agreement
Southwest Airlines (LUV) and IBT ink a tentative deal for the airline's more than 480 material specialists.
Southwest Airlines, United sound alarm about rising jet fuel costs
Southwest, the largest US domestic carrier, said August bookings were at the lower end of its expectations, in part due to seasonal trends, but maintained that overall leisure demand and yields remain healthy.
Southwest Airlines stock falls as last-minute leisure bookings disappointed in August
Shares of Southwest Airlines Co. dropped Wednesday, after the air carrier trimmed its third-quarter outlook for a key revenue metric, as close-in bookings for August disappointed.
3 Airline Stocks to Watch as Fuel Costs Rise
Alaska Air Group, Inc. (NYSE:ALK), United Airlines Holdings Inc (NASDAQ:UAL), and Southwest Airlines Co (NYSE:LUV) are in focus, after each flagged higher fuel costs for the third quarter.
Here are the 14 stocks Jim Cramer is watching, including Oracle, Roku and Southwest
Here are some of the tickers on my radar for Wednesday, Sept. 6, taken directly from my reporter's notebook.
3 Airline Stocks to Sell in September Before They Crash And Burn
If you're wondering what airline stocks to sell this month, look no further. The airline industry remains in a tricky spot.
Airlines warn about spike in fuel costs, Southwest narrows revenue outlook
Airlines like Southwest, Alaska and United are paying more for jet-fuel this summer.
Airline Investors Have a New Fear. The Stocks Are Falling.
It's clear that the third quarter is still going to be a bumper one, or even a record one, for the airline industry. But investors are worried about the months ahead and they now have another reason to be concerned.
Southwest Airlines stock drops as August leisure bookings were on low end of expectations
Shares of Southwest Airlines Co. LUV dropped 4.2% toward a three-month low in premarket trading Wednesday, after the air carrier said it booked record revenue for the Labor Day weekend, but said close-in leisure bookings in August were on the lower-end of expectations. The company lowered its outlook for third-quarter revenue per available seat mile (RASM) to a year-over-year decline of 5% to 7% from previous guidance for a decline of 3% to 7%.
U.S. airlines flag high fuel costs, Southwest's August bookings disappoint
Southwest Airlines on Wednesday flagged softer August leisure bookings and joined two other U.S. airlines in warning of higher fuel costs in the third quarter due to a jump in crude prices.
Southwest Airlines reaches tentative agreement with Teamsters on new contract for material specialists
Southwest Airlines and the International Brotherhood of Teamsters announced a tentative agreement on a new contract for more than 480 material specialists.
Southwest Airlines reaches tentative agreement with IBT for its material specialists
Southwest Airlines Co. LUV, -1.09% announced Tuesday that it has reached a tentative agreement with the International Brotherhood of Teamsters, the union covering the air carrier's material specialists. IBT will present the agreement, which covers more than 480 material specialists, to its members for a vote.
TENTATIVE AGREEMENT REACHED FOR SOUTHWEST AIRLINES MATERIAL SPECIALISTS
DALLAS , Sept. 5, 2023 /PRNewswire/ -- Southwest Airlines Co.  (NYSE: LUV) and the International Brotherhood of Teamsters (IBT) reached a Tentative Agreement for the airline's Material Specialists.</t>
  </si>
  <si>
    <t xml:space="preserve">           1y Target Est                       35.44
           52 Week Range               28.40 - 40.38
                     Ask                 0.00 x 2900
             Avg. Volume                   7785785.0
       Beta (5Y Monthly)                        1.17
                     Bid                 0.00 x 1300
             Day's Range               29.14 - 29.66
               EPS (TTM)                        0.94
           Earnings Date Oct 25, 2023 - Oct 30, 2023
        Ex-Dividend Date                Sep 05, 2023
Forward Dividend &amp; Yield                0.72 (2.44%)
              Market Cap                     17.386B
                    Open                       29.72
          PE Ratio (TTM)                       31.05
          Previous Close                       29.53
             Quote Price                   29.189899
                  Volume                   1628979.0
    Market Cap (intraday) 17.59B
         Enterprise Value 14.74B
             Trailing P/E  31.41
              Forward P/E   8.56
PEG Ratio (5 yr expected)   0.23
        Price/Sales (ttm)   0.75
         Price/Book (mrq)   1.63
 Enterprise Value/Revenue   0.59
  Enterprise Value/EBITDA   6.05</t>
  </si>
  <si>
    <t>One Company Is Expected To Grow Even Faster Than Nvidia
Nvidia stock is a sensation with investors for its off-the-hook growth. But there's one S&amp;P 500 stock that's seen growing even faster.
These 10 stocks have the most exposure to China's 'stalling' economy, BofA warns
China's "stalling" economy is putting some US companies at risk, according to Bank of America. High rates of youth unemployment and recent property defaults have put pressure on the Chinese economy.</t>
  </si>
  <si>
    <t xml:space="preserve">           1y Target Est                       70.16
           52 Week Range               33.38 - 65.58
                     Ask                 0.00 x 3000
             Avg. Volume                   4224951.0
       Beta (5Y Monthly)                         1.2
                     Bid                 0.00 x 1400
             Day's Range               48.51 - 49.49
               EPS (TTM)                        0.07
           Earnings Date Oct 17, 2023 - Oct 23, 2023
        Ex-Dividend Date                Aug 07, 2023
Forward Dividend &amp; Yield                0.20 (0.41%)
              Market Cap                      37.32B
                    Open                       49.36
          PE Ratio (TTM)                      697.43
          Previous Close                       48.87
             Quote Price                       48.82
                  Volume                   1658721.0
    Market Cap (intraday) 37.36B
         Enterprise Value 46.51B
             Trailing P/E 698.14
              Forward P/E  15.90
PEG Ratio (5 yr expected)    NaN
        Price/Sales (ttm)   5.51
         Price/Book (mrq)   8.63
 Enterprise Value/Revenue   6.86
  Enterprise Value/EBITDA  23.85</t>
  </si>
  <si>
    <t>Land &amp; Buildings Issues Letter to Ventas Shareholders Detailing Continued Underperformance and Why Meaningful Board Change is Needed Now
STAMFORD, Conn.--(BUSINESS WIRE)--Today Land &amp; Buildings Investment Management, LLC (together with its affiliates, “Land &amp; Buildings”), a significant shareholder of Ventas, Inc. (NYSE: VTR) (“Ventas”, “VTR”, or the “Company”), issued a letter to shareholders detailing the Company's long-term underperformance and undervaluation. Land &amp; Buildings believes further action is necessary to address the lackluster returns shareholders have suffered – and continue to suffer – under the curre.
Land &amp; Buildings Again Seeks Board Changes at Ventas
After an unsuccessful proxy fight in 2022, the activist sets up what could be its second campaign at the big healthcare REIT.
Ventas to Participate in Investor Meetings at BofA Securities 2023 Global Real Estate Conference
CHICAGO--(BUSINESS WIRE)--Ventas, Inc. (NYSE: VTR) (“Ventas” or the “Company”) announced today that management will participate in investor meetings at the BofA Securities 2023 Global Real Estate Conference (the “BofA Securities Conference”) on September 12, 2023 and will make a presentation at 1:25 p.m. Eastern Time. The webcast will be accessible on the Company's website at ir.ventasreit.com/events-and-presentations. Any Company written materials accompanying the presentation at the BofA Secu.</t>
  </si>
  <si>
    <t xml:space="preserve">           1y Target Est                       51.47
           52 Week Range               35.33 - 53.15
                     Ask                  0.00 x 800
             Avg. Volume                   2203882.0
       Beta (5Y Monthly)                        1.23
                     Bid                  0.00 x 800
             Day's Range               42.40 - 42.95
               EPS (TTM)                        0.22
           Earnings Date Nov 01, 2023 - Nov 06, 2023
        Ex-Dividend Date                Jun 30, 2023
Forward Dividend &amp; Yield                1.80 (4.25%)
              Market Cap                     17.214B
                    Open                       42.43
          PE Ratio (TTM)                      194.45
          Previous Close                       42.38
             Quote Price                   42.779999
                  Volume                    715559.0
    Market Cap (intraday) 17.05B
         Enterprise Value 30.47B
             Trailing P/E 192.64
              Forward P/E 303.03
PEG Ratio (5 yr expected)    NaN
        Price/Sales (ttm)   4.00
         Price/Book (mrq)   1.71
 Enterprise Value/Revenue   7.13
  Enterprise Value/EBITDA  16.88</t>
  </si>
  <si>
    <t>3 Debt-Ridden S&amp;P 500 Stocks to Sell Before It's Too Late
S&amp;P 500 companies collectively saw second-quarter earnings fall by 4% over last year. A big problem for the index constituents is the higher interest expenses that are eating into corporate profits.
International Flavors (IFF) Up 9.2% Since Last Earnings Report: Can It Continue?
International Flavors (IFF) reported earnings 30 days ago. What's next for the stock?</t>
  </si>
  <si>
    <t>International Flavors &amp; Fragrances</t>
  </si>
  <si>
    <t xml:space="preserve">           1y Target Est                       79.41
           52 Week Range              62.11 - 118.97
                     Ask                 0.00 x 1100
             Avg. Volume                   2419200.0
       Beta (5Y Monthly)                        1.13
                     Bid                  0.00 x 900
             Day's Range               68.40 - 70.35
               EPS (TTM)                       -8.57
           Earnings Date Nov 06, 2023 - Nov 10, 2023
        Ex-Dividend Date                Sep 21, 2023
Forward Dividend &amp; Yield                3.24 (4.71%)
              Market Cap                     17.487B
                    Open                       69.75
          PE Ratio (TTM)                         NaN
          Previous Close                       68.73
             Quote Price                   68.508698
                  Volume                    332062.0
    Market Cap (intraday) 17.54B
         Enterprise Value 28.24B
             Trailing P/E    NaN
              Forward P/E  15.22
PEG Ratio (5 yr expected)   1.18
        Price/Sales (ttm)   1.48
         Price/Book (mrq)   1.00
 Enterprise Value/Revenue   2.38
  Enterprise Value/EBITDA -66.61</t>
  </si>
  <si>
    <t>3 Under-Appreciated Stocks with Nowhere to Go But Up
Stocks like V.F. Corporation NYSE: VFC, Verizon NYSE: VZ, and PENN Entertainment NYSE: PENN get beaten up for a reason, but often, the market will take things to the extreme.
Why an Ultra High Dividend Yield Alone Doesn't Make a Stock a Buy
VF Corp. cut its dividend this year after years of annual increases. Foot Locker "paused" its dividend as a turnaround ran into headwinds.</t>
  </si>
  <si>
    <t>VF Corporation</t>
  </si>
  <si>
    <t xml:space="preserve">           1y Target Est                       23.61
           52 Week Range               16.77 - 44.82
                     Ask                 0.00 x 2200
             Avg. Volume                   5815993.0
       Beta (5Y Monthly)                        1.49
                     Bid                  0.00 x 900
             Day's Range               17.90 - 18.99
               EPS (TTM)                         0.3
           Earnings Date Oct 24, 2023 - Oct 30, 2023
        Ex-Dividend Date                Sep 08, 2023
Forward Dividend &amp; Yield                1.20 (6.38%)
              Market Cap                      7.021B
                    Open                       18.83
          PE Ratio (TTM)                       60.18
          Previous Close                        18.8
             Quote Price                      18.055
                  Volume                   4745299.0
    Market Cap (intraday)  7.31B
         Enterprise Value 14.37B
             Trailing P/E  62.67
              Forward P/E   9.19
PEG Ratio (5 yr expected)   0.53
        Price/Sales (ttm)   0.64
         Price/Book (mrq)   2.69
 Enterprise Value/Revenue   1.26
  Enterprise Value/EBITDA  28.86</t>
  </si>
  <si>
    <t>Inadequate Inspections Contributed to Jet-Engine Failure
A Pratt &amp; Whitney engine broke down during a United flight to Honolulu in February 2021, showering a Colorado town with metal.
US NTSB cites inadequate inspections in 2021 United Airlines engine failure
The National Transportation Safety Board said on Friday the February 2021 engine failure on a United Airlines Boeing 777 in Colorado was due to a crack in a fan blade and cited inadequate inspections as a contributing cause.
United Airlines to Present at the Morgan Stanley 11th Annual Laguna Conference
CHICAGO , Sept. 8, 2023 /PRNewswire/ -- United will present at the Morgan Stanley 11th Annual Laguna Conference on Wednesday, September 13, beginning at 11:40 a.m.
Most Airline Stocks Hurt During Wednesday's Trading: Here's Why
The increase in the oil price does not bode well for the likes of United Airlines (UAL), Southwest Airlines (LUV) and Alaska Air (ALK).
United Airlines Holdings, Inc. (UAL) TD Cowen 16th Annual Global Transportation Conference (Transcript)
United Airlines Holdings, Inc. (NASDAQ:UAL ) TD Cowen 16th Annual Global Transportation Conference September 6, 2023 10:20 AM ET Company Participants Gerald Laderman - EVP &amp; CFO Conference Call Participants Helane Becker - TD Cowen Helane Becker This presentation is actually being webcast. So we need to be as on time as we possibly can be.
Southwest Airlines, United sound alarm about rising jet fuel costs
Southwest, the largest US domestic carrier, said August bookings were at the lower end of its expectations, in part due to seasonal trends, but maintained that overall leisure demand and yields remain healthy.
3 Airline Stocks to Watch as Fuel Costs Rise
Alaska Air Group, Inc. (NYSE:ALK), United Airlines Holdings Inc (NASDAQ:UAL), and Southwest Airlines Co (NYSE:LUV) are in focus, after each flagged higher fuel costs for the third quarter.
Airline Investors Have a New Fear. The Stocks Are Falling.
It's clear that the third quarter is still going to be a bumper one, or even a record one, for the airline industry. But investors are worried about the months ahead and they now have another reason to be concerned.
United Airlines backs revenue guidance as fuel prices rise
United Airlines Holdings Inc (NASDAQ:UAL) backed full-year revenue guidance as it raised its third-quarter fuel price outlook, citing a 20% jump in jet fuel prices since mid-July. The air carrier now expects fuel costs of $2.95 to $3.05 a gallon for the current quarter, up from previous guidance of $2.50 to $2.80 a gallon.
United Airlines boosts fuel price outlook, keeps revenue and capacity view intact
United Airlines Holdings Inc. UAL raised on Wednesday its third-quarter fuel price outlook, citing a 20% jump in jet fuel prices since mid-July. The air carrier now expects fuel costs of $2.95 to $3.05 a gallon for the current quarter, up from previous guidance of $2.50 to $2.80 a gallon.
United Airlines says the outage that held up departing flights was not a cybersecurity issue
United Airlines said Tuesday that a software update triggered a glitch that forced it to halt departures nationwide, briefly crippling one of the nation's biggest carriers on a busy travel day.
United Airlines says outage that held up departing flights was not a cybersecurity issue
United Airlines said Tuesday that a software update triggered a glitch that forced it to halt departures nationwide, briefly crippling one of the nation's biggest carriers on a busy travel day.
United Airlines Tech Issue Causes A Brief Ground Stop
The Federal Aviation Authority (FAA) briefly issued a ground stop for all departing United Airlines (UAL) aircrafts due to a "systemwide technology issue." Flights resumed operations a little less than an hour.
United delays all flights nationwide due to "equipment outage"
The FAA has lifted a ground stop affecting United flights nationwide.
More than 200 United Airlines flights delayed after computer glitch grounds planes
“We are experiencing a systemwide technology issue and are holding all aircraft at their departure airports,” United said in a statement.
United Airlines Lifts Nationwide Ground Stop After Equipment Issue
The ground stop came at the airline's request due to an equipment outage, per the FAA.
United Airlines issues a ground stop for flights nationwide due to a 'systemwide technology issue'
United Airlines has issued a nationwide ground stop, the company confirmed with Insider.  All United flights are being held at their departure airports due to a "systemwide technology issue.
All United Airlines Flights Grounded Nationwide Due To Equipment Outage
The ground stop comes at the airline's request due to an equipment outage, per the FAA.
United Airlines says software update prompted ground stop
United Airlines said it has ended an hour-long nationwide ground stop after a software update caused a widespread slowdown in United's technology systems.
FAA issues nationwide ground stop for United Airlines flights
A nationwide ground stop was issued for United Airlines flights.
United Airlines grounds all flights as it deals with an ‘equipment failure'
United Airlines Holdings Inc. UAL, -3.52% on Tuesday issued a nationwide ground stop because of a computer issue, according to the Federal Aviation Administration.</t>
  </si>
  <si>
    <t xml:space="preserve">           1y Target Est                        71.4
           52 Week Range               31.58 - 58.23
                     Ask                 47.40 x 800
             Avg. Volume                   6139961.0
       Beta (5Y Monthly)                        1.42
                     Bid                47.39 x 1000
             Day's Range               46.99 - 47.65
               EPS (TTM)                        8.07
           Earnings Date Oct 16, 2023 - Oct 20, 2023
        Ex-Dividend Date                Jan 07, 2008
Forward Dividend &amp; Yield                   N/A (N/A)
              Market Cap                     15.568B
                    Open                        47.6
          PE Ratio (TTM)                        5.88
          Previous Close                       47.44
             Quote Price                      47.465
                  Volume                   1700367.0
    Market Cap (intraday) 15.56B
         Enterprise Value 32.26B
             Trailing P/E   5.85
              Forward P/E   3.67
PEG Ratio (5 yr expected)   0.10
        Price/Sales (ttm)   0.31
         Price/Book (mrq)   2.02
 Enterprise Value/Revenue   0.63
  Enterprise Value/EBITDA   6.22</t>
  </si>
  <si>
    <t>Dominion Energy: Enbridge Deal Sets The Table
Dominion Energy is in the midst of asset sales and restructuring. Meanwhile, YTD, the stock has fallen by 25%. On September 5, the company entered into a $14 billion deal with Enbridge to sell three gas distribution businesses. In this article, I attempt to model the financial outcome to see how the asset sales may affect the company and its investors. I was surprised at the results.
7 Perfectly Priced ‘Strong Buy' Dividend Blue Chip Stocks Yielding Up to 9.2%
Conservative investors are partying like it is 1999, as money market rates are at 4.5% and certificates of deposits are above the 5% level.
Dominion Energy asset sale valuation ‘disappointing': analysts
BofA Securities analysts valued the equity of the three natural gas utilities Dominion Energy Inc sold to Enbridge at $12 billion, which is less than the $8.7 billion after-tax cash consideration the company agreed to receive.   In a note to clients, they called the deal's valuation “disappointing,” while reiterating their ‘Underperform' rating and $44 per share price objective on Dominion Energy, calling the stock "expensive.
Dominion Energy Sells 3 Gas Distribution Firms to Enbridge for $14 Billion
Dominion Energy (D) said it has sold its three natural gas distribution companies to Canada-based pipeline operator Enbridge (ENB) for $14 billion, including $4.6 billion in debt. The deal creates the largest natural gas utility franchise in North America.
Enbridge signs a $14 billion deal with Dominion Energy
Shares of Enbridge Inc (NYSE: ENB) are in focus on Wednesday after the natural gas utility company announced a $14 billion deal with Dominion Energy Inc (NYSE: D). Details of Enbridge-Dominion deal Enbridge has decided in favour of acquiring three U.S.
Dominion (D) to Sell Gas Distribution Companies &amp; Cut Debts
Dominion Energy (D) to sell three natural gas distribution companies, reduce outstanding debts and focus on clean electric generation to meet rising demand.
Enbridge: Acquiring 3 Utilities From Dominion For $14 Billion
Enbridge has reached three deals with Dominion Energy to acquire three utility companies for a combined value of $14 billion. The acquisition will make Enbridge the largest gas utility company in North America, expanding its footprint into several states. The deal is expected to strengthen Enbridge's dividend growth profile and be accretive to distributable cash flow.
Pipeline operator Enbridge Inc will buy three natural gas utilities from Dominion Energy for $9.4 billion
Canadian pipeline operator Enbridge Inc. announced Tuesday that it plans to acquire three gas distribution companies from Dominion Energy.
Enbridge buys three Dominion Energy companies for US$14B
Calgary based pipeline and energy giant Enbridge has announced a trio of acquisition deals with Dominion Energy that would make it the largest gas company by volume in North America. Enbridge agreed to purchase East Ohio Gas Co, Questar Gas and Public Service Company of North Carolina for a combined price of $14 billion.
Enbridge to buy three utilities in deal valued at $14 bln
Enbridge said on Tuesday it has entered into three separate deals with Dominion Energy to buy East Ohio Gas Co, Questar Gas and Public Service Company of North Carolina for a combined value of $14 billion, creating North America's largest natural gas utility platform.
Dominion Energy Advances Business Review; Announces Agreements to Sell Gas Distribution Companies to Enbridge
Consistent with the previously outlined commitments &amp; priorities of the ongoing business review Transactions valued at $14.0 billion – all cash consideration of $9.4 billion plus assumption of debt Highly credit accretive—100% of after-tax proceeds expected to be used to retire debt All sales expected to close by end of 2024, subject to customary regulatory approvals Company now expects to conclude review and announce repositioned outlook during the fourth quarter of 2023 given vital importance of ensuring the company is best positioned to create maximum long-term value for shareholders  RICHMOND, Va. , Sept. 5, 2023 /PRNewswire/ -- Dominion Energy (NYSE: D) today announced that it has concluded a robust and competitive sale process and executed three separate definitive agreements to sell its three natural gas distribution companies to Enbridge (TSX: ENB) (NYSE: ENB).
Dream Office: A Dividend Cut Is Necessary To Preserve Value
Dream Office's Q2-2023 results reflect the risks of the substantial issuer buyback and stresses in the office sector. Occupancy levels have remained steady, but tenant retention ratio is low, and interest coverage ratio has fallen. Despite leasing activity and commitments, the company may need to consider a dividend cut to preserve its NAV.</t>
  </si>
  <si>
    <t xml:space="preserve">           1y Target Est                       53.75
           52 Week Range               45.77 - 84.45
                     Ask                  0.00 x 900
             Avg. Volume                   4090477.0
       Beta (5Y Monthly)                        0.47
                     Bid                 0.00 x 1000
             Day's Range               46.74 - 47.35
               EPS (TTM)                         2.7
           Earnings Date Nov 02, 2023 - Nov 06, 2023
        Ex-Dividend Date                Aug 31, 2023
Forward Dividend &amp; Yield                2.67 (5.67%)
              Market Cap                     39.333B
                    Open                       46.82
          PE Ratio (TTM)                       17.41
          Previous Close                       47.12
             Quote Price                   47.005001
                  Volume                   1587476.0
    Market Cap (intraday) 39.43B
         Enterprise Value 89.67B
             Trailing P/E  17.45
              Forward P/E  13.32
PEG Ratio (5 yr expected)   4.02
        Price/Sales (ttm)   2.14
         Price/Book (mrq)   1.48
 Enterprise Value/Revenue   4.89
  Enterprise Value/EBITDA  11.43</t>
  </si>
  <si>
    <t>SHAREHOLDER ALERT: The Law Offices of Vincent Wong Remind Comerica Investors of a Lead Plaintiff Deadline of October 20, 2023
NEW YORK , Sept. 11, 2023 /PRNewswire/ -- Attention Comerica Incorporated ("Comerica") (NYSE: CMA) shareholders: The Law Offices of Vincent Wong announce that a class action lawsuit has commenced on behalf of investors who purchased between February 9, 2021 and May 29, 2023.
DEADLINE ACTION ALERT: The Schall Law Firm Encourages Investors in Comerica Incorporated with Losses of $100,000 to Contact the Firm
LOS ANGELES, CA / ACCESSWIRE / September 11, 2023 / The Schall Law Firm, a national shareholder rights litigation firm, reminds investors of a class action lawsuit against Comerica Incorporated ("Comerica" or "the Company") (NYSE:CMA) for violations of §§10(b) and 20(a) of the Securities Exchange Act of 1934 and Rule 10b-5 promulgated thereunder by the U.S. Securities and Exchange Commission. Investors who purchased the Company's securities between February 9, 2021 and May 29, 2023, inclusive (the "Class Period"), are encouraged to contact the firm before October 20, 2023.
SHAREHOLDER ALERT: Potential Recovery for Comerica Incorporated (CMA) Investors Affected by Stock Drop – Levi &amp; Korsinsky Pursuing Class Action Lawsuit
NEW YORK, NY / ACCESSWIRE / September 10, 2023 / If you suffered a loss on your Comerica Incorporated (NYSE:CMA) investment and want to learn about a potential recovery under the federal securities laws, follow the link below for more information: https://zlk.com/pslra-1/comerica-lawsuit-submission-form?prid=47517&amp;wire=1 or contact Joseph E. Levi, Esq.
Should You Consider Comerica (CMA) for Its Dividend Yield?
Investors may consider solid dividend-yielding stocks like Comerica (CMA) in their portfolios amid looming recession fears.
DEADLINE ACTION ALERT: The Schall Law Firm Encourages Investors in Comerica Incorporated with Losses of $100,000 to Contact the Firm
LOS ANGELES, CA / ACCESSWIRE / September 8, 2023 / The Schall Law Firm, a national shareholder rights litigation firm, reminds investors of a class action lawsuit against Comerica Incorporated ("Comerica" or "the Company") (NYSE:CMA) for violations of 10(b) and 20(a) of the Securities Exchange Act of 1934 and Rule 10b-5 promulgated thereunder by the U.S. Securities and Exchange Commission. Investors who purchased the Company's securities between February 9, 2021 and May 29, 2023, inclusive (the "Class Period"), are encouraged to contact the firm before October 20, 2023.
CMA Investors Have Opportunity to Lead Comerica Incorporated Securities Fraud Lawsuit
BENSALEM, Pa. , Sept. 7, 2023 /PRNewswire/ -- Law Offices of Howard G.
8 Stocks Face Highest Risk Of Getting Booted Out Of The S&amp;P 500
Getting booted out of the S&amp;P 500 is a mark of shame most companies try to avoid. But it's a harsh possibility several face.
SHAREHOLDER ACTION ALERT: The Schall Law Firm Encourages Investors in Comerica Incorporated with Losses of $100,000 to Contact the Firm
LOS ANGELES, CA / ACCESSWIRE / September 7, 2023 / The Schall Law Firm, a national shareholder rights litigation firm, reminds investors of a class action lawsuit against Comerica Incorporated ("Comerica" or "the Company") (NYSE:CMA) for violations of §§10(b) and 20(a) of the Securities Exchange Act of 1934 and Rule 10b-5 promulgated thereunder by the U.S. Securities and Exchange Commission. Investors who purchased the Company's securities between February 9, 2021 and May 29, 2023, inclusive (the "Class Period"), are encouraged to contact the firm before October 20, 2023.
Comerica Bank Named Captive Review Collateral Specialist of the Year
Comerica Bank earns U.S. Captive Services top banking award for second consecutive year DETROIT , Sept. 6, 2023 /PRNewswire/ -- Comerica Bank was named the 2023 U.S. Captive Services Collateral Specialist of the Year by Captive Review for the second consecutive year.
SHAREHOLDER ALERT: The Gross Law Firm Notifies Shareholders of Comerica Incorporated of a Class Action Lawsuit and a Lead Plaintiff Deadline of October 20, 2023 - (NYSE: CMA)
NEW YORK , Sept. 6, 2023 /PRNewswire/ -- The Gross Law Firm issues the following notice to shareholders of Comerica Incorporated.
SHAREHOLDER ALERT: Pomerantz Law Firm Investigates Claims On Behalf of Investors of Comerica Incorporated - CMA
NEW YORK , Sept. 5, 2023 /PRNewswire/ -- Pomerantz LLP is investigating claims on behalf of investors of Comerica Incorporated ("Comerica" or the "Company") (NYSE: CMA).
Comerica to Participate in Barclays Global Financial Services Conference; Announces Details for Conference Call to Review Third Quarter 2023 Earnings
DALLAS , Sept. 5, 2023 /PRNewswire/ -- Comerica Incorporated (NYSE: CMA) announced it will participate in the 2023 Barclays Global Financial Services Conference on Tuesday, Sept.
Rise in NII &amp; High Rates Aid Comerica (CMA), High Costs Hurt
Decent loan growth, rising NII, adequate liquidity and sustainable capital distributions are major tailwinds for Comerica (CMA). However, rising costs are likely to limit bottom-line growth.</t>
  </si>
  <si>
    <t xml:space="preserve">           1y Target Est         57.67
           52 Week Range 28.40 - 86.42
                     Ask   0.00 x 1000
             Avg. Volume     2374196.0
       Beta (5Y Monthly)          1.25
                     Bid   0.00 x 1200
             Day's Range 46.63 - 47.83
               EPS (TTM)          9.58
           Earnings Date  Oct 20, 2023
        Ex-Dividend Date  Sep 14, 2023
Forward Dividend &amp; Yield  2.84 (6.08%)
              Market Cap        6.157B
                    Open         47.05
          PE Ratio (TTM)          4.88
          Previous Close         46.73
             Quote Price     46.720001
                  Volume      524329.0
    Market Cap (intraday) 6.16B
         Enterprise Value   NaN
             Trailing P/E  4.88
              Forward P/E  7.79
PEG Ratio (5 yr expected)   NaN
        Price/Sales (ttm)  1.58
         Price/Book (mrq)  1.18
 Enterprise Value/Revenue   NaN
  Enterprise Value/EBITDA   NaN</t>
  </si>
  <si>
    <t>SHAREHOLDER ALERT: The Law Offices of Vincent Wong Remind Danaher Investors of a Lead Plaintiff Deadline of September 15, 2023
NEW YORK , Sept. 11, 2023 /PRNewswire/ -- Attention Danaher Corporation ("Danaher") (NYSE: DHR) shareholders: The Law Offices of Vincent Wong announce that a class action lawsuit has commenced on behalf of investors who purchased between April 21, 2022 and April 24, 2023.
SHAREHOLDER ALERT: Potential Recovery for Danaher Corporation (DHR) Investors Affected by Stock Drop – Levi &amp; Korsinsky Pursuing Class Action Lawsuit
NEW YORK, NY / ACCESSWIRE / September 11, 2023 / If you suffered a loss on your Danaher Corporation (NYSE:DHR) investment and want to learn about a potential recovery under the federal securities laws, follow the link below for more information: https://zlk.com/pslra-1/danaher-lawsuit-submission-form?prid=47542&amp;wire=1 or contact Joseph E. Levi, Esq.
DEADLINE ACTION ALERT: The Schall Law Firm Encourages Investors in Danaher Corporation with Losses of $100,000 to Contact the Firm
LOS ANGELES, CA / ACCESSWIRE / September 11, 2023 / The Schall Law Firm, a national shareholder rights litigation firm, reminds investors of a class action lawsuit against Danaher Corporation ("Danaher" or "the Company") (NYSE:DHR) for violations of §§10(b) and 20(a) of the Securities Exchange Act of 1934 and Rule 10b-5 promulgated thereunder by the U.S. Securities and Exchange Commission. Investors who purchased the Company's securities between April 21, 2022 and April 24, 2023, inclusive (the "Class Period"), are encouraged to contact the firm before September 15, 2023.
SHAREHOLDER ALERT: Potential Recovery for Danaher Corporation (DHR) Investors Affected by Stock Drop – Levi &amp; Korsinsky Pursuing Class Action Lawsuit
NEW YORK, NY / ACCESSWIRE / September 10, 2023 / If you suffered a loss on your Danaher Corporation (NYSE:DHR) investment and want to learn about a potential recovery under the federal securities laws, follow the link below for more information: https://zlk.com/pslra-1/danaher-lawsuit-submission-form?prid=47533&amp;wire=1 or contact Joseph E. Levi, Esq.
The 3 Best Pharma Stocks to Buy Now: September 2023
The pharmaceutical sector will always be a sector in constant evolution and growth. As technology advances, the companies that make life in this sector will always be applying it, as well as implementing new processes, new combinations, and new formulas, always with the aim of being able to make medicines and treatments much more effective and efficient for all of us.
DEADLINE ACTION ALERT: The Schall Law Firm Encourages Investors in Danaher Corporation with Losses of $100,000 to Contact the Firm
LOS ANGELES, CA / ACCESSWIRE / September 8, 2023 / The Schall Law Firm, a national shareholder rights litigation firm, reminds investors of a class action lawsuit against Danaher Corporation ("Danaher" or "the Company") (NYSE:DHR) for violations of §§10(b) and 20(a) of the Securities Exchange Act of 1934 and Rule 10b-5 promulgated thereunder by the U.S. Securities and Exchange Commission. Investors who purchased the Company's securities between April 21, 2022 and April 24, 2023, inclusive (the "Class Period"), are encouraged to contact the firm before September 15, 2023.
SHAREHOLDER ALERT: Levi &amp; Korsinsky Notifies Danaher Corporation (DHR) Investors of a Class Action Lawsuit and Upcoming Deadline
NEW YORK , Sept. 7, 2023 /PRNewswire/ -- Levi &amp; Korsinsky, LLP notifies investors in Danaher Corporation ("Danaher" or the "Company") (NYSE: DHR) of a class action securities lawsuit.
SHAREHOLDER ACTION ALERT: The Schall Law Firm Encourages Investors in Danaher Corporation with Losses of $100,000 to Contact the Firm
LOS ANGELES, CA / ACCESSWIRE / September 7, 2023 / The Schall Law Firm, a national shareholder rights litigation firm, reminds investors of a class action lawsuit against Danaher Corporation ("Danaher" or "the Company") (NYSE:DHR) for violations of §§10(b) and 20(a) of the Securities Exchange Act of 1934 and Rule 10b-5 promulgated thereunder by the U.S. Securities and Exchange Commission. Investors who purchased the Company's securities between April 21, 2022 and April 24, 2023, inclusive (the "Class Period"), are encouraged to contact the firm before September 15, 2023.
SHAREHOLDER ALERT: The Gross Law Firm Notifies Shareholders of Danaher Corporation of a Class Action Lawsuit and a Lead Plaintiff Deadline of September 15, 2023 - (NYSE: DHR)
NEW YORK , Sept. 6, 2023 /PRNewswire/ -- The Gross Law Firm issues the following notice to shareholders of Danaher Corporation.
Here's Why You Should Steer Clear of Danaher (DHR) Stock Now
Lower demand for COVID-related products, raw material cost inflation and foreign currency headwinds weigh on Danaher's (DHR) operations.
SHAREHOLDER ALERT: Pomerantz Law Firm Reminds Shareholders with Losses on their Investment in Danaher Corporation of Class Action Lawsuit and Upcoming Deadline - DHR
NEW YORK , Sept. 5, 2023 /PRNewswire/ -- Pomerantz LLP announces that a class action lawsuit has been filed against Danaher Corporation ("Danaher" or the "Company") (NYSE: DHR), and certain officers.
FINAL DEADLINE APPROACHING: The Schall Law Firm Encourages Investors in Danaher Corporation with Losses of $100,000 to Contact the Firm
LOS ANGELES, CA / ACCESSWIRE / September 5, 2023 / The Schall Law Firm, a national shareholder rights litigation firm, reminds investors of a class action lawsuit against Danaher Corporation ("Danaher" or "the Company") (NYSE:DHR) for violations of §§10(b) and 20(a) of the Securities Exchange Act of 1934 and Rule 10b-5 promulgated thereunder by the U.S. Securities and Exchange Commission. Investors who purchased the Company's securities between April 21, 2022 and April 24, 2023, inclusive (the "Class Period"), are encouraged to contact the firm before September 15, 2023.</t>
  </si>
  <si>
    <t xml:space="preserve">           1y Target Est                      281.88
           52 Week Range             221.22 - 294.60
                     Ask                  0.00 x 800
             Avg. Volume                   2760722.0
       Beta (5Y Monthly)                         0.8
                     Bid                  0.00 x 900
             Day's Range             244.17 - 249.20
               EPS (TTM)                        8.52
           Earnings Date Oct 18, 2023 - Oct 23, 2023
        Ex-Dividend Date                Jun 29, 2023
Forward Dividend &amp; Yield                1.08 (0.43%)
              Market Cap                    183.857B
                    Open                      247.02
          PE Ratio (TTM)                       29.23
          Previous Close                      248.36
             Quote Price                  249.009995
                  Volume                    857991.0
    Market Cap (intraday) 183.38B
         Enterprise Value 194.68B
             Trailing P/E   29.15
              Forward P/E   24.88
PEG Ratio (5 yr expected)    5.25
        Price/Sales (ttm)    6.04
         Price/Book (mrq)    3.55
 Enterprise Value/Revenue    6.41
  Enterprise Value/EBITDA   19.91</t>
  </si>
  <si>
    <t>SHAREHOLDER ACTION ALERT: The Schall Law Firm Encourages Investors in Live Nation Entertainment, Inc. with Losses of $100,000 to Contact the Firm
LOS ANGELES, CA / ACCESSWIRE / September 11, 2023 / The Schall Law Firm, a national shareholder rights litigation firm, reminds investors of a class action lawsuit against Live Nation Entertainment, Inc. ("Live Nation" or "the Company") (NYSE:LYV) for violations of §§10(b) and 20(a) of the Securities Exchange Act of 1934 and Rule 10b-5 promulgated thereunder by the U.S. Securities and Exchange Commission. Investors who purchased the Company's securities between February 23, 2022 and July 28, 2023, inclusive (the "Class Period"), are encouraged to contact the firm before October 3, 2023.
SHAREHOLDER ALERT: The Law Offices of Vincent Wong Remind Live Nation Investors of a Lead Plaintiff Deadline of October 3, 2023
NEW YORK , Sept. 11, 2023 /PRNewswire/ -- Attention Live Nation Entertainment, Inc. ("Live Nation") (NYSE: LYV) shareholders: The Law Offices of Vincent Wong announce that a class action lawsuit has commenced on behalf of investors who purchased between February 23, 2022 and July 28, 2023.
SHAREHOLDER ALERT: Potential Recovery for Live Nation Entertainment, Inc. (LYV) Investors Affected by Stock Drop - Levi &amp; Korsinsky Pursuing Class Action Lawsuit
NEW YORK, NY / ACCESSWIRE / September 10, 2023 / If you suffered a loss on your Live Nation Entertainment, Inc. (NYSE:LYV) investment and want to learn about a potential recovery under the federal securities laws, follow the link below for more information: https://zlk.com/pslra-1/live-nation-lawsuit-submission-form?prid=47538&amp;wire=1 or contact Joseph E. Levi, Esq.
Kessler Topaz Meltzer &amp; Check, LLP Reminds LYV Investors of October 3, 2023 Deadline in Securities Fraud Class Action against of Live Nation Entertainment, Inc. (LYV) and Urges Investors with Substantial Losses to Contact the Firm
RADNOR, Pa. , Sept. 10, 2023 /PRNewswire/ -- The law firm of Kessler Topaz Meltzer &amp; Check, LLP (www.ktmc.com) informs investors that a securities class action lawsuit has been filed against Live Nation Entertainment, Inc. ("Live Nation") (NYSE: LYV).
SHAREHOLDER ALERT: Potential Recovery for Live Nation Entertainment, Inc. (LYV) Investors Affected by Stock Drop – Levi &amp; Korsinsky Pursuing Class Action Lawsuit
NEW YORK, NY / ACCESSWIRE / September 10, 2023 / If you suffered a loss on your Live Nation Entertainment, Inc. (NYSE:LYV) investment and want to learn about a potential recovery under the federal securities laws, follow the link below for more information: https://zlk.com/pslra-1/live-nation-lawsuit-submission-form?prid=47526&amp;wire=1 or contact Joseph E. Levi, Esq.
DEADLINE ACTION ALERT: The Schall Law Firm Encourages Investors in Live Nation Entertainment, Inc. with Losses of $100,000 to Contact the Firm
LOS ANGELES, CA / ACCESSWIRE / September 8, 2023 / The Schall Law Firm, a national shareholder rights litigation firm, reminds investors of a class action lawsuit against Live Nation Entertainment, Inc. ("Live Nation" or "the Company") (NYSE:LYV) for violations of 10(b) and 20(a) of the Securities Exchange Act of 1934 and Rule 10b-5 promulgated thereunder by the U.S. Securities and Exchange Commission. Investors who purchased the Company's securities between February 23, 2022 and July 28, 2023, inclusive (the "Class Period"), are encouraged to contact the firm before October 3, 2023.
SHAREHOLDER ALERT: Levi &amp; Korsinsky Notifies Live Nation Entertainment, Inc.(LYV) Investors of a Class Action Lawsuit and Upcoming Deadline
NEW YORK , Sept. 7, 2023 /PRNewswire/ -- Levi &amp; Korsinsky, LLP notifies investors in Live Nation Entertainment, Inc. ("Live Nation" or the "Company") (NYSE: LYV) of a class action securities lawsuit.
SHAREHOLDER ACTION ALERT: The Schall Law Firm Encourages Investors in Live Nation Entertainment, Inc. with Losses of $100,000 to Contact the Firm
LOS ANGELES, CA / ACCESSWIRE / September 7, 2023 / The Schall Law Firm, a national shareholder rights litigation firm, reminds investors of a class action lawsuit against Live Nation Entertainment, Inc. ("Live Nation" or "the Company") (NYSE:LYV) for violations of §§10(b) and 20(a) of the Securities Exchange Act of 1934 and Rule 10b-5 promulgated thereunder by the U.S. Securities and Exchange Commission. Investors who purchased the Company's securities between February 23, 2022 and July 28, 2023, inclusive (the "Class Period"), are encouraged to contact the firm before October 3, 2023.
LYV Investors Have Opportunity to Lead Live Nation Entertainment, Inc. Securities Fraud Lawsuit
LOS ANGELES , Sept. 6, 2023 /PRNewswire/ -- Glancy Prongay &amp; Murray LLP ("GPM") announces that investors with substantial losses have opportunity to lead the securities fraud class action lawsuit against Live Nation Entertainment, Inc. ("Live Nation" or the "Company") (NYSE: LYV).
SHAREHOLDER ALERT: The Gross Law Firm Notifies Shareholders of Live Nation Entertainment, Inc. of a Class Action Lawsuit and a Lead Plaintiff Deadline of October 3, 2023 - (NYSE: LYV)
NEW YORK , Sept. 6, 2023 /PRNewswire/ -- The Gross Law Firm issues the following notice to shareholders of Live Nation Entertainment, Inc..
SHAREHOLDER ALERT: Pomerantz Law Firm Investigates Claims On Behalf of Investors of Live Nation Entertainment, Inc. - LYV
NEW YORK , Sept. 5, 2023 /PRNewswire/ -- Pomerantz LLP is investigating claims on behalf of investors of Live Nation Entertainment, Inc. ("Live Nation" or the "Company") (NSYE: LYV).
Down -5.79% in 4 Weeks, Here's Why You Should You Buy the Dip in Live Nation (LYV)
Live Nation (LYV) is technically in oversold territory now, so the heavy selling pressure might have exhausted. This along with strong agreement among Wall Street analysts in raising earnings estimates could lead to a trend reversal for the stock.
MANÁ Launches First-Ever Local Social Impact Initiative as Part of Second Leg of U.S. tour
Grammy Award-Winning-Band to Donate a Portion of Concert Proceeds to 15 Local Charities Serving the US Latino Community in Tour Markets LOS ANGELES , Sept. 5, 2023 /PRNewswire/ -- Following decades of world-wide service and advocacy, MANÁ, Latin America's most influential band, has announced the launch of their first ever local social impact initiative as part of the second leg of their wildly successful US tour.</t>
  </si>
  <si>
    <t xml:space="preserve">           1y Target Est                      108.76
           52 Week Range              64.25 - 101.74
                     Ask                  0.00 x 800
             Avg. Volume                   2147691.0
       Beta (5Y Monthly)                         1.3
                     Bid                 0.00 x 1200
             Day's Range               80.94 - 82.55
               EPS (TTM)                        1.12
           Earnings Date Nov 01, 2023 - Nov 06, 2023
        Ex-Dividend Date                         NaN
Forward Dividend &amp; Yield                   N/A (N/A)
              Market Cap                     18.877B
                    Open                       81.26
          PE Ratio (TTM)                       73.23
          Previous Close                       80.94
             Quote Price                   82.019997
                  Volume                    451114.0
    Market Cap (intraday) 18.63B
         Enterprise Value 19.91B
             Trailing P/E  72.27
              Forward P/E  49.26
PEG Ratio (5 yr expected)   1.00
        Price/Sales (ttm)   0.97
         Price/Book (mrq)  31.01
 Enterprise Value/Revenue   1.04
  Enterprise Value/EBITDA  13.07</t>
  </si>
  <si>
    <t>Dividend Aristocrats: 4 Top Dogs Plus 6 Chasers For September
"Dividend Aristocrats in the S&amp;P 500 Index have raised their annual payouts every year for at least 25 consecutive years." -- Kiplinger.com/Investing. 66 Aristocrats, screened as of September 1, 2023, represented all eleven Morningstar Sectors. Broker estimated-top-ten net-gains ranged 15.58%-45.47% topped-by WBA &amp; NEE. By yield, WBA topped-all Aristocrats. Top-ten Yields from ESS, ABBV, TROW, FRT, BEN, IBM, AMCR, O, MMM, &amp; WBA, averaged 4.99%.
Is It Time to Buy the Dow Jones' 3 Worst-Performing August Stocks?
Walgreens Boots Alliance continues to face multiple challenges. Goldman Sachs' CEO has come under heavy fire.
Is This a Sign Walgreens Boots Alliance's Dividend Is in Danger?
Walgreens has an impressive record of increasing its dividend for decades. But it hasn't announced a dividend boost yet this year, which is unusual.
Don't Be Fooled By Walgreens' 8.2% Yield
Walgreens has experienced a 68% collapse in its stock price since mid-2015 and is currently down 54% from its early 2021 highs. The company's fundamentals have deteriorated, leading to concerns about its dividend safety, which has a 47-year growth streak and no cuts for 91 years. The yield is at an all-time high, but in this case, that's a warning. The management shakeup creates a 5.3% risk of a dividend cut.
Walgreens (WBA) stock: Is the worst Dow Jones constituent a buy?
Walgreens Boots Alliance (NASDAQ: WBA) has had an outstanding crash in the past few years, making it the worst-performing Dow Jones company. While the Dow Jones and S&amp;P 500 indices have risen by double digits this year, WBA is languishing at the lowest level since July 2012.
Walgreens On Clearance Sale After CEO Exit
Walgreens stock is on a clearance sale now down 44.7% from 52-week highs after the CEO resigned last week. As of the latest quarter, management was guiding to 2023 adjusted EPS of $4.03 at the mid-point which implies a forward earnings yield of 17.2% or P/E of 5.8x. Despite negative net income in the TTM period due to legal charges and impairments, Walgreens has a profitable and growing business with good cash flow.
New Strong Sell Stocks for September 5th
HDSN, FMNB and WBA have been added to the Zacks Rank #5 (Strong Sell) List on September 5, 2023.
September Dogs Of The Dow: Walgreens Now Tops All By Yield
"The Dow [adds a stock] if the company has an excellent reputation, demonstrates sustained growth, and is of interest to a large number of investors. Sector representation is also a consideration." - Dow Jones &amp; Co. The highest-yield 10 stocks are September's Dogs of the Dow: JNJ, KO, AMGN, GS, CVX, IBM, DOW, MMM, VZ, and WBA averaged a 4.73% annual yield. Thirty Dow stocks represent nine of eleven sectors. Dow Jones tracks utilities as a separate index and omits real estate. Broker top-ten target-estimated September net gains ranged from 17.91%-45.47%, topped by WBA 9/1/23.
For Next Walgreens CEO, ‘Deep Healthcare Experience' A Must
The next chief executive officer of Walgreens Boots Alliance needs to have "deep healthcare experience," the drugstore giant's board says.</t>
  </si>
  <si>
    <t xml:space="preserve">           1y Target Est                        32.6
           52 Week Range               21.60 - 42.29
                     Ask                21.68 x 1200
             Avg. Volume                  10563022.0
       Beta (5Y Monthly)                        0.69
                     Bid                21.68 x 4000
             Day's Range               21.60 - 22.24
               EPS (TTM)                       -3.84
           Earnings Date Oct 11, 2023 - Oct 16, 2023
        Ex-Dividend Date                Aug 18, 2023
Forward Dividend &amp; Yield                1.92 (8.73%)
              Market Cap                     18.724B
                    Open                       22.15
          PE Ratio (TTM)                         NaN
          Previous Close                       21.99
             Quote Price                   21.690001
                  Volume                   9581322.0
    Market Cap (intraday) 18.98B
         Enterprise Value 54.45B
             Trailing P/E   5.98
              Forward P/E   5.79
PEG Ratio (5 yr expected)   3.55
        Price/Sales (ttm)   0.14
         Price/Book (mrq)   0.90
 Enterprise Value/Revenue   0.40
  Enterprise Value/EBITDA -17.39</t>
  </si>
  <si>
    <t>SHAREHOLDER ALERT: The Law Offices of Vincent Wong Remind Baxter Investors of a Lead Plaintiff Deadline of September 11, 2023
NEW YORK , Sept. 11, 2023 /PRNewswire/ -- Attention Baxter International Inc. ("Baxter") (NYSE: BAX) shareholders: The Law Offices of Vincent Wong announce that a class action lawsuit has commenced on behalf of investors who purchased between May 25, 2022 and February 8, 2023.
SHAREHOLDER ALERT: Potential Recovery for Baxter International Inc. (BAX) Investors Affected by Stock Drop – Levi &amp; Korsinsky Pursuing Class Action Lawsuit
NEW YORK, NY / ACCESSWIRE / September 11, 2023 / If you suffered a loss on your Baxter International Inc. (NYSE:BAX) investment and want to learn about a potential recovery under the federal securities laws, follow the link below for more information: https://zlk.com/pslra-1/baxter-lawsuit-submission-form?prid=47541&amp;wire=1 or contact Joseph E. Levi, Esq.
FINAL DEADLINE TODAY: The Schall Law Firm Encourages Investors in Baxter International Inc. with Losses to Contact the Firm
LOS ANGELES, CA / ACCESSWIRE / September 11, 2023 / The Schall Law Firm, a national shareholder rights litigation firm, reminds investors of a class action lawsuit against Baxter International Inc. ("Baxter" or "the Company") (NYSE:BAX) for violations of §§10(b) and 20(a) of the Securities Exchange Act of 1934 and Rule 10b-5 promulgated thereunder by the U.S. Securities and Exchange Commission. Investors who purchased the Company's securities between May 25, 2022 and February 8, 2023, inclusive (the "Class Period"), are encouraged to contact the firm before September 11, 2023.
SHAREHOLDER ALERT: Potential Recovery for Baxter International Inc. (BAX) Investors Affected by Stock Drop – Levi &amp; Korsinsky Pursuing Class Action Lawsuit
NEW YORK, NY / ACCESSWIRE / September 10, 2023 / If you suffered a loss on your Baxter International Inc. (NYSE:BAX) investment and want to learn about a potential recovery under the federal securities laws, follow the link below for more information: https://zlk.com/pslra-1/baxter-lawsuit-submission-form?prid=47535&amp;wire=1 or contact Joseph E. Levi, Esq.
The Law Offices of Frank R. Cruz Reminds Investors of Looming Deadline in the Class Action Lawsuit Against Baxter International Inc. (BAX)
LOS ANGELES--(BUSINESS WIRE)--The Law Offices of Frank R. Cruz reminds investors of the upcoming September 11, 2023 deadline to file a lead plaintiff motion in the class action filed on behalf of investors who acquired Baxter International Inc. (“Baxter” or the “Company”) (NYSE: BAX) securities between May 25, 2022 and February 8, 2023, inclusive (the “Class Period”). If you are a shareholder who suffered a loss, click here to participate. On February 9, 2023, before the market opened, Baxter r.
DEADLINE ACTION ALERT: The Schall Law Firm Encourages Investors in Baxter International Inc. with Losses of $100,000 to Contact the Firm
LOS ANGELES, CA / ACCESSWIRE / September 8, 2023 / The Schall Law Firm, a national shareholder rights litigation firm, reminds investors of a class action lawsuit against Baxter International Inc. ("Baxter" or "the Company") (NYSE:BAX) for violations of §§10(b) and 20(a) of the Securities Exchange Act of 1934 and Rule 10b-5 promulgated thereunder by the U.S. Securities and Exchange Commission. Investors who purchased the Company's securities between May 25, 2022 and February 8, 2023, inclusive (the "Class Period"), are encouraged to contact the firm before September 11, 2023.
CORRECTION – Spectral Medical Inc. Closes C$6.1 Million Bought Deal Convertible Note Financing
Tigris patient enrollment momentum continues reaching 72 The Company anticipates three additional trial sites to be activated in Q3 NOT FOR DISTRIBUTION TO UNITED STATES NEWSWIRE SERVICES OR FOR DISSEMINATION IN THE UNITED STATES CORRECTION FROM SOURCE: Spectral Medical Inc. A correction from source is being issued with respect to the press release titled, Spectral Medical Inc. Closes C$6.1 Million Bought Deal Convertible Note Financing, released on September 7, 2023, at 7:00 am ET. There was an error in the third sentence of the second paragraph.
BAX Investors Have Opportunity to Lead Baxter International Inc. Securities Fraud Lawsuit
LOS ANGELES , Sept. 7, 2023 /PRNewswire/ -- The Law Offices of Frank R.
Spectral Medical Inc. Closes C$6.1 Million Bought Deal Convertible Note Financing
Tigris patient enrollment momentum continues reaching 72 The Company anticipates three additional trial sites to be activated in Q3 NOT FOR DISTRIBUTION TO UNITED STATES NEWSWIRE SERVICES OR FOR DISSEMINATION IN THE UNITED STATES TORONTO, Sept. 07, 2023 (GLOBE NEWSWIRE) -- Spectral Medical Inc. (TSX: EDT) (“Spectral” or the “Company”) is pleased to announce that it has closed its previously announced ”bought deal” private placement of 9.0% convertible unsecured senior notes due November 1, 2026 (the “Notes") of the Company at a price of US$1,000 per Note (the “Issue Price”) for aggregate gross proceeds of US$4,553,000 (the "Offering").
SHAREHOLDER ALERT: Levi &amp; Korsinsky Notifies Baxter International Inc.(BAX) Investors of a Class Action Lawsuit and Upcoming Deadline
NEW YORK , Sept. 7, 2023 /PRNewswire/ -- Levi &amp; Korsinsky, LLP notifies investors in Baxter International Inc. ("Baxter" or the "Company") (NYSE: BAX) of a class action securities lawsuit.
FILING DEADLINE--Kuznicki Law PLLC Announces Class Action on Behalf of Shareholders of Baxter International Inc. - BAX
CEDARHURST, N.Y. , Sept. 6, 2023 /PRNewswire/ -- The securities litigation law firm of Kuznicki Law PLLC issues this alert to shareholders of Baxter International Inc. (NYSE: BAX), if they purchased the Company's securities between May 12, 2022 and February 8, 2023, inclusive (the "Class Period").
SHAREHOLDER ALERT: The Gross Law Firm Notifies Shareholders of Baxter International Inc. of a Class Action Lawsuit and a Lead Plaintiff Deadline of September 11, 2023 - (NYSE: BAX)
NEW YORK , Sept. 6, 2023 /PRNewswire/ -- The Gross Law Firm issues the following notice to shareholders of Baxter International Inc..
SHAREHOLDER ALERT: Pomerantz Law Firm Investigates Claims On Behalf of Investors of Baxter International Inc. - BAX
NEW YORK , Sept. 5, 2023 /PRNewswire/ -- Pomerantz LLP is investigating claims on behalf of investors of Baxter International Inc. ("Baxter" or the "Company") (NYSE: BAX).</t>
  </si>
  <si>
    <t xml:space="preserve">           1y Target Est                       50.29
           52 Week Range               37.35 - 60.39
                     Ask                  0.00 x 800
             Avg. Volume                   4621870.0
       Beta (5Y Monthly)                        0.61
                     Bid                  0.00 x 800
             Day's Range               38.68 - 39.13
               EPS (TTM)                       -5.59
           Earnings Date Oct 25, 2023 - Oct 30, 2023
        Ex-Dividend Date                Aug 31, 2023
Forward Dividend &amp; Yield                1.16 (3.00%)
              Market Cap                      19.75B
                    Open                       38.93
          PE Ratio (TTM)                         NaN
          Previous Close                       38.67
             Quote Price                        39.0
                  Volume                    713220.0
    Market Cap (intraday) 19.58B
         Enterprise Value 34.78B
             Trailing P/E    NaN
              Forward P/E  13.11
PEG Ratio (5 yr expected)   2.70
        Price/Sales (ttm)   1.29
         Price/Book (mrq)   3.52
 Enterprise Value/Revenue   2.29
  Enterprise Value/EBITDA -36.46</t>
  </si>
  <si>
    <t>3 Bulletproof Stocks to Buy Before the Next Recession Strikes
With ongoing uncertainties in the stock market, investors' search for bulletproof stocks becomes paramount. Investors seek refuge in stable and growth-oriented stocks as the specter of economic downturns looms.
The 7 Best Retail Stocks to Buy Now: September 2023
As concerns about a slowdown in consumer spending rise, you may think now is not the right time to invest in the best retail stocks. However, with shares in retailers already hit hard by this uncertainty, many stocks in this sector have fallen to heavily-discounted valuations.
3 Reasons Walmart Is Winning and Dollar General Isn't
Helped by its massive size, Walmart is better positioned to handle inflation's impact on consumer spending. Dollar General's large number of small stores and complex distribution network are cumbersome to manage.
Bear of the Day: Dollar General (DG)
Inflation is eating away at the strength of the dollar and the strength of Dollar General's earnings.
New Strong Sell Stocks for September 7th
ALCO, CPRI and DG have been added to the Zacks Rank #5 (Strong Sell) List on September 7, 2023.
2 Red Flags for Dollar General in 2023
Customer traffic fell last quarter. Profit margins are declining as spending tilts away from discretionary purchases.
Dollar General Corporation Scheduled to Participate in the Goldman Sachs 30th Annual Global Retailing Conference
GOODLETTSVILLE, Tenn.--(BUSINESS WIRE)--Dollar General Corporation (NYSE: DG) today announced that Dollar General management plans to participate in a fireside chat at the Goldman Sachs 30th Annual Global Retailing Conference on September 13, 2023 at 12:30 p.m. ET. A live webcast will be available at https://investor.dollargeneral.com under “News &amp; Events, Events &amp; Presentations,” and a replay of the session will be accessible at the same location through October 13, 2023. About Dollar.</t>
  </si>
  <si>
    <t xml:space="preserve">           1y Target Est                      154.84
           52 Week Range             123.31 - 261.59
                     Ask                 0.00 x 1400
             Avg. Volume                   3245133.0
       Beta (5Y Monthly)                         0.3
                     Bid                  0.00 x 800
             Day's Range             125.45 - 128.71
               EPS (TTM)                        9.76
           Earnings Date Nov 29, 2023 - Dec 04, 2023
        Ex-Dividend Date                Oct 09, 2023
Forward Dividend &amp; Yield                2.36 (1.86%)
              Market Cap                     27.587B
                    Open                      127.01
          PE Ratio (TTM)                       12.88
          Previous Close                       127.2
             Quote Price                     125.695
                  Volume                   1372600.0
    Market Cap (intraday) 27.92B
         Enterprise Value 45.60B
             Trailing P/E  13.03
              Forward P/E  16.21
PEG Ratio (5 yr expected)   2.48
        Price/Sales (ttm)   0.73
         Price/Book (mrq)   4.43
 Enterprise Value/Revenue   1.18
  Enterprise Value/EBITDA  11.73</t>
  </si>
  <si>
    <t>SHAREHOLDER ALERT: Potential Recovery for KeyCorp (KEY) Investors Affected by Stock Drop – Levi &amp; Korsinsky Pursuing Class Action Lawsuit
NEW YORK, NY / ACCESSWIRE / September 11, 2023 / If you suffered a loss on your KeyCorp (NYSE:KEY) investment and want to learn about a potential recovery under the federal securities laws, follow the link below for more information: https://zlk.com/pslra-1/key-lawsuit-submission-form?prid=47583&amp;wire=1 or contact Joseph E. Levi, Esq.
KEY Investors Have Opportunity to Lead KeyCorp Securities Fraud Lawsuit
BENSALEM, Pa. , Sept. 11, 2023 /PRNewswire/ -- Law Offices of Howard G.
SHAREHOLDER ALERT: Potential Recovery for KeyCorp (KEY) Investors Affected by Stock Drop - Levi &amp; Korsinsky Pursuing Class Action Lawsuit
NEW YORK, NY / ACCESSWIRE / September 11, 2023 / If you suffered a loss on your KeyCorp (NYSE:KEY) investment and want to learn about a potential recovery under the federal securities laws, follow the link below for more information: https://zlk.com/pslra-1/key-lawsuit-submission-form?prid=47553&amp;wire=1 or contact Joseph E. Levi, Esq.
SHAREHOLDER ACTION ALERT: The Schall Law Firm Encourages Investors in KeyCorp with Losses of $100,000 to Contact the Firm
LOS ANGELES, CA / ACCESSWIRE / September 11, 2023 / The Schall Law Firm, a national shareholder rights litigation firm, reminds investors of a class action lawsuit against KeyCorp ("Key" or "the Company") (NYSE:KEY) for violations of §§10(b) and 20(a) of the Securities Exchange Act of 1934 and Rule 10b-5 promulgated thereunder by the U.S. Securities and Exchange Commission. Investors who purchased the Company's securities between February 27, 2020 and June 9, 2023, inclusive (the "Class Period"), are encouraged to contact the firm before October 3, 2023.
SHAREHOLDER ALERT: The Law Offices of Vincent Wong Remind Key Investors of a Lead Plaintiff Deadline of October 3, 2023
NEW YORK , Sept. 11, 2023 /PRNewswire/ -- Attention KeyCorp ("Key") (NYSE: KEY) shareholders: The Law Offices of Vincent Wong announce that a class action lawsuit has commenced on behalf of investors who purchased between February 27, 2020 and June 9, 2023.
SHAREHOLDER ALERT: Potential Recovery for KeyCorp (KEY) Investors Affected by Stock Drop – Levi &amp; Korsinsky Pursuing Class Action Lawsuit
NEW YORK, NY / ACCESSWIRE / September 10, 2023 / If you suffered a loss on your KeyCorp (NYSE:KEY) investment and want to learn about a potential recovery under the federal securities laws, follow the link below for more information: https://zlk.com/pslra-1/key-lawsuit-submission-form?prid=47504&amp;wire=1 or contact Joseph E. Levi, Esq.
KEY FAMILY WEALTH AWARDED BEST CLIENT INITIATIVE FOR A FAMILY OFFICE FROM WEALTHMANAGEMENT.COM
CLEVELAND , Sept. 8, 2023 /PRNewswire/ -- Key Family Wealth, the family office division of Key Private Bank, announced it has received a 2023 Wealth Management "Family Office" Industry Award, recognizing the best client initiative in wealth management.
BlueWave Closes First Major Financing Round to Support Agrivoltaic Solar Development and Long-Term Project Ownership
The $91M financing sourced from KeyBank and U.S. Bancorp Impact Finance will enable BlueWave, a Boston-based clean energy IPP and B Corp, to advance the first 20MWs of its 2GW+ project pipeline BOSTON , Sept. 8, 2023 /PRNewswire/ -- BlueWave, a leading solar developer, owner, and operator in the Northeast U.S., announces a major financing milestone that will enable the B Corp to achieve long-term ownership and management of its growing portfolio.
DEADLINE ACTION ALERT: The Schall Law Firm Encourages Investors in KeyCorp with Losses of $100,000 to Contact the Firm
LOS ANGELES, CA / ACCESSWIRE / September 8, 2023 / The Schall Law Firm, a national shareholder rights litigation firm, reminds investors of a class action lawsuit against KeyCorp ("Key" or "the Company") (NYSE:KEY) for violations of 10(b) and 20(a) of the Securities Exchange Act of 1934 and Rule 10b-5 promulgated thereunder by the U.S. Securities and Exchange Commission. Investors who purchased the Company's securities between February 27, 2020 and June 9, 2023, inclusive (the "Class Period"), are encouraged to contact the firm before October 3, 2023.
Bronstein, Gewirtz &amp; Grossman, LLC Notifies KeyCorp (KEY) Investors With Losses Exceeding $100K of Class Action and to Actively Participate!
NEW YORK--(BUSINESS WIRE)---- $KEY #classaction--Bronstein, Gewirtz &amp; Grossman, LLC, a nationally recognized law firm, notifies investors that a class action lawsuit has been filed against KeyCorp (“KeyCorp” or the “Company”) (NYSE: KEY) and certain of its officers. Class Definition: This lawsuit seeks to recover damages against Defendants for alleged violations of the federal securities laws on behalf of all persons and entities that purchased or otherwise acquired KeyCorp securities between February 27, 2020 a.
KEY Investors Have Opportunity to Lead KeyCorp Securities Fraud Lawsuit
LOS ANGELES , Sept. 7, 2023 /PRNewswire/ -- The Law Offices of Frank R.
SHAREHOLDER ALERT: Levi &amp; Korsinsky Notifies KeyCorp(KEY) Investors of a Class Action Lawsuit and Upcoming Deadline
NEW YORK , Sept. 7, 2023 /PRNewswire/ -- Levi &amp; Korsinsky, LLP notifies investors in KeyCorp ("Key" or the "Company") (NYSE: KEY) of a class action securities lawsuit.
SHAREHOLDER ACTION ALERT: The Schall Law Firm Encourages Investors in KeyCorp with Losses of $100,000 to Contact the Firm
LOS ANGELES, CA / ACCESSWIRE / September 7, 2023 / The Schall Law Firm, a national shareholder rights litigation firm, reminds investors of a class action lawsuit against KeyCorp ("Key" or "the Company") (NYSE:KEY) for violations of §§10(b) and 20(a) of the Securities Exchange Act of 1934 and Rule 10b-5 promulgated thereunder by the U.S. Securities and Exchange Commission. Investors who purchased the Company's securities between February 27, 2020 and June 9, 2023, inclusive (the "Class Period"), are encouraged to contact the firm before October 3, 2023.
SHAREHOLDER ALERT: The Gross Law Firm Notifies Shareholders of KeyCorp of a Class Action Lawsuit and a Lead Plaintiff Deadline of October 3, 2023 - (NYSE: KEY)
NEW YORK , Sept. 6, 2023 /PRNewswire/ -- The Gross Law Firm issues the following notice to shareholders of KeyCorp. Shareholders who purchased shares of KEY during the class period listed are encouraged to contact the firm regarding possible lead plaintiff appointment.
3 Bank Stocks to Sell in September Before They Crash and Burn
Predicting the trajectory of bank stocks in 2023 has been incredibly challenging. The unnerving sight of bank runs just a few months ago was a stark reminder of the unpredictable waters this sector is treading.
Is KeyCorp (KEY) Worth a Watch for 7.1% Dividend Yield?
Amid uncertain economic conditions, investors may accumulate solid dividend-yielding stocks like KeyCorp (KEY) in their portfolios.
SHAREHOLDER ALERT: Pomerantz Law Firm Reminds Shareholders with Losses on their Investment in KeyCorp of Class Action Lawsuit and Upcoming Deadline - KEY
NEW YORK , Sept. 5, 2023 /PRNewswire/ -- Pomerantz LLP announces that a class action lawsuit has been filed against KeyCorp ("Key" or the "Company") (NYSE: KEY) and certain officers.
KEYBANK PROVIDES $5 MILLION LINE OF CREDIT FOR THE ADVANCEMENT OF SMALL BUSINESS WITH BRIDGEWAY CAPITAL
CLEVELAND , Sept. 5, 2023 /PRNewswire/ -- KeyBank Community Development Financial Institutions (CDFI) Group has provided a $5 million line of credit (LOC) to Bridgeway Capital.</t>
  </si>
  <si>
    <t xml:space="preserve">           1y Target Est         13.08
           52 Week Range  8.54 - 20.30
                     Ask   0.00 x 4000
             Avg. Volume    17538162.0
       Beta (5Y Monthly)          1.27
                     Bid   0.00 x 3200
             Day's Range 11.24 - 11.47
               EPS (TTM)          1.49
           Earnings Date  Oct 19, 2023
        Ex-Dividend Date  Aug 28, 2023
Forward Dividend &amp; Yield  0.82 (7.29%)
              Market Cap       10.567B
                    Open         11.36
          PE Ratio (TTM)          7.58
          Previous Close         11.25
             Quote Price         11.29
                  Volume     3648541.0
    Market Cap (intraday) 10.53B
         Enterprise Value    NaN
             Trailing P/E   7.55
              Forward P/E   8.76
PEG Ratio (5 yr expected)   6.73
        Price/Sales (ttm)   1.53
         Price/Book (mrq)   0.93
 Enterprise Value/Revenue    NaN
  Enterprise Value/EBITDA    NaN</t>
  </si>
  <si>
    <t>Here's the macro info (from bing + bard):</t>
  </si>
  <si>
    <t>macro_news = """</t>
  </si>
  <si>
    <t>Today is September 11, 2023.</t>
  </si>
  <si>
    <t>Here's a summary of the economic outlook for the USA in September 2023:</t>
  </si>
  <si>
    <t>1. **GDP Growth**: The U.S. economy has been performing better than expected, with real GDP growth estimated at a 2.0 to 2.4% annualized pace through the first half of the year. The Federal Reserve Bank of Philadelphia's panel of economists raised its third-quarter forecast from negative 0.1 percent to positive 0.6 percent, but it lowered the fourth-quarter forecast from 1.2 percent to zero growth.</t>
  </si>
  <si>
    <t>2. **Inflation**: Inflation is moving in the right direction–lower–but has proven to be more persistent than expected through the first half of the year. Over the past few months, falling energy prices have helped to reduce headline inflation, while core inflation metrics–which exclude volatile energy and food prices–have seen less progress, especially in services categories.</t>
  </si>
  <si>
    <t>3. **Labor Market**: Labor markets remain tight, with a low 3.5% unemployment rate. However, some mixed signals are beginning to emerge. While open jobs and payroll gains remain above long-term averages in recent months, declining labor force productivity metrics, reduced temp employment, and a lower quit rate than a year ago suggest a better balance between supply and demand for labor.</t>
  </si>
  <si>
    <t>4. **COVID-19 Impact**: The COVID-19 pandemic is still ongoing, but the economy has largely recovered from the worst of the pandemic.</t>
  </si>
  <si>
    <t>5. **War in Ukraine**: On February 24, 2022, Russia invaded Ukraine, marking a major escalation of the Russo-Ukrainian War that began in 2014.</t>
  </si>
  <si>
    <t>The invasion has been met with widespread international condemnation and sanctions against Russia.</t>
  </si>
  <si>
    <t>The United States, the European Union, and other countries have provided military and financial assistance to Ukraine.</t>
  </si>
  <si>
    <t>The war in Ukraine has had significant impacts on global economies, including the U.S., causing spikes in energy prices and disruptions in supply chains. The conflict could cost the global economy a staggering $2.8 trillion by the end of 2023.</t>
  </si>
  <si>
    <t>6. **Other Developments**: The Federal Reserve has raised rates a sharp 525bp since March 2022 to a 5.25-5.5% target range, marking one of the steepest hiking cycles in four decades. Also, Fitch’s early August rating downgrade of federal debt from AAA to AA+ may get some attention.</t>
  </si>
  <si>
    <t>7. **State of AI as of September 2023 for Investors**:</t>
  </si>
  <si>
    <t>Mainstream Adoption: AI has permeated various sectors including healthcare, finance, retail, and manufacturing, opening up diverse investment opportunities.</t>
  </si>
  <si>
    <t>Increased Capabilities: Enhanced AI algorithms can now perform advanced tasks like generating realistic visuals, translating languages, and producing creative content. This advancement could lead to growth in companies focused on AI tech.</t>
  </si>
  <si>
    <t>Cost Efficiency: With the decline in AI technology costs, more businesses, ranging from startups to established entities, can integrate AI, potentially boosting their profitability.</t>
  </si>
  <si>
    <t>Ethical Implications: While AI's capabilities grow, so do ethical concerns, which might affect regulatory stances and public perception. It's essential to monitor companies for ethical AI practices to mitigate potential investment risks.</t>
  </si>
  <si>
    <t>Trends for 2023:</t>
  </si>
  <si>
    <t>Generative AI: Set to revolutionize sectors like entertainment, marketing, and healthcare, which may open up new avenues for investment.</t>
  </si>
  <si>
    <t>Self-driving Cars: As technology matures, expect more auto and tech companies to venture into this space, potentially driving their stock values.</t>
  </si>
  <si>
    <t>AI in Healthcare: Companies employing AI for diagnosis, drug development, and treatment could see increased demand and growth.</t>
  </si>
  <si>
    <t>AI in Manufacturing: Firms using AI to streamline manufacturing could witness improved margins and competitive advantages.</t>
  </si>
  <si>
    <t>Score: 85
The Health Care Providers &amp; Services sector presents a strong investment opportunity. The ongoing COVID-19 pandemic continues to drive demand for healthcare services. Additionally, the integration of AI in healthcare for diagnosis, drug development, and treatment is expected to boost the sector's growth. The anticipation of novel drugs for the obesity epidemic could also provide a significant boost to the sector. However, the potential for increased regulation and the impact of inflation on operational costs are factors that could limit growth.</t>
  </si>
  <si>
    <t>Score: 85
The software sector is expected to perform well despite the overall economic slowdown. The ongoing digital transformation across various industries, coupled with the mainstream adoption of AI, is likely to drive demand for software services. Furthermore, the sector's resilience to geopolitical tensions and supply chain disruptions makes it a relatively safe investment. However, the sector's performance may be slightly dampened by the Federal Reserve's interest rate hikes and potential regulatory changes related to AI ethics.</t>
  </si>
  <si>
    <t>Score: 85
The IT Services sector is expected to perform well given the current economic conditions. The ongoing adoption and advancement of AI technologies across various sectors, including healthcare, finance, retail, and manufacturing, present significant growth opportunities for IT services. The sector is also likely to benefit from the cost efficiency brought about by AI technologies. However, the sector's performance may be slightly hampered by the overall economic slowdown and the potential for increased regulation due to ethical concerns surrounding AI.</t>
  </si>
  <si>
    <t>Score: 85
The Independent Power and Renewable Electricity Producers sector is likely to benefit from the ongoing geopolitical tensions and the war in Ukraine, which have caused spikes in energy prices and disruptions in supply chains. The sector is also likely to benefit from the ongoing transition to cleaner energy sources, which is being driven by concerns about climate change and the need to reduce greenhouse gas emissions. Furthermore, the sector could benefit from advancements in AI technology, which could help to improve efficiency and reduce costs. However, the sector could face headwinds from rising interest rates, which could increase borrowing costs and make it more expensive to finance new projects.</t>
  </si>
  <si>
    <t>Score: 85
The Health Care Technology sector presents a high potential investment value. The ongoing COVID-19 pandemic has accelerated the adoption of technology in healthcare, and AI advancements are expected to further revolutionize this sector. Companies employing AI for diagnosis, drug development, and treatment could see increased demand and growth. Additionally, the anticipation of novel drugs for the obesity epidemic could potentially boost the sector. However, the overall economic uncertainty and potential volatility in the market due to rising interest rates and inflation may pose some risks.</t>
  </si>
  <si>
    <t>Score: 75
The ongoing war in Ukraine has caused significant disruptions in global supply chains, particularly in the energy sector. This has led to increased energy prices, which could potentially benefit gas utility companies. However, the overall economic outlook is mixed, with slowing GDP growth and high inflation. The Federal Reserve's aggressive interest rate hikes could also put pressure on companies with high levels of debt. Therefore, while the gas utilities sector may see some benefits from higher energy prices, these potential gains could be offset by broader economic challenges.</t>
  </si>
  <si>
    <t>Score: 75
The Air Freight &amp; Logistics sector could be a good investment opportunity given the current economic conditions. The ongoing war in Ukraine has disrupted global supply chains, which could increase demand for air freight services. Additionally, the sector could benefit from the continued recovery of the U.S. economy and the growth of e-commerce, which has been accelerated by the COVID-19 pandemic. However, the sector could face headwinds from rising energy prices and potential interest rate hikes by the Federal Reserve.</t>
  </si>
  <si>
    <t>Score: 75
The professional services sector is likely to benefit from the current economic conditions. With the GDP growth and the economy recovering from the pandemic, businesses are likely to invest more in professional services to help navigate the changing economic landscape. The sector could also benefit from the advancements in AI, as more professional services firms are integrating AI into their operations to improve efficiency and reduce costs. However, the ongoing war in Ukraine and potential volatility in the stock market could pose some risks.</t>
  </si>
  <si>
    <t>Score: 75
The Commercial Services &amp; Supplies sector is expected to perform well in the current economic climate. The sector is likely to benefit from the ongoing economic recovery, as businesses continue to reopen and demand for commercial services and supplies increases. The sector could also benefit from the increased adoption of AI technologies, which could help to improve efficiency and reduce costs. However, the sector could face headwinds from rising interest rates and inflation, which could increase operating costs and squeeze profit margins. Additionally, the ongoing war in Ukraine could disrupt global supply chains, which could impact the sector's performance.</t>
  </si>
  <si>
    <t>Score: 75
The Interactive Media &amp; Services sector is expected to perform well, given the mainstream adoption of AI and its increased capabilities. This sector includes companies that provide services such as social media, digital advertising, and online entertainment, which are areas where AI advancements can significantly enhance user experience and profitability. However, the ongoing war in Ukraine and potential regulatory changes due to ethical concerns around AI could introduce some volatility and risk.</t>
  </si>
  <si>
    <t>Score: 75
The Containers &amp; Packaging sector could be a good investment opportunity given the current economic conditions. The sector is likely to benefit from the ongoing recovery of the economy and the increase in consumer spending, particularly on durable goods. Additionally, the sector could see increased demand due to disruptions in global supply chains caused by the war in Ukraine. However, the sector could face challenges due to rising energy prices and potential inflationary pressures.</t>
  </si>
  <si>
    <t>Score: 75
The Multi-Utilities sector could be a good investment in the current economic climate. With the ongoing war in Ukraine causing disruptions in energy supply chains, utilities could see increased demand. Additionally, the sector is typically considered a safe haven during times of economic uncertainty and market volatility, which is expected due to the Federal Reserve's aggressive interest rate hikes and the potential impact of inflation on corporate earnings. However, the sector's growth potential may be limited due to the overall slower economic growth forecasted for the second half of 2023.</t>
  </si>
  <si>
    <t>Score: 75
The wireless telecommunication services sector presents a good investment opportunity, given the current macroeconomic conditions. Despite the economic slowdown, the demand for wireless telecommunication services remains strong due to the increasing reliance on digital connectivity for work, education, and entertainment, especially in the context of the ongoing COVID-19 pandemic. Furthermore, the sector is less sensitive to interest rate hikes and inflation, making it a relatively safe investment in the current environment. However, the ongoing war in Ukraine and its impact on global supply chains could potentially affect the sector, hence the score is not higher.</t>
  </si>
  <si>
    <t>Score: 75
The Electrical Equipment sector could be a good investment opportunity given the current economic conditions. The ongoing war in Ukraine and the resulting disruptions in supply chains could potentially increase demand for domestic electrical equipment manufacturers. Additionally, the mainstream adoption of AI and its increased capabilities could lead to growth in companies within this sector that are integrating AI into their manufacturing processes to improve efficiency and reduce costs. However, the sector could face challenges due to rising interest rates and inflation, which could increase operating costs and reduce profit margins.</t>
  </si>
  <si>
    <t>Score: 75
The biotechnology sector presents a promising investment opportunity, given the anticipation of novel drugs that could significantly impact the obesity epidemic. This could potentially lead to substantial growth in the sector. However, the overall economic uncertainty, potential volatility in the Treasury bond markets, and the historical weakness of the stock market in September may pose some risks. Therefore, while the sector has high potential, these factors moderate the score slightly.</t>
  </si>
  <si>
    <t>Score: 75
Water utilities are generally considered a safe investment, especially during times of economic uncertainty. They provide a necessary service that is always in demand, regardless of the state of the economy. The ongoing war in Ukraine and the potential for further global economic disruption could make these types of defensive stocks more attractive. Additionally, the sector could benefit from any infrastructure spending aimed at improving the country's water systems. However, the sector's growth potential may be limited due to the rising interest rates and inflation.</t>
  </si>
  <si>
    <t>Score: 75
The health care sector, particularly Health Care REITs, presents a promising investment opportunity. The ongoing COVID-19 pandemic has highlighted the importance of healthcare infrastructure, potentially driving demand for healthcare facilities. Additionally, the aging population in the U.S. is expected to increase the demand for healthcare services and facilities. However, the sector might face some headwinds due to the overall economic slowdown and potential interest rate hikes, which could increase borrowing costs for REITs. The sector's score is relatively high due to these growth prospects, but it's not at the maximum due to the mentioned potential challenges.</t>
  </si>
  <si>
    <t>Score: 75
Industrial REITs could be a good investment in the current economic climate. The ongoing war in Ukraine has disrupted global supply chains, which could increase demand for warehousing and logistics services. Additionally, the widespread adoption of AI in various sectors could also boost demand for data centers, which are often included in the industrial REITs sector. However, the sector could face headwinds from rising interest rates and slowing economic growth.</t>
  </si>
  <si>
    <t>Score: 75
The entertainment sector presents a promising investment opportunity, especially with the rise of generative AI that is set to revolutionize this sector. The ongoing recovery from the COVID-19 pandemic and the increased consumer spending could also boost this sector. However, the overall economic uncertainty, potential inflation, and the ongoing conflict in Ukraine may pose some risks.</t>
  </si>
  <si>
    <t>Score: 75
Semiconductors &amp; Semiconductor Equipment sector is expected to perform well due to the ongoing digital transformation and increased adoption of AI technologies across various sectors. However, the ongoing war in Ukraine and its impact on global supply chains could pose a risk to this sector, as it heavily relies on international trade. The sector might also be affected by the Federal Reserve's interest rate hikes, which could increase borrowing costs and potentially slow down investment in new technologies. However, the persistent demand for semiconductors in various industries such as automotive, consumer electronics, and telecommunications should continue to drive growth in this sector.</t>
  </si>
  <si>
    <t>Score: 75
The pharmaceutical sector presents a promising investment opportunity, given the ongoing development of novel drugs, particularly those targeting the obesity epidemic. However, the sector may face headwinds due to the broader economic uncertainty, potential volatility in the bond markets, and the impact of the Federal Reserve's interest rate hikes. The ongoing war in Ukraine and its effects on global supply chains could also pose challenges. Despite these factors, the sector's potential for innovation and growth, especially in the context of AI advancements in healthcare, supports a relatively high investment value score.</t>
  </si>
  <si>
    <t>Score: 75
The Broadline Retail sector could be a good investment opportunity given the current economic conditions. Consumer spending has been strong, particularly in durable goods, which is a positive sign for retailers. Additionally, the stability in home prices could indicate a healthy consumer base, which is crucial for retail spending. However, the ongoing inflation and potential interest rate hikes could put pressure on consumer spending power, which may affect the sector's performance. The war in Ukraine and its impact on global supply chains could also pose challenges for retailers. Despite these potential headwinds, the sector's fundamentals remain strong, hence the relatively high score.</t>
  </si>
  <si>
    <t>Score: 75
The household durables sector could be a good investment opportunity given the current economic conditions. Despite the slowing GDP growth and rising inflation, consumer spending has been strong, particularly in durable goods. This suggests that consumers are still willing and able to spend on big-ticket items, which could benefit companies in the household durables sector. Additionally, the stability in home prices since mid-2022 could also support demand for household durables as people invest in their homes. However, the ongoing war in Ukraine and potential supply chain disruptions could pose risks to this sector, hence the score is not higher.</t>
  </si>
  <si>
    <t>Score: 75
The insurance sector is expected to perform well in the current economic climate. The Federal Reserve's interest rate hikes are generally positive for insurance companies, as they increase the returns on insurers' investment portfolios. Additionally, the ongoing war in Ukraine and the persistent COVID-19 pandemic may increase demand for certain types of insurance, such as political risk insurance and health insurance. However, the sector may face headwinds from the slowing economy and potential regulatory changes related to AI technology, which is increasingly being used in the insurance industry.</t>
  </si>
  <si>
    <t>Score: 75
The financial services sector could potentially benefit from the current economic environment. The Federal Reserve's interest rate hikes could lead to higher net interest margins for banks, boosting their profitability. However, the ongoing war in Ukraine and the potential for further economic slowdown could pose risks to the sector. Additionally, the adoption of AI in the financial sector could lead to efficiency gains and new revenue streams, further enhancing the sector's investment value.</t>
  </si>
  <si>
    <t>Score: 75
The Consumer Staples Distribution &amp; Retail sector is expected to perform well despite the economic uncertainties. The sector is traditionally considered defensive and tends to outperform during periods of economic slowdown or uncertainty. Given the current economic conditions, with slowing GDP growth, rising inflation, and the ongoing conflict in Ukraine, investors may seek refuge in this sector. Additionally, the increase in consumer spending, particularly on durable goods, and the stability in disposable income, suggest a positive outlook for this sector. However, the sector's performance may be affected by supply chain disruptions due to the war in Ukraine and potential interest rate hikes by the Federal Reserve.</t>
  </si>
  <si>
    <t>Score: 75
The Diversified Consumer Services sector is expected to perform well given the current economic conditions. The increase in real disposable income and consumer spending, particularly on durable goods, suggests that consumers have more discretionary income to spend on services. The stable employment-population ratio also indicates a steady consumer base for these services. However, the potential for increased market volatility and the ongoing impact of the war in Ukraine may pose some risks to this sector.</t>
  </si>
  <si>
    <t>Score: 75
The Food Products sector is expected to perform well in the current economic climate. Despite the ongoing war in Ukraine and the potential disruptions in supply chains, the sector has shown resilience due to its essential nature. The inflationary environment could lead to higher prices, potentially boosting revenues for companies in this sector. However, the rising interest rates could increase borrowing costs, which may impact profitability. The sector's performance may also be influenced by the persistent COVID-19 pandemic and its impact on consumer behavior, such as increased demand for packaged and processed foods. The adoption of AI in the sector, particularly in supply chain management and production, could also lead to cost efficiencies and improved margins.</t>
  </si>
  <si>
    <t>Score: 75
The Life Sciences Tools &amp; Services sector presents a promising investment opportunity, given the ongoing pandemic and the increased focus on healthcare. The sector is likely to benefit from increased research and development spending, particularly in areas related to COVID-19 and other infectious diseases. Additionally, the advancements in AI and its adoption in healthcare could provide a significant boost to companies in this sector. However, the overall economic uncertainty, potential volatility in the stock market, and the impact of the war in Ukraine on global supply chains could pose some risks.</t>
  </si>
  <si>
    <t>Score: 75
The personal care products sector is likely to remain resilient despite the economic uncertainties. This is because these products are considered essential goods, and demand for them tends to be stable even during economic downturns. Furthermore, the sector could benefit from the ongoing recovery from the COVID-19 pandemic, as consumers may increase their spending on personal care products as they return to work and social activities. However, the sector could face challenges from rising inflation and supply chain disruptions caused by the war in Ukraine.</t>
  </si>
  <si>
    <t>Score: 75
The ongoing war in Ukraine has caused significant disruptions in global supply chains and spikes in energy prices. This situation could potentially benefit the Oil, Gas &amp; Consumable Fuels sector as it could lead to increased demand and higher prices for their products. However, the sector's performance could be negatively affected by the Federal Reserve's interest rate hikes and the overall economic slowdown. The sector's score reflects these mixed influences.</t>
  </si>
  <si>
    <t>Score: 75
The Electronic Equipment, Instruments &amp; Components sector is expected to perform well due to the ongoing digital transformation across various industries. The sector is likely to benefit from the increased adoption of AI technologies, which are becoming more prevalent in healthcare, finance, retail, and manufacturing. However, the ongoing war in Ukraine and its impact on global supply chains could pose a risk to this sector, potentially causing disruptions in the production and distribution of electronic equipment and components. Additionally, the sector could be affected by the Federal Reserve's interest rate hikes, which could increase borrowing costs and potentially dampen investment in new technologies.</t>
  </si>
  <si>
    <t>Score: 70
The Household Products sector could be a relatively safe bet in the current economic climate. Despite the ongoing inflation and the potential for slower economic growth in the second half of 2023, this sector tends to be more resilient during economic downturns due to the essential nature of its products. Furthermore, the stability in home prices since mid-2022 could indicate a steady demand for household products. However, the sector might face challenges due to supply chain disruptions caused by the war in Ukraine and potential interest rate hikes.</t>
  </si>
  <si>
    <t>Score: 70
The specialty retail sector could be a good investment opportunity given the current economic conditions. Consumer spending has been strong, particularly in durable goods, which could benefit specialty retailers. Additionally, the adoption of AI in retail could lead to cost efficiencies and improved customer experiences, potentially boosting profitability for companies in this sector. However, the ongoing inflation and potential for increased interest rates could put pressure on consumer spending and corporate earnings, which could negatively impact the sector. The ongoing war in Ukraine and its impact on global supply chains could also pose a risk to specialty retailers.</t>
  </si>
  <si>
    <t>Score: 70
The beverage sector is traditionally considered a defensive sector, meaning it tends to perform well during economic downturns or periods of uncertainty. Given the current economic climate, with slowing GDP growth, rising inflation, and ongoing geopolitical tensions, investors may be more inclined to invest in defensive sectors like beverages. Additionally, the sector could benefit from increased consumer spending, which has been a key driver of GDP growth. However, the sector could face headwinds from rising input costs due to inflation and potential supply chain disruptions due to the ongoing war in Ukraine.</t>
  </si>
  <si>
    <t>Score: 70
The real estate sector could be a good investment opportunity at this time. The stability in home prices since their peak in mid-2022 suggests a healthy real estate market. Additionally, the increase in real disposable income could lead to increased demand for housing. However, the Federal Reserve's aggressive interest rate hikes could potentially slow down mortgage lending and dampen the real estate market's growth. The ongoing war in Ukraine and its impact on global economies could also introduce some uncertainty into the market. Therefore, while the sector shows promise, these factors lead to a moderately high score of 70.</t>
  </si>
  <si>
    <t>Score: 70
The ground transportation sector could be a good investment opportunity given the current economic conditions. The ongoing war in Ukraine has disrupted global supply chains, which could increase demand for local ground transportation services. Additionally, the adoption of AI in various sectors, including transportation, could lead to increased efficiency and profitability for companies in this sector. However, the sector could face challenges due to rising energy prices and potential interest rate hikes.</t>
  </si>
  <si>
    <t>Score: 70
Trading Companies &amp; Distributors could potentially benefit from the current economic conditions. The GDP growth and low unemployment rate suggest a healthy consumer base, which could lead to increased demand for goods, benefiting trading companies and distributors. However, the ongoing war in Ukraine and its impact on global supply chains could pose challenges. The sector's score is also influenced by the potential for increased volatility due to the Federal Reserve's interest rate hikes.</t>
  </si>
  <si>
    <t>Score: 70
The Building Products sector could be a good investment opportunity given the current economic conditions. The stable home prices since mid-2022 and the moderate increase in real disposable income suggest that consumers may continue to invest in home improvements. However, the potential slowdown in GDP growth and the ongoing inflation concerns could impact consumer spending and thus the sector's performance. The sector's performance may also be influenced by the supply chain disruptions caused by the war in Ukraine. Therefore, while the sector has potential, it also carries some risk.</t>
  </si>
  <si>
    <t>Score: 70
The Aerospace &amp; Defense sector could be a relatively safe bet in the current economic climate. The ongoing conflict in Ukraine and the subsequent international response could lead to increased defense spending, benefiting companies in this sector. However, the sector could be negatively impacted by supply chain disruptions caused by the war and the ongoing pandemic. The sector's score is not higher due to these potential risks and the overall economic uncertainty.</t>
  </si>
  <si>
    <t>Score: 70
The automobile sector presents a moderate investment opportunity. The ongoing advancements in AI technology, particularly in self-driving cars, could potentially drive stock values in this sector. However, the ongoing war in Ukraine and its impact on global supply chains could pose challenges, especially for automakers reliant on international parts. Additionally, the Federal Reserve's interest rate hikes could potentially dampen consumer spending on big-ticket items like cars.</t>
  </si>
  <si>
    <t>Score: 70
The Electric Utilities sector could be a good investment in the current economic climate. Despite the overall economic slowdown, the demand for electricity remains relatively stable, making this sector a defensive play. The ongoing war in Ukraine and the resulting energy price spikes could potentially increase the demand for electricity as an alternative energy source. Furthermore, the Federal Reserve's interest rate hikes could make utility stocks, which are often seen as bond proxies due to their high dividend yields, more attractive. However, the sector could face headwinds from rising operational costs due to inflation and potential supply chain disruptions caused by the war.</t>
  </si>
  <si>
    <t>Score: 70
The Energy Equipment &amp; Services sector could be a good investment opportunity given the current macroeconomic conditions. The ongoing war in Ukraine has caused spikes in energy prices, which could benefit companies in this sector. However, the sector's performance may be affected by the Federal Reserve's interest rate hikes and the potential for increased market volatility. Additionally, the sector could face headwinds from the transition to renewable energy and potential regulatory changes.</t>
  </si>
  <si>
    <t>Score: 70
The Technology Hardware, Storage &amp; Peripherals sector is expected to perform well, given the mainstream adoption of AI and the decline in AI technology costs. However, the ongoing war in Ukraine and its impact on global supply chains, coupled with the Federal Reserve's interest rate hikes, could pose challenges to this sector. The sector's score reflects these opportunities and potential risks.</t>
  </si>
  <si>
    <t>Score: 70
The Communications Equipment sector could be a good investment opportunity given the current economic conditions. The ongoing war in Ukraine and the persistent COVID-19 pandemic have increased the demand for reliable communication technologies, which could boost the sector's performance. Additionally, the mainstream adoption of AI could lead to advancements in communication equipment, further driving growth. However, the sector could be negatively impacted by the rising interest rates and inflation, as well as potential supply chain disruptions caused by the war. Therefore, while the sector has strong growth potential, it also carries some risk.</t>
  </si>
  <si>
    <t>Score: 70
The banking sector could potentially benefit from the current economic environment. The Federal Reserve's aggressive interest rate hikes could lead to higher net interest margins for banks, improving their profitability. However, the slower GDP growth and potential economic disruptions due to the ongoing war in Ukraine could pose risks to the sector. The sector's performance may also be affected by the overall volatility in the stock market.</t>
  </si>
  <si>
    <t>Score: 70
The Diversified Telecommunication Services sector is expected to perform well in the current economic climate. Despite the ongoing war in Ukraine and the potential for increased volatility in the stock market, the sector's essential nature and its role in supporting remote work during the COVID-19 pandemic make it a relatively safe investment. Furthermore, the sector is likely to benefit from the mainstream adoption of AI, as increased data usage and the need for advanced network infrastructure could drive growth. However, the sector's performance may be somewhat constrained by the Federal Reserve's interest rate hikes and the potential for slower economic growth in the second half of the year.</t>
  </si>
  <si>
    <t>Score: 70
Residential REITs could be a good investment in the current economic climate. The stable home prices and moderate increase in real disposable income suggest that consumers have the capacity to spend on housing. Additionally, the low unemployment rate indicates a healthy labor market, which is typically positive for residential real estate. However, the potential for increased volatility in the bond market due to Federal Reserve actions could impact the cost of borrowing for these REITs, which could affect their profitability. Furthermore, the ongoing war in Ukraine and its impact on global economies could introduce additional uncertainty.</t>
  </si>
  <si>
    <t>Score: 70
Specialized REITs, which include data centers, infrastructure, and other niche properties, could potentially benefit from the current economic climate. The ongoing digital transformation and increased adoption of AI across various sectors could drive demand for data centers and digital infrastructure. However, the rising interest rates and inflation could put pressure on REITs, as they often carry significant debt. The geopolitical tensions and supply chain disruptions could also impact the sector. Therefore, while there are growth opportunities, there are also significant risks, leading to a moderate score of 70.</t>
  </si>
  <si>
    <t>Score: 70
The Consumer Finance sector could be a good investment opportunity given the current economic conditions. The GDP growth and low unemployment rate suggest that consumers have a stable income, which could lead to increased spending and borrowing. However, the rising interest rates and inflation could put pressure on consumers' disposable income and ability to repay loans, which could negatively impact the sector. The sector's performance may also be influenced by the ongoing war in Ukraine and the potential for increased market volatility. Therefore, while there are positive indicators, there are also significant risks to consider.</t>
  </si>
  <si>
    <t>Score: 65
The media sector presents a moderate investment opportunity. The ongoing economic recovery and the persistent adoption of digital media due to the COVID-19 pandemic could drive growth in this sector. However, the potential economic slowdown in the second half of 2023 and the rising interest rates could pose challenges. The sector's performance may also be influenced by the broader market volatility and geopolitical tensions. The increasing adoption of AI in the media sector, particularly in content creation and distribution, could provide a competitive edge to certain companies.</t>
  </si>
  <si>
    <t>Score: 65
The machinery sector could potentially benefit from the ongoing economic recovery and the increased adoption of AI in manufacturing. However, the sector may face headwinds from rising interest rates, inflation, and supply chain disruptions due to the war in Ukraine. The sector's performance may also be affected by the slowdown in GDP growth and the potential volatility in the stock market.</t>
  </si>
  <si>
    <t>Score: 65
The capital markets sector presents a moderate investment opportunity. The Federal Reserve's aggressive interest rate hikes could potentially dampen the appeal of equities and increase the attractiveness of fixed-income securities. However, the ongoing war in Ukraine and the persistent inflation could introduce volatility and uncertainty in the market. The advancements in AI technology could present new investment opportunities within the sector, particularly in fintech companies. However, the sector's performance may be hindered by the slower GDP growth forecasted for the second half of the year and the potential volatility in the Treasury bond markets.</t>
  </si>
  <si>
    <t>Score: 65
The Leisure Products sector could be a moderate investment opportunity. The GDP growth and consumer spending data suggest that consumers have disposable income to spend on leisure products. However, the ongoing inflation and potential for increased interest rates could lead to decreased consumer spending in the future. Additionally, the ongoing COVID-19 pandemic and the war in Ukraine could impact global supply chains, potentially affecting the availability and cost of leisure products.</t>
  </si>
  <si>
    <t>Score: 65
The transportation infrastructure sector could be a moderate investment opportunity. The ongoing war in Ukraine has disrupted global supply chains, which could increase demand for domestic transportation and infrastructure. However, the sector could face headwinds from rising energy prices and potential interest rate hikes. The sector's performance may also be affected by the broader economic slowdown forecasted for the second half of 2023.</t>
  </si>
  <si>
    <t>Score: 65
The automobile components sector could present moderate investment opportunities. The ongoing war in Ukraine has disrupted global supply chains, which could negatively impact this sector. However, the increasing adoption of AI in manufacturing could potentially improve efficiency and profitability for companies in this sector. The trend towards self-driving cars could also drive growth in the long term. However, the sector might face headwinds from rising interest rates and inflation, which could put pressure on consumer spending and corporate earnings.</t>
  </si>
  <si>
    <t>Score: 65
The Distributors sector could potentially benefit from the current economic conditions. The ongoing recovery from the COVID-19 pandemic and the steady GDP growth could lead to increased consumer spending, which would benefit distributors. However, the war in Ukraine and the resulting disruptions in supply chains could pose challenges for this sector. Additionally, the rising interest rates could increase the cost of capital for distributors, potentially affecting their profitability. The adoption of AI in this sector could lead to cost efficiencies and improved operations, providing a potential boost. However, the sector could face headwinds from inflation and potential volatility in the stock market.</t>
  </si>
  <si>
    <t>Score: 65
The Construction &amp; Engineering sector could potentially benefit from the current economic conditions. The stable home prices and increased disposable income could lead to more construction and renovation projects. However, the ongoing war in Ukraine and its impact on global supply chains could increase costs and cause delays in this sector. The sector's performance may also be affected by the Federal Reserve's interest rate hikes, which could increase borrowing costs for construction projects. The adoption of AI in this sector could potentially increase efficiency and reduce costs, but it's still in the early stages.</t>
  </si>
  <si>
    <t>Score: 65
Industrial conglomerates are likely to experience moderate growth given the current economic conditions. The ongoing war in Ukraine and the disruptions in supply chains could potentially benefit these companies as they often have diverse operations and can pivot resources as needed. However, the rising interest rates and inflation could put pressure on their margins. The adoption of AI in manufacturing could provide a boost to efficiency and profitability for these companies. However, the sector's performance may be hampered by the overall economic slowdown and potential stock market volatility.</t>
  </si>
  <si>
    <t>Score: 65
The Paper &amp; Forest Products sector could be a moderate investment opportunity. The sector is traditionally seen as a defensive play, which could be beneficial in the current volatile market environment. However, the ongoing war in Ukraine and the potential disruptions in supply chains could impact the sector negatively. Additionally, the sector could face headwinds from rising energy prices and higher interest rates. On the positive side, the sector could benefit from the economic recovery and the increase in consumer spending.</t>
  </si>
  <si>
    <t>Score: 65
The Diversified REITs sector could present a moderate investment opportunity. The stable home prices and increased consumer spending indicate a healthy real estate market. However, the Federal Reserve's interest rate hikes could increase borrowing costs for REITs, potentially impacting their profitability. Additionally, the ongoing war in Ukraine and its impact on global economies could introduce volatility in the market. The persistent inflation could also affect the purchasing power of consumers, potentially slowing down the real estate market. Therefore, while there are positive indicators, there are also significant risks to consider.</t>
  </si>
  <si>
    <t>Score: 65
The Hotel &amp; Resort REITs sector could potentially benefit from the better-than-expected GDP growth and the recovery from the worst of the COVID-19 pandemic. As the economy continues to recover, travel and tourism are likely to increase, which could boost the performance of hotels and resorts. However, the ongoing war in Ukraine and the potential for further disruptions in global supply chains could pose risks to this sector. Additionally, the Federal Reserve's aggressive interest rate hikes could increase borrowing costs for REITs, potentially impacting their profitability.</t>
  </si>
  <si>
    <t>Score: 65
The Metals &amp; Mining sector could be a moderate investment opportunity. The ongoing war in Ukraine has disrupted global supply chains, potentially increasing demand for domestically sourced metals. Additionally, inflation and the Federal Reserve's interest rate hikes could increase the value of precious metals as investors seek safe-haven assets. However, the sector is also subject to significant volatility due to geopolitical tensions and potential regulatory changes related to environmental concerns.</t>
  </si>
  <si>
    <t>Score: 65
The construction materials sector could be a moderate investment opportunity. The stable home prices and moderate increase in real disposable income suggest a steady demand for housing, which could benefit the construction materials sector. However, the ongoing war in Ukraine and its impact on global supply chains could potentially increase costs for this sector, affecting profitability. Additionally, the Federal Reserve's interest rate hikes could slow down the housing market, which would negatively impact this sector.</t>
  </si>
  <si>
    <t>Score: 65
The retail sector has been showing signs of recovery with the increase in consumer spending, especially on durable goods. However, the ongoing war in Ukraine and its impact on global supply chains could pose a risk to this sector. Additionally, the Federal Reserve's aggressive interest rate hikes could increase borrowing costs for REITs, potentially impacting their profitability. The adoption of AI in retail could provide some upside potential, but overall, the sector presents a moderate investment opportunity at this time.</t>
  </si>
  <si>
    <t>Score: 65
The Chemicals sector could be a moderate investment opportunity. The ongoing war in Ukraine and the resulting supply chain disruptions could potentially increase the prices of raw materials, which could negatively impact the sector. However, the sector could benefit from the economic recovery and the increased demand for chemicals in various industries such as manufacturing and construction. The sector's performance could also be influenced by the Federal Reserve's interest rate hikes, which could increase borrowing costs and impact profitability. However, the sector's resilience and its essential role in various industries could provide some stability.</t>
  </si>
  <si>
    <t>Score: 65
The Textiles, Apparel &amp; Luxury Goods sector could potentially benefit from the current economic conditions. With the GDP growth and consumer spending on the rise, consumers may have more disposable income to spend on luxury goods and apparel. However, the ongoing war in Ukraine and the potential disruptions in supply chains could negatively impact this sector, especially if these companies rely on materials or manufacturing from this region. The inflation rate could also increase the cost of raw materials, which could squeeze profit margins. The sector's score is moderately high due to the positive consumer spending trends but is tempered by potential supply chain disruptions and inflation pressures.</t>
  </si>
  <si>
    <t>Score: 65
The Hotels, Restaurants &amp; Leisure sector is expected to perform moderately well. The GDP growth and low unemployment rate suggest that consumers have disposable income to spend on leisure activities. However, the ongoing COVID-19 pandemic and the war in Ukraine could potentially impact travel and tourism, which could negatively affect this sector. The rising inflation could also lead to increased costs for businesses in this sector, which could impact their profitability.</t>
  </si>
  <si>
    <t>Score: 45
The Marine Transportation sector is likely to face challenges due to the ongoing war in Ukraine, which has caused disruptions in global supply chains. Additionally, the sector is sensitive to changes in the global economy, and the projected slowdown in U.S. GDP growth could negatively impact demand for marine transportation services. However, the sector could benefit from falling energy prices, which could lower operating costs. The sector's score reflects these mixed influences.</t>
  </si>
  <si>
    <t>Score: 45
Mortgage REITs are sensitive to interest rate changes. With the Federal Reserve raising rates sharply, the cost of borrowing for these trusts will increase, which could squeeze their profit margins. Additionally, the slowing GDP growth and potential volatility in the stock market could negatively impact the real estate market, further pressuring Mortgage REITs. However, the stable home prices and low unemployment rate could provide some support to this sector.</t>
  </si>
  <si>
    <t>Score: 45
The office real estate investment trusts (REITs) sector is currently facing a challenging environment. The ongoing COVID-19 pandemic has led to a significant shift towards remote work, which has reduced demand for office spaces. Additionally, the rising interest rates could increase the cost of borrowing for REITs, which could negatively impact their profitability. However, the strong GDP growth and low unemployment rate could potentially lead to a recovery in the office REITs sector as businesses expand and require more office space. The score reflects these mixed signals.</t>
  </si>
  <si>
    <t>Score: 45
The passenger airlines sector is currently facing a challenging environment. The ongoing COVID-19 pandemic, although largely recovered, still poses a risk to the sector due to potential travel restrictions and changes in consumer behavior. The war in Ukraine and its impact on global economies, including spikes in energy prices, could significantly increase operational costs for airlines. Furthermore, the Federal Reserve's interest rate hikes could lead to higher borrowing costs, affecting airlines' profitability. However, the solid GDP growth and stable consumer spending could indicate a potential rebound in travel demand. Therefore, while the sector has some potential, the risks currently outweigh the benefits.</t>
  </si>
  <si>
    <t>Score: 40
The tobacco sector is likely to face challenges in the current economic climate. The ongoing inflation and rising interest rates could potentially reduce consumers' disposable income, leading to a decrease in demand for non-essential goods like tobacco. Additionally, the sector is also facing increasing regulatory pressures and societal shifts towards healthier lifestyles. However, some tobacco companies are diversifying into smokeless products and e-cigarettes, which could provide some growth opportunities.</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</si>
</sst>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quot;$&quot;#,##0.00"/>
    <numFmt numFmtId="165" formatCode="0.0%"/>
    <numFmt numFmtId="166" formatCode="&quot;$&quot;#,##0"/>
    <numFmt numFmtId="167" formatCode="mmm yyyy"/>
    <numFmt numFmtId="168" formatCode="m/d/yy"/>
    <numFmt numFmtId="169" formatCode="mmmm yyyy"/>
    <numFmt numFmtId="170" formatCode="yyyy-mm-dd"/>
    <numFmt numFmtId="171" formatCode="&quot;$&quot;#,##0.0"/>
  </numFmts>
  <fonts count="23">
    <font>
      <sz val="10.0"/>
      <color rgb="FF000000"/>
      <name val="Arial"/>
      <scheme val="minor"/>
    </font>
    <font>
      <b/>
      <sz val="30.0"/>
      <color rgb="FF4A4A4A"/>
      <name val="&quot;system-ui&quot;"/>
    </font>
    <font>
      <color theme="1"/>
      <name val="Arial"/>
      <scheme val="minor"/>
    </font>
    <font>
      <u/>
      <color rgb="FF0000FF"/>
    </font>
    <font>
      <b/>
      <color theme="1"/>
      <name val="Arial"/>
      <scheme val="minor"/>
    </font>
    <font>
      <sz val="11.0"/>
      <color rgb="FF00263A"/>
      <name val="Arial"/>
    </font>
    <font>
      <sz val="9.0"/>
      <color rgb="FF1F1F1F"/>
      <name val="&quot;Google Sans&quot;"/>
    </font>
    <font>
      <b/>
      <sz val="30.0"/>
      <color rgb="FF4A4A4A"/>
      <name val="Arial"/>
    </font>
    <font>
      <sz val="8.0"/>
      <color theme="1"/>
      <name val="Verdana"/>
    </font>
    <font>
      <b/>
      <sz val="8.0"/>
      <color rgb="FF000000"/>
      <name val="&quot;Helvetica Neue&quot;"/>
    </font>
    <font>
      <sz val="8.0"/>
      <color rgb="FF000000"/>
      <name val="&quot;Helvetica Neue&quot;"/>
    </font>
    <font>
      <sz val="27.0"/>
      <color rgb="FFE8E8E8"/>
      <name val="&quot;Google Sans&quot;"/>
    </font>
    <font>
      <b/>
      <color rgb="FF222222"/>
      <name val="Arial"/>
    </font>
    <font>
      <color rgb="FF222222"/>
      <name val="Arial"/>
    </font>
    <font>
      <u/>
      <color rgb="FF0000FF"/>
      <name val="Arial"/>
    </font>
    <font>
      <color rgb="FF000000"/>
      <name val="Arial"/>
    </font>
    <font>
      <u/>
      <sz val="8.0"/>
      <color rgb="FF0000FF"/>
      <name val="&quot;Helvetica Neue&quot;"/>
    </font>
    <font>
      <u/>
      <sz val="8.0"/>
      <color rgb="FF000000"/>
      <name val="&quot;Helvetica Neue&quot;"/>
    </font>
    <font>
      <color theme="1"/>
      <name val="Söhne"/>
    </font>
    <font>
      <color rgb="FFACABBD"/>
      <name val="ABCDiatype"/>
    </font>
    <font>
      <sz val="9.0"/>
      <color theme="1"/>
      <name val="Inherit"/>
    </font>
    <font>
      <color theme="1"/>
      <name val="Arial"/>
    </font>
    <font>
      <b/>
      <color theme="1"/>
      <name val="Arial"/>
    </font>
  </fonts>
  <fills count="11">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D4D4D4"/>
        <bgColor rgb="FFD4D4D4"/>
      </patternFill>
    </fill>
    <fill>
      <patternFill patternType="solid">
        <fgColor rgb="FF1F1F1F"/>
        <bgColor rgb="FF1F1F1F"/>
      </patternFill>
    </fill>
    <fill>
      <patternFill patternType="solid">
        <fgColor rgb="FFB0B3B2"/>
        <bgColor rgb="FFB0B3B2"/>
      </patternFill>
    </fill>
    <fill>
      <patternFill patternType="solid">
        <fgColor rgb="FF343541"/>
        <bgColor rgb="FF343541"/>
      </patternFill>
    </fill>
    <fill>
      <patternFill patternType="solid">
        <fgColor rgb="FF6AA84F"/>
        <bgColor rgb="FF6AA84F"/>
      </patternFill>
    </fill>
    <fill>
      <patternFill patternType="solid">
        <fgColor rgb="FF93C47D"/>
        <bgColor rgb="FF93C47D"/>
      </patternFill>
    </fill>
    <fill>
      <patternFill patternType="solid">
        <fgColor rgb="FF38761D"/>
        <bgColor rgb="FF38761D"/>
      </patternFill>
    </fill>
  </fills>
  <borders count="3">
    <border/>
    <border>
      <left style="thin">
        <color rgb="FFDDDDDD"/>
      </left>
      <right style="thin">
        <color rgb="FFDDDDDD"/>
      </right>
      <top style="thin">
        <color rgb="FFDDDDDD"/>
      </top>
      <bottom style="thin">
        <color rgb="FFDDDDDD"/>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0" fillId="2" fontId="1" numFmtId="164" xfId="0" applyAlignment="1" applyFill="1" applyFont="1" applyNumberFormat="1">
      <alignment readingOrder="0"/>
    </xf>
    <xf borderId="0" fillId="0" fontId="2" numFmtId="0" xfId="0" applyAlignment="1" applyFont="1">
      <alignment readingOrder="0"/>
    </xf>
    <xf borderId="0" fillId="0" fontId="3" numFmtId="0" xfId="0" applyAlignment="1" applyFont="1">
      <alignment readingOrder="0"/>
    </xf>
    <xf borderId="0" fillId="0" fontId="4" numFmtId="0" xfId="0" applyAlignment="1" applyFont="1">
      <alignment horizontal="center" readingOrder="0" vertical="center"/>
    </xf>
    <xf borderId="0" fillId="0" fontId="4" numFmtId="0" xfId="0" applyAlignment="1" applyFont="1">
      <alignment readingOrder="0"/>
    </xf>
    <xf borderId="0" fillId="0" fontId="2" numFmtId="165" xfId="0" applyFont="1" applyNumberFormat="1"/>
    <xf borderId="0" fillId="0" fontId="2" numFmtId="166" xfId="0" applyFont="1" applyNumberFormat="1"/>
    <xf borderId="0" fillId="0" fontId="2" numFmtId="4" xfId="0" applyFont="1" applyNumberFormat="1"/>
    <xf borderId="0" fillId="2" fontId="5" numFmtId="0" xfId="0" applyAlignment="1" applyFont="1">
      <alignment readingOrder="0"/>
    </xf>
    <xf borderId="0" fillId="0" fontId="2" numFmtId="9" xfId="0" applyFont="1" applyNumberFormat="1"/>
    <xf borderId="0" fillId="3" fontId="2" numFmtId="0" xfId="0" applyAlignment="1" applyFill="1" applyFont="1">
      <alignment readingOrder="0"/>
    </xf>
    <xf borderId="0" fillId="0" fontId="2" numFmtId="4" xfId="0" applyAlignment="1" applyFont="1" applyNumberFormat="1">
      <alignment readingOrder="0"/>
    </xf>
    <xf borderId="0" fillId="2" fontId="6" numFmtId="0" xfId="0" applyAlignment="1" applyFont="1">
      <alignment readingOrder="0"/>
    </xf>
    <xf borderId="0" fillId="0" fontId="2" numFmtId="166" xfId="0" applyAlignment="1" applyFont="1" applyNumberFormat="1">
      <alignment readingOrder="0"/>
    </xf>
    <xf borderId="0" fillId="2" fontId="7" numFmtId="4" xfId="0" applyAlignment="1" applyFont="1" applyNumberFormat="1">
      <alignment readingOrder="0"/>
    </xf>
    <xf borderId="1" fillId="0" fontId="8" numFmtId="0" xfId="0" applyAlignment="1" applyBorder="1" applyFont="1">
      <alignment readingOrder="0" shrinkToFit="0" wrapText="0"/>
    </xf>
    <xf borderId="0" fillId="0" fontId="2" numFmtId="0" xfId="0" applyFont="1"/>
    <xf borderId="0" fillId="0" fontId="2" numFmtId="164" xfId="0" applyAlignment="1" applyFont="1" applyNumberFormat="1">
      <alignment readingOrder="0"/>
    </xf>
    <xf borderId="2" fillId="4" fontId="9" numFmtId="0" xfId="0" applyAlignment="1" applyBorder="1" applyFill="1" applyFont="1">
      <alignment readingOrder="0" vertical="top"/>
    </xf>
    <xf borderId="2" fillId="0" fontId="10" numFmtId="0" xfId="0" applyAlignment="1" applyBorder="1" applyFont="1">
      <alignment readingOrder="0" vertical="top"/>
    </xf>
    <xf borderId="0" fillId="2" fontId="7" numFmtId="164" xfId="0" applyAlignment="1" applyFont="1" applyNumberFormat="1">
      <alignment readingOrder="0"/>
    </xf>
    <xf borderId="0" fillId="0" fontId="7" numFmtId="164" xfId="0" applyAlignment="1" applyFont="1" applyNumberFormat="1">
      <alignment readingOrder="0"/>
    </xf>
    <xf borderId="0" fillId="5" fontId="11" numFmtId="164" xfId="0" applyAlignment="1" applyFill="1" applyFont="1" applyNumberFormat="1">
      <alignment readingOrder="0"/>
    </xf>
    <xf borderId="0" fillId="0" fontId="4" numFmtId="167" xfId="0" applyAlignment="1" applyFont="1" applyNumberFormat="1">
      <alignment readingOrder="0"/>
    </xf>
    <xf borderId="0" fillId="0" fontId="2" numFmtId="168" xfId="0" applyAlignment="1" applyFont="1" applyNumberFormat="1">
      <alignment readingOrder="0"/>
    </xf>
    <xf borderId="0" fillId="0" fontId="2" numFmtId="169" xfId="0" applyAlignment="1" applyFont="1" applyNumberFormat="1">
      <alignment readingOrder="0"/>
    </xf>
    <xf borderId="0" fillId="2" fontId="12" numFmtId="0" xfId="0" applyAlignment="1" applyFont="1">
      <alignment horizontal="center" readingOrder="0"/>
    </xf>
    <xf borderId="0" fillId="2" fontId="13" numFmtId="0" xfId="0" applyAlignment="1" applyFont="1">
      <alignment readingOrder="0"/>
    </xf>
    <xf borderId="0" fillId="2" fontId="13" numFmtId="9" xfId="0" applyAlignment="1" applyFont="1" applyNumberFormat="1">
      <alignment readingOrder="0"/>
    </xf>
    <xf borderId="0" fillId="0" fontId="2" numFmtId="10" xfId="0" applyFont="1" applyNumberFormat="1"/>
    <xf borderId="0" fillId="2" fontId="13" numFmtId="10" xfId="0" applyAlignment="1" applyFont="1" applyNumberFormat="1">
      <alignment readingOrder="0"/>
    </xf>
    <xf borderId="0" fillId="0" fontId="13" numFmtId="0" xfId="0" applyAlignment="1" applyFont="1">
      <alignment readingOrder="0"/>
    </xf>
    <xf borderId="0" fillId="0" fontId="2" numFmtId="167" xfId="0" applyAlignment="1" applyFont="1" applyNumberFormat="1">
      <alignment readingOrder="0"/>
    </xf>
    <xf borderId="0" fillId="0" fontId="2" numFmtId="9" xfId="0" applyAlignment="1" applyFont="1" applyNumberFormat="1">
      <alignment readingOrder="0"/>
    </xf>
    <xf borderId="0" fillId="0" fontId="14" numFmtId="0" xfId="0" applyAlignment="1" applyFont="1">
      <alignment readingOrder="0"/>
    </xf>
    <xf borderId="0" fillId="0" fontId="15" numFmtId="0" xfId="0" applyAlignment="1" applyFont="1">
      <alignment readingOrder="0"/>
    </xf>
    <xf borderId="0" fillId="0" fontId="12" numFmtId="0" xfId="0" applyAlignment="1" applyFont="1">
      <alignment horizontal="center" readingOrder="0"/>
    </xf>
    <xf borderId="0" fillId="0" fontId="12" numFmtId="0" xfId="0" applyAlignment="1" applyFont="1">
      <alignment horizontal="right" readingOrder="0"/>
    </xf>
    <xf borderId="0" fillId="0" fontId="13" numFmtId="9" xfId="0" applyAlignment="1" applyFont="1" applyNumberFormat="1">
      <alignment horizontal="right" readingOrder="0"/>
    </xf>
    <xf borderId="2" fillId="6" fontId="9" numFmtId="0" xfId="0" applyAlignment="1" applyBorder="1" applyFill="1" applyFont="1">
      <alignment readingOrder="0" vertical="top"/>
    </xf>
    <xf borderId="2" fillId="0" fontId="10" numFmtId="170" xfId="0" applyAlignment="1" applyBorder="1" applyFont="1" applyNumberFormat="1">
      <alignment readingOrder="0" vertical="top"/>
    </xf>
    <xf borderId="2" fillId="4" fontId="2" numFmtId="0" xfId="0" applyAlignment="1" applyBorder="1" applyFont="1">
      <alignment vertical="top"/>
    </xf>
    <xf borderId="2" fillId="0" fontId="16" numFmtId="0" xfId="0" applyAlignment="1" applyBorder="1" applyFont="1">
      <alignment readingOrder="0" vertical="top"/>
    </xf>
    <xf borderId="2" fillId="0" fontId="2" numFmtId="0" xfId="0" applyAlignment="1" applyBorder="1" applyFont="1">
      <alignment vertical="top"/>
    </xf>
    <xf borderId="2" fillId="6" fontId="9" numFmtId="166" xfId="0" applyAlignment="1" applyBorder="1" applyFont="1" applyNumberFormat="1">
      <alignment readingOrder="0" vertical="top"/>
    </xf>
    <xf borderId="2" fillId="0" fontId="10" numFmtId="166" xfId="0" applyAlignment="1" applyBorder="1" applyFont="1" applyNumberFormat="1">
      <alignment readingOrder="0" vertical="top"/>
    </xf>
    <xf borderId="1" fillId="0" fontId="8" numFmtId="171" xfId="0" applyAlignment="1" applyBorder="1" applyFont="1" applyNumberFormat="1">
      <alignment readingOrder="0" shrinkToFit="0" wrapText="0"/>
    </xf>
    <xf borderId="1" fillId="0" fontId="8" numFmtId="0" xfId="0" applyAlignment="1" applyBorder="1" applyFont="1">
      <alignment shrinkToFit="0" wrapText="0"/>
    </xf>
    <xf borderId="0" fillId="0" fontId="2" numFmtId="171" xfId="0" applyFont="1" applyNumberFormat="1"/>
    <xf borderId="0" fillId="4" fontId="9" numFmtId="0" xfId="0" applyAlignment="1" applyFont="1">
      <alignment readingOrder="0" vertical="top"/>
    </xf>
    <xf borderId="0" fillId="0" fontId="10" numFmtId="0" xfId="0" applyAlignment="1" applyFont="1">
      <alignment readingOrder="0" vertical="top"/>
    </xf>
    <xf borderId="2" fillId="0" fontId="17" numFmtId="0" xfId="0" applyAlignment="1" applyBorder="1" applyFont="1">
      <alignment readingOrder="0" vertical="top"/>
    </xf>
    <xf borderId="1" fillId="0" fontId="8" numFmtId="166" xfId="0" applyAlignment="1" applyBorder="1" applyFont="1" applyNumberFormat="1">
      <alignment readingOrder="0" shrinkToFit="0" wrapText="0"/>
    </xf>
    <xf borderId="0" fillId="0" fontId="2" numFmtId="170" xfId="0" applyAlignment="1" applyFont="1" applyNumberFormat="1">
      <alignment readingOrder="0"/>
    </xf>
    <xf borderId="0" fillId="3" fontId="2" numFmtId="170" xfId="0" applyAlignment="1" applyFont="1" applyNumberFormat="1">
      <alignment readingOrder="0"/>
    </xf>
    <xf borderId="0" fillId="7" fontId="18" numFmtId="0" xfId="0" applyAlignment="1" applyFill="1" applyFont="1">
      <alignment readingOrder="0" shrinkToFit="0" wrapText="1"/>
    </xf>
    <xf borderId="0" fillId="0" fontId="19" numFmtId="0" xfId="0" applyAlignment="1" applyFont="1">
      <alignment readingOrder="0" shrinkToFit="0" wrapText="1"/>
    </xf>
    <xf borderId="0" fillId="0" fontId="19" numFmtId="0" xfId="0" applyAlignment="1" applyFont="1">
      <alignment shrinkToFit="0" wrapText="1"/>
    </xf>
    <xf borderId="0" fillId="0" fontId="20" numFmtId="0" xfId="0" applyAlignment="1" applyFont="1">
      <alignment readingOrder="0" shrinkToFit="0" wrapText="1"/>
    </xf>
    <xf borderId="0" fillId="0" fontId="21" numFmtId="0" xfId="0" applyAlignment="1" applyFont="1">
      <alignment vertical="bottom"/>
    </xf>
    <xf borderId="0" fillId="0" fontId="21" numFmtId="0" xfId="0" applyAlignment="1" applyFont="1">
      <alignment shrinkToFit="0" vertical="center" wrapText="1"/>
    </xf>
    <xf borderId="0" fillId="0" fontId="21" numFmtId="0" xfId="0" applyAlignment="1" applyFont="1">
      <alignment horizontal="right" vertical="bottom"/>
    </xf>
    <xf borderId="0" fillId="8" fontId="21" numFmtId="0" xfId="0" applyAlignment="1" applyFill="1" applyFont="1">
      <alignment vertical="bottom"/>
    </xf>
    <xf borderId="0" fillId="8" fontId="21" numFmtId="0" xfId="0" applyAlignment="1" applyFont="1">
      <alignment shrinkToFit="0" vertical="center" wrapText="1"/>
    </xf>
    <xf borderId="0" fillId="8" fontId="21" numFmtId="0" xfId="0" applyAlignment="1" applyFont="1">
      <alignment horizontal="right" vertical="bottom"/>
    </xf>
    <xf borderId="0" fillId="8" fontId="2" numFmtId="0" xfId="0" applyFont="1"/>
    <xf borderId="0" fillId="9" fontId="21" numFmtId="0" xfId="0" applyAlignment="1" applyFill="1" applyFont="1">
      <alignment vertical="bottom"/>
    </xf>
    <xf borderId="0" fillId="9" fontId="21" numFmtId="0" xfId="0" applyAlignment="1" applyFont="1">
      <alignment shrinkToFit="0" vertical="center" wrapText="1"/>
    </xf>
    <xf borderId="0" fillId="9" fontId="21" numFmtId="0" xfId="0" applyAlignment="1" applyFont="1">
      <alignment horizontal="right" vertical="bottom"/>
    </xf>
    <xf borderId="0" fillId="9" fontId="2" numFmtId="0" xfId="0" applyFont="1"/>
    <xf borderId="0" fillId="10" fontId="21" numFmtId="0" xfId="0" applyAlignment="1" applyFill="1" applyFont="1">
      <alignment vertical="bottom"/>
    </xf>
    <xf borderId="0" fillId="10" fontId="21" numFmtId="0" xfId="0" applyAlignment="1" applyFont="1">
      <alignment shrinkToFit="0" vertical="center" wrapText="1"/>
    </xf>
    <xf borderId="0" fillId="10" fontId="21" numFmtId="0" xfId="0" applyAlignment="1" applyFont="1">
      <alignment horizontal="right" vertical="bottom"/>
    </xf>
    <xf borderId="0" fillId="10" fontId="2" numFmtId="0" xfId="0" applyFont="1"/>
    <xf borderId="0" fillId="3" fontId="21" numFmtId="0" xfId="0" applyAlignment="1" applyFont="1">
      <alignment vertical="bottom"/>
    </xf>
    <xf borderId="0" fillId="3" fontId="21" numFmtId="0" xfId="0" applyAlignment="1" applyFont="1">
      <alignment shrinkToFit="0" vertical="center" wrapText="1"/>
    </xf>
    <xf borderId="0" fillId="3" fontId="21" numFmtId="0" xfId="0" applyAlignment="1" applyFont="1">
      <alignment horizontal="right" vertical="bottom"/>
    </xf>
    <xf borderId="0" fillId="3" fontId="2" numFmtId="0" xfId="0" applyFont="1"/>
    <xf borderId="0" fillId="0" fontId="2" numFmtId="0" xfId="0" applyAlignment="1" applyFont="1">
      <alignment horizontal="center" readingOrder="0" shrinkToFit="0" vertical="center" wrapText="1"/>
    </xf>
    <xf borderId="0" fillId="0" fontId="2" numFmtId="0" xfId="0" applyAlignment="1" applyFont="1">
      <alignment horizontal="center" shrinkToFit="0" vertical="center" wrapText="1"/>
    </xf>
    <xf borderId="0" fillId="0" fontId="22" numFmtId="0" xfId="0" applyAlignment="1" applyFont="1">
      <alignment vertical="bottom"/>
    </xf>
    <xf borderId="0" fillId="0" fontId="22" numFmtId="0" xfId="0" applyAlignment="1" applyFont="1">
      <alignment horizontal="center" shrinkToFit="0" vertical="bottom" wrapText="1"/>
    </xf>
    <xf borderId="0" fillId="0" fontId="22" numFmtId="0" xfId="0" applyAlignment="1" applyFont="1">
      <alignment horizontal="center" shrinkToFit="0" vertical="center" wrapText="1"/>
    </xf>
    <xf borderId="0" fillId="0" fontId="21" numFmtId="0" xfId="0" applyAlignment="1" applyFont="1">
      <alignment horizontal="center" shrinkToFit="0" vertical="bottom" wrapText="1"/>
    </xf>
    <xf borderId="0" fillId="0" fontId="21" numFmtId="0" xfId="0" applyAlignment="1" applyFont="1">
      <alignment horizontal="center" shrinkToFit="0" vertical="center" wrapText="1"/>
    </xf>
    <xf borderId="0" fillId="2" fontId="1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40" Type="http://schemas.openxmlformats.org/officeDocument/2006/relationships/worksheet" Target="worksheets/sheet36.xml"/><Relationship Id="rId20" Type="http://schemas.openxmlformats.org/officeDocument/2006/relationships/worksheet" Target="worksheets/sheet16.xml"/><Relationship Id="rId42" Type="http://schemas.openxmlformats.org/officeDocument/2006/relationships/worksheet" Target="worksheets/sheet38.xml"/><Relationship Id="rId41" Type="http://schemas.openxmlformats.org/officeDocument/2006/relationships/worksheet" Target="worksheets/sheet37.xml"/><Relationship Id="rId22" Type="http://schemas.openxmlformats.org/officeDocument/2006/relationships/worksheet" Target="worksheets/sheet18.xml"/><Relationship Id="rId44" Type="http://schemas.openxmlformats.org/officeDocument/2006/relationships/worksheet" Target="worksheets/sheet40.xml"/><Relationship Id="rId21" Type="http://schemas.openxmlformats.org/officeDocument/2006/relationships/worksheet" Target="worksheets/sheet17.xml"/><Relationship Id="rId43" Type="http://schemas.openxmlformats.org/officeDocument/2006/relationships/worksheet" Target="worksheets/sheet39.xml"/><Relationship Id="rId24" Type="http://schemas.openxmlformats.org/officeDocument/2006/relationships/worksheet" Target="worksheets/sheet20.xml"/><Relationship Id="rId46" Type="http://schemas.openxmlformats.org/officeDocument/2006/relationships/worksheet" Target="worksheets/sheet42.xml"/><Relationship Id="rId23" Type="http://schemas.openxmlformats.org/officeDocument/2006/relationships/worksheet" Target="worksheets/sheet19.xml"/><Relationship Id="rId45" Type="http://schemas.openxmlformats.org/officeDocument/2006/relationships/worksheet" Target="worksheets/sheet41.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26" Type="http://schemas.openxmlformats.org/officeDocument/2006/relationships/worksheet" Target="worksheets/sheet22.xml"/><Relationship Id="rId48" Type="http://schemas.openxmlformats.org/officeDocument/2006/relationships/worksheet" Target="worksheets/sheet44.xml"/><Relationship Id="rId25" Type="http://schemas.openxmlformats.org/officeDocument/2006/relationships/worksheet" Target="worksheets/sheet21.xml"/><Relationship Id="rId47" Type="http://schemas.openxmlformats.org/officeDocument/2006/relationships/worksheet" Target="worksheets/sheet43.xml"/><Relationship Id="rId28" Type="http://schemas.openxmlformats.org/officeDocument/2006/relationships/worksheet" Target="worksheets/sheet24.xml"/><Relationship Id="rId27" Type="http://schemas.openxmlformats.org/officeDocument/2006/relationships/worksheet" Target="worksheets/sheet23.xml"/><Relationship Id="rId5" Type="http://schemas.openxmlformats.org/officeDocument/2006/relationships/worksheet" Target="worksheets/sheet1.xml"/><Relationship Id="rId6" Type="http://schemas.openxmlformats.org/officeDocument/2006/relationships/worksheet" Target="worksheets/sheet2.xml"/><Relationship Id="rId29" Type="http://schemas.openxmlformats.org/officeDocument/2006/relationships/worksheet" Target="worksheets/sheet25.xml"/><Relationship Id="rId7" Type="http://schemas.openxmlformats.org/officeDocument/2006/relationships/worksheet" Target="worksheets/sheet3.xml"/><Relationship Id="rId8" Type="http://schemas.openxmlformats.org/officeDocument/2006/relationships/worksheet" Target="worksheets/sheet4.xml"/><Relationship Id="rId31" Type="http://schemas.openxmlformats.org/officeDocument/2006/relationships/worksheet" Target="worksheets/sheet27.xml"/><Relationship Id="rId30" Type="http://schemas.openxmlformats.org/officeDocument/2006/relationships/worksheet" Target="worksheets/sheet26.xml"/><Relationship Id="rId11" Type="http://schemas.openxmlformats.org/officeDocument/2006/relationships/worksheet" Target="worksheets/sheet7.xml"/><Relationship Id="rId33" Type="http://schemas.openxmlformats.org/officeDocument/2006/relationships/worksheet" Target="worksheets/sheet29.xml"/><Relationship Id="rId10" Type="http://schemas.openxmlformats.org/officeDocument/2006/relationships/worksheet" Target="worksheets/sheet6.xml"/><Relationship Id="rId32" Type="http://schemas.openxmlformats.org/officeDocument/2006/relationships/worksheet" Target="worksheets/sheet28.xml"/><Relationship Id="rId13" Type="http://schemas.openxmlformats.org/officeDocument/2006/relationships/worksheet" Target="worksheets/sheet9.xml"/><Relationship Id="rId35" Type="http://schemas.openxmlformats.org/officeDocument/2006/relationships/worksheet" Target="worksheets/sheet31.xml"/><Relationship Id="rId12" Type="http://schemas.openxmlformats.org/officeDocument/2006/relationships/worksheet" Target="worksheets/sheet8.xml"/><Relationship Id="rId34" Type="http://schemas.openxmlformats.org/officeDocument/2006/relationships/worksheet" Target="worksheets/sheet30.xml"/><Relationship Id="rId15" Type="http://schemas.openxmlformats.org/officeDocument/2006/relationships/worksheet" Target="worksheets/sheet11.xml"/><Relationship Id="rId37" Type="http://schemas.openxmlformats.org/officeDocument/2006/relationships/worksheet" Target="worksheets/sheet33.xml"/><Relationship Id="rId14" Type="http://schemas.openxmlformats.org/officeDocument/2006/relationships/worksheet" Target="worksheets/sheet10.xml"/><Relationship Id="rId36" Type="http://schemas.openxmlformats.org/officeDocument/2006/relationships/worksheet" Target="worksheets/sheet32.xml"/><Relationship Id="rId17" Type="http://schemas.openxmlformats.org/officeDocument/2006/relationships/worksheet" Target="worksheets/sheet13.xml"/><Relationship Id="rId39" Type="http://schemas.openxmlformats.org/officeDocument/2006/relationships/worksheet" Target="worksheets/sheet35.xml"/><Relationship Id="rId16" Type="http://schemas.openxmlformats.org/officeDocument/2006/relationships/worksheet" Target="worksheets/sheet12.xml"/><Relationship Id="rId38" Type="http://schemas.openxmlformats.org/officeDocument/2006/relationships/worksheet" Target="worksheets/sheet34.xml"/><Relationship Id="rId19" Type="http://schemas.openxmlformats.org/officeDocument/2006/relationships/worksheet" Target="worksheets/sheet15.xml"/><Relationship Id="rId18"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utopilotapp.notion.site/GPT-Stuff-440a30c4be184b9f99fd1ab2d2e86cad" TargetMode="External"/><Relationship Id="rId2" Type="http://schemas.openxmlformats.org/officeDocument/2006/relationships/hyperlink" Target="https://www.gold.org/goldhub/research/gold-demand-trends/gold-demand-trends-q2-2025?utm_source=chatgpt.com" TargetMode="External"/><Relationship Id="rId3" Type="http://schemas.openxmlformats.org/officeDocument/2006/relationships/hyperlink" Target="https://www.bls.gov/schedule/2025/home.ht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booking.com" TargetMode="External"/><Relationship Id="rId2" Type="http://schemas.openxmlformats.org/officeDocument/2006/relationships/hyperlink" Target="http://booking.com" TargetMode="External"/><Relationship Id="rId3" Type="http://schemas.openxmlformats.org/officeDocument/2006/relationships/hyperlink" Target="http://zacks.com" TargetMode="External"/><Relationship Id="rId4" Type="http://schemas.openxmlformats.org/officeDocument/2006/relationships/hyperlink" Target="http://zacks.com" TargetMode="External"/><Relationship Id="rId9" Type="http://schemas.openxmlformats.org/officeDocument/2006/relationships/drawing" Target="../drawings/drawing10.xml"/><Relationship Id="rId5" Type="http://schemas.openxmlformats.org/officeDocument/2006/relationships/hyperlink" Target="http://zacks.com" TargetMode="External"/><Relationship Id="rId6" Type="http://schemas.openxmlformats.org/officeDocument/2006/relationships/hyperlink" Target="http://zacks.com" TargetMode="External"/><Relationship Id="rId7" Type="http://schemas.openxmlformats.org/officeDocument/2006/relationships/hyperlink" Target="http://zacks.com" TargetMode="External"/><Relationship Id="rId8" Type="http://schemas.openxmlformats.org/officeDocument/2006/relationships/hyperlink" Target="http://zacks.com"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hyperlink" Target="http://booking.com" TargetMode="External"/><Relationship Id="rId2" Type="http://schemas.openxmlformats.org/officeDocument/2006/relationships/hyperlink" Target="http://homes.com" TargetMode="External"/><Relationship Id="rId3"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hyperlink" Target="http://zacks.com" TargetMode="External"/><Relationship Id="rId2" Type="http://schemas.openxmlformats.org/officeDocument/2006/relationships/hyperlink" Target="http://zacks.com" TargetMode="External"/><Relationship Id="rId3" Type="http://schemas.openxmlformats.org/officeDocument/2006/relationships/hyperlink" Target="http://zacks.com" TargetMode="External"/><Relationship Id="rId4" Type="http://schemas.openxmlformats.org/officeDocument/2006/relationships/hyperlink" Target="http://zacks.com" TargetMode="External"/><Relationship Id="rId11" Type="http://schemas.openxmlformats.org/officeDocument/2006/relationships/drawing" Target="../drawings/drawing3.xml"/><Relationship Id="rId10" Type="http://schemas.openxmlformats.org/officeDocument/2006/relationships/hyperlink" Target="http://zacks.com" TargetMode="External"/><Relationship Id="rId9" Type="http://schemas.openxmlformats.org/officeDocument/2006/relationships/hyperlink" Target="http://checkout.com" TargetMode="External"/><Relationship Id="rId5" Type="http://schemas.openxmlformats.org/officeDocument/2006/relationships/hyperlink" Target="http://zacks.com" TargetMode="External"/><Relationship Id="rId6" Type="http://schemas.openxmlformats.org/officeDocument/2006/relationships/hyperlink" Target="http://zacks.com" TargetMode="External"/><Relationship Id="rId7" Type="http://schemas.openxmlformats.org/officeDocument/2006/relationships/hyperlink" Target="http://zacks.com" TargetMode="External"/><Relationship Id="rId8" Type="http://schemas.openxmlformats.org/officeDocument/2006/relationships/hyperlink" Target="http://zacks.com"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zacks.com" TargetMode="External"/><Relationship Id="rId2" Type="http://schemas.openxmlformats.org/officeDocument/2006/relationships/hyperlink" Target="http://zacks.com" TargetMode="External"/><Relationship Id="rId3" Type="http://schemas.openxmlformats.org/officeDocument/2006/relationships/hyperlink" Target="http://zacks.com" TargetMode="External"/><Relationship Id="rId4" Type="http://schemas.openxmlformats.org/officeDocument/2006/relationships/hyperlink" Target="http://zacks.com" TargetMode="External"/><Relationship Id="rId5" Type="http://schemas.openxmlformats.org/officeDocument/2006/relationships/hyperlink" Target="http://zacks.com" TargetMode="External"/><Relationship Id="rId6" Type="http://schemas.openxmlformats.org/officeDocument/2006/relationships/hyperlink" Target="http://zacks.com" TargetMode="External"/><Relationship Id="rId7" Type="http://schemas.openxmlformats.org/officeDocument/2006/relationships/hyperlink" Target="http://zacks.com" TargetMode="External"/><Relationship Id="rId8"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1" Type="http://schemas.openxmlformats.org/officeDocument/2006/relationships/hyperlink" Target="http://zacks.com" TargetMode="External"/><Relationship Id="rId10" Type="http://schemas.openxmlformats.org/officeDocument/2006/relationships/hyperlink" Target="http://zacks.com" TargetMode="External"/><Relationship Id="rId13" Type="http://schemas.openxmlformats.org/officeDocument/2006/relationships/hyperlink" Target="http://zacks.com" TargetMode="External"/><Relationship Id="rId12" Type="http://schemas.openxmlformats.org/officeDocument/2006/relationships/hyperlink" Target="http://zacks.com" TargetMode="External"/><Relationship Id="rId1" Type="http://schemas.openxmlformats.org/officeDocument/2006/relationships/hyperlink" Target="http://zacks.com" TargetMode="External"/><Relationship Id="rId2" Type="http://schemas.openxmlformats.org/officeDocument/2006/relationships/hyperlink" Target="http://zacks.com" TargetMode="External"/><Relationship Id="rId3" Type="http://schemas.openxmlformats.org/officeDocument/2006/relationships/hyperlink" Target="http://zacks.com" TargetMode="External"/><Relationship Id="rId4" Type="http://schemas.openxmlformats.org/officeDocument/2006/relationships/hyperlink" Target="http://zacks.com" TargetMode="External"/><Relationship Id="rId9" Type="http://schemas.openxmlformats.org/officeDocument/2006/relationships/hyperlink" Target="http://zacks.com" TargetMode="External"/><Relationship Id="rId15" Type="http://schemas.openxmlformats.org/officeDocument/2006/relationships/drawing" Target="../drawings/drawing8.xml"/><Relationship Id="rId14" Type="http://schemas.openxmlformats.org/officeDocument/2006/relationships/hyperlink" Target="http://zacks.com" TargetMode="External"/><Relationship Id="rId5" Type="http://schemas.openxmlformats.org/officeDocument/2006/relationships/hyperlink" Target="http://zacks.com" TargetMode="External"/><Relationship Id="rId6" Type="http://schemas.openxmlformats.org/officeDocument/2006/relationships/hyperlink" Target="http://zacks.com" TargetMode="External"/><Relationship Id="rId7" Type="http://schemas.openxmlformats.org/officeDocument/2006/relationships/hyperlink" Target="http://zacks.com" TargetMode="External"/><Relationship Id="rId8" Type="http://schemas.openxmlformats.org/officeDocument/2006/relationships/hyperlink" Target="http://zacks.com"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1.5"/>
    <col customWidth="1" min="3" max="3" width="23.75"/>
    <col customWidth="1" min="4" max="4" width="49.25"/>
    <col customWidth="1" min="7" max="8" width="22.0"/>
  </cols>
  <sheetData>
    <row r="1" ht="9.75" customHeight="1">
      <c r="A1" s="1">
        <v>76873.86</v>
      </c>
    </row>
    <row r="2">
      <c r="A2" s="2" t="s">
        <v>0</v>
      </c>
      <c r="B2" s="3" t="s">
        <v>1</v>
      </c>
    </row>
    <row r="4">
      <c r="A4" s="2" t="s">
        <v>2</v>
      </c>
    </row>
    <row r="5">
      <c r="A5" s="4" t="s">
        <v>3</v>
      </c>
      <c r="I5" s="2">
        <v>137000.0</v>
      </c>
    </row>
    <row r="6">
      <c r="A6" s="5" t="s">
        <v>4</v>
      </c>
      <c r="B6" s="5" t="s">
        <v>5</v>
      </c>
      <c r="C6" s="5"/>
      <c r="D6" s="5" t="s">
        <v>6</v>
      </c>
      <c r="E6" s="5" t="s">
        <v>7</v>
      </c>
      <c r="F6" s="2" t="s">
        <v>8</v>
      </c>
      <c r="G6" s="2" t="s">
        <v>9</v>
      </c>
      <c r="H6" s="2" t="s">
        <v>10</v>
      </c>
      <c r="I6" s="2" t="s">
        <v>11</v>
      </c>
    </row>
    <row r="7">
      <c r="A7" s="2" t="s">
        <v>12</v>
      </c>
      <c r="B7" s="2">
        <v>85.0</v>
      </c>
      <c r="E7" s="6">
        <v>0.06666666666666667</v>
      </c>
      <c r="F7" s="2">
        <v>479.9</v>
      </c>
      <c r="G7" s="7">
        <f t="shared" ref="G7:G22" si="1">E7*$I$5</f>
        <v>9133.333333</v>
      </c>
      <c r="H7" s="8">
        <f t="shared" ref="H7:H21" si="2">G7/F7</f>
        <v>19.03174272</v>
      </c>
      <c r="I7" s="2" t="s">
        <v>13</v>
      </c>
    </row>
    <row r="8">
      <c r="A8" s="2" t="s">
        <v>14</v>
      </c>
      <c r="B8" s="2">
        <v>85.0</v>
      </c>
      <c r="E8" s="6">
        <v>0.06666666666666667</v>
      </c>
      <c r="F8" s="2">
        <v>832.77</v>
      </c>
      <c r="G8" s="7">
        <f t="shared" si="1"/>
        <v>9133.333333</v>
      </c>
      <c r="H8" s="8">
        <f t="shared" si="2"/>
        <v>10.96741397</v>
      </c>
      <c r="I8" s="2" t="s">
        <v>13</v>
      </c>
    </row>
    <row r="9">
      <c r="A9" s="2" t="s">
        <v>15</v>
      </c>
      <c r="B9" s="2">
        <v>85.0</v>
      </c>
      <c r="E9" s="6">
        <v>0.06666666666666667</v>
      </c>
      <c r="F9" s="2">
        <v>111.23</v>
      </c>
      <c r="G9" s="7">
        <f t="shared" si="1"/>
        <v>9133.333333</v>
      </c>
      <c r="H9" s="8">
        <f t="shared" si="2"/>
        <v>82.11214001</v>
      </c>
      <c r="I9" s="2" t="s">
        <v>13</v>
      </c>
    </row>
    <row r="10">
      <c r="A10" s="2" t="s">
        <v>16</v>
      </c>
      <c r="B10" s="2">
        <v>85.0</v>
      </c>
      <c r="E10" s="6">
        <v>0.06666666666666667</v>
      </c>
      <c r="F10" s="2">
        <v>221.66</v>
      </c>
      <c r="G10" s="7">
        <f t="shared" si="1"/>
        <v>9133.333333</v>
      </c>
      <c r="H10" s="8">
        <f t="shared" si="2"/>
        <v>41.20424674</v>
      </c>
      <c r="I10" s="2" t="s">
        <v>13</v>
      </c>
    </row>
    <row r="11">
      <c r="A11" s="2" t="s">
        <v>17</v>
      </c>
      <c r="B11" s="2">
        <v>85.0</v>
      </c>
      <c r="E11" s="6">
        <v>0.06666666666666667</v>
      </c>
      <c r="F11" s="2">
        <v>117.49</v>
      </c>
      <c r="G11" s="7">
        <f t="shared" si="1"/>
        <v>9133.333333</v>
      </c>
      <c r="H11" s="8">
        <f t="shared" si="2"/>
        <v>77.73711238</v>
      </c>
      <c r="I11" s="2" t="s">
        <v>13</v>
      </c>
    </row>
    <row r="12">
      <c r="A12" s="2" t="s">
        <v>18</v>
      </c>
      <c r="B12" s="2">
        <v>85.0</v>
      </c>
      <c r="E12" s="6">
        <v>0.06666666666666667</v>
      </c>
      <c r="F12" s="2">
        <v>542.21</v>
      </c>
      <c r="G12" s="7">
        <f t="shared" si="1"/>
        <v>9133.333333</v>
      </c>
      <c r="H12" s="8">
        <f t="shared" si="2"/>
        <v>16.84464199</v>
      </c>
      <c r="I12" s="2" t="s">
        <v>13</v>
      </c>
    </row>
    <row r="13">
      <c r="A13" s="2" t="s">
        <v>19</v>
      </c>
      <c r="B13" s="2">
        <v>85.0</v>
      </c>
      <c r="E13" s="6">
        <v>0.06666666666666667</v>
      </c>
      <c r="F13" s="2">
        <v>109.61</v>
      </c>
      <c r="G13" s="7">
        <f t="shared" si="1"/>
        <v>9133.333333</v>
      </c>
      <c r="H13" s="8">
        <f t="shared" si="2"/>
        <v>83.32573062</v>
      </c>
      <c r="I13" s="2" t="s">
        <v>13</v>
      </c>
    </row>
    <row r="14">
      <c r="A14" s="2" t="s">
        <v>20</v>
      </c>
      <c r="B14" s="2">
        <v>85.0</v>
      </c>
      <c r="E14" s="6">
        <v>0.06666666666666667</v>
      </c>
      <c r="F14" s="2">
        <v>206.15</v>
      </c>
      <c r="G14" s="7">
        <f t="shared" si="1"/>
        <v>9133.333333</v>
      </c>
      <c r="H14" s="8">
        <f t="shared" si="2"/>
        <v>44.30430916</v>
      </c>
      <c r="I14" s="2" t="s">
        <v>13</v>
      </c>
    </row>
    <row r="15">
      <c r="A15" s="2" t="s">
        <v>21</v>
      </c>
      <c r="B15" s="2">
        <v>85.0</v>
      </c>
      <c r="E15" s="6">
        <v>0.06666666666666667</v>
      </c>
      <c r="F15" s="2">
        <v>247.3</v>
      </c>
      <c r="G15" s="7">
        <f t="shared" si="1"/>
        <v>9133.333333</v>
      </c>
      <c r="H15" s="8">
        <f t="shared" si="2"/>
        <v>36.93220111</v>
      </c>
      <c r="I15" s="2" t="s">
        <v>13</v>
      </c>
    </row>
    <row r="16">
      <c r="A16" s="2" t="s">
        <v>22</v>
      </c>
      <c r="B16" s="2">
        <v>85.0</v>
      </c>
      <c r="E16" s="6">
        <v>0.06666666666666667</v>
      </c>
      <c r="F16" s="2">
        <v>217.38</v>
      </c>
      <c r="G16" s="7">
        <f t="shared" si="1"/>
        <v>9133.333333</v>
      </c>
      <c r="H16" s="8">
        <f t="shared" si="2"/>
        <v>42.01551814</v>
      </c>
      <c r="I16" s="2" t="s">
        <v>13</v>
      </c>
    </row>
    <row r="17">
      <c r="A17" s="2" t="s">
        <v>23</v>
      </c>
      <c r="B17" s="2">
        <v>85.0</v>
      </c>
      <c r="C17" s="2"/>
      <c r="D17" s="2" t="s">
        <v>24</v>
      </c>
      <c r="E17" s="6">
        <v>0.06666666666666667</v>
      </c>
      <c r="F17" s="2">
        <v>247.26</v>
      </c>
      <c r="G17" s="7">
        <f t="shared" si="1"/>
        <v>9133.333333</v>
      </c>
      <c r="H17" s="8">
        <f t="shared" si="2"/>
        <v>36.93817574</v>
      </c>
      <c r="I17" s="2" t="s">
        <v>13</v>
      </c>
    </row>
    <row r="18">
      <c r="A18" s="2" t="s">
        <v>25</v>
      </c>
      <c r="B18" s="2">
        <v>85.0</v>
      </c>
      <c r="C18" s="2"/>
      <c r="D18" s="2" t="s">
        <v>26</v>
      </c>
      <c r="E18" s="6">
        <v>0.06666666666666667</v>
      </c>
      <c r="F18" s="2">
        <v>336.74</v>
      </c>
      <c r="G18" s="7">
        <f t="shared" si="1"/>
        <v>9133.333333</v>
      </c>
      <c r="H18" s="8">
        <f t="shared" si="2"/>
        <v>27.12280493</v>
      </c>
      <c r="I18" s="2" t="s">
        <v>13</v>
      </c>
    </row>
    <row r="19">
      <c r="A19" s="2" t="s">
        <v>27</v>
      </c>
      <c r="B19" s="2">
        <v>85.0</v>
      </c>
      <c r="C19" s="2"/>
      <c r="D19" s="2" t="s">
        <v>28</v>
      </c>
      <c r="E19" s="6">
        <v>0.06666666666666667</v>
      </c>
      <c r="F19" s="2">
        <v>430.64</v>
      </c>
      <c r="G19" s="7">
        <f t="shared" si="1"/>
        <v>9133.333333</v>
      </c>
      <c r="H19" s="8">
        <f t="shared" si="2"/>
        <v>21.20874358</v>
      </c>
      <c r="I19" s="2" t="s">
        <v>13</v>
      </c>
    </row>
    <row r="20">
      <c r="A20" s="2" t="s">
        <v>29</v>
      </c>
      <c r="B20" s="2">
        <v>85.0</v>
      </c>
      <c r="C20" s="2"/>
      <c r="D20" s="2" t="s">
        <v>30</v>
      </c>
      <c r="E20" s="6">
        <v>0.06666666666666667</v>
      </c>
      <c r="F20" s="9">
        <v>15.63</v>
      </c>
      <c r="G20" s="7">
        <f t="shared" si="1"/>
        <v>9133.333333</v>
      </c>
      <c r="H20" s="8">
        <f t="shared" si="2"/>
        <v>584.3463425</v>
      </c>
      <c r="I20" s="2" t="s">
        <v>13</v>
      </c>
    </row>
    <row r="21">
      <c r="A21" s="2" t="s">
        <v>31</v>
      </c>
      <c r="B21" s="2">
        <v>85.0</v>
      </c>
      <c r="C21" s="2"/>
      <c r="D21" s="2" t="s">
        <v>32</v>
      </c>
      <c r="E21" s="6">
        <v>0.06666666666666667</v>
      </c>
      <c r="F21" s="2">
        <v>243.13</v>
      </c>
      <c r="G21" s="7">
        <f t="shared" si="1"/>
        <v>9133.333333</v>
      </c>
      <c r="H21" s="8">
        <f t="shared" si="2"/>
        <v>37.56563704</v>
      </c>
      <c r="I21" s="2" t="s">
        <v>13</v>
      </c>
    </row>
    <row r="22">
      <c r="E22" s="10">
        <f>SUM(E4:E21)</f>
        <v>1</v>
      </c>
      <c r="G22" s="7">
        <f t="shared" si="1"/>
        <v>137000</v>
      </c>
    </row>
    <row r="25">
      <c r="A25" s="5" t="s">
        <v>4</v>
      </c>
      <c r="B25" s="5" t="s">
        <v>5</v>
      </c>
      <c r="C25" s="5"/>
      <c r="D25" s="5" t="s">
        <v>6</v>
      </c>
      <c r="E25" s="5" t="s">
        <v>7</v>
      </c>
      <c r="F25" s="2" t="s">
        <v>8</v>
      </c>
      <c r="G25" s="2" t="s">
        <v>9</v>
      </c>
      <c r="H25" s="2" t="s">
        <v>10</v>
      </c>
      <c r="I25" s="2" t="s">
        <v>11</v>
      </c>
    </row>
    <row r="26">
      <c r="A26" s="2" t="s">
        <v>33</v>
      </c>
      <c r="B26" s="2">
        <v>85.0</v>
      </c>
      <c r="E26" s="10">
        <v>0.06666666666666667</v>
      </c>
      <c r="F26" s="2">
        <v>272.92</v>
      </c>
      <c r="G26" s="7">
        <f t="shared" ref="G26:G40" si="3">E26*$I$5</f>
        <v>9133.333333</v>
      </c>
      <c r="H26" s="8">
        <f t="shared" ref="H26:H40" si="4">G26/F26</f>
        <v>33.46524012</v>
      </c>
      <c r="I26" s="2" t="s">
        <v>34</v>
      </c>
    </row>
    <row r="27">
      <c r="A27" s="2" t="s">
        <v>35</v>
      </c>
      <c r="B27" s="2">
        <v>85.0</v>
      </c>
      <c r="E27" s="10">
        <v>0.06666666666666667</v>
      </c>
      <c r="F27" s="2">
        <v>174.51</v>
      </c>
      <c r="G27" s="7">
        <f t="shared" si="3"/>
        <v>9133.333333</v>
      </c>
      <c r="H27" s="8">
        <f t="shared" si="4"/>
        <v>52.33701985</v>
      </c>
      <c r="I27" s="2" t="s">
        <v>34</v>
      </c>
    </row>
    <row r="28">
      <c r="A28" s="2" t="s">
        <v>17</v>
      </c>
      <c r="B28" s="2">
        <v>75.0</v>
      </c>
      <c r="E28" s="10">
        <v>0.06666666666666667</v>
      </c>
      <c r="F28" s="2">
        <v>115.47</v>
      </c>
      <c r="G28" s="7">
        <f t="shared" si="3"/>
        <v>9133.333333</v>
      </c>
      <c r="H28" s="8">
        <f t="shared" si="4"/>
        <v>79.09702376</v>
      </c>
      <c r="I28" s="2" t="s">
        <v>34</v>
      </c>
    </row>
    <row r="29">
      <c r="A29" s="2" t="s">
        <v>36</v>
      </c>
      <c r="B29" s="2">
        <v>75.0</v>
      </c>
      <c r="E29" s="10">
        <v>0.06666666666666667</v>
      </c>
      <c r="F29" s="2">
        <v>396.18</v>
      </c>
      <c r="G29" s="7">
        <f t="shared" si="3"/>
        <v>9133.333333</v>
      </c>
      <c r="H29" s="8">
        <f t="shared" si="4"/>
        <v>23.0534942</v>
      </c>
      <c r="I29" s="2" t="s">
        <v>34</v>
      </c>
    </row>
    <row r="30">
      <c r="A30" s="2" t="s">
        <v>14</v>
      </c>
      <c r="B30" s="2">
        <v>75.0</v>
      </c>
      <c r="E30" s="10">
        <v>0.06666666666666667</v>
      </c>
      <c r="F30" s="2">
        <v>818.03</v>
      </c>
      <c r="G30" s="7">
        <f t="shared" si="3"/>
        <v>9133.333333</v>
      </c>
      <c r="H30" s="8">
        <f t="shared" si="4"/>
        <v>11.1650347</v>
      </c>
      <c r="I30" s="2" t="s">
        <v>34</v>
      </c>
    </row>
    <row r="31">
      <c r="A31" s="2" t="s">
        <v>37</v>
      </c>
      <c r="B31" s="2">
        <v>75.0</v>
      </c>
      <c r="E31" s="10">
        <v>0.06666666666666667</v>
      </c>
      <c r="F31" s="2">
        <v>380.57</v>
      </c>
      <c r="G31" s="7">
        <f t="shared" si="3"/>
        <v>9133.333333</v>
      </c>
      <c r="H31" s="8">
        <f t="shared" si="4"/>
        <v>23.99908909</v>
      </c>
      <c r="I31" s="2" t="s">
        <v>34</v>
      </c>
    </row>
    <row r="32">
      <c r="A32" s="2" t="s">
        <v>38</v>
      </c>
      <c r="B32" s="2">
        <v>75.0</v>
      </c>
      <c r="E32" s="10">
        <v>0.06666666666666667</v>
      </c>
      <c r="F32" s="2">
        <v>119.27</v>
      </c>
      <c r="G32" s="7">
        <f t="shared" si="3"/>
        <v>9133.333333</v>
      </c>
      <c r="H32" s="8">
        <f t="shared" si="4"/>
        <v>76.57695425</v>
      </c>
      <c r="I32" s="2" t="s">
        <v>34</v>
      </c>
    </row>
    <row r="33">
      <c r="A33" s="2" t="s">
        <v>39</v>
      </c>
      <c r="B33" s="2">
        <v>75.0</v>
      </c>
      <c r="E33" s="10">
        <v>0.06666666666666667</v>
      </c>
      <c r="F33" s="2">
        <v>139.3</v>
      </c>
      <c r="G33" s="7">
        <f t="shared" si="3"/>
        <v>9133.333333</v>
      </c>
      <c r="H33" s="8">
        <f t="shared" si="4"/>
        <v>65.56592486</v>
      </c>
      <c r="I33" s="2" t="s">
        <v>34</v>
      </c>
    </row>
    <row r="34">
      <c r="A34" s="2" t="s">
        <v>40</v>
      </c>
      <c r="B34" s="2">
        <v>75.0</v>
      </c>
      <c r="E34" s="10">
        <v>0.06666666666666667</v>
      </c>
      <c r="F34" s="2">
        <v>407.82</v>
      </c>
      <c r="G34" s="7">
        <f t="shared" si="3"/>
        <v>9133.333333</v>
      </c>
      <c r="H34" s="8">
        <f t="shared" si="4"/>
        <v>22.39550128</v>
      </c>
      <c r="I34" s="2" t="s">
        <v>34</v>
      </c>
    </row>
    <row r="35">
      <c r="A35" s="2" t="s">
        <v>41</v>
      </c>
      <c r="B35" s="2">
        <v>75.0</v>
      </c>
      <c r="E35" s="10">
        <v>0.06666666666666667</v>
      </c>
      <c r="F35" s="2">
        <v>272.38</v>
      </c>
      <c r="G35" s="7">
        <f t="shared" si="3"/>
        <v>9133.333333</v>
      </c>
      <c r="H35" s="8">
        <f t="shared" si="4"/>
        <v>33.53158577</v>
      </c>
      <c r="I35" s="2" t="s">
        <v>34</v>
      </c>
    </row>
    <row r="36">
      <c r="A36" s="2" t="s">
        <v>27</v>
      </c>
      <c r="B36" s="2">
        <v>75.0</v>
      </c>
      <c r="E36" s="10">
        <v>0.06666666666666667</v>
      </c>
      <c r="F36" s="2">
        <v>418.72</v>
      </c>
      <c r="G36" s="7">
        <f t="shared" si="3"/>
        <v>9133.333333</v>
      </c>
      <c r="H36" s="8">
        <f t="shared" si="4"/>
        <v>21.81250796</v>
      </c>
      <c r="I36" s="2" t="s">
        <v>34</v>
      </c>
    </row>
    <row r="37">
      <c r="A37" s="2" t="s">
        <v>42</v>
      </c>
      <c r="B37" s="2">
        <v>75.0</v>
      </c>
      <c r="E37" s="10">
        <v>0.06666666666666667</v>
      </c>
      <c r="F37" s="2">
        <v>181.28</v>
      </c>
      <c r="G37" s="7">
        <f t="shared" si="3"/>
        <v>9133.333333</v>
      </c>
      <c r="H37" s="8">
        <f t="shared" si="4"/>
        <v>50.38246543</v>
      </c>
      <c r="I37" s="2" t="s">
        <v>34</v>
      </c>
    </row>
    <row r="38">
      <c r="A38" s="2" t="s">
        <v>43</v>
      </c>
      <c r="B38" s="2">
        <v>75.0</v>
      </c>
      <c r="E38" s="10">
        <v>0.06666666666666667</v>
      </c>
      <c r="F38" s="2">
        <v>476.02</v>
      </c>
      <c r="G38" s="7">
        <f t="shared" si="3"/>
        <v>9133.333333</v>
      </c>
      <c r="H38" s="8">
        <f t="shared" si="4"/>
        <v>19.1868689</v>
      </c>
      <c r="I38" s="2" t="s">
        <v>34</v>
      </c>
    </row>
    <row r="39">
      <c r="A39" s="2" t="s">
        <v>44</v>
      </c>
      <c r="B39" s="2">
        <v>75.0</v>
      </c>
      <c r="E39" s="10">
        <v>0.06666666666666667</v>
      </c>
      <c r="F39" s="2">
        <v>105.88</v>
      </c>
      <c r="G39" s="7">
        <f t="shared" si="3"/>
        <v>9133.333333</v>
      </c>
      <c r="H39" s="8">
        <f t="shared" si="4"/>
        <v>86.26117617</v>
      </c>
      <c r="I39" s="2" t="s">
        <v>34</v>
      </c>
    </row>
    <row r="40">
      <c r="A40" s="2" t="s">
        <v>45</v>
      </c>
      <c r="B40" s="2">
        <v>75.0</v>
      </c>
      <c r="E40" s="10">
        <v>0.06666666666666667</v>
      </c>
      <c r="F40" s="2">
        <v>22.26</v>
      </c>
      <c r="G40" s="7">
        <f t="shared" si="3"/>
        <v>9133.333333</v>
      </c>
      <c r="H40" s="8">
        <f t="shared" si="4"/>
        <v>410.3024858</v>
      </c>
      <c r="I40" s="2" t="s">
        <v>34</v>
      </c>
    </row>
    <row r="43">
      <c r="A43" s="5" t="s">
        <v>4</v>
      </c>
      <c r="B43" s="5" t="s">
        <v>5</v>
      </c>
      <c r="C43" s="5"/>
      <c r="D43" s="5" t="s">
        <v>6</v>
      </c>
      <c r="E43" s="5" t="s">
        <v>7</v>
      </c>
      <c r="F43" s="2" t="s">
        <v>8</v>
      </c>
      <c r="G43" s="2" t="s">
        <v>9</v>
      </c>
      <c r="H43" s="2" t="s">
        <v>10</v>
      </c>
      <c r="I43" s="2" t="s">
        <v>11</v>
      </c>
    </row>
    <row r="44">
      <c r="A44" s="2" t="s">
        <v>46</v>
      </c>
      <c r="B44" s="2">
        <v>95.0</v>
      </c>
      <c r="C44" s="2"/>
      <c r="D44" s="2" t="s">
        <v>47</v>
      </c>
      <c r="E44" s="10">
        <v>0.06666666666666667</v>
      </c>
      <c r="F44" s="2">
        <v>314.6</v>
      </c>
      <c r="G44" s="7">
        <f t="shared" ref="G44:G58" si="5">E44*$I$5</f>
        <v>9133.333333</v>
      </c>
      <c r="H44" s="8">
        <f t="shared" ref="H44:H58" si="6">G44/F44</f>
        <v>29.03157449</v>
      </c>
      <c r="I44" s="5" t="s">
        <v>48</v>
      </c>
    </row>
    <row r="45">
      <c r="A45" s="2" t="s">
        <v>49</v>
      </c>
      <c r="B45" s="2">
        <v>95.0</v>
      </c>
      <c r="C45" s="2"/>
      <c r="D45" s="2" t="s">
        <v>50</v>
      </c>
      <c r="E45" s="10">
        <v>0.06666666666666667</v>
      </c>
      <c r="F45" s="2">
        <v>451.51</v>
      </c>
      <c r="G45" s="7">
        <f t="shared" si="5"/>
        <v>9133.333333</v>
      </c>
      <c r="H45" s="8">
        <f t="shared" si="6"/>
        <v>20.22841871</v>
      </c>
      <c r="I45" s="5" t="s">
        <v>48</v>
      </c>
    </row>
    <row r="46">
      <c r="A46" s="2" t="s">
        <v>51</v>
      </c>
      <c r="B46" s="2">
        <v>90.0</v>
      </c>
      <c r="C46" s="2"/>
      <c r="D46" s="2" t="s">
        <v>52</v>
      </c>
      <c r="E46" s="10">
        <v>0.06666666666666667</v>
      </c>
      <c r="F46" s="2">
        <v>69.32</v>
      </c>
      <c r="G46" s="7">
        <f t="shared" si="5"/>
        <v>9133.333333</v>
      </c>
      <c r="H46" s="8">
        <f t="shared" si="6"/>
        <v>131.7561069</v>
      </c>
      <c r="I46" s="5" t="s">
        <v>48</v>
      </c>
    </row>
    <row r="47">
      <c r="A47" s="2" t="s">
        <v>53</v>
      </c>
      <c r="B47" s="2">
        <v>90.0</v>
      </c>
      <c r="C47" s="2"/>
      <c r="D47" s="2" t="s">
        <v>54</v>
      </c>
      <c r="E47" s="10">
        <v>0.06666666666666667</v>
      </c>
      <c r="F47" s="2">
        <v>138.6</v>
      </c>
      <c r="G47" s="7">
        <f t="shared" si="5"/>
        <v>9133.333333</v>
      </c>
      <c r="H47" s="8">
        <f t="shared" si="6"/>
        <v>65.8970659</v>
      </c>
      <c r="I47" s="5" t="s">
        <v>48</v>
      </c>
    </row>
    <row r="48">
      <c r="A48" s="2" t="s">
        <v>55</v>
      </c>
      <c r="B48" s="2">
        <v>90.0</v>
      </c>
      <c r="C48" s="2"/>
      <c r="D48" s="2" t="s">
        <v>56</v>
      </c>
      <c r="E48" s="10">
        <v>0.06666666666666667</v>
      </c>
      <c r="F48" s="2">
        <v>218.79</v>
      </c>
      <c r="G48" s="7">
        <f t="shared" si="5"/>
        <v>9133.333333</v>
      </c>
      <c r="H48" s="8">
        <f t="shared" si="6"/>
        <v>41.74474763</v>
      </c>
      <c r="I48" s="5" t="s">
        <v>48</v>
      </c>
    </row>
    <row r="49">
      <c r="A49" s="2" t="s">
        <v>57</v>
      </c>
      <c r="B49" s="2">
        <v>90.0</v>
      </c>
      <c r="C49" s="2"/>
      <c r="D49" s="2" t="s">
        <v>58</v>
      </c>
      <c r="E49" s="10">
        <v>0.06666666666666667</v>
      </c>
      <c r="F49" s="2">
        <v>560.9</v>
      </c>
      <c r="G49" s="7">
        <f t="shared" si="5"/>
        <v>9133.333333</v>
      </c>
      <c r="H49" s="8">
        <f t="shared" si="6"/>
        <v>16.28335413</v>
      </c>
      <c r="I49" s="5" t="s">
        <v>48</v>
      </c>
    </row>
    <row r="50">
      <c r="A50" s="2" t="s">
        <v>59</v>
      </c>
      <c r="B50" s="2">
        <v>90.0</v>
      </c>
      <c r="C50" s="2"/>
      <c r="D50" s="2" t="s">
        <v>60</v>
      </c>
      <c r="E50" s="10">
        <v>0.06666666666666667</v>
      </c>
      <c r="F50" s="2">
        <v>2574.54</v>
      </c>
      <c r="G50" s="7">
        <f t="shared" si="5"/>
        <v>9133.333333</v>
      </c>
      <c r="H50" s="8">
        <f t="shared" si="6"/>
        <v>3.547559305</v>
      </c>
      <c r="I50" s="5" t="s">
        <v>48</v>
      </c>
    </row>
    <row r="51">
      <c r="A51" s="2" t="s">
        <v>61</v>
      </c>
      <c r="B51" s="2">
        <v>90.0</v>
      </c>
      <c r="C51" s="2"/>
      <c r="D51" s="2" t="s">
        <v>62</v>
      </c>
      <c r="E51" s="10">
        <v>0.06666666666666667</v>
      </c>
      <c r="F51" s="2">
        <v>68.67</v>
      </c>
      <c r="G51" s="7">
        <f t="shared" si="5"/>
        <v>9133.333333</v>
      </c>
      <c r="H51" s="8">
        <f t="shared" si="6"/>
        <v>133.0032523</v>
      </c>
      <c r="I51" s="5" t="s">
        <v>48</v>
      </c>
    </row>
    <row r="52">
      <c r="A52" s="2" t="s">
        <v>63</v>
      </c>
      <c r="B52" s="2">
        <v>85.0</v>
      </c>
      <c r="C52" s="2"/>
      <c r="D52" s="2" t="s">
        <v>64</v>
      </c>
      <c r="E52" s="10">
        <v>0.06666666666666667</v>
      </c>
      <c r="F52" s="2">
        <v>63.01</v>
      </c>
      <c r="G52" s="7">
        <f t="shared" si="5"/>
        <v>9133.333333</v>
      </c>
      <c r="H52" s="8">
        <f t="shared" si="6"/>
        <v>144.950537</v>
      </c>
      <c r="I52" s="5" t="s">
        <v>48</v>
      </c>
      <c r="J52" s="2" t="s">
        <v>65</v>
      </c>
    </row>
    <row r="53">
      <c r="A53" s="2" t="s">
        <v>66</v>
      </c>
      <c r="B53" s="2">
        <v>85.0</v>
      </c>
      <c r="C53" s="2"/>
      <c r="D53" s="2" t="s">
        <v>67</v>
      </c>
      <c r="E53" s="10">
        <v>0.06666666666666667</v>
      </c>
      <c r="F53" s="2">
        <v>115.61</v>
      </c>
      <c r="G53" s="7">
        <f t="shared" si="5"/>
        <v>9133.333333</v>
      </c>
      <c r="H53" s="8">
        <f t="shared" si="6"/>
        <v>79.0012398</v>
      </c>
      <c r="I53" s="5" t="s">
        <v>48</v>
      </c>
      <c r="J53" s="2" t="s">
        <v>65</v>
      </c>
    </row>
    <row r="54">
      <c r="A54" s="2" t="s">
        <v>68</v>
      </c>
      <c r="B54" s="2">
        <v>85.0</v>
      </c>
      <c r="C54" s="2" t="s">
        <v>69</v>
      </c>
      <c r="D54" s="2" t="s">
        <v>70</v>
      </c>
      <c r="E54" s="10">
        <v>0.06666666666666667</v>
      </c>
      <c r="F54" s="2">
        <v>77.59</v>
      </c>
      <c r="G54" s="7">
        <f t="shared" si="5"/>
        <v>9133.333333</v>
      </c>
      <c r="H54" s="8">
        <f t="shared" si="6"/>
        <v>117.7127637</v>
      </c>
      <c r="I54" s="5" t="s">
        <v>48</v>
      </c>
    </row>
    <row r="55">
      <c r="A55" s="2" t="s">
        <v>71</v>
      </c>
      <c r="B55" s="2">
        <v>85.0</v>
      </c>
      <c r="C55" s="2" t="s">
        <v>72</v>
      </c>
      <c r="D55" s="2" t="s">
        <v>73</v>
      </c>
      <c r="E55" s="10">
        <v>0.06666666666666667</v>
      </c>
      <c r="F55" s="2">
        <v>88.45</v>
      </c>
      <c r="G55" s="7">
        <f t="shared" si="5"/>
        <v>9133.333333</v>
      </c>
      <c r="H55" s="8">
        <f t="shared" si="6"/>
        <v>103.2598455</v>
      </c>
      <c r="I55" s="5" t="s">
        <v>48</v>
      </c>
    </row>
    <row r="56">
      <c r="A56" s="2" t="s">
        <v>74</v>
      </c>
      <c r="B56" s="2">
        <v>85.0</v>
      </c>
      <c r="C56" s="2" t="s">
        <v>75</v>
      </c>
      <c r="D56" s="2" t="s">
        <v>76</v>
      </c>
      <c r="E56" s="10">
        <v>0.06666666666666667</v>
      </c>
      <c r="F56" s="2">
        <v>26.06</v>
      </c>
      <c r="G56" s="7">
        <f t="shared" si="5"/>
        <v>9133.333333</v>
      </c>
      <c r="H56" s="8">
        <f t="shared" si="6"/>
        <v>350.4732668</v>
      </c>
      <c r="I56" s="5" t="s">
        <v>48</v>
      </c>
    </row>
    <row r="57">
      <c r="A57" s="2" t="s">
        <v>77</v>
      </c>
      <c r="B57" s="2">
        <v>85.0</v>
      </c>
      <c r="C57" s="2" t="s">
        <v>78</v>
      </c>
      <c r="D57" s="2" t="s">
        <v>79</v>
      </c>
      <c r="E57" s="10">
        <v>0.06666666666666667</v>
      </c>
      <c r="F57" s="2">
        <v>17.21</v>
      </c>
      <c r="G57" s="7">
        <f t="shared" si="5"/>
        <v>9133.333333</v>
      </c>
      <c r="H57" s="8">
        <f t="shared" si="6"/>
        <v>530.6992059</v>
      </c>
      <c r="I57" s="5" t="s">
        <v>48</v>
      </c>
    </row>
    <row r="58">
      <c r="A58" s="2" t="s">
        <v>23</v>
      </c>
      <c r="B58" s="2">
        <v>85.0</v>
      </c>
      <c r="C58" s="2" t="s">
        <v>80</v>
      </c>
      <c r="D58" s="2" t="s">
        <v>81</v>
      </c>
      <c r="E58" s="10">
        <v>0.06666666666666667</v>
      </c>
      <c r="F58" s="2">
        <v>248.96</v>
      </c>
      <c r="G58" s="7">
        <f t="shared" si="5"/>
        <v>9133.333333</v>
      </c>
      <c r="H58" s="8">
        <f t="shared" si="6"/>
        <v>36.68594687</v>
      </c>
      <c r="I58" s="5" t="s">
        <v>48</v>
      </c>
    </row>
    <row r="61">
      <c r="A61" s="5" t="s">
        <v>4</v>
      </c>
      <c r="B61" s="5" t="s">
        <v>5</v>
      </c>
      <c r="C61" s="5"/>
      <c r="D61" s="5" t="s">
        <v>6</v>
      </c>
      <c r="E61" s="5" t="s">
        <v>7</v>
      </c>
      <c r="F61" s="2" t="s">
        <v>8</v>
      </c>
      <c r="G61" s="2" t="s">
        <v>9</v>
      </c>
      <c r="H61" s="2" t="s">
        <v>10</v>
      </c>
      <c r="I61" s="2" t="s">
        <v>11</v>
      </c>
    </row>
    <row r="62">
      <c r="A62" s="2" t="s">
        <v>82</v>
      </c>
      <c r="B62" s="2">
        <v>90.0</v>
      </c>
      <c r="D62" s="2" t="s">
        <v>83</v>
      </c>
      <c r="E62" s="10">
        <v>0.06666666666666667</v>
      </c>
      <c r="F62" s="2">
        <v>41.94</v>
      </c>
      <c r="G62" s="7">
        <f t="shared" ref="G62:G76" si="7">E62*$I$5</f>
        <v>9133.333333</v>
      </c>
      <c r="H62" s="8">
        <f t="shared" ref="H62:H76" si="8">G62/F62</f>
        <v>217.7714195</v>
      </c>
      <c r="I62" s="5" t="s">
        <v>84</v>
      </c>
    </row>
    <row r="63">
      <c r="A63" s="2" t="s">
        <v>85</v>
      </c>
      <c r="B63" s="2">
        <v>90.0</v>
      </c>
      <c r="D63" s="2" t="s">
        <v>86</v>
      </c>
      <c r="E63" s="10">
        <v>0.06666666666666667</v>
      </c>
      <c r="F63" s="2">
        <v>39.12</v>
      </c>
      <c r="G63" s="7">
        <f t="shared" si="7"/>
        <v>9133.333333</v>
      </c>
      <c r="H63" s="8">
        <f t="shared" si="8"/>
        <v>233.469666</v>
      </c>
      <c r="I63" s="5" t="s">
        <v>84</v>
      </c>
    </row>
    <row r="64">
      <c r="A64" s="2" t="s">
        <v>87</v>
      </c>
      <c r="B64" s="2">
        <v>90.0</v>
      </c>
      <c r="D64" s="2" t="s">
        <v>88</v>
      </c>
      <c r="E64" s="10">
        <v>0.06666666666666667</v>
      </c>
      <c r="F64" s="2">
        <v>131.85</v>
      </c>
      <c r="G64" s="7">
        <f t="shared" si="7"/>
        <v>9133.333333</v>
      </c>
      <c r="H64" s="8">
        <f t="shared" si="8"/>
        <v>69.27063582</v>
      </c>
      <c r="I64" s="5" t="s">
        <v>84</v>
      </c>
    </row>
    <row r="65">
      <c r="A65" s="2" t="s">
        <v>89</v>
      </c>
      <c r="B65" s="2">
        <v>90.0</v>
      </c>
      <c r="D65" s="2" t="s">
        <v>90</v>
      </c>
      <c r="E65" s="10">
        <v>0.06666666666666667</v>
      </c>
      <c r="F65" s="2">
        <v>75.96</v>
      </c>
      <c r="G65" s="7">
        <f t="shared" si="7"/>
        <v>9133.333333</v>
      </c>
      <c r="H65" s="8">
        <f t="shared" si="8"/>
        <v>120.2387221</v>
      </c>
      <c r="I65" s="5" t="s">
        <v>84</v>
      </c>
    </row>
    <row r="66">
      <c r="A66" s="2" t="s">
        <v>91</v>
      </c>
      <c r="B66" s="2">
        <v>85.0</v>
      </c>
      <c r="D66" s="2" t="s">
        <v>92</v>
      </c>
      <c r="E66" s="10">
        <v>0.06666666666666667</v>
      </c>
      <c r="F66" s="2">
        <v>29.9</v>
      </c>
      <c r="G66" s="7">
        <f t="shared" si="7"/>
        <v>9133.333333</v>
      </c>
      <c r="H66" s="8">
        <f t="shared" si="8"/>
        <v>305.4626533</v>
      </c>
      <c r="I66" s="5" t="s">
        <v>84</v>
      </c>
    </row>
    <row r="67">
      <c r="A67" s="2" t="s">
        <v>93</v>
      </c>
      <c r="B67" s="2">
        <v>85.0</v>
      </c>
      <c r="D67" s="2" t="s">
        <v>94</v>
      </c>
      <c r="E67" s="10">
        <v>0.06666666666666667</v>
      </c>
      <c r="F67" s="2">
        <v>195.11</v>
      </c>
      <c r="G67" s="7">
        <f t="shared" si="7"/>
        <v>9133.333333</v>
      </c>
      <c r="H67" s="8">
        <f t="shared" si="8"/>
        <v>46.81120052</v>
      </c>
      <c r="I67" s="5" t="s">
        <v>84</v>
      </c>
    </row>
    <row r="68">
      <c r="A68" s="2" t="s">
        <v>95</v>
      </c>
      <c r="B68" s="2">
        <v>85.0</v>
      </c>
      <c r="D68" s="2" t="s">
        <v>96</v>
      </c>
      <c r="E68" s="10">
        <v>0.06666666666666667</v>
      </c>
      <c r="F68" s="2">
        <v>72.88</v>
      </c>
      <c r="G68" s="7">
        <f t="shared" si="7"/>
        <v>9133.333333</v>
      </c>
      <c r="H68" s="8">
        <f t="shared" si="8"/>
        <v>125.320161</v>
      </c>
      <c r="I68" s="5" t="s">
        <v>84</v>
      </c>
    </row>
    <row r="69">
      <c r="A69" s="2" t="s">
        <v>97</v>
      </c>
      <c r="B69" s="2">
        <v>85.0</v>
      </c>
      <c r="D69" s="2" t="s">
        <v>98</v>
      </c>
      <c r="E69" s="10">
        <v>0.06666666666666667</v>
      </c>
      <c r="F69" s="2">
        <v>54.33</v>
      </c>
      <c r="G69" s="7">
        <f t="shared" si="7"/>
        <v>9133.333333</v>
      </c>
      <c r="H69" s="8">
        <f t="shared" si="8"/>
        <v>168.1084729</v>
      </c>
      <c r="I69" s="5" t="s">
        <v>84</v>
      </c>
    </row>
    <row r="70">
      <c r="A70" s="2" t="s">
        <v>99</v>
      </c>
      <c r="B70" s="2">
        <v>85.0</v>
      </c>
      <c r="D70" s="2" t="s">
        <v>100</v>
      </c>
      <c r="E70" s="10">
        <v>0.06666666666666667</v>
      </c>
      <c r="F70" s="2">
        <v>160.94</v>
      </c>
      <c r="G70" s="7">
        <f t="shared" si="7"/>
        <v>9133.333333</v>
      </c>
      <c r="H70" s="8">
        <f t="shared" si="8"/>
        <v>56.74992751</v>
      </c>
      <c r="I70" s="5" t="s">
        <v>84</v>
      </c>
    </row>
    <row r="71">
      <c r="A71" s="2" t="s">
        <v>101</v>
      </c>
      <c r="B71" s="2">
        <v>85.0</v>
      </c>
      <c r="D71" s="2" t="s">
        <v>102</v>
      </c>
      <c r="E71" s="10">
        <v>0.06666666666666667</v>
      </c>
      <c r="F71" s="2">
        <v>245.77</v>
      </c>
      <c r="G71" s="7">
        <f t="shared" si="7"/>
        <v>9133.333333</v>
      </c>
      <c r="H71" s="8">
        <f t="shared" si="8"/>
        <v>37.16211634</v>
      </c>
      <c r="I71" s="5" t="s">
        <v>84</v>
      </c>
    </row>
    <row r="72">
      <c r="A72" s="2" t="s">
        <v>25</v>
      </c>
      <c r="B72" s="2">
        <v>80.0</v>
      </c>
      <c r="C72" s="11" t="s">
        <v>103</v>
      </c>
      <c r="D72" s="11" t="s">
        <v>104</v>
      </c>
      <c r="E72" s="10">
        <v>0.06666666666666667</v>
      </c>
      <c r="F72" s="2">
        <v>393.69</v>
      </c>
      <c r="G72" s="7">
        <f t="shared" si="7"/>
        <v>9133.333333</v>
      </c>
      <c r="H72" s="8">
        <f t="shared" si="8"/>
        <v>23.19930233</v>
      </c>
      <c r="I72" s="5" t="s">
        <v>84</v>
      </c>
      <c r="J72" s="2" t="s">
        <v>105</v>
      </c>
    </row>
    <row r="73">
      <c r="A73" s="2" t="s">
        <v>106</v>
      </c>
      <c r="B73" s="2">
        <v>80.0</v>
      </c>
      <c r="C73" s="11" t="s">
        <v>107</v>
      </c>
      <c r="D73" s="11" t="s">
        <v>108</v>
      </c>
      <c r="E73" s="10">
        <v>0.06666666666666667</v>
      </c>
      <c r="F73" s="2">
        <v>50.65</v>
      </c>
      <c r="G73" s="7">
        <f t="shared" si="7"/>
        <v>9133.333333</v>
      </c>
      <c r="H73" s="8">
        <f t="shared" si="8"/>
        <v>180.3224745</v>
      </c>
      <c r="I73" s="5" t="s">
        <v>84</v>
      </c>
      <c r="J73" s="2" t="s">
        <v>109</v>
      </c>
    </row>
    <row r="74">
      <c r="A74" s="2" t="s">
        <v>110</v>
      </c>
      <c r="B74" s="2">
        <v>80.0</v>
      </c>
      <c r="C74" s="11" t="s">
        <v>111</v>
      </c>
      <c r="D74" s="11" t="s">
        <v>112</v>
      </c>
      <c r="E74" s="10">
        <v>0.06666666666666667</v>
      </c>
      <c r="F74" s="2">
        <v>162.49</v>
      </c>
      <c r="G74" s="7">
        <f t="shared" si="7"/>
        <v>9133.333333</v>
      </c>
      <c r="H74" s="8">
        <f t="shared" si="8"/>
        <v>56.2085872</v>
      </c>
      <c r="I74" s="5" t="s">
        <v>84</v>
      </c>
      <c r="J74" s="2" t="s">
        <v>113</v>
      </c>
    </row>
    <row r="75">
      <c r="A75" s="2" t="s">
        <v>114</v>
      </c>
      <c r="B75" s="2">
        <v>80.0</v>
      </c>
      <c r="C75" s="11" t="s">
        <v>115</v>
      </c>
      <c r="D75" s="11" t="s">
        <v>116</v>
      </c>
      <c r="E75" s="10">
        <v>0.06666666666666667</v>
      </c>
      <c r="F75" s="2">
        <v>132.03</v>
      </c>
      <c r="G75" s="7">
        <f t="shared" si="7"/>
        <v>9133.333333</v>
      </c>
      <c r="H75" s="8">
        <f t="shared" si="8"/>
        <v>69.17619733</v>
      </c>
      <c r="I75" s="5" t="s">
        <v>84</v>
      </c>
      <c r="J75" s="2" t="s">
        <v>117</v>
      </c>
    </row>
    <row r="76">
      <c r="A76" s="2" t="s">
        <v>118</v>
      </c>
      <c r="B76" s="2">
        <v>80.0</v>
      </c>
      <c r="C76" s="11" t="s">
        <v>119</v>
      </c>
      <c r="D76" s="11" t="s">
        <v>120</v>
      </c>
      <c r="E76" s="10">
        <v>0.06666666666666667</v>
      </c>
      <c r="F76" s="2">
        <v>21.02</v>
      </c>
      <c r="G76" s="7">
        <f t="shared" si="7"/>
        <v>9133.333333</v>
      </c>
      <c r="H76" s="8">
        <f t="shared" si="8"/>
        <v>434.5068189</v>
      </c>
      <c r="I76" s="5" t="s">
        <v>84</v>
      </c>
      <c r="J76" s="2" t="s">
        <v>121</v>
      </c>
    </row>
    <row r="77">
      <c r="J77" s="2"/>
    </row>
    <row r="78">
      <c r="J78" s="2"/>
    </row>
    <row r="79">
      <c r="A79" s="5" t="s">
        <v>4</v>
      </c>
      <c r="B79" s="5" t="s">
        <v>5</v>
      </c>
      <c r="C79" s="5"/>
      <c r="D79" s="5" t="s">
        <v>6</v>
      </c>
      <c r="E79" s="5" t="s">
        <v>7</v>
      </c>
      <c r="F79" s="2" t="s">
        <v>8</v>
      </c>
      <c r="G79" s="2" t="s">
        <v>9</v>
      </c>
      <c r="H79" s="2" t="s">
        <v>10</v>
      </c>
      <c r="I79" s="2" t="s">
        <v>11</v>
      </c>
      <c r="J79" s="2"/>
    </row>
    <row r="80">
      <c r="A80" s="2" t="s">
        <v>122</v>
      </c>
      <c r="B80" s="2">
        <v>90.0</v>
      </c>
      <c r="E80" s="10">
        <v>0.06666666666666667</v>
      </c>
      <c r="F80" s="2">
        <v>87.71</v>
      </c>
      <c r="G80" s="7">
        <f t="shared" ref="G80:G94" si="9">E80*$I$5</f>
        <v>9133.333333</v>
      </c>
      <c r="H80" s="8">
        <f t="shared" ref="H80:H94" si="10">G80/F80</f>
        <v>104.1310379</v>
      </c>
      <c r="I80" s="5" t="s">
        <v>123</v>
      </c>
      <c r="J80" s="2"/>
    </row>
    <row r="81">
      <c r="A81" s="2" t="s">
        <v>124</v>
      </c>
      <c r="B81" s="2">
        <v>90.0</v>
      </c>
      <c r="E81" s="10">
        <v>0.06666666666666667</v>
      </c>
      <c r="F81" s="2">
        <v>43.64</v>
      </c>
      <c r="G81" s="7">
        <f t="shared" si="9"/>
        <v>9133.333333</v>
      </c>
      <c r="H81" s="8">
        <f t="shared" si="10"/>
        <v>209.2881149</v>
      </c>
      <c r="I81" s="5" t="s">
        <v>123</v>
      </c>
      <c r="J81" s="2"/>
    </row>
    <row r="82">
      <c r="A82" s="2" t="s">
        <v>125</v>
      </c>
      <c r="B82" s="2">
        <v>90.0</v>
      </c>
      <c r="E82" s="10">
        <v>0.06666666666666667</v>
      </c>
      <c r="F82" s="2">
        <v>118.3</v>
      </c>
      <c r="G82" s="7">
        <f t="shared" si="9"/>
        <v>9133.333333</v>
      </c>
      <c r="H82" s="8">
        <f t="shared" si="10"/>
        <v>77.20484644</v>
      </c>
      <c r="I82" s="5" t="s">
        <v>123</v>
      </c>
      <c r="J82" s="2"/>
    </row>
    <row r="83">
      <c r="A83" s="2" t="s">
        <v>14</v>
      </c>
      <c r="B83" s="2">
        <v>90.0</v>
      </c>
      <c r="E83" s="10">
        <v>0.06666666666666667</v>
      </c>
      <c r="F83" s="2">
        <v>895.32</v>
      </c>
      <c r="G83" s="7">
        <f t="shared" si="9"/>
        <v>9133.333333</v>
      </c>
      <c r="H83" s="8">
        <f t="shared" si="10"/>
        <v>10.20119436</v>
      </c>
      <c r="I83" s="5" t="s">
        <v>123</v>
      </c>
      <c r="J83" s="2"/>
    </row>
    <row r="84">
      <c r="A84" s="2" t="s">
        <v>55</v>
      </c>
      <c r="B84" s="2">
        <v>90.0</v>
      </c>
      <c r="E84" s="10">
        <v>0.06666666666666667</v>
      </c>
      <c r="F84" s="2">
        <v>224.24</v>
      </c>
      <c r="G84" s="7">
        <f t="shared" si="9"/>
        <v>9133.333333</v>
      </c>
      <c r="H84" s="8">
        <f t="shared" si="10"/>
        <v>40.73017006</v>
      </c>
      <c r="I84" s="5" t="s">
        <v>123</v>
      </c>
    </row>
    <row r="85">
      <c r="A85" s="2" t="s">
        <v>126</v>
      </c>
      <c r="B85" s="2">
        <v>90.0</v>
      </c>
      <c r="E85" s="10">
        <v>0.06666666666666667</v>
      </c>
      <c r="F85" s="2">
        <v>545.29</v>
      </c>
      <c r="G85" s="7">
        <f t="shared" si="9"/>
        <v>9133.333333</v>
      </c>
      <c r="H85" s="8">
        <f t="shared" si="10"/>
        <v>16.74949721</v>
      </c>
      <c r="I85" s="5" t="s">
        <v>123</v>
      </c>
    </row>
    <row r="86">
      <c r="A86" s="2" t="s">
        <v>127</v>
      </c>
      <c r="B86" s="2">
        <v>90.0</v>
      </c>
      <c r="E86" s="10">
        <v>0.06666666666666667</v>
      </c>
      <c r="F86" s="2">
        <v>153.39</v>
      </c>
      <c r="G86" s="7">
        <f t="shared" si="9"/>
        <v>9133.333333</v>
      </c>
      <c r="H86" s="8">
        <f t="shared" si="10"/>
        <v>59.54321229</v>
      </c>
      <c r="I86" s="5" t="s">
        <v>123</v>
      </c>
    </row>
    <row r="87">
      <c r="A87" s="2" t="s">
        <v>128</v>
      </c>
      <c r="B87" s="2">
        <v>85.0</v>
      </c>
      <c r="E87" s="10">
        <v>0.06666666666666667</v>
      </c>
      <c r="F87" s="2">
        <v>132.4</v>
      </c>
      <c r="G87" s="7">
        <f t="shared" si="9"/>
        <v>9133.333333</v>
      </c>
      <c r="H87" s="8">
        <f t="shared" si="10"/>
        <v>68.98288016</v>
      </c>
      <c r="I87" s="5" t="s">
        <v>123</v>
      </c>
    </row>
    <row r="88">
      <c r="A88" s="2" t="s">
        <v>129</v>
      </c>
      <c r="B88" s="2">
        <v>85.0</v>
      </c>
      <c r="E88" s="10">
        <v>0.06666666666666667</v>
      </c>
      <c r="F88" s="2">
        <v>76.15</v>
      </c>
      <c r="G88" s="7">
        <f t="shared" si="9"/>
        <v>9133.333333</v>
      </c>
      <c r="H88" s="8">
        <f t="shared" si="10"/>
        <v>119.9387174</v>
      </c>
      <c r="I88" s="5" t="s">
        <v>123</v>
      </c>
    </row>
    <row r="89">
      <c r="A89" s="2" t="s">
        <v>130</v>
      </c>
      <c r="B89" s="2">
        <v>85.0</v>
      </c>
      <c r="E89" s="10">
        <v>0.06666666666666667</v>
      </c>
      <c r="F89" s="2">
        <v>84.32</v>
      </c>
      <c r="G89" s="7">
        <f t="shared" si="9"/>
        <v>9133.333333</v>
      </c>
      <c r="H89" s="8">
        <f t="shared" si="10"/>
        <v>108.3175206</v>
      </c>
      <c r="I89" s="5" t="s">
        <v>123</v>
      </c>
    </row>
    <row r="90">
      <c r="A90" s="2" t="s">
        <v>131</v>
      </c>
      <c r="B90" s="2">
        <v>85.0</v>
      </c>
      <c r="C90" s="11"/>
      <c r="D90" s="11"/>
      <c r="E90" s="10">
        <v>0.06666666666666667</v>
      </c>
      <c r="F90" s="2">
        <v>90.4</v>
      </c>
      <c r="G90" s="7">
        <f t="shared" si="9"/>
        <v>9133.333333</v>
      </c>
      <c r="H90" s="8">
        <f t="shared" si="10"/>
        <v>101.0324484</v>
      </c>
      <c r="I90" s="5" t="s">
        <v>123</v>
      </c>
      <c r="J90" s="2" t="s">
        <v>132</v>
      </c>
    </row>
    <row r="91">
      <c r="A91" s="2" t="s">
        <v>133</v>
      </c>
      <c r="B91" s="2">
        <v>80.0</v>
      </c>
      <c r="C91" s="11"/>
      <c r="D91" s="11"/>
      <c r="E91" s="10">
        <v>0.06666666666666667</v>
      </c>
      <c r="F91" s="2">
        <v>186.29</v>
      </c>
      <c r="G91" s="7">
        <f t="shared" si="9"/>
        <v>9133.333333</v>
      </c>
      <c r="H91" s="8">
        <f t="shared" si="10"/>
        <v>49.02750192</v>
      </c>
      <c r="I91" s="5" t="s">
        <v>123</v>
      </c>
      <c r="J91" s="2" t="s">
        <v>134</v>
      </c>
    </row>
    <row r="92">
      <c r="A92" s="2" t="s">
        <v>25</v>
      </c>
      <c r="B92" s="2">
        <v>80.0</v>
      </c>
      <c r="C92" s="11"/>
      <c r="D92" s="11"/>
      <c r="E92" s="10">
        <v>0.06666666666666667</v>
      </c>
      <c r="F92" s="2">
        <v>395.8</v>
      </c>
      <c r="G92" s="7">
        <f t="shared" si="9"/>
        <v>9133.333333</v>
      </c>
      <c r="H92" s="8">
        <f t="shared" si="10"/>
        <v>23.07562742</v>
      </c>
      <c r="I92" s="5" t="s">
        <v>123</v>
      </c>
      <c r="J92" s="2" t="s">
        <v>135</v>
      </c>
    </row>
    <row r="93">
      <c r="A93" s="2" t="s">
        <v>114</v>
      </c>
      <c r="B93" s="2">
        <v>80.0</v>
      </c>
      <c r="C93" s="11"/>
      <c r="D93" s="11"/>
      <c r="E93" s="10">
        <v>0.06666666666666667</v>
      </c>
      <c r="F93" s="2">
        <v>140.99</v>
      </c>
      <c r="G93" s="7">
        <f t="shared" si="9"/>
        <v>9133.333333</v>
      </c>
      <c r="H93" s="8">
        <f t="shared" si="10"/>
        <v>64.78000804</v>
      </c>
      <c r="I93" s="5" t="s">
        <v>123</v>
      </c>
      <c r="J93" s="2" t="s">
        <v>136</v>
      </c>
    </row>
    <row r="94">
      <c r="A94" s="2" t="s">
        <v>137</v>
      </c>
      <c r="B94" s="2">
        <v>80.0</v>
      </c>
      <c r="C94" s="11"/>
      <c r="D94" s="11"/>
      <c r="E94" s="10">
        <v>0.06666666666666667</v>
      </c>
      <c r="F94" s="2">
        <v>72.06</v>
      </c>
      <c r="G94" s="7">
        <f t="shared" si="9"/>
        <v>9133.333333</v>
      </c>
      <c r="H94" s="8">
        <f t="shared" si="10"/>
        <v>126.74623</v>
      </c>
      <c r="I94" s="5" t="s">
        <v>123</v>
      </c>
      <c r="J94" s="2" t="s">
        <v>138</v>
      </c>
    </row>
    <row r="95">
      <c r="J95" s="2"/>
    </row>
    <row r="96">
      <c r="J96" s="12">
        <v>235662.22</v>
      </c>
    </row>
    <row r="97">
      <c r="A97" s="5" t="s">
        <v>4</v>
      </c>
      <c r="B97" s="5" t="s">
        <v>5</v>
      </c>
      <c r="C97" s="5"/>
      <c r="D97" s="5" t="s">
        <v>6</v>
      </c>
      <c r="E97" s="5" t="s">
        <v>7</v>
      </c>
      <c r="F97" s="2" t="s">
        <v>8</v>
      </c>
      <c r="G97" s="2" t="s">
        <v>9</v>
      </c>
      <c r="H97" s="2" t="s">
        <v>10</v>
      </c>
      <c r="I97" s="2" t="s">
        <v>11</v>
      </c>
      <c r="J97" s="2"/>
    </row>
    <row r="98">
      <c r="A98" s="2" t="s">
        <v>139</v>
      </c>
      <c r="B98" s="2">
        <v>90.0</v>
      </c>
      <c r="E98" s="10">
        <v>0.06666666666666667</v>
      </c>
      <c r="F98" s="7">
        <v>93.68</v>
      </c>
      <c r="G98" s="7">
        <f t="shared" ref="G98:G112" si="11">E98*$J$96</f>
        <v>15710.81467</v>
      </c>
      <c r="H98" s="8">
        <f t="shared" ref="H98:H112" si="12">G98/F98</f>
        <v>167.7072445</v>
      </c>
      <c r="I98" s="5" t="s">
        <v>140</v>
      </c>
      <c r="J98" s="2"/>
    </row>
    <row r="99">
      <c r="A99" s="2" t="s">
        <v>141</v>
      </c>
      <c r="B99" s="2">
        <v>90.0</v>
      </c>
      <c r="E99" s="10">
        <v>0.06666666666666667</v>
      </c>
      <c r="F99" s="7">
        <v>181.47</v>
      </c>
      <c r="G99" s="7">
        <f t="shared" si="11"/>
        <v>15710.81467</v>
      </c>
      <c r="H99" s="8">
        <f t="shared" si="12"/>
        <v>86.57527231</v>
      </c>
      <c r="I99" s="5" t="s">
        <v>140</v>
      </c>
      <c r="J99" s="2"/>
    </row>
    <row r="100">
      <c r="A100" s="2" t="s">
        <v>142</v>
      </c>
      <c r="B100" s="2">
        <v>90.0</v>
      </c>
      <c r="E100" s="10">
        <v>0.06666666666666667</v>
      </c>
      <c r="F100" s="7">
        <v>103.29</v>
      </c>
      <c r="G100" s="7">
        <f t="shared" si="11"/>
        <v>15710.81467</v>
      </c>
      <c r="H100" s="8">
        <f t="shared" si="12"/>
        <v>152.1039275</v>
      </c>
      <c r="I100" s="5" t="s">
        <v>140</v>
      </c>
      <c r="J100" s="2"/>
    </row>
    <row r="101">
      <c r="A101" s="2" t="s">
        <v>85</v>
      </c>
      <c r="B101" s="2">
        <v>90.0</v>
      </c>
      <c r="E101" s="10">
        <v>0.06666666666666667</v>
      </c>
      <c r="F101" s="7">
        <v>33.4</v>
      </c>
      <c r="G101" s="7">
        <f t="shared" si="11"/>
        <v>15710.81467</v>
      </c>
      <c r="H101" s="8">
        <f t="shared" si="12"/>
        <v>470.3836727</v>
      </c>
      <c r="I101" s="5" t="s">
        <v>140</v>
      </c>
    </row>
    <row r="102">
      <c r="A102" s="2" t="s">
        <v>143</v>
      </c>
      <c r="B102" s="2">
        <v>90.0</v>
      </c>
      <c r="E102" s="10">
        <v>0.06666666666666667</v>
      </c>
      <c r="F102" s="7">
        <v>245.13</v>
      </c>
      <c r="G102" s="7">
        <f t="shared" si="11"/>
        <v>15710.81467</v>
      </c>
      <c r="H102" s="8">
        <f t="shared" si="12"/>
        <v>64.09176627</v>
      </c>
      <c r="I102" s="5" t="s">
        <v>140</v>
      </c>
    </row>
    <row r="103">
      <c r="A103" s="2" t="s">
        <v>144</v>
      </c>
      <c r="B103" s="2">
        <v>90.0</v>
      </c>
      <c r="E103" s="10">
        <v>0.06666666666666667</v>
      </c>
      <c r="F103" s="7">
        <v>507.09</v>
      </c>
      <c r="G103" s="7">
        <f t="shared" si="11"/>
        <v>15710.81467</v>
      </c>
      <c r="H103" s="8">
        <f t="shared" si="12"/>
        <v>30.98230031</v>
      </c>
      <c r="I103" s="5" t="s">
        <v>140</v>
      </c>
    </row>
    <row r="104">
      <c r="A104" s="2" t="s">
        <v>145</v>
      </c>
      <c r="B104" s="2">
        <v>90.0</v>
      </c>
      <c r="E104" s="10">
        <v>0.06666666666666667</v>
      </c>
      <c r="F104" s="7">
        <v>26.48</v>
      </c>
      <c r="G104" s="7">
        <f t="shared" si="11"/>
        <v>15710.81467</v>
      </c>
      <c r="H104" s="8">
        <f t="shared" si="12"/>
        <v>593.308711</v>
      </c>
      <c r="I104" s="5" t="s">
        <v>140</v>
      </c>
    </row>
    <row r="105">
      <c r="A105" s="2" t="s">
        <v>55</v>
      </c>
      <c r="B105" s="2">
        <v>90.0</v>
      </c>
      <c r="E105" s="10">
        <v>0.06666666666666667</v>
      </c>
      <c r="F105" s="7">
        <v>248.19</v>
      </c>
      <c r="G105" s="7">
        <f t="shared" si="11"/>
        <v>15710.81467</v>
      </c>
      <c r="H105" s="8">
        <f t="shared" si="12"/>
        <v>63.30156198</v>
      </c>
      <c r="I105" s="5" t="s">
        <v>140</v>
      </c>
    </row>
    <row r="106">
      <c r="A106" s="2" t="s">
        <v>146</v>
      </c>
      <c r="B106" s="2">
        <v>90.0</v>
      </c>
      <c r="E106" s="10">
        <v>0.06666666666666667</v>
      </c>
      <c r="F106" s="7">
        <v>67.21</v>
      </c>
      <c r="G106" s="7">
        <f t="shared" si="11"/>
        <v>15710.81467</v>
      </c>
      <c r="H106" s="8">
        <f t="shared" si="12"/>
        <v>233.7570996</v>
      </c>
      <c r="I106" s="5" t="s">
        <v>140</v>
      </c>
    </row>
    <row r="107">
      <c r="A107" s="2" t="s">
        <v>147</v>
      </c>
      <c r="B107" s="2">
        <v>90.0</v>
      </c>
      <c r="E107" s="10">
        <v>0.06666666666666667</v>
      </c>
      <c r="F107" s="7">
        <v>236.04</v>
      </c>
      <c r="G107" s="7">
        <f t="shared" si="11"/>
        <v>15710.81467</v>
      </c>
      <c r="H107" s="8">
        <f t="shared" si="12"/>
        <v>66.55996724</v>
      </c>
      <c r="I107" s="5" t="s">
        <v>140</v>
      </c>
    </row>
    <row r="108">
      <c r="A108" s="2" t="s">
        <v>148</v>
      </c>
      <c r="B108" s="2">
        <v>85.0</v>
      </c>
      <c r="C108" s="11" t="s">
        <v>68</v>
      </c>
      <c r="D108" s="11"/>
      <c r="E108" s="10">
        <v>0.06666666666666667</v>
      </c>
      <c r="F108" s="7">
        <v>83.51</v>
      </c>
      <c r="G108" s="7">
        <f t="shared" si="11"/>
        <v>15710.81467</v>
      </c>
      <c r="H108" s="8">
        <f t="shared" si="12"/>
        <v>188.1309384</v>
      </c>
      <c r="I108" s="5" t="s">
        <v>140</v>
      </c>
      <c r="J108" s="2" t="s">
        <v>149</v>
      </c>
    </row>
    <row r="109">
      <c r="A109" s="2" t="s">
        <v>150</v>
      </c>
      <c r="B109" s="2">
        <v>85.0</v>
      </c>
      <c r="C109" s="11" t="s">
        <v>151</v>
      </c>
      <c r="D109" s="11"/>
      <c r="E109" s="10">
        <v>0.06666666666666667</v>
      </c>
      <c r="F109" s="7">
        <v>128.93</v>
      </c>
      <c r="G109" s="7">
        <f t="shared" si="11"/>
        <v>15710.81467</v>
      </c>
      <c r="H109" s="8">
        <f t="shared" si="12"/>
        <v>121.8553841</v>
      </c>
      <c r="I109" s="5" t="s">
        <v>140</v>
      </c>
      <c r="J109" s="2" t="s">
        <v>152</v>
      </c>
    </row>
    <row r="110">
      <c r="A110" s="2" t="s">
        <v>153</v>
      </c>
      <c r="B110" s="2">
        <v>85.0</v>
      </c>
      <c r="C110" s="11" t="s">
        <v>154</v>
      </c>
      <c r="D110" s="11"/>
      <c r="E110" s="10">
        <v>0.06666666666666667</v>
      </c>
      <c r="F110" s="7">
        <v>42.24</v>
      </c>
      <c r="G110" s="7">
        <f t="shared" si="11"/>
        <v>15710.81467</v>
      </c>
      <c r="H110" s="8">
        <f t="shared" si="12"/>
        <v>371.9416351</v>
      </c>
      <c r="I110" s="5" t="s">
        <v>140</v>
      </c>
      <c r="J110" s="2" t="s">
        <v>155</v>
      </c>
    </row>
    <row r="111">
      <c r="A111" s="2" t="s">
        <v>156</v>
      </c>
      <c r="B111" s="2">
        <v>85.0</v>
      </c>
      <c r="C111" s="11" t="s">
        <v>157</v>
      </c>
      <c r="D111" s="11"/>
      <c r="E111" s="10">
        <v>0.06666666666666667</v>
      </c>
      <c r="F111" s="7">
        <v>38.34</v>
      </c>
      <c r="G111" s="7">
        <f t="shared" si="11"/>
        <v>15710.81467</v>
      </c>
      <c r="H111" s="8">
        <f t="shared" si="12"/>
        <v>409.7760737</v>
      </c>
      <c r="I111" s="5" t="s">
        <v>140</v>
      </c>
      <c r="J111" s="2" t="s">
        <v>158</v>
      </c>
    </row>
    <row r="112">
      <c r="A112" s="2" t="s">
        <v>159</v>
      </c>
      <c r="B112" s="2">
        <v>85.0</v>
      </c>
      <c r="C112" s="11" t="s">
        <v>160</v>
      </c>
      <c r="D112" s="11"/>
      <c r="E112" s="10">
        <v>0.06666666666666667</v>
      </c>
      <c r="F112" s="7">
        <v>60.29</v>
      </c>
      <c r="G112" s="7">
        <f t="shared" si="11"/>
        <v>15710.81467</v>
      </c>
      <c r="H112" s="8">
        <f t="shared" si="12"/>
        <v>260.5874053</v>
      </c>
      <c r="I112" s="5" t="s">
        <v>140</v>
      </c>
      <c r="J112" s="2" t="s">
        <v>161</v>
      </c>
    </row>
    <row r="113">
      <c r="J113" s="2"/>
    </row>
    <row r="115">
      <c r="A115" s="5" t="s">
        <v>4</v>
      </c>
      <c r="B115" s="5" t="s">
        <v>5</v>
      </c>
      <c r="C115" s="5"/>
      <c r="D115" s="5" t="s">
        <v>6</v>
      </c>
      <c r="E115" s="5" t="s">
        <v>7</v>
      </c>
      <c r="F115" s="2" t="s">
        <v>8</v>
      </c>
      <c r="G115" s="2" t="s">
        <v>9</v>
      </c>
      <c r="H115" s="2" t="s">
        <v>10</v>
      </c>
      <c r="I115" s="2" t="s">
        <v>11</v>
      </c>
    </row>
    <row r="116">
      <c r="A116" s="2" t="s">
        <v>122</v>
      </c>
      <c r="B116" s="2">
        <v>90.0</v>
      </c>
      <c r="E116" s="10">
        <v>0.06666666666666667</v>
      </c>
      <c r="F116" s="7">
        <v>85.06</v>
      </c>
      <c r="G116" s="7">
        <f t="shared" ref="G116:G130" si="13">E116*$J$96</f>
        <v>15710.81467</v>
      </c>
      <c r="H116" s="8">
        <f t="shared" ref="H116:H130" si="14">G116/F116</f>
        <v>184.7027353</v>
      </c>
      <c r="I116" s="5" t="s">
        <v>162</v>
      </c>
    </row>
    <row r="117">
      <c r="A117" s="2" t="s">
        <v>163</v>
      </c>
      <c r="B117" s="2">
        <v>85.0</v>
      </c>
      <c r="E117" s="10">
        <v>0.06666666666666667</v>
      </c>
      <c r="F117" s="7">
        <v>98.7</v>
      </c>
      <c r="G117" s="7">
        <f t="shared" si="13"/>
        <v>15710.81467</v>
      </c>
      <c r="H117" s="8">
        <f t="shared" si="14"/>
        <v>159.1774536</v>
      </c>
      <c r="I117" s="5" t="s">
        <v>162</v>
      </c>
    </row>
    <row r="118">
      <c r="A118" s="2" t="s">
        <v>164</v>
      </c>
      <c r="B118" s="2">
        <v>85.0</v>
      </c>
      <c r="E118" s="10">
        <v>0.06666666666666667</v>
      </c>
      <c r="F118" s="7">
        <v>123.49</v>
      </c>
      <c r="G118" s="7">
        <f t="shared" si="13"/>
        <v>15710.81467</v>
      </c>
      <c r="H118" s="8">
        <f t="shared" si="14"/>
        <v>127.2233757</v>
      </c>
      <c r="I118" s="5" t="s">
        <v>162</v>
      </c>
    </row>
    <row r="119">
      <c r="A119" s="2" t="s">
        <v>165</v>
      </c>
      <c r="B119" s="2">
        <v>90.0</v>
      </c>
      <c r="E119" s="10">
        <v>0.06666666666666667</v>
      </c>
      <c r="F119" s="7">
        <v>29.1</v>
      </c>
      <c r="G119" s="7">
        <f t="shared" si="13"/>
        <v>15710.81467</v>
      </c>
      <c r="H119" s="8">
        <f t="shared" si="14"/>
        <v>539.8905384</v>
      </c>
      <c r="I119" s="5" t="s">
        <v>162</v>
      </c>
    </row>
    <row r="120">
      <c r="A120" s="2" t="s">
        <v>166</v>
      </c>
      <c r="B120" s="2">
        <v>90.0</v>
      </c>
      <c r="E120" s="10">
        <v>0.06666666666666667</v>
      </c>
      <c r="F120" s="7">
        <v>129.52</v>
      </c>
      <c r="G120" s="7">
        <f t="shared" si="13"/>
        <v>15710.81467</v>
      </c>
      <c r="H120" s="8">
        <f t="shared" si="14"/>
        <v>121.3002985</v>
      </c>
      <c r="I120" s="5" t="s">
        <v>162</v>
      </c>
    </row>
    <row r="121">
      <c r="A121" s="2" t="s">
        <v>167</v>
      </c>
      <c r="B121" s="2">
        <v>90.0</v>
      </c>
      <c r="E121" s="10">
        <v>0.06666666666666667</v>
      </c>
      <c r="F121" s="7">
        <v>50.7</v>
      </c>
      <c r="G121" s="7">
        <f t="shared" si="13"/>
        <v>15710.81467</v>
      </c>
      <c r="H121" s="8">
        <f t="shared" si="14"/>
        <v>309.8780013</v>
      </c>
      <c r="I121" s="5" t="s">
        <v>162</v>
      </c>
    </row>
    <row r="122">
      <c r="A122" s="2" t="s">
        <v>168</v>
      </c>
      <c r="B122" s="2">
        <v>90.0</v>
      </c>
      <c r="E122" s="10">
        <v>0.06666666666666667</v>
      </c>
      <c r="F122" s="7">
        <v>52.09</v>
      </c>
      <c r="G122" s="7">
        <f t="shared" si="13"/>
        <v>15710.81467</v>
      </c>
      <c r="H122" s="8">
        <f t="shared" si="14"/>
        <v>301.6090356</v>
      </c>
      <c r="I122" s="5" t="s">
        <v>162</v>
      </c>
    </row>
    <row r="123">
      <c r="A123" s="2" t="s">
        <v>169</v>
      </c>
      <c r="B123" s="2">
        <v>90.0</v>
      </c>
      <c r="E123" s="10">
        <v>0.06666666666666667</v>
      </c>
      <c r="F123" s="7">
        <v>49.37</v>
      </c>
      <c r="G123" s="7">
        <f t="shared" si="13"/>
        <v>15710.81467</v>
      </c>
      <c r="H123" s="8">
        <f t="shared" si="14"/>
        <v>318.2259402</v>
      </c>
      <c r="I123" s="5" t="s">
        <v>162</v>
      </c>
    </row>
    <row r="124">
      <c r="A124" s="2" t="s">
        <v>170</v>
      </c>
      <c r="B124" s="2">
        <v>90.0</v>
      </c>
      <c r="E124" s="10">
        <v>0.06666666666666667</v>
      </c>
      <c r="F124" s="7">
        <v>450.79</v>
      </c>
      <c r="G124" s="7">
        <f t="shared" si="13"/>
        <v>15710.81467</v>
      </c>
      <c r="H124" s="8">
        <f t="shared" si="14"/>
        <v>34.85173732</v>
      </c>
      <c r="I124" s="5" t="s">
        <v>162</v>
      </c>
    </row>
    <row r="125">
      <c r="A125" s="2" t="s">
        <v>85</v>
      </c>
      <c r="B125" s="2">
        <v>90.0</v>
      </c>
      <c r="E125" s="10">
        <v>0.06666666666666667</v>
      </c>
      <c r="F125" s="7">
        <v>33.48</v>
      </c>
      <c r="G125" s="7">
        <f t="shared" si="13"/>
        <v>15710.81467</v>
      </c>
      <c r="H125" s="8">
        <f t="shared" si="14"/>
        <v>469.2596973</v>
      </c>
      <c r="I125" s="5" t="s">
        <v>162</v>
      </c>
    </row>
    <row r="126">
      <c r="A126" s="13" t="s">
        <v>156</v>
      </c>
      <c r="B126" s="2">
        <v>85.0</v>
      </c>
      <c r="C126" s="11" t="s">
        <v>157</v>
      </c>
      <c r="D126" s="11"/>
      <c r="E126" s="10">
        <v>0.06666666666666667</v>
      </c>
      <c r="F126" s="7">
        <v>39.53</v>
      </c>
      <c r="G126" s="7">
        <f t="shared" si="13"/>
        <v>15710.81467</v>
      </c>
      <c r="H126" s="8">
        <f t="shared" si="14"/>
        <v>397.4402901</v>
      </c>
      <c r="I126" s="5" t="s">
        <v>162</v>
      </c>
      <c r="J126" s="2" t="s">
        <v>171</v>
      </c>
    </row>
    <row r="127">
      <c r="A127" s="13" t="s">
        <v>107</v>
      </c>
      <c r="B127" s="2">
        <v>85.0</v>
      </c>
      <c r="C127" s="11" t="s">
        <v>106</v>
      </c>
      <c r="D127" s="11"/>
      <c r="E127" s="10">
        <v>0.06666666666666667</v>
      </c>
      <c r="F127" s="7">
        <v>57.93</v>
      </c>
      <c r="G127" s="7">
        <f t="shared" si="13"/>
        <v>15710.81467</v>
      </c>
      <c r="H127" s="8">
        <f t="shared" si="14"/>
        <v>271.2034294</v>
      </c>
      <c r="I127" s="5" t="s">
        <v>162</v>
      </c>
      <c r="J127" s="2" t="s">
        <v>172</v>
      </c>
    </row>
    <row r="128">
      <c r="A128" s="13" t="s">
        <v>173</v>
      </c>
      <c r="B128" s="2">
        <v>85.0</v>
      </c>
      <c r="C128" s="11" t="s">
        <v>174</v>
      </c>
      <c r="D128" s="11"/>
      <c r="E128" s="10">
        <v>0.06666666666666667</v>
      </c>
      <c r="F128" s="7">
        <v>138.51</v>
      </c>
      <c r="G128" s="7">
        <f t="shared" si="13"/>
        <v>15710.81467</v>
      </c>
      <c r="H128" s="8">
        <f t="shared" si="14"/>
        <v>113.4272953</v>
      </c>
      <c r="I128" s="5" t="s">
        <v>162</v>
      </c>
      <c r="J128" s="2" t="s">
        <v>175</v>
      </c>
    </row>
    <row r="129">
      <c r="A129" s="13" t="s">
        <v>115</v>
      </c>
      <c r="B129" s="2">
        <v>85.0</v>
      </c>
      <c r="C129" s="11" t="s">
        <v>31</v>
      </c>
      <c r="D129" s="11"/>
      <c r="E129" s="10">
        <v>0.06666666666666667</v>
      </c>
      <c r="F129" s="7">
        <v>267.92</v>
      </c>
      <c r="G129" s="7">
        <f t="shared" si="13"/>
        <v>15710.81467</v>
      </c>
      <c r="H129" s="8">
        <f t="shared" si="14"/>
        <v>58.63994725</v>
      </c>
      <c r="I129" s="5" t="s">
        <v>162</v>
      </c>
      <c r="J129" s="2" t="s">
        <v>176</v>
      </c>
    </row>
    <row r="130">
      <c r="A130" s="13" t="s">
        <v>177</v>
      </c>
      <c r="B130" s="2">
        <v>85.0</v>
      </c>
      <c r="C130" s="2" t="s">
        <v>178</v>
      </c>
      <c r="D130" s="11"/>
      <c r="E130" s="10">
        <v>0.06666666666666667</v>
      </c>
      <c r="F130" s="7">
        <v>47.93</v>
      </c>
      <c r="G130" s="7">
        <f t="shared" si="13"/>
        <v>15710.81467</v>
      </c>
      <c r="H130" s="8">
        <f t="shared" si="14"/>
        <v>327.7866611</v>
      </c>
      <c r="I130" s="5" t="s">
        <v>162</v>
      </c>
      <c r="J130" s="2" t="s">
        <v>179</v>
      </c>
    </row>
    <row r="131">
      <c r="J131" s="2"/>
    </row>
    <row r="132">
      <c r="A132" s="5" t="s">
        <v>4</v>
      </c>
      <c r="B132" s="5" t="s">
        <v>5</v>
      </c>
      <c r="C132" s="5"/>
      <c r="D132" s="5" t="s">
        <v>6</v>
      </c>
      <c r="E132" s="5" t="s">
        <v>7</v>
      </c>
      <c r="F132" s="2" t="s">
        <v>8</v>
      </c>
      <c r="G132" s="2" t="s">
        <v>9</v>
      </c>
      <c r="H132" s="2" t="s">
        <v>10</v>
      </c>
      <c r="I132" s="2" t="s">
        <v>11</v>
      </c>
      <c r="J132" s="12">
        <v>60000.0</v>
      </c>
    </row>
    <row r="133">
      <c r="A133" s="2" t="s">
        <v>180</v>
      </c>
      <c r="B133" s="2">
        <v>90.0</v>
      </c>
      <c r="E133" s="10">
        <v>0.06666666666666667</v>
      </c>
      <c r="F133" s="14">
        <v>415.32</v>
      </c>
      <c r="G133" s="7">
        <f t="shared" ref="G133:G147" si="15">E133*$J$132</f>
        <v>4000</v>
      </c>
      <c r="H133" s="8">
        <f t="shared" ref="H133:H147" si="16">G133/F133</f>
        <v>9.631127805</v>
      </c>
      <c r="I133" s="5" t="s">
        <v>181</v>
      </c>
    </row>
    <row r="134">
      <c r="A134" s="2" t="s">
        <v>182</v>
      </c>
      <c r="B134" s="2">
        <v>90.0</v>
      </c>
      <c r="E134" s="10">
        <v>0.06666666666666667</v>
      </c>
      <c r="F134" s="14">
        <v>859.0</v>
      </c>
      <c r="G134" s="7">
        <f t="shared" si="15"/>
        <v>4000</v>
      </c>
      <c r="H134" s="8">
        <f t="shared" si="16"/>
        <v>4.656577416</v>
      </c>
      <c r="I134" s="5" t="s">
        <v>181</v>
      </c>
    </row>
    <row r="135">
      <c r="A135" s="2" t="s">
        <v>183</v>
      </c>
      <c r="B135" s="2">
        <v>85.0</v>
      </c>
      <c r="E135" s="10">
        <v>0.06666666666666667</v>
      </c>
      <c r="F135" s="14">
        <v>417.88</v>
      </c>
      <c r="G135" s="7">
        <f t="shared" si="15"/>
        <v>4000</v>
      </c>
      <c r="H135" s="8">
        <f t="shared" si="16"/>
        <v>9.572125969</v>
      </c>
      <c r="I135" s="5" t="s">
        <v>181</v>
      </c>
    </row>
    <row r="136">
      <c r="A136" s="2" t="s">
        <v>184</v>
      </c>
      <c r="B136" s="2">
        <v>85.0</v>
      </c>
      <c r="E136" s="10">
        <v>0.06666666666666667</v>
      </c>
      <c r="F136" s="14">
        <v>150.53</v>
      </c>
      <c r="G136" s="7">
        <f t="shared" si="15"/>
        <v>4000</v>
      </c>
      <c r="H136" s="8">
        <f t="shared" si="16"/>
        <v>26.57277619</v>
      </c>
      <c r="I136" s="5" t="s">
        <v>181</v>
      </c>
    </row>
    <row r="137">
      <c r="A137" s="2" t="s">
        <v>46</v>
      </c>
      <c r="B137" s="2">
        <v>85.0</v>
      </c>
      <c r="E137" s="10">
        <v>0.06666666666666667</v>
      </c>
      <c r="F137" s="14">
        <v>510.92</v>
      </c>
      <c r="G137" s="7">
        <f t="shared" si="15"/>
        <v>4000</v>
      </c>
      <c r="H137" s="8">
        <f t="shared" si="16"/>
        <v>7.829014327</v>
      </c>
      <c r="I137" s="5" t="s">
        <v>181</v>
      </c>
    </row>
    <row r="138">
      <c r="A138" s="2" t="s">
        <v>185</v>
      </c>
      <c r="B138" s="2">
        <v>85.0</v>
      </c>
      <c r="E138" s="10">
        <v>0.06666666666666667</v>
      </c>
      <c r="F138" s="14">
        <v>1317.5</v>
      </c>
      <c r="G138" s="7">
        <f t="shared" si="15"/>
        <v>4000</v>
      </c>
      <c r="H138" s="8">
        <f t="shared" si="16"/>
        <v>3.036053131</v>
      </c>
      <c r="I138" s="5" t="s">
        <v>181</v>
      </c>
    </row>
    <row r="139">
      <c r="A139" s="2" t="s">
        <v>186</v>
      </c>
      <c r="B139" s="2">
        <v>85.0</v>
      </c>
      <c r="E139" s="10">
        <v>0.06666666666666667</v>
      </c>
      <c r="F139" s="14">
        <v>195.65</v>
      </c>
      <c r="G139" s="7">
        <f t="shared" si="15"/>
        <v>4000</v>
      </c>
      <c r="H139" s="8">
        <f t="shared" si="16"/>
        <v>20.44467161</v>
      </c>
      <c r="I139" s="5" t="s">
        <v>181</v>
      </c>
    </row>
    <row r="140">
      <c r="A140" s="2" t="s">
        <v>187</v>
      </c>
      <c r="B140" s="2">
        <v>85.0</v>
      </c>
      <c r="E140" s="10">
        <v>0.06666666666666667</v>
      </c>
      <c r="F140" s="14">
        <v>152.19</v>
      </c>
      <c r="G140" s="7">
        <f t="shared" si="15"/>
        <v>4000</v>
      </c>
      <c r="H140" s="8">
        <f t="shared" si="16"/>
        <v>26.2829358</v>
      </c>
      <c r="I140" s="5" t="s">
        <v>181</v>
      </c>
    </row>
    <row r="141">
      <c r="A141" s="2" t="s">
        <v>17</v>
      </c>
      <c r="B141" s="2">
        <v>85.0</v>
      </c>
      <c r="E141" s="10">
        <v>0.06666666666666667</v>
      </c>
      <c r="F141" s="14">
        <v>119.72</v>
      </c>
      <c r="G141" s="7">
        <f t="shared" si="15"/>
        <v>4000</v>
      </c>
      <c r="H141" s="8">
        <f t="shared" si="16"/>
        <v>33.41129302</v>
      </c>
      <c r="I141" s="5" t="s">
        <v>181</v>
      </c>
    </row>
    <row r="142">
      <c r="A142" s="2" t="s">
        <v>12</v>
      </c>
      <c r="B142" s="2">
        <v>85.0</v>
      </c>
      <c r="E142" s="10">
        <v>0.06666666666666667</v>
      </c>
      <c r="F142" s="14">
        <v>455.38</v>
      </c>
      <c r="G142" s="7">
        <f t="shared" si="15"/>
        <v>4000</v>
      </c>
      <c r="H142" s="8">
        <f t="shared" si="16"/>
        <v>8.78387281</v>
      </c>
      <c r="I142" s="5" t="s">
        <v>181</v>
      </c>
    </row>
    <row r="143">
      <c r="A143" s="13" t="s">
        <v>188</v>
      </c>
      <c r="B143" s="2">
        <v>85.0</v>
      </c>
      <c r="C143" s="11" t="s">
        <v>23</v>
      </c>
      <c r="D143" s="11"/>
      <c r="E143" s="10">
        <v>0.06666666666666667</v>
      </c>
      <c r="F143" s="7">
        <v>51.63</v>
      </c>
      <c r="G143" s="7">
        <f t="shared" si="15"/>
        <v>4000</v>
      </c>
      <c r="H143" s="8">
        <f t="shared" si="16"/>
        <v>77.47433663</v>
      </c>
      <c r="I143" s="5" t="s">
        <v>181</v>
      </c>
      <c r="J143" s="2" t="s">
        <v>189</v>
      </c>
    </row>
    <row r="144" ht="16.5" customHeight="1">
      <c r="A144" s="13" t="s">
        <v>119</v>
      </c>
      <c r="B144" s="2">
        <v>85.0</v>
      </c>
      <c r="C144" s="11" t="s">
        <v>190</v>
      </c>
      <c r="D144" s="11"/>
      <c r="E144" s="10">
        <v>0.06666666666666667</v>
      </c>
      <c r="F144" s="7">
        <v>9.0</v>
      </c>
      <c r="G144" s="7">
        <f t="shared" si="15"/>
        <v>4000</v>
      </c>
      <c r="H144" s="8">
        <f t="shared" si="16"/>
        <v>444.4444444</v>
      </c>
      <c r="I144" s="5" t="s">
        <v>181</v>
      </c>
      <c r="J144" s="2" t="s">
        <v>191</v>
      </c>
    </row>
    <row r="145" ht="14.25" customHeight="1">
      <c r="A145" s="13" t="s">
        <v>173</v>
      </c>
      <c r="B145" s="2">
        <v>85.0</v>
      </c>
      <c r="C145" s="11" t="s">
        <v>174</v>
      </c>
      <c r="D145" s="11"/>
      <c r="E145" s="10">
        <v>0.06666666666666667</v>
      </c>
      <c r="F145" s="7">
        <v>131.63</v>
      </c>
      <c r="G145" s="7">
        <f t="shared" si="15"/>
        <v>4000</v>
      </c>
      <c r="H145" s="8">
        <f t="shared" si="16"/>
        <v>30.38820937</v>
      </c>
      <c r="I145" s="5" t="s">
        <v>181</v>
      </c>
      <c r="J145" s="2" t="s">
        <v>192</v>
      </c>
    </row>
    <row r="146" ht="15.0" customHeight="1">
      <c r="A146" s="13" t="s">
        <v>107</v>
      </c>
      <c r="B146" s="2">
        <v>85.0</v>
      </c>
      <c r="C146" s="11" t="s">
        <v>118</v>
      </c>
      <c r="D146" s="11"/>
      <c r="E146" s="10">
        <v>0.06666666666666667</v>
      </c>
      <c r="F146" s="7">
        <v>23.07</v>
      </c>
      <c r="G146" s="7">
        <f t="shared" si="15"/>
        <v>4000</v>
      </c>
      <c r="H146" s="8">
        <f t="shared" si="16"/>
        <v>173.3853489</v>
      </c>
      <c r="I146" s="5" t="s">
        <v>181</v>
      </c>
      <c r="J146" s="2" t="s">
        <v>193</v>
      </c>
    </row>
    <row r="147" ht="13.5" customHeight="1">
      <c r="A147" s="13" t="s">
        <v>194</v>
      </c>
      <c r="B147" s="2">
        <v>85.0</v>
      </c>
      <c r="C147" s="2" t="s">
        <v>25</v>
      </c>
      <c r="D147" s="11"/>
      <c r="E147" s="10">
        <v>0.06666666666666667</v>
      </c>
      <c r="F147" s="7">
        <v>83.28</v>
      </c>
      <c r="G147" s="7">
        <f t="shared" si="15"/>
        <v>4000</v>
      </c>
      <c r="H147" s="8">
        <f t="shared" si="16"/>
        <v>48.03073967</v>
      </c>
      <c r="I147" s="5" t="s">
        <v>181</v>
      </c>
      <c r="J147" s="2" t="s">
        <v>195</v>
      </c>
    </row>
    <row r="151">
      <c r="A151" s="5" t="s">
        <v>4</v>
      </c>
      <c r="B151" s="5" t="s">
        <v>5</v>
      </c>
      <c r="C151" s="5"/>
      <c r="D151" s="5" t="s">
        <v>6</v>
      </c>
      <c r="E151" s="5" t="s">
        <v>7</v>
      </c>
      <c r="F151" s="2" t="s">
        <v>8</v>
      </c>
      <c r="G151" s="2" t="s">
        <v>9</v>
      </c>
      <c r="H151" s="2" t="s">
        <v>10</v>
      </c>
      <c r="I151" s="2" t="s">
        <v>11</v>
      </c>
      <c r="J151" s="15">
        <v>62000.0</v>
      </c>
    </row>
    <row r="152">
      <c r="A152" s="16" t="s">
        <v>182</v>
      </c>
      <c r="B152" s="2">
        <v>90.0</v>
      </c>
      <c r="E152" s="10">
        <v>0.06666666666666667</v>
      </c>
      <c r="F152" s="14">
        <v>892.37</v>
      </c>
      <c r="G152" s="7">
        <f t="shared" ref="G152:G166" si="17">E152*$J$151</f>
        <v>4133.333333</v>
      </c>
      <c r="H152" s="8">
        <f t="shared" ref="H152:H166" si="18">G152/F152</f>
        <v>4.631860476</v>
      </c>
      <c r="I152" s="5" t="s">
        <v>196</v>
      </c>
    </row>
    <row r="153">
      <c r="A153" s="16" t="s">
        <v>197</v>
      </c>
      <c r="B153" s="2">
        <v>90.0</v>
      </c>
      <c r="E153" s="10">
        <v>0.06666666666666667</v>
      </c>
      <c r="F153" s="14">
        <v>249.78</v>
      </c>
      <c r="G153" s="7">
        <f t="shared" si="17"/>
        <v>4133.333333</v>
      </c>
      <c r="H153" s="8">
        <f t="shared" si="18"/>
        <v>16.54789548</v>
      </c>
      <c r="I153" s="5" t="s">
        <v>196</v>
      </c>
    </row>
    <row r="154">
      <c r="A154" s="16" t="s">
        <v>53</v>
      </c>
      <c r="B154" s="2">
        <v>90.0</v>
      </c>
      <c r="E154" s="10">
        <v>0.06666666666666667</v>
      </c>
      <c r="F154" s="14">
        <v>188.67</v>
      </c>
      <c r="G154" s="7">
        <f t="shared" si="17"/>
        <v>4133.333333</v>
      </c>
      <c r="H154" s="8">
        <f t="shared" si="18"/>
        <v>21.90774015</v>
      </c>
      <c r="I154" s="5" t="s">
        <v>196</v>
      </c>
    </row>
    <row r="155">
      <c r="A155" s="2" t="s">
        <v>35</v>
      </c>
      <c r="B155" s="2">
        <v>85.0</v>
      </c>
      <c r="E155" s="10">
        <v>0.06666666666666667</v>
      </c>
      <c r="F155" s="14">
        <v>183.36</v>
      </c>
      <c r="G155" s="7">
        <f t="shared" si="17"/>
        <v>4133.333333</v>
      </c>
      <c r="H155" s="8">
        <f t="shared" si="18"/>
        <v>22.54217568</v>
      </c>
      <c r="I155" s="5" t="s">
        <v>196</v>
      </c>
    </row>
    <row r="156">
      <c r="A156" s="2" t="s">
        <v>184</v>
      </c>
      <c r="B156" s="2">
        <v>85.0</v>
      </c>
      <c r="E156" s="10">
        <v>0.06666666666666667</v>
      </c>
      <c r="F156" s="14">
        <v>168.72</v>
      </c>
      <c r="G156" s="7">
        <f t="shared" si="17"/>
        <v>4133.333333</v>
      </c>
      <c r="H156" s="8">
        <f t="shared" si="18"/>
        <v>24.49818239</v>
      </c>
      <c r="I156" s="5" t="s">
        <v>196</v>
      </c>
    </row>
    <row r="157">
      <c r="A157" s="2" t="s">
        <v>46</v>
      </c>
      <c r="B157" s="2">
        <v>85.0</v>
      </c>
      <c r="E157" s="10">
        <v>0.06666666666666667</v>
      </c>
      <c r="F157" s="14">
        <v>471.38</v>
      </c>
      <c r="G157" s="7">
        <f t="shared" si="17"/>
        <v>4133.333333</v>
      </c>
      <c r="H157" s="8">
        <f t="shared" si="18"/>
        <v>8.768580197</v>
      </c>
      <c r="I157" s="5" t="s">
        <v>196</v>
      </c>
    </row>
    <row r="158">
      <c r="A158" s="2" t="s">
        <v>185</v>
      </c>
      <c r="B158" s="2">
        <v>85.0</v>
      </c>
      <c r="E158" s="10">
        <v>0.06666666666666667</v>
      </c>
      <c r="F158" s="14">
        <v>1313.29</v>
      </c>
      <c r="G158" s="7">
        <f t="shared" si="17"/>
        <v>4133.333333</v>
      </c>
      <c r="H158" s="8">
        <f t="shared" si="18"/>
        <v>3.147311967</v>
      </c>
      <c r="I158" s="5" t="s">
        <v>196</v>
      </c>
    </row>
    <row r="159">
      <c r="A159" s="2" t="s">
        <v>187</v>
      </c>
      <c r="B159" s="2">
        <v>85.0</v>
      </c>
      <c r="E159" s="10">
        <v>0.06666666666666667</v>
      </c>
      <c r="F159" s="14">
        <v>149.8</v>
      </c>
      <c r="G159" s="7">
        <f t="shared" si="17"/>
        <v>4133.333333</v>
      </c>
      <c r="H159" s="8">
        <f t="shared" si="18"/>
        <v>27.59234535</v>
      </c>
      <c r="I159" s="5" t="s">
        <v>196</v>
      </c>
    </row>
    <row r="160">
      <c r="A160" s="2" t="s">
        <v>36</v>
      </c>
      <c r="B160" s="2">
        <v>85.0</v>
      </c>
      <c r="E160" s="10">
        <v>0.06666666666666667</v>
      </c>
      <c r="F160" s="14">
        <v>454.95</v>
      </c>
      <c r="G160" s="7">
        <f t="shared" si="17"/>
        <v>4133.333333</v>
      </c>
      <c r="H160" s="8">
        <f t="shared" si="18"/>
        <v>9.085247463</v>
      </c>
      <c r="I160" s="5" t="s">
        <v>196</v>
      </c>
    </row>
    <row r="161">
      <c r="A161" s="2" t="s">
        <v>198</v>
      </c>
      <c r="B161" s="2">
        <v>85.0</v>
      </c>
      <c r="E161" s="10">
        <v>0.06666666666666667</v>
      </c>
      <c r="F161" s="14">
        <v>160.7</v>
      </c>
      <c r="G161" s="7">
        <f t="shared" si="17"/>
        <v>4133.333333</v>
      </c>
      <c r="H161" s="8">
        <f t="shared" si="18"/>
        <v>25.72080481</v>
      </c>
      <c r="I161" s="5" t="s">
        <v>196</v>
      </c>
    </row>
    <row r="162">
      <c r="A162" s="2" t="s">
        <v>119</v>
      </c>
      <c r="B162" s="2">
        <v>85.0</v>
      </c>
      <c r="C162" s="11" t="s">
        <v>190</v>
      </c>
      <c r="D162" s="11"/>
      <c r="E162" s="10">
        <v>0.06666666666666667</v>
      </c>
      <c r="F162" s="14">
        <v>9.08</v>
      </c>
      <c r="G162" s="7">
        <f t="shared" si="17"/>
        <v>4133.333333</v>
      </c>
      <c r="H162" s="8">
        <f t="shared" si="18"/>
        <v>455.2129222</v>
      </c>
      <c r="I162" s="5" t="s">
        <v>196</v>
      </c>
      <c r="J162" s="17" t="s">
        <v>199</v>
      </c>
    </row>
    <row r="163">
      <c r="A163" s="2" t="s">
        <v>111</v>
      </c>
      <c r="B163" s="2">
        <v>85.0</v>
      </c>
      <c r="C163" s="11" t="s">
        <v>110</v>
      </c>
      <c r="D163" s="11"/>
      <c r="E163" s="10">
        <v>0.06666666666666667</v>
      </c>
      <c r="F163" s="14">
        <v>220.26</v>
      </c>
      <c r="G163" s="7">
        <f t="shared" si="17"/>
        <v>4133.333333</v>
      </c>
      <c r="H163" s="8">
        <f t="shared" si="18"/>
        <v>18.76570114</v>
      </c>
      <c r="I163" s="5" t="s">
        <v>196</v>
      </c>
      <c r="J163" s="17" t="s">
        <v>200</v>
      </c>
    </row>
    <row r="164">
      <c r="A164" s="2" t="s">
        <v>173</v>
      </c>
      <c r="B164" s="2">
        <v>85.0</v>
      </c>
      <c r="C164" s="11" t="s">
        <v>174</v>
      </c>
      <c r="D164" s="11"/>
      <c r="E164" s="10">
        <v>0.06666666666666667</v>
      </c>
      <c r="F164" s="14">
        <v>132.75</v>
      </c>
      <c r="G164" s="7">
        <f t="shared" si="17"/>
        <v>4133.333333</v>
      </c>
      <c r="H164" s="8">
        <f t="shared" si="18"/>
        <v>31.13622097</v>
      </c>
      <c r="I164" s="5" t="s">
        <v>196</v>
      </c>
      <c r="J164" s="17" t="s">
        <v>201</v>
      </c>
    </row>
    <row r="165">
      <c r="A165" s="2" t="s">
        <v>107</v>
      </c>
      <c r="B165" s="2">
        <v>85.0</v>
      </c>
      <c r="C165" s="11" t="s">
        <v>118</v>
      </c>
      <c r="D165" s="11"/>
      <c r="E165" s="10">
        <v>0.06666666666666667</v>
      </c>
      <c r="F165" s="14">
        <v>23.54</v>
      </c>
      <c r="G165" s="7">
        <f t="shared" si="17"/>
        <v>4133.333333</v>
      </c>
      <c r="H165" s="8">
        <f t="shared" si="18"/>
        <v>175.5876522</v>
      </c>
      <c r="I165" s="5" t="s">
        <v>196</v>
      </c>
      <c r="J165" s="17" t="s">
        <v>202</v>
      </c>
    </row>
    <row r="166">
      <c r="A166" s="2" t="s">
        <v>203</v>
      </c>
      <c r="B166" s="2">
        <v>85.0</v>
      </c>
      <c r="C166" s="2" t="s">
        <v>204</v>
      </c>
      <c r="D166" s="11"/>
      <c r="E166" s="10">
        <v>0.06666666666666667</v>
      </c>
      <c r="F166" s="14">
        <v>440.02</v>
      </c>
      <c r="G166" s="7">
        <f t="shared" si="17"/>
        <v>4133.333333</v>
      </c>
      <c r="H166" s="8">
        <f t="shared" si="18"/>
        <v>9.393512416</v>
      </c>
      <c r="I166" s="5" t="s">
        <v>196</v>
      </c>
      <c r="J166" s="17" t="s">
        <v>205</v>
      </c>
    </row>
    <row r="168">
      <c r="J168" s="15">
        <v>68000.0</v>
      </c>
    </row>
    <row r="169">
      <c r="A169" s="5" t="s">
        <v>4</v>
      </c>
      <c r="B169" s="5" t="s">
        <v>5</v>
      </c>
      <c r="C169" s="5"/>
      <c r="D169" s="5" t="s">
        <v>6</v>
      </c>
      <c r="E169" s="5" t="s">
        <v>7</v>
      </c>
      <c r="F169" s="2" t="s">
        <v>8</v>
      </c>
      <c r="G169" s="2" t="s">
        <v>9</v>
      </c>
      <c r="H169" s="2" t="s">
        <v>10</v>
      </c>
      <c r="I169" s="2" t="s">
        <v>11</v>
      </c>
    </row>
    <row r="170">
      <c r="A170" s="16" t="s">
        <v>206</v>
      </c>
      <c r="B170" s="2">
        <v>90.0</v>
      </c>
      <c r="E170" s="10">
        <v>0.06666666666666667</v>
      </c>
      <c r="F170" s="18">
        <v>290.36</v>
      </c>
      <c r="G170" s="7">
        <f t="shared" ref="G170:G184" si="19">E170*$J$168</f>
        <v>4533.333333</v>
      </c>
      <c r="H170" s="8">
        <f t="shared" ref="H170:H184" si="20">G170/F170</f>
        <v>15.6128025</v>
      </c>
      <c r="I170" s="5" t="s">
        <v>207</v>
      </c>
    </row>
    <row r="171">
      <c r="A171" s="19" t="s">
        <v>183</v>
      </c>
      <c r="B171" s="20">
        <v>85.0</v>
      </c>
      <c r="E171" s="10">
        <v>0.06666666666666667</v>
      </c>
      <c r="F171" s="18">
        <v>424.95</v>
      </c>
      <c r="G171" s="7">
        <f t="shared" si="19"/>
        <v>4533.333333</v>
      </c>
      <c r="H171" s="8">
        <f t="shared" si="20"/>
        <v>10.66792172</v>
      </c>
      <c r="I171" s="5" t="s">
        <v>207</v>
      </c>
    </row>
    <row r="172">
      <c r="A172" s="19" t="s">
        <v>35</v>
      </c>
      <c r="B172" s="20">
        <v>85.0</v>
      </c>
      <c r="E172" s="10">
        <v>0.06666666666666667</v>
      </c>
      <c r="F172" s="18">
        <v>195.79</v>
      </c>
      <c r="G172" s="7">
        <f t="shared" si="19"/>
        <v>4533.333333</v>
      </c>
      <c r="H172" s="8">
        <f t="shared" si="20"/>
        <v>23.15405962</v>
      </c>
      <c r="I172" s="5" t="s">
        <v>207</v>
      </c>
    </row>
    <row r="173">
      <c r="A173" s="19" t="s">
        <v>182</v>
      </c>
      <c r="B173" s="20">
        <v>85.0</v>
      </c>
      <c r="E173" s="10">
        <v>0.06666666666666667</v>
      </c>
      <c r="F173" s="18">
        <v>1190.65</v>
      </c>
      <c r="G173" s="7">
        <f t="shared" si="19"/>
        <v>4533.333333</v>
      </c>
      <c r="H173" s="8">
        <f t="shared" si="20"/>
        <v>3.807444113</v>
      </c>
      <c r="I173" s="5" t="s">
        <v>207</v>
      </c>
    </row>
    <row r="174">
      <c r="A174" s="19" t="s">
        <v>184</v>
      </c>
      <c r="B174" s="20">
        <v>85.0</v>
      </c>
      <c r="E174" s="10">
        <v>0.06666666666666667</v>
      </c>
      <c r="F174" s="18">
        <v>178.47</v>
      </c>
      <c r="G174" s="7">
        <f t="shared" si="19"/>
        <v>4533.333333</v>
      </c>
      <c r="H174" s="8">
        <f t="shared" si="20"/>
        <v>25.40109449</v>
      </c>
      <c r="I174" s="5" t="s">
        <v>207</v>
      </c>
    </row>
    <row r="175">
      <c r="A175" s="19" t="s">
        <v>53</v>
      </c>
      <c r="B175" s="20">
        <v>85.0</v>
      </c>
      <c r="E175" s="10">
        <v>0.06666666666666667</v>
      </c>
      <c r="F175" s="18">
        <v>185.59</v>
      </c>
      <c r="G175" s="7">
        <f t="shared" si="19"/>
        <v>4533.333333</v>
      </c>
      <c r="H175" s="8">
        <f t="shared" si="20"/>
        <v>24.42660344</v>
      </c>
      <c r="I175" s="5" t="s">
        <v>207</v>
      </c>
    </row>
    <row r="176">
      <c r="A176" s="19" t="s">
        <v>180</v>
      </c>
      <c r="B176" s="20">
        <v>85.0</v>
      </c>
      <c r="E176" s="10">
        <v>0.06666666666666667</v>
      </c>
      <c r="F176" s="18">
        <v>414.33</v>
      </c>
      <c r="G176" s="7">
        <f t="shared" si="19"/>
        <v>4533.333333</v>
      </c>
      <c r="H176" s="8">
        <f t="shared" si="20"/>
        <v>10.94135914</v>
      </c>
      <c r="I176" s="5" t="s">
        <v>207</v>
      </c>
    </row>
    <row r="177">
      <c r="A177" s="19" t="s">
        <v>12</v>
      </c>
      <c r="B177" s="20">
        <v>85.0</v>
      </c>
      <c r="E177" s="10">
        <v>0.06666666666666667</v>
      </c>
      <c r="F177" s="18">
        <v>494.84</v>
      </c>
      <c r="G177" s="7">
        <f t="shared" si="19"/>
        <v>4533.333333</v>
      </c>
      <c r="H177" s="8">
        <f t="shared" si="20"/>
        <v>9.161210358</v>
      </c>
      <c r="I177" s="5" t="s">
        <v>207</v>
      </c>
    </row>
    <row r="178">
      <c r="A178" s="19" t="s">
        <v>57</v>
      </c>
      <c r="B178" s="20">
        <v>85.0</v>
      </c>
      <c r="E178" s="10">
        <v>0.06666666666666667</v>
      </c>
      <c r="F178" s="18">
        <v>847.97</v>
      </c>
      <c r="G178" s="7">
        <f t="shared" si="19"/>
        <v>4533.333333</v>
      </c>
      <c r="H178" s="8">
        <f t="shared" si="20"/>
        <v>5.346101081</v>
      </c>
      <c r="I178" s="5" t="s">
        <v>207</v>
      </c>
    </row>
    <row r="179">
      <c r="A179" s="19" t="s">
        <v>187</v>
      </c>
      <c r="B179" s="20">
        <v>85.0</v>
      </c>
      <c r="E179" s="10">
        <v>0.06666666666666667</v>
      </c>
      <c r="F179" s="18">
        <v>148.13</v>
      </c>
      <c r="G179" s="7">
        <f t="shared" si="19"/>
        <v>4533.333333</v>
      </c>
      <c r="H179" s="8">
        <f t="shared" si="20"/>
        <v>30.60374896</v>
      </c>
      <c r="I179" s="5" t="s">
        <v>207</v>
      </c>
    </row>
    <row r="180" ht="15.0" customHeight="1">
      <c r="A180" s="2" t="s">
        <v>208</v>
      </c>
      <c r="B180" s="20">
        <v>85.0</v>
      </c>
      <c r="C180" s="11"/>
      <c r="D180" s="11"/>
      <c r="E180" s="10">
        <v>0.06666666666666667</v>
      </c>
      <c r="F180" s="18">
        <v>23.03</v>
      </c>
      <c r="G180" s="7">
        <f t="shared" si="19"/>
        <v>4533.333333</v>
      </c>
      <c r="H180" s="8">
        <f t="shared" si="20"/>
        <v>196.8446953</v>
      </c>
      <c r="I180" s="5" t="s">
        <v>207</v>
      </c>
      <c r="J180" s="2" t="s">
        <v>209</v>
      </c>
    </row>
    <row r="181" ht="15.0" customHeight="1">
      <c r="A181" s="2" t="s">
        <v>74</v>
      </c>
      <c r="B181" s="20">
        <v>85.0</v>
      </c>
      <c r="C181" s="11"/>
      <c r="D181" s="11"/>
      <c r="E181" s="10">
        <v>0.06666666666666667</v>
      </c>
      <c r="F181" s="18">
        <v>25.76</v>
      </c>
      <c r="G181" s="7">
        <f t="shared" si="19"/>
        <v>4533.333333</v>
      </c>
      <c r="H181" s="8">
        <f t="shared" si="20"/>
        <v>175.9834369</v>
      </c>
      <c r="I181" s="5" t="s">
        <v>207</v>
      </c>
      <c r="J181" s="2" t="s">
        <v>210</v>
      </c>
    </row>
    <row r="182" ht="15.0" customHeight="1">
      <c r="A182" s="2" t="s">
        <v>211</v>
      </c>
      <c r="B182" s="20">
        <v>85.0</v>
      </c>
      <c r="C182" s="11"/>
      <c r="D182" s="11"/>
      <c r="E182" s="10">
        <v>0.06666666666666667</v>
      </c>
      <c r="F182" s="18">
        <v>59.68</v>
      </c>
      <c r="G182" s="7">
        <f t="shared" si="19"/>
        <v>4533.333333</v>
      </c>
      <c r="H182" s="8">
        <f t="shared" si="20"/>
        <v>75.96067918</v>
      </c>
      <c r="I182" s="5" t="s">
        <v>207</v>
      </c>
      <c r="J182" s="2" t="s">
        <v>212</v>
      </c>
    </row>
    <row r="183" ht="15.0" customHeight="1">
      <c r="A183" s="2" t="s">
        <v>213</v>
      </c>
      <c r="B183" s="20">
        <v>85.0</v>
      </c>
      <c r="C183" s="11"/>
      <c r="D183" s="11"/>
      <c r="E183" s="10">
        <v>0.06666666666666667</v>
      </c>
      <c r="F183" s="18">
        <v>77.0</v>
      </c>
      <c r="G183" s="7">
        <f t="shared" si="19"/>
        <v>4533.333333</v>
      </c>
      <c r="H183" s="8">
        <f t="shared" si="20"/>
        <v>58.87445887</v>
      </c>
      <c r="I183" s="5" t="s">
        <v>207</v>
      </c>
      <c r="J183" s="2" t="s">
        <v>214</v>
      </c>
    </row>
    <row r="184" ht="15.0" customHeight="1">
      <c r="A184" s="2" t="s">
        <v>110</v>
      </c>
      <c r="B184" s="2">
        <v>80.0</v>
      </c>
      <c r="D184" s="11"/>
      <c r="E184" s="10">
        <v>0.06666666666666667</v>
      </c>
      <c r="F184" s="18">
        <v>251.62</v>
      </c>
      <c r="G184" s="7">
        <f t="shared" si="19"/>
        <v>4533.333333</v>
      </c>
      <c r="H184" s="8">
        <f t="shared" si="20"/>
        <v>18.01658586</v>
      </c>
      <c r="I184" s="5" t="s">
        <v>207</v>
      </c>
      <c r="J184" s="2" t="s">
        <v>215</v>
      </c>
    </row>
    <row r="187">
      <c r="J187" s="1">
        <v>71736.16</v>
      </c>
    </row>
    <row r="188">
      <c r="A188" s="5" t="s">
        <v>4</v>
      </c>
      <c r="B188" s="5" t="s">
        <v>5</v>
      </c>
      <c r="C188" s="5"/>
      <c r="D188" s="5" t="s">
        <v>6</v>
      </c>
      <c r="E188" s="5" t="s">
        <v>7</v>
      </c>
      <c r="F188" s="2" t="s">
        <v>8</v>
      </c>
      <c r="G188" s="2" t="s">
        <v>9</v>
      </c>
      <c r="H188" s="2" t="s">
        <v>10</v>
      </c>
      <c r="I188" s="2" t="s">
        <v>11</v>
      </c>
    </row>
    <row r="189">
      <c r="A189" s="16" t="s">
        <v>206</v>
      </c>
      <c r="B189" s="2">
        <v>90.0</v>
      </c>
      <c r="E189" s="10">
        <v>0.06666666666666667</v>
      </c>
      <c r="F189" s="18">
        <v>307.24</v>
      </c>
      <c r="G189" s="7">
        <f t="shared" ref="G189:G203" si="21">E189*$J$187</f>
        <v>4782.410667</v>
      </c>
      <c r="H189" s="8">
        <f t="shared" ref="H189:H203" si="22">G189/F189</f>
        <v>15.56571627</v>
      </c>
      <c r="I189" s="5" t="s">
        <v>216</v>
      </c>
      <c r="K189" s="2" t="s">
        <v>217</v>
      </c>
    </row>
    <row r="190">
      <c r="A190" s="16" t="s">
        <v>35</v>
      </c>
      <c r="B190" s="16">
        <v>85.0</v>
      </c>
      <c r="E190" s="10">
        <v>0.06666666666666667</v>
      </c>
      <c r="F190" s="18">
        <v>230.35</v>
      </c>
      <c r="G190" s="7">
        <f t="shared" si="21"/>
        <v>4782.410667</v>
      </c>
      <c r="H190" s="8">
        <f t="shared" si="22"/>
        <v>20.76149627</v>
      </c>
      <c r="I190" s="5" t="s">
        <v>216</v>
      </c>
      <c r="K190" s="2" t="s">
        <v>217</v>
      </c>
    </row>
    <row r="191">
      <c r="A191" s="16" t="s">
        <v>183</v>
      </c>
      <c r="B191" s="16">
        <v>85.0</v>
      </c>
      <c r="E191" s="10">
        <v>0.06666666666666667</v>
      </c>
      <c r="F191" s="18">
        <v>453.82</v>
      </c>
      <c r="G191" s="7">
        <f t="shared" si="21"/>
        <v>4782.410667</v>
      </c>
      <c r="H191" s="8">
        <f t="shared" si="22"/>
        <v>10.53812231</v>
      </c>
      <c r="I191" s="5" t="s">
        <v>216</v>
      </c>
      <c r="K191" s="2" t="s">
        <v>217</v>
      </c>
    </row>
    <row r="192">
      <c r="A192" s="16" t="s">
        <v>182</v>
      </c>
      <c r="B192" s="16">
        <v>85.0</v>
      </c>
      <c r="E192" s="10">
        <v>0.06666666666666667</v>
      </c>
      <c r="F192" s="18">
        <v>129.15</v>
      </c>
      <c r="G192" s="7">
        <f t="shared" si="21"/>
        <v>4782.410667</v>
      </c>
      <c r="H192" s="8">
        <f t="shared" si="22"/>
        <v>37.02989289</v>
      </c>
      <c r="I192" s="5" t="s">
        <v>216</v>
      </c>
      <c r="K192" s="2" t="s">
        <v>217</v>
      </c>
    </row>
    <row r="193">
      <c r="A193" s="16" t="s">
        <v>184</v>
      </c>
      <c r="B193" s="16">
        <v>85.0</v>
      </c>
      <c r="E193" s="10">
        <v>0.06666666666666667</v>
      </c>
      <c r="F193" s="18">
        <v>185.3</v>
      </c>
      <c r="G193" s="7">
        <f t="shared" si="21"/>
        <v>4782.410667</v>
      </c>
      <c r="H193" s="8">
        <f t="shared" si="22"/>
        <v>25.80901601</v>
      </c>
      <c r="I193" s="5" t="s">
        <v>216</v>
      </c>
      <c r="K193" s="2" t="s">
        <v>217</v>
      </c>
    </row>
    <row r="194">
      <c r="A194" s="16" t="s">
        <v>53</v>
      </c>
      <c r="B194" s="16">
        <v>85.0</v>
      </c>
      <c r="E194" s="10">
        <v>0.06666666666666667</v>
      </c>
      <c r="F194" s="18">
        <v>194.23</v>
      </c>
      <c r="G194" s="7">
        <f t="shared" si="21"/>
        <v>4782.410667</v>
      </c>
      <c r="H194" s="8">
        <f t="shared" si="22"/>
        <v>24.62240986</v>
      </c>
      <c r="I194" s="5" t="s">
        <v>216</v>
      </c>
      <c r="K194" s="2" t="s">
        <v>217</v>
      </c>
    </row>
    <row r="195">
      <c r="A195" s="16" t="s">
        <v>180</v>
      </c>
      <c r="B195" s="16">
        <v>85.0</v>
      </c>
      <c r="E195" s="10">
        <v>0.06666666666666667</v>
      </c>
      <c r="F195" s="18">
        <v>423.84</v>
      </c>
      <c r="G195" s="7">
        <f t="shared" si="21"/>
        <v>4782.410667</v>
      </c>
      <c r="H195" s="8">
        <f t="shared" si="22"/>
        <v>11.28352838</v>
      </c>
      <c r="I195" s="5" t="s">
        <v>216</v>
      </c>
      <c r="K195" s="2" t="s">
        <v>218</v>
      </c>
    </row>
    <row r="196">
      <c r="A196" s="16" t="s">
        <v>12</v>
      </c>
      <c r="B196" s="16">
        <v>85.0</v>
      </c>
      <c r="E196" s="10">
        <v>0.06666666666666667</v>
      </c>
      <c r="F196" s="18">
        <v>506.67</v>
      </c>
      <c r="G196" s="7">
        <f t="shared" si="21"/>
        <v>4782.410667</v>
      </c>
      <c r="H196" s="8">
        <f t="shared" si="22"/>
        <v>9.438906323</v>
      </c>
      <c r="I196" s="5" t="s">
        <v>216</v>
      </c>
      <c r="K196" s="2" t="s">
        <v>218</v>
      </c>
    </row>
    <row r="197">
      <c r="A197" s="16" t="s">
        <v>57</v>
      </c>
      <c r="B197" s="16">
        <v>85.0</v>
      </c>
      <c r="E197" s="10">
        <v>0.06666666666666667</v>
      </c>
      <c r="F197" s="18">
        <v>839.8</v>
      </c>
      <c r="G197" s="7">
        <f t="shared" si="21"/>
        <v>4782.410667</v>
      </c>
      <c r="H197" s="8">
        <f t="shared" si="22"/>
        <v>5.694701913</v>
      </c>
      <c r="I197" s="5" t="s">
        <v>216</v>
      </c>
      <c r="K197" s="2" t="s">
        <v>218</v>
      </c>
    </row>
    <row r="198">
      <c r="A198" s="16" t="s">
        <v>187</v>
      </c>
      <c r="B198" s="16">
        <v>85.0</v>
      </c>
      <c r="E198" s="10">
        <v>0.06666666666666667</v>
      </c>
      <c r="F198" s="18">
        <v>150.03</v>
      </c>
      <c r="G198" s="7">
        <f t="shared" si="21"/>
        <v>4782.410667</v>
      </c>
      <c r="H198" s="8">
        <f t="shared" si="22"/>
        <v>31.87636251</v>
      </c>
      <c r="I198" s="5" t="s">
        <v>216</v>
      </c>
    </row>
    <row r="199" ht="19.5" customHeight="1">
      <c r="A199" s="2" t="s">
        <v>219</v>
      </c>
      <c r="B199" s="20">
        <v>85.0</v>
      </c>
      <c r="C199" s="11"/>
      <c r="D199" s="11"/>
      <c r="E199" s="10">
        <v>0.06666666666666667</v>
      </c>
      <c r="F199" s="18">
        <v>91.82</v>
      </c>
      <c r="G199" s="7">
        <f t="shared" si="21"/>
        <v>4782.410667</v>
      </c>
      <c r="H199" s="8">
        <f t="shared" si="22"/>
        <v>52.08462935</v>
      </c>
      <c r="I199" s="5" t="s">
        <v>216</v>
      </c>
      <c r="J199" s="2" t="s">
        <v>220</v>
      </c>
    </row>
    <row r="200" ht="19.5" customHeight="1">
      <c r="A200" s="2" t="s">
        <v>74</v>
      </c>
      <c r="B200" s="20">
        <v>85.0</v>
      </c>
      <c r="C200" s="11"/>
      <c r="D200" s="11"/>
      <c r="E200" s="10">
        <v>0.06666666666666667</v>
      </c>
      <c r="F200" s="18">
        <v>25.61</v>
      </c>
      <c r="G200" s="7">
        <f t="shared" si="21"/>
        <v>4782.410667</v>
      </c>
      <c r="H200" s="8">
        <f t="shared" si="22"/>
        <v>186.7399714</v>
      </c>
      <c r="I200" s="5" t="s">
        <v>216</v>
      </c>
      <c r="J200" s="2" t="s">
        <v>221</v>
      </c>
    </row>
    <row r="201" ht="19.5" customHeight="1">
      <c r="A201" s="2" t="s">
        <v>222</v>
      </c>
      <c r="B201" s="20">
        <v>85.0</v>
      </c>
      <c r="C201" s="11"/>
      <c r="D201" s="11"/>
      <c r="E201" s="10">
        <v>0.06666666666666667</v>
      </c>
      <c r="F201" s="18">
        <v>78.66</v>
      </c>
      <c r="G201" s="7">
        <f t="shared" si="21"/>
        <v>4782.410667</v>
      </c>
      <c r="H201" s="8">
        <f t="shared" si="22"/>
        <v>60.79850835</v>
      </c>
      <c r="I201" s="5" t="s">
        <v>216</v>
      </c>
      <c r="J201" s="2" t="s">
        <v>223</v>
      </c>
    </row>
    <row r="202" ht="19.5" customHeight="1">
      <c r="A202" s="2" t="s">
        <v>224</v>
      </c>
      <c r="B202" s="20">
        <v>85.0</v>
      </c>
      <c r="C202" s="11"/>
      <c r="D202" s="11"/>
      <c r="E202" s="10">
        <v>0.06666666666666667</v>
      </c>
      <c r="F202" s="18">
        <v>155.84</v>
      </c>
      <c r="G202" s="7">
        <f t="shared" si="21"/>
        <v>4782.410667</v>
      </c>
      <c r="H202" s="8">
        <f t="shared" si="22"/>
        <v>30.68795346</v>
      </c>
      <c r="I202" s="5" t="s">
        <v>216</v>
      </c>
      <c r="J202" s="2" t="s">
        <v>225</v>
      </c>
    </row>
    <row r="203" ht="19.5" customHeight="1">
      <c r="A203" s="2" t="s">
        <v>204</v>
      </c>
      <c r="B203" s="2">
        <v>80.0</v>
      </c>
      <c r="D203" s="11"/>
      <c r="E203" s="10">
        <v>0.06666666666666667</v>
      </c>
      <c r="F203" s="18">
        <v>495.02</v>
      </c>
      <c r="G203" s="7">
        <f t="shared" si="21"/>
        <v>4782.410667</v>
      </c>
      <c r="H203" s="8">
        <f t="shared" si="22"/>
        <v>9.661045345</v>
      </c>
      <c r="I203" s="5" t="s">
        <v>216</v>
      </c>
      <c r="J203" s="2" t="s">
        <v>226</v>
      </c>
    </row>
    <row r="207">
      <c r="A207" s="5" t="s">
        <v>4</v>
      </c>
      <c r="B207" s="5" t="s">
        <v>5</v>
      </c>
      <c r="C207" s="5"/>
      <c r="D207" s="5" t="s">
        <v>6</v>
      </c>
      <c r="E207" s="5" t="s">
        <v>7</v>
      </c>
      <c r="F207" s="2" t="s">
        <v>8</v>
      </c>
      <c r="G207" s="2" t="s">
        <v>9</v>
      </c>
      <c r="H207" s="2" t="s">
        <v>10</v>
      </c>
      <c r="I207" s="2" t="s">
        <v>11</v>
      </c>
      <c r="J207" s="21">
        <v>70000.0</v>
      </c>
    </row>
    <row r="208">
      <c r="A208" s="19" t="s">
        <v>53</v>
      </c>
      <c r="B208" s="20">
        <v>90.0</v>
      </c>
      <c r="E208" s="10">
        <v>0.06666666666666667</v>
      </c>
      <c r="F208" s="18">
        <v>169.67</v>
      </c>
      <c r="G208" s="7">
        <f t="shared" ref="G208:G222" si="23">E208*$J$207</f>
        <v>4666.666667</v>
      </c>
      <c r="H208" s="8">
        <f t="shared" ref="H208:H222" si="24">G208/F208</f>
        <v>27.50437123</v>
      </c>
      <c r="I208" s="5" t="s">
        <v>227</v>
      </c>
      <c r="K208" s="2" t="s">
        <v>228</v>
      </c>
    </row>
    <row r="209">
      <c r="A209" s="19" t="s">
        <v>35</v>
      </c>
      <c r="B209" s="20">
        <v>85.0</v>
      </c>
      <c r="E209" s="10">
        <v>0.06666666666666667</v>
      </c>
      <c r="F209" s="18">
        <v>221.06</v>
      </c>
      <c r="G209" s="7">
        <f t="shared" si="23"/>
        <v>4666.666667</v>
      </c>
      <c r="H209" s="8">
        <f t="shared" si="24"/>
        <v>21.11040743</v>
      </c>
      <c r="I209" s="5" t="s">
        <v>227</v>
      </c>
      <c r="K209" s="2" t="s">
        <v>228</v>
      </c>
    </row>
    <row r="210">
      <c r="A210" s="19" t="s">
        <v>182</v>
      </c>
      <c r="B210" s="20">
        <v>85.0</v>
      </c>
      <c r="E210" s="10">
        <v>0.06666666666666667</v>
      </c>
      <c r="F210" s="18">
        <v>116.51</v>
      </c>
      <c r="G210" s="7">
        <f t="shared" si="23"/>
        <v>4666.666667</v>
      </c>
      <c r="H210" s="8">
        <f t="shared" si="24"/>
        <v>40.05378651</v>
      </c>
      <c r="I210" s="5" t="s">
        <v>227</v>
      </c>
      <c r="K210" s="2" t="s">
        <v>228</v>
      </c>
    </row>
    <row r="211">
      <c r="A211" s="19" t="s">
        <v>229</v>
      </c>
      <c r="B211" s="20">
        <v>85.0</v>
      </c>
      <c r="E211" s="10">
        <v>0.06666666666666667</v>
      </c>
      <c r="F211" s="18">
        <v>160.92</v>
      </c>
      <c r="G211" s="7">
        <f t="shared" si="23"/>
        <v>4666.666667</v>
      </c>
      <c r="H211" s="8">
        <f t="shared" si="24"/>
        <v>28.99991714</v>
      </c>
      <c r="I211" s="5" t="s">
        <v>227</v>
      </c>
      <c r="K211" s="2" t="s">
        <v>228</v>
      </c>
    </row>
    <row r="212">
      <c r="A212" s="19" t="s">
        <v>185</v>
      </c>
      <c r="B212" s="20">
        <v>85.0</v>
      </c>
      <c r="E212" s="10">
        <v>0.06666666666666667</v>
      </c>
      <c r="F212" s="18">
        <v>157.31</v>
      </c>
      <c r="G212" s="7">
        <f t="shared" si="23"/>
        <v>4666.666667</v>
      </c>
      <c r="H212" s="8">
        <f t="shared" si="24"/>
        <v>29.66541648</v>
      </c>
      <c r="I212" s="5" t="s">
        <v>227</v>
      </c>
      <c r="K212" s="2" t="s">
        <v>228</v>
      </c>
    </row>
    <row r="213">
      <c r="A213" s="19" t="s">
        <v>230</v>
      </c>
      <c r="B213" s="20">
        <v>85.0</v>
      </c>
      <c r="E213" s="10">
        <v>0.06666666666666667</v>
      </c>
      <c r="F213" s="18">
        <v>199.53</v>
      </c>
      <c r="G213" s="7">
        <f t="shared" si="23"/>
        <v>4666.666667</v>
      </c>
      <c r="H213" s="8">
        <f t="shared" si="24"/>
        <v>23.38829583</v>
      </c>
      <c r="I213" s="5" t="s">
        <v>227</v>
      </c>
      <c r="K213" s="2" t="s">
        <v>228</v>
      </c>
    </row>
    <row r="214">
      <c r="A214" s="19" t="s">
        <v>198</v>
      </c>
      <c r="B214" s="20">
        <v>85.0</v>
      </c>
      <c r="E214" s="10">
        <v>0.06666666666666667</v>
      </c>
      <c r="F214" s="18">
        <v>192.47</v>
      </c>
      <c r="G214" s="7">
        <f t="shared" si="23"/>
        <v>4666.666667</v>
      </c>
      <c r="H214" s="8">
        <f t="shared" si="24"/>
        <v>24.24620287</v>
      </c>
      <c r="I214" s="5" t="s">
        <v>227</v>
      </c>
    </row>
    <row r="215">
      <c r="A215" s="19" t="s">
        <v>231</v>
      </c>
      <c r="B215" s="20">
        <v>85.0</v>
      </c>
      <c r="E215" s="10">
        <v>0.06666666666666667</v>
      </c>
      <c r="F215" s="18">
        <v>38.7</v>
      </c>
      <c r="G215" s="7">
        <f t="shared" si="23"/>
        <v>4666.666667</v>
      </c>
      <c r="H215" s="8">
        <f t="shared" si="24"/>
        <v>120.585702</v>
      </c>
      <c r="I215" s="5" t="s">
        <v>227</v>
      </c>
    </row>
    <row r="216">
      <c r="A216" s="19" t="s">
        <v>37</v>
      </c>
      <c r="B216" s="20">
        <v>85.0</v>
      </c>
      <c r="E216" s="10">
        <v>0.06666666666666667</v>
      </c>
      <c r="F216" s="18">
        <v>658.97</v>
      </c>
      <c r="G216" s="7">
        <f t="shared" si="23"/>
        <v>4666.666667</v>
      </c>
      <c r="H216" s="8">
        <f t="shared" si="24"/>
        <v>7.081758907</v>
      </c>
      <c r="I216" s="5" t="s">
        <v>227</v>
      </c>
    </row>
    <row r="217">
      <c r="A217" s="19" t="s">
        <v>232</v>
      </c>
      <c r="B217" s="20">
        <v>85.0</v>
      </c>
      <c r="E217" s="10">
        <v>0.06666666666666667</v>
      </c>
      <c r="F217" s="18">
        <v>450.54</v>
      </c>
      <c r="G217" s="7">
        <f t="shared" si="23"/>
        <v>4666.666667</v>
      </c>
      <c r="H217" s="8">
        <f t="shared" si="24"/>
        <v>10.35794084</v>
      </c>
      <c r="I217" s="5" t="s">
        <v>227</v>
      </c>
    </row>
    <row r="218" ht="19.5" customHeight="1">
      <c r="A218" s="2" t="s">
        <v>74</v>
      </c>
      <c r="B218" s="20">
        <v>80.0</v>
      </c>
      <c r="C218" s="11"/>
      <c r="D218" s="11"/>
      <c r="E218" s="10">
        <v>0.06666666666666667</v>
      </c>
      <c r="F218" s="18">
        <v>24.37</v>
      </c>
      <c r="G218" s="7">
        <f t="shared" si="23"/>
        <v>4666.666667</v>
      </c>
      <c r="H218" s="8">
        <f t="shared" si="24"/>
        <v>191.4922719</v>
      </c>
      <c r="I218" s="5" t="s">
        <v>227</v>
      </c>
      <c r="J218" s="2" t="s">
        <v>233</v>
      </c>
      <c r="K218" s="2" t="s">
        <v>228</v>
      </c>
    </row>
    <row r="219" ht="19.5" customHeight="1">
      <c r="A219" s="2" t="s">
        <v>219</v>
      </c>
      <c r="B219" s="20">
        <v>80.0</v>
      </c>
      <c r="C219" s="11"/>
      <c r="D219" s="11"/>
      <c r="E219" s="10">
        <v>0.06666666666666667</v>
      </c>
      <c r="F219" s="18">
        <v>96.05</v>
      </c>
      <c r="G219" s="7">
        <f t="shared" si="23"/>
        <v>4666.666667</v>
      </c>
      <c r="H219" s="8">
        <f t="shared" si="24"/>
        <v>48.585806</v>
      </c>
      <c r="I219" s="5" t="s">
        <v>227</v>
      </c>
      <c r="J219" s="2" t="s">
        <v>234</v>
      </c>
      <c r="K219" s="2" t="s">
        <v>228</v>
      </c>
    </row>
    <row r="220" ht="19.5" customHeight="1">
      <c r="A220" s="2" t="s">
        <v>235</v>
      </c>
      <c r="B220" s="20">
        <v>80.0</v>
      </c>
      <c r="C220" s="11"/>
      <c r="D220" s="11"/>
      <c r="E220" s="10">
        <v>0.06666666666666667</v>
      </c>
      <c r="F220" s="18">
        <v>79.57</v>
      </c>
      <c r="G220" s="7">
        <f t="shared" si="23"/>
        <v>4666.666667</v>
      </c>
      <c r="H220" s="8">
        <f t="shared" si="24"/>
        <v>58.64856939</v>
      </c>
      <c r="I220" s="5" t="s">
        <v>227</v>
      </c>
      <c r="J220" s="2" t="s">
        <v>236</v>
      </c>
      <c r="K220" s="2" t="s">
        <v>228</v>
      </c>
    </row>
    <row r="221" ht="19.5" customHeight="1">
      <c r="A221" s="2" t="s">
        <v>110</v>
      </c>
      <c r="B221" s="20">
        <v>80.0</v>
      </c>
      <c r="C221" s="11"/>
      <c r="D221" s="11"/>
      <c r="E221" s="10">
        <v>0.06666666666666667</v>
      </c>
      <c r="F221" s="18">
        <v>235.14</v>
      </c>
      <c r="G221" s="7">
        <f t="shared" si="23"/>
        <v>4666.666667</v>
      </c>
      <c r="H221" s="8">
        <f t="shared" si="24"/>
        <v>19.84633268</v>
      </c>
      <c r="I221" s="5" t="s">
        <v>227</v>
      </c>
      <c r="J221" s="2" t="s">
        <v>237</v>
      </c>
    </row>
    <row r="222" ht="19.5" customHeight="1">
      <c r="A222" s="2" t="s">
        <v>204</v>
      </c>
      <c r="B222" s="2">
        <v>80.0</v>
      </c>
      <c r="D222" s="11"/>
      <c r="E222" s="10">
        <v>0.06666666666666667</v>
      </c>
      <c r="F222" s="18">
        <v>461.83</v>
      </c>
      <c r="G222" s="7">
        <f t="shared" si="23"/>
        <v>4666.666667</v>
      </c>
      <c r="H222" s="8">
        <f t="shared" si="24"/>
        <v>10.10472829</v>
      </c>
      <c r="I222" s="5" t="s">
        <v>227</v>
      </c>
      <c r="J222" s="2" t="s">
        <v>238</v>
      </c>
      <c r="K222" s="2" t="s">
        <v>228</v>
      </c>
    </row>
    <row r="228">
      <c r="A228" s="5" t="s">
        <v>4</v>
      </c>
      <c r="B228" s="5" t="s">
        <v>5</v>
      </c>
      <c r="C228" s="5"/>
      <c r="D228" s="5" t="s">
        <v>6</v>
      </c>
      <c r="E228" s="5" t="s">
        <v>7</v>
      </c>
      <c r="F228" s="2" t="s">
        <v>8</v>
      </c>
      <c r="G228" s="2" t="s">
        <v>9</v>
      </c>
      <c r="H228" s="2" t="s">
        <v>10</v>
      </c>
      <c r="I228" s="5" t="s">
        <v>13</v>
      </c>
      <c r="J228" s="22">
        <v>71000.0</v>
      </c>
    </row>
    <row r="229" ht="16.5" customHeight="1">
      <c r="A229" s="19" t="s">
        <v>35</v>
      </c>
      <c r="B229" s="20">
        <v>85.0</v>
      </c>
      <c r="E229" s="10">
        <v>0.06666666666666667</v>
      </c>
      <c r="F229" s="18">
        <f>IFERROR(__xludf.DUMMYFUNCTION("GOOGLEFINANCE(A229,""price"")"),293.26)</f>
        <v>293.26</v>
      </c>
      <c r="G229" s="7">
        <f>E229*$J$228</f>
        <v>4733.333333</v>
      </c>
      <c r="H229" s="8">
        <f t="shared" ref="H229:H243" si="25">G229/F229</f>
        <v>16.14039874</v>
      </c>
      <c r="I229" s="5" t="s">
        <v>13</v>
      </c>
      <c r="K229" s="2" t="s">
        <v>228</v>
      </c>
    </row>
    <row r="230" ht="16.5" customHeight="1">
      <c r="A230" s="19" t="s">
        <v>229</v>
      </c>
      <c r="B230" s="20">
        <v>85.0</v>
      </c>
      <c r="E230" s="10">
        <v>0.06666666666666667</v>
      </c>
      <c r="F230" s="18">
        <f>IFERROR(__xludf.DUMMYFUNCTION("GOOGLEFINANCE(A230,""price"")"),397.05)</f>
        <v>397.05</v>
      </c>
      <c r="G230" s="7">
        <f t="shared" ref="G230:G243" si="26">E230*$J$207</f>
        <v>4666.666667</v>
      </c>
      <c r="H230" s="8">
        <f t="shared" si="25"/>
        <v>11.75334761</v>
      </c>
      <c r="I230" s="5" t="s">
        <v>13</v>
      </c>
      <c r="K230" s="2" t="s">
        <v>228</v>
      </c>
    </row>
    <row r="231" ht="16.5" customHeight="1">
      <c r="A231" s="19" t="s">
        <v>230</v>
      </c>
      <c r="B231" s="20">
        <v>85.0</v>
      </c>
      <c r="E231" s="10">
        <v>0.06666666666666667</v>
      </c>
      <c r="F231" s="18">
        <f>IFERROR(__xludf.DUMMYFUNCTION("GOOGLEFINANCE(A231,""price"")"),428.35)</f>
        <v>428.35</v>
      </c>
      <c r="G231" s="7">
        <f t="shared" si="26"/>
        <v>4666.666667</v>
      </c>
      <c r="H231" s="8">
        <f t="shared" si="25"/>
        <v>10.89451772</v>
      </c>
      <c r="I231" s="5" t="s">
        <v>13</v>
      </c>
      <c r="K231" s="2" t="s">
        <v>228</v>
      </c>
    </row>
    <row r="232" ht="16.5" customHeight="1">
      <c r="A232" s="19" t="s">
        <v>198</v>
      </c>
      <c r="B232" s="20">
        <v>85.0</v>
      </c>
      <c r="E232" s="10">
        <v>0.06666666666666667</v>
      </c>
      <c r="F232" s="18">
        <f>IFERROR(__xludf.DUMMYFUNCTION("GOOGLEFINANCE(A232,""price"")"),201.55)</f>
        <v>201.55</v>
      </c>
      <c r="G232" s="7">
        <f t="shared" si="26"/>
        <v>4666.666667</v>
      </c>
      <c r="H232" s="8">
        <f t="shared" si="25"/>
        <v>23.15389068</v>
      </c>
      <c r="I232" s="5" t="s">
        <v>13</v>
      </c>
      <c r="K232" s="2" t="s">
        <v>228</v>
      </c>
    </row>
    <row r="233" ht="16.5" customHeight="1">
      <c r="A233" s="19" t="s">
        <v>239</v>
      </c>
      <c r="B233" s="20">
        <v>85.0</v>
      </c>
      <c r="E233" s="10">
        <v>0.06666666666666667</v>
      </c>
      <c r="F233" s="18">
        <f>IFERROR(__xludf.DUMMYFUNCTION("GOOGLEFINANCE(A233,""price"")"),455.19)</f>
        <v>455.19</v>
      </c>
      <c r="G233" s="7">
        <f t="shared" si="26"/>
        <v>4666.666667</v>
      </c>
      <c r="H233" s="8">
        <f t="shared" si="25"/>
        <v>10.25212915</v>
      </c>
      <c r="I233" s="5" t="s">
        <v>13</v>
      </c>
      <c r="K233" s="2" t="s">
        <v>240</v>
      </c>
    </row>
    <row r="234" ht="16.5" customHeight="1">
      <c r="A234" s="19" t="s">
        <v>241</v>
      </c>
      <c r="B234" s="20">
        <v>85.0</v>
      </c>
      <c r="E234" s="10">
        <v>0.06666666666666667</v>
      </c>
      <c r="F234" s="18">
        <f>IFERROR(__xludf.DUMMYFUNCTION("GOOGLEFINANCE(A234,""price"")"),47.22)</f>
        <v>47.22</v>
      </c>
      <c r="G234" s="7">
        <f t="shared" si="26"/>
        <v>4666.666667</v>
      </c>
      <c r="H234" s="8">
        <f t="shared" si="25"/>
        <v>98.82818015</v>
      </c>
      <c r="I234" s="5" t="s">
        <v>13</v>
      </c>
    </row>
    <row r="235" ht="16.5" customHeight="1">
      <c r="A235" s="19" t="s">
        <v>242</v>
      </c>
      <c r="B235" s="20">
        <v>85.0</v>
      </c>
      <c r="E235" s="10">
        <v>0.06666666666666667</v>
      </c>
      <c r="F235" s="18">
        <f>IFERROR(__xludf.DUMMYFUNCTION("GOOGLEFINANCE(A235,""price"")"),213.0)</f>
        <v>213</v>
      </c>
      <c r="G235" s="7">
        <f t="shared" si="26"/>
        <v>4666.666667</v>
      </c>
      <c r="H235" s="8">
        <f t="shared" si="25"/>
        <v>21.90923318</v>
      </c>
      <c r="I235" s="5" t="s">
        <v>13</v>
      </c>
    </row>
    <row r="236" ht="16.5" customHeight="1">
      <c r="A236" s="19" t="s">
        <v>243</v>
      </c>
      <c r="B236" s="20">
        <v>85.0</v>
      </c>
      <c r="E236" s="10">
        <v>0.06666666666666667</v>
      </c>
      <c r="F236" s="18">
        <f>IFERROR(__xludf.DUMMYFUNCTION("GOOGLEFINANCE(A236,""price"")"),176.53)</f>
        <v>176.53</v>
      </c>
      <c r="G236" s="7">
        <f t="shared" si="26"/>
        <v>4666.666667</v>
      </c>
      <c r="H236" s="8">
        <f t="shared" si="25"/>
        <v>26.43554448</v>
      </c>
      <c r="I236" s="5" t="s">
        <v>13</v>
      </c>
    </row>
    <row r="237" ht="16.5" customHeight="1">
      <c r="A237" s="19" t="s">
        <v>244</v>
      </c>
      <c r="B237" s="20">
        <v>85.0</v>
      </c>
      <c r="E237" s="10">
        <v>0.06666666666666667</v>
      </c>
      <c r="F237" s="18">
        <f>IFERROR(__xludf.DUMMYFUNCTION("GOOGLEFINANCE(A237,""price"")"),198.87)</f>
        <v>198.87</v>
      </c>
      <c r="G237" s="7">
        <f t="shared" si="26"/>
        <v>4666.666667</v>
      </c>
      <c r="H237" s="8">
        <f t="shared" si="25"/>
        <v>23.46591576</v>
      </c>
      <c r="I237" s="5" t="s">
        <v>13</v>
      </c>
    </row>
    <row r="238" ht="16.5" customHeight="1">
      <c r="A238" s="19" t="s">
        <v>245</v>
      </c>
      <c r="B238" s="20">
        <v>85.0</v>
      </c>
      <c r="E238" s="10">
        <v>0.06666666666666667</v>
      </c>
      <c r="F238" s="18">
        <f>IFERROR(__xludf.DUMMYFUNCTION("GOOGLEFINANCE(A238,""price"")"),1040.15)</f>
        <v>1040.15</v>
      </c>
      <c r="G238" s="7">
        <f t="shared" si="26"/>
        <v>4666.666667</v>
      </c>
      <c r="H238" s="8">
        <f t="shared" si="25"/>
        <v>4.486532391</v>
      </c>
      <c r="I238" s="5" t="s">
        <v>13</v>
      </c>
      <c r="K238" s="2" t="s">
        <v>246</v>
      </c>
    </row>
    <row r="239" ht="16.5" customHeight="1">
      <c r="A239" s="2" t="s">
        <v>247</v>
      </c>
      <c r="B239" s="20">
        <v>85.0</v>
      </c>
      <c r="C239" s="11"/>
      <c r="D239" s="11"/>
      <c r="E239" s="10">
        <v>0.06666666666666667</v>
      </c>
      <c r="F239" s="18">
        <f>IFERROR(__xludf.DUMMYFUNCTION("GOOGLEFINANCE(A239,""price"")"),61.94)</f>
        <v>61.94</v>
      </c>
      <c r="G239" s="7">
        <f t="shared" si="26"/>
        <v>4666.666667</v>
      </c>
      <c r="H239" s="8">
        <f t="shared" si="25"/>
        <v>75.34172855</v>
      </c>
      <c r="I239" s="5" t="s">
        <v>13</v>
      </c>
    </row>
    <row r="240" ht="16.5" customHeight="1">
      <c r="A240" s="2" t="s">
        <v>248</v>
      </c>
      <c r="B240" s="20">
        <v>80.0</v>
      </c>
      <c r="C240" s="11"/>
      <c r="D240" s="11"/>
      <c r="E240" s="10">
        <v>0.06666666666666667</v>
      </c>
      <c r="F240" s="18">
        <f>IFERROR(__xludf.DUMMYFUNCTION("GOOGLEFINANCE(A240,""price"")"),173.2)</f>
        <v>173.2</v>
      </c>
      <c r="G240" s="7">
        <f t="shared" si="26"/>
        <v>4666.666667</v>
      </c>
      <c r="H240" s="8">
        <f t="shared" si="25"/>
        <v>26.94380293</v>
      </c>
      <c r="I240" s="5" t="s">
        <v>13</v>
      </c>
    </row>
    <row r="241" ht="16.5" customHeight="1">
      <c r="A241" s="2" t="s">
        <v>174</v>
      </c>
      <c r="B241" s="20">
        <v>80.0</v>
      </c>
      <c r="C241" s="11"/>
      <c r="D241" s="11"/>
      <c r="E241" s="10">
        <v>0.06666666666666667</v>
      </c>
      <c r="F241" s="18">
        <f>IFERROR(__xludf.DUMMYFUNCTION("GOOGLEFINANCE(A241,""price"")"),169.94)</f>
        <v>169.94</v>
      </c>
      <c r="G241" s="7">
        <f t="shared" si="26"/>
        <v>4666.666667</v>
      </c>
      <c r="H241" s="8">
        <f t="shared" si="25"/>
        <v>27.46067239</v>
      </c>
      <c r="I241" s="5" t="s">
        <v>13</v>
      </c>
    </row>
    <row r="242" ht="16.5" customHeight="1">
      <c r="A242" s="2" t="s">
        <v>249</v>
      </c>
      <c r="B242" s="20">
        <v>80.0</v>
      </c>
      <c r="C242" s="11"/>
      <c r="D242" s="11"/>
      <c r="E242" s="10">
        <v>0.06666666666666667</v>
      </c>
      <c r="F242" s="18">
        <f>IFERROR(__xludf.DUMMYFUNCTION("GOOGLEFINANCE(A242,""price"")"),51.59)</f>
        <v>51.59</v>
      </c>
      <c r="G242" s="7">
        <f t="shared" si="26"/>
        <v>4666.666667</v>
      </c>
      <c r="H242" s="8">
        <f t="shared" si="25"/>
        <v>90.45680687</v>
      </c>
      <c r="I242" s="5" t="s">
        <v>13</v>
      </c>
    </row>
    <row r="243" ht="16.5" customHeight="1">
      <c r="A243" s="2" t="s">
        <v>106</v>
      </c>
      <c r="B243" s="2">
        <v>80.0</v>
      </c>
      <c r="D243" s="11"/>
      <c r="E243" s="10">
        <v>0.06666666666666667</v>
      </c>
      <c r="F243" s="18">
        <f>IFERROR(__xludf.DUMMYFUNCTION("GOOGLEFINANCE(A243,""price"")"),49.01)</f>
        <v>49.01</v>
      </c>
      <c r="G243" s="7">
        <f t="shared" si="26"/>
        <v>4666.666667</v>
      </c>
      <c r="H243" s="8">
        <f t="shared" si="25"/>
        <v>95.21866286</v>
      </c>
      <c r="I243" s="5" t="s">
        <v>13</v>
      </c>
    </row>
    <row r="247">
      <c r="A247" s="5" t="s">
        <v>4</v>
      </c>
      <c r="B247" s="5" t="s">
        <v>5</v>
      </c>
      <c r="C247" s="5"/>
      <c r="D247" s="5" t="s">
        <v>6</v>
      </c>
      <c r="E247" s="5" t="s">
        <v>7</v>
      </c>
      <c r="F247" s="2" t="s">
        <v>8</v>
      </c>
      <c r="G247" s="2" t="s">
        <v>9</v>
      </c>
      <c r="H247" s="2" t="s">
        <v>10</v>
      </c>
      <c r="I247" s="5" t="s">
        <v>34</v>
      </c>
      <c r="J247" s="21">
        <v>74000.0</v>
      </c>
    </row>
    <row r="248">
      <c r="A248" s="19" t="s">
        <v>250</v>
      </c>
      <c r="B248" s="20">
        <v>90.0</v>
      </c>
      <c r="E248" s="10">
        <v>0.06666666666666667</v>
      </c>
      <c r="F248" s="18">
        <f>IFERROR(__xludf.DUMMYFUNCTION("GOOGLEFINANCE(A248,""price"")"),362.7)</f>
        <v>362.7</v>
      </c>
      <c r="G248" s="7">
        <f t="shared" ref="G248:G262" si="27">E248*$J$247</f>
        <v>4933.333333</v>
      </c>
      <c r="H248" s="8">
        <f t="shared" ref="H248:H262" si="28">G248/F248</f>
        <v>13.60169102</v>
      </c>
      <c r="I248" s="5" t="s">
        <v>34</v>
      </c>
    </row>
    <row r="249">
      <c r="A249" s="19" t="s">
        <v>182</v>
      </c>
      <c r="B249" s="20">
        <v>90.0</v>
      </c>
      <c r="E249" s="10">
        <v>0.06666666666666667</v>
      </c>
      <c r="F249" s="18">
        <f>IFERROR(__xludf.DUMMYFUNCTION("GOOGLEFINANCE(A249,""price"")"),215.22)</f>
        <v>215.22</v>
      </c>
      <c r="G249" s="7">
        <f t="shared" si="27"/>
        <v>4933.333333</v>
      </c>
      <c r="H249" s="8">
        <f t="shared" si="28"/>
        <v>22.92228108</v>
      </c>
      <c r="I249" s="5" t="s">
        <v>34</v>
      </c>
    </row>
    <row r="250">
      <c r="A250" s="19" t="s">
        <v>229</v>
      </c>
      <c r="B250" s="20">
        <v>85.0</v>
      </c>
      <c r="E250" s="10">
        <v>0.06666666666666667</v>
      </c>
      <c r="F250" s="18">
        <f>IFERROR(__xludf.DUMMYFUNCTION("GOOGLEFINANCE(A250,""price"")"),397.05)</f>
        <v>397.05</v>
      </c>
      <c r="G250" s="7">
        <f t="shared" si="27"/>
        <v>4933.333333</v>
      </c>
      <c r="H250" s="8">
        <f t="shared" si="28"/>
        <v>12.42496747</v>
      </c>
      <c r="I250" s="5" t="s">
        <v>34</v>
      </c>
      <c r="K250" s="2" t="s">
        <v>251</v>
      </c>
    </row>
    <row r="251">
      <c r="A251" s="19" t="s">
        <v>252</v>
      </c>
      <c r="B251" s="20">
        <v>85.0</v>
      </c>
      <c r="E251" s="10">
        <v>0.06666666666666667</v>
      </c>
      <c r="F251" s="18">
        <f>IFERROR(__xludf.DUMMYFUNCTION("GOOGLEFINANCE(A251,""price"")"),948.45)</f>
        <v>948.45</v>
      </c>
      <c r="G251" s="7">
        <f t="shared" si="27"/>
        <v>4933.333333</v>
      </c>
      <c r="H251" s="8">
        <f t="shared" si="28"/>
        <v>5.201469064</v>
      </c>
      <c r="I251" s="5" t="s">
        <v>34</v>
      </c>
    </row>
    <row r="252">
      <c r="A252" s="19" t="s">
        <v>21</v>
      </c>
      <c r="B252" s="20">
        <v>85.0</v>
      </c>
      <c r="E252" s="10">
        <v>0.06666666666666667</v>
      </c>
      <c r="F252" s="18">
        <f>IFERROR(__xludf.DUMMYFUNCTION("GOOGLEFINANCE(A252,""price"")"),318.79)</f>
        <v>318.79</v>
      </c>
      <c r="G252" s="7">
        <f t="shared" si="27"/>
        <v>4933.333333</v>
      </c>
      <c r="H252" s="8">
        <f t="shared" si="28"/>
        <v>15.4751822</v>
      </c>
      <c r="I252" s="5" t="s">
        <v>34</v>
      </c>
    </row>
    <row r="253">
      <c r="A253" s="19" t="s">
        <v>198</v>
      </c>
      <c r="B253" s="20">
        <v>85.0</v>
      </c>
      <c r="E253" s="10">
        <v>0.06666666666666667</v>
      </c>
      <c r="F253" s="18">
        <f>IFERROR(__xludf.DUMMYFUNCTION("GOOGLEFINANCE(A253,""price"")"),201.55)</f>
        <v>201.55</v>
      </c>
      <c r="G253" s="7">
        <f t="shared" si="27"/>
        <v>4933.333333</v>
      </c>
      <c r="H253" s="8">
        <f t="shared" si="28"/>
        <v>24.47697015</v>
      </c>
      <c r="I253" s="5" t="s">
        <v>34</v>
      </c>
      <c r="K253" s="2" t="s">
        <v>251</v>
      </c>
    </row>
    <row r="254">
      <c r="A254" s="19" t="s">
        <v>18</v>
      </c>
      <c r="B254" s="20">
        <v>85.0</v>
      </c>
      <c r="E254" s="10">
        <v>0.06666666666666667</v>
      </c>
      <c r="F254" s="18">
        <f>IFERROR(__xludf.DUMMYFUNCTION("GOOGLEFINANCE(A254,""price"")"),253.04)</f>
        <v>253.04</v>
      </c>
      <c r="G254" s="7">
        <f t="shared" si="27"/>
        <v>4933.333333</v>
      </c>
      <c r="H254" s="8">
        <f t="shared" si="28"/>
        <v>19.49625883</v>
      </c>
      <c r="I254" s="5" t="s">
        <v>34</v>
      </c>
    </row>
    <row r="255">
      <c r="A255" s="19" t="s">
        <v>253</v>
      </c>
      <c r="B255" s="20">
        <v>85.0</v>
      </c>
      <c r="E255" s="10">
        <v>0.06666666666666667</v>
      </c>
      <c r="F255" s="18">
        <f>IFERROR(__xludf.DUMMYFUNCTION("GOOGLEFINANCE(A255,""price"")"),746.79)</f>
        <v>746.79</v>
      </c>
      <c r="G255" s="7">
        <f t="shared" si="27"/>
        <v>4933.333333</v>
      </c>
      <c r="H255" s="8">
        <f t="shared" si="28"/>
        <v>6.606051679</v>
      </c>
      <c r="I255" s="5" t="s">
        <v>34</v>
      </c>
    </row>
    <row r="256">
      <c r="A256" s="19" t="s">
        <v>243</v>
      </c>
      <c r="B256" s="20">
        <v>85.0</v>
      </c>
      <c r="E256" s="10">
        <v>0.06666666666666667</v>
      </c>
      <c r="F256" s="18">
        <f>IFERROR(__xludf.DUMMYFUNCTION("GOOGLEFINANCE(A256,""price"")"),176.53)</f>
        <v>176.53</v>
      </c>
      <c r="G256" s="7">
        <f t="shared" si="27"/>
        <v>4933.333333</v>
      </c>
      <c r="H256" s="8">
        <f t="shared" si="28"/>
        <v>27.94614702</v>
      </c>
      <c r="I256" s="5" t="s">
        <v>34</v>
      </c>
      <c r="K256" s="2" t="s">
        <v>251</v>
      </c>
    </row>
    <row r="257">
      <c r="A257" s="19" t="s">
        <v>254</v>
      </c>
      <c r="B257" s="20">
        <v>85.0</v>
      </c>
      <c r="E257" s="10">
        <v>0.06666666666666667</v>
      </c>
      <c r="F257" s="18">
        <f>IFERROR(__xludf.DUMMYFUNCTION("GOOGLEFINANCE(A257,""price"")"),61.65)</f>
        <v>61.65</v>
      </c>
      <c r="G257" s="7">
        <f t="shared" si="27"/>
        <v>4933.333333</v>
      </c>
      <c r="H257" s="8">
        <f t="shared" si="28"/>
        <v>80.02162747</v>
      </c>
      <c r="I257" s="5" t="s">
        <v>34</v>
      </c>
    </row>
    <row r="258" ht="15.75" customHeight="1">
      <c r="A258" s="2" t="s">
        <v>31</v>
      </c>
      <c r="B258" s="20">
        <v>85.0</v>
      </c>
      <c r="C258" s="11"/>
      <c r="D258" s="11"/>
      <c r="E258" s="10">
        <v>0.06666666666666667</v>
      </c>
      <c r="F258" s="18">
        <f>IFERROR(__xludf.DUMMYFUNCTION("GOOGLEFINANCE(A258,""price"")"),268.98)</f>
        <v>268.98</v>
      </c>
      <c r="G258" s="7">
        <f t="shared" si="27"/>
        <v>4933.333333</v>
      </c>
      <c r="H258" s="8">
        <f t="shared" si="28"/>
        <v>18.34089276</v>
      </c>
      <c r="I258" s="5" t="s">
        <v>34</v>
      </c>
      <c r="J258" s="2" t="s">
        <v>255</v>
      </c>
    </row>
    <row r="259" ht="15.75" customHeight="1">
      <c r="A259" s="2" t="s">
        <v>204</v>
      </c>
      <c r="B259" s="20">
        <v>85.0</v>
      </c>
      <c r="C259" s="11"/>
      <c r="D259" s="11"/>
      <c r="E259" s="10">
        <v>0.06666666666666667</v>
      </c>
      <c r="F259" s="18">
        <f>IFERROR(__xludf.DUMMYFUNCTION("GOOGLEFINANCE(A259,""price"")"),711.06)</f>
        <v>711.06</v>
      </c>
      <c r="G259" s="7">
        <f t="shared" si="27"/>
        <v>4933.333333</v>
      </c>
      <c r="H259" s="8">
        <f t="shared" si="28"/>
        <v>6.937998669</v>
      </c>
      <c r="I259" s="5" t="s">
        <v>34</v>
      </c>
      <c r="J259" s="2" t="s">
        <v>256</v>
      </c>
    </row>
    <row r="260" ht="15.75" customHeight="1">
      <c r="A260" s="2" t="s">
        <v>110</v>
      </c>
      <c r="B260" s="20">
        <v>85.0</v>
      </c>
      <c r="C260" s="11"/>
      <c r="D260" s="11"/>
      <c r="E260" s="10">
        <v>0.06666666666666667</v>
      </c>
      <c r="F260" s="18">
        <f>IFERROR(__xludf.DUMMYFUNCTION("GOOGLEFINANCE(A260,""price"")"),566.54)</f>
        <v>566.54</v>
      </c>
      <c r="G260" s="7">
        <f t="shared" si="27"/>
        <v>4933.333333</v>
      </c>
      <c r="H260" s="8">
        <f t="shared" si="28"/>
        <v>8.707828809</v>
      </c>
      <c r="I260" s="5" t="s">
        <v>34</v>
      </c>
      <c r="J260" s="2" t="s">
        <v>257</v>
      </c>
    </row>
    <row r="261" ht="15.75" customHeight="1">
      <c r="A261" s="2" t="s">
        <v>25</v>
      </c>
      <c r="B261" s="20">
        <v>85.0</v>
      </c>
      <c r="C261" s="11"/>
      <c r="D261" s="11"/>
      <c r="E261" s="10">
        <v>0.06666666666666667</v>
      </c>
      <c r="F261" s="18">
        <f>IFERROR(__xludf.DUMMYFUNCTION("GOOGLEFINANCE(A261,""price"")"),91.15)</f>
        <v>91.15</v>
      </c>
      <c r="G261" s="7">
        <f t="shared" si="27"/>
        <v>4933.333333</v>
      </c>
      <c r="H261" s="8">
        <f t="shared" si="28"/>
        <v>54.12324008</v>
      </c>
      <c r="I261" s="5" t="s">
        <v>34</v>
      </c>
      <c r="J261" s="2" t="s">
        <v>258</v>
      </c>
    </row>
    <row r="262" ht="15.75" customHeight="1">
      <c r="A262" s="2" t="s">
        <v>259</v>
      </c>
      <c r="B262" s="20">
        <v>85.0</v>
      </c>
      <c r="D262" s="11"/>
      <c r="E262" s="10">
        <v>0.06666666666666667</v>
      </c>
      <c r="F262" s="18">
        <f>IFERROR(__xludf.DUMMYFUNCTION("GOOGLEFINANCE(A262,""price"")"),162.91)</f>
        <v>162.91</v>
      </c>
      <c r="G262" s="7">
        <f t="shared" si="27"/>
        <v>4933.333333</v>
      </c>
      <c r="H262" s="8">
        <f t="shared" si="28"/>
        <v>30.28256911</v>
      </c>
      <c r="I262" s="5" t="s">
        <v>34</v>
      </c>
      <c r="J262" s="2" t="s">
        <v>260</v>
      </c>
    </row>
    <row r="265">
      <c r="A265" s="5" t="s">
        <v>4</v>
      </c>
      <c r="B265" s="5" t="s">
        <v>5</v>
      </c>
      <c r="C265" s="5"/>
      <c r="D265" s="5" t="s">
        <v>6</v>
      </c>
      <c r="E265" s="5" t="s">
        <v>7</v>
      </c>
      <c r="F265" s="2" t="s">
        <v>8</v>
      </c>
      <c r="G265" s="2" t="s">
        <v>9</v>
      </c>
      <c r="H265" s="2" t="s">
        <v>10</v>
      </c>
      <c r="I265" s="5" t="s">
        <v>48</v>
      </c>
      <c r="J265" s="21">
        <v>78000.0</v>
      </c>
    </row>
    <row r="266">
      <c r="A266" s="19" t="s">
        <v>182</v>
      </c>
      <c r="B266" s="20">
        <v>90.0</v>
      </c>
      <c r="E266" s="10">
        <v>0.06666666666666667</v>
      </c>
      <c r="F266" s="18">
        <f>IFERROR(__xludf.DUMMYFUNCTION("GOOGLEFINANCE(A266,""price"")"),215.22)</f>
        <v>215.22</v>
      </c>
      <c r="G266" s="7">
        <f t="shared" ref="G266:G280" si="29">E266*$J$247</f>
        <v>4933.333333</v>
      </c>
      <c r="H266" s="8">
        <f t="shared" ref="H266:H280" si="30">G266/F266</f>
        <v>22.92228108</v>
      </c>
      <c r="I266" s="5" t="s">
        <v>48</v>
      </c>
      <c r="K266" s="2" t="s">
        <v>261</v>
      </c>
    </row>
    <row r="267">
      <c r="A267" s="19" t="s">
        <v>53</v>
      </c>
      <c r="B267" s="20">
        <v>90.0</v>
      </c>
      <c r="E267" s="10">
        <v>0.06666666666666667</v>
      </c>
      <c r="F267" s="18">
        <f>IFERROR(__xludf.DUMMYFUNCTION("GOOGLEFINANCE(A267,""price"")"),272.68)</f>
        <v>272.68</v>
      </c>
      <c r="G267" s="7">
        <f t="shared" si="29"/>
        <v>4933.333333</v>
      </c>
      <c r="H267" s="8">
        <f t="shared" si="30"/>
        <v>18.09202484</v>
      </c>
      <c r="I267" s="5" t="s">
        <v>48</v>
      </c>
      <c r="K267" s="2" t="s">
        <v>262</v>
      </c>
    </row>
    <row r="268">
      <c r="A268" s="19" t="s">
        <v>185</v>
      </c>
      <c r="B268" s="20">
        <v>90.0</v>
      </c>
      <c r="E268" s="10">
        <v>0.06666666666666667</v>
      </c>
      <c r="F268" s="18">
        <f>IFERROR(__xludf.DUMMYFUNCTION("GOOGLEFINANCE(A268,""price"")"),430.0)</f>
        <v>430</v>
      </c>
      <c r="G268" s="7">
        <f t="shared" si="29"/>
        <v>4933.333333</v>
      </c>
      <c r="H268" s="8">
        <f t="shared" si="30"/>
        <v>11.47286822</v>
      </c>
      <c r="I268" s="5" t="s">
        <v>48</v>
      </c>
      <c r="K268" s="2" t="s">
        <v>262</v>
      </c>
    </row>
    <row r="269">
      <c r="A269" s="19" t="s">
        <v>263</v>
      </c>
      <c r="B269" s="20">
        <v>90.0</v>
      </c>
      <c r="E269" s="10">
        <v>0.06666666666666667</v>
      </c>
      <c r="F269" s="18">
        <f>IFERROR(__xludf.DUMMYFUNCTION("GOOGLEFINANCE(A269,""price"")"),130.43)</f>
        <v>130.43</v>
      </c>
      <c r="G269" s="7">
        <f t="shared" si="29"/>
        <v>4933.333333</v>
      </c>
      <c r="H269" s="8">
        <f t="shared" si="30"/>
        <v>37.82360909</v>
      </c>
      <c r="I269" s="5" t="s">
        <v>48</v>
      </c>
      <c r="K269" s="2" t="s">
        <v>262</v>
      </c>
    </row>
    <row r="270">
      <c r="A270" s="19" t="s">
        <v>21</v>
      </c>
      <c r="B270" s="20">
        <v>90.0</v>
      </c>
      <c r="E270" s="10">
        <v>0.06666666666666667</v>
      </c>
      <c r="F270" s="18">
        <f>IFERROR(__xludf.DUMMYFUNCTION("GOOGLEFINANCE(A270,""price"")"),318.79)</f>
        <v>318.79</v>
      </c>
      <c r="G270" s="7">
        <f t="shared" si="29"/>
        <v>4933.333333</v>
      </c>
      <c r="H270" s="8">
        <f t="shared" si="30"/>
        <v>15.4751822</v>
      </c>
      <c r="I270" s="5" t="s">
        <v>48</v>
      </c>
      <c r="K270" s="2" t="s">
        <v>261</v>
      </c>
    </row>
    <row r="271">
      <c r="A271" s="19" t="s">
        <v>57</v>
      </c>
      <c r="B271" s="20">
        <v>90.0</v>
      </c>
      <c r="E271" s="10">
        <v>0.06666666666666667</v>
      </c>
      <c r="F271" s="18">
        <f>IFERROR(__xludf.DUMMYFUNCTION("GOOGLEFINANCE(A271,""price"")"),1008.79)</f>
        <v>1008.79</v>
      </c>
      <c r="G271" s="7">
        <f t="shared" si="29"/>
        <v>4933.333333</v>
      </c>
      <c r="H271" s="8">
        <f t="shared" si="30"/>
        <v>4.890347182</v>
      </c>
      <c r="I271" s="5" t="s">
        <v>48</v>
      </c>
      <c r="K271" s="2" t="s">
        <v>262</v>
      </c>
    </row>
    <row r="272">
      <c r="A272" s="19" t="s">
        <v>39</v>
      </c>
      <c r="B272" s="20">
        <v>90.0</v>
      </c>
      <c r="E272" s="10">
        <v>0.06666666666666667</v>
      </c>
      <c r="F272" s="18">
        <f>IFERROR(__xludf.DUMMYFUNCTION("GOOGLEFINANCE(A272,""price"")"),193.63)</f>
        <v>193.63</v>
      </c>
      <c r="G272" s="7">
        <f t="shared" si="29"/>
        <v>4933.333333</v>
      </c>
      <c r="H272" s="8">
        <f t="shared" si="30"/>
        <v>25.4781456</v>
      </c>
      <c r="I272" s="5" t="s">
        <v>48</v>
      </c>
      <c r="K272" s="2" t="s">
        <v>262</v>
      </c>
    </row>
    <row r="273">
      <c r="A273" s="19" t="s">
        <v>18</v>
      </c>
      <c r="B273" s="20">
        <v>90.0</v>
      </c>
      <c r="E273" s="10">
        <v>0.06666666666666667</v>
      </c>
      <c r="F273" s="18">
        <f>IFERROR(__xludf.DUMMYFUNCTION("GOOGLEFINANCE(A273,""price"")"),253.04)</f>
        <v>253.04</v>
      </c>
      <c r="G273" s="7">
        <f t="shared" si="29"/>
        <v>4933.333333</v>
      </c>
      <c r="H273" s="8">
        <f t="shared" si="30"/>
        <v>19.49625883</v>
      </c>
      <c r="I273" s="5" t="s">
        <v>48</v>
      </c>
      <c r="K273" s="2" t="s">
        <v>261</v>
      </c>
    </row>
    <row r="274">
      <c r="A274" s="19" t="s">
        <v>264</v>
      </c>
      <c r="B274" s="20">
        <v>90.0</v>
      </c>
      <c r="E274" s="10">
        <v>0.06666666666666667</v>
      </c>
      <c r="F274" s="18">
        <f>IFERROR(__xludf.DUMMYFUNCTION("GOOGLEFINANCE(A274,""price"")"),165.99)</f>
        <v>165.99</v>
      </c>
      <c r="G274" s="7">
        <f t="shared" si="29"/>
        <v>4933.333333</v>
      </c>
      <c r="H274" s="8">
        <f t="shared" si="30"/>
        <v>29.7206659</v>
      </c>
      <c r="I274" s="5" t="s">
        <v>48</v>
      </c>
      <c r="K274" s="2" t="s">
        <v>262</v>
      </c>
    </row>
    <row r="275">
      <c r="A275" s="19" t="s">
        <v>265</v>
      </c>
      <c r="B275" s="20">
        <v>90.0</v>
      </c>
      <c r="E275" s="10">
        <v>0.06666666666666667</v>
      </c>
      <c r="F275" s="18">
        <f>IFERROR(__xludf.DUMMYFUNCTION("GOOGLEFINANCE(A275,""price"")"),1084.83)</f>
        <v>1084.83</v>
      </c>
      <c r="G275" s="7">
        <f t="shared" si="29"/>
        <v>4933.333333</v>
      </c>
      <c r="H275" s="8">
        <f t="shared" si="30"/>
        <v>4.54756352</v>
      </c>
      <c r="I275" s="5" t="s">
        <v>48</v>
      </c>
      <c r="K275" s="2" t="s">
        <v>262</v>
      </c>
    </row>
    <row r="276" ht="16.5" customHeight="1">
      <c r="A276" s="2" t="s">
        <v>247</v>
      </c>
      <c r="B276" s="20"/>
      <c r="C276" s="11"/>
      <c r="D276" s="11"/>
      <c r="E276" s="10">
        <v>0.06666666666666667</v>
      </c>
      <c r="F276" s="18">
        <f>IFERROR(__xludf.DUMMYFUNCTION("GOOGLEFINANCE(A276,""price"")"),61.94)</f>
        <v>61.94</v>
      </c>
      <c r="G276" s="7">
        <f t="shared" si="29"/>
        <v>4933.333333</v>
      </c>
      <c r="H276" s="8">
        <f t="shared" si="30"/>
        <v>79.64697019</v>
      </c>
      <c r="I276" s="5" t="s">
        <v>48</v>
      </c>
      <c r="J276" s="2" t="s">
        <v>266</v>
      </c>
      <c r="K276" s="2" t="s">
        <v>262</v>
      </c>
    </row>
    <row r="277" ht="16.5" customHeight="1">
      <c r="A277" s="2" t="s">
        <v>43</v>
      </c>
      <c r="B277" s="20"/>
      <c r="C277" s="11"/>
      <c r="D277" s="11"/>
      <c r="E277" s="10">
        <v>0.06666666666666667</v>
      </c>
      <c r="F277" s="18">
        <f>IFERROR(__xludf.DUMMYFUNCTION("GOOGLEFINANCE(A277,""price"")"),520.3)</f>
        <v>520.3</v>
      </c>
      <c r="G277" s="7">
        <f t="shared" si="29"/>
        <v>4933.333333</v>
      </c>
      <c r="H277" s="8">
        <f t="shared" si="30"/>
        <v>9.48170927</v>
      </c>
      <c r="I277" s="5" t="s">
        <v>48</v>
      </c>
      <c r="J277" s="2" t="s">
        <v>267</v>
      </c>
      <c r="K277" s="2" t="s">
        <v>262</v>
      </c>
    </row>
    <row r="278" ht="16.5" customHeight="1">
      <c r="A278" s="2" t="s">
        <v>268</v>
      </c>
      <c r="B278" s="20"/>
      <c r="C278" s="11"/>
      <c r="D278" s="11"/>
      <c r="E278" s="10">
        <v>0.06666666666666667</v>
      </c>
      <c r="F278" s="18">
        <f>IFERROR(__xludf.DUMMYFUNCTION("GOOGLEFINANCE(A278,""price"")"),157.27)</f>
        <v>157.27</v>
      </c>
      <c r="G278" s="7">
        <f t="shared" si="29"/>
        <v>4933.333333</v>
      </c>
      <c r="H278" s="8">
        <f t="shared" si="30"/>
        <v>31.36855938</v>
      </c>
      <c r="I278" s="5" t="s">
        <v>48</v>
      </c>
      <c r="J278" s="2" t="s">
        <v>269</v>
      </c>
      <c r="K278" s="2" t="s">
        <v>262</v>
      </c>
    </row>
    <row r="279" ht="16.5" customHeight="1">
      <c r="A279" s="2" t="s">
        <v>74</v>
      </c>
      <c r="B279" s="20"/>
      <c r="C279" s="11"/>
      <c r="D279" s="11"/>
      <c r="E279" s="10">
        <v>0.06666666666666667</v>
      </c>
      <c r="F279" s="23">
        <v>27.11</v>
      </c>
      <c r="G279" s="7">
        <f t="shared" si="29"/>
        <v>4933.333333</v>
      </c>
      <c r="H279" s="8">
        <f t="shared" si="30"/>
        <v>181.9746711</v>
      </c>
      <c r="I279" s="5" t="s">
        <v>48</v>
      </c>
      <c r="J279" s="2" t="s">
        <v>270</v>
      </c>
      <c r="K279" s="2" t="s">
        <v>262</v>
      </c>
    </row>
    <row r="280" ht="16.5" customHeight="1">
      <c r="A280" s="2" t="s">
        <v>271</v>
      </c>
      <c r="B280" s="20"/>
      <c r="D280" s="11"/>
      <c r="E280" s="10">
        <v>0.06666666666666667</v>
      </c>
      <c r="F280" s="18">
        <f>IFERROR(__xludf.DUMMYFUNCTION("GOOGLEFINANCE(A280,""price"")"),87.43)</f>
        <v>87.43</v>
      </c>
      <c r="G280" s="7">
        <f t="shared" si="29"/>
        <v>4933.333333</v>
      </c>
      <c r="H280" s="8">
        <f t="shared" si="30"/>
        <v>56.42609326</v>
      </c>
      <c r="I280" s="5" t="s">
        <v>48</v>
      </c>
      <c r="J280" s="2" t="s">
        <v>272</v>
      </c>
      <c r="K280" s="2" t="s">
        <v>262</v>
      </c>
    </row>
    <row r="285">
      <c r="A285" s="5" t="s">
        <v>4</v>
      </c>
      <c r="B285" s="5" t="s">
        <v>5</v>
      </c>
      <c r="C285" s="5"/>
      <c r="D285" s="5" t="s">
        <v>6</v>
      </c>
      <c r="E285" s="5" t="s">
        <v>7</v>
      </c>
      <c r="F285" s="2" t="s">
        <v>8</v>
      </c>
      <c r="G285" s="2" t="s">
        <v>9</v>
      </c>
      <c r="H285" s="2" t="s">
        <v>10</v>
      </c>
      <c r="I285" s="5"/>
      <c r="J285" s="1">
        <v>76991.13</v>
      </c>
    </row>
    <row r="286">
      <c r="A286" s="19" t="s">
        <v>182</v>
      </c>
      <c r="B286" s="20">
        <v>90.0</v>
      </c>
      <c r="E286" s="10">
        <v>0.06666666666666667</v>
      </c>
      <c r="F286" s="18">
        <f>IFERROR(__xludf.DUMMYFUNCTION("GOOGLEFINANCE(A286,""price"")"),215.22)</f>
        <v>215.22</v>
      </c>
      <c r="G286" s="7">
        <f t="shared" ref="G286:G300" si="31">E286*$J$285</f>
        <v>5132.742</v>
      </c>
      <c r="H286" s="8">
        <f t="shared" ref="H286:H300" si="32">G286/F286</f>
        <v>23.84881517</v>
      </c>
      <c r="I286" s="5" t="s">
        <v>84</v>
      </c>
      <c r="K286" s="2" t="s">
        <v>261</v>
      </c>
    </row>
    <row r="287">
      <c r="A287" s="19" t="s">
        <v>53</v>
      </c>
      <c r="B287" s="20">
        <v>90.0</v>
      </c>
      <c r="E287" s="10">
        <v>0.06666666666666667</v>
      </c>
      <c r="F287" s="18">
        <f>IFERROR(__xludf.DUMMYFUNCTION("GOOGLEFINANCE(A287,""price"")"),272.68)</f>
        <v>272.68</v>
      </c>
      <c r="G287" s="7">
        <f t="shared" si="31"/>
        <v>5132.742</v>
      </c>
      <c r="H287" s="8">
        <f t="shared" si="32"/>
        <v>18.82331671</v>
      </c>
      <c r="I287" s="5" t="s">
        <v>84</v>
      </c>
      <c r="K287" s="2" t="s">
        <v>261</v>
      </c>
    </row>
    <row r="288">
      <c r="A288" s="19" t="s">
        <v>46</v>
      </c>
      <c r="B288" s="20">
        <v>90.0</v>
      </c>
      <c r="E288" s="10">
        <v>0.06666666666666667</v>
      </c>
      <c r="F288" s="18">
        <f>IFERROR(__xludf.DUMMYFUNCTION("GOOGLEFINANCE(A288,""price"")"),609.63)</f>
        <v>609.63</v>
      </c>
      <c r="G288" s="7">
        <f t="shared" si="31"/>
        <v>5132.742</v>
      </c>
      <c r="H288" s="8">
        <f t="shared" si="32"/>
        <v>8.41943802</v>
      </c>
      <c r="I288" s="5" t="s">
        <v>84</v>
      </c>
      <c r="K288" s="2" t="s">
        <v>273</v>
      </c>
    </row>
    <row r="289">
      <c r="A289" s="19" t="s">
        <v>57</v>
      </c>
      <c r="B289" s="20">
        <v>90.0</v>
      </c>
      <c r="E289" s="10">
        <v>0.06666666666666667</v>
      </c>
      <c r="F289" s="18">
        <f>IFERROR(__xludf.DUMMYFUNCTION("GOOGLEFINANCE(A289,""price"")"),1008.79)</f>
        <v>1008.79</v>
      </c>
      <c r="G289" s="7">
        <f t="shared" si="31"/>
        <v>5132.742</v>
      </c>
      <c r="H289" s="8">
        <f t="shared" si="32"/>
        <v>5.088018319</v>
      </c>
      <c r="I289" s="5" t="s">
        <v>84</v>
      </c>
      <c r="K289" s="2" t="s">
        <v>261</v>
      </c>
    </row>
    <row r="290">
      <c r="A290" s="19" t="s">
        <v>274</v>
      </c>
      <c r="B290" s="20">
        <v>90.0</v>
      </c>
      <c r="E290" s="10">
        <v>0.06666666666666667</v>
      </c>
      <c r="F290" s="18">
        <f>IFERROR(__xludf.DUMMYFUNCTION("GOOGLEFINANCE(A290,""price"")"),123.77)</f>
        <v>123.77</v>
      </c>
      <c r="G290" s="7">
        <f t="shared" si="31"/>
        <v>5132.742</v>
      </c>
      <c r="H290" s="8">
        <f t="shared" si="32"/>
        <v>41.47000081</v>
      </c>
      <c r="I290" s="5" t="s">
        <v>84</v>
      </c>
      <c r="K290" s="2" t="s">
        <v>273</v>
      </c>
    </row>
    <row r="291">
      <c r="A291" s="19" t="s">
        <v>15</v>
      </c>
      <c r="B291" s="20">
        <v>90.0</v>
      </c>
      <c r="E291" s="10">
        <v>0.06666666666666667</v>
      </c>
      <c r="F291" s="18">
        <f>IFERROR(__xludf.DUMMYFUNCTION("GOOGLEFINANCE(A291,""price"")"),219.09)</f>
        <v>219.09</v>
      </c>
      <c r="G291" s="7">
        <f t="shared" si="31"/>
        <v>5132.742</v>
      </c>
      <c r="H291" s="8">
        <f t="shared" si="32"/>
        <v>23.42755032</v>
      </c>
      <c r="I291" s="5" t="s">
        <v>84</v>
      </c>
      <c r="K291" s="2" t="s">
        <v>273</v>
      </c>
    </row>
    <row r="292">
      <c r="A292" s="19" t="s">
        <v>275</v>
      </c>
      <c r="B292" s="20">
        <v>90.0</v>
      </c>
      <c r="E292" s="10">
        <v>0.06666666666666667</v>
      </c>
      <c r="F292" s="18">
        <f>IFERROR(__xludf.DUMMYFUNCTION("GOOGLEFINANCE(A292,""price"")"),166.97)</f>
        <v>166.97</v>
      </c>
      <c r="G292" s="7">
        <f t="shared" si="31"/>
        <v>5132.742</v>
      </c>
      <c r="H292" s="8">
        <f t="shared" si="32"/>
        <v>30.74050428</v>
      </c>
      <c r="I292" s="5" t="s">
        <v>84</v>
      </c>
      <c r="K292" s="2" t="s">
        <v>273</v>
      </c>
    </row>
    <row r="293">
      <c r="A293" s="19" t="s">
        <v>276</v>
      </c>
      <c r="B293" s="20">
        <v>90.0</v>
      </c>
      <c r="E293" s="10">
        <v>0.06666666666666667</v>
      </c>
      <c r="F293" s="18">
        <f>IFERROR(__xludf.DUMMYFUNCTION("GOOGLEFINANCE(A293,""price"")"),82.83)</f>
        <v>82.83</v>
      </c>
      <c r="G293" s="7">
        <f t="shared" si="31"/>
        <v>5132.742</v>
      </c>
      <c r="H293" s="8">
        <f t="shared" si="32"/>
        <v>61.9671858</v>
      </c>
      <c r="I293" s="5" t="s">
        <v>84</v>
      </c>
      <c r="K293" s="2" t="s">
        <v>273</v>
      </c>
    </row>
    <row r="294">
      <c r="A294" s="19" t="s">
        <v>277</v>
      </c>
      <c r="B294" s="20">
        <v>90.0</v>
      </c>
      <c r="E294" s="10">
        <v>0.06666666666666667</v>
      </c>
      <c r="F294" s="18">
        <f>IFERROR(__xludf.DUMMYFUNCTION("GOOGLEFINANCE(A294,""price"")"),275.24)</f>
        <v>275.24</v>
      </c>
      <c r="G294" s="7">
        <f t="shared" si="31"/>
        <v>5132.742</v>
      </c>
      <c r="H294" s="8">
        <f t="shared" si="32"/>
        <v>18.64824153</v>
      </c>
      <c r="I294" s="5" t="s">
        <v>84</v>
      </c>
      <c r="K294" s="2" t="s">
        <v>273</v>
      </c>
    </row>
    <row r="295">
      <c r="A295" s="19" t="s">
        <v>278</v>
      </c>
      <c r="B295" s="20">
        <v>90.0</v>
      </c>
      <c r="E295" s="10">
        <v>0.06666666666666667</v>
      </c>
      <c r="F295" s="18">
        <f>IFERROR(__xludf.DUMMYFUNCTION("GOOGLEFINANCE(A295,""price"")"),244.5)</f>
        <v>244.5</v>
      </c>
      <c r="G295" s="7">
        <f t="shared" si="31"/>
        <v>5132.742</v>
      </c>
      <c r="H295" s="8">
        <f t="shared" si="32"/>
        <v>20.99280982</v>
      </c>
      <c r="I295" s="5" t="s">
        <v>84</v>
      </c>
      <c r="K295" s="2" t="s">
        <v>273</v>
      </c>
    </row>
    <row r="296" ht="13.5" customHeight="1">
      <c r="A296" s="2" t="s">
        <v>204</v>
      </c>
      <c r="B296" s="20">
        <v>85.0</v>
      </c>
      <c r="C296" s="11"/>
      <c r="D296" s="11"/>
      <c r="E296" s="10">
        <v>0.06666666666666667</v>
      </c>
      <c r="F296" s="18">
        <f>IFERROR(__xludf.DUMMYFUNCTION("GOOGLEFINANCE(A296,""price"")"),711.06)</f>
        <v>711.06</v>
      </c>
      <c r="G296" s="7">
        <f t="shared" si="31"/>
        <v>5132.742</v>
      </c>
      <c r="H296" s="8">
        <f t="shared" si="32"/>
        <v>7.218437263</v>
      </c>
      <c r="I296" s="5" t="s">
        <v>84</v>
      </c>
      <c r="J296" s="2" t="s">
        <v>279</v>
      </c>
      <c r="K296" s="2" t="s">
        <v>273</v>
      </c>
    </row>
    <row r="297" ht="13.5" customHeight="1">
      <c r="A297" s="2" t="s">
        <v>174</v>
      </c>
      <c r="B297" s="20">
        <v>85.0</v>
      </c>
      <c r="C297" s="11"/>
      <c r="D297" s="11"/>
      <c r="E297" s="10">
        <v>0.06666666666666667</v>
      </c>
      <c r="F297" s="18">
        <f>IFERROR(__xludf.DUMMYFUNCTION("GOOGLEFINANCE(A297,""price"")"),169.94)</f>
        <v>169.94</v>
      </c>
      <c r="G297" s="7">
        <f t="shared" si="31"/>
        <v>5132.742</v>
      </c>
      <c r="H297" s="8">
        <f t="shared" si="32"/>
        <v>30.20325997</v>
      </c>
      <c r="I297" s="5" t="s">
        <v>84</v>
      </c>
      <c r="J297" s="2" t="s">
        <v>280</v>
      </c>
      <c r="K297" s="2" t="s">
        <v>273</v>
      </c>
    </row>
    <row r="298" ht="13.5" customHeight="1">
      <c r="A298" s="2" t="s">
        <v>106</v>
      </c>
      <c r="B298" s="20">
        <v>85.0</v>
      </c>
      <c r="C298" s="11"/>
      <c r="D298" s="11"/>
      <c r="E298" s="10">
        <v>0.06666666666666667</v>
      </c>
      <c r="F298" s="18">
        <f>IFERROR(__xludf.DUMMYFUNCTION("GOOGLEFINANCE(A298,""price"")"),49.01)</f>
        <v>49.01</v>
      </c>
      <c r="G298" s="7">
        <f t="shared" si="31"/>
        <v>5132.742</v>
      </c>
      <c r="H298" s="8">
        <f t="shared" si="32"/>
        <v>104.7284636</v>
      </c>
      <c r="I298" s="5" t="s">
        <v>84</v>
      </c>
      <c r="J298" s="2" t="s">
        <v>281</v>
      </c>
      <c r="K298" s="2" t="s">
        <v>273</v>
      </c>
    </row>
    <row r="299" ht="13.5" customHeight="1">
      <c r="A299" s="2" t="s">
        <v>282</v>
      </c>
      <c r="B299" s="20">
        <v>85.0</v>
      </c>
      <c r="C299" s="11"/>
      <c r="D299" s="11"/>
      <c r="E299" s="10">
        <v>0.06666666666666667</v>
      </c>
      <c r="F299" s="18">
        <f>IFERROR(__xludf.DUMMYFUNCTION("GOOGLEFINANCE(A299,""price"")"),223.49)</f>
        <v>223.49</v>
      </c>
      <c r="G299" s="7">
        <f t="shared" si="31"/>
        <v>5132.742</v>
      </c>
      <c r="H299" s="8">
        <f t="shared" si="32"/>
        <v>22.96631617</v>
      </c>
      <c r="I299" s="5" t="s">
        <v>84</v>
      </c>
      <c r="J299" s="2" t="s">
        <v>283</v>
      </c>
      <c r="K299" s="2" t="s">
        <v>273</v>
      </c>
    </row>
    <row r="300" ht="13.5" customHeight="1">
      <c r="A300" s="2" t="s">
        <v>23</v>
      </c>
      <c r="B300" s="20">
        <v>85.0</v>
      </c>
      <c r="D300" s="11"/>
      <c r="E300" s="10">
        <v>0.06666666666666667</v>
      </c>
      <c r="F300" s="18">
        <f>IFERROR(__xludf.DUMMYFUNCTION("GOOGLEFINANCE(A300,""price"")"),49.97)</f>
        <v>49.97</v>
      </c>
      <c r="G300" s="7">
        <f t="shared" si="31"/>
        <v>5132.742</v>
      </c>
      <c r="H300" s="8">
        <f t="shared" si="32"/>
        <v>102.7164699</v>
      </c>
      <c r="I300" s="5" t="s">
        <v>84</v>
      </c>
      <c r="J300" s="2" t="s">
        <v>284</v>
      </c>
      <c r="K300" s="2" t="s">
        <v>273</v>
      </c>
    </row>
    <row r="305">
      <c r="A305" s="5" t="s">
        <v>4</v>
      </c>
      <c r="B305" s="5" t="s">
        <v>5</v>
      </c>
      <c r="C305" s="5"/>
      <c r="D305" s="5" t="s">
        <v>6</v>
      </c>
      <c r="E305" s="5" t="s">
        <v>7</v>
      </c>
      <c r="F305" s="2" t="s">
        <v>8</v>
      </c>
      <c r="G305" s="2" t="s">
        <v>9</v>
      </c>
      <c r="H305" s="2" t="s">
        <v>10</v>
      </c>
      <c r="I305" s="5"/>
      <c r="J305" s="21">
        <v>76073.86</v>
      </c>
      <c r="K305" s="1"/>
    </row>
    <row r="306">
      <c r="A306" s="19" t="s">
        <v>182</v>
      </c>
      <c r="B306" s="20">
        <v>90.0</v>
      </c>
      <c r="E306" s="10">
        <v>0.06666666666666667</v>
      </c>
      <c r="F306" s="18">
        <f>IFERROR(__xludf.DUMMYFUNCTION("GOOGLEFINANCE(A306,""price"")"),215.22)</f>
        <v>215.22</v>
      </c>
      <c r="G306" s="7">
        <f t="shared" ref="G306:G320" si="33">E306*$J$305</f>
        <v>5071.590667</v>
      </c>
      <c r="H306" s="8">
        <f t="shared" ref="H306:H320" si="34">G306/F306</f>
        <v>23.5646811</v>
      </c>
      <c r="I306" s="24">
        <v>45658.0</v>
      </c>
      <c r="K306" s="2" t="s">
        <v>285</v>
      </c>
      <c r="L306" s="19"/>
      <c r="M306" s="20"/>
      <c r="Q306" s="19" t="s">
        <v>182</v>
      </c>
      <c r="R306" s="2" t="s">
        <v>285</v>
      </c>
      <c r="U306" s="10"/>
      <c r="V306" s="18"/>
      <c r="W306" s="7"/>
      <c r="X306" s="8"/>
      <c r="Y306" s="24"/>
    </row>
    <row r="307">
      <c r="A307" s="19" t="s">
        <v>53</v>
      </c>
      <c r="B307" s="20">
        <v>90.0</v>
      </c>
      <c r="E307" s="10">
        <v>0.06666666666666667</v>
      </c>
      <c r="F307" s="18">
        <f>IFERROR(__xludf.DUMMYFUNCTION("GOOGLEFINANCE(A307,""price"")"),272.68)</f>
        <v>272.68</v>
      </c>
      <c r="G307" s="7">
        <f t="shared" si="33"/>
        <v>5071.590667</v>
      </c>
      <c r="H307" s="8">
        <f t="shared" si="34"/>
        <v>18.59905628</v>
      </c>
      <c r="I307" s="24">
        <v>45658.0</v>
      </c>
      <c r="K307" s="2" t="s">
        <v>286</v>
      </c>
      <c r="L307" s="19"/>
      <c r="M307" s="20"/>
      <c r="Q307" s="19" t="s">
        <v>53</v>
      </c>
      <c r="R307" s="2" t="s">
        <v>286</v>
      </c>
      <c r="U307" s="10"/>
      <c r="V307" s="18"/>
      <c r="W307" s="7"/>
      <c r="X307" s="8"/>
      <c r="Y307" s="24"/>
    </row>
    <row r="308">
      <c r="A308" s="19" t="s">
        <v>184</v>
      </c>
      <c r="B308" s="20">
        <v>90.0</v>
      </c>
      <c r="E308" s="10">
        <v>0.06666666666666667</v>
      </c>
      <c r="F308" s="18">
        <f>IFERROR(__xludf.DUMMYFUNCTION("GOOGLEFINANCE(A308,""price"")"),400.71)</f>
        <v>400.71</v>
      </c>
      <c r="G308" s="7">
        <f t="shared" si="33"/>
        <v>5071.590667</v>
      </c>
      <c r="H308" s="8">
        <f t="shared" si="34"/>
        <v>12.65651136</v>
      </c>
      <c r="I308" s="24">
        <v>45658.0</v>
      </c>
      <c r="K308" s="2" t="s">
        <v>285</v>
      </c>
      <c r="L308" s="19"/>
      <c r="M308" s="20"/>
      <c r="Q308" s="19" t="s">
        <v>184</v>
      </c>
      <c r="R308" s="2" t="s">
        <v>285</v>
      </c>
      <c r="U308" s="10"/>
      <c r="V308" s="18"/>
      <c r="W308" s="7"/>
      <c r="X308" s="8"/>
      <c r="Y308" s="24"/>
    </row>
    <row r="309">
      <c r="A309" s="19" t="s">
        <v>185</v>
      </c>
      <c r="B309" s="20">
        <v>90.0</v>
      </c>
      <c r="E309" s="10">
        <v>0.06666666666666667</v>
      </c>
      <c r="F309" s="18">
        <f>IFERROR(__xludf.DUMMYFUNCTION("GOOGLEFINANCE(A309,""price"")"),430.0)</f>
        <v>430</v>
      </c>
      <c r="G309" s="7">
        <f t="shared" si="33"/>
        <v>5071.590667</v>
      </c>
      <c r="H309" s="8">
        <f t="shared" si="34"/>
        <v>11.7943969</v>
      </c>
      <c r="I309" s="24">
        <v>45658.0</v>
      </c>
      <c r="K309" s="2" t="s">
        <v>273</v>
      </c>
      <c r="L309" s="19"/>
      <c r="M309" s="20"/>
      <c r="Q309" s="19" t="s">
        <v>185</v>
      </c>
      <c r="R309" s="2" t="s">
        <v>273</v>
      </c>
      <c r="U309" s="10"/>
      <c r="V309" s="18"/>
      <c r="W309" s="7"/>
      <c r="X309" s="8"/>
      <c r="Y309" s="24"/>
    </row>
    <row r="310">
      <c r="A310" s="19" t="s">
        <v>16</v>
      </c>
      <c r="B310" s="20">
        <v>90.0</v>
      </c>
      <c r="E310" s="10">
        <v>0.06666666666666667</v>
      </c>
      <c r="F310" s="18">
        <f>IFERROR(__xludf.DUMMYFUNCTION("GOOGLEFINANCE(A310,""price"")"),181.82)</f>
        <v>181.82</v>
      </c>
      <c r="G310" s="7">
        <f t="shared" si="33"/>
        <v>5071.590667</v>
      </c>
      <c r="H310" s="8">
        <f t="shared" si="34"/>
        <v>27.89346973</v>
      </c>
      <c r="I310" s="24">
        <v>45658.0</v>
      </c>
      <c r="K310" s="2" t="s">
        <v>273</v>
      </c>
      <c r="L310" s="19"/>
      <c r="M310" s="20"/>
      <c r="Q310" s="19" t="s">
        <v>16</v>
      </c>
      <c r="R310" s="2" t="s">
        <v>273</v>
      </c>
      <c r="U310" s="10"/>
      <c r="V310" s="18"/>
      <c r="W310" s="7"/>
      <c r="X310" s="8"/>
      <c r="Y310" s="24"/>
    </row>
    <row r="311">
      <c r="A311" s="19" t="s">
        <v>239</v>
      </c>
      <c r="B311" s="20">
        <v>90.0</v>
      </c>
      <c r="E311" s="10">
        <v>0.06666666666666667</v>
      </c>
      <c r="F311" s="18">
        <f>IFERROR(__xludf.DUMMYFUNCTION("GOOGLEFINANCE(A311,""price"")"),455.19)</f>
        <v>455.19</v>
      </c>
      <c r="G311" s="7">
        <f t="shared" si="33"/>
        <v>5071.590667</v>
      </c>
      <c r="H311" s="8">
        <f t="shared" si="34"/>
        <v>11.14170054</v>
      </c>
      <c r="I311" s="24">
        <v>45658.0</v>
      </c>
      <c r="K311" s="2" t="s">
        <v>273</v>
      </c>
      <c r="L311" s="19"/>
      <c r="M311" s="20"/>
      <c r="Q311" s="19" t="s">
        <v>239</v>
      </c>
      <c r="R311" s="2" t="s">
        <v>273</v>
      </c>
      <c r="U311" s="10"/>
      <c r="V311" s="18"/>
      <c r="W311" s="7"/>
      <c r="X311" s="8"/>
      <c r="Y311" s="24"/>
    </row>
    <row r="312">
      <c r="A312" s="19" t="s">
        <v>197</v>
      </c>
      <c r="B312" s="20">
        <v>90.0</v>
      </c>
      <c r="E312" s="10">
        <v>0.06666666666666667</v>
      </c>
      <c r="F312" s="18">
        <f>IFERROR(__xludf.DUMMYFUNCTION("GOOGLEFINANCE(A312,""price"")"),171.16)</f>
        <v>171.16</v>
      </c>
      <c r="G312" s="7">
        <f t="shared" si="33"/>
        <v>5071.590667</v>
      </c>
      <c r="H312" s="8">
        <f t="shared" si="34"/>
        <v>29.63070032</v>
      </c>
      <c r="I312" s="24">
        <v>45658.0</v>
      </c>
      <c r="K312" s="2" t="s">
        <v>273</v>
      </c>
      <c r="L312" s="19"/>
      <c r="M312" s="20"/>
      <c r="Q312" s="19" t="s">
        <v>197</v>
      </c>
      <c r="R312" s="2" t="s">
        <v>273</v>
      </c>
      <c r="U312" s="10"/>
      <c r="V312" s="18"/>
      <c r="W312" s="7"/>
      <c r="X312" s="8"/>
      <c r="Y312" s="24"/>
    </row>
    <row r="313">
      <c r="A313" s="19" t="s">
        <v>141</v>
      </c>
      <c r="B313" s="20">
        <v>90.0</v>
      </c>
      <c r="E313" s="10">
        <v>0.06666666666666667</v>
      </c>
      <c r="F313" s="18">
        <f>IFERROR(__xludf.DUMMYFUNCTION("GOOGLEFINANCE(A313,""price"")"),194.0)</f>
        <v>194</v>
      </c>
      <c r="G313" s="7">
        <f t="shared" si="33"/>
        <v>5071.590667</v>
      </c>
      <c r="H313" s="8">
        <f t="shared" si="34"/>
        <v>26.14221993</v>
      </c>
      <c r="I313" s="24">
        <v>45658.0</v>
      </c>
      <c r="K313" s="2" t="s">
        <v>273</v>
      </c>
      <c r="L313" s="19"/>
      <c r="M313" s="20"/>
      <c r="Q313" s="19" t="s">
        <v>141</v>
      </c>
      <c r="R313" s="2" t="s">
        <v>273</v>
      </c>
      <c r="U313" s="10"/>
      <c r="V313" s="18"/>
      <c r="W313" s="7"/>
      <c r="X313" s="8"/>
      <c r="Y313" s="24"/>
    </row>
    <row r="314">
      <c r="A314" s="19" t="s">
        <v>287</v>
      </c>
      <c r="B314" s="20">
        <v>90.0</v>
      </c>
      <c r="E314" s="10">
        <v>0.06666666666666667</v>
      </c>
      <c r="F314" s="18">
        <f>IFERROR(__xludf.DUMMYFUNCTION("GOOGLEFINANCE(A314,""price"")"),128.03)</f>
        <v>128.03</v>
      </c>
      <c r="G314" s="7">
        <f t="shared" si="33"/>
        <v>5071.590667</v>
      </c>
      <c r="H314" s="8">
        <f t="shared" si="34"/>
        <v>39.6125179</v>
      </c>
      <c r="I314" s="24">
        <v>45658.0</v>
      </c>
      <c r="K314" s="2" t="s">
        <v>273</v>
      </c>
      <c r="L314" s="19"/>
      <c r="M314" s="20"/>
      <c r="Q314" s="19" t="s">
        <v>287</v>
      </c>
      <c r="R314" s="2" t="s">
        <v>273</v>
      </c>
      <c r="U314" s="10"/>
      <c r="V314" s="18"/>
      <c r="W314" s="7"/>
      <c r="X314" s="8"/>
      <c r="Y314" s="24"/>
    </row>
    <row r="315">
      <c r="A315" s="19" t="s">
        <v>14</v>
      </c>
      <c r="B315" s="20">
        <v>90.0</v>
      </c>
      <c r="E315" s="10">
        <v>0.06666666666666667</v>
      </c>
      <c r="F315" s="18">
        <f>IFERROR(__xludf.DUMMYFUNCTION("GOOGLEFINANCE(A315,""price"")"),714.89)</f>
        <v>714.89</v>
      </c>
      <c r="G315" s="7">
        <f t="shared" si="33"/>
        <v>5071.590667</v>
      </c>
      <c r="H315" s="8">
        <f t="shared" si="34"/>
        <v>7.094225219</v>
      </c>
      <c r="I315" s="24">
        <v>45658.0</v>
      </c>
      <c r="K315" s="2" t="s">
        <v>273</v>
      </c>
      <c r="L315" s="19"/>
      <c r="M315" s="20"/>
      <c r="Q315" s="19" t="s">
        <v>14</v>
      </c>
      <c r="R315" s="2" t="s">
        <v>273</v>
      </c>
      <c r="U315" s="10"/>
      <c r="V315" s="18"/>
      <c r="W315" s="7"/>
      <c r="X315" s="8"/>
      <c r="Y315" s="24"/>
    </row>
    <row r="316" ht="21.0" customHeight="1">
      <c r="A316" s="2" t="s">
        <v>204</v>
      </c>
      <c r="B316" s="20">
        <v>85.0</v>
      </c>
      <c r="C316" s="11"/>
      <c r="D316" s="11"/>
      <c r="E316" s="10">
        <v>0.06666666666666667</v>
      </c>
      <c r="F316" s="18">
        <f>IFERROR(__xludf.DUMMYFUNCTION("GOOGLEFINANCE(A316,""price"")"),711.06)</f>
        <v>711.06</v>
      </c>
      <c r="G316" s="7">
        <f t="shared" si="33"/>
        <v>5071.590667</v>
      </c>
      <c r="H316" s="8">
        <f t="shared" si="34"/>
        <v>7.132437019</v>
      </c>
      <c r="I316" s="24">
        <v>45658.0</v>
      </c>
      <c r="J316" s="2" t="s">
        <v>288</v>
      </c>
      <c r="K316" s="2" t="s">
        <v>285</v>
      </c>
      <c r="L316" s="19"/>
      <c r="M316" s="20"/>
      <c r="Q316" s="2" t="s">
        <v>204</v>
      </c>
      <c r="R316" s="2" t="s">
        <v>285</v>
      </c>
      <c r="S316" s="11"/>
      <c r="T316" s="11"/>
      <c r="U316" s="10"/>
      <c r="V316" s="18"/>
      <c r="W316" s="7"/>
      <c r="X316" s="8"/>
      <c r="Y316" s="24"/>
    </row>
    <row r="317" ht="21.0" customHeight="1">
      <c r="A317" s="2" t="s">
        <v>110</v>
      </c>
      <c r="B317" s="20">
        <v>85.0</v>
      </c>
      <c r="C317" s="11"/>
      <c r="D317" s="11"/>
      <c r="E317" s="10">
        <v>0.06666666666666667</v>
      </c>
      <c r="F317" s="18">
        <f>IFERROR(__xludf.DUMMYFUNCTION("GOOGLEFINANCE(A317,""price"")"),566.54)</f>
        <v>566.54</v>
      </c>
      <c r="G317" s="7">
        <f t="shared" si="33"/>
        <v>5071.590667</v>
      </c>
      <c r="H317" s="8">
        <f t="shared" si="34"/>
        <v>8.951866888</v>
      </c>
      <c r="I317" s="24">
        <v>45658.0</v>
      </c>
      <c r="J317" s="2" t="s">
        <v>289</v>
      </c>
      <c r="Q317" s="2" t="s">
        <v>110</v>
      </c>
      <c r="R317" s="2" t="s">
        <v>286</v>
      </c>
      <c r="S317" s="11"/>
      <c r="T317" s="11"/>
      <c r="U317" s="10"/>
      <c r="V317" s="18"/>
      <c r="W317" s="7"/>
      <c r="X317" s="8"/>
      <c r="Y317" s="24"/>
    </row>
    <row r="318" ht="21.0" customHeight="1">
      <c r="A318" s="2" t="s">
        <v>204</v>
      </c>
      <c r="B318" s="20">
        <v>85.0</v>
      </c>
      <c r="C318" s="11"/>
      <c r="D318" s="11"/>
      <c r="E318" s="10">
        <v>0.06666666666666667</v>
      </c>
      <c r="F318" s="18">
        <f>IFERROR(__xludf.DUMMYFUNCTION("GOOGLEFINANCE(A318,""price"")"),711.06)</f>
        <v>711.06</v>
      </c>
      <c r="G318" s="7">
        <f t="shared" si="33"/>
        <v>5071.590667</v>
      </c>
      <c r="H318" s="8">
        <f t="shared" si="34"/>
        <v>7.132437019</v>
      </c>
      <c r="I318" s="24">
        <v>45658.0</v>
      </c>
      <c r="J318" s="2" t="s">
        <v>290</v>
      </c>
      <c r="Q318" s="2" t="s">
        <v>204</v>
      </c>
      <c r="S318" s="11"/>
      <c r="T318" s="11"/>
      <c r="U318" s="10"/>
      <c r="V318" s="18"/>
      <c r="W318" s="7"/>
      <c r="X318" s="8"/>
      <c r="Y318" s="24"/>
    </row>
    <row r="319" ht="21.0" customHeight="1">
      <c r="A319" s="2" t="s">
        <v>74</v>
      </c>
      <c r="B319" s="20">
        <v>85.0</v>
      </c>
      <c r="C319" s="11"/>
      <c r="D319" s="11"/>
      <c r="E319" s="10">
        <v>0.06666666666666667</v>
      </c>
      <c r="F319" s="23">
        <v>25.59</v>
      </c>
      <c r="G319" s="7">
        <f t="shared" si="33"/>
        <v>5071.590667</v>
      </c>
      <c r="H319" s="8">
        <f t="shared" si="34"/>
        <v>198.186427</v>
      </c>
      <c r="I319" s="24">
        <v>45658.0</v>
      </c>
      <c r="J319" s="2" t="s">
        <v>291</v>
      </c>
      <c r="Q319" s="2" t="s">
        <v>74</v>
      </c>
      <c r="R319" s="2" t="s">
        <v>286</v>
      </c>
      <c r="S319" s="11"/>
      <c r="T319" s="11"/>
      <c r="U319" s="10"/>
      <c r="V319" s="23"/>
      <c r="W319" s="7"/>
      <c r="X319" s="8"/>
      <c r="Y319" s="24"/>
    </row>
    <row r="320" ht="21.0" customHeight="1">
      <c r="A320" s="2" t="s">
        <v>174</v>
      </c>
      <c r="B320" s="20">
        <v>85.0</v>
      </c>
      <c r="D320" s="11"/>
      <c r="E320" s="10">
        <v>0.06666666666666667</v>
      </c>
      <c r="F320" s="18">
        <f>IFERROR(__xludf.DUMMYFUNCTION("GOOGLEFINANCE(A320,""price"")"),169.94)</f>
        <v>169.94</v>
      </c>
      <c r="G320" s="7">
        <f t="shared" si="33"/>
        <v>5071.590667</v>
      </c>
      <c r="H320" s="8">
        <f t="shared" si="34"/>
        <v>29.84341925</v>
      </c>
      <c r="I320" s="24">
        <v>45658.0</v>
      </c>
      <c r="J320" s="2" t="s">
        <v>292</v>
      </c>
      <c r="K320" s="2" t="s">
        <v>285</v>
      </c>
      <c r="Q320" s="2" t="s">
        <v>174</v>
      </c>
      <c r="R320" s="2" t="s">
        <v>285</v>
      </c>
      <c r="T320" s="11"/>
      <c r="U320" s="10"/>
      <c r="V320" s="18"/>
      <c r="W320" s="7"/>
      <c r="X320" s="8"/>
      <c r="Y320" s="24"/>
    </row>
    <row r="323">
      <c r="A323" s="19" t="s">
        <v>46</v>
      </c>
      <c r="B323" s="20">
        <v>85.0</v>
      </c>
      <c r="C323" s="2" t="s">
        <v>293</v>
      </c>
    </row>
    <row r="324">
      <c r="A324" s="19" t="s">
        <v>99</v>
      </c>
      <c r="B324" s="20">
        <v>85.0</v>
      </c>
      <c r="C324" s="2" t="s">
        <v>293</v>
      </c>
    </row>
    <row r="325">
      <c r="A325" s="19" t="s">
        <v>274</v>
      </c>
      <c r="B325" s="20">
        <v>85.0</v>
      </c>
      <c r="C325" s="2" t="s">
        <v>293</v>
      </c>
    </row>
    <row r="326">
      <c r="A326" s="19" t="s">
        <v>241</v>
      </c>
      <c r="B326" s="20">
        <v>85.0</v>
      </c>
      <c r="C326" s="2" t="s">
        <v>293</v>
      </c>
    </row>
    <row r="327">
      <c r="A327" s="19" t="s">
        <v>294</v>
      </c>
      <c r="B327" s="20">
        <v>85.0</v>
      </c>
      <c r="C327" s="2" t="s">
        <v>293</v>
      </c>
    </row>
    <row r="328">
      <c r="A328" s="19" t="s">
        <v>295</v>
      </c>
      <c r="B328" s="20">
        <v>85.0</v>
      </c>
      <c r="C328" s="25">
        <v>45706.0</v>
      </c>
    </row>
    <row r="329">
      <c r="A329" s="19" t="s">
        <v>130</v>
      </c>
      <c r="B329" s="20">
        <v>85.0</v>
      </c>
      <c r="C329" s="25">
        <v>45699.0</v>
      </c>
    </row>
    <row r="330">
      <c r="A330" s="19" t="s">
        <v>296</v>
      </c>
      <c r="B330" s="20">
        <v>85.0</v>
      </c>
      <c r="C330" s="25">
        <v>45694.0</v>
      </c>
      <c r="D330" s="2" t="s">
        <v>297</v>
      </c>
    </row>
    <row r="331">
      <c r="A331" s="19" t="s">
        <v>298</v>
      </c>
      <c r="B331" s="20">
        <v>85.0</v>
      </c>
      <c r="C331" s="25">
        <v>45701.0</v>
      </c>
      <c r="D331" s="2" t="s">
        <v>299</v>
      </c>
    </row>
    <row r="332">
      <c r="A332" s="19" t="s">
        <v>300</v>
      </c>
      <c r="B332" s="20">
        <v>85.0</v>
      </c>
      <c r="C332" s="25">
        <v>45693.0</v>
      </c>
      <c r="D332" s="2" t="s">
        <v>299</v>
      </c>
    </row>
    <row r="333">
      <c r="A333" s="2" t="s">
        <v>114</v>
      </c>
      <c r="B333" s="2">
        <v>75.0</v>
      </c>
      <c r="C333" s="2" t="s">
        <v>301</v>
      </c>
    </row>
    <row r="334">
      <c r="A334" s="2" t="s">
        <v>31</v>
      </c>
      <c r="B334" s="2">
        <v>75.0</v>
      </c>
      <c r="C334" s="2" t="s">
        <v>24</v>
      </c>
    </row>
    <row r="335">
      <c r="A335" s="2" t="s">
        <v>106</v>
      </c>
      <c r="B335" s="2">
        <v>75.0</v>
      </c>
      <c r="C335" s="2" t="s">
        <v>302</v>
      </c>
    </row>
    <row r="336">
      <c r="A336" s="2" t="s">
        <v>160</v>
      </c>
      <c r="B336" s="2">
        <v>75.0</v>
      </c>
      <c r="C336" s="2" t="s">
        <v>303</v>
      </c>
    </row>
    <row r="337">
      <c r="A337" s="2" t="s">
        <v>247</v>
      </c>
      <c r="B337" s="2">
        <v>75.0</v>
      </c>
      <c r="C337" s="2" t="s">
        <v>304</v>
      </c>
    </row>
    <row r="340">
      <c r="A340" s="19" t="s">
        <v>182</v>
      </c>
      <c r="B340" s="20">
        <v>85.0</v>
      </c>
      <c r="D340" s="2" t="s">
        <v>305</v>
      </c>
    </row>
    <row r="341">
      <c r="A341" s="19" t="s">
        <v>53</v>
      </c>
      <c r="B341" s="20">
        <v>85.0</v>
      </c>
      <c r="D341" s="2" t="s">
        <v>306</v>
      </c>
    </row>
    <row r="342">
      <c r="A342" s="19" t="s">
        <v>184</v>
      </c>
      <c r="B342" s="20">
        <v>85.0</v>
      </c>
      <c r="D342" s="2" t="s">
        <v>307</v>
      </c>
    </row>
    <row r="343">
      <c r="A343" s="19" t="s">
        <v>46</v>
      </c>
      <c r="B343" s="20">
        <v>85.0</v>
      </c>
    </row>
    <row r="344">
      <c r="A344" s="19" t="s">
        <v>180</v>
      </c>
      <c r="B344" s="20">
        <v>85.0</v>
      </c>
    </row>
    <row r="345">
      <c r="A345" s="19" t="s">
        <v>21</v>
      </c>
      <c r="B345" s="20">
        <v>85.0</v>
      </c>
      <c r="C345" s="25"/>
    </row>
    <row r="346">
      <c r="A346" s="19" t="s">
        <v>57</v>
      </c>
      <c r="B346" s="20">
        <v>85.0</v>
      </c>
      <c r="C346" s="25"/>
    </row>
    <row r="347">
      <c r="A347" s="19" t="s">
        <v>19</v>
      </c>
      <c r="B347" s="20">
        <v>85.0</v>
      </c>
      <c r="C347" s="25"/>
    </row>
    <row r="348">
      <c r="A348" s="19" t="s">
        <v>37</v>
      </c>
      <c r="B348" s="20">
        <v>85.0</v>
      </c>
      <c r="C348" s="25"/>
    </row>
    <row r="349">
      <c r="A349" s="19" t="s">
        <v>187</v>
      </c>
      <c r="B349" s="20">
        <v>85.0</v>
      </c>
      <c r="C349" s="25"/>
    </row>
    <row r="350" ht="12.75" customHeight="1">
      <c r="A350" s="2" t="s">
        <v>174</v>
      </c>
      <c r="B350" s="2">
        <v>75.0</v>
      </c>
      <c r="C350" s="19" t="s">
        <v>173</v>
      </c>
      <c r="D350" s="2" t="s">
        <v>308</v>
      </c>
    </row>
    <row r="351" ht="12.75" customHeight="1">
      <c r="A351" s="2" t="s">
        <v>271</v>
      </c>
      <c r="B351" s="2">
        <v>75.0</v>
      </c>
      <c r="C351" s="19" t="s">
        <v>309</v>
      </c>
      <c r="D351" s="2" t="s">
        <v>310</v>
      </c>
    </row>
    <row r="352" ht="12.75" customHeight="1">
      <c r="A352" s="2" t="s">
        <v>118</v>
      </c>
      <c r="B352" s="2">
        <v>75.0</v>
      </c>
      <c r="C352" s="19" t="s">
        <v>107</v>
      </c>
      <c r="D352" s="2" t="s">
        <v>311</v>
      </c>
    </row>
    <row r="353" ht="12.75" customHeight="1">
      <c r="A353" s="2" t="s">
        <v>160</v>
      </c>
      <c r="B353" s="2">
        <v>75.0</v>
      </c>
      <c r="C353" s="19" t="s">
        <v>312</v>
      </c>
      <c r="D353" s="2" t="s">
        <v>313</v>
      </c>
    </row>
    <row r="354" ht="12.75" customHeight="1">
      <c r="A354" s="2" t="s">
        <v>235</v>
      </c>
      <c r="B354" s="2">
        <v>75.0</v>
      </c>
      <c r="C354" s="19" t="s">
        <v>314</v>
      </c>
      <c r="D354" s="2" t="s">
        <v>315</v>
      </c>
    </row>
    <row r="367">
      <c r="A367" s="26">
        <v>45778.0</v>
      </c>
    </row>
    <row r="368">
      <c r="A368" s="27" t="s">
        <v>316</v>
      </c>
      <c r="B368" s="27" t="s">
        <v>317</v>
      </c>
      <c r="C368" s="27" t="s">
        <v>318</v>
      </c>
      <c r="D368" s="27" t="s">
        <v>319</v>
      </c>
      <c r="E368" s="27" t="s">
        <v>320</v>
      </c>
      <c r="F368" s="27" t="s">
        <v>321</v>
      </c>
      <c r="G368" s="5" t="s">
        <v>11</v>
      </c>
    </row>
    <row r="369">
      <c r="A369" s="28" t="s">
        <v>322</v>
      </c>
      <c r="B369" s="29">
        <v>0.12</v>
      </c>
      <c r="C369" s="28" t="s">
        <v>323</v>
      </c>
      <c r="D369" s="28" t="s">
        <v>324</v>
      </c>
      <c r="E369" s="28" t="s">
        <v>325</v>
      </c>
      <c r="F369" s="28" t="s">
        <v>326</v>
      </c>
      <c r="G369" s="26">
        <v>45778.0</v>
      </c>
    </row>
    <row r="370">
      <c r="A370" s="28" t="s">
        <v>183</v>
      </c>
      <c r="B370" s="29">
        <v>0.11</v>
      </c>
      <c r="C370" s="28" t="s">
        <v>327</v>
      </c>
      <c r="D370" s="28" t="s">
        <v>328</v>
      </c>
      <c r="E370" s="28" t="s">
        <v>329</v>
      </c>
      <c r="F370" s="28" t="s">
        <v>330</v>
      </c>
      <c r="G370" s="26">
        <v>45778.0</v>
      </c>
    </row>
    <row r="371">
      <c r="A371" s="28" t="s">
        <v>253</v>
      </c>
      <c r="B371" s="29">
        <v>0.09</v>
      </c>
      <c r="C371" s="28" t="s">
        <v>327</v>
      </c>
      <c r="D371" s="28" t="s">
        <v>331</v>
      </c>
      <c r="E371" s="28" t="s">
        <v>332</v>
      </c>
      <c r="F371" s="28" t="s">
        <v>333</v>
      </c>
      <c r="G371" s="26">
        <v>45778.0</v>
      </c>
    </row>
    <row r="372">
      <c r="A372" s="28" t="s">
        <v>46</v>
      </c>
      <c r="B372" s="29">
        <v>0.1</v>
      </c>
      <c r="C372" s="28" t="s">
        <v>327</v>
      </c>
      <c r="D372" s="28" t="s">
        <v>334</v>
      </c>
      <c r="E372" s="28" t="s">
        <v>335</v>
      </c>
      <c r="F372" s="28" t="s">
        <v>336</v>
      </c>
      <c r="G372" s="26">
        <v>45778.0</v>
      </c>
    </row>
    <row r="373">
      <c r="A373" s="28" t="s">
        <v>337</v>
      </c>
      <c r="B373" s="29">
        <v>0.07</v>
      </c>
      <c r="C373" s="28" t="s">
        <v>338</v>
      </c>
      <c r="D373" s="28" t="s">
        <v>339</v>
      </c>
      <c r="E373" s="28" t="s">
        <v>340</v>
      </c>
      <c r="F373" s="28" t="s">
        <v>341</v>
      </c>
      <c r="G373" s="26">
        <v>45778.0</v>
      </c>
    </row>
    <row r="374">
      <c r="A374" s="28" t="s">
        <v>342</v>
      </c>
      <c r="B374" s="29">
        <v>0.05</v>
      </c>
      <c r="C374" s="28" t="s">
        <v>327</v>
      </c>
      <c r="D374" s="28" t="s">
        <v>343</v>
      </c>
      <c r="E374" s="28" t="s">
        <v>344</v>
      </c>
      <c r="F374" s="28" t="s">
        <v>345</v>
      </c>
      <c r="G374" s="26">
        <v>45778.0</v>
      </c>
    </row>
    <row r="375">
      <c r="A375" s="28" t="s">
        <v>51</v>
      </c>
      <c r="B375" s="29">
        <v>0.04</v>
      </c>
      <c r="C375" s="28" t="s">
        <v>327</v>
      </c>
      <c r="D375" s="28" t="s">
        <v>346</v>
      </c>
      <c r="E375" s="28" t="s">
        <v>347</v>
      </c>
      <c r="F375" s="28" t="s">
        <v>348</v>
      </c>
      <c r="G375" s="26">
        <v>45778.0</v>
      </c>
    </row>
    <row r="376">
      <c r="A376" s="28" t="s">
        <v>276</v>
      </c>
      <c r="B376" s="29">
        <v>0.04</v>
      </c>
      <c r="C376" s="28" t="s">
        <v>327</v>
      </c>
      <c r="D376" s="28" t="s">
        <v>349</v>
      </c>
      <c r="E376" s="28" t="s">
        <v>350</v>
      </c>
      <c r="F376" s="28" t="s">
        <v>351</v>
      </c>
      <c r="G376" s="26">
        <v>45778.0</v>
      </c>
    </row>
    <row r="377">
      <c r="A377" s="28" t="s">
        <v>21</v>
      </c>
      <c r="B377" s="29">
        <v>0.05</v>
      </c>
      <c r="C377" s="28" t="s">
        <v>327</v>
      </c>
      <c r="D377" s="28" t="s">
        <v>352</v>
      </c>
      <c r="E377" s="28" t="s">
        <v>353</v>
      </c>
      <c r="F377" s="28" t="s">
        <v>354</v>
      </c>
      <c r="G377" s="26">
        <v>45778.0</v>
      </c>
    </row>
    <row r="378">
      <c r="A378" s="28" t="s">
        <v>355</v>
      </c>
      <c r="B378" s="29">
        <v>0.04</v>
      </c>
      <c r="C378" s="28" t="s">
        <v>327</v>
      </c>
      <c r="D378" s="28" t="s">
        <v>356</v>
      </c>
      <c r="E378" s="28" t="s">
        <v>357</v>
      </c>
      <c r="F378" s="28" t="s">
        <v>358</v>
      </c>
      <c r="G378" s="26">
        <v>45778.0</v>
      </c>
    </row>
    <row r="379">
      <c r="A379" s="28" t="s">
        <v>359</v>
      </c>
      <c r="B379" s="29">
        <v>0.04</v>
      </c>
      <c r="C379" s="28" t="s">
        <v>327</v>
      </c>
      <c r="D379" s="28" t="s">
        <v>360</v>
      </c>
      <c r="E379" s="28" t="s">
        <v>361</v>
      </c>
      <c r="F379" s="28" t="s">
        <v>362</v>
      </c>
      <c r="G379" s="26">
        <v>45778.0</v>
      </c>
    </row>
    <row r="380">
      <c r="A380" s="28" t="s">
        <v>363</v>
      </c>
      <c r="B380" s="29">
        <v>0.05</v>
      </c>
      <c r="C380" s="28" t="s">
        <v>364</v>
      </c>
      <c r="D380" s="28" t="s">
        <v>365</v>
      </c>
      <c r="E380" s="28" t="s">
        <v>366</v>
      </c>
      <c r="F380" s="28" t="s">
        <v>367</v>
      </c>
      <c r="G380" s="26">
        <v>45778.0</v>
      </c>
    </row>
    <row r="381">
      <c r="A381" s="28" t="s">
        <v>368</v>
      </c>
      <c r="B381" s="29">
        <v>0.06</v>
      </c>
      <c r="C381" s="28" t="s">
        <v>369</v>
      </c>
      <c r="D381" s="28" t="s">
        <v>370</v>
      </c>
      <c r="E381" s="28" t="s">
        <v>371</v>
      </c>
      <c r="F381" s="28" t="s">
        <v>372</v>
      </c>
      <c r="G381" s="26">
        <v>45778.0</v>
      </c>
    </row>
    <row r="382">
      <c r="A382" s="28" t="s">
        <v>373</v>
      </c>
      <c r="B382" s="29">
        <v>0.08</v>
      </c>
      <c r="C382" s="28" t="s">
        <v>374</v>
      </c>
      <c r="D382" s="28" t="s">
        <v>375</v>
      </c>
      <c r="E382" s="28" t="s">
        <v>376</v>
      </c>
      <c r="F382" s="28" t="s">
        <v>377</v>
      </c>
      <c r="G382" s="26">
        <v>45778.0</v>
      </c>
    </row>
    <row r="383">
      <c r="A383" s="28" t="s">
        <v>378</v>
      </c>
      <c r="B383" s="29">
        <v>0.06</v>
      </c>
      <c r="C383" s="28" t="s">
        <v>379</v>
      </c>
      <c r="D383" s="28" t="s">
        <v>380</v>
      </c>
      <c r="E383" s="28" t="s">
        <v>381</v>
      </c>
      <c r="F383" s="28" t="s">
        <v>382</v>
      </c>
      <c r="G383" s="26">
        <v>45778.0</v>
      </c>
    </row>
    <row r="384">
      <c r="B384" s="30">
        <f>SUM(B369:B383)</f>
        <v>1</v>
      </c>
    </row>
    <row r="385">
      <c r="C385" s="28"/>
      <c r="D385" s="28"/>
    </row>
    <row r="386">
      <c r="C386" s="28"/>
      <c r="D386" s="28"/>
    </row>
    <row r="387">
      <c r="C387" s="28"/>
      <c r="D387" s="28"/>
    </row>
    <row r="388">
      <c r="A388" s="26">
        <v>45809.0</v>
      </c>
    </row>
    <row r="389">
      <c r="A389" s="27" t="s">
        <v>316</v>
      </c>
      <c r="B389" s="27" t="s">
        <v>317</v>
      </c>
      <c r="C389" s="27" t="s">
        <v>318</v>
      </c>
      <c r="D389" s="27" t="s">
        <v>319</v>
      </c>
      <c r="E389" s="27" t="s">
        <v>320</v>
      </c>
      <c r="F389" s="27" t="s">
        <v>321</v>
      </c>
      <c r="G389" s="5" t="s">
        <v>11</v>
      </c>
    </row>
    <row r="390">
      <c r="A390" s="28" t="s">
        <v>383</v>
      </c>
      <c r="B390" s="31">
        <v>0.1</v>
      </c>
      <c r="C390" s="28" t="s">
        <v>384</v>
      </c>
      <c r="D390" s="28" t="s">
        <v>385</v>
      </c>
      <c r="E390" s="28"/>
      <c r="F390" s="28" t="s">
        <v>386</v>
      </c>
      <c r="G390" s="26">
        <v>45809.0</v>
      </c>
      <c r="H390" s="2" t="s">
        <v>387</v>
      </c>
    </row>
    <row r="391">
      <c r="A391" s="28" t="s">
        <v>388</v>
      </c>
      <c r="B391" s="31">
        <v>0.07</v>
      </c>
      <c r="C391" s="28" t="s">
        <v>327</v>
      </c>
      <c r="D391" s="28" t="s">
        <v>389</v>
      </c>
      <c r="E391" s="28"/>
      <c r="F391" s="28" t="s">
        <v>390</v>
      </c>
      <c r="G391" s="26">
        <v>45809.0</v>
      </c>
      <c r="H391" s="2" t="s">
        <v>286</v>
      </c>
    </row>
    <row r="392">
      <c r="A392" s="28" t="s">
        <v>391</v>
      </c>
      <c r="B392" s="31">
        <v>0.08</v>
      </c>
      <c r="C392" s="28" t="s">
        <v>327</v>
      </c>
      <c r="D392" s="28" t="s">
        <v>392</v>
      </c>
      <c r="E392" s="28"/>
      <c r="F392" s="28" t="s">
        <v>393</v>
      </c>
      <c r="G392" s="26">
        <v>45809.0</v>
      </c>
      <c r="H392" s="2" t="s">
        <v>286</v>
      </c>
    </row>
    <row r="393">
      <c r="A393" s="28" t="s">
        <v>394</v>
      </c>
      <c r="B393" s="31">
        <v>0.05</v>
      </c>
      <c r="C393" s="28" t="s">
        <v>327</v>
      </c>
      <c r="D393" s="28" t="s">
        <v>395</v>
      </c>
      <c r="E393" s="28"/>
      <c r="F393" s="28" t="s">
        <v>396</v>
      </c>
      <c r="G393" s="26">
        <v>45809.0</v>
      </c>
      <c r="H393" s="2" t="s">
        <v>286</v>
      </c>
    </row>
    <row r="394">
      <c r="A394" s="28" t="s">
        <v>278</v>
      </c>
      <c r="B394" s="31">
        <v>0.05</v>
      </c>
      <c r="C394" s="28" t="s">
        <v>327</v>
      </c>
      <c r="D394" s="28" t="s">
        <v>397</v>
      </c>
      <c r="E394" s="28"/>
      <c r="F394" s="28" t="s">
        <v>398</v>
      </c>
      <c r="G394" s="26">
        <v>45809.0</v>
      </c>
      <c r="H394" s="2" t="s">
        <v>286</v>
      </c>
    </row>
    <row r="395">
      <c r="A395" s="28" t="s">
        <v>186</v>
      </c>
      <c r="B395" s="31">
        <v>0.06</v>
      </c>
      <c r="C395" s="28" t="s">
        <v>327</v>
      </c>
      <c r="D395" s="28" t="s">
        <v>399</v>
      </c>
      <c r="E395" s="28"/>
      <c r="F395" s="28" t="s">
        <v>400</v>
      </c>
      <c r="G395" s="26">
        <v>45809.0</v>
      </c>
      <c r="H395" s="2" t="s">
        <v>286</v>
      </c>
    </row>
    <row r="396">
      <c r="A396" s="28" t="s">
        <v>401</v>
      </c>
      <c r="B396" s="31">
        <v>0.07</v>
      </c>
      <c r="C396" s="28" t="s">
        <v>384</v>
      </c>
      <c r="D396" s="28" t="s">
        <v>402</v>
      </c>
      <c r="E396" s="28"/>
      <c r="F396" s="2" t="s">
        <v>403</v>
      </c>
      <c r="G396" s="26">
        <v>45809.0</v>
      </c>
      <c r="H396" s="2" t="s">
        <v>387</v>
      </c>
    </row>
    <row r="397">
      <c r="A397" s="28" t="s">
        <v>404</v>
      </c>
      <c r="B397" s="31">
        <v>0.04</v>
      </c>
      <c r="C397" s="28" t="s">
        <v>327</v>
      </c>
      <c r="D397" s="28" t="s">
        <v>405</v>
      </c>
      <c r="E397" s="28"/>
      <c r="F397" s="28" t="s">
        <v>406</v>
      </c>
      <c r="G397" s="26">
        <v>45809.0</v>
      </c>
      <c r="H397" s="2" t="s">
        <v>286</v>
      </c>
    </row>
    <row r="398">
      <c r="A398" s="28" t="s">
        <v>407</v>
      </c>
      <c r="B398" s="31">
        <v>0.05</v>
      </c>
      <c r="C398" s="28" t="s">
        <v>408</v>
      </c>
      <c r="D398" s="28" t="s">
        <v>409</v>
      </c>
      <c r="E398" s="28"/>
      <c r="F398" s="28" t="s">
        <v>410</v>
      </c>
      <c r="G398" s="26">
        <v>45809.0</v>
      </c>
      <c r="H398" s="2" t="s">
        <v>286</v>
      </c>
    </row>
    <row r="399">
      <c r="A399" s="28" t="s">
        <v>411</v>
      </c>
      <c r="B399" s="31">
        <v>0.09</v>
      </c>
      <c r="C399" s="28" t="s">
        <v>412</v>
      </c>
      <c r="D399" s="28" t="s">
        <v>413</v>
      </c>
      <c r="E399" s="28"/>
      <c r="F399" s="28" t="s">
        <v>414</v>
      </c>
      <c r="G399" s="26">
        <v>45809.0</v>
      </c>
      <c r="H399" s="2" t="s">
        <v>286</v>
      </c>
    </row>
    <row r="400">
      <c r="A400" s="32" t="s">
        <v>415</v>
      </c>
      <c r="B400" s="31">
        <v>0.07</v>
      </c>
      <c r="C400" s="28" t="s">
        <v>416</v>
      </c>
      <c r="D400" s="28" t="s">
        <v>417</v>
      </c>
      <c r="E400" s="28"/>
      <c r="F400" s="28" t="s">
        <v>418</v>
      </c>
      <c r="G400" s="26">
        <v>45809.0</v>
      </c>
      <c r="H400" s="2" t="s">
        <v>387</v>
      </c>
    </row>
    <row r="401">
      <c r="A401" s="28" t="s">
        <v>419</v>
      </c>
      <c r="B401" s="31">
        <v>0.05</v>
      </c>
      <c r="C401" s="28" t="s">
        <v>420</v>
      </c>
      <c r="D401" s="28" t="s">
        <v>421</v>
      </c>
      <c r="E401" s="28"/>
      <c r="F401" s="28" t="s">
        <v>422</v>
      </c>
      <c r="G401" s="26">
        <v>45809.0</v>
      </c>
      <c r="H401" s="2" t="s">
        <v>286</v>
      </c>
    </row>
    <row r="402">
      <c r="A402" s="32" t="s">
        <v>423</v>
      </c>
      <c r="B402" s="31">
        <v>0.04</v>
      </c>
      <c r="C402" s="28" t="s">
        <v>327</v>
      </c>
      <c r="D402" s="28" t="s">
        <v>424</v>
      </c>
      <c r="E402" s="28"/>
      <c r="F402" s="28" t="s">
        <v>425</v>
      </c>
      <c r="G402" s="26">
        <v>45809.0</v>
      </c>
      <c r="H402" s="2" t="s">
        <v>286</v>
      </c>
    </row>
    <row r="403">
      <c r="A403" s="28" t="s">
        <v>426</v>
      </c>
      <c r="B403" s="31">
        <v>0.06</v>
      </c>
      <c r="C403" s="28" t="s">
        <v>327</v>
      </c>
      <c r="D403" s="28" t="s">
        <v>427</v>
      </c>
      <c r="E403" s="28"/>
      <c r="F403" s="28" t="s">
        <v>428</v>
      </c>
      <c r="G403" s="26">
        <v>45809.0</v>
      </c>
      <c r="H403" s="2" t="s">
        <v>286</v>
      </c>
    </row>
    <row r="404">
      <c r="A404" s="28" t="s">
        <v>429</v>
      </c>
      <c r="B404" s="31">
        <v>0.12</v>
      </c>
      <c r="C404" s="28" t="s">
        <v>430</v>
      </c>
      <c r="D404" s="28" t="s">
        <v>431</v>
      </c>
      <c r="E404" s="28"/>
      <c r="F404" s="28" t="s">
        <v>432</v>
      </c>
      <c r="G404" s="26">
        <v>45809.0</v>
      </c>
      <c r="H404" s="2" t="s">
        <v>286</v>
      </c>
    </row>
    <row r="405">
      <c r="B405" s="30">
        <f>SUM(B390:B404)</f>
        <v>1</v>
      </c>
    </row>
    <row r="409">
      <c r="A409" s="26">
        <v>45839.0</v>
      </c>
    </row>
    <row r="410">
      <c r="A410" s="27" t="s">
        <v>433</v>
      </c>
      <c r="B410" s="27" t="s">
        <v>317</v>
      </c>
      <c r="C410" s="27" t="s">
        <v>434</v>
      </c>
      <c r="D410" s="27" t="s">
        <v>435</v>
      </c>
      <c r="E410" s="27" t="s">
        <v>436</v>
      </c>
      <c r="F410" s="27" t="s">
        <v>437</v>
      </c>
      <c r="G410" s="2" t="s">
        <v>11</v>
      </c>
    </row>
    <row r="411">
      <c r="A411" s="28" t="s">
        <v>253</v>
      </c>
      <c r="B411" s="29">
        <v>0.12</v>
      </c>
      <c r="C411" s="28" t="s">
        <v>438</v>
      </c>
      <c r="D411" s="28" t="s">
        <v>439</v>
      </c>
      <c r="E411" s="28" t="s">
        <v>440</v>
      </c>
      <c r="F411" s="28" t="s">
        <v>441</v>
      </c>
      <c r="G411" s="26">
        <v>45839.0</v>
      </c>
      <c r="H411" s="2" t="s">
        <v>286</v>
      </c>
    </row>
    <row r="412">
      <c r="A412" s="28" t="s">
        <v>252</v>
      </c>
      <c r="B412" s="29">
        <v>0.12</v>
      </c>
      <c r="C412" s="28" t="s">
        <v>438</v>
      </c>
      <c r="D412" s="28" t="s">
        <v>442</v>
      </c>
      <c r="E412" s="28" t="s">
        <v>443</v>
      </c>
      <c r="F412" s="28" t="s">
        <v>444</v>
      </c>
      <c r="G412" s="26">
        <v>45839.0</v>
      </c>
      <c r="H412" s="2" t="s">
        <v>286</v>
      </c>
    </row>
    <row r="413">
      <c r="A413" s="28" t="s">
        <v>185</v>
      </c>
      <c r="B413" s="29">
        <v>0.1</v>
      </c>
      <c r="C413" s="28" t="s">
        <v>438</v>
      </c>
      <c r="D413" s="28" t="s">
        <v>445</v>
      </c>
      <c r="E413" s="28" t="s">
        <v>446</v>
      </c>
      <c r="F413" s="28" t="s">
        <v>447</v>
      </c>
      <c r="G413" s="26">
        <v>45839.0</v>
      </c>
      <c r="H413" s="2" t="s">
        <v>286</v>
      </c>
    </row>
    <row r="414">
      <c r="A414" s="28" t="s">
        <v>53</v>
      </c>
      <c r="B414" s="29">
        <v>0.1</v>
      </c>
      <c r="C414" s="28" t="s">
        <v>438</v>
      </c>
      <c r="D414" s="28" t="s">
        <v>448</v>
      </c>
      <c r="E414" s="28" t="s">
        <v>449</v>
      </c>
      <c r="F414" s="28" t="s">
        <v>450</v>
      </c>
      <c r="G414" s="26">
        <v>45839.0</v>
      </c>
      <c r="H414" s="2" t="s">
        <v>387</v>
      </c>
    </row>
    <row r="415">
      <c r="A415" s="28" t="s">
        <v>451</v>
      </c>
      <c r="B415" s="29">
        <v>0.08</v>
      </c>
      <c r="C415" s="28" t="s">
        <v>438</v>
      </c>
      <c r="D415" s="28" t="s">
        <v>452</v>
      </c>
      <c r="E415" s="28" t="s">
        <v>453</v>
      </c>
      <c r="F415" s="28" t="s">
        <v>454</v>
      </c>
      <c r="G415" s="26">
        <v>45839.0</v>
      </c>
      <c r="H415" s="2" t="s">
        <v>387</v>
      </c>
    </row>
    <row r="416">
      <c r="A416" s="28" t="s">
        <v>455</v>
      </c>
      <c r="B416" s="29">
        <v>0.07</v>
      </c>
      <c r="C416" s="28" t="s">
        <v>438</v>
      </c>
      <c r="D416" s="28" t="s">
        <v>456</v>
      </c>
      <c r="E416" s="28" t="s">
        <v>457</v>
      </c>
      <c r="F416" s="28" t="s">
        <v>458</v>
      </c>
      <c r="G416" s="26">
        <v>45839.0</v>
      </c>
      <c r="H416" s="2" t="s">
        <v>286</v>
      </c>
    </row>
    <row r="417">
      <c r="A417" s="28" t="s">
        <v>459</v>
      </c>
      <c r="B417" s="29">
        <v>0.07</v>
      </c>
      <c r="C417" s="28" t="s">
        <v>438</v>
      </c>
      <c r="E417" s="28" t="s">
        <v>460</v>
      </c>
      <c r="F417" s="28" t="s">
        <v>461</v>
      </c>
      <c r="G417" s="26">
        <v>45839.0</v>
      </c>
      <c r="H417" s="2" t="s">
        <v>286</v>
      </c>
    </row>
    <row r="418">
      <c r="A418" s="28" t="s">
        <v>22</v>
      </c>
      <c r="B418" s="29">
        <v>0.05</v>
      </c>
      <c r="C418" s="28" t="s">
        <v>438</v>
      </c>
      <c r="D418" s="28" t="s">
        <v>462</v>
      </c>
      <c r="E418" s="28" t="s">
        <v>463</v>
      </c>
      <c r="F418" s="28" t="s">
        <v>464</v>
      </c>
      <c r="G418" s="26">
        <v>45839.0</v>
      </c>
      <c r="H418" s="2" t="s">
        <v>286</v>
      </c>
    </row>
    <row r="419">
      <c r="A419" s="28" t="s">
        <v>264</v>
      </c>
      <c r="B419" s="29">
        <v>0.05</v>
      </c>
      <c r="C419" s="28" t="s">
        <v>438</v>
      </c>
      <c r="D419" s="28" t="s">
        <v>465</v>
      </c>
      <c r="E419" s="28" t="s">
        <v>466</v>
      </c>
      <c r="F419" s="28" t="s">
        <v>467</v>
      </c>
      <c r="G419" s="26">
        <v>45839.0</v>
      </c>
      <c r="H419" s="2" t="s">
        <v>286</v>
      </c>
    </row>
    <row r="420">
      <c r="A420" s="28" t="s">
        <v>468</v>
      </c>
      <c r="B420" s="29">
        <v>0.05</v>
      </c>
      <c r="C420" s="28" t="s">
        <v>438</v>
      </c>
      <c r="D420" s="28" t="s">
        <v>469</v>
      </c>
      <c r="E420" s="28" t="s">
        <v>470</v>
      </c>
      <c r="F420" s="28" t="s">
        <v>471</v>
      </c>
      <c r="G420" s="26">
        <v>45839.0</v>
      </c>
      <c r="H420" s="2" t="s">
        <v>286</v>
      </c>
    </row>
    <row r="421">
      <c r="A421" s="28" t="s">
        <v>472</v>
      </c>
      <c r="B421" s="29">
        <v>0.04</v>
      </c>
      <c r="C421" s="28" t="s">
        <v>438</v>
      </c>
      <c r="D421" s="28" t="s">
        <v>473</v>
      </c>
      <c r="E421" s="28" t="s">
        <v>474</v>
      </c>
      <c r="F421" s="28" t="s">
        <v>475</v>
      </c>
      <c r="G421" s="26">
        <v>45839.0</v>
      </c>
      <c r="H421" s="2" t="s">
        <v>286</v>
      </c>
    </row>
    <row r="422">
      <c r="A422" s="28" t="s">
        <v>476</v>
      </c>
      <c r="B422" s="29">
        <v>0.04</v>
      </c>
      <c r="C422" s="28" t="s">
        <v>438</v>
      </c>
      <c r="D422" s="28" t="s">
        <v>477</v>
      </c>
      <c r="E422" s="28" t="s">
        <v>478</v>
      </c>
      <c r="F422" s="28" t="s">
        <v>479</v>
      </c>
      <c r="G422" s="26">
        <v>45839.0</v>
      </c>
      <c r="H422" s="2" t="s">
        <v>286</v>
      </c>
    </row>
    <row r="423">
      <c r="A423" s="28" t="s">
        <v>87</v>
      </c>
      <c r="B423" s="29">
        <v>0.04</v>
      </c>
      <c r="C423" s="28" t="s">
        <v>438</v>
      </c>
      <c r="D423" s="28" t="s">
        <v>480</v>
      </c>
      <c r="E423" s="28" t="s">
        <v>481</v>
      </c>
      <c r="F423" s="28" t="s">
        <v>482</v>
      </c>
      <c r="G423" s="26">
        <v>45839.0</v>
      </c>
      <c r="H423" s="2" t="s">
        <v>286</v>
      </c>
    </row>
    <row r="424">
      <c r="A424" s="28" t="s">
        <v>298</v>
      </c>
      <c r="B424" s="29">
        <v>0.05</v>
      </c>
      <c r="C424" s="28" t="s">
        <v>438</v>
      </c>
      <c r="D424" s="28" t="s">
        <v>483</v>
      </c>
      <c r="E424" s="28" t="s">
        <v>484</v>
      </c>
      <c r="F424" s="28" t="s">
        <v>485</v>
      </c>
      <c r="G424" s="26">
        <v>45839.0</v>
      </c>
      <c r="H424" s="2" t="s">
        <v>286</v>
      </c>
    </row>
    <row r="425">
      <c r="A425" s="28" t="s">
        <v>486</v>
      </c>
      <c r="B425" s="29">
        <v>0.02</v>
      </c>
      <c r="C425" s="28" t="s">
        <v>438</v>
      </c>
      <c r="D425" s="28" t="s">
        <v>487</v>
      </c>
      <c r="E425" s="28" t="s">
        <v>488</v>
      </c>
      <c r="F425" s="28" t="s">
        <v>489</v>
      </c>
      <c r="G425" s="26">
        <v>45839.0</v>
      </c>
      <c r="H425" s="2" t="s">
        <v>286</v>
      </c>
    </row>
    <row r="426">
      <c r="B426" s="30">
        <f>SUM(B411:B425)</f>
        <v>1</v>
      </c>
    </row>
    <row r="427">
      <c r="A427" s="27"/>
      <c r="B427" s="27"/>
      <c r="C427" s="27"/>
      <c r="D427" s="27"/>
      <c r="E427" s="27"/>
      <c r="F427" s="27"/>
    </row>
    <row r="441">
      <c r="A441" s="33">
        <v>45870.0</v>
      </c>
    </row>
    <row r="443">
      <c r="A443" s="27" t="s">
        <v>433</v>
      </c>
      <c r="B443" s="27" t="s">
        <v>317</v>
      </c>
      <c r="C443" s="27" t="s">
        <v>434</v>
      </c>
      <c r="D443" s="27" t="s">
        <v>435</v>
      </c>
      <c r="E443" s="27" t="s">
        <v>436</v>
      </c>
      <c r="F443" s="27" t="s">
        <v>437</v>
      </c>
      <c r="G443" s="2"/>
    </row>
    <row r="444">
      <c r="A444" s="2" t="s">
        <v>183</v>
      </c>
      <c r="B444" s="34">
        <v>0.1</v>
      </c>
      <c r="C444" s="2" t="s">
        <v>490</v>
      </c>
      <c r="D444" s="2" t="s">
        <v>491</v>
      </c>
      <c r="E444" s="2" t="s">
        <v>492</v>
      </c>
      <c r="F444" s="2" t="s">
        <v>493</v>
      </c>
    </row>
    <row r="445">
      <c r="A445" s="2" t="s">
        <v>46</v>
      </c>
      <c r="B445" s="34">
        <v>0.09</v>
      </c>
      <c r="C445" s="2" t="s">
        <v>490</v>
      </c>
      <c r="D445" s="2" t="s">
        <v>494</v>
      </c>
      <c r="E445" s="2" t="s">
        <v>495</v>
      </c>
      <c r="F445" s="2" t="s">
        <v>496</v>
      </c>
    </row>
    <row r="446">
      <c r="A446" s="2" t="s">
        <v>497</v>
      </c>
      <c r="B446" s="34">
        <v>0.08</v>
      </c>
      <c r="C446" s="2" t="s">
        <v>498</v>
      </c>
      <c r="D446" s="2" t="s">
        <v>499</v>
      </c>
      <c r="E446" s="2" t="s">
        <v>500</v>
      </c>
      <c r="F446" s="2" t="s">
        <v>501</v>
      </c>
    </row>
    <row r="447">
      <c r="A447" s="2" t="s">
        <v>253</v>
      </c>
      <c r="B447" s="34">
        <v>0.08</v>
      </c>
      <c r="C447" s="2" t="s">
        <v>502</v>
      </c>
      <c r="D447" s="2" t="s">
        <v>503</v>
      </c>
      <c r="E447" s="2" t="s">
        <v>504</v>
      </c>
      <c r="F447" s="2" t="s">
        <v>505</v>
      </c>
    </row>
    <row r="448">
      <c r="A448" s="2" t="s">
        <v>252</v>
      </c>
      <c r="B448" s="34">
        <v>0.07</v>
      </c>
      <c r="C448" s="2" t="s">
        <v>506</v>
      </c>
      <c r="D448" s="28" t="s">
        <v>507</v>
      </c>
      <c r="E448" s="2" t="s">
        <v>508</v>
      </c>
      <c r="F448" s="2" t="s">
        <v>509</v>
      </c>
    </row>
    <row r="449">
      <c r="A449" s="2" t="s">
        <v>510</v>
      </c>
      <c r="B449" s="34">
        <v>0.07</v>
      </c>
      <c r="C449" s="2" t="s">
        <v>511</v>
      </c>
      <c r="D449" s="2" t="s">
        <v>512</v>
      </c>
      <c r="E449" s="2" t="s">
        <v>513</v>
      </c>
      <c r="F449" s="2" t="s">
        <v>514</v>
      </c>
    </row>
    <row r="450">
      <c r="A450" s="2" t="s">
        <v>515</v>
      </c>
      <c r="B450" s="34">
        <v>0.08</v>
      </c>
      <c r="C450" s="28" t="s">
        <v>516</v>
      </c>
      <c r="D450" s="35" t="s">
        <v>517</v>
      </c>
      <c r="E450" s="2" t="s">
        <v>518</v>
      </c>
      <c r="F450" s="2" t="s">
        <v>519</v>
      </c>
    </row>
    <row r="451">
      <c r="A451" s="2" t="s">
        <v>520</v>
      </c>
      <c r="B451" s="34">
        <v>0.07</v>
      </c>
      <c r="C451" s="28" t="s">
        <v>521</v>
      </c>
      <c r="D451" s="36" t="s">
        <v>522</v>
      </c>
      <c r="E451" s="2" t="s">
        <v>523</v>
      </c>
      <c r="F451" s="2" t="s">
        <v>524</v>
      </c>
    </row>
    <row r="452">
      <c r="A452" s="2" t="s">
        <v>426</v>
      </c>
      <c r="B452" s="34">
        <v>0.05</v>
      </c>
      <c r="C452" s="2" t="s">
        <v>525</v>
      </c>
      <c r="D452" s="2" t="s">
        <v>526</v>
      </c>
      <c r="E452" s="2" t="s">
        <v>527</v>
      </c>
      <c r="F452" s="2" t="s">
        <v>528</v>
      </c>
    </row>
    <row r="453">
      <c r="A453" s="2" t="s">
        <v>274</v>
      </c>
      <c r="B453" s="34">
        <v>0.05</v>
      </c>
      <c r="C453" s="2" t="s">
        <v>529</v>
      </c>
      <c r="D453" s="2" t="s">
        <v>530</v>
      </c>
      <c r="E453" s="2" t="s">
        <v>531</v>
      </c>
      <c r="F453" s="2" t="s">
        <v>532</v>
      </c>
    </row>
    <row r="454">
      <c r="A454" s="2" t="s">
        <v>160</v>
      </c>
      <c r="B454" s="34">
        <v>0.05</v>
      </c>
      <c r="C454" s="2" t="s">
        <v>533</v>
      </c>
      <c r="D454" s="2" t="s">
        <v>534</v>
      </c>
      <c r="E454" s="2" t="s">
        <v>535</v>
      </c>
      <c r="F454" s="2" t="s">
        <v>536</v>
      </c>
    </row>
    <row r="455">
      <c r="A455" s="2" t="s">
        <v>537</v>
      </c>
      <c r="B455" s="34">
        <v>0.05</v>
      </c>
      <c r="C455" s="28" t="s">
        <v>538</v>
      </c>
      <c r="D455" s="2" t="s">
        <v>539</v>
      </c>
      <c r="E455" s="2" t="s">
        <v>540</v>
      </c>
      <c r="F455" s="2" t="s">
        <v>541</v>
      </c>
    </row>
    <row r="456">
      <c r="A456" s="2" t="s">
        <v>542</v>
      </c>
      <c r="B456" s="34">
        <v>0.05</v>
      </c>
      <c r="C456" s="2" t="s">
        <v>543</v>
      </c>
      <c r="D456" s="2" t="s">
        <v>544</v>
      </c>
      <c r="E456" s="2" t="s">
        <v>545</v>
      </c>
      <c r="F456" s="2" t="s">
        <v>546</v>
      </c>
    </row>
    <row r="457">
      <c r="A457" s="2" t="s">
        <v>415</v>
      </c>
      <c r="B457" s="34">
        <v>0.05</v>
      </c>
      <c r="C457" s="2" t="s">
        <v>547</v>
      </c>
      <c r="D457" s="2" t="s">
        <v>548</v>
      </c>
      <c r="E457" s="2" t="s">
        <v>549</v>
      </c>
      <c r="F457" s="2" t="s">
        <v>550</v>
      </c>
    </row>
    <row r="458">
      <c r="A458" s="2" t="s">
        <v>551</v>
      </c>
      <c r="B458" s="34">
        <v>0.06</v>
      </c>
      <c r="C458" s="2" t="s">
        <v>552</v>
      </c>
      <c r="D458" s="2" t="s">
        <v>553</v>
      </c>
      <c r="E458" s="2" t="s">
        <v>554</v>
      </c>
      <c r="F458" s="2" t="s">
        <v>555</v>
      </c>
    </row>
    <row r="460">
      <c r="A460" s="37" t="s">
        <v>433</v>
      </c>
      <c r="B460" s="37" t="s">
        <v>556</v>
      </c>
      <c r="C460" s="38" t="s">
        <v>317</v>
      </c>
      <c r="D460" s="37" t="s">
        <v>557</v>
      </c>
      <c r="E460" s="37" t="s">
        <v>558</v>
      </c>
      <c r="F460" s="37" t="s">
        <v>559</v>
      </c>
    </row>
    <row r="461">
      <c r="A461" s="32" t="s">
        <v>20</v>
      </c>
      <c r="B461" s="32" t="s">
        <v>560</v>
      </c>
      <c r="C461" s="39">
        <v>0.11</v>
      </c>
      <c r="D461" s="32" t="s">
        <v>561</v>
      </c>
      <c r="E461" s="32" t="s">
        <v>562</v>
      </c>
      <c r="F461" s="35" t="s">
        <v>563</v>
      </c>
    </row>
    <row r="462">
      <c r="A462" s="32" t="s">
        <v>185</v>
      </c>
      <c r="B462" s="32" t="s">
        <v>564</v>
      </c>
      <c r="C462" s="39">
        <v>0.09</v>
      </c>
      <c r="D462" s="32" t="s">
        <v>565</v>
      </c>
      <c r="E462" s="32" t="s">
        <v>566</v>
      </c>
      <c r="F462" s="32" t="s">
        <v>567</v>
      </c>
    </row>
    <row r="463">
      <c r="A463" s="32" t="s">
        <v>253</v>
      </c>
      <c r="B463" s="32" t="s">
        <v>568</v>
      </c>
      <c r="C463" s="39">
        <v>0.08</v>
      </c>
      <c r="D463" s="32" t="s">
        <v>569</v>
      </c>
      <c r="E463" s="32" t="s">
        <v>570</v>
      </c>
      <c r="F463" s="32" t="s">
        <v>571</v>
      </c>
    </row>
    <row r="464">
      <c r="A464" s="32" t="s">
        <v>183</v>
      </c>
      <c r="B464" s="32" t="s">
        <v>572</v>
      </c>
      <c r="C464" s="39">
        <v>0.08</v>
      </c>
      <c r="D464" s="32" t="s">
        <v>573</v>
      </c>
      <c r="E464" s="32" t="s">
        <v>574</v>
      </c>
      <c r="F464" s="32" t="s">
        <v>575</v>
      </c>
    </row>
    <row r="465">
      <c r="A465" s="32" t="s">
        <v>515</v>
      </c>
      <c r="B465" s="32" t="s">
        <v>576</v>
      </c>
      <c r="C465" s="39">
        <v>0.08</v>
      </c>
      <c r="D465" s="32" t="s">
        <v>577</v>
      </c>
      <c r="E465" s="32" t="s">
        <v>578</v>
      </c>
      <c r="F465" s="32" t="s">
        <v>579</v>
      </c>
    </row>
    <row r="466">
      <c r="A466" s="32" t="s">
        <v>57</v>
      </c>
      <c r="B466" s="32" t="s">
        <v>580</v>
      </c>
      <c r="C466" s="39">
        <v>0.08</v>
      </c>
      <c r="D466" s="32" t="s">
        <v>581</v>
      </c>
      <c r="E466" s="32" t="s">
        <v>582</v>
      </c>
      <c r="F466" s="32" t="s">
        <v>583</v>
      </c>
    </row>
    <row r="467">
      <c r="A467" s="32" t="s">
        <v>229</v>
      </c>
      <c r="B467" s="32" t="s">
        <v>584</v>
      </c>
      <c r="C467" s="39">
        <v>0.06</v>
      </c>
      <c r="D467" s="32" t="s">
        <v>585</v>
      </c>
      <c r="E467" s="32" t="s">
        <v>586</v>
      </c>
      <c r="F467" s="32" t="s">
        <v>587</v>
      </c>
    </row>
    <row r="468">
      <c r="A468" s="32" t="s">
        <v>459</v>
      </c>
      <c r="B468" s="32" t="s">
        <v>588</v>
      </c>
      <c r="C468" s="39">
        <v>0.06</v>
      </c>
      <c r="D468" s="32" t="s">
        <v>589</v>
      </c>
      <c r="E468" s="32" t="s">
        <v>590</v>
      </c>
      <c r="F468" s="32" t="s">
        <v>591</v>
      </c>
    </row>
    <row r="469">
      <c r="A469" s="32" t="s">
        <v>592</v>
      </c>
      <c r="B469" s="32" t="s">
        <v>593</v>
      </c>
      <c r="C469" s="39">
        <v>0.06</v>
      </c>
      <c r="D469" s="32" t="s">
        <v>594</v>
      </c>
      <c r="E469" s="32" t="s">
        <v>595</v>
      </c>
      <c r="F469" s="32" t="s">
        <v>596</v>
      </c>
    </row>
    <row r="470">
      <c r="A470" s="32" t="s">
        <v>551</v>
      </c>
      <c r="B470" s="32" t="s">
        <v>597</v>
      </c>
      <c r="C470" s="39">
        <v>0.06</v>
      </c>
      <c r="D470" s="32" t="s">
        <v>598</v>
      </c>
      <c r="E470" s="32" t="s">
        <v>599</v>
      </c>
      <c r="F470" s="32" t="s">
        <v>600</v>
      </c>
    </row>
    <row r="471">
      <c r="A471" s="32" t="s">
        <v>36</v>
      </c>
      <c r="B471" s="32" t="s">
        <v>601</v>
      </c>
      <c r="C471" s="39">
        <v>0.05</v>
      </c>
      <c r="D471" s="32" t="s">
        <v>602</v>
      </c>
      <c r="E471" s="32" t="s">
        <v>603</v>
      </c>
      <c r="F471" s="32" t="s">
        <v>604</v>
      </c>
    </row>
    <row r="472">
      <c r="A472" s="32" t="s">
        <v>22</v>
      </c>
      <c r="B472" s="32" t="s">
        <v>605</v>
      </c>
      <c r="C472" s="39">
        <v>0.05</v>
      </c>
      <c r="D472" s="32" t="s">
        <v>606</v>
      </c>
      <c r="E472" s="32" t="s">
        <v>607</v>
      </c>
      <c r="F472" s="32" t="s">
        <v>608</v>
      </c>
    </row>
    <row r="473">
      <c r="A473" s="32" t="s">
        <v>609</v>
      </c>
      <c r="B473" s="32" t="s">
        <v>610</v>
      </c>
      <c r="C473" s="39">
        <v>0.05</v>
      </c>
      <c r="D473" s="32" t="s">
        <v>611</v>
      </c>
      <c r="E473" s="32" t="s">
        <v>612</v>
      </c>
      <c r="F473" s="32" t="s">
        <v>613</v>
      </c>
    </row>
    <row r="474">
      <c r="A474" s="32" t="s">
        <v>614</v>
      </c>
      <c r="B474" s="32" t="s">
        <v>615</v>
      </c>
      <c r="C474" s="39">
        <v>0.04</v>
      </c>
      <c r="D474" s="32" t="s">
        <v>616</v>
      </c>
      <c r="E474" s="32" t="s">
        <v>617</v>
      </c>
      <c r="F474" s="32" t="s">
        <v>618</v>
      </c>
    </row>
    <row r="475">
      <c r="A475" s="32" t="s">
        <v>520</v>
      </c>
      <c r="B475" s="32" t="s">
        <v>619</v>
      </c>
      <c r="C475" s="39">
        <v>0.05</v>
      </c>
      <c r="D475" s="32" t="s">
        <v>620</v>
      </c>
      <c r="E475" s="32" t="s">
        <v>621</v>
      </c>
      <c r="F475" s="32" t="s">
        <v>622</v>
      </c>
    </row>
  </sheetData>
  <mergeCells count="1">
    <mergeCell ref="A5:E5"/>
  </mergeCells>
  <hyperlinks>
    <hyperlink r:id="rId1" ref="B2"/>
    <hyperlink r:id="rId2" ref="D450"/>
    <hyperlink r:id="rId3" ref="F461"/>
  </hyperlinks>
  <drawing r:id="rId4"/>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ht="16.5" customHeight="1">
      <c r="A1" s="40" t="s">
        <v>759</v>
      </c>
      <c r="B1" s="40" t="s">
        <v>625</v>
      </c>
      <c r="C1" s="40" t="s">
        <v>624</v>
      </c>
      <c r="D1" s="40" t="s">
        <v>626</v>
      </c>
      <c r="G1" s="2" t="s">
        <v>327</v>
      </c>
      <c r="H1" s="2" t="s">
        <v>5</v>
      </c>
      <c r="I1" s="2" t="s">
        <v>1643</v>
      </c>
      <c r="J1" s="2" t="s">
        <v>3384</v>
      </c>
      <c r="K1" s="2" t="s">
        <v>3385</v>
      </c>
    </row>
    <row r="2" ht="16.5" customHeight="1">
      <c r="A2" s="19" t="s">
        <v>264</v>
      </c>
      <c r="B2" s="20">
        <v>90.0</v>
      </c>
      <c r="C2" s="43" t="s">
        <v>3386</v>
      </c>
      <c r="D2" s="41">
        <v>45600.0</v>
      </c>
      <c r="G2" s="19" t="s">
        <v>182</v>
      </c>
      <c r="H2" s="20">
        <v>90.0</v>
      </c>
      <c r="I2" s="7">
        <f>IFERROR(__xludf.DUMMYFUNCTION("GOOGLEFINANCE(G2,""marketcap"")"),5.229772984313E12)</f>
        <v>5229772984313</v>
      </c>
      <c r="J2" s="20" t="s">
        <v>3387</v>
      </c>
      <c r="K2" s="41">
        <v>45600.0</v>
      </c>
    </row>
    <row r="3" ht="16.5" customHeight="1">
      <c r="A3" s="19" t="s">
        <v>265</v>
      </c>
      <c r="B3" s="20">
        <v>90.0</v>
      </c>
      <c r="C3" s="20" t="s">
        <v>3388</v>
      </c>
      <c r="D3" s="41">
        <v>45600.0</v>
      </c>
      <c r="G3" s="19" t="s">
        <v>53</v>
      </c>
      <c r="H3" s="20">
        <v>90.0</v>
      </c>
      <c r="I3" s="7">
        <f>IFERROR(__xludf.DUMMYFUNCTION("GOOGLEFINANCE(G3,""marketcap"")"),2.933245949212E12)</f>
        <v>2933245949212</v>
      </c>
      <c r="J3" s="20" t="s">
        <v>3389</v>
      </c>
      <c r="K3" s="41">
        <v>45600.0</v>
      </c>
    </row>
    <row r="4" ht="16.5" customHeight="1">
      <c r="A4" s="19" t="s">
        <v>39</v>
      </c>
      <c r="B4" s="20">
        <v>90.0</v>
      </c>
      <c r="C4" s="20" t="s">
        <v>3390</v>
      </c>
      <c r="D4" s="41">
        <v>45600.0</v>
      </c>
      <c r="G4" s="19" t="s">
        <v>185</v>
      </c>
      <c r="H4" s="20">
        <v>90.0</v>
      </c>
      <c r="I4" s="7">
        <f>IFERROR(__xludf.DUMMYFUNCTION("GOOGLEFINANCE(G4,""marketcap"")"),2.03590724E12)</f>
        <v>2035907240000</v>
      </c>
      <c r="J4" s="20" t="s">
        <v>3391</v>
      </c>
      <c r="K4" s="41">
        <v>45600.0</v>
      </c>
    </row>
    <row r="5" ht="16.5" customHeight="1">
      <c r="A5" s="19" t="s">
        <v>18</v>
      </c>
      <c r="B5" s="20">
        <v>90.0</v>
      </c>
      <c r="C5" s="20" t="s">
        <v>3392</v>
      </c>
      <c r="D5" s="41">
        <v>45600.0</v>
      </c>
      <c r="G5" s="19" t="s">
        <v>263</v>
      </c>
      <c r="H5" s="20">
        <v>90.0</v>
      </c>
      <c r="I5" s="7">
        <f>IFERROR(__xludf.DUMMYFUNCTION("GOOGLEFINANCE(G5,""marketcap"")"),1.039656167318E12)</f>
        <v>1039656167318</v>
      </c>
      <c r="J5" s="20" t="s">
        <v>3393</v>
      </c>
      <c r="K5" s="41">
        <v>45600.0</v>
      </c>
    </row>
    <row r="6" ht="16.5" customHeight="1">
      <c r="A6" s="19" t="s">
        <v>780</v>
      </c>
      <c r="B6" s="20">
        <v>90.0</v>
      </c>
      <c r="C6" s="20" t="s">
        <v>3394</v>
      </c>
      <c r="D6" s="41">
        <v>45600.0</v>
      </c>
      <c r="G6" s="19" t="s">
        <v>21</v>
      </c>
      <c r="H6" s="20">
        <v>90.0</v>
      </c>
      <c r="I6" s="7">
        <f>IFERROR(__xludf.DUMMYFUNCTION("GOOGLEFINANCE(G6,""marketcap"")"),6.00640224849E11)</f>
        <v>600640224849</v>
      </c>
      <c r="J6" s="20" t="s">
        <v>3395</v>
      </c>
      <c r="K6" s="41">
        <v>45600.0</v>
      </c>
    </row>
    <row r="7" ht="16.5" customHeight="1">
      <c r="A7" s="19" t="s">
        <v>185</v>
      </c>
      <c r="B7" s="20">
        <v>90.0</v>
      </c>
      <c r="C7" s="20" t="s">
        <v>3391</v>
      </c>
      <c r="D7" s="41">
        <v>45600.0</v>
      </c>
      <c r="G7" s="19" t="s">
        <v>57</v>
      </c>
      <c r="H7" s="20">
        <v>90.0</v>
      </c>
      <c r="I7" s="7">
        <f>IFERROR(__xludf.DUMMYFUNCTION("GOOGLEFINANCE(G7,""marketcap"")"),4.47552195726E11)</f>
        <v>447552195726</v>
      </c>
      <c r="J7" s="20" t="s">
        <v>3396</v>
      </c>
      <c r="K7" s="41">
        <v>45600.0</v>
      </c>
    </row>
    <row r="8" ht="16.5" customHeight="1">
      <c r="A8" s="19" t="s">
        <v>250</v>
      </c>
      <c r="B8" s="20">
        <v>90.0</v>
      </c>
      <c r="C8" s="20" t="s">
        <v>3397</v>
      </c>
      <c r="D8" s="41">
        <v>45600.0</v>
      </c>
      <c r="G8" s="19" t="s">
        <v>39</v>
      </c>
      <c r="H8" s="20">
        <v>90.0</v>
      </c>
      <c r="I8" s="7">
        <f>IFERROR(__xludf.DUMMYFUNCTION("GOOGLEFINANCE(G8,""marketcap"")"),2.09547165804E11)</f>
        <v>209547165804</v>
      </c>
      <c r="J8" s="20" t="s">
        <v>3390</v>
      </c>
      <c r="K8" s="41">
        <v>45600.0</v>
      </c>
    </row>
    <row r="9" ht="16.5" customHeight="1">
      <c r="A9" s="19" t="s">
        <v>394</v>
      </c>
      <c r="B9" s="20">
        <v>90.0</v>
      </c>
      <c r="C9" s="20" t="s">
        <v>3398</v>
      </c>
      <c r="D9" s="41">
        <v>45600.0</v>
      </c>
      <c r="G9" s="19" t="s">
        <v>18</v>
      </c>
      <c r="H9" s="20">
        <v>90.0</v>
      </c>
      <c r="I9" s="7">
        <f>IFERROR(__xludf.DUMMYFUNCTION("GOOGLEFINANCE(G9,""marketcap"")"),1.02278714678E11)</f>
        <v>102278714678</v>
      </c>
      <c r="J9" s="20" t="s">
        <v>3392</v>
      </c>
      <c r="K9" s="41">
        <v>45600.0</v>
      </c>
    </row>
    <row r="10" ht="16.5" customHeight="1">
      <c r="A10" s="19" t="s">
        <v>459</v>
      </c>
      <c r="B10" s="20">
        <v>90.0</v>
      </c>
      <c r="C10" s="20" t="s">
        <v>3399</v>
      </c>
      <c r="D10" s="41">
        <v>45600.0</v>
      </c>
      <c r="G10" s="19" t="s">
        <v>264</v>
      </c>
      <c r="H10" s="20">
        <v>90.0</v>
      </c>
      <c r="I10" s="7">
        <f>IFERROR(__xludf.DUMMYFUNCTION("GOOGLEFINANCE(G10,""marketcap"")"),1.28575583829E11)</f>
        <v>128575583829</v>
      </c>
      <c r="J10" s="43" t="s">
        <v>3400</v>
      </c>
      <c r="K10" s="41">
        <v>45600.0</v>
      </c>
    </row>
    <row r="11" ht="16.5" customHeight="1">
      <c r="A11" s="19" t="s">
        <v>182</v>
      </c>
      <c r="B11" s="20">
        <v>90.0</v>
      </c>
      <c r="C11" s="20" t="s">
        <v>3387</v>
      </c>
      <c r="D11" s="41">
        <v>45600.0</v>
      </c>
      <c r="G11" s="19" t="s">
        <v>265</v>
      </c>
      <c r="H11" s="20">
        <v>90.0</v>
      </c>
      <c r="I11" s="7">
        <f>IFERROR(__xludf.DUMMYFUNCTION("GOOGLEFINANCE(G11,""marketcap"")"),5.03495983E8)</f>
        <v>503495983</v>
      </c>
      <c r="J11" s="20" t="s">
        <v>3388</v>
      </c>
      <c r="K11" s="41">
        <v>45600.0</v>
      </c>
    </row>
    <row r="12" ht="16.5" customHeight="1">
      <c r="A12" s="19" t="s">
        <v>263</v>
      </c>
      <c r="B12" s="20">
        <v>90.0</v>
      </c>
      <c r="C12" s="20" t="s">
        <v>3393</v>
      </c>
      <c r="D12" s="41">
        <v>45600.0</v>
      </c>
      <c r="G12" s="19" t="s">
        <v>394</v>
      </c>
      <c r="H12" s="20">
        <v>90.0</v>
      </c>
      <c r="I12" s="7">
        <f>IFERROR(__xludf.DUMMYFUNCTION("GOOGLEFINANCE(G12,""marketcap"")"),1.78517072919E11)</f>
        <v>178517072919</v>
      </c>
      <c r="J12" s="20" t="s">
        <v>3398</v>
      </c>
      <c r="K12" s="41">
        <v>45600.0</v>
      </c>
    </row>
    <row r="13" ht="16.5" customHeight="1">
      <c r="A13" s="19" t="s">
        <v>809</v>
      </c>
      <c r="B13" s="20">
        <v>90.0</v>
      </c>
      <c r="C13" s="20" t="s">
        <v>3401</v>
      </c>
      <c r="D13" s="41">
        <v>45600.0</v>
      </c>
      <c r="G13" s="19" t="s">
        <v>459</v>
      </c>
      <c r="H13" s="20">
        <v>90.0</v>
      </c>
      <c r="I13" s="7">
        <f>IFERROR(__xludf.DUMMYFUNCTION("GOOGLEFINANCE(G13,""marketcap"")"),1.090906E11)</f>
        <v>109090600000</v>
      </c>
      <c r="J13" s="20" t="s">
        <v>3399</v>
      </c>
      <c r="K13" s="41">
        <v>45600.0</v>
      </c>
    </row>
    <row r="14" ht="16.5" customHeight="1">
      <c r="A14" s="19" t="s">
        <v>923</v>
      </c>
      <c r="B14" s="20">
        <v>90.0</v>
      </c>
      <c r="C14" s="20" t="s">
        <v>3402</v>
      </c>
      <c r="D14" s="41">
        <v>45600.0</v>
      </c>
      <c r="G14" s="19" t="s">
        <v>809</v>
      </c>
      <c r="H14" s="20">
        <v>90.0</v>
      </c>
      <c r="I14" s="7">
        <f>IFERROR(__xludf.DUMMYFUNCTION("GOOGLEFINANCE(G14,""marketcap"")"),8.6487356548E10)</f>
        <v>86487356548</v>
      </c>
      <c r="J14" s="20" t="s">
        <v>3401</v>
      </c>
      <c r="K14" s="41">
        <v>45600.0</v>
      </c>
    </row>
    <row r="15" ht="16.5" customHeight="1">
      <c r="A15" s="19" t="s">
        <v>537</v>
      </c>
      <c r="B15" s="20">
        <v>90.0</v>
      </c>
      <c r="C15" s="20" t="s">
        <v>3403</v>
      </c>
      <c r="D15" s="41">
        <v>45600.0</v>
      </c>
      <c r="G15" s="19" t="s">
        <v>923</v>
      </c>
      <c r="H15" s="20">
        <v>90.0</v>
      </c>
      <c r="I15" s="7">
        <f>IFERROR(__xludf.DUMMYFUNCTION("GOOGLEFINANCE(G15,""marketcap"")"),1.05733070885E11)</f>
        <v>105733070885</v>
      </c>
      <c r="J15" s="20" t="s">
        <v>3402</v>
      </c>
      <c r="K15" s="41">
        <v>45600.0</v>
      </c>
    </row>
    <row r="16" ht="16.5" customHeight="1">
      <c r="A16" s="19" t="s">
        <v>53</v>
      </c>
      <c r="B16" s="20">
        <v>90.0</v>
      </c>
      <c r="C16" s="20" t="s">
        <v>3389</v>
      </c>
      <c r="D16" s="41">
        <v>45600.0</v>
      </c>
      <c r="G16" s="19" t="s">
        <v>250</v>
      </c>
      <c r="H16" s="20">
        <v>90.0</v>
      </c>
      <c r="I16" s="7">
        <f>IFERROR(__xludf.DUMMYFUNCTION("GOOGLEFINANCE(G16,""marketcap"")"),1.00038430296E11)</f>
        <v>100038430296</v>
      </c>
      <c r="J16" s="20" t="s">
        <v>3397</v>
      </c>
      <c r="K16" s="41">
        <v>45600.0</v>
      </c>
    </row>
    <row r="17" ht="16.5" customHeight="1">
      <c r="A17" s="19" t="s">
        <v>21</v>
      </c>
      <c r="B17" s="20">
        <v>90.0</v>
      </c>
      <c r="C17" s="20" t="s">
        <v>3395</v>
      </c>
      <c r="D17" s="41">
        <v>45600.0</v>
      </c>
      <c r="G17" s="19" t="s">
        <v>780</v>
      </c>
      <c r="H17" s="20">
        <v>90.0</v>
      </c>
      <c r="I17" s="7">
        <f>IFERROR(__xludf.DUMMYFUNCTION("GOOGLEFINANCE(G17,""marketcap"")"),2.9991839791E10)</f>
        <v>29991839791</v>
      </c>
      <c r="J17" s="20" t="s">
        <v>3394</v>
      </c>
      <c r="K17" s="41">
        <v>45600.0</v>
      </c>
    </row>
    <row r="18" ht="16.5" customHeight="1">
      <c r="A18" s="19" t="s">
        <v>1137</v>
      </c>
      <c r="B18" s="20">
        <v>90.0</v>
      </c>
      <c r="C18" s="20" t="s">
        <v>3404</v>
      </c>
      <c r="D18" s="41">
        <v>45600.0</v>
      </c>
      <c r="G18" s="19" t="s">
        <v>537</v>
      </c>
      <c r="H18" s="20">
        <v>90.0</v>
      </c>
      <c r="I18" s="7">
        <f>IFERROR(__xludf.DUMMYFUNCTION("GOOGLEFINANCE(G18,""marketcap"")"),3.1517534606E10)</f>
        <v>31517534606</v>
      </c>
      <c r="J18" s="20" t="s">
        <v>3403</v>
      </c>
      <c r="K18" s="41">
        <v>45600.0</v>
      </c>
    </row>
    <row r="19" ht="16.5" customHeight="1">
      <c r="A19" s="19" t="s">
        <v>57</v>
      </c>
      <c r="B19" s="20">
        <v>90.0</v>
      </c>
      <c r="C19" s="20" t="s">
        <v>3396</v>
      </c>
      <c r="D19" s="41">
        <v>45600.0</v>
      </c>
      <c r="G19" s="19" t="s">
        <v>1137</v>
      </c>
      <c r="H19" s="20">
        <v>90.0</v>
      </c>
      <c r="I19" s="7">
        <f>IFERROR(__xludf.DUMMYFUNCTION("GOOGLEFINANCE(G19,""marketcap"")"),6.378141772E9)</f>
        <v>6378141772</v>
      </c>
      <c r="J19" s="20" t="s">
        <v>3404</v>
      </c>
      <c r="K19" s="41">
        <v>45600.0</v>
      </c>
    </row>
    <row r="20" ht="16.5" customHeight="1">
      <c r="A20" s="19" t="s">
        <v>821</v>
      </c>
      <c r="B20" s="20">
        <v>85.0</v>
      </c>
      <c r="C20" s="20" t="s">
        <v>3405</v>
      </c>
      <c r="D20" s="41">
        <v>45600.0</v>
      </c>
    </row>
    <row r="21" ht="16.5" customHeight="1">
      <c r="A21" s="19" t="s">
        <v>771</v>
      </c>
      <c r="B21" s="20">
        <v>85.0</v>
      </c>
      <c r="C21" s="20" t="s">
        <v>3406</v>
      </c>
      <c r="D21" s="41">
        <v>45600.0</v>
      </c>
    </row>
    <row r="22" ht="16.5" customHeight="1">
      <c r="A22" s="19" t="s">
        <v>242</v>
      </c>
      <c r="B22" s="20">
        <v>85.0</v>
      </c>
      <c r="C22" s="20" t="s">
        <v>3407</v>
      </c>
      <c r="D22" s="41">
        <v>45600.0</v>
      </c>
    </row>
    <row r="23" ht="16.5" customHeight="1">
      <c r="A23" s="19" t="s">
        <v>953</v>
      </c>
      <c r="B23" s="20">
        <v>85.0</v>
      </c>
      <c r="C23" s="20" t="s">
        <v>3408</v>
      </c>
      <c r="D23" s="41">
        <v>45600.0</v>
      </c>
    </row>
    <row r="24" ht="16.5" customHeight="1">
      <c r="A24" s="19" t="s">
        <v>896</v>
      </c>
      <c r="B24" s="20">
        <v>85.0</v>
      </c>
      <c r="C24" s="20" t="s">
        <v>3409</v>
      </c>
      <c r="D24" s="41">
        <v>45600.0</v>
      </c>
    </row>
    <row r="25" ht="16.5" customHeight="1">
      <c r="A25" s="19" t="s">
        <v>614</v>
      </c>
      <c r="B25" s="20">
        <v>85.0</v>
      </c>
      <c r="C25" s="20" t="s">
        <v>3410</v>
      </c>
      <c r="D25" s="41">
        <v>45600.0</v>
      </c>
    </row>
    <row r="26" ht="16.5" customHeight="1">
      <c r="A26" s="19" t="s">
        <v>486</v>
      </c>
      <c r="B26" s="20">
        <v>85.0</v>
      </c>
      <c r="C26" s="20" t="s">
        <v>3411</v>
      </c>
      <c r="D26" s="41">
        <v>45600.0</v>
      </c>
    </row>
    <row r="27" ht="16.5" customHeight="1">
      <c r="A27" s="19" t="s">
        <v>1165</v>
      </c>
      <c r="B27" s="20">
        <v>85.0</v>
      </c>
      <c r="C27" s="20" t="s">
        <v>3412</v>
      </c>
      <c r="D27" s="41">
        <v>45600.0</v>
      </c>
    </row>
    <row r="28" ht="16.5" customHeight="1">
      <c r="A28" s="19" t="s">
        <v>1235</v>
      </c>
      <c r="B28" s="20">
        <v>85.0</v>
      </c>
      <c r="C28" s="20" t="s">
        <v>3413</v>
      </c>
      <c r="D28" s="41">
        <v>45600.0</v>
      </c>
    </row>
    <row r="29" ht="16.5" customHeight="1">
      <c r="A29" s="19" t="s">
        <v>1466</v>
      </c>
      <c r="B29" s="20">
        <v>85.0</v>
      </c>
      <c r="C29" s="20" t="s">
        <v>3414</v>
      </c>
      <c r="D29" s="41">
        <v>45600.0</v>
      </c>
    </row>
    <row r="30" ht="16.5" customHeight="1">
      <c r="A30" s="19" t="s">
        <v>857</v>
      </c>
      <c r="B30" s="20">
        <v>85.0</v>
      </c>
      <c r="C30" s="20" t="s">
        <v>3415</v>
      </c>
      <c r="D30" s="41">
        <v>45600.0</v>
      </c>
    </row>
    <row r="31" ht="16.5" customHeight="1">
      <c r="A31" s="19" t="s">
        <v>126</v>
      </c>
      <c r="B31" s="20">
        <v>85.0</v>
      </c>
      <c r="C31" s="20" t="s">
        <v>3416</v>
      </c>
      <c r="D31" s="41">
        <v>45600.0</v>
      </c>
    </row>
    <row r="32" ht="16.5" customHeight="1">
      <c r="A32" s="19" t="s">
        <v>1445</v>
      </c>
      <c r="B32" s="20">
        <v>85.0</v>
      </c>
      <c r="C32" s="20" t="s">
        <v>3417</v>
      </c>
      <c r="D32" s="41">
        <v>45600.0</v>
      </c>
    </row>
    <row r="33" ht="16.5" customHeight="1">
      <c r="A33" s="19" t="s">
        <v>355</v>
      </c>
      <c r="B33" s="20">
        <v>85.0</v>
      </c>
      <c r="C33" s="20" t="s">
        <v>3418</v>
      </c>
      <c r="D33" s="41">
        <v>45600.0</v>
      </c>
    </row>
    <row r="34" ht="16.5" customHeight="1">
      <c r="A34" s="19" t="s">
        <v>766</v>
      </c>
      <c r="B34" s="20">
        <v>85.0</v>
      </c>
      <c r="C34" s="20" t="s">
        <v>3419</v>
      </c>
      <c r="D34" s="41">
        <v>45600.0</v>
      </c>
    </row>
    <row r="35" ht="16.5" customHeight="1">
      <c r="A35" s="19" t="s">
        <v>841</v>
      </c>
      <c r="B35" s="20">
        <v>85.0</v>
      </c>
      <c r="C35" s="20" t="s">
        <v>3420</v>
      </c>
      <c r="D35" s="41">
        <v>45600.0</v>
      </c>
    </row>
    <row r="36" ht="16.5" customHeight="1">
      <c r="A36" s="19" t="s">
        <v>825</v>
      </c>
      <c r="B36" s="20">
        <v>85.0</v>
      </c>
      <c r="C36" s="20" t="s">
        <v>3421</v>
      </c>
      <c r="D36" s="41">
        <v>45600.0</v>
      </c>
    </row>
    <row r="37" ht="16.5" customHeight="1">
      <c r="A37" s="19" t="s">
        <v>206</v>
      </c>
      <c r="B37" s="20">
        <v>85.0</v>
      </c>
      <c r="C37" s="20" t="s">
        <v>3422</v>
      </c>
      <c r="D37" s="41">
        <v>45600.0</v>
      </c>
    </row>
    <row r="38" ht="16.5" customHeight="1">
      <c r="A38" s="19" t="s">
        <v>426</v>
      </c>
      <c r="B38" s="20">
        <v>85.0</v>
      </c>
      <c r="C38" s="20" t="s">
        <v>3423</v>
      </c>
      <c r="D38" s="41">
        <v>45600.0</v>
      </c>
    </row>
    <row r="39" ht="16.5" customHeight="1">
      <c r="A39" s="19" t="s">
        <v>277</v>
      </c>
      <c r="B39" s="20">
        <v>85.0</v>
      </c>
      <c r="C39" s="20" t="s">
        <v>3424</v>
      </c>
      <c r="D39" s="41">
        <v>45600.0</v>
      </c>
    </row>
    <row r="40" ht="16.5" customHeight="1">
      <c r="A40" s="19" t="s">
        <v>1173</v>
      </c>
      <c r="B40" s="20">
        <v>85.0</v>
      </c>
      <c r="C40" s="20" t="s">
        <v>3425</v>
      </c>
      <c r="D40" s="41">
        <v>45600.0</v>
      </c>
    </row>
    <row r="41" ht="16.5" customHeight="1">
      <c r="A41" s="19" t="s">
        <v>1615</v>
      </c>
      <c r="B41" s="20">
        <v>85.0</v>
      </c>
      <c r="C41" s="20" t="s">
        <v>3426</v>
      </c>
      <c r="D41" s="41">
        <v>45600.0</v>
      </c>
    </row>
    <row r="42" ht="16.5" customHeight="1">
      <c r="A42" s="19" t="s">
        <v>1179</v>
      </c>
      <c r="B42" s="20">
        <v>85.0</v>
      </c>
      <c r="C42" s="20" t="s">
        <v>3427</v>
      </c>
      <c r="D42" s="41">
        <v>45600.0</v>
      </c>
    </row>
    <row r="43" ht="16.5" customHeight="1">
      <c r="A43" s="19" t="s">
        <v>16</v>
      </c>
      <c r="B43" s="20">
        <v>85.0</v>
      </c>
      <c r="C43" s="20" t="s">
        <v>3428</v>
      </c>
      <c r="D43" s="41">
        <v>45600.0</v>
      </c>
    </row>
    <row r="44" ht="16.5" customHeight="1">
      <c r="A44" s="19" t="s">
        <v>1183</v>
      </c>
      <c r="B44" s="20">
        <v>85.0</v>
      </c>
      <c r="C44" s="20" t="s">
        <v>3429</v>
      </c>
      <c r="D44" s="41">
        <v>45600.0</v>
      </c>
    </row>
    <row r="45" ht="16.5" customHeight="1">
      <c r="A45" s="19" t="s">
        <v>1474</v>
      </c>
      <c r="B45" s="20">
        <v>85.0</v>
      </c>
      <c r="C45" s="20" t="s">
        <v>3430</v>
      </c>
      <c r="D45" s="41">
        <v>45600.0</v>
      </c>
    </row>
    <row r="46" ht="16.5" customHeight="1">
      <c r="A46" s="19" t="s">
        <v>941</v>
      </c>
      <c r="B46" s="20">
        <v>85.0</v>
      </c>
      <c r="C46" s="20" t="s">
        <v>3431</v>
      </c>
      <c r="D46" s="41">
        <v>45600.0</v>
      </c>
    </row>
    <row r="47" ht="16.5" customHeight="1">
      <c r="A47" s="19" t="s">
        <v>855</v>
      </c>
      <c r="B47" s="20">
        <v>85.0</v>
      </c>
      <c r="C47" s="20" t="s">
        <v>3432</v>
      </c>
      <c r="D47" s="41">
        <v>45600.0</v>
      </c>
    </row>
    <row r="48" ht="16.5" customHeight="1">
      <c r="A48" s="19" t="s">
        <v>1239</v>
      </c>
      <c r="B48" s="20">
        <v>85.0</v>
      </c>
      <c r="C48" s="20" t="s">
        <v>3433</v>
      </c>
      <c r="D48" s="41">
        <v>45600.0</v>
      </c>
    </row>
    <row r="49" ht="16.5" customHeight="1">
      <c r="A49" s="19" t="s">
        <v>939</v>
      </c>
      <c r="B49" s="20">
        <v>85.0</v>
      </c>
      <c r="C49" s="20" t="s">
        <v>3434</v>
      </c>
      <c r="D49" s="41">
        <v>45600.0</v>
      </c>
    </row>
    <row r="50" ht="16.5" customHeight="1">
      <c r="A50" s="19" t="s">
        <v>468</v>
      </c>
      <c r="B50" s="20">
        <v>85.0</v>
      </c>
      <c r="C50" s="20" t="s">
        <v>3435</v>
      </c>
      <c r="D50" s="41">
        <v>45600.0</v>
      </c>
    </row>
    <row r="51" ht="16.5" customHeight="1">
      <c r="A51" s="19" t="s">
        <v>55</v>
      </c>
      <c r="B51" s="20">
        <v>85.0</v>
      </c>
      <c r="C51" s="20" t="s">
        <v>3436</v>
      </c>
      <c r="D51" s="41">
        <v>45600.0</v>
      </c>
    </row>
    <row r="52" ht="16.5" customHeight="1">
      <c r="A52" s="19" t="s">
        <v>1515</v>
      </c>
      <c r="B52" s="20">
        <v>85.0</v>
      </c>
      <c r="C52" s="20" t="s">
        <v>3437</v>
      </c>
      <c r="D52" s="41">
        <v>45600.0</v>
      </c>
    </row>
    <row r="53" ht="16.5" customHeight="1">
      <c r="A53" s="19" t="s">
        <v>300</v>
      </c>
      <c r="B53" s="20">
        <v>85.0</v>
      </c>
      <c r="C53" s="20" t="s">
        <v>3438</v>
      </c>
      <c r="D53" s="41">
        <v>45600.0</v>
      </c>
    </row>
    <row r="54" ht="16.5" customHeight="1">
      <c r="A54" s="19" t="s">
        <v>777</v>
      </c>
      <c r="B54" s="20">
        <v>85.0</v>
      </c>
      <c r="C54" s="20" t="s">
        <v>3439</v>
      </c>
      <c r="D54" s="41">
        <v>45600.0</v>
      </c>
    </row>
    <row r="55" ht="16.5" customHeight="1">
      <c r="A55" s="19" t="s">
        <v>14</v>
      </c>
      <c r="B55" s="20">
        <v>85.0</v>
      </c>
      <c r="C55" s="20" t="s">
        <v>3440</v>
      </c>
      <c r="D55" s="41">
        <v>45600.0</v>
      </c>
    </row>
    <row r="56" ht="16.5" customHeight="1">
      <c r="A56" s="19" t="s">
        <v>359</v>
      </c>
      <c r="B56" s="20">
        <v>85.0</v>
      </c>
      <c r="C56" s="20" t="s">
        <v>3441</v>
      </c>
      <c r="D56" s="41">
        <v>45600.0</v>
      </c>
    </row>
    <row r="57" ht="16.5" customHeight="1">
      <c r="A57" s="19" t="s">
        <v>142</v>
      </c>
      <c r="B57" s="20">
        <v>85.0</v>
      </c>
      <c r="C57" s="43" t="s">
        <v>3442</v>
      </c>
      <c r="D57" s="41">
        <v>45600.0</v>
      </c>
    </row>
    <row r="58" ht="16.5" customHeight="1">
      <c r="A58" s="19" t="s">
        <v>1177</v>
      </c>
      <c r="B58" s="20">
        <v>85.0</v>
      </c>
      <c r="C58" s="20" t="s">
        <v>3443</v>
      </c>
      <c r="D58" s="41">
        <v>45600.0</v>
      </c>
    </row>
    <row r="59" ht="16.5" customHeight="1">
      <c r="A59" s="19" t="s">
        <v>144</v>
      </c>
      <c r="B59" s="20">
        <v>85.0</v>
      </c>
      <c r="C59" s="20" t="s">
        <v>3444</v>
      </c>
      <c r="D59" s="41">
        <v>45600.0</v>
      </c>
    </row>
    <row r="60" ht="16.5" customHeight="1">
      <c r="A60" s="19" t="s">
        <v>876</v>
      </c>
      <c r="B60" s="20">
        <v>85.0</v>
      </c>
      <c r="C60" s="20" t="s">
        <v>3445</v>
      </c>
      <c r="D60" s="41">
        <v>45600.0</v>
      </c>
    </row>
    <row r="61" ht="16.5" customHeight="1">
      <c r="A61" s="19" t="s">
        <v>1032</v>
      </c>
      <c r="B61" s="20">
        <v>85.0</v>
      </c>
      <c r="C61" s="20" t="s">
        <v>3446</v>
      </c>
      <c r="D61" s="41">
        <v>45600.0</v>
      </c>
    </row>
    <row r="62" ht="16.5" customHeight="1">
      <c r="A62" s="19" t="s">
        <v>1495</v>
      </c>
      <c r="B62" s="20">
        <v>85.0</v>
      </c>
      <c r="C62" s="43" t="s">
        <v>3447</v>
      </c>
      <c r="D62" s="41">
        <v>45600.0</v>
      </c>
    </row>
    <row r="63" ht="16.5" customHeight="1">
      <c r="A63" s="19" t="s">
        <v>244</v>
      </c>
      <c r="B63" s="20">
        <v>85.0</v>
      </c>
      <c r="C63" s="20" t="s">
        <v>3448</v>
      </c>
      <c r="D63" s="41">
        <v>45600.0</v>
      </c>
    </row>
    <row r="64" ht="16.5" customHeight="1">
      <c r="A64" s="19" t="s">
        <v>1414</v>
      </c>
      <c r="B64" s="20">
        <v>85.0</v>
      </c>
      <c r="C64" s="20" t="s">
        <v>3449</v>
      </c>
      <c r="D64" s="41">
        <v>45600.0</v>
      </c>
    </row>
    <row r="65" ht="16.5" customHeight="1">
      <c r="A65" s="19" t="s">
        <v>472</v>
      </c>
      <c r="B65" s="20">
        <v>85.0</v>
      </c>
      <c r="C65" s="20" t="s">
        <v>3450</v>
      </c>
      <c r="D65" s="41">
        <v>45600.0</v>
      </c>
    </row>
    <row r="66" ht="16.5" customHeight="1">
      <c r="A66" s="19" t="s">
        <v>829</v>
      </c>
      <c r="B66" s="20">
        <v>85.0</v>
      </c>
      <c r="C66" s="20" t="s">
        <v>3451</v>
      </c>
      <c r="D66" s="41">
        <v>45600.0</v>
      </c>
    </row>
    <row r="67" ht="16.5" customHeight="1">
      <c r="A67" s="19" t="s">
        <v>1025</v>
      </c>
      <c r="B67" s="20">
        <v>85.0</v>
      </c>
      <c r="C67" s="20" t="s">
        <v>3452</v>
      </c>
      <c r="D67" s="41">
        <v>45600.0</v>
      </c>
    </row>
    <row r="68" ht="16.5" customHeight="1">
      <c r="A68" s="19" t="s">
        <v>1350</v>
      </c>
      <c r="B68" s="20">
        <v>85.0</v>
      </c>
      <c r="C68" s="20" t="s">
        <v>3453</v>
      </c>
      <c r="D68" s="41">
        <v>45600.0</v>
      </c>
    </row>
    <row r="69" ht="16.5" customHeight="1">
      <c r="A69" s="19" t="s">
        <v>1402</v>
      </c>
      <c r="B69" s="20">
        <v>85.0</v>
      </c>
      <c r="C69" s="20" t="s">
        <v>3454</v>
      </c>
      <c r="D69" s="41">
        <v>45600.0</v>
      </c>
    </row>
    <row r="70" ht="16.5" customHeight="1">
      <c r="A70" s="19" t="s">
        <v>1231</v>
      </c>
      <c r="B70" s="20">
        <v>85.0</v>
      </c>
      <c r="C70" s="20" t="s">
        <v>3455</v>
      </c>
      <c r="D70" s="41">
        <v>45600.0</v>
      </c>
    </row>
    <row r="71" ht="16.5" customHeight="1">
      <c r="A71" s="19" t="s">
        <v>1479</v>
      </c>
      <c r="B71" s="20">
        <v>85.0</v>
      </c>
      <c r="C71" s="20" t="s">
        <v>3456</v>
      </c>
      <c r="D71" s="41">
        <v>45600.0</v>
      </c>
    </row>
    <row r="72" ht="16.5" customHeight="1">
      <c r="A72" s="19" t="s">
        <v>294</v>
      </c>
      <c r="B72" s="20">
        <v>85.0</v>
      </c>
      <c r="C72" s="20" t="s">
        <v>3457</v>
      </c>
      <c r="D72" s="41">
        <v>45600.0</v>
      </c>
    </row>
    <row r="73" ht="16.5" customHeight="1">
      <c r="A73" s="19" t="s">
        <v>837</v>
      </c>
      <c r="B73" s="20">
        <v>85.0</v>
      </c>
      <c r="C73" s="20" t="s">
        <v>3458</v>
      </c>
      <c r="D73" s="41">
        <v>45600.0</v>
      </c>
    </row>
    <row r="74" ht="16.5" customHeight="1">
      <c r="A74" s="19" t="s">
        <v>963</v>
      </c>
      <c r="B74" s="20">
        <v>85.0</v>
      </c>
      <c r="C74" s="20" t="s">
        <v>3459</v>
      </c>
      <c r="D74" s="41">
        <v>45600.0</v>
      </c>
    </row>
    <row r="75" ht="16.5" customHeight="1">
      <c r="A75" s="19" t="s">
        <v>22</v>
      </c>
      <c r="B75" s="20">
        <v>85.0</v>
      </c>
      <c r="C75" s="20" t="s">
        <v>3460</v>
      </c>
      <c r="D75" s="41">
        <v>45600.0</v>
      </c>
    </row>
    <row r="76" ht="16.5" customHeight="1">
      <c r="A76" s="19" t="s">
        <v>1632</v>
      </c>
      <c r="B76" s="20">
        <v>85.0</v>
      </c>
      <c r="C76" s="20" t="s">
        <v>3461</v>
      </c>
      <c r="D76" s="41">
        <v>45600.0</v>
      </c>
    </row>
    <row r="77" ht="16.5" customHeight="1">
      <c r="A77" s="19" t="s">
        <v>1200</v>
      </c>
      <c r="B77" s="20">
        <v>85.0</v>
      </c>
      <c r="C77" s="20" t="s">
        <v>3462</v>
      </c>
      <c r="D77" s="41">
        <v>45600.0</v>
      </c>
    </row>
    <row r="78" ht="16.5" customHeight="1">
      <c r="A78" s="19" t="s">
        <v>49</v>
      </c>
      <c r="B78" s="20">
        <v>85.0</v>
      </c>
      <c r="C78" s="20" t="s">
        <v>3463</v>
      </c>
      <c r="D78" s="41">
        <v>45600.0</v>
      </c>
    </row>
    <row r="79" ht="16.5" customHeight="1">
      <c r="A79" s="19" t="s">
        <v>12</v>
      </c>
      <c r="B79" s="20">
        <v>85.0</v>
      </c>
      <c r="C79" s="20" t="s">
        <v>3464</v>
      </c>
      <c r="D79" s="41">
        <v>45600.0</v>
      </c>
    </row>
    <row r="80" ht="16.5" customHeight="1">
      <c r="A80" s="19" t="s">
        <v>1076</v>
      </c>
      <c r="B80" s="20">
        <v>85.0</v>
      </c>
      <c r="C80" s="20" t="s">
        <v>3465</v>
      </c>
      <c r="D80" s="41">
        <v>45600.0</v>
      </c>
    </row>
    <row r="81" ht="16.5" customHeight="1">
      <c r="A81" s="19" t="s">
        <v>835</v>
      </c>
      <c r="B81" s="20">
        <v>85.0</v>
      </c>
      <c r="C81" s="20" t="s">
        <v>3466</v>
      </c>
      <c r="D81" s="41">
        <v>45600.0</v>
      </c>
    </row>
    <row r="82" ht="16.5" customHeight="1">
      <c r="A82" s="19" t="s">
        <v>87</v>
      </c>
      <c r="B82" s="20">
        <v>85.0</v>
      </c>
      <c r="C82" s="20" t="s">
        <v>3467</v>
      </c>
      <c r="D82" s="41">
        <v>45600.0</v>
      </c>
    </row>
    <row r="83" ht="16.5" customHeight="1">
      <c r="A83" s="19" t="s">
        <v>1049</v>
      </c>
      <c r="B83" s="20">
        <v>85.0</v>
      </c>
      <c r="C83" s="20" t="s">
        <v>3468</v>
      </c>
      <c r="D83" s="41">
        <v>45600.0</v>
      </c>
    </row>
    <row r="84" ht="16.5" customHeight="1">
      <c r="A84" s="19" t="s">
        <v>1297</v>
      </c>
      <c r="B84" s="20">
        <v>85.0</v>
      </c>
      <c r="C84" s="20" t="s">
        <v>3469</v>
      </c>
      <c r="D84" s="41">
        <v>45600.0</v>
      </c>
    </row>
    <row r="85" ht="16.5" customHeight="1">
      <c r="A85" s="19" t="s">
        <v>166</v>
      </c>
      <c r="B85" s="20">
        <v>85.0</v>
      </c>
      <c r="C85" s="20" t="s">
        <v>3470</v>
      </c>
      <c r="D85" s="41">
        <v>45600.0</v>
      </c>
    </row>
    <row r="86" ht="16.5" customHeight="1">
      <c r="A86" s="19" t="s">
        <v>1553</v>
      </c>
      <c r="B86" s="20">
        <v>85.0</v>
      </c>
      <c r="C86" s="20" t="s">
        <v>3471</v>
      </c>
      <c r="D86" s="41">
        <v>45600.0</v>
      </c>
    </row>
    <row r="87" ht="16.5" customHeight="1">
      <c r="A87" s="19" t="s">
        <v>1549</v>
      </c>
      <c r="B87" s="20">
        <v>85.0</v>
      </c>
      <c r="C87" s="20" t="s">
        <v>3472</v>
      </c>
      <c r="D87" s="41">
        <v>45600.0</v>
      </c>
    </row>
    <row r="88" ht="16.5" customHeight="1">
      <c r="A88" s="19" t="s">
        <v>1283</v>
      </c>
      <c r="B88" s="20">
        <v>85.0</v>
      </c>
      <c r="C88" s="20" t="s">
        <v>3473</v>
      </c>
      <c r="D88" s="41">
        <v>45600.0</v>
      </c>
    </row>
    <row r="89" ht="16.5" customHeight="1">
      <c r="A89" s="19" t="s">
        <v>1096</v>
      </c>
      <c r="B89" s="20">
        <v>85.0</v>
      </c>
      <c r="C89" s="20" t="s">
        <v>3474</v>
      </c>
      <c r="D89" s="41">
        <v>45600.0</v>
      </c>
    </row>
    <row r="90" ht="16.5" customHeight="1">
      <c r="A90" s="19" t="s">
        <v>93</v>
      </c>
      <c r="B90" s="20">
        <v>85.0</v>
      </c>
      <c r="C90" s="20" t="s">
        <v>3475</v>
      </c>
      <c r="D90" s="41">
        <v>45600.0</v>
      </c>
    </row>
    <row r="91" ht="16.5" customHeight="1">
      <c r="A91" s="19" t="s">
        <v>1555</v>
      </c>
      <c r="B91" s="20">
        <v>85.0</v>
      </c>
      <c r="C91" s="20" t="s">
        <v>3476</v>
      </c>
      <c r="D91" s="41">
        <v>45600.0</v>
      </c>
    </row>
    <row r="92" ht="16.5" customHeight="1">
      <c r="A92" s="19" t="s">
        <v>1287</v>
      </c>
      <c r="B92" s="20">
        <v>85.0</v>
      </c>
      <c r="C92" s="20" t="s">
        <v>3477</v>
      </c>
      <c r="D92" s="41">
        <v>45600.0</v>
      </c>
    </row>
    <row r="93" ht="16.5" customHeight="1">
      <c r="A93" s="19" t="s">
        <v>1520</v>
      </c>
      <c r="B93" s="20">
        <v>85.0</v>
      </c>
      <c r="C93" s="20" t="s">
        <v>3478</v>
      </c>
      <c r="D93" s="41">
        <v>45600.0</v>
      </c>
    </row>
    <row r="94" ht="16.5" customHeight="1">
      <c r="A94" s="19" t="s">
        <v>792</v>
      </c>
      <c r="B94" s="20">
        <v>85.0</v>
      </c>
      <c r="C94" s="20" t="s">
        <v>3479</v>
      </c>
      <c r="D94" s="41">
        <v>45600.0</v>
      </c>
    </row>
    <row r="95" ht="16.5" customHeight="1">
      <c r="A95" s="19" t="s">
        <v>795</v>
      </c>
      <c r="B95" s="20">
        <v>85.0</v>
      </c>
      <c r="C95" s="20" t="s">
        <v>3480</v>
      </c>
      <c r="D95" s="41">
        <v>45600.0</v>
      </c>
    </row>
    <row r="96" ht="16.5" customHeight="1">
      <c r="A96" s="19" t="s">
        <v>1171</v>
      </c>
      <c r="B96" s="20">
        <v>85.0</v>
      </c>
      <c r="C96" s="20" t="s">
        <v>3481</v>
      </c>
      <c r="D96" s="41">
        <v>45600.0</v>
      </c>
    </row>
    <row r="97" ht="16.5" customHeight="1">
      <c r="A97" s="19" t="s">
        <v>1377</v>
      </c>
      <c r="B97" s="20">
        <v>85.0</v>
      </c>
      <c r="C97" s="20" t="s">
        <v>3482</v>
      </c>
      <c r="D97" s="41">
        <v>45600.0</v>
      </c>
    </row>
    <row r="98" ht="16.5" customHeight="1">
      <c r="A98" s="19" t="s">
        <v>298</v>
      </c>
      <c r="B98" s="20">
        <v>85.0</v>
      </c>
      <c r="C98" s="20" t="s">
        <v>3483</v>
      </c>
      <c r="D98" s="41">
        <v>45600.0</v>
      </c>
    </row>
    <row r="99" ht="16.5" customHeight="1">
      <c r="A99" s="19" t="s">
        <v>143</v>
      </c>
      <c r="B99" s="20">
        <v>85.0</v>
      </c>
      <c r="C99" s="20" t="s">
        <v>3484</v>
      </c>
      <c r="D99" s="41">
        <v>45600.0</v>
      </c>
    </row>
    <row r="100" ht="16.5" customHeight="1">
      <c r="A100" s="19" t="s">
        <v>1449</v>
      </c>
      <c r="B100" s="20">
        <v>85.0</v>
      </c>
      <c r="C100" s="20" t="s">
        <v>3485</v>
      </c>
      <c r="D100" s="41">
        <v>45600.0</v>
      </c>
    </row>
    <row r="101" ht="16.5" customHeight="1">
      <c r="A101" s="19" t="s">
        <v>1175</v>
      </c>
      <c r="B101" s="20">
        <v>85.0</v>
      </c>
      <c r="C101" s="20" t="s">
        <v>3486</v>
      </c>
      <c r="D101" s="41">
        <v>45600.0</v>
      </c>
    </row>
    <row r="102" ht="16.5" customHeight="1">
      <c r="A102" s="19" t="s">
        <v>183</v>
      </c>
      <c r="B102" s="20">
        <v>85.0</v>
      </c>
      <c r="C102" s="20" t="s">
        <v>3487</v>
      </c>
      <c r="D102" s="41">
        <v>45600.0</v>
      </c>
    </row>
    <row r="103" ht="16.5" customHeight="1">
      <c r="A103" s="19" t="s">
        <v>253</v>
      </c>
      <c r="B103" s="20">
        <v>85.0</v>
      </c>
      <c r="C103" s="20" t="s">
        <v>3488</v>
      </c>
      <c r="D103" s="41">
        <v>45600.0</v>
      </c>
    </row>
    <row r="104" ht="16.5" customHeight="1">
      <c r="A104" s="19" t="s">
        <v>36</v>
      </c>
      <c r="B104" s="20">
        <v>85.0</v>
      </c>
      <c r="C104" s="20" t="s">
        <v>3489</v>
      </c>
      <c r="D104" s="41">
        <v>45600.0</v>
      </c>
    </row>
    <row r="105" ht="16.5" customHeight="1">
      <c r="A105" s="19" t="s">
        <v>197</v>
      </c>
      <c r="B105" s="20">
        <v>85.0</v>
      </c>
      <c r="C105" s="20" t="s">
        <v>3490</v>
      </c>
      <c r="D105" s="41">
        <v>45600.0</v>
      </c>
    </row>
    <row r="106" ht="16.5" customHeight="1">
      <c r="A106" s="19" t="s">
        <v>945</v>
      </c>
      <c r="B106" s="20">
        <v>85.0</v>
      </c>
      <c r="C106" s="20" t="s">
        <v>3491</v>
      </c>
      <c r="D106" s="41">
        <v>45600.0</v>
      </c>
    </row>
    <row r="107" ht="16.5" customHeight="1">
      <c r="A107" s="19" t="s">
        <v>933</v>
      </c>
      <c r="B107" s="20">
        <v>85.0</v>
      </c>
      <c r="C107" s="20" t="s">
        <v>3492</v>
      </c>
      <c r="D107" s="41">
        <v>45600.0</v>
      </c>
    </row>
    <row r="108" ht="16.5" customHeight="1">
      <c r="A108" s="19" t="s">
        <v>1592</v>
      </c>
      <c r="B108" s="20">
        <v>85.0</v>
      </c>
      <c r="C108" s="20" t="s">
        <v>3493</v>
      </c>
      <c r="D108" s="41">
        <v>45600.0</v>
      </c>
    </row>
    <row r="109" ht="16.5" customHeight="1">
      <c r="A109" s="19" t="s">
        <v>1383</v>
      </c>
      <c r="B109" s="20">
        <v>85.0</v>
      </c>
      <c r="C109" s="20" t="s">
        <v>3494</v>
      </c>
      <c r="D109" s="41">
        <v>45600.0</v>
      </c>
    </row>
    <row r="110" ht="16.5" customHeight="1">
      <c r="A110" s="19" t="s">
        <v>915</v>
      </c>
      <c r="B110" s="20">
        <v>85.0</v>
      </c>
      <c r="C110" s="20" t="s">
        <v>3495</v>
      </c>
      <c r="D110" s="41">
        <v>45600.0</v>
      </c>
    </row>
    <row r="111" ht="16.5" customHeight="1">
      <c r="A111" s="19" t="s">
        <v>925</v>
      </c>
      <c r="B111" s="20">
        <v>85.0</v>
      </c>
      <c r="C111" s="20" t="s">
        <v>3496</v>
      </c>
      <c r="D111" s="41">
        <v>45600.0</v>
      </c>
    </row>
    <row r="112" ht="16.5" customHeight="1">
      <c r="A112" s="19" t="s">
        <v>908</v>
      </c>
      <c r="B112" s="20">
        <v>85.0</v>
      </c>
      <c r="C112" s="20" t="s">
        <v>3497</v>
      </c>
      <c r="D112" s="41">
        <v>45600.0</v>
      </c>
    </row>
    <row r="113" ht="16.5" customHeight="1">
      <c r="A113" s="19" t="s">
        <v>1590</v>
      </c>
      <c r="B113" s="20">
        <v>85.0</v>
      </c>
      <c r="C113" s="20" t="s">
        <v>3498</v>
      </c>
      <c r="D113" s="41">
        <v>45600.0</v>
      </c>
    </row>
    <row r="114" ht="16.5" customHeight="1">
      <c r="A114" s="19" t="s">
        <v>37</v>
      </c>
      <c r="B114" s="20">
        <v>85.0</v>
      </c>
      <c r="C114" s="20" t="s">
        <v>3499</v>
      </c>
      <c r="D114" s="41">
        <v>45600.0</v>
      </c>
    </row>
    <row r="115" ht="16.5" customHeight="1">
      <c r="A115" s="19" t="s">
        <v>911</v>
      </c>
      <c r="B115" s="20">
        <v>85.0</v>
      </c>
      <c r="C115" s="20" t="s">
        <v>3500</v>
      </c>
      <c r="D115" s="41">
        <v>45600.0</v>
      </c>
    </row>
    <row r="116" ht="16.5" customHeight="1">
      <c r="A116" s="19" t="s">
        <v>217</v>
      </c>
      <c r="B116" s="20">
        <v>85.0</v>
      </c>
      <c r="C116" s="20" t="s">
        <v>3501</v>
      </c>
      <c r="D116" s="41">
        <v>45600.0</v>
      </c>
    </row>
    <row r="117" ht="16.5" customHeight="1">
      <c r="A117" s="19" t="s">
        <v>1189</v>
      </c>
      <c r="B117" s="20">
        <v>85.0</v>
      </c>
      <c r="C117" s="20" t="s">
        <v>3502</v>
      </c>
      <c r="D117" s="41">
        <v>45600.0</v>
      </c>
    </row>
    <row r="118" ht="16.5" customHeight="1">
      <c r="A118" s="19" t="s">
        <v>46</v>
      </c>
      <c r="B118" s="20">
        <v>85.0</v>
      </c>
      <c r="C118" s="20" t="s">
        <v>3503</v>
      </c>
      <c r="D118" s="41">
        <v>45600.0</v>
      </c>
    </row>
    <row r="119" ht="16.5" customHeight="1">
      <c r="A119" s="19" t="s">
        <v>787</v>
      </c>
      <c r="B119" s="20">
        <v>85.0</v>
      </c>
      <c r="C119" s="20" t="s">
        <v>3504</v>
      </c>
      <c r="D119" s="41">
        <v>45600.0</v>
      </c>
    </row>
    <row r="120" ht="16.5" customHeight="1">
      <c r="A120" s="19" t="s">
        <v>1036</v>
      </c>
      <c r="B120" s="20">
        <v>85.0</v>
      </c>
      <c r="C120" s="20" t="s">
        <v>3505</v>
      </c>
      <c r="D120" s="41">
        <v>45600.0</v>
      </c>
    </row>
    <row r="121" ht="16.5" customHeight="1">
      <c r="A121" s="19" t="s">
        <v>295</v>
      </c>
      <c r="B121" s="20">
        <v>85.0</v>
      </c>
      <c r="C121" s="20" t="s">
        <v>3506</v>
      </c>
      <c r="D121" s="41">
        <v>45600.0</v>
      </c>
    </row>
    <row r="122" ht="16.5" customHeight="1">
      <c r="A122" s="19" t="s">
        <v>1051</v>
      </c>
      <c r="B122" s="20">
        <v>85.0</v>
      </c>
      <c r="C122" s="20" t="s">
        <v>3507</v>
      </c>
      <c r="D122" s="41">
        <v>45600.0</v>
      </c>
    </row>
    <row r="123" ht="16.5" customHeight="1">
      <c r="A123" s="19" t="s">
        <v>987</v>
      </c>
      <c r="B123" s="20">
        <v>85.0</v>
      </c>
      <c r="C123" s="20" t="s">
        <v>3508</v>
      </c>
      <c r="D123" s="41">
        <v>45600.0</v>
      </c>
    </row>
    <row r="124" ht="16.5" customHeight="1">
      <c r="A124" s="19" t="s">
        <v>913</v>
      </c>
      <c r="B124" s="20">
        <v>85.0</v>
      </c>
      <c r="C124" s="20" t="s">
        <v>3509</v>
      </c>
      <c r="D124" s="41">
        <v>45600.0</v>
      </c>
    </row>
    <row r="125" ht="16.5" customHeight="1">
      <c r="A125" s="19" t="s">
        <v>1113</v>
      </c>
      <c r="B125" s="20">
        <v>85.0</v>
      </c>
      <c r="C125" s="20" t="s">
        <v>3510</v>
      </c>
      <c r="D125" s="41">
        <v>45600.0</v>
      </c>
    </row>
    <row r="126" ht="16.5" customHeight="1">
      <c r="A126" s="19" t="s">
        <v>1361</v>
      </c>
      <c r="B126" s="20">
        <v>85.0</v>
      </c>
      <c r="C126" s="20" t="s">
        <v>3511</v>
      </c>
      <c r="D126" s="41">
        <v>45600.0</v>
      </c>
    </row>
    <row r="127" ht="16.5" customHeight="1">
      <c r="A127" s="19" t="s">
        <v>275</v>
      </c>
      <c r="B127" s="20">
        <v>85.0</v>
      </c>
      <c r="C127" s="20" t="s">
        <v>3512</v>
      </c>
      <c r="D127" s="41">
        <v>45600.0</v>
      </c>
    </row>
    <row r="128" ht="16.5" customHeight="1">
      <c r="A128" s="19" t="s">
        <v>1169</v>
      </c>
      <c r="B128" s="20">
        <v>85.0</v>
      </c>
      <c r="C128" s="20" t="s">
        <v>3513</v>
      </c>
      <c r="D128" s="41">
        <v>45600.0</v>
      </c>
    </row>
    <row r="129" ht="16.5" customHeight="1">
      <c r="A129" s="19" t="s">
        <v>904</v>
      </c>
      <c r="B129" s="20">
        <v>85.0</v>
      </c>
      <c r="C129" s="20" t="s">
        <v>3514</v>
      </c>
      <c r="D129" s="41">
        <v>45600.0</v>
      </c>
    </row>
    <row r="130" ht="16.5" customHeight="1">
      <c r="A130" s="19" t="s">
        <v>19</v>
      </c>
      <c r="B130" s="20">
        <v>85.0</v>
      </c>
      <c r="C130" s="20" t="s">
        <v>3515</v>
      </c>
      <c r="D130" s="41">
        <v>45600.0</v>
      </c>
    </row>
    <row r="131" ht="16.5" customHeight="1">
      <c r="A131" s="19" t="s">
        <v>927</v>
      </c>
      <c r="B131" s="20">
        <v>85.0</v>
      </c>
      <c r="C131" s="20" t="s">
        <v>3516</v>
      </c>
      <c r="D131" s="41">
        <v>45600.0</v>
      </c>
    </row>
    <row r="132" ht="16.5" customHeight="1">
      <c r="A132" s="19" t="s">
        <v>921</v>
      </c>
      <c r="B132" s="20">
        <v>85.0</v>
      </c>
      <c r="C132" s="20" t="s">
        <v>3517</v>
      </c>
      <c r="D132" s="41">
        <v>45600.0</v>
      </c>
    </row>
    <row r="133" ht="16.5" customHeight="1">
      <c r="A133" s="19" t="s">
        <v>862</v>
      </c>
      <c r="B133" s="20">
        <v>85.0</v>
      </c>
      <c r="C133" s="20" t="s">
        <v>3518</v>
      </c>
      <c r="D133" s="41">
        <v>45600.0</v>
      </c>
    </row>
    <row r="134" ht="16.5" customHeight="1">
      <c r="A134" s="19" t="s">
        <v>956</v>
      </c>
      <c r="B134" s="20">
        <v>85.0</v>
      </c>
      <c r="C134" s="20" t="s">
        <v>3519</v>
      </c>
      <c r="D134" s="41">
        <v>45600.0</v>
      </c>
    </row>
    <row r="135" ht="16.5" customHeight="1">
      <c r="A135" s="19" t="s">
        <v>184</v>
      </c>
      <c r="B135" s="20">
        <v>85.0</v>
      </c>
      <c r="C135" s="20" t="s">
        <v>3520</v>
      </c>
      <c r="D135" s="41">
        <v>45600.0</v>
      </c>
    </row>
    <row r="136" ht="16.5" customHeight="1">
      <c r="A136" s="19" t="s">
        <v>229</v>
      </c>
      <c r="B136" s="20">
        <v>85.0</v>
      </c>
      <c r="C136" s="20" t="s">
        <v>3521</v>
      </c>
      <c r="D136" s="41">
        <v>45600.0</v>
      </c>
    </row>
    <row r="137" ht="16.5" customHeight="1">
      <c r="A137" s="19" t="s">
        <v>1059</v>
      </c>
      <c r="B137" s="20">
        <v>85.0</v>
      </c>
      <c r="C137" s="20" t="s">
        <v>3522</v>
      </c>
      <c r="D137" s="41">
        <v>45600.0</v>
      </c>
    </row>
    <row r="138" ht="16.5" customHeight="1">
      <c r="A138" s="19" t="s">
        <v>1067</v>
      </c>
      <c r="B138" s="20">
        <v>85.0</v>
      </c>
      <c r="C138" s="20" t="s">
        <v>3523</v>
      </c>
      <c r="D138" s="41">
        <v>45600.0</v>
      </c>
    </row>
    <row r="139" ht="16.5" customHeight="1">
      <c r="A139" s="19" t="s">
        <v>35</v>
      </c>
      <c r="B139" s="20">
        <v>85.0</v>
      </c>
      <c r="C139" s="20" t="s">
        <v>3524</v>
      </c>
      <c r="D139" s="41">
        <v>45600.0</v>
      </c>
    </row>
    <row r="140" ht="16.5" customHeight="1">
      <c r="A140" s="19" t="s">
        <v>1006</v>
      </c>
      <c r="B140" s="20">
        <v>85.0</v>
      </c>
      <c r="C140" s="20" t="s">
        <v>3525</v>
      </c>
      <c r="D140" s="41">
        <v>45600.0</v>
      </c>
    </row>
    <row r="141" ht="16.5" customHeight="1">
      <c r="A141" s="19" t="s">
        <v>66</v>
      </c>
      <c r="B141" s="20">
        <v>85.0</v>
      </c>
      <c r="C141" s="20" t="s">
        <v>3526</v>
      </c>
      <c r="D141" s="41">
        <v>45600.0</v>
      </c>
    </row>
    <row r="142" ht="16.5" customHeight="1">
      <c r="A142" s="19" t="s">
        <v>843</v>
      </c>
      <c r="B142" s="20">
        <v>85.0</v>
      </c>
      <c r="C142" s="20" t="s">
        <v>3527</v>
      </c>
      <c r="D142" s="41">
        <v>45600.0</v>
      </c>
    </row>
    <row r="143" ht="16.5" customHeight="1">
      <c r="A143" s="19" t="s">
        <v>1010</v>
      </c>
      <c r="B143" s="20">
        <v>85.0</v>
      </c>
      <c r="C143" s="20" t="s">
        <v>3528</v>
      </c>
      <c r="D143" s="41">
        <v>45600.0</v>
      </c>
    </row>
    <row r="144" ht="16.5" customHeight="1">
      <c r="A144" s="19" t="s">
        <v>798</v>
      </c>
      <c r="B144" s="20">
        <v>85.0</v>
      </c>
      <c r="C144" s="20" t="s">
        <v>3529</v>
      </c>
      <c r="D144" s="41">
        <v>45600.0</v>
      </c>
    </row>
    <row r="145" ht="16.5" customHeight="1">
      <c r="A145" s="19" t="s">
        <v>1560</v>
      </c>
      <c r="B145" s="20">
        <v>85.0</v>
      </c>
      <c r="C145" s="43" t="s">
        <v>3530</v>
      </c>
      <c r="D145" s="41">
        <v>45600.0</v>
      </c>
    </row>
    <row r="146" ht="16.5" customHeight="1">
      <c r="A146" s="19" t="s">
        <v>1053</v>
      </c>
      <c r="B146" s="20">
        <v>85.0</v>
      </c>
      <c r="C146" s="20" t="s">
        <v>3531</v>
      </c>
      <c r="D146" s="41">
        <v>45600.0</v>
      </c>
    </row>
    <row r="147" ht="16.5" customHeight="1">
      <c r="A147" s="19" t="s">
        <v>1279</v>
      </c>
      <c r="B147" s="20">
        <v>85.0</v>
      </c>
      <c r="C147" s="20" t="s">
        <v>3532</v>
      </c>
      <c r="D147" s="41">
        <v>45600.0</v>
      </c>
    </row>
    <row r="148" ht="16.5" customHeight="1">
      <c r="A148" s="19" t="s">
        <v>847</v>
      </c>
      <c r="B148" s="20">
        <v>85.0</v>
      </c>
      <c r="C148" s="20" t="s">
        <v>3533</v>
      </c>
      <c r="D148" s="41">
        <v>45600.0</v>
      </c>
    </row>
    <row r="149" ht="16.5" customHeight="1">
      <c r="A149" s="19" t="s">
        <v>97</v>
      </c>
      <c r="B149" s="20">
        <v>85.0</v>
      </c>
      <c r="C149" s="20" t="s">
        <v>3534</v>
      </c>
      <c r="D149" s="41">
        <v>45600.0</v>
      </c>
    </row>
    <row r="150" ht="16.5" customHeight="1">
      <c r="A150" s="19" t="s">
        <v>1123</v>
      </c>
      <c r="B150" s="20">
        <v>85.0</v>
      </c>
      <c r="C150" s="20" t="s">
        <v>3535</v>
      </c>
      <c r="D150" s="41">
        <v>45600.0</v>
      </c>
    </row>
    <row r="151" ht="16.5" customHeight="1">
      <c r="A151" s="19" t="s">
        <v>997</v>
      </c>
      <c r="B151" s="20">
        <v>85.0</v>
      </c>
      <c r="C151" s="20" t="s">
        <v>3536</v>
      </c>
      <c r="D151" s="41">
        <v>45600.0</v>
      </c>
    </row>
    <row r="152" ht="16.5" customHeight="1">
      <c r="A152" s="19" t="s">
        <v>982</v>
      </c>
      <c r="B152" s="20">
        <v>85.0</v>
      </c>
      <c r="C152" s="20" t="s">
        <v>3537</v>
      </c>
      <c r="D152" s="41">
        <v>45600.0</v>
      </c>
    </row>
    <row r="153" ht="16.5" customHeight="1">
      <c r="A153" s="19" t="s">
        <v>851</v>
      </c>
      <c r="B153" s="20">
        <v>85.0</v>
      </c>
      <c r="C153" s="20" t="s">
        <v>3538</v>
      </c>
      <c r="D153" s="41">
        <v>45600.0</v>
      </c>
    </row>
    <row r="154" ht="16.5" customHeight="1">
      <c r="A154" s="19" t="s">
        <v>239</v>
      </c>
      <c r="B154" s="20">
        <v>80.0</v>
      </c>
      <c r="C154" s="20" t="s">
        <v>3539</v>
      </c>
      <c r="D154" s="41">
        <v>45600.0</v>
      </c>
    </row>
    <row r="155" ht="16.5" customHeight="1">
      <c r="A155" s="19" t="s">
        <v>71</v>
      </c>
      <c r="B155" s="20">
        <v>80.0</v>
      </c>
      <c r="C155" s="20" t="s">
        <v>3540</v>
      </c>
      <c r="D155" s="41">
        <v>45600.0</v>
      </c>
    </row>
    <row r="156" ht="16.5" customHeight="1">
      <c r="A156" s="19" t="s">
        <v>1181</v>
      </c>
      <c r="B156" s="20">
        <v>80.0</v>
      </c>
      <c r="C156" s="20" t="s">
        <v>3541</v>
      </c>
      <c r="D156" s="41">
        <v>45600.0</v>
      </c>
    </row>
    <row r="157" ht="16.5" customHeight="1">
      <c r="A157" s="19" t="s">
        <v>198</v>
      </c>
      <c r="B157" s="20">
        <v>80.0</v>
      </c>
      <c r="C157" s="20" t="s">
        <v>3542</v>
      </c>
      <c r="D157" s="41">
        <v>45600.0</v>
      </c>
    </row>
    <row r="158" ht="16.5" customHeight="1">
      <c r="A158" s="19" t="s">
        <v>1325</v>
      </c>
      <c r="B158" s="20">
        <v>80.0</v>
      </c>
      <c r="C158" s="20" t="s">
        <v>3543</v>
      </c>
      <c r="D158" s="41">
        <v>45600.0</v>
      </c>
    </row>
    <row r="159" ht="16.5" customHeight="1">
      <c r="A159" s="19" t="s">
        <v>230</v>
      </c>
      <c r="B159" s="20">
        <v>80.0</v>
      </c>
      <c r="C159" s="20" t="s">
        <v>3544</v>
      </c>
      <c r="D159" s="41">
        <v>45600.0</v>
      </c>
    </row>
    <row r="160" ht="16.5" customHeight="1">
      <c r="A160" s="19" t="s">
        <v>1503</v>
      </c>
      <c r="B160" s="20">
        <v>80.0</v>
      </c>
      <c r="C160" s="20" t="s">
        <v>3545</v>
      </c>
      <c r="D160" s="41">
        <v>45600.0</v>
      </c>
    </row>
    <row r="161" ht="16.5" customHeight="1">
      <c r="A161" s="19" t="s">
        <v>1357</v>
      </c>
      <c r="B161" s="20">
        <v>80.0</v>
      </c>
      <c r="C161" s="20" t="s">
        <v>3546</v>
      </c>
      <c r="D161" s="41">
        <v>45600.0</v>
      </c>
    </row>
    <row r="162" ht="16.5" customHeight="1">
      <c r="A162" s="19" t="s">
        <v>1229</v>
      </c>
      <c r="B162" s="20">
        <v>80.0</v>
      </c>
      <c r="C162" s="20" t="s">
        <v>3547</v>
      </c>
      <c r="D162" s="41">
        <v>45600.0</v>
      </c>
    </row>
    <row r="163" ht="16.5" customHeight="1">
      <c r="A163" s="19" t="s">
        <v>296</v>
      </c>
      <c r="B163" s="20">
        <v>80.0</v>
      </c>
      <c r="C163" s="20" t="s">
        <v>3548</v>
      </c>
      <c r="D163" s="41">
        <v>45600.0</v>
      </c>
    </row>
    <row r="164" ht="16.5" customHeight="1">
      <c r="A164" s="19" t="s">
        <v>59</v>
      </c>
      <c r="B164" s="20">
        <v>80.0</v>
      </c>
      <c r="C164" s="20" t="s">
        <v>3549</v>
      </c>
      <c r="D164" s="41">
        <v>45600.0</v>
      </c>
    </row>
    <row r="165" ht="16.5" customHeight="1">
      <c r="A165" s="19" t="s">
        <v>1493</v>
      </c>
      <c r="B165" s="20">
        <v>80.0</v>
      </c>
      <c r="C165" s="20" t="s">
        <v>3550</v>
      </c>
      <c r="D165" s="41">
        <v>45600.0</v>
      </c>
    </row>
    <row r="166" ht="16.5" customHeight="1">
      <c r="A166" s="19" t="s">
        <v>1611</v>
      </c>
      <c r="B166" s="20">
        <v>80.0</v>
      </c>
      <c r="C166" s="20" t="s">
        <v>3551</v>
      </c>
      <c r="D166" s="41">
        <v>45600.0</v>
      </c>
    </row>
    <row r="167" ht="16.5" customHeight="1">
      <c r="A167" s="19" t="s">
        <v>1613</v>
      </c>
      <c r="B167" s="20">
        <v>80.0</v>
      </c>
      <c r="C167" s="20" t="s">
        <v>3552</v>
      </c>
      <c r="D167" s="41">
        <v>45600.0</v>
      </c>
    </row>
    <row r="168" ht="16.5" customHeight="1">
      <c r="A168" s="19" t="s">
        <v>1594</v>
      </c>
      <c r="B168" s="20">
        <v>80.0</v>
      </c>
      <c r="C168" s="20" t="s">
        <v>3553</v>
      </c>
      <c r="D168" s="41">
        <v>45600.0</v>
      </c>
    </row>
    <row r="169" ht="16.5" customHeight="1">
      <c r="A169" s="19" t="s">
        <v>1185</v>
      </c>
      <c r="B169" s="20">
        <v>80.0</v>
      </c>
      <c r="C169" s="20" t="s">
        <v>3554</v>
      </c>
      <c r="D169" s="41">
        <v>45600.0</v>
      </c>
    </row>
    <row r="170" ht="16.5" customHeight="1">
      <c r="A170" s="19" t="s">
        <v>886</v>
      </c>
      <c r="B170" s="20">
        <v>80.0</v>
      </c>
      <c r="C170" s="20" t="s">
        <v>3555</v>
      </c>
      <c r="D170" s="41">
        <v>45600.0</v>
      </c>
    </row>
    <row r="171" ht="16.5" customHeight="1">
      <c r="A171" s="19" t="s">
        <v>1167</v>
      </c>
      <c r="B171" s="20">
        <v>80.0</v>
      </c>
      <c r="C171" s="20" t="s">
        <v>3556</v>
      </c>
      <c r="D171" s="41">
        <v>45600.0</v>
      </c>
    </row>
    <row r="172" ht="16.5" customHeight="1">
      <c r="A172" s="19" t="s">
        <v>1161</v>
      </c>
      <c r="B172" s="20">
        <v>80.0</v>
      </c>
      <c r="C172" s="20" t="s">
        <v>3557</v>
      </c>
      <c r="D172" s="41">
        <v>45600.0</v>
      </c>
    </row>
    <row r="173" ht="16.5" customHeight="1">
      <c r="A173" s="19" t="s">
        <v>1367</v>
      </c>
      <c r="B173" s="20">
        <v>80.0</v>
      </c>
      <c r="C173" s="20" t="s">
        <v>3558</v>
      </c>
      <c r="D173" s="41">
        <v>45600.0</v>
      </c>
    </row>
    <row r="174" ht="16.5" customHeight="1">
      <c r="A174" s="19" t="s">
        <v>831</v>
      </c>
      <c r="B174" s="20">
        <v>80.0</v>
      </c>
      <c r="C174" s="20" t="s">
        <v>3559</v>
      </c>
      <c r="D174" s="41">
        <v>45600.0</v>
      </c>
    </row>
    <row r="175" ht="16.5" customHeight="1">
      <c r="A175" s="19" t="s">
        <v>451</v>
      </c>
      <c r="B175" s="20">
        <v>80.0</v>
      </c>
      <c r="C175" s="43" t="s">
        <v>3560</v>
      </c>
      <c r="D175" s="41">
        <v>45600.0</v>
      </c>
    </row>
    <row r="176" ht="16.5" customHeight="1">
      <c r="A176" s="19" t="s">
        <v>1135</v>
      </c>
      <c r="B176" s="20">
        <v>80.0</v>
      </c>
      <c r="C176" s="20" t="s">
        <v>3561</v>
      </c>
      <c r="D176" s="41">
        <v>45600.0</v>
      </c>
    </row>
    <row r="177" ht="16.5" customHeight="1">
      <c r="A177" s="19" t="s">
        <v>15</v>
      </c>
      <c r="B177" s="20">
        <v>80.0</v>
      </c>
      <c r="C177" s="20" t="s">
        <v>3562</v>
      </c>
      <c r="D177" s="41">
        <v>45600.0</v>
      </c>
    </row>
    <row r="178" ht="16.5" customHeight="1">
      <c r="A178" s="19" t="s">
        <v>893</v>
      </c>
      <c r="B178" s="20">
        <v>80.0</v>
      </c>
      <c r="C178" s="20" t="s">
        <v>3563</v>
      </c>
      <c r="D178" s="41">
        <v>45600.0</v>
      </c>
    </row>
    <row r="179" ht="16.5" customHeight="1">
      <c r="A179" s="19" t="s">
        <v>1038</v>
      </c>
      <c r="B179" s="20">
        <v>80.0</v>
      </c>
      <c r="C179" s="20" t="s">
        <v>3564</v>
      </c>
      <c r="D179" s="41">
        <v>45600.0</v>
      </c>
    </row>
    <row r="180" ht="16.5" customHeight="1">
      <c r="A180" s="19" t="s">
        <v>968</v>
      </c>
      <c r="B180" s="20">
        <v>80.0</v>
      </c>
      <c r="C180" s="20" t="s">
        <v>3565</v>
      </c>
      <c r="D180" s="41">
        <v>45600.0</v>
      </c>
    </row>
    <row r="181" ht="16.5" customHeight="1">
      <c r="A181" s="19" t="s">
        <v>20</v>
      </c>
      <c r="B181" s="20">
        <v>80.0</v>
      </c>
      <c r="C181" s="20" t="s">
        <v>3566</v>
      </c>
      <c r="D181" s="41">
        <v>45600.0</v>
      </c>
    </row>
    <row r="182" ht="16.5" customHeight="1">
      <c r="A182" s="19" t="s">
        <v>125</v>
      </c>
      <c r="B182" s="20">
        <v>80.0</v>
      </c>
      <c r="C182" s="20" t="s">
        <v>3567</v>
      </c>
      <c r="D182" s="41">
        <v>45600.0</v>
      </c>
    </row>
    <row r="183" ht="16.5" customHeight="1">
      <c r="A183" s="19" t="s">
        <v>1336</v>
      </c>
      <c r="B183" s="20">
        <v>80.0</v>
      </c>
      <c r="C183" s="20" t="s">
        <v>3568</v>
      </c>
      <c r="D183" s="41">
        <v>45600.0</v>
      </c>
    </row>
    <row r="184" ht="16.5" customHeight="1">
      <c r="A184" s="19" t="s">
        <v>1187</v>
      </c>
      <c r="B184" s="20">
        <v>80.0</v>
      </c>
      <c r="C184" s="20" t="s">
        <v>3569</v>
      </c>
      <c r="D184" s="41">
        <v>45600.0</v>
      </c>
    </row>
    <row r="185" ht="16.5" customHeight="1">
      <c r="A185" s="19" t="s">
        <v>1260</v>
      </c>
      <c r="B185" s="20">
        <v>80.0</v>
      </c>
      <c r="C185" s="20" t="s">
        <v>3570</v>
      </c>
      <c r="D185" s="41">
        <v>45600.0</v>
      </c>
    </row>
    <row r="186" ht="16.5" customHeight="1">
      <c r="A186" s="19" t="s">
        <v>33</v>
      </c>
      <c r="B186" s="20">
        <v>80.0</v>
      </c>
      <c r="C186" s="20" t="s">
        <v>3571</v>
      </c>
      <c r="D186" s="41">
        <v>45600.0</v>
      </c>
    </row>
    <row r="187" ht="16.5" customHeight="1">
      <c r="A187" s="19" t="s">
        <v>1143</v>
      </c>
      <c r="B187" s="20">
        <v>80.0</v>
      </c>
      <c r="C187" s="20" t="s">
        <v>3572</v>
      </c>
      <c r="D187" s="41">
        <v>45600.0</v>
      </c>
    </row>
    <row r="188" ht="16.5" customHeight="1">
      <c r="A188" s="19" t="s">
        <v>1562</v>
      </c>
      <c r="B188" s="20">
        <v>80.0</v>
      </c>
      <c r="C188" s="20" t="s">
        <v>3573</v>
      </c>
      <c r="D188" s="41">
        <v>45600.0</v>
      </c>
    </row>
    <row r="189" ht="16.5" customHeight="1">
      <c r="A189" s="19" t="s">
        <v>455</v>
      </c>
      <c r="B189" s="20">
        <v>80.0</v>
      </c>
      <c r="C189" s="20" t="s">
        <v>3574</v>
      </c>
      <c r="D189" s="41">
        <v>45600.0</v>
      </c>
    </row>
    <row r="190" ht="16.5" customHeight="1">
      <c r="A190" s="19" t="s">
        <v>1281</v>
      </c>
      <c r="B190" s="20">
        <v>80.0</v>
      </c>
      <c r="C190" s="20" t="s">
        <v>3575</v>
      </c>
      <c r="D190" s="41">
        <v>45600.0</v>
      </c>
    </row>
    <row r="191" ht="16.5" customHeight="1">
      <c r="A191" s="19" t="s">
        <v>1460</v>
      </c>
      <c r="B191" s="20">
        <v>80.0</v>
      </c>
      <c r="C191" s="20" t="s">
        <v>3576</v>
      </c>
      <c r="D191" s="41">
        <v>45600.0</v>
      </c>
    </row>
    <row r="192" ht="16.5" customHeight="1">
      <c r="A192" s="19" t="s">
        <v>1045</v>
      </c>
      <c r="B192" s="20">
        <v>80.0</v>
      </c>
      <c r="C192" s="20" t="s">
        <v>3577</v>
      </c>
      <c r="D192" s="41">
        <v>45600.0</v>
      </c>
    </row>
    <row r="193" ht="16.5" customHeight="1">
      <c r="A193" s="19" t="s">
        <v>1117</v>
      </c>
      <c r="B193" s="20">
        <v>80.0</v>
      </c>
      <c r="C193" s="20" t="s">
        <v>3578</v>
      </c>
      <c r="D193" s="41">
        <v>45600.0</v>
      </c>
    </row>
    <row r="194" ht="16.5" customHeight="1">
      <c r="A194" s="19" t="s">
        <v>1221</v>
      </c>
      <c r="B194" s="20">
        <v>80.0</v>
      </c>
      <c r="C194" s="20" t="s">
        <v>3579</v>
      </c>
      <c r="D194" s="41">
        <v>45600.0</v>
      </c>
    </row>
    <row r="195" ht="16.5" customHeight="1">
      <c r="A195" s="19" t="s">
        <v>958</v>
      </c>
      <c r="B195" s="20">
        <v>80.0</v>
      </c>
      <c r="C195" s="20" t="s">
        <v>3580</v>
      </c>
      <c r="D195" s="41">
        <v>45600.0</v>
      </c>
    </row>
    <row r="196" ht="16.5" customHeight="1">
      <c r="A196" s="19" t="s">
        <v>287</v>
      </c>
      <c r="B196" s="20">
        <v>80.0</v>
      </c>
      <c r="C196" s="20" t="s">
        <v>3581</v>
      </c>
      <c r="D196" s="41">
        <v>45600.0</v>
      </c>
    </row>
    <row r="197" ht="16.5" customHeight="1">
      <c r="A197" s="19" t="s">
        <v>542</v>
      </c>
      <c r="B197" s="20">
        <v>80.0</v>
      </c>
      <c r="C197" s="20" t="s">
        <v>3582</v>
      </c>
      <c r="D197" s="41">
        <v>45600.0</v>
      </c>
    </row>
    <row r="198" ht="16.5" customHeight="1">
      <c r="A198" s="19" t="s">
        <v>276</v>
      </c>
      <c r="B198" s="20">
        <v>75.0</v>
      </c>
      <c r="C198" s="20" t="s">
        <v>3583</v>
      </c>
      <c r="D198" s="41">
        <v>45600.0</v>
      </c>
    </row>
    <row r="199" ht="16.5" customHeight="1">
      <c r="A199" s="19" t="s">
        <v>1155</v>
      </c>
      <c r="B199" s="20">
        <v>75.0</v>
      </c>
      <c r="C199" s="20" t="s">
        <v>3584</v>
      </c>
      <c r="D199" s="41">
        <v>45600.0</v>
      </c>
    </row>
    <row r="200" ht="16.5" customHeight="1">
      <c r="A200" s="19" t="s">
        <v>1065</v>
      </c>
      <c r="B200" s="20">
        <v>75.0</v>
      </c>
      <c r="C200" s="20" t="s">
        <v>3585</v>
      </c>
      <c r="D200" s="41">
        <v>45600.0</v>
      </c>
    </row>
    <row r="201" ht="16.5" customHeight="1">
      <c r="A201" s="19" t="s">
        <v>1321</v>
      </c>
      <c r="B201" s="20">
        <v>75.0</v>
      </c>
      <c r="C201" s="20" t="s">
        <v>3586</v>
      </c>
      <c r="D201" s="41">
        <v>45600.0</v>
      </c>
    </row>
    <row r="202" ht="16.5" customHeight="1">
      <c r="A202" s="19" t="s">
        <v>1163</v>
      </c>
      <c r="B202" s="20">
        <v>75.0</v>
      </c>
      <c r="C202" s="20" t="s">
        <v>3587</v>
      </c>
      <c r="D202" s="41">
        <v>45600.0</v>
      </c>
    </row>
    <row r="203" ht="16.5" customHeight="1">
      <c r="A203" s="19" t="s">
        <v>1307</v>
      </c>
      <c r="B203" s="20">
        <v>75.0</v>
      </c>
      <c r="C203" s="20" t="s">
        <v>3588</v>
      </c>
      <c r="D203" s="41">
        <v>45600.0</v>
      </c>
    </row>
    <row r="204" ht="16.5" customHeight="1">
      <c r="A204" s="19" t="s">
        <v>243</v>
      </c>
      <c r="B204" s="20">
        <v>75.0</v>
      </c>
      <c r="C204" s="20" t="s">
        <v>3589</v>
      </c>
      <c r="D204" s="41">
        <v>45600.0</v>
      </c>
    </row>
    <row r="205" ht="16.5" customHeight="1">
      <c r="A205" s="19" t="s">
        <v>1061</v>
      </c>
      <c r="B205" s="20">
        <v>75.0</v>
      </c>
      <c r="C205" s="20" t="s">
        <v>3590</v>
      </c>
      <c r="D205" s="41">
        <v>45600.0</v>
      </c>
    </row>
    <row r="206" ht="16.5" customHeight="1">
      <c r="A206" s="19" t="s">
        <v>3112</v>
      </c>
      <c r="B206" s="20">
        <v>75.0</v>
      </c>
      <c r="C206" s="20" t="s">
        <v>3591</v>
      </c>
      <c r="D206" s="41">
        <v>45600.0</v>
      </c>
    </row>
    <row r="207" ht="16.5" customHeight="1">
      <c r="A207" s="19" t="s">
        <v>231</v>
      </c>
      <c r="B207" s="20">
        <v>75.0</v>
      </c>
      <c r="C207" s="20" t="s">
        <v>3592</v>
      </c>
      <c r="D207" s="41">
        <v>45600.0</v>
      </c>
    </row>
    <row r="208" ht="16.5" customHeight="1">
      <c r="A208" s="19" t="s">
        <v>278</v>
      </c>
      <c r="B208" s="20">
        <v>75.0</v>
      </c>
      <c r="C208" s="20" t="s">
        <v>3593</v>
      </c>
      <c r="D208" s="41">
        <v>45600.0</v>
      </c>
    </row>
    <row r="209" ht="16.5" customHeight="1">
      <c r="A209" s="19" t="s">
        <v>1487</v>
      </c>
      <c r="B209" s="20">
        <v>75.0</v>
      </c>
      <c r="C209" s="20" t="s">
        <v>3594</v>
      </c>
      <c r="D209" s="41">
        <v>45600.0</v>
      </c>
    </row>
    <row r="210" ht="16.5" customHeight="1">
      <c r="A210" s="19" t="s">
        <v>1153</v>
      </c>
      <c r="B210" s="20">
        <v>75.0</v>
      </c>
      <c r="C210" s="20" t="s">
        <v>3595</v>
      </c>
      <c r="D210" s="41">
        <v>45600.0</v>
      </c>
    </row>
    <row r="211" ht="16.5" customHeight="1">
      <c r="A211" s="19" t="s">
        <v>1485</v>
      </c>
      <c r="B211" s="20">
        <v>75.0</v>
      </c>
      <c r="C211" s="20" t="s">
        <v>3596</v>
      </c>
      <c r="D211" s="41">
        <v>45600.0</v>
      </c>
    </row>
    <row r="212" ht="16.5" customHeight="1">
      <c r="A212" s="19" t="s">
        <v>868</v>
      </c>
      <c r="B212" s="20">
        <v>75.0</v>
      </c>
      <c r="C212" s="20" t="s">
        <v>3597</v>
      </c>
      <c r="D212" s="41">
        <v>45600.0</v>
      </c>
    </row>
    <row r="213" ht="16.5" customHeight="1">
      <c r="A213" s="19" t="s">
        <v>180</v>
      </c>
      <c r="B213" s="20">
        <v>75.0</v>
      </c>
      <c r="C213" s="20" t="s">
        <v>3598</v>
      </c>
      <c r="D213" s="41">
        <v>45600.0</v>
      </c>
    </row>
    <row r="214" ht="16.5" customHeight="1">
      <c r="A214" s="19" t="s">
        <v>1427</v>
      </c>
      <c r="B214" s="20">
        <v>75.0</v>
      </c>
      <c r="C214" s="20" t="s">
        <v>3599</v>
      </c>
      <c r="D214" s="41">
        <v>45600.0</v>
      </c>
    </row>
    <row r="215" ht="16.5" customHeight="1">
      <c r="A215" s="19" t="s">
        <v>1393</v>
      </c>
      <c r="B215" s="20">
        <v>75.0</v>
      </c>
      <c r="C215" s="20" t="s">
        <v>3600</v>
      </c>
      <c r="D215" s="41">
        <v>45600.0</v>
      </c>
    </row>
    <row r="216" ht="16.5" customHeight="1">
      <c r="A216" s="19" t="s">
        <v>888</v>
      </c>
      <c r="B216" s="20">
        <v>75.0</v>
      </c>
      <c r="C216" s="20" t="s">
        <v>3601</v>
      </c>
      <c r="D216" s="41">
        <v>45600.0</v>
      </c>
    </row>
    <row r="217" ht="16.5" customHeight="1">
      <c r="A217" s="19" t="s">
        <v>839</v>
      </c>
      <c r="B217" s="20">
        <v>75.0</v>
      </c>
      <c r="C217" s="20" t="s">
        <v>3602</v>
      </c>
      <c r="D217" s="41">
        <v>45600.0</v>
      </c>
    </row>
    <row r="218" ht="16.5" customHeight="1">
      <c r="A218" s="19" t="s">
        <v>1389</v>
      </c>
      <c r="B218" s="20">
        <v>75.0</v>
      </c>
      <c r="C218" s="20" t="s">
        <v>3603</v>
      </c>
      <c r="D218" s="41">
        <v>45600.0</v>
      </c>
    </row>
    <row r="219" ht="16.5" customHeight="1">
      <c r="A219" s="19" t="s">
        <v>1498</v>
      </c>
      <c r="B219" s="20">
        <v>75.0</v>
      </c>
      <c r="C219" s="20" t="s">
        <v>3604</v>
      </c>
      <c r="D219" s="41">
        <v>45600.0</v>
      </c>
    </row>
    <row r="220" ht="16.5" customHeight="1">
      <c r="A220" s="19" t="s">
        <v>1019</v>
      </c>
      <c r="B220" s="20">
        <v>75.0</v>
      </c>
      <c r="C220" s="20" t="s">
        <v>3605</v>
      </c>
      <c r="D220" s="41">
        <v>45600.0</v>
      </c>
    </row>
    <row r="221" ht="16.5" customHeight="1">
      <c r="A221" s="19" t="s">
        <v>1354</v>
      </c>
      <c r="B221" s="20">
        <v>75.0</v>
      </c>
      <c r="C221" s="20" t="s">
        <v>3606</v>
      </c>
      <c r="D221" s="41">
        <v>45600.0</v>
      </c>
    </row>
    <row r="222" ht="16.5" customHeight="1">
      <c r="A222" s="19" t="s">
        <v>1400</v>
      </c>
      <c r="B222" s="20">
        <v>75.0</v>
      </c>
      <c r="C222" s="20" t="s">
        <v>3607</v>
      </c>
      <c r="D222" s="41">
        <v>45600.0</v>
      </c>
    </row>
    <row r="223" ht="16.5" customHeight="1">
      <c r="A223" s="19" t="s">
        <v>51</v>
      </c>
      <c r="B223" s="20">
        <v>75.0</v>
      </c>
      <c r="C223" s="20" t="s">
        <v>3608</v>
      </c>
      <c r="D223" s="41">
        <v>45600.0</v>
      </c>
    </row>
    <row r="224" ht="16.5" customHeight="1">
      <c r="A224" s="19" t="s">
        <v>1458</v>
      </c>
      <c r="B224" s="20">
        <v>75.0</v>
      </c>
      <c r="C224" s="20" t="s">
        <v>3609</v>
      </c>
      <c r="D224" s="41">
        <v>45600.0</v>
      </c>
    </row>
    <row r="225" ht="16.5" customHeight="1">
      <c r="A225" s="19" t="s">
        <v>147</v>
      </c>
      <c r="B225" s="20">
        <v>75.0</v>
      </c>
      <c r="C225" s="20" t="s">
        <v>3610</v>
      </c>
      <c r="D225" s="41">
        <v>45600.0</v>
      </c>
    </row>
    <row r="226" ht="16.5" customHeight="1">
      <c r="A226" s="19" t="s">
        <v>816</v>
      </c>
      <c r="B226" s="20">
        <v>75.0</v>
      </c>
      <c r="C226" s="20" t="s">
        <v>3611</v>
      </c>
      <c r="D226" s="41">
        <v>45600.0</v>
      </c>
    </row>
    <row r="227" ht="16.5" customHeight="1">
      <c r="A227" s="19" t="s">
        <v>1490</v>
      </c>
      <c r="B227" s="20">
        <v>75.0</v>
      </c>
      <c r="C227" s="20" t="s">
        <v>3612</v>
      </c>
      <c r="D227" s="41">
        <v>45600.0</v>
      </c>
    </row>
    <row r="228" ht="16.5" customHeight="1">
      <c r="A228" s="19" t="s">
        <v>1098</v>
      </c>
      <c r="B228" s="20">
        <v>75.0</v>
      </c>
      <c r="C228" s="20" t="s">
        <v>3613</v>
      </c>
      <c r="D228" s="41">
        <v>45600.0</v>
      </c>
    </row>
    <row r="229" ht="16.5" customHeight="1">
      <c r="A229" s="19" t="s">
        <v>1423</v>
      </c>
      <c r="B229" s="20">
        <v>75.0</v>
      </c>
      <c r="C229" s="20" t="s">
        <v>3614</v>
      </c>
      <c r="D229" s="41">
        <v>45600.0</v>
      </c>
    </row>
    <row r="230" ht="16.5" customHeight="1">
      <c r="A230" s="19" t="s">
        <v>1104</v>
      </c>
      <c r="B230" s="20">
        <v>75.0</v>
      </c>
      <c r="C230" s="20" t="s">
        <v>3615</v>
      </c>
      <c r="D230" s="41">
        <v>45600.0</v>
      </c>
    </row>
    <row r="231" ht="16.5" customHeight="1">
      <c r="A231" s="19" t="s">
        <v>1558</v>
      </c>
      <c r="B231" s="20">
        <v>75.0</v>
      </c>
      <c r="C231" s="20" t="s">
        <v>3616</v>
      </c>
      <c r="D231" s="41">
        <v>45600.0</v>
      </c>
    </row>
    <row r="232" ht="16.5" customHeight="1">
      <c r="A232" s="19" t="s">
        <v>866</v>
      </c>
      <c r="B232" s="20">
        <v>75.0</v>
      </c>
      <c r="C232" s="20" t="s">
        <v>3617</v>
      </c>
      <c r="D232" s="41">
        <v>45600.0</v>
      </c>
    </row>
    <row r="233" ht="16.5" customHeight="1">
      <c r="A233" s="19" t="s">
        <v>919</v>
      </c>
      <c r="B233" s="20">
        <v>75.0</v>
      </c>
      <c r="C233" s="20" t="s">
        <v>3618</v>
      </c>
      <c r="D233" s="41">
        <v>45600.0</v>
      </c>
    </row>
    <row r="234" ht="16.5" customHeight="1">
      <c r="A234" s="19" t="s">
        <v>551</v>
      </c>
      <c r="B234" s="20">
        <v>75.0</v>
      </c>
      <c r="C234" s="20" t="s">
        <v>3619</v>
      </c>
      <c r="D234" s="41">
        <v>45600.0</v>
      </c>
    </row>
    <row r="235" ht="16.5" customHeight="1">
      <c r="A235" s="19" t="s">
        <v>1564</v>
      </c>
      <c r="B235" s="20">
        <v>75.0</v>
      </c>
      <c r="C235" s="20" t="s">
        <v>3620</v>
      </c>
      <c r="D235" s="41">
        <v>45600.0</v>
      </c>
    </row>
    <row r="236" ht="16.5" customHeight="1">
      <c r="A236" s="19" t="s">
        <v>1431</v>
      </c>
      <c r="B236" s="20">
        <v>75.0</v>
      </c>
      <c r="C236" s="20" t="s">
        <v>3621</v>
      </c>
      <c r="D236" s="41">
        <v>45600.0</v>
      </c>
    </row>
    <row r="237" ht="16.5" customHeight="1">
      <c r="A237" s="19" t="s">
        <v>1094</v>
      </c>
      <c r="B237" s="20">
        <v>75.0</v>
      </c>
      <c r="C237" s="20" t="s">
        <v>3622</v>
      </c>
      <c r="D237" s="41">
        <v>45600.0</v>
      </c>
    </row>
    <row r="238" ht="16.5" customHeight="1">
      <c r="A238" s="19" t="s">
        <v>929</v>
      </c>
      <c r="B238" s="20">
        <v>75.0</v>
      </c>
      <c r="C238" s="20" t="s">
        <v>3623</v>
      </c>
      <c r="D238" s="41">
        <v>45600.0</v>
      </c>
    </row>
    <row r="239" ht="16.5" customHeight="1">
      <c r="A239" s="19" t="s">
        <v>1533</v>
      </c>
      <c r="B239" s="20">
        <v>75.0</v>
      </c>
      <c r="C239" s="20" t="s">
        <v>3624</v>
      </c>
      <c r="D239" s="41">
        <v>45600.0</v>
      </c>
    </row>
    <row r="240" ht="16.5" customHeight="1">
      <c r="A240" s="19" t="s">
        <v>1262</v>
      </c>
      <c r="B240" s="20">
        <v>75.0</v>
      </c>
      <c r="C240" s="20" t="s">
        <v>3625</v>
      </c>
      <c r="D240" s="41">
        <v>45600.0</v>
      </c>
    </row>
    <row r="241" ht="16.5" customHeight="1">
      <c r="A241" s="19" t="s">
        <v>139</v>
      </c>
      <c r="B241" s="20">
        <v>75.0</v>
      </c>
      <c r="C241" s="20" t="s">
        <v>3626</v>
      </c>
      <c r="D241" s="41">
        <v>45600.0</v>
      </c>
    </row>
    <row r="242" ht="16.5" customHeight="1">
      <c r="A242" s="19" t="s">
        <v>1219</v>
      </c>
      <c r="B242" s="20">
        <v>75.0</v>
      </c>
      <c r="C242" s="20" t="s">
        <v>3627</v>
      </c>
      <c r="D242" s="41">
        <v>45600.0</v>
      </c>
    </row>
    <row r="243" ht="16.5" customHeight="1">
      <c r="A243" s="19" t="s">
        <v>1317</v>
      </c>
      <c r="B243" s="20">
        <v>75.0</v>
      </c>
      <c r="C243" s="20" t="s">
        <v>3628</v>
      </c>
      <c r="D243" s="41">
        <v>45600.0</v>
      </c>
    </row>
    <row r="244" ht="16.5" customHeight="1">
      <c r="A244" s="19" t="s">
        <v>1425</v>
      </c>
      <c r="B244" s="20">
        <v>75.0</v>
      </c>
      <c r="C244" s="20" t="s">
        <v>3629</v>
      </c>
      <c r="D244" s="41">
        <v>45600.0</v>
      </c>
    </row>
    <row r="245" ht="16.5" customHeight="1">
      <c r="A245" s="19" t="s">
        <v>165</v>
      </c>
      <c r="B245" s="20">
        <v>75.0</v>
      </c>
      <c r="C245" s="20" t="s">
        <v>3630</v>
      </c>
      <c r="D245" s="41">
        <v>45600.0</v>
      </c>
    </row>
    <row r="246" ht="16.5" customHeight="1">
      <c r="A246" s="19" t="s">
        <v>1462</v>
      </c>
      <c r="B246" s="20">
        <v>75.0</v>
      </c>
      <c r="C246" s="20" t="s">
        <v>3631</v>
      </c>
      <c r="D246" s="41">
        <v>45600.0</v>
      </c>
    </row>
    <row r="247" ht="16.5" customHeight="1">
      <c r="A247" s="19" t="s">
        <v>1268</v>
      </c>
      <c r="B247" s="20">
        <v>75.0</v>
      </c>
      <c r="C247" s="20" t="s">
        <v>3632</v>
      </c>
      <c r="D247" s="41">
        <v>45600.0</v>
      </c>
    </row>
    <row r="248" ht="16.5" customHeight="1">
      <c r="A248" s="19" t="s">
        <v>1545</v>
      </c>
      <c r="B248" s="20">
        <v>75.0</v>
      </c>
      <c r="C248" s="20" t="s">
        <v>3633</v>
      </c>
      <c r="D248" s="41">
        <v>45600.0</v>
      </c>
    </row>
    <row r="249" ht="16.5" customHeight="1">
      <c r="A249" s="19" t="s">
        <v>1125</v>
      </c>
      <c r="B249" s="20">
        <v>75.0</v>
      </c>
      <c r="C249" s="20" t="s">
        <v>3634</v>
      </c>
      <c r="D249" s="41">
        <v>45600.0</v>
      </c>
    </row>
    <row r="250" ht="16.5" customHeight="1">
      <c r="A250" s="19" t="s">
        <v>995</v>
      </c>
      <c r="B250" s="20">
        <v>75.0</v>
      </c>
      <c r="C250" s="20" t="s">
        <v>3635</v>
      </c>
      <c r="D250" s="41">
        <v>45600.0</v>
      </c>
    </row>
    <row r="251" ht="16.5" customHeight="1">
      <c r="A251" s="19" t="s">
        <v>1119</v>
      </c>
      <c r="B251" s="20">
        <v>75.0</v>
      </c>
      <c r="C251" s="20" t="s">
        <v>3636</v>
      </c>
      <c r="D251" s="41">
        <v>45600.0</v>
      </c>
    </row>
    <row r="252" ht="16.5" customHeight="1">
      <c r="A252" s="19" t="s">
        <v>61</v>
      </c>
      <c r="B252" s="20">
        <v>75.0</v>
      </c>
      <c r="C252" s="20" t="s">
        <v>3637</v>
      </c>
      <c r="D252" s="41">
        <v>45600.0</v>
      </c>
    </row>
    <row r="253" ht="16.5" customHeight="1">
      <c r="A253" s="19" t="s">
        <v>1100</v>
      </c>
      <c r="B253" s="20">
        <v>75.0</v>
      </c>
      <c r="C253" s="20" t="s">
        <v>3638</v>
      </c>
      <c r="D253" s="41">
        <v>45600.0</v>
      </c>
    </row>
    <row r="254" ht="16.5" customHeight="1">
      <c r="A254" s="19" t="s">
        <v>186</v>
      </c>
      <c r="B254" s="20">
        <v>75.0</v>
      </c>
      <c r="C254" s="20" t="s">
        <v>3639</v>
      </c>
      <c r="D254" s="41">
        <v>45600.0</v>
      </c>
    </row>
    <row r="255" ht="16.5" customHeight="1">
      <c r="A255" s="19" t="s">
        <v>187</v>
      </c>
      <c r="B255" s="20">
        <v>75.0</v>
      </c>
      <c r="C255" s="20" t="s">
        <v>3640</v>
      </c>
      <c r="D255" s="41">
        <v>45600.0</v>
      </c>
    </row>
    <row r="256" ht="16.5" customHeight="1">
      <c r="A256" s="19" t="s">
        <v>1295</v>
      </c>
      <c r="B256" s="20">
        <v>75.0</v>
      </c>
      <c r="C256" s="20" t="s">
        <v>3641</v>
      </c>
      <c r="D256" s="41">
        <v>45600.0</v>
      </c>
    </row>
    <row r="257" ht="16.5" customHeight="1">
      <c r="A257" s="19" t="s">
        <v>1008</v>
      </c>
      <c r="B257" s="20">
        <v>75.0</v>
      </c>
      <c r="C257" s="20" t="s">
        <v>3642</v>
      </c>
      <c r="D257" s="41">
        <v>45600.0</v>
      </c>
    </row>
    <row r="258" ht="16.5" customHeight="1">
      <c r="A258" s="19" t="s">
        <v>1299</v>
      </c>
      <c r="B258" s="20">
        <v>75.0</v>
      </c>
      <c r="C258" s="20" t="s">
        <v>3643</v>
      </c>
      <c r="D258" s="41">
        <v>45600.0</v>
      </c>
    </row>
    <row r="259" ht="16.5" customHeight="1">
      <c r="A259" s="19" t="s">
        <v>845</v>
      </c>
      <c r="B259" s="20">
        <v>75.0</v>
      </c>
      <c r="C259" s="20" t="s">
        <v>3644</v>
      </c>
      <c r="D259" s="41">
        <v>45600.0</v>
      </c>
    </row>
    <row r="260" ht="16.5" customHeight="1">
      <c r="A260" s="19" t="s">
        <v>1086</v>
      </c>
      <c r="B260" s="20">
        <v>75.0</v>
      </c>
      <c r="C260" s="20" t="s">
        <v>3645</v>
      </c>
      <c r="D260" s="41">
        <v>45600.0</v>
      </c>
    </row>
    <row r="261" ht="16.5" customHeight="1">
      <c r="A261" s="19" t="s">
        <v>168</v>
      </c>
      <c r="B261" s="20">
        <v>75.0</v>
      </c>
      <c r="C261" s="20" t="s">
        <v>3646</v>
      </c>
      <c r="D261" s="41">
        <v>45600.0</v>
      </c>
    </row>
    <row r="262" ht="16.5" customHeight="1">
      <c r="A262" s="19" t="s">
        <v>906</v>
      </c>
      <c r="B262" s="20">
        <v>75.0</v>
      </c>
      <c r="C262" s="20" t="s">
        <v>3647</v>
      </c>
      <c r="D262" s="41">
        <v>45600.0</v>
      </c>
    </row>
    <row r="263" ht="16.5" customHeight="1">
      <c r="A263" s="19" t="s">
        <v>122</v>
      </c>
      <c r="B263" s="20">
        <v>75.0</v>
      </c>
      <c r="C263" s="20" t="s">
        <v>3648</v>
      </c>
      <c r="D263" s="41">
        <v>45600.0</v>
      </c>
    </row>
    <row r="264" ht="16.5" customHeight="1">
      <c r="A264" s="19" t="s">
        <v>1089</v>
      </c>
      <c r="B264" s="20">
        <v>75.0</v>
      </c>
      <c r="C264" s="20" t="s">
        <v>3649</v>
      </c>
      <c r="D264" s="41">
        <v>45600.0</v>
      </c>
    </row>
    <row r="265" ht="16.5" customHeight="1">
      <c r="A265" s="19" t="s">
        <v>232</v>
      </c>
      <c r="B265" s="20">
        <v>75.0</v>
      </c>
      <c r="C265" s="20" t="s">
        <v>3650</v>
      </c>
      <c r="D265" s="41">
        <v>45600.0</v>
      </c>
    </row>
    <row r="266" ht="16.5" customHeight="1">
      <c r="A266" s="19" t="s">
        <v>1348</v>
      </c>
      <c r="B266" s="20">
        <v>75.0</v>
      </c>
      <c r="C266" s="20" t="s">
        <v>3651</v>
      </c>
      <c r="D266" s="41">
        <v>45600.0</v>
      </c>
    </row>
    <row r="267" ht="16.5" customHeight="1">
      <c r="A267" s="19" t="s">
        <v>823</v>
      </c>
      <c r="B267" s="20">
        <v>75.0</v>
      </c>
      <c r="C267" s="20" t="s">
        <v>3652</v>
      </c>
      <c r="D267" s="41">
        <v>45600.0</v>
      </c>
    </row>
    <row r="268" ht="16.5" customHeight="1">
      <c r="A268" s="19" t="s">
        <v>592</v>
      </c>
      <c r="B268" s="20">
        <v>75.0</v>
      </c>
      <c r="C268" s="20" t="s">
        <v>3653</v>
      </c>
      <c r="D268" s="41">
        <v>45600.0</v>
      </c>
    </row>
    <row r="269" ht="16.5" customHeight="1">
      <c r="A269" s="19" t="s">
        <v>1580</v>
      </c>
      <c r="B269" s="20">
        <v>75.0</v>
      </c>
      <c r="C269" s="20" t="s">
        <v>3654</v>
      </c>
      <c r="D269" s="41">
        <v>45600.0</v>
      </c>
    </row>
    <row r="270" ht="16.5" customHeight="1">
      <c r="A270" s="19" t="s">
        <v>1206</v>
      </c>
      <c r="B270" s="20">
        <v>75.0</v>
      </c>
      <c r="C270" s="20" t="s">
        <v>3655</v>
      </c>
      <c r="D270" s="41">
        <v>45600.0</v>
      </c>
    </row>
    <row r="271" ht="16.5" customHeight="1">
      <c r="A271" s="19" t="s">
        <v>978</v>
      </c>
      <c r="B271" s="20">
        <v>75.0</v>
      </c>
      <c r="C271" s="20" t="s">
        <v>3656</v>
      </c>
      <c r="D271" s="41">
        <v>45600.0</v>
      </c>
    </row>
    <row r="272" ht="16.5" customHeight="1">
      <c r="A272" s="19" t="s">
        <v>1208</v>
      </c>
      <c r="B272" s="20">
        <v>75.0</v>
      </c>
      <c r="C272" s="20" t="s">
        <v>3657</v>
      </c>
      <c r="D272" s="41">
        <v>45600.0</v>
      </c>
    </row>
    <row r="273" ht="16.5" customHeight="1">
      <c r="A273" s="19" t="s">
        <v>1043</v>
      </c>
      <c r="B273" s="20">
        <v>75.0</v>
      </c>
      <c r="C273" s="20" t="s">
        <v>3658</v>
      </c>
      <c r="D273" s="41">
        <v>45600.0</v>
      </c>
    </row>
    <row r="274" ht="16.5" customHeight="1">
      <c r="A274" s="19" t="s">
        <v>1315</v>
      </c>
      <c r="B274" s="20">
        <v>75.0</v>
      </c>
      <c r="C274" s="20" t="s">
        <v>3659</v>
      </c>
      <c r="D274" s="41">
        <v>45600.0</v>
      </c>
    </row>
    <row r="275" ht="16.5" customHeight="1">
      <c r="A275" s="19" t="s">
        <v>991</v>
      </c>
      <c r="B275" s="20">
        <v>75.0</v>
      </c>
      <c r="C275" s="20" t="s">
        <v>3660</v>
      </c>
      <c r="D275" s="41">
        <v>45600.0</v>
      </c>
    </row>
    <row r="276" ht="16.5" customHeight="1">
      <c r="A276" s="19" t="s">
        <v>17</v>
      </c>
      <c r="B276" s="20">
        <v>75.0</v>
      </c>
      <c r="C276" s="20" t="s">
        <v>3661</v>
      </c>
      <c r="D276" s="41">
        <v>45600.0</v>
      </c>
    </row>
    <row r="277" ht="16.5" customHeight="1">
      <c r="A277" s="19" t="s">
        <v>1319</v>
      </c>
      <c r="B277" s="20">
        <v>75.0</v>
      </c>
      <c r="C277" s="20" t="s">
        <v>3662</v>
      </c>
      <c r="D277" s="41">
        <v>45600.0</v>
      </c>
    </row>
    <row r="278" ht="16.5" customHeight="1">
      <c r="A278" s="19" t="s">
        <v>1055</v>
      </c>
      <c r="B278" s="20">
        <v>75.0</v>
      </c>
      <c r="C278" s="20" t="s">
        <v>3663</v>
      </c>
      <c r="D278" s="41">
        <v>45600.0</v>
      </c>
    </row>
    <row r="279" ht="16.5" customHeight="1">
      <c r="A279" s="19" t="s">
        <v>1115</v>
      </c>
      <c r="B279" s="20">
        <v>75.0</v>
      </c>
      <c r="C279" s="20" t="s">
        <v>3664</v>
      </c>
      <c r="D279" s="41">
        <v>45600.0</v>
      </c>
    </row>
    <row r="280" ht="16.5" customHeight="1">
      <c r="A280" s="19" t="s">
        <v>170</v>
      </c>
      <c r="B280" s="20">
        <v>75.0</v>
      </c>
      <c r="C280" s="20" t="s">
        <v>3665</v>
      </c>
      <c r="D280" s="41">
        <v>45600.0</v>
      </c>
    </row>
    <row r="281" ht="16.5" customHeight="1">
      <c r="A281" s="19" t="s">
        <v>38</v>
      </c>
      <c r="B281" s="20">
        <v>75.0</v>
      </c>
      <c r="C281" s="20" t="s">
        <v>3666</v>
      </c>
      <c r="D281" s="41">
        <v>45600.0</v>
      </c>
    </row>
    <row r="282" ht="16.5" customHeight="1">
      <c r="A282" s="19" t="s">
        <v>1345</v>
      </c>
      <c r="B282" s="20">
        <v>75.0</v>
      </c>
      <c r="C282" s="20" t="s">
        <v>3667</v>
      </c>
      <c r="D282" s="41">
        <v>45600.0</v>
      </c>
    </row>
    <row r="283" ht="16.5" customHeight="1">
      <c r="A283" s="19" t="s">
        <v>937</v>
      </c>
      <c r="B283" s="20">
        <v>75.0</v>
      </c>
      <c r="C283" s="43" t="s">
        <v>3668</v>
      </c>
      <c r="D283" s="41">
        <v>45600.0</v>
      </c>
    </row>
    <row r="284" ht="16.5" customHeight="1">
      <c r="A284" s="19" t="s">
        <v>1254</v>
      </c>
      <c r="B284" s="20">
        <v>75.0</v>
      </c>
      <c r="C284" s="20" t="s">
        <v>3669</v>
      </c>
      <c r="D284" s="41">
        <v>45600.0</v>
      </c>
    </row>
    <row r="285" ht="16.5" customHeight="1">
      <c r="A285" s="19" t="s">
        <v>790</v>
      </c>
      <c r="B285" s="20">
        <v>75.0</v>
      </c>
      <c r="C285" s="20" t="s">
        <v>3670</v>
      </c>
      <c r="D285" s="41">
        <v>45600.0</v>
      </c>
    </row>
    <row r="286" ht="16.5" customHeight="1">
      <c r="A286" s="19" t="s">
        <v>1145</v>
      </c>
      <c r="B286" s="20">
        <v>75.0</v>
      </c>
      <c r="C286" s="20" t="s">
        <v>3671</v>
      </c>
      <c r="D286" s="41">
        <v>45600.0</v>
      </c>
    </row>
    <row r="287" ht="16.5" customHeight="1">
      <c r="A287" s="19" t="s">
        <v>1443</v>
      </c>
      <c r="B287" s="20">
        <v>75.0</v>
      </c>
      <c r="C287" s="20" t="s">
        <v>3672</v>
      </c>
      <c r="D287" s="41">
        <v>45600.0</v>
      </c>
    </row>
    <row r="288" ht="16.5" customHeight="1">
      <c r="A288" s="19" t="s">
        <v>146</v>
      </c>
      <c r="B288" s="20">
        <v>75.0</v>
      </c>
      <c r="C288" s="20" t="s">
        <v>3673</v>
      </c>
      <c r="D288" s="41">
        <v>45600.0</v>
      </c>
    </row>
    <row r="289" ht="16.5" customHeight="1">
      <c r="A289" s="19" t="s">
        <v>1468</v>
      </c>
      <c r="B289" s="20">
        <v>75.0</v>
      </c>
      <c r="C289" s="20" t="s">
        <v>3674</v>
      </c>
      <c r="D289" s="41">
        <v>45600.0</v>
      </c>
    </row>
    <row r="290" ht="16.5" customHeight="1">
      <c r="A290" s="19" t="s">
        <v>1608</v>
      </c>
      <c r="B290" s="20">
        <v>75.0</v>
      </c>
      <c r="C290" s="20" t="s">
        <v>3675</v>
      </c>
      <c r="D290" s="41">
        <v>45600.0</v>
      </c>
    </row>
    <row r="291" ht="16.5" customHeight="1">
      <c r="A291" s="19" t="s">
        <v>1030</v>
      </c>
      <c r="B291" s="20">
        <v>75.0</v>
      </c>
      <c r="C291" s="20" t="s">
        <v>3676</v>
      </c>
      <c r="D291" s="41">
        <v>45600.0</v>
      </c>
    </row>
    <row r="292" ht="16.5" customHeight="1">
      <c r="A292" s="19" t="s">
        <v>1464</v>
      </c>
      <c r="B292" s="20">
        <v>75.0</v>
      </c>
      <c r="C292" s="20" t="s">
        <v>3677</v>
      </c>
      <c r="D292" s="41">
        <v>45600.0</v>
      </c>
    </row>
    <row r="293" ht="16.5" customHeight="1">
      <c r="A293" s="19" t="s">
        <v>1517</v>
      </c>
      <c r="B293" s="20">
        <v>75.0</v>
      </c>
      <c r="C293" s="20" t="s">
        <v>3678</v>
      </c>
      <c r="D293" s="41">
        <v>45600.0</v>
      </c>
    </row>
    <row r="294" ht="16.5" customHeight="1">
      <c r="A294" s="19" t="s">
        <v>404</v>
      </c>
      <c r="B294" s="20">
        <v>75.0</v>
      </c>
      <c r="C294" s="20" t="s">
        <v>3679</v>
      </c>
      <c r="D294" s="41">
        <v>45600.0</v>
      </c>
    </row>
    <row r="295" ht="16.5" customHeight="1">
      <c r="A295" s="19" t="s">
        <v>1338</v>
      </c>
      <c r="B295" s="20">
        <v>75.0</v>
      </c>
      <c r="C295" s="20" t="s">
        <v>3680</v>
      </c>
      <c r="D295" s="41">
        <v>45600.0</v>
      </c>
    </row>
    <row r="296" ht="16.5" customHeight="1">
      <c r="A296" s="19" t="s">
        <v>1128</v>
      </c>
      <c r="B296" s="20">
        <v>75.0</v>
      </c>
      <c r="C296" s="20" t="s">
        <v>3681</v>
      </c>
      <c r="D296" s="41">
        <v>45600.0</v>
      </c>
    </row>
    <row r="297" ht="16.5" customHeight="1">
      <c r="A297" s="19" t="s">
        <v>82</v>
      </c>
      <c r="B297" s="20">
        <v>75.0</v>
      </c>
      <c r="C297" s="20" t="s">
        <v>3682</v>
      </c>
      <c r="D297" s="41">
        <v>45600.0</v>
      </c>
    </row>
    <row r="298" ht="16.5" customHeight="1">
      <c r="A298" s="19" t="s">
        <v>1596</v>
      </c>
      <c r="B298" s="20">
        <v>75.0</v>
      </c>
      <c r="C298" s="20" t="s">
        <v>3683</v>
      </c>
      <c r="D298" s="41">
        <v>45600.0</v>
      </c>
    </row>
    <row r="299" ht="16.5" customHeight="1">
      <c r="A299" s="19" t="s">
        <v>63</v>
      </c>
      <c r="B299" s="20">
        <v>75.0</v>
      </c>
      <c r="C299" s="20" t="s">
        <v>3684</v>
      </c>
      <c r="D299" s="41">
        <v>45600.0</v>
      </c>
    </row>
    <row r="300" ht="16.5" customHeight="1">
      <c r="A300" s="19" t="s">
        <v>873</v>
      </c>
      <c r="B300" s="20">
        <v>75.0</v>
      </c>
      <c r="C300" s="20" t="s">
        <v>3685</v>
      </c>
      <c r="D300" s="41">
        <v>45600.0</v>
      </c>
    </row>
    <row r="301" ht="16.5" customHeight="1">
      <c r="A301" s="19" t="s">
        <v>1359</v>
      </c>
      <c r="B301" s="20">
        <v>75.0</v>
      </c>
      <c r="C301" s="20" t="s">
        <v>3686</v>
      </c>
      <c r="D301" s="41">
        <v>45600.0</v>
      </c>
    </row>
    <row r="302" ht="16.5" customHeight="1">
      <c r="A302" s="19" t="s">
        <v>976</v>
      </c>
      <c r="B302" s="20">
        <v>75.0</v>
      </c>
      <c r="C302" s="20" t="s">
        <v>3687</v>
      </c>
      <c r="D302" s="41">
        <v>45600.0</v>
      </c>
    </row>
    <row r="303" ht="16.5" customHeight="1">
      <c r="A303" s="19" t="s">
        <v>972</v>
      </c>
      <c r="B303" s="20">
        <v>75.0</v>
      </c>
      <c r="C303" s="20" t="s">
        <v>3688</v>
      </c>
      <c r="D303" s="41">
        <v>45600.0</v>
      </c>
    </row>
    <row r="304" ht="16.5" customHeight="1">
      <c r="A304" s="19" t="s">
        <v>965</v>
      </c>
      <c r="B304" s="20">
        <v>75.0</v>
      </c>
      <c r="C304" s="20" t="s">
        <v>3689</v>
      </c>
      <c r="D304" s="41">
        <v>45600.0</v>
      </c>
    </row>
    <row r="305" ht="16.5" customHeight="1">
      <c r="A305" s="19" t="s">
        <v>510</v>
      </c>
      <c r="B305" s="20">
        <v>75.0</v>
      </c>
      <c r="C305" s="20" t="s">
        <v>3690</v>
      </c>
      <c r="D305" s="41">
        <v>45600.0</v>
      </c>
    </row>
    <row r="306" ht="16.5" customHeight="1">
      <c r="A306" s="19" t="s">
        <v>819</v>
      </c>
      <c r="B306" s="20">
        <v>75.0</v>
      </c>
      <c r="C306" s="20" t="s">
        <v>3691</v>
      </c>
      <c r="D306" s="41">
        <v>45600.0</v>
      </c>
    </row>
    <row r="307" ht="16.5" customHeight="1">
      <c r="A307" s="19" t="s">
        <v>1511</v>
      </c>
      <c r="B307" s="20">
        <v>75.0</v>
      </c>
      <c r="C307" s="20" t="s">
        <v>3692</v>
      </c>
      <c r="D307" s="41">
        <v>45600.0</v>
      </c>
    </row>
    <row r="308" ht="16.5" customHeight="1">
      <c r="A308" s="19" t="s">
        <v>1047</v>
      </c>
      <c r="B308" s="20">
        <v>75.0</v>
      </c>
      <c r="C308" s="20" t="s">
        <v>3693</v>
      </c>
      <c r="D308" s="41">
        <v>45600.0</v>
      </c>
    </row>
    <row r="309" ht="16.5" customHeight="1">
      <c r="A309" s="19" t="s">
        <v>902</v>
      </c>
      <c r="B309" s="20">
        <v>75.0</v>
      </c>
      <c r="C309" s="20" t="s">
        <v>3694</v>
      </c>
      <c r="D309" s="41">
        <v>45600.0</v>
      </c>
    </row>
    <row r="310" ht="16.5" customHeight="1">
      <c r="A310" s="19" t="s">
        <v>949</v>
      </c>
      <c r="B310" s="20">
        <v>75.0</v>
      </c>
      <c r="C310" s="20" t="s">
        <v>3695</v>
      </c>
      <c r="D310" s="41">
        <v>45600.0</v>
      </c>
    </row>
    <row r="311" ht="16.5" customHeight="1">
      <c r="A311" s="19" t="s">
        <v>127</v>
      </c>
      <c r="B311" s="20">
        <v>75.0</v>
      </c>
      <c r="C311" s="20" t="s">
        <v>3696</v>
      </c>
      <c r="D311" s="41">
        <v>45600.0</v>
      </c>
    </row>
    <row r="312" ht="16.5" customHeight="1">
      <c r="A312" s="19" t="s">
        <v>1578</v>
      </c>
      <c r="B312" s="20">
        <v>75.0</v>
      </c>
      <c r="C312" s="20" t="s">
        <v>3697</v>
      </c>
      <c r="D312" s="41">
        <v>45600.0</v>
      </c>
    </row>
    <row r="313" ht="16.5" customHeight="1">
      <c r="A313" s="19" t="s">
        <v>1191</v>
      </c>
      <c r="B313" s="20">
        <v>75.0</v>
      </c>
      <c r="C313" s="20" t="s">
        <v>3698</v>
      </c>
      <c r="D313" s="41">
        <v>45600.0</v>
      </c>
    </row>
    <row r="314" ht="16.5" customHeight="1">
      <c r="A314" s="19" t="s">
        <v>859</v>
      </c>
      <c r="B314" s="20">
        <v>75.0</v>
      </c>
      <c r="C314" s="20" t="s">
        <v>3699</v>
      </c>
      <c r="D314" s="41">
        <v>45600.0</v>
      </c>
    </row>
    <row r="315" ht="16.5" customHeight="1">
      <c r="A315" s="19" t="s">
        <v>917</v>
      </c>
      <c r="B315" s="20">
        <v>75.0</v>
      </c>
      <c r="C315" s="20" t="s">
        <v>3700</v>
      </c>
      <c r="D315" s="41">
        <v>45600.0</v>
      </c>
    </row>
    <row r="316" ht="16.5" customHeight="1">
      <c r="A316" s="19" t="s">
        <v>1418</v>
      </c>
      <c r="B316" s="20">
        <v>75.0</v>
      </c>
      <c r="C316" s="20" t="s">
        <v>3701</v>
      </c>
      <c r="D316" s="41">
        <v>45600.0</v>
      </c>
    </row>
    <row r="317" ht="16.5" customHeight="1">
      <c r="A317" s="19" t="s">
        <v>85</v>
      </c>
      <c r="B317" s="20">
        <v>75.0</v>
      </c>
      <c r="C317" s="20" t="s">
        <v>3702</v>
      </c>
      <c r="D317" s="41">
        <v>45600.0</v>
      </c>
    </row>
    <row r="318" ht="16.5" customHeight="1">
      <c r="A318" s="19" t="s">
        <v>1375</v>
      </c>
      <c r="B318" s="20">
        <v>75.0</v>
      </c>
      <c r="C318" s="20" t="s">
        <v>3703</v>
      </c>
      <c r="D318" s="41">
        <v>45600.0</v>
      </c>
    </row>
    <row r="319" ht="16.5" customHeight="1">
      <c r="A319" s="19" t="s">
        <v>1586</v>
      </c>
      <c r="B319" s="20">
        <v>75.0</v>
      </c>
      <c r="C319" s="20" t="s">
        <v>3704</v>
      </c>
      <c r="D319" s="41">
        <v>45600.0</v>
      </c>
    </row>
    <row r="320" ht="16.5" customHeight="1">
      <c r="A320" s="19" t="s">
        <v>1439</v>
      </c>
      <c r="B320" s="20">
        <v>75.0</v>
      </c>
      <c r="C320" s="20" t="s">
        <v>3705</v>
      </c>
      <c r="D320" s="41">
        <v>45600.0</v>
      </c>
    </row>
    <row r="321" ht="16.5" customHeight="1">
      <c r="A321" s="19" t="s">
        <v>1313</v>
      </c>
      <c r="B321" s="20">
        <v>75.0</v>
      </c>
      <c r="C321" s="20" t="s">
        <v>3706</v>
      </c>
      <c r="D321" s="41">
        <v>45600.0</v>
      </c>
    </row>
    <row r="322" ht="16.5" customHeight="1">
      <c r="A322" s="19" t="s">
        <v>811</v>
      </c>
      <c r="B322" s="20">
        <v>75.0</v>
      </c>
      <c r="C322" s="20" t="s">
        <v>3707</v>
      </c>
      <c r="D322" s="41">
        <v>45600.0</v>
      </c>
    </row>
    <row r="323" ht="16.5" customHeight="1">
      <c r="A323" s="19" t="s">
        <v>169</v>
      </c>
      <c r="B323" s="20">
        <v>75.0</v>
      </c>
      <c r="C323" s="20" t="s">
        <v>3708</v>
      </c>
      <c r="D323" s="41">
        <v>45600.0</v>
      </c>
    </row>
    <row r="324" ht="16.5" customHeight="1">
      <c r="A324" s="19" t="s">
        <v>1628</v>
      </c>
      <c r="B324" s="20">
        <v>75.0</v>
      </c>
      <c r="C324" s="20" t="s">
        <v>3709</v>
      </c>
      <c r="D324" s="41">
        <v>45600.0</v>
      </c>
    </row>
    <row r="325" ht="16.5" customHeight="1">
      <c r="A325" s="19" t="s">
        <v>1630</v>
      </c>
      <c r="B325" s="20">
        <v>75.0</v>
      </c>
      <c r="C325" s="20" t="s">
        <v>3710</v>
      </c>
      <c r="D325" s="41">
        <v>45600.0</v>
      </c>
    </row>
    <row r="326" ht="16.5" customHeight="1">
      <c r="A326" s="19" t="s">
        <v>881</v>
      </c>
      <c r="B326" s="20">
        <v>75.0</v>
      </c>
      <c r="C326" s="20" t="s">
        <v>3711</v>
      </c>
      <c r="D326" s="41">
        <v>45600.0</v>
      </c>
    </row>
    <row r="327" ht="16.5" customHeight="1">
      <c r="A327" s="19" t="s">
        <v>1305</v>
      </c>
      <c r="B327" s="20">
        <v>75.0</v>
      </c>
      <c r="C327" s="20" t="s">
        <v>3712</v>
      </c>
      <c r="D327" s="41">
        <v>45600.0</v>
      </c>
    </row>
    <row r="328" ht="16.5" customHeight="1">
      <c r="A328" s="19" t="s">
        <v>1327</v>
      </c>
      <c r="B328" s="20">
        <v>75.0</v>
      </c>
      <c r="C328" s="20" t="s">
        <v>3713</v>
      </c>
      <c r="D328" s="41">
        <v>45600.0</v>
      </c>
    </row>
    <row r="329" ht="16.5" customHeight="1">
      <c r="A329" s="19" t="s">
        <v>1547</v>
      </c>
      <c r="B329" s="20">
        <v>75.0</v>
      </c>
      <c r="C329" s="20" t="s">
        <v>3714</v>
      </c>
      <c r="D329" s="41">
        <v>45600.0</v>
      </c>
    </row>
    <row r="330" ht="16.5" customHeight="1">
      <c r="A330" s="19" t="s">
        <v>1000</v>
      </c>
      <c r="B330" s="20">
        <v>75.0</v>
      </c>
      <c r="C330" s="20" t="s">
        <v>3715</v>
      </c>
      <c r="D330" s="41">
        <v>45600.0</v>
      </c>
    </row>
    <row r="331" ht="16.5" customHeight="1">
      <c r="A331" s="19" t="s">
        <v>1109</v>
      </c>
      <c r="B331" s="20">
        <v>75.0</v>
      </c>
      <c r="C331" s="20" t="s">
        <v>3716</v>
      </c>
      <c r="D331" s="41">
        <v>45600.0</v>
      </c>
    </row>
    <row r="332" ht="16.5" customHeight="1">
      <c r="A332" s="19" t="s">
        <v>1285</v>
      </c>
      <c r="B332" s="20">
        <v>75.0</v>
      </c>
      <c r="C332" s="20" t="s">
        <v>3717</v>
      </c>
      <c r="D332" s="41">
        <v>45600.0</v>
      </c>
    </row>
    <row r="333" ht="16.5" customHeight="1">
      <c r="A333" s="19" t="s">
        <v>1289</v>
      </c>
      <c r="B333" s="20">
        <v>75.0</v>
      </c>
      <c r="C333" s="20" t="s">
        <v>3718</v>
      </c>
      <c r="D333" s="41">
        <v>45600.0</v>
      </c>
    </row>
    <row r="334" ht="16.5" customHeight="1">
      <c r="A334" s="19" t="s">
        <v>1081</v>
      </c>
      <c r="B334" s="20">
        <v>75.0</v>
      </c>
      <c r="C334" s="20" t="s">
        <v>3719</v>
      </c>
      <c r="D334" s="41">
        <v>45600.0</v>
      </c>
    </row>
    <row r="335" ht="16.5" customHeight="1">
      <c r="A335" s="19" t="s">
        <v>870</v>
      </c>
      <c r="B335" s="20">
        <v>75.0</v>
      </c>
      <c r="C335" s="20" t="s">
        <v>3720</v>
      </c>
      <c r="D335" s="41">
        <v>45600.0</v>
      </c>
    </row>
    <row r="336" ht="16.5" customHeight="1">
      <c r="A336" s="19" t="s">
        <v>1500</v>
      </c>
      <c r="B336" s="20">
        <v>75.0</v>
      </c>
      <c r="C336" s="20" t="s">
        <v>3721</v>
      </c>
      <c r="D336" s="41">
        <v>45600.0</v>
      </c>
    </row>
    <row r="337" ht="16.5" customHeight="1">
      <c r="A337" s="19" t="s">
        <v>274</v>
      </c>
      <c r="B337" s="20">
        <v>75.0</v>
      </c>
      <c r="C337" s="20" t="s">
        <v>3722</v>
      </c>
      <c r="D337" s="41">
        <v>45600.0</v>
      </c>
    </row>
    <row r="338" ht="16.5" customHeight="1">
      <c r="A338" s="19" t="s">
        <v>898</v>
      </c>
      <c r="B338" s="20">
        <v>75.0</v>
      </c>
      <c r="C338" s="20" t="s">
        <v>3723</v>
      </c>
      <c r="D338" s="41">
        <v>45600.0</v>
      </c>
    </row>
    <row r="339" ht="16.5" customHeight="1">
      <c r="A339" s="19" t="s">
        <v>1002</v>
      </c>
      <c r="B339" s="20">
        <v>75.0</v>
      </c>
      <c r="C339" s="20" t="s">
        <v>3724</v>
      </c>
      <c r="D339" s="41">
        <v>45600.0</v>
      </c>
    </row>
    <row r="340" ht="16.5" customHeight="1">
      <c r="A340" s="19" t="s">
        <v>1387</v>
      </c>
      <c r="B340" s="20">
        <v>75.0</v>
      </c>
      <c r="C340" s="20" t="s">
        <v>3725</v>
      </c>
      <c r="D340" s="41">
        <v>45600.0</v>
      </c>
    </row>
    <row r="341" ht="16.5" customHeight="1">
      <c r="A341" s="19" t="s">
        <v>1634</v>
      </c>
      <c r="B341" s="20">
        <v>75.0</v>
      </c>
      <c r="C341" s="43" t="s">
        <v>3726</v>
      </c>
      <c r="D341" s="41">
        <v>45600.0</v>
      </c>
    </row>
    <row r="342" ht="16.5" customHeight="1">
      <c r="A342" s="19" t="s">
        <v>1015</v>
      </c>
      <c r="B342" s="20">
        <v>75.0</v>
      </c>
      <c r="C342" s="20" t="s">
        <v>3727</v>
      </c>
      <c r="D342" s="41">
        <v>45600.0</v>
      </c>
    </row>
    <row r="343" ht="16.5" customHeight="1">
      <c r="A343" s="19" t="s">
        <v>1271</v>
      </c>
      <c r="B343" s="20">
        <v>75.0</v>
      </c>
      <c r="C343" s="20" t="s">
        <v>3728</v>
      </c>
      <c r="D343" s="41">
        <v>45600.0</v>
      </c>
    </row>
    <row r="344" ht="16.5" customHeight="1">
      <c r="A344" s="19" t="s">
        <v>1149</v>
      </c>
      <c r="B344" s="20">
        <v>75.0</v>
      </c>
      <c r="C344" s="20" t="s">
        <v>3729</v>
      </c>
      <c r="D344" s="41">
        <v>45600.0</v>
      </c>
    </row>
    <row r="345" ht="16.5" customHeight="1">
      <c r="A345" s="19" t="s">
        <v>1624</v>
      </c>
      <c r="B345" s="20">
        <v>75.0</v>
      </c>
      <c r="C345" s="20" t="s">
        <v>3730</v>
      </c>
      <c r="D345" s="41">
        <v>45600.0</v>
      </c>
    </row>
    <row r="346" ht="16.5" customHeight="1">
      <c r="A346" s="19" t="s">
        <v>89</v>
      </c>
      <c r="B346" s="20">
        <v>75.0</v>
      </c>
      <c r="C346" s="20" t="s">
        <v>3731</v>
      </c>
      <c r="D346" s="41">
        <v>45600.0</v>
      </c>
    </row>
    <row r="347" ht="16.5" customHeight="1">
      <c r="A347" s="19" t="s">
        <v>1021</v>
      </c>
      <c r="B347" s="20">
        <v>75.0</v>
      </c>
      <c r="C347" s="20" t="s">
        <v>3732</v>
      </c>
      <c r="D347" s="41">
        <v>45600.0</v>
      </c>
    </row>
    <row r="348" ht="16.5" customHeight="1">
      <c r="A348" s="19" t="s">
        <v>1379</v>
      </c>
      <c r="B348" s="20">
        <v>75.0</v>
      </c>
      <c r="C348" s="20" t="s">
        <v>3733</v>
      </c>
      <c r="D348" s="41">
        <v>45600.0</v>
      </c>
    </row>
    <row r="349" ht="16.5" customHeight="1">
      <c r="A349" s="19" t="s">
        <v>1202</v>
      </c>
      <c r="B349" s="20">
        <v>75.0</v>
      </c>
      <c r="C349" s="20" t="s">
        <v>3734</v>
      </c>
      <c r="D349" s="41">
        <v>45600.0</v>
      </c>
    </row>
    <row r="350" ht="16.5" customHeight="1">
      <c r="A350" s="19" t="s">
        <v>1369</v>
      </c>
      <c r="B350" s="20">
        <v>75.0</v>
      </c>
      <c r="C350" s="20" t="s">
        <v>3735</v>
      </c>
      <c r="D350" s="41">
        <v>45600.0</v>
      </c>
    </row>
    <row r="351" ht="16.5" customHeight="1">
      <c r="A351" s="19" t="s">
        <v>1363</v>
      </c>
      <c r="B351" s="20">
        <v>75.0</v>
      </c>
      <c r="C351" s="20" t="s">
        <v>3736</v>
      </c>
      <c r="D351" s="41">
        <v>45600.0</v>
      </c>
    </row>
    <row r="352" ht="16.5" customHeight="1">
      <c r="A352" s="19" t="s">
        <v>1340</v>
      </c>
      <c r="B352" s="20">
        <v>75.0</v>
      </c>
      <c r="C352" s="20" t="s">
        <v>3737</v>
      </c>
      <c r="D352" s="41">
        <v>45600.0</v>
      </c>
    </row>
    <row r="353" ht="16.5" customHeight="1">
      <c r="A353" s="19" t="s">
        <v>151</v>
      </c>
      <c r="B353" s="20">
        <v>75.0</v>
      </c>
      <c r="C353" s="20" t="s">
        <v>3738</v>
      </c>
      <c r="D353" s="41">
        <v>45600.0</v>
      </c>
    </row>
    <row r="354" ht="16.5" customHeight="1">
      <c r="A354" s="19" t="s">
        <v>141</v>
      </c>
      <c r="B354" s="20">
        <v>75.0</v>
      </c>
      <c r="C354" s="20" t="s">
        <v>3739</v>
      </c>
      <c r="D354" s="41">
        <v>45600.0</v>
      </c>
    </row>
    <row r="355" ht="16.5" customHeight="1">
      <c r="A355" s="19" t="s">
        <v>1250</v>
      </c>
      <c r="B355" s="20">
        <v>75.0</v>
      </c>
      <c r="C355" s="20" t="s">
        <v>3740</v>
      </c>
      <c r="D355" s="41">
        <v>45600.0</v>
      </c>
    </row>
    <row r="356" ht="16.5" customHeight="1">
      <c r="A356" s="19" t="s">
        <v>1223</v>
      </c>
      <c r="B356" s="20">
        <v>75.0</v>
      </c>
      <c r="C356" s="20" t="s">
        <v>3741</v>
      </c>
      <c r="D356" s="41">
        <v>45600.0</v>
      </c>
    </row>
    <row r="357" ht="16.5" customHeight="1">
      <c r="A357" s="19" t="s">
        <v>1212</v>
      </c>
      <c r="B357" s="20">
        <v>75.0</v>
      </c>
      <c r="C357" s="20" t="s">
        <v>3742</v>
      </c>
      <c r="D357" s="41">
        <v>45600.0</v>
      </c>
    </row>
    <row r="358" ht="16.5" customHeight="1">
      <c r="A358" s="19" t="s">
        <v>129</v>
      </c>
      <c r="B358" s="20">
        <v>75.0</v>
      </c>
      <c r="C358" s="20" t="s">
        <v>3743</v>
      </c>
      <c r="D358" s="41">
        <v>45600.0</v>
      </c>
    </row>
    <row r="359" ht="16.5" customHeight="1">
      <c r="A359" s="19" t="s">
        <v>785</v>
      </c>
      <c r="B359" s="20">
        <v>75.0</v>
      </c>
      <c r="C359" s="20" t="s">
        <v>3744</v>
      </c>
      <c r="D359" s="41">
        <v>45600.0</v>
      </c>
    </row>
    <row r="360" ht="16.5" customHeight="1">
      <c r="A360" s="19" t="s">
        <v>1074</v>
      </c>
      <c r="B360" s="20">
        <v>75.0</v>
      </c>
      <c r="C360" s="20" t="s">
        <v>3745</v>
      </c>
      <c r="D360" s="41">
        <v>45600.0</v>
      </c>
    </row>
    <row r="361" ht="16.5" customHeight="1">
      <c r="A361" s="19" t="s">
        <v>476</v>
      </c>
      <c r="B361" s="20">
        <v>75.0</v>
      </c>
      <c r="C361" s="20" t="s">
        <v>3746</v>
      </c>
      <c r="D361" s="41">
        <v>45600.0</v>
      </c>
    </row>
    <row r="362" ht="16.5" customHeight="1">
      <c r="A362" s="19" t="s">
        <v>878</v>
      </c>
      <c r="B362" s="20">
        <v>70.0</v>
      </c>
      <c r="C362" s="20" t="s">
        <v>3747</v>
      </c>
      <c r="D362" s="41">
        <v>45600.0</v>
      </c>
    </row>
    <row r="363" ht="16.5" customHeight="1">
      <c r="A363" s="19" t="s">
        <v>1508</v>
      </c>
      <c r="B363" s="20">
        <v>70.0</v>
      </c>
      <c r="C363" s="20" t="s">
        <v>3748</v>
      </c>
      <c r="D363" s="41">
        <v>45600.0</v>
      </c>
    </row>
    <row r="364" ht="16.5" customHeight="1">
      <c r="A364" s="19" t="s">
        <v>1063</v>
      </c>
      <c r="B364" s="20">
        <v>70.0</v>
      </c>
      <c r="C364" s="20" t="s">
        <v>3749</v>
      </c>
      <c r="D364" s="41">
        <v>45600.0</v>
      </c>
    </row>
    <row r="365" ht="16.5" customHeight="1">
      <c r="A365" s="19" t="s">
        <v>890</v>
      </c>
      <c r="B365" s="20">
        <v>70.0</v>
      </c>
      <c r="C365" s="20" t="s">
        <v>3750</v>
      </c>
      <c r="D365" s="41">
        <v>45600.0</v>
      </c>
    </row>
    <row r="366" ht="16.5" customHeight="1">
      <c r="A366" s="19" t="s">
        <v>1057</v>
      </c>
      <c r="B366" s="20">
        <v>70.0</v>
      </c>
      <c r="C366" s="20" t="s">
        <v>3751</v>
      </c>
      <c r="D366" s="41">
        <v>45600.0</v>
      </c>
    </row>
    <row r="367" ht="16.5" customHeight="1">
      <c r="A367" s="19" t="s">
        <v>1481</v>
      </c>
      <c r="B367" s="20">
        <v>70.0</v>
      </c>
      <c r="C367" s="20" t="s">
        <v>3752</v>
      </c>
      <c r="D367" s="41">
        <v>45600.0</v>
      </c>
    </row>
    <row r="368" ht="16.5" customHeight="1">
      <c r="A368" s="19" t="s">
        <v>419</v>
      </c>
      <c r="B368" s="20">
        <v>70.0</v>
      </c>
      <c r="C368" s="20" t="s">
        <v>3753</v>
      </c>
      <c r="D368" s="41">
        <v>45600.0</v>
      </c>
    </row>
    <row r="369" ht="16.5" customHeight="1">
      <c r="A369" s="19" t="s">
        <v>1483</v>
      </c>
      <c r="B369" s="20">
        <v>70.0</v>
      </c>
      <c r="C369" s="20" t="s">
        <v>3754</v>
      </c>
      <c r="D369" s="41">
        <v>45600.0</v>
      </c>
    </row>
    <row r="370" ht="16.5" customHeight="1">
      <c r="A370" s="19" t="s">
        <v>951</v>
      </c>
      <c r="B370" s="20">
        <v>70.0</v>
      </c>
      <c r="C370" s="20" t="s">
        <v>3755</v>
      </c>
      <c r="D370" s="41">
        <v>45600.0</v>
      </c>
    </row>
    <row r="371" ht="16.5" customHeight="1">
      <c r="A371" s="19" t="s">
        <v>1537</v>
      </c>
      <c r="B371" s="20">
        <v>70.0</v>
      </c>
      <c r="C371" s="20" t="s">
        <v>3756</v>
      </c>
      <c r="D371" s="41">
        <v>45600.0</v>
      </c>
    </row>
    <row r="372" ht="16.5" customHeight="1">
      <c r="A372" s="19" t="s">
        <v>1566</v>
      </c>
      <c r="B372" s="20">
        <v>70.0</v>
      </c>
      <c r="C372" s="20" t="s">
        <v>3757</v>
      </c>
      <c r="D372" s="41">
        <v>45600.0</v>
      </c>
    </row>
    <row r="373" ht="16.5" customHeight="1">
      <c r="A373" s="19" t="s">
        <v>1091</v>
      </c>
      <c r="B373" s="20">
        <v>70.0</v>
      </c>
      <c r="C373" s="20" t="s">
        <v>3758</v>
      </c>
      <c r="D373" s="41">
        <v>45600.0</v>
      </c>
    </row>
    <row r="374" ht="16.5" customHeight="1">
      <c r="A374" s="19" t="s">
        <v>1433</v>
      </c>
      <c r="B374" s="20">
        <v>70.0</v>
      </c>
      <c r="C374" s="20" t="s">
        <v>3759</v>
      </c>
      <c r="D374" s="41">
        <v>45600.0</v>
      </c>
    </row>
    <row r="375" ht="16.5" customHeight="1">
      <c r="A375" s="19" t="s">
        <v>1293</v>
      </c>
      <c r="B375" s="20">
        <v>70.0</v>
      </c>
      <c r="C375" s="20" t="s">
        <v>3760</v>
      </c>
      <c r="D375" s="41">
        <v>45600.0</v>
      </c>
    </row>
    <row r="376" ht="16.5" customHeight="1">
      <c r="A376" s="19" t="s">
        <v>95</v>
      </c>
      <c r="B376" s="20">
        <v>70.0</v>
      </c>
      <c r="C376" s="20" t="s">
        <v>3761</v>
      </c>
      <c r="D376" s="41">
        <v>45600.0</v>
      </c>
    </row>
    <row r="377" ht="16.5" customHeight="1">
      <c r="A377" s="19" t="s">
        <v>99</v>
      </c>
      <c r="B377" s="20">
        <v>70.0</v>
      </c>
      <c r="C377" s="20" t="s">
        <v>3762</v>
      </c>
      <c r="D377" s="41">
        <v>45600.0</v>
      </c>
    </row>
    <row r="378" ht="16.5" customHeight="1">
      <c r="A378" s="19" t="s">
        <v>1435</v>
      </c>
      <c r="B378" s="20">
        <v>70.0</v>
      </c>
      <c r="C378" s="20" t="s">
        <v>3763</v>
      </c>
      <c r="D378" s="41">
        <v>45600.0</v>
      </c>
    </row>
    <row r="379" ht="16.5" customHeight="1">
      <c r="A379" s="19" t="s">
        <v>1102</v>
      </c>
      <c r="B379" s="20">
        <v>70.0</v>
      </c>
      <c r="C379" s="20" t="s">
        <v>3764</v>
      </c>
      <c r="D379" s="41">
        <v>45600.0</v>
      </c>
    </row>
    <row r="380" ht="16.5" customHeight="1">
      <c r="A380" s="19" t="s">
        <v>1309</v>
      </c>
      <c r="B380" s="20">
        <v>70.0</v>
      </c>
      <c r="C380" s="20" t="s">
        <v>3765</v>
      </c>
      <c r="D380" s="41">
        <v>45600.0</v>
      </c>
    </row>
    <row r="381" ht="16.5" customHeight="1">
      <c r="A381" s="19" t="s">
        <v>1243</v>
      </c>
      <c r="B381" s="20">
        <v>70.0</v>
      </c>
      <c r="C381" s="20" t="s">
        <v>3766</v>
      </c>
      <c r="D381" s="41">
        <v>45600.0</v>
      </c>
    </row>
    <row r="382" ht="16.5" customHeight="1">
      <c r="A382" s="19" t="s">
        <v>3236</v>
      </c>
      <c r="B382" s="20">
        <v>70.0</v>
      </c>
      <c r="C382" s="20" t="s">
        <v>3767</v>
      </c>
      <c r="D382" s="41">
        <v>45600.0</v>
      </c>
    </row>
    <row r="383" ht="16.5" customHeight="1">
      <c r="A383" s="19" t="s">
        <v>1157</v>
      </c>
      <c r="B383" s="20">
        <v>70.0</v>
      </c>
      <c r="C383" s="20" t="s">
        <v>3768</v>
      </c>
      <c r="D383" s="41">
        <v>45600.0</v>
      </c>
    </row>
    <row r="384" ht="16.5" customHeight="1">
      <c r="A384" s="19" t="s">
        <v>1421</v>
      </c>
      <c r="B384" s="20">
        <v>70.0</v>
      </c>
      <c r="C384" s="20" t="s">
        <v>3769</v>
      </c>
      <c r="D384" s="41">
        <v>45600.0</v>
      </c>
    </row>
    <row r="385" ht="16.5" customHeight="1">
      <c r="A385" s="19" t="s">
        <v>1398</v>
      </c>
      <c r="B385" s="20">
        <v>70.0</v>
      </c>
      <c r="C385" s="20" t="s">
        <v>3770</v>
      </c>
      <c r="D385" s="41">
        <v>45600.0</v>
      </c>
    </row>
    <row r="386" ht="16.5" customHeight="1">
      <c r="A386" s="19" t="s">
        <v>1273</v>
      </c>
      <c r="B386" s="20">
        <v>70.0</v>
      </c>
      <c r="C386" s="20" t="s">
        <v>3771</v>
      </c>
      <c r="D386" s="41">
        <v>45600.0</v>
      </c>
    </row>
    <row r="387" ht="16.5" customHeight="1">
      <c r="A387" s="19" t="s">
        <v>1107</v>
      </c>
      <c r="B387" s="20">
        <v>70.0</v>
      </c>
      <c r="C387" s="20" t="s">
        <v>3772</v>
      </c>
      <c r="D387" s="41">
        <v>45600.0</v>
      </c>
    </row>
    <row r="388" ht="16.5" customHeight="1">
      <c r="A388" s="19" t="s">
        <v>985</v>
      </c>
      <c r="B388" s="20">
        <v>70.0</v>
      </c>
      <c r="C388" s="20" t="s">
        <v>3773</v>
      </c>
      <c r="D388" s="41">
        <v>45600.0</v>
      </c>
    </row>
    <row r="389" ht="16.5" customHeight="1">
      <c r="A389" s="19" t="s">
        <v>1385</v>
      </c>
      <c r="B389" s="20">
        <v>70.0</v>
      </c>
      <c r="C389" s="20" t="s">
        <v>3774</v>
      </c>
      <c r="D389" s="41">
        <v>45600.0</v>
      </c>
    </row>
    <row r="390" ht="16.5" customHeight="1">
      <c r="A390" s="19" t="s">
        <v>1311</v>
      </c>
      <c r="B390" s="20">
        <v>70.0</v>
      </c>
      <c r="C390" s="20" t="s">
        <v>3775</v>
      </c>
      <c r="D390" s="41">
        <v>45600.0</v>
      </c>
    </row>
    <row r="391" ht="16.5" customHeight="1">
      <c r="A391" s="19" t="s">
        <v>252</v>
      </c>
      <c r="B391" s="20">
        <v>70.0</v>
      </c>
      <c r="C391" s="20" t="s">
        <v>3776</v>
      </c>
      <c r="D391" s="41">
        <v>45600.0</v>
      </c>
    </row>
    <row r="392" ht="16.5" customHeight="1">
      <c r="A392" s="19" t="s">
        <v>1197</v>
      </c>
      <c r="B392" s="20">
        <v>70.0</v>
      </c>
      <c r="C392" s="20" t="s">
        <v>3777</v>
      </c>
      <c r="D392" s="41">
        <v>45600.0</v>
      </c>
    </row>
    <row r="393" ht="16.5" customHeight="1">
      <c r="A393" s="19" t="s">
        <v>974</v>
      </c>
      <c r="B393" s="20">
        <v>70.0</v>
      </c>
      <c r="C393" s="20" t="s">
        <v>3778</v>
      </c>
      <c r="D393" s="41">
        <v>45600.0</v>
      </c>
    </row>
    <row r="394" ht="16.5" customHeight="1">
      <c r="A394" s="19" t="s">
        <v>1266</v>
      </c>
      <c r="B394" s="20">
        <v>70.0</v>
      </c>
      <c r="C394" s="20" t="s">
        <v>3779</v>
      </c>
      <c r="D394" s="41">
        <v>45600.0</v>
      </c>
    </row>
    <row r="395" ht="16.5" customHeight="1">
      <c r="A395" s="19" t="s">
        <v>167</v>
      </c>
      <c r="B395" s="20">
        <v>70.0</v>
      </c>
      <c r="C395" s="20" t="s">
        <v>3780</v>
      </c>
      <c r="D395" s="41">
        <v>45600.0</v>
      </c>
    </row>
    <row r="396" ht="16.5" customHeight="1">
      <c r="A396" s="19" t="s">
        <v>1575</v>
      </c>
      <c r="B396" s="20">
        <v>70.0</v>
      </c>
      <c r="C396" s="20" t="s">
        <v>3781</v>
      </c>
      <c r="D396" s="41">
        <v>45600.0</v>
      </c>
    </row>
    <row r="397" ht="16.5" customHeight="1">
      <c r="A397" s="19" t="s">
        <v>3782</v>
      </c>
      <c r="B397" s="20">
        <v>70.0</v>
      </c>
      <c r="C397" s="20" t="s">
        <v>3783</v>
      </c>
      <c r="D397" s="41">
        <v>45600.0</v>
      </c>
    </row>
    <row r="398" ht="16.5" customHeight="1">
      <c r="A398" s="19" t="s">
        <v>1535</v>
      </c>
      <c r="B398" s="20">
        <v>70.0</v>
      </c>
      <c r="C398" s="20" t="s">
        <v>3784</v>
      </c>
      <c r="D398" s="41">
        <v>45600.0</v>
      </c>
    </row>
    <row r="399" ht="16.5" customHeight="1">
      <c r="A399" s="19" t="s">
        <v>1381</v>
      </c>
      <c r="B399" s="20">
        <v>70.0</v>
      </c>
      <c r="C399" s="20" t="s">
        <v>3785</v>
      </c>
      <c r="D399" s="41">
        <v>45600.0</v>
      </c>
    </row>
    <row r="400" ht="16.5" customHeight="1">
      <c r="A400" s="19" t="s">
        <v>980</v>
      </c>
      <c r="B400" s="20">
        <v>70.0</v>
      </c>
      <c r="C400" s="20" t="s">
        <v>3786</v>
      </c>
      <c r="D400" s="41">
        <v>45600.0</v>
      </c>
    </row>
    <row r="401" ht="16.5" customHeight="1">
      <c r="A401" s="19" t="s">
        <v>1204</v>
      </c>
      <c r="B401" s="20">
        <v>70.0</v>
      </c>
      <c r="C401" s="20" t="s">
        <v>3787</v>
      </c>
      <c r="D401" s="41">
        <v>45600.0</v>
      </c>
    </row>
    <row r="402" ht="16.5" customHeight="1">
      <c r="A402" s="19" t="s">
        <v>1083</v>
      </c>
      <c r="B402" s="20">
        <v>70.0</v>
      </c>
      <c r="C402" s="20" t="s">
        <v>3788</v>
      </c>
      <c r="D402" s="41">
        <v>45600.0</v>
      </c>
    </row>
    <row r="403" ht="16.5" customHeight="1">
      <c r="A403" s="19" t="s">
        <v>1505</v>
      </c>
      <c r="B403" s="20">
        <v>70.0</v>
      </c>
      <c r="C403" s="20" t="s">
        <v>3789</v>
      </c>
      <c r="D403" s="41">
        <v>45600.0</v>
      </c>
    </row>
    <row r="404" ht="16.5" customHeight="1">
      <c r="A404" s="19" t="s">
        <v>1034</v>
      </c>
      <c r="B404" s="20">
        <v>70.0</v>
      </c>
      <c r="C404" s="20" t="s">
        <v>3790</v>
      </c>
      <c r="D404" s="41">
        <v>45600.0</v>
      </c>
    </row>
    <row r="405" ht="16.5" customHeight="1">
      <c r="A405" s="19" t="s">
        <v>1416</v>
      </c>
      <c r="B405" s="20">
        <v>70.0</v>
      </c>
      <c r="C405" s="20" t="s">
        <v>3791</v>
      </c>
      <c r="D405" s="41">
        <v>45600.0</v>
      </c>
    </row>
    <row r="406" ht="16.5" customHeight="1">
      <c r="A406" s="19" t="s">
        <v>805</v>
      </c>
      <c r="B406" s="20">
        <v>70.0</v>
      </c>
      <c r="C406" s="20" t="s">
        <v>3792</v>
      </c>
      <c r="D406" s="41">
        <v>45600.0</v>
      </c>
    </row>
    <row r="407" ht="16.5" customHeight="1">
      <c r="A407" s="19" t="s">
        <v>1452</v>
      </c>
      <c r="B407" s="20">
        <v>70.0</v>
      </c>
      <c r="C407" s="20" t="s">
        <v>3793</v>
      </c>
      <c r="D407" s="41">
        <v>45600.0</v>
      </c>
    </row>
    <row r="408" ht="16.5" customHeight="1">
      <c r="A408" s="19" t="s">
        <v>1141</v>
      </c>
      <c r="B408" s="20">
        <v>70.0</v>
      </c>
      <c r="C408" s="20" t="s">
        <v>3794</v>
      </c>
      <c r="D408" s="41">
        <v>45600.0</v>
      </c>
    </row>
    <row r="409" ht="16.5" customHeight="1">
      <c r="A409" s="19" t="s">
        <v>1245</v>
      </c>
      <c r="B409" s="20">
        <v>70.0</v>
      </c>
      <c r="C409" s="20" t="s">
        <v>3795</v>
      </c>
      <c r="D409" s="41">
        <v>45600.0</v>
      </c>
    </row>
    <row r="410" ht="16.5" customHeight="1">
      <c r="A410" s="19" t="s">
        <v>1139</v>
      </c>
      <c r="B410" s="20">
        <v>70.0</v>
      </c>
      <c r="C410" s="20" t="s">
        <v>3796</v>
      </c>
      <c r="D410" s="41">
        <v>45600.0</v>
      </c>
    </row>
    <row r="411" ht="16.5" customHeight="1">
      <c r="A411" s="19" t="s">
        <v>1133</v>
      </c>
      <c r="B411" s="20">
        <v>70.0</v>
      </c>
      <c r="C411" s="20" t="s">
        <v>3797</v>
      </c>
      <c r="D411" s="41">
        <v>45600.0</v>
      </c>
    </row>
    <row r="412" ht="16.5" customHeight="1">
      <c r="A412" s="19" t="s">
        <v>1256</v>
      </c>
      <c r="B412" s="20">
        <v>70.0</v>
      </c>
      <c r="C412" s="20" t="s">
        <v>3798</v>
      </c>
      <c r="D412" s="41">
        <v>45600.0</v>
      </c>
    </row>
    <row r="413" ht="16.5" customHeight="1">
      <c r="A413" s="19" t="s">
        <v>1513</v>
      </c>
      <c r="B413" s="20">
        <v>70.0</v>
      </c>
      <c r="C413" s="20" t="s">
        <v>3799</v>
      </c>
      <c r="D413" s="41">
        <v>45600.0</v>
      </c>
    </row>
    <row r="414" ht="16.5" customHeight="1">
      <c r="A414" s="19" t="s">
        <v>1334</v>
      </c>
      <c r="B414" s="20">
        <v>70.0</v>
      </c>
      <c r="C414" s="20" t="s">
        <v>3800</v>
      </c>
      <c r="D414" s="41">
        <v>45600.0</v>
      </c>
    </row>
    <row r="415" ht="16.5" customHeight="1">
      <c r="A415" s="19" t="s">
        <v>1530</v>
      </c>
      <c r="B415" s="20">
        <v>70.0</v>
      </c>
      <c r="C415" s="20" t="s">
        <v>3801</v>
      </c>
      <c r="D415" s="41">
        <v>45600.0</v>
      </c>
    </row>
    <row r="416" ht="16.5" customHeight="1">
      <c r="A416" s="19" t="s">
        <v>1441</v>
      </c>
      <c r="B416" s="20">
        <v>70.0</v>
      </c>
      <c r="C416" s="20" t="s">
        <v>3802</v>
      </c>
      <c r="D416" s="41">
        <v>45600.0</v>
      </c>
    </row>
    <row r="417" ht="16.5" customHeight="1">
      <c r="A417" s="19" t="s">
        <v>1131</v>
      </c>
      <c r="B417" s="20">
        <v>70.0</v>
      </c>
      <c r="C417" s="20" t="s">
        <v>3803</v>
      </c>
      <c r="D417" s="41">
        <v>45600.0</v>
      </c>
    </row>
    <row r="418" ht="16.5" customHeight="1">
      <c r="A418" s="19" t="s">
        <v>1528</v>
      </c>
      <c r="B418" s="20">
        <v>70.0</v>
      </c>
      <c r="C418" s="20" t="s">
        <v>3804</v>
      </c>
      <c r="D418" s="41">
        <v>45600.0</v>
      </c>
    </row>
    <row r="419" ht="16.5" customHeight="1">
      <c r="A419" s="19" t="s">
        <v>1329</v>
      </c>
      <c r="B419" s="20">
        <v>70.0</v>
      </c>
      <c r="C419" s="20" t="s">
        <v>3805</v>
      </c>
      <c r="D419" s="41">
        <v>45600.0</v>
      </c>
    </row>
    <row r="420" ht="16.5" customHeight="1">
      <c r="A420" s="19" t="s">
        <v>1352</v>
      </c>
      <c r="B420" s="20">
        <v>70.0</v>
      </c>
      <c r="C420" s="20" t="s">
        <v>3806</v>
      </c>
      <c r="D420" s="41">
        <v>45600.0</v>
      </c>
    </row>
    <row r="421" ht="16.5" customHeight="1">
      <c r="A421" s="19" t="s">
        <v>1619</v>
      </c>
      <c r="B421" s="20">
        <v>70.0</v>
      </c>
      <c r="C421" s="20" t="s">
        <v>3807</v>
      </c>
      <c r="D421" s="41">
        <v>45600.0</v>
      </c>
    </row>
    <row r="422" ht="16.5" customHeight="1">
      <c r="A422" s="19" t="s">
        <v>1151</v>
      </c>
      <c r="B422" s="20">
        <v>70.0</v>
      </c>
      <c r="C422" s="20" t="s">
        <v>3808</v>
      </c>
      <c r="D422" s="41">
        <v>45600.0</v>
      </c>
    </row>
    <row r="423" ht="16.5" customHeight="1">
      <c r="A423" s="19" t="s">
        <v>1069</v>
      </c>
      <c r="B423" s="20">
        <v>70.0</v>
      </c>
      <c r="C423" s="20" t="s">
        <v>3809</v>
      </c>
      <c r="D423" s="41">
        <v>45600.0</v>
      </c>
    </row>
    <row r="424" ht="16.5" customHeight="1">
      <c r="A424" s="19" t="s">
        <v>1233</v>
      </c>
      <c r="B424" s="20">
        <v>70.0</v>
      </c>
      <c r="C424" s="20" t="s">
        <v>3810</v>
      </c>
      <c r="D424" s="41">
        <v>45600.0</v>
      </c>
    </row>
    <row r="425" ht="16.5" customHeight="1">
      <c r="A425" s="19" t="s">
        <v>1641</v>
      </c>
      <c r="B425" s="20">
        <v>70.0</v>
      </c>
      <c r="C425" s="20" t="s">
        <v>3811</v>
      </c>
      <c r="D425" s="41">
        <v>45600.0</v>
      </c>
    </row>
    <row r="426" ht="16.5" customHeight="1">
      <c r="A426" s="19" t="s">
        <v>1252</v>
      </c>
      <c r="B426" s="20">
        <v>70.0</v>
      </c>
      <c r="C426" s="20" t="s">
        <v>3812</v>
      </c>
      <c r="D426" s="41">
        <v>45600.0</v>
      </c>
    </row>
    <row r="427" ht="16.5" customHeight="1">
      <c r="A427" s="19" t="s">
        <v>1210</v>
      </c>
      <c r="B427" s="20">
        <v>70.0</v>
      </c>
      <c r="C427" s="20" t="s">
        <v>3813</v>
      </c>
      <c r="D427" s="41">
        <v>45600.0</v>
      </c>
    </row>
    <row r="428" ht="16.5" customHeight="1">
      <c r="A428" s="19" t="s">
        <v>1638</v>
      </c>
      <c r="B428" s="20">
        <v>70.0</v>
      </c>
      <c r="C428" s="20" t="s">
        <v>3814</v>
      </c>
      <c r="D428" s="41">
        <v>45600.0</v>
      </c>
    </row>
    <row r="429" ht="16.5" customHeight="1">
      <c r="A429" s="19" t="s">
        <v>1214</v>
      </c>
      <c r="B429" s="20">
        <v>70.0</v>
      </c>
      <c r="C429" s="20" t="s">
        <v>3815</v>
      </c>
      <c r="D429" s="41">
        <v>45600.0</v>
      </c>
    </row>
    <row r="430" ht="16.5" customHeight="1">
      <c r="A430" s="19" t="s">
        <v>1605</v>
      </c>
      <c r="B430" s="20">
        <v>70.0</v>
      </c>
      <c r="C430" s="20" t="s">
        <v>3816</v>
      </c>
      <c r="D430" s="41">
        <v>45600.0</v>
      </c>
    </row>
    <row r="431" ht="16.5" customHeight="1">
      <c r="A431" s="19" t="s">
        <v>1248</v>
      </c>
      <c r="B431" s="20">
        <v>70.0</v>
      </c>
      <c r="C431" s="20" t="s">
        <v>3817</v>
      </c>
      <c r="D431" s="41">
        <v>45600.0</v>
      </c>
    </row>
    <row r="432" ht="16.5" customHeight="1">
      <c r="A432" s="19" t="s">
        <v>1599</v>
      </c>
      <c r="B432" s="20">
        <v>70.0</v>
      </c>
      <c r="C432" s="20" t="s">
        <v>3818</v>
      </c>
      <c r="D432" s="41">
        <v>45600.0</v>
      </c>
    </row>
    <row r="433" ht="16.5" customHeight="1">
      <c r="A433" s="19" t="s">
        <v>609</v>
      </c>
      <c r="B433" s="20">
        <v>70.0</v>
      </c>
      <c r="C433" s="20" t="s">
        <v>3819</v>
      </c>
      <c r="D433" s="41">
        <v>45600.0</v>
      </c>
    </row>
    <row r="434" ht="16.5" customHeight="1">
      <c r="A434" s="19" t="s">
        <v>864</v>
      </c>
      <c r="B434" s="20">
        <v>70.0</v>
      </c>
      <c r="C434" s="20" t="s">
        <v>3820</v>
      </c>
      <c r="D434" s="41">
        <v>45600.0</v>
      </c>
    </row>
    <row r="435" ht="16.5" customHeight="1">
      <c r="A435" s="19" t="s">
        <v>1636</v>
      </c>
      <c r="B435" s="20">
        <v>70.0</v>
      </c>
      <c r="C435" s="20" t="s">
        <v>3821</v>
      </c>
      <c r="D435" s="41">
        <v>45600.0</v>
      </c>
    </row>
    <row r="436" ht="16.5" customHeight="1">
      <c r="A436" s="19" t="s">
        <v>1601</v>
      </c>
      <c r="B436" s="20">
        <v>70.0</v>
      </c>
      <c r="C436" s="20" t="s">
        <v>3822</v>
      </c>
      <c r="D436" s="41">
        <v>45600.0</v>
      </c>
    </row>
    <row r="437" ht="16.5" customHeight="1">
      <c r="A437" s="19" t="s">
        <v>1301</v>
      </c>
      <c r="B437" s="20">
        <v>70.0</v>
      </c>
      <c r="C437" s="20" t="s">
        <v>3823</v>
      </c>
      <c r="D437" s="41">
        <v>45600.0</v>
      </c>
    </row>
    <row r="438" ht="16.5" customHeight="1">
      <c r="A438" s="19" t="s">
        <v>1412</v>
      </c>
      <c r="B438" s="20">
        <v>70.0</v>
      </c>
      <c r="C438" s="20" t="s">
        <v>3824</v>
      </c>
      <c r="D438" s="41">
        <v>45600.0</v>
      </c>
    </row>
    <row r="439" ht="16.5" customHeight="1">
      <c r="A439" s="19" t="s">
        <v>1551</v>
      </c>
      <c r="B439" s="20">
        <v>70.0</v>
      </c>
      <c r="C439" s="20" t="s">
        <v>3825</v>
      </c>
      <c r="D439" s="41">
        <v>45600.0</v>
      </c>
    </row>
    <row r="440" ht="16.5" customHeight="1">
      <c r="A440" s="19" t="s">
        <v>1371</v>
      </c>
      <c r="B440" s="20">
        <v>70.0</v>
      </c>
      <c r="C440" s="20" t="s">
        <v>3826</v>
      </c>
      <c r="D440" s="41">
        <v>45600.0</v>
      </c>
    </row>
    <row r="441" ht="16.5" customHeight="1">
      <c r="A441" s="19" t="s">
        <v>1121</v>
      </c>
      <c r="B441" s="20">
        <v>70.0</v>
      </c>
      <c r="C441" s="20" t="s">
        <v>3827</v>
      </c>
      <c r="D441" s="41">
        <v>45600.0</v>
      </c>
    </row>
    <row r="442" ht="16.5" customHeight="1">
      <c r="A442" s="19" t="s">
        <v>130</v>
      </c>
      <c r="B442" s="20">
        <v>70.0</v>
      </c>
      <c r="C442" s="20" t="s">
        <v>3828</v>
      </c>
      <c r="D442" s="41">
        <v>45600.0</v>
      </c>
    </row>
    <row r="443" ht="16.5" customHeight="1">
      <c r="A443" s="19" t="s">
        <v>128</v>
      </c>
      <c r="B443" s="20">
        <v>70.0</v>
      </c>
      <c r="C443" s="20" t="s">
        <v>3829</v>
      </c>
      <c r="D443" s="41">
        <v>45600.0</v>
      </c>
    </row>
    <row r="444" ht="16.5" customHeight="1">
      <c r="A444" s="19" t="s">
        <v>241</v>
      </c>
      <c r="B444" s="20">
        <v>70.0</v>
      </c>
      <c r="C444" s="20" t="s">
        <v>3830</v>
      </c>
      <c r="D444" s="41">
        <v>45600.0</v>
      </c>
    </row>
    <row r="445" ht="16.5" customHeight="1">
      <c r="A445" s="19" t="s">
        <v>1323</v>
      </c>
      <c r="B445" s="20">
        <v>70.0</v>
      </c>
      <c r="C445" s="20" t="s">
        <v>3831</v>
      </c>
      <c r="D445" s="41">
        <v>45600.0</v>
      </c>
    </row>
    <row r="446" ht="16.5" customHeight="1">
      <c r="A446" s="19" t="s">
        <v>245</v>
      </c>
      <c r="B446" s="20">
        <v>70.0</v>
      </c>
      <c r="C446" s="20" t="s">
        <v>3832</v>
      </c>
      <c r="D446" s="41">
        <v>45600.0</v>
      </c>
    </row>
    <row r="447" ht="16.5" customHeight="1">
      <c r="A447" s="19" t="s">
        <v>254</v>
      </c>
      <c r="B447" s="20">
        <v>70.0</v>
      </c>
      <c r="C447" s="20" t="s">
        <v>3833</v>
      </c>
      <c r="D447" s="41">
        <v>45600.0</v>
      </c>
    </row>
    <row r="448" ht="16.5" customHeight="1">
      <c r="A448" s="19" t="s">
        <v>91</v>
      </c>
      <c r="B448" s="20">
        <v>70.0</v>
      </c>
      <c r="C448" s="20" t="s">
        <v>3834</v>
      </c>
      <c r="D448" s="41">
        <v>45600.0</v>
      </c>
    </row>
    <row r="449" ht="16.5" customHeight="1">
      <c r="A449" s="19" t="s">
        <v>145</v>
      </c>
      <c r="B449" s="20">
        <v>70.0</v>
      </c>
      <c r="C449" s="20" t="s">
        <v>3835</v>
      </c>
      <c r="D449" s="41">
        <v>45600.0</v>
      </c>
    </row>
    <row r="450" ht="16.5" customHeight="1">
      <c r="A450" s="19" t="s">
        <v>849</v>
      </c>
      <c r="B450" s="20">
        <v>70.0</v>
      </c>
      <c r="C450" s="20" t="s">
        <v>3836</v>
      </c>
      <c r="D450" s="41">
        <v>45600.0</v>
      </c>
    </row>
    <row r="451" ht="16.5" customHeight="1">
      <c r="A451" s="19" t="s">
        <v>124</v>
      </c>
      <c r="B451" s="20">
        <v>70.0</v>
      </c>
      <c r="C451" s="20" t="s">
        <v>3837</v>
      </c>
      <c r="D451" s="41">
        <v>45600.0</v>
      </c>
    </row>
    <row r="452" ht="16.5" customHeight="1">
      <c r="A452" s="19" t="s">
        <v>1023</v>
      </c>
      <c r="B452" s="20">
        <v>65.0</v>
      </c>
      <c r="C452" s="20" t="s">
        <v>3838</v>
      </c>
      <c r="D452" s="41">
        <v>45600.0</v>
      </c>
    </row>
    <row r="453" ht="16.5" customHeight="1">
      <c r="A453" s="19" t="s">
        <v>961</v>
      </c>
      <c r="B453" s="20">
        <v>65.0</v>
      </c>
      <c r="C453" s="20" t="s">
        <v>3839</v>
      </c>
      <c r="D453" s="41">
        <v>45600.0</v>
      </c>
    </row>
    <row r="454" ht="16.5" customHeight="1">
      <c r="A454" s="19" t="s">
        <v>1072</v>
      </c>
      <c r="B454" s="20">
        <v>65.0</v>
      </c>
      <c r="C454" s="20" t="s">
        <v>3840</v>
      </c>
      <c r="D454" s="41">
        <v>45600.0</v>
      </c>
    </row>
    <row r="455" ht="16.5" customHeight="1">
      <c r="A455" s="19" t="s">
        <v>1447</v>
      </c>
      <c r="B455" s="20">
        <v>65.0</v>
      </c>
      <c r="C455" s="20" t="s">
        <v>3841</v>
      </c>
      <c r="D455" s="41">
        <v>45600.0</v>
      </c>
    </row>
    <row r="456" ht="16.5" customHeight="1">
      <c r="A456" s="19" t="s">
        <v>1540</v>
      </c>
      <c r="B456" s="20">
        <v>65.0</v>
      </c>
      <c r="C456" s="20" t="s">
        <v>3842</v>
      </c>
      <c r="D456" s="41">
        <v>45600.0</v>
      </c>
    </row>
    <row r="457" ht="16.5" customHeight="1">
      <c r="A457" s="19" t="s">
        <v>1041</v>
      </c>
      <c r="B457" s="20">
        <v>65.0</v>
      </c>
      <c r="C457" s="20" t="s">
        <v>3843</v>
      </c>
      <c r="D457" s="41">
        <v>45600.0</v>
      </c>
    </row>
    <row r="458" ht="16.5" customHeight="1">
      <c r="A458" s="19" t="s">
        <v>853</v>
      </c>
      <c r="B458" s="20">
        <v>65.0</v>
      </c>
      <c r="C458" s="20" t="s">
        <v>3844</v>
      </c>
      <c r="D458" s="41">
        <v>45600.0</v>
      </c>
    </row>
    <row r="459" ht="16.5" customHeight="1">
      <c r="A459" s="19" t="s">
        <v>1477</v>
      </c>
      <c r="B459" s="20">
        <v>65.0</v>
      </c>
      <c r="C459" s="20" t="s">
        <v>3845</v>
      </c>
      <c r="D459" s="41">
        <v>45600.0</v>
      </c>
    </row>
    <row r="460" ht="16.5" customHeight="1">
      <c r="A460" s="19" t="s">
        <v>833</v>
      </c>
      <c r="B460" s="20">
        <v>65.0</v>
      </c>
      <c r="C460" s="20" t="s">
        <v>3846</v>
      </c>
      <c r="D460" s="41">
        <v>45600.0</v>
      </c>
    </row>
    <row r="461" ht="16.5" customHeight="1">
      <c r="A461" s="19" t="s">
        <v>1195</v>
      </c>
      <c r="B461" s="20">
        <v>65.0</v>
      </c>
      <c r="C461" s="20" t="s">
        <v>3847</v>
      </c>
      <c r="D461" s="41">
        <v>45600.0</v>
      </c>
    </row>
    <row r="462" ht="16.5" customHeight="1">
      <c r="A462" s="19" t="s">
        <v>1373</v>
      </c>
      <c r="B462" s="20">
        <v>65.0</v>
      </c>
      <c r="C462" s="20" t="s">
        <v>3848</v>
      </c>
      <c r="D462" s="41">
        <v>45600.0</v>
      </c>
    </row>
    <row r="463" ht="16.5" customHeight="1">
      <c r="A463" s="19" t="s">
        <v>1147</v>
      </c>
      <c r="B463" s="20">
        <v>65.0</v>
      </c>
      <c r="C463" s="20" t="s">
        <v>3849</v>
      </c>
      <c r="D463" s="41">
        <v>45600.0</v>
      </c>
    </row>
    <row r="464" ht="16.5" customHeight="1">
      <c r="A464" s="19" t="s">
        <v>1404</v>
      </c>
      <c r="B464" s="20">
        <v>65.0</v>
      </c>
      <c r="C464" s="20" t="s">
        <v>3850</v>
      </c>
      <c r="D464" s="41">
        <v>45600.0</v>
      </c>
    </row>
    <row r="465" ht="16.5" customHeight="1">
      <c r="A465" s="19" t="s">
        <v>1241</v>
      </c>
      <c r="B465" s="20">
        <v>65.0</v>
      </c>
      <c r="C465" s="20" t="s">
        <v>3851</v>
      </c>
      <c r="D465" s="41">
        <v>45600.0</v>
      </c>
    </row>
    <row r="466" ht="16.5" customHeight="1">
      <c r="A466" s="19" t="s">
        <v>3047</v>
      </c>
      <c r="B466" s="20">
        <v>65.0</v>
      </c>
      <c r="C466" s="20" t="s">
        <v>3852</v>
      </c>
      <c r="D466" s="41">
        <v>45600.0</v>
      </c>
    </row>
    <row r="467" ht="16.5" customHeight="1">
      <c r="A467" s="19" t="s">
        <v>1408</v>
      </c>
      <c r="B467" s="20">
        <v>65.0</v>
      </c>
      <c r="C467" s="20" t="s">
        <v>3853</v>
      </c>
      <c r="D467" s="41">
        <v>45600.0</v>
      </c>
    </row>
    <row r="468" ht="16.5" customHeight="1">
      <c r="A468" s="19" t="s">
        <v>947</v>
      </c>
      <c r="B468" s="20">
        <v>65.0</v>
      </c>
      <c r="C468" s="20" t="s">
        <v>3854</v>
      </c>
      <c r="D468" s="41">
        <v>45600.0</v>
      </c>
    </row>
    <row r="469" ht="16.5" customHeight="1">
      <c r="A469" s="19" t="s">
        <v>1193</v>
      </c>
      <c r="B469" s="20">
        <v>65.0</v>
      </c>
      <c r="C469" s="20" t="s">
        <v>3855</v>
      </c>
      <c r="D469" s="41">
        <v>45600.0</v>
      </c>
    </row>
    <row r="470" ht="16.5" customHeight="1">
      <c r="A470" s="19" t="s">
        <v>1522</v>
      </c>
      <c r="B470" s="20">
        <v>65.0</v>
      </c>
      <c r="C470" s="20" t="s">
        <v>3856</v>
      </c>
      <c r="D470" s="41">
        <v>45600.0</v>
      </c>
    </row>
    <row r="471" ht="16.5" customHeight="1">
      <c r="A471" s="19" t="s">
        <v>1410</v>
      </c>
      <c r="B471" s="20">
        <v>65.0</v>
      </c>
      <c r="C471" s="20" t="s">
        <v>3857</v>
      </c>
      <c r="D471" s="41">
        <v>45600.0</v>
      </c>
    </row>
    <row r="472" ht="16.5" customHeight="1">
      <c r="A472" s="19" t="s">
        <v>1343</v>
      </c>
      <c r="B472" s="20">
        <v>65.0</v>
      </c>
      <c r="C472" s="20" t="s">
        <v>3858</v>
      </c>
      <c r="D472" s="41">
        <v>45600.0</v>
      </c>
    </row>
    <row r="473" ht="16.5" customHeight="1">
      <c r="A473" s="19" t="s">
        <v>41</v>
      </c>
      <c r="B473" s="20">
        <v>65.0</v>
      </c>
      <c r="C473" s="20" t="s">
        <v>3859</v>
      </c>
      <c r="D473" s="41">
        <v>45600.0</v>
      </c>
    </row>
    <row r="474" ht="16.5" customHeight="1">
      <c r="A474" s="19" t="s">
        <v>423</v>
      </c>
      <c r="B474" s="20">
        <v>65.0</v>
      </c>
      <c r="C474" s="20" t="s">
        <v>3860</v>
      </c>
      <c r="D474" s="41">
        <v>45600.0</v>
      </c>
    </row>
    <row r="475" ht="16.5" customHeight="1">
      <c r="A475" s="19" t="s">
        <v>1258</v>
      </c>
      <c r="B475" s="20">
        <v>65.0</v>
      </c>
      <c r="C475" s="20" t="s">
        <v>3861</v>
      </c>
      <c r="D475" s="41">
        <v>45600.0</v>
      </c>
    </row>
    <row r="476" ht="16.5" customHeight="1">
      <c r="A476" s="19" t="s">
        <v>1365</v>
      </c>
      <c r="B476" s="20">
        <v>65.0</v>
      </c>
      <c r="C476" s="20" t="s">
        <v>3862</v>
      </c>
      <c r="D476" s="41">
        <v>45600.0</v>
      </c>
    </row>
    <row r="477" ht="16.5" customHeight="1">
      <c r="A477" s="19" t="s">
        <v>1237</v>
      </c>
      <c r="B477" s="20">
        <v>65.0</v>
      </c>
      <c r="C477" s="20" t="s">
        <v>3863</v>
      </c>
      <c r="D477" s="41">
        <v>45600.0</v>
      </c>
    </row>
    <row r="478" ht="16.5" customHeight="1">
      <c r="A478" s="19" t="s">
        <v>1526</v>
      </c>
      <c r="B478" s="20">
        <v>65.0</v>
      </c>
      <c r="C478" s="20" t="s">
        <v>3864</v>
      </c>
      <c r="D478" s="41">
        <v>45600.0</v>
      </c>
    </row>
    <row r="479" ht="16.5" customHeight="1">
      <c r="A479" s="19" t="s">
        <v>342</v>
      </c>
      <c r="B479" s="20">
        <v>65.0</v>
      </c>
      <c r="C479" s="20" t="s">
        <v>3865</v>
      </c>
      <c r="D479" s="41">
        <v>45600.0</v>
      </c>
    </row>
    <row r="480" ht="16.5" customHeight="1">
      <c r="A480" s="19" t="s">
        <v>1028</v>
      </c>
      <c r="B480" s="20">
        <v>65.0</v>
      </c>
      <c r="C480" s="20" t="s">
        <v>3866</v>
      </c>
      <c r="D480" s="41">
        <v>45600.0</v>
      </c>
    </row>
    <row r="481" ht="16.5" customHeight="1">
      <c r="A481" s="19" t="s">
        <v>1569</v>
      </c>
      <c r="B481" s="20">
        <v>65.0</v>
      </c>
      <c r="C481" s="20" t="s">
        <v>3867</v>
      </c>
      <c r="D481" s="41">
        <v>45600.0</v>
      </c>
    </row>
    <row r="482" ht="16.5" customHeight="1">
      <c r="A482" s="19" t="s">
        <v>164</v>
      </c>
      <c r="B482" s="20">
        <v>65.0</v>
      </c>
      <c r="C482" s="20" t="s">
        <v>3868</v>
      </c>
      <c r="D482" s="41">
        <v>45600.0</v>
      </c>
    </row>
    <row r="483" ht="16.5" customHeight="1">
      <c r="A483" s="19" t="s">
        <v>1437</v>
      </c>
      <c r="B483" s="20">
        <v>65.0</v>
      </c>
      <c r="C483" s="20" t="s">
        <v>3869</v>
      </c>
      <c r="D483" s="41">
        <v>45600.0</v>
      </c>
    </row>
    <row r="484" ht="16.5" customHeight="1">
      <c r="A484" s="19" t="s">
        <v>1472</v>
      </c>
      <c r="B484" s="20">
        <v>65.0</v>
      </c>
      <c r="C484" s="20" t="s">
        <v>3870</v>
      </c>
      <c r="D484" s="41">
        <v>45600.0</v>
      </c>
    </row>
    <row r="485" ht="16.5" customHeight="1">
      <c r="A485" s="19" t="s">
        <v>900</v>
      </c>
      <c r="B485" s="20">
        <v>65.0</v>
      </c>
      <c r="C485" s="20" t="s">
        <v>3871</v>
      </c>
      <c r="D485" s="41">
        <v>45600.0</v>
      </c>
    </row>
    <row r="486" ht="16.5" customHeight="1">
      <c r="A486" s="19" t="s">
        <v>1225</v>
      </c>
      <c r="B486" s="20">
        <v>65.0</v>
      </c>
      <c r="C486" s="20" t="s">
        <v>3872</v>
      </c>
      <c r="D486" s="41">
        <v>45600.0</v>
      </c>
    </row>
    <row r="487" ht="16.5" customHeight="1">
      <c r="A487" s="19" t="s">
        <v>40</v>
      </c>
      <c r="B487" s="20">
        <v>65.0</v>
      </c>
      <c r="C487" s="20" t="s">
        <v>3873</v>
      </c>
      <c r="D487" s="41">
        <v>45600.0</v>
      </c>
    </row>
    <row r="488" ht="16.5" customHeight="1">
      <c r="A488" s="19" t="s">
        <v>163</v>
      </c>
      <c r="B488" s="20">
        <v>65.0</v>
      </c>
      <c r="C488" s="20" t="s">
        <v>3874</v>
      </c>
      <c r="D488" s="41">
        <v>45600.0</v>
      </c>
    </row>
    <row r="489" ht="16.5" customHeight="1">
      <c r="A489" s="19" t="s">
        <v>1543</v>
      </c>
      <c r="B489" s="20">
        <v>65.0</v>
      </c>
      <c r="C489" s="20" t="s">
        <v>3875</v>
      </c>
      <c r="D489" s="41">
        <v>45600.0</v>
      </c>
    </row>
    <row r="490" ht="16.5" customHeight="1">
      <c r="A490" s="19" t="s">
        <v>1264</v>
      </c>
      <c r="B490" s="20">
        <v>65.0</v>
      </c>
      <c r="C490" s="20" t="s">
        <v>3876</v>
      </c>
      <c r="D490" s="41">
        <v>45600.0</v>
      </c>
    </row>
    <row r="491" ht="16.5" customHeight="1">
      <c r="A491" s="19" t="s">
        <v>101</v>
      </c>
      <c r="B491" s="20">
        <v>65.0</v>
      </c>
      <c r="C491" s="20" t="s">
        <v>3877</v>
      </c>
      <c r="D491" s="41">
        <v>45600.0</v>
      </c>
    </row>
    <row r="492" ht="16.5" customHeight="1">
      <c r="A492" s="19" t="s">
        <v>1331</v>
      </c>
      <c r="B492" s="20">
        <v>60.0</v>
      </c>
      <c r="C492" s="20" t="s">
        <v>3878</v>
      </c>
      <c r="D492" s="41">
        <v>45600.0</v>
      </c>
    </row>
    <row r="493" ht="16.5" customHeight="1">
      <c r="A493" s="19" t="s">
        <v>1470</v>
      </c>
      <c r="B493" s="20">
        <v>60.0</v>
      </c>
      <c r="C493" s="20" t="s">
        <v>3879</v>
      </c>
      <c r="D493" s="41">
        <v>45600.0</v>
      </c>
    </row>
    <row r="494" ht="16.5" customHeight="1">
      <c r="A494" s="19" t="s">
        <v>1396</v>
      </c>
      <c r="B494" s="20">
        <v>60.0</v>
      </c>
      <c r="C494" s="20" t="s">
        <v>3880</v>
      </c>
      <c r="D494" s="41">
        <v>45600.0</v>
      </c>
    </row>
    <row r="495" ht="16.5" customHeight="1">
      <c r="A495" s="19" t="s">
        <v>1582</v>
      </c>
      <c r="B495" s="20">
        <v>60.0</v>
      </c>
      <c r="C495" s="20" t="s">
        <v>3881</v>
      </c>
      <c r="D495" s="41">
        <v>45600.0</v>
      </c>
    </row>
    <row r="496" ht="16.5" customHeight="1">
      <c r="A496" s="19" t="s">
        <v>1429</v>
      </c>
      <c r="B496" s="20">
        <v>60.0</v>
      </c>
      <c r="C496" s="20" t="s">
        <v>3882</v>
      </c>
      <c r="D496" s="41">
        <v>45600.0</v>
      </c>
    </row>
    <row r="497" ht="16.5" customHeight="1">
      <c r="A497" s="19" t="s">
        <v>1524</v>
      </c>
      <c r="B497" s="20">
        <v>60.0</v>
      </c>
      <c r="C497" s="20" t="s">
        <v>3883</v>
      </c>
      <c r="D497" s="41">
        <v>45600.0</v>
      </c>
    </row>
    <row r="498" ht="16.5" customHeight="1">
      <c r="A498" s="19" t="s">
        <v>1456</v>
      </c>
      <c r="B498" s="20">
        <v>55.0</v>
      </c>
      <c r="C498" s="20" t="s">
        <v>3884</v>
      </c>
      <c r="D498" s="41">
        <v>45600.0</v>
      </c>
    </row>
    <row r="499" ht="16.5" customHeight="1">
      <c r="A499" s="19" t="s">
        <v>1454</v>
      </c>
      <c r="B499" s="20">
        <v>55.0</v>
      </c>
      <c r="C499" s="20" t="s">
        <v>3885</v>
      </c>
      <c r="D499" s="41">
        <v>45600.0</v>
      </c>
    </row>
    <row r="500" ht="16.5" customHeight="1">
      <c r="A500" s="19" t="s">
        <v>1391</v>
      </c>
      <c r="B500" s="20">
        <v>55.0</v>
      </c>
      <c r="C500" s="20" t="s">
        <v>3886</v>
      </c>
      <c r="D500" s="41">
        <v>45600.0</v>
      </c>
    </row>
    <row r="501" ht="16.5" customHeight="1">
      <c r="A501" s="19" t="s">
        <v>1406</v>
      </c>
      <c r="B501" s="20">
        <v>55.0</v>
      </c>
      <c r="C501" s="20" t="s">
        <v>3887</v>
      </c>
      <c r="D501" s="41">
        <v>45600.0</v>
      </c>
    </row>
    <row r="502" ht="16.5" customHeight="1">
      <c r="A502" s="19" t="s">
        <v>1617</v>
      </c>
      <c r="B502" s="20">
        <v>45.0</v>
      </c>
      <c r="C502" s="20" t="s">
        <v>3888</v>
      </c>
      <c r="D502" s="41">
        <v>45600.0</v>
      </c>
    </row>
    <row r="503" ht="16.5" customHeight="1">
      <c r="A503" s="19" t="s">
        <v>1291</v>
      </c>
      <c r="B503" s="20">
        <v>45.0</v>
      </c>
      <c r="C503" s="20" t="s">
        <v>3889</v>
      </c>
      <c r="D503" s="41">
        <v>45600.0</v>
      </c>
    </row>
    <row r="504" ht="16.5" customHeight="1">
      <c r="A504" s="19" t="s">
        <v>1584</v>
      </c>
      <c r="B504" s="20">
        <v>45.0</v>
      </c>
      <c r="C504" s="20" t="s">
        <v>3890</v>
      </c>
      <c r="D504" s="41">
        <v>45600.0</v>
      </c>
    </row>
  </sheetData>
  <autoFilter ref="$G$1:$K$19">
    <sortState ref="G1:K19">
      <sortCondition descending="1" ref="I1:I19"/>
    </sortState>
  </autoFilter>
  <hyperlinks>
    <hyperlink r:id="rId1" ref="C2"/>
    <hyperlink r:id="rId2" ref="J10"/>
    <hyperlink r:id="rId3" ref="C57"/>
    <hyperlink r:id="rId4" ref="C62"/>
    <hyperlink r:id="rId5" ref="C145"/>
    <hyperlink r:id="rId6" ref="C175"/>
    <hyperlink r:id="rId7" ref="C283"/>
    <hyperlink r:id="rId8" ref="C341"/>
  </hyperlinks>
  <drawing r:id="rId9"/>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40" t="s">
        <v>623</v>
      </c>
      <c r="B1" s="40" t="s">
        <v>624</v>
      </c>
      <c r="C1" s="40" t="s">
        <v>625</v>
      </c>
      <c r="D1" s="40" t="s">
        <v>626</v>
      </c>
    </row>
    <row r="2">
      <c r="A2" s="19" t="s">
        <v>647</v>
      </c>
      <c r="B2" s="20" t="s">
        <v>3891</v>
      </c>
      <c r="C2" s="20">
        <v>85.0</v>
      </c>
      <c r="D2" s="41">
        <v>45600.0</v>
      </c>
    </row>
    <row r="3">
      <c r="A3" s="19" t="s">
        <v>111</v>
      </c>
      <c r="B3" s="20" t="s">
        <v>3892</v>
      </c>
      <c r="C3" s="20">
        <v>85.0</v>
      </c>
      <c r="D3" s="41">
        <v>45600.0</v>
      </c>
    </row>
    <row r="4">
      <c r="A4" s="19" t="s">
        <v>642</v>
      </c>
      <c r="B4" s="20" t="s">
        <v>3893</v>
      </c>
      <c r="C4" s="20">
        <v>80.0</v>
      </c>
      <c r="D4" s="41">
        <v>45600.0</v>
      </c>
    </row>
    <row r="5">
      <c r="A5" s="19" t="s">
        <v>119</v>
      </c>
      <c r="B5" s="20" t="s">
        <v>3894</v>
      </c>
      <c r="C5" s="20">
        <v>80.0</v>
      </c>
      <c r="D5" s="41">
        <v>45600.0</v>
      </c>
    </row>
    <row r="6">
      <c r="A6" s="19" t="s">
        <v>309</v>
      </c>
      <c r="B6" s="20" t="s">
        <v>3895</v>
      </c>
      <c r="C6" s="20">
        <v>80.0</v>
      </c>
      <c r="D6" s="41">
        <v>45600.0</v>
      </c>
    </row>
    <row r="7">
      <c r="A7" s="19" t="s">
        <v>159</v>
      </c>
      <c r="B7" s="20" t="s">
        <v>3896</v>
      </c>
      <c r="C7" s="20">
        <v>80.0</v>
      </c>
      <c r="D7" s="41">
        <v>45600.0</v>
      </c>
    </row>
    <row r="8">
      <c r="A8" s="19" t="s">
        <v>115</v>
      </c>
      <c r="B8" s="20" t="s">
        <v>3897</v>
      </c>
      <c r="C8" s="20">
        <v>80.0</v>
      </c>
      <c r="D8" s="41">
        <v>45600.0</v>
      </c>
    </row>
    <row r="9">
      <c r="A9" s="19" t="s">
        <v>107</v>
      </c>
      <c r="B9" s="20" t="s">
        <v>3898</v>
      </c>
      <c r="C9" s="20">
        <v>80.0</v>
      </c>
      <c r="D9" s="41">
        <v>45600.0</v>
      </c>
    </row>
    <row r="10">
      <c r="A10" s="19" t="s">
        <v>742</v>
      </c>
      <c r="B10" s="20" t="s">
        <v>3899</v>
      </c>
      <c r="C10" s="20">
        <v>80.0</v>
      </c>
      <c r="D10" s="41">
        <v>45600.0</v>
      </c>
    </row>
    <row r="11">
      <c r="A11" s="19" t="s">
        <v>690</v>
      </c>
      <c r="B11" s="20" t="s">
        <v>3900</v>
      </c>
      <c r="C11" s="20">
        <v>75.0</v>
      </c>
      <c r="D11" s="41">
        <v>45600.0</v>
      </c>
    </row>
    <row r="12">
      <c r="A12" s="19" t="s">
        <v>686</v>
      </c>
      <c r="B12" s="20" t="s">
        <v>3901</v>
      </c>
      <c r="C12" s="20">
        <v>75.0</v>
      </c>
      <c r="D12" s="41">
        <v>45600.0</v>
      </c>
    </row>
    <row r="13">
      <c r="A13" s="19" t="s">
        <v>638</v>
      </c>
      <c r="B13" s="20" t="s">
        <v>3902</v>
      </c>
      <c r="C13" s="20">
        <v>75.0</v>
      </c>
      <c r="D13" s="41">
        <v>45600.0</v>
      </c>
    </row>
    <row r="14">
      <c r="A14" s="19" t="s">
        <v>727</v>
      </c>
      <c r="B14" s="20" t="s">
        <v>3903</v>
      </c>
      <c r="C14" s="20">
        <v>75.0</v>
      </c>
      <c r="D14" s="41">
        <v>45600.0</v>
      </c>
    </row>
    <row r="15">
      <c r="A15" s="19" t="s">
        <v>156</v>
      </c>
      <c r="B15" s="20" t="s">
        <v>3904</v>
      </c>
      <c r="C15" s="20">
        <v>75.0</v>
      </c>
      <c r="D15" s="41">
        <v>45600.0</v>
      </c>
    </row>
    <row r="16">
      <c r="A16" s="19" t="s">
        <v>675</v>
      </c>
      <c r="B16" s="20" t="s">
        <v>3905</v>
      </c>
      <c r="C16" s="20">
        <v>75.0</v>
      </c>
      <c r="D16" s="41">
        <v>45600.0</v>
      </c>
    </row>
    <row r="17">
      <c r="A17" s="19" t="s">
        <v>103</v>
      </c>
      <c r="B17" s="20" t="s">
        <v>3906</v>
      </c>
      <c r="C17" s="20">
        <v>75.0</v>
      </c>
      <c r="D17" s="41">
        <v>45600.0</v>
      </c>
    </row>
    <row r="18">
      <c r="A18" s="19" t="s">
        <v>634</v>
      </c>
      <c r="B18" s="20" t="s">
        <v>3907</v>
      </c>
      <c r="C18" s="20">
        <v>75.0</v>
      </c>
      <c r="D18" s="41">
        <v>45600.0</v>
      </c>
    </row>
    <row r="19">
      <c r="A19" s="19" t="s">
        <v>662</v>
      </c>
      <c r="B19" s="20" t="s">
        <v>3908</v>
      </c>
      <c r="C19" s="20">
        <v>75.0</v>
      </c>
      <c r="D19" s="41">
        <v>45600.0</v>
      </c>
    </row>
    <row r="20">
      <c r="A20" s="19" t="s">
        <v>672</v>
      </c>
      <c r="B20" s="20" t="s">
        <v>3909</v>
      </c>
      <c r="C20" s="20">
        <v>75.0</v>
      </c>
      <c r="D20" s="41">
        <v>45600.0</v>
      </c>
    </row>
    <row r="21">
      <c r="A21" s="19" t="s">
        <v>692</v>
      </c>
      <c r="B21" s="20" t="s">
        <v>3910</v>
      </c>
      <c r="C21" s="20">
        <v>75.0</v>
      </c>
      <c r="D21" s="41">
        <v>45600.0</v>
      </c>
    </row>
    <row r="22">
      <c r="A22" s="19" t="s">
        <v>173</v>
      </c>
      <c r="B22" s="20" t="s">
        <v>3911</v>
      </c>
      <c r="C22" s="20">
        <v>75.0</v>
      </c>
      <c r="D22" s="41">
        <v>45600.0</v>
      </c>
    </row>
    <row r="23">
      <c r="A23" s="19" t="s">
        <v>660</v>
      </c>
      <c r="B23" s="20" t="s">
        <v>3912</v>
      </c>
      <c r="C23" s="20">
        <v>75.0</v>
      </c>
      <c r="D23" s="41">
        <v>45600.0</v>
      </c>
    </row>
    <row r="24">
      <c r="A24" s="19" t="s">
        <v>194</v>
      </c>
      <c r="B24" s="20" t="s">
        <v>3913</v>
      </c>
      <c r="C24" s="20">
        <v>75.0</v>
      </c>
      <c r="D24" s="41">
        <v>45600.0</v>
      </c>
    </row>
    <row r="25">
      <c r="A25" s="19" t="s">
        <v>188</v>
      </c>
      <c r="B25" s="20" t="s">
        <v>3914</v>
      </c>
      <c r="C25" s="20">
        <v>75.0</v>
      </c>
      <c r="D25" s="41">
        <v>45600.0</v>
      </c>
    </row>
    <row r="26">
      <c r="A26" s="19" t="s">
        <v>751</v>
      </c>
      <c r="B26" s="20" t="s">
        <v>3915</v>
      </c>
      <c r="C26" s="20">
        <v>75.0</v>
      </c>
      <c r="D26" s="41">
        <v>45600.0</v>
      </c>
    </row>
    <row r="27">
      <c r="A27" s="19" t="s">
        <v>706</v>
      </c>
      <c r="B27" s="20" t="s">
        <v>3916</v>
      </c>
      <c r="C27" s="20">
        <v>75.0</v>
      </c>
      <c r="D27" s="41">
        <v>45600.0</v>
      </c>
    </row>
    <row r="28">
      <c r="A28" s="19" t="s">
        <v>712</v>
      </c>
      <c r="B28" s="20" t="s">
        <v>3917</v>
      </c>
      <c r="C28" s="20">
        <v>75.0</v>
      </c>
      <c r="D28" s="41">
        <v>45600.0</v>
      </c>
    </row>
    <row r="29">
      <c r="A29" s="19" t="s">
        <v>664</v>
      </c>
      <c r="B29" s="20" t="s">
        <v>3918</v>
      </c>
      <c r="C29" s="20">
        <v>75.0</v>
      </c>
      <c r="D29" s="41">
        <v>45600.0</v>
      </c>
    </row>
    <row r="30">
      <c r="A30" s="19" t="s">
        <v>666</v>
      </c>
      <c r="B30" s="20" t="s">
        <v>3919</v>
      </c>
      <c r="C30" s="20">
        <v>75.0</v>
      </c>
      <c r="D30" s="41">
        <v>45600.0</v>
      </c>
    </row>
    <row r="31">
      <c r="A31" s="19" t="s">
        <v>740</v>
      </c>
      <c r="B31" s="20" t="s">
        <v>3920</v>
      </c>
      <c r="C31" s="20">
        <v>75.0</v>
      </c>
      <c r="D31" s="41">
        <v>45600.0</v>
      </c>
    </row>
    <row r="32">
      <c r="A32" s="19" t="s">
        <v>312</v>
      </c>
      <c r="B32" s="20" t="s">
        <v>3921</v>
      </c>
      <c r="C32" s="20">
        <v>75.0</v>
      </c>
      <c r="D32" s="41">
        <v>45600.0</v>
      </c>
    </row>
    <row r="33">
      <c r="A33" s="19" t="s">
        <v>148</v>
      </c>
      <c r="B33" s="20" t="s">
        <v>3922</v>
      </c>
      <c r="C33" s="20">
        <v>75.0</v>
      </c>
      <c r="D33" s="41">
        <v>45600.0</v>
      </c>
    </row>
    <row r="34">
      <c r="A34" s="19" t="s">
        <v>717</v>
      </c>
      <c r="B34" s="20" t="s">
        <v>3923</v>
      </c>
      <c r="C34" s="20">
        <v>75.0</v>
      </c>
      <c r="D34" s="41">
        <v>45600.0</v>
      </c>
    </row>
    <row r="35">
      <c r="A35" s="19" t="s">
        <v>177</v>
      </c>
      <c r="B35" s="20" t="s">
        <v>3924</v>
      </c>
      <c r="C35" s="20">
        <v>75.0</v>
      </c>
      <c r="D35" s="41">
        <v>45600.0</v>
      </c>
    </row>
    <row r="36">
      <c r="A36" s="19" t="s">
        <v>731</v>
      </c>
      <c r="B36" s="20" t="s">
        <v>3925</v>
      </c>
      <c r="C36" s="20">
        <v>75.0</v>
      </c>
      <c r="D36" s="41">
        <v>45600.0</v>
      </c>
    </row>
    <row r="37">
      <c r="A37" s="19" t="s">
        <v>153</v>
      </c>
      <c r="B37" s="20" t="s">
        <v>3926</v>
      </c>
      <c r="C37" s="20">
        <v>75.0</v>
      </c>
      <c r="D37" s="41">
        <v>45600.0</v>
      </c>
    </row>
    <row r="38">
      <c r="A38" s="19" t="s">
        <v>753</v>
      </c>
      <c r="B38" s="20" t="s">
        <v>3927</v>
      </c>
      <c r="C38" s="20">
        <v>70.0</v>
      </c>
      <c r="D38" s="41">
        <v>45600.0</v>
      </c>
    </row>
    <row r="39">
      <c r="A39" s="19" t="s">
        <v>684</v>
      </c>
      <c r="B39" s="20" t="s">
        <v>3928</v>
      </c>
      <c r="C39" s="20">
        <v>70.0</v>
      </c>
      <c r="D39" s="41">
        <v>45600.0</v>
      </c>
    </row>
    <row r="40">
      <c r="A40" s="19" t="s">
        <v>688</v>
      </c>
      <c r="B40" s="20" t="s">
        <v>3929</v>
      </c>
      <c r="C40" s="20">
        <v>70.0</v>
      </c>
      <c r="D40" s="41">
        <v>45600.0</v>
      </c>
    </row>
    <row r="41">
      <c r="A41" s="19" t="s">
        <v>721</v>
      </c>
      <c r="B41" s="20" t="s">
        <v>3930</v>
      </c>
      <c r="C41" s="20">
        <v>70.0</v>
      </c>
      <c r="D41" s="41">
        <v>45600.0</v>
      </c>
    </row>
    <row r="42">
      <c r="A42" s="19" t="s">
        <v>702</v>
      </c>
      <c r="B42" s="20" t="s">
        <v>3931</v>
      </c>
      <c r="C42" s="20">
        <v>70.0</v>
      </c>
      <c r="D42" s="41">
        <v>45600.0</v>
      </c>
    </row>
    <row r="43">
      <c r="A43" s="19" t="s">
        <v>749</v>
      </c>
      <c r="B43" s="20" t="s">
        <v>3932</v>
      </c>
      <c r="C43" s="20">
        <v>70.0</v>
      </c>
      <c r="D43" s="41">
        <v>45600.0</v>
      </c>
    </row>
    <row r="44">
      <c r="A44" s="19" t="s">
        <v>738</v>
      </c>
      <c r="B44" s="20" t="s">
        <v>3933</v>
      </c>
      <c r="C44" s="20">
        <v>70.0</v>
      </c>
      <c r="D44" s="41">
        <v>45600.0</v>
      </c>
    </row>
    <row r="45">
      <c r="A45" s="19" t="s">
        <v>150</v>
      </c>
      <c r="B45" s="20" t="s">
        <v>3934</v>
      </c>
      <c r="C45" s="20">
        <v>70.0</v>
      </c>
      <c r="D45" s="41">
        <v>45600.0</v>
      </c>
    </row>
    <row r="46">
      <c r="A46" s="19" t="s">
        <v>755</v>
      </c>
      <c r="B46" s="20" t="s">
        <v>3935</v>
      </c>
      <c r="C46" s="20">
        <v>70.0</v>
      </c>
      <c r="D46" s="41">
        <v>45600.0</v>
      </c>
    </row>
    <row r="47">
      <c r="A47" s="19" t="s">
        <v>698</v>
      </c>
      <c r="B47" s="20" t="s">
        <v>3936</v>
      </c>
      <c r="C47" s="20">
        <v>70.0</v>
      </c>
      <c r="D47" s="41">
        <v>45600.0</v>
      </c>
    </row>
    <row r="48">
      <c r="A48" s="19" t="s">
        <v>668</v>
      </c>
      <c r="B48" s="20" t="s">
        <v>3937</v>
      </c>
      <c r="C48" s="20">
        <v>70.0</v>
      </c>
      <c r="D48" s="41">
        <v>45600.0</v>
      </c>
    </row>
    <row r="49">
      <c r="A49" s="19" t="s">
        <v>708</v>
      </c>
      <c r="B49" s="20" t="s">
        <v>3938</v>
      </c>
      <c r="C49" s="20">
        <v>70.0</v>
      </c>
      <c r="D49" s="41">
        <v>45600.0</v>
      </c>
    </row>
    <row r="50">
      <c r="A50" s="19" t="s">
        <v>649</v>
      </c>
      <c r="B50" s="20" t="s">
        <v>3939</v>
      </c>
      <c r="C50" s="20">
        <v>70.0</v>
      </c>
      <c r="D50" s="41">
        <v>45600.0</v>
      </c>
    </row>
    <row r="51">
      <c r="A51" s="19" t="s">
        <v>658</v>
      </c>
      <c r="B51" s="20" t="s">
        <v>3940</v>
      </c>
      <c r="C51" s="20">
        <v>70.0</v>
      </c>
      <c r="D51" s="41">
        <v>45600.0</v>
      </c>
    </row>
    <row r="52">
      <c r="A52" s="19" t="s">
        <v>314</v>
      </c>
      <c r="B52" s="20" t="s">
        <v>3941</v>
      </c>
      <c r="C52" s="20">
        <v>70.0</v>
      </c>
      <c r="D52" s="41">
        <v>45600.0</v>
      </c>
    </row>
    <row r="53">
      <c r="A53" s="19" t="s">
        <v>736</v>
      </c>
      <c r="B53" s="20" t="s">
        <v>3942</v>
      </c>
      <c r="C53" s="20">
        <v>70.0</v>
      </c>
      <c r="D53" s="41">
        <v>45600.0</v>
      </c>
    </row>
    <row r="54">
      <c r="A54" s="19" t="s">
        <v>694</v>
      </c>
      <c r="B54" s="20" t="s">
        <v>3943</v>
      </c>
      <c r="C54" s="20">
        <v>70.0</v>
      </c>
      <c r="D54" s="41">
        <v>45600.0</v>
      </c>
    </row>
    <row r="55">
      <c r="A55" s="19" t="s">
        <v>725</v>
      </c>
      <c r="B55" s="20" t="s">
        <v>3944</v>
      </c>
      <c r="C55" s="20">
        <v>70.0</v>
      </c>
      <c r="D55" s="41">
        <v>45600.0</v>
      </c>
    </row>
    <row r="56">
      <c r="A56" s="19" t="s">
        <v>710</v>
      </c>
      <c r="B56" s="20" t="s">
        <v>3945</v>
      </c>
      <c r="C56" s="20">
        <v>70.0</v>
      </c>
      <c r="D56" s="41">
        <v>45600.0</v>
      </c>
    </row>
    <row r="57">
      <c r="A57" s="19" t="s">
        <v>700</v>
      </c>
      <c r="B57" s="20" t="s">
        <v>3946</v>
      </c>
      <c r="C57" s="20">
        <v>70.0</v>
      </c>
      <c r="D57" s="41">
        <v>45600.0</v>
      </c>
    </row>
    <row r="58">
      <c r="A58" s="19" t="s">
        <v>652</v>
      </c>
      <c r="B58" s="20" t="s">
        <v>3947</v>
      </c>
      <c r="C58" s="20">
        <v>70.0</v>
      </c>
      <c r="D58" s="41">
        <v>45600.0</v>
      </c>
    </row>
    <row r="59">
      <c r="A59" s="19" t="s">
        <v>745</v>
      </c>
      <c r="B59" s="20" t="s">
        <v>3948</v>
      </c>
      <c r="C59" s="20">
        <v>70.0</v>
      </c>
      <c r="D59" s="41">
        <v>45600.0</v>
      </c>
    </row>
    <row r="60">
      <c r="A60" s="19" t="s">
        <v>719</v>
      </c>
      <c r="B60" s="20" t="s">
        <v>3949</v>
      </c>
      <c r="C60" s="20">
        <v>70.0</v>
      </c>
      <c r="D60" s="41">
        <v>45600.0</v>
      </c>
    </row>
    <row r="61">
      <c r="A61" s="19" t="s">
        <v>656</v>
      </c>
      <c r="B61" s="20" t="s">
        <v>3950</v>
      </c>
      <c r="C61" s="20">
        <v>70.0</v>
      </c>
      <c r="D61" s="41">
        <v>45600.0</v>
      </c>
    </row>
    <row r="62">
      <c r="A62" s="19" t="s">
        <v>704</v>
      </c>
      <c r="B62" s="20" t="s">
        <v>3951</v>
      </c>
      <c r="C62" s="20">
        <v>70.0</v>
      </c>
      <c r="D62" s="41">
        <v>45600.0</v>
      </c>
    </row>
    <row r="63">
      <c r="A63" s="19" t="s">
        <v>640</v>
      </c>
      <c r="B63" s="20" t="s">
        <v>3952</v>
      </c>
      <c r="C63" s="20">
        <v>70.0</v>
      </c>
      <c r="D63" s="41">
        <v>45600.0</v>
      </c>
    </row>
    <row r="64">
      <c r="A64" s="19" t="s">
        <v>636</v>
      </c>
      <c r="B64" s="20" t="s">
        <v>3953</v>
      </c>
      <c r="C64" s="20">
        <v>70.0</v>
      </c>
      <c r="D64" s="41">
        <v>45600.0</v>
      </c>
    </row>
    <row r="65">
      <c r="A65" s="19" t="s">
        <v>645</v>
      </c>
      <c r="B65" s="20" t="s">
        <v>3954</v>
      </c>
      <c r="C65" s="20">
        <v>70.0</v>
      </c>
      <c r="D65" s="41">
        <v>45600.0</v>
      </c>
    </row>
    <row r="66">
      <c r="A66" s="42"/>
      <c r="B66" s="20" t="s">
        <v>3955</v>
      </c>
      <c r="C66" s="20">
        <v>70.0</v>
      </c>
      <c r="D66" s="41">
        <v>45600.0</v>
      </c>
    </row>
    <row r="67">
      <c r="A67" s="19" t="s">
        <v>654</v>
      </c>
      <c r="B67" s="20" t="s">
        <v>3956</v>
      </c>
      <c r="C67" s="20">
        <v>65.0</v>
      </c>
      <c r="D67" s="41">
        <v>45600.0</v>
      </c>
    </row>
    <row r="68">
      <c r="A68" s="19" t="s">
        <v>757</v>
      </c>
      <c r="B68" s="20" t="s">
        <v>3957</v>
      </c>
      <c r="C68" s="20">
        <v>65.0</v>
      </c>
      <c r="D68" s="41">
        <v>45600.0</v>
      </c>
    </row>
    <row r="69">
      <c r="A69" s="19" t="s">
        <v>678</v>
      </c>
      <c r="B69" s="20" t="s">
        <v>3958</v>
      </c>
      <c r="C69" s="20">
        <v>65.0</v>
      </c>
      <c r="D69" s="41">
        <v>45600.0</v>
      </c>
    </row>
    <row r="70">
      <c r="A70" s="19" t="s">
        <v>734</v>
      </c>
      <c r="B70" s="20" t="s">
        <v>3959</v>
      </c>
      <c r="C70" s="20">
        <v>65.0</v>
      </c>
      <c r="D70" s="41">
        <v>45600.0</v>
      </c>
    </row>
    <row r="71">
      <c r="A71" s="19" t="s">
        <v>723</v>
      </c>
      <c r="B71" s="20" t="s">
        <v>3960</v>
      </c>
      <c r="C71" s="20">
        <v>65.0</v>
      </c>
      <c r="D71" s="41">
        <v>45600.0</v>
      </c>
    </row>
    <row r="72">
      <c r="A72" s="19" t="s">
        <v>714</v>
      </c>
      <c r="B72" s="20" t="s">
        <v>3961</v>
      </c>
      <c r="C72" s="20">
        <v>65.0</v>
      </c>
      <c r="D72" s="41">
        <v>45600.0</v>
      </c>
    </row>
    <row r="73">
      <c r="A73" s="19" t="s">
        <v>670</v>
      </c>
      <c r="B73" s="20" t="s">
        <v>3962</v>
      </c>
      <c r="C73" s="20">
        <v>65.0</v>
      </c>
      <c r="D73" s="41">
        <v>45600.0</v>
      </c>
    </row>
    <row r="74">
      <c r="A74" s="19" t="s">
        <v>747</v>
      </c>
      <c r="B74" s="20" t="s">
        <v>3963</v>
      </c>
      <c r="C74" s="20">
        <v>60.0</v>
      </c>
      <c r="D74" s="41">
        <v>45600.0</v>
      </c>
    </row>
    <row r="75">
      <c r="A75" s="19" t="s">
        <v>682</v>
      </c>
      <c r="B75" s="20" t="s">
        <v>3964</v>
      </c>
      <c r="C75" s="20">
        <v>45.0</v>
      </c>
      <c r="D75" s="41">
        <v>45600.0</v>
      </c>
    </row>
    <row r="76">
      <c r="A76" s="19" t="s">
        <v>729</v>
      </c>
      <c r="B76" s="20" t="s">
        <v>3965</v>
      </c>
      <c r="C76" s="20">
        <v>40.0</v>
      </c>
      <c r="D76" s="41">
        <v>45600.0</v>
      </c>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ht="18.75" customHeight="1">
      <c r="A1" s="40" t="s">
        <v>759</v>
      </c>
      <c r="B1" s="40" t="s">
        <v>625</v>
      </c>
      <c r="C1" s="45" t="s">
        <v>1643</v>
      </c>
      <c r="D1" s="40" t="s">
        <v>624</v>
      </c>
    </row>
    <row r="2" ht="18.75" customHeight="1">
      <c r="A2" s="19" t="s">
        <v>250</v>
      </c>
      <c r="B2" s="20">
        <v>90.0</v>
      </c>
      <c r="C2" s="46">
        <f>IFERROR(__xludf.DUMMYFUNCTION("GOOGLEFINANCE(A2,""marketcap"")"),1.00038430296E11)</f>
        <v>100038430296</v>
      </c>
      <c r="D2" s="20" t="s">
        <v>3966</v>
      </c>
    </row>
    <row r="3" ht="18.75" customHeight="1">
      <c r="A3" s="19" t="s">
        <v>182</v>
      </c>
      <c r="B3" s="20">
        <v>90.0</v>
      </c>
      <c r="C3" s="46">
        <f>IFERROR(__xludf.DUMMYFUNCTION("GOOGLEFINANCE(A3,""marketcap"")"),5.229772984313E12)</f>
        <v>5229772984313</v>
      </c>
      <c r="D3" s="20" t="s">
        <v>3967</v>
      </c>
    </row>
    <row r="4" ht="18.75" customHeight="1">
      <c r="A4" s="19" t="s">
        <v>254</v>
      </c>
      <c r="B4" s="20">
        <v>85.0</v>
      </c>
      <c r="C4" s="46">
        <f>IFERROR(__xludf.DUMMYFUNCTION("GOOGLEFINANCE(A4,""marketcap"")"),8.8623726693E10)</f>
        <v>88623726693</v>
      </c>
      <c r="D4" s="20" t="s">
        <v>3968</v>
      </c>
    </row>
    <row r="5" ht="18.75" customHeight="1">
      <c r="A5" s="19" t="s">
        <v>253</v>
      </c>
      <c r="B5" s="20">
        <v>85.0</v>
      </c>
      <c r="C5" s="46">
        <f>IFERROR(__xludf.DUMMYFUNCTION("GOOGLEFINANCE(A5,""marketcap"")"),8.4218044908E11)</f>
        <v>842180449080</v>
      </c>
      <c r="D5" s="20" t="s">
        <v>3969</v>
      </c>
    </row>
    <row r="6" ht="18.75" customHeight="1">
      <c r="A6" s="19" t="s">
        <v>18</v>
      </c>
      <c r="B6" s="20">
        <v>85.0</v>
      </c>
      <c r="C6" s="46">
        <f>IFERROR(__xludf.DUMMYFUNCTION("GOOGLEFINANCE(A6,""marketcap"")"),1.02278714678E11)</f>
        <v>102278714678</v>
      </c>
      <c r="D6" s="20" t="s">
        <v>3970</v>
      </c>
    </row>
    <row r="7" ht="18.75" customHeight="1">
      <c r="A7" s="19" t="s">
        <v>21</v>
      </c>
      <c r="B7" s="20">
        <v>85.0</v>
      </c>
      <c r="C7" s="46">
        <f>IFERROR(__xludf.DUMMYFUNCTION("GOOGLEFINANCE(A7,""marketcap"")"),6.00640224849E11)</f>
        <v>600640224849</v>
      </c>
      <c r="D7" s="20" t="s">
        <v>3971</v>
      </c>
    </row>
    <row r="8" ht="18.75" customHeight="1">
      <c r="A8" s="19" t="s">
        <v>198</v>
      </c>
      <c r="B8" s="20">
        <v>85.0</v>
      </c>
      <c r="C8" s="46">
        <f>IFERROR(__xludf.DUMMYFUNCTION("GOOGLEFINANCE(A8,""marketcap"")"),3.56493986497E11)</f>
        <v>356493986497</v>
      </c>
      <c r="D8" s="20" t="s">
        <v>3972</v>
      </c>
    </row>
    <row r="9" ht="18.75" customHeight="1">
      <c r="A9" s="19" t="s">
        <v>252</v>
      </c>
      <c r="B9" s="20">
        <v>85.0</v>
      </c>
      <c r="C9" s="46">
        <f>IFERROR(__xludf.DUMMYFUNCTION("GOOGLEFINANCE(A9,""marketcap"")"),8.93194642325E11)</f>
        <v>893194642325</v>
      </c>
      <c r="D9" s="20" t="s">
        <v>3973</v>
      </c>
    </row>
    <row r="10" ht="18.75" customHeight="1">
      <c r="A10" s="19" t="s">
        <v>184</v>
      </c>
      <c r="B10" s="20">
        <v>85.0</v>
      </c>
      <c r="C10" s="46">
        <f>IFERROR(__xludf.DUMMYFUNCTION("GOOGLEFINANCE(A10,""marketcap"")"),4.841311148549E12)</f>
        <v>4841311148549</v>
      </c>
      <c r="D10" s="20" t="s">
        <v>3974</v>
      </c>
    </row>
    <row r="11" ht="18.75" customHeight="1">
      <c r="A11" s="19" t="s">
        <v>229</v>
      </c>
      <c r="B11" s="20">
        <v>85.0</v>
      </c>
      <c r="C11" s="46">
        <f>IFERROR(__xludf.DUMMYFUNCTION("GOOGLEFINANCE(A11,""marketcap"")"),4.840260565908E12)</f>
        <v>4840260565908</v>
      </c>
      <c r="D11" s="20" t="s">
        <v>3975</v>
      </c>
    </row>
    <row r="12" ht="18.75" customHeight="1">
      <c r="A12" s="19" t="s">
        <v>1231</v>
      </c>
      <c r="B12" s="20">
        <v>85.0</v>
      </c>
      <c r="C12" s="46">
        <f>IFERROR(__xludf.DUMMYFUNCTION("GOOGLEFINANCE(A12,""marketcap"")"),3.2674478702E10)</f>
        <v>32674478702</v>
      </c>
      <c r="D12" s="20" t="s">
        <v>3976</v>
      </c>
    </row>
    <row r="13" ht="18.75" customHeight="1">
      <c r="A13" s="19" t="s">
        <v>1479</v>
      </c>
      <c r="B13" s="20">
        <v>85.0</v>
      </c>
      <c r="C13" s="46">
        <f>IFERROR(__xludf.DUMMYFUNCTION("GOOGLEFINANCE(A13,""marketcap"")"),5.7566180103E10)</f>
        <v>57566180103</v>
      </c>
      <c r="D13" s="20" t="s">
        <v>3977</v>
      </c>
    </row>
    <row r="14" ht="18.75" customHeight="1">
      <c r="A14" s="19" t="s">
        <v>243</v>
      </c>
      <c r="B14" s="20">
        <v>85.0</v>
      </c>
      <c r="C14" s="46">
        <f>IFERROR(__xludf.DUMMYFUNCTION("GOOGLEFINANCE(A14,""marketcap"")"),8.2244090721E10)</f>
        <v>82244090721</v>
      </c>
      <c r="D14" s="20" t="s">
        <v>3978</v>
      </c>
    </row>
    <row r="15" ht="18.75" customHeight="1">
      <c r="A15" s="19" t="s">
        <v>287</v>
      </c>
      <c r="B15" s="20">
        <v>80.0</v>
      </c>
      <c r="C15" s="46">
        <f>IFERROR(__xludf.DUMMYFUNCTION("GOOGLEFINANCE(A15,""marketcap"")"),1.57506857518E11)</f>
        <v>157506857518</v>
      </c>
      <c r="D15" s="20" t="s">
        <v>3979</v>
      </c>
    </row>
    <row r="16" ht="18.75" customHeight="1">
      <c r="A16" s="19" t="s">
        <v>837</v>
      </c>
      <c r="B16" s="20">
        <v>80.0</v>
      </c>
      <c r="C16" s="46">
        <f>IFERROR(__xludf.DUMMYFUNCTION("GOOGLEFINANCE(A16,""marketcap"")"),5.3266752561E10)</f>
        <v>53266752561</v>
      </c>
      <c r="D16" s="20" t="s">
        <v>3980</v>
      </c>
    </row>
    <row r="17" ht="18.75" customHeight="1">
      <c r="A17" s="19" t="s">
        <v>1485</v>
      </c>
      <c r="B17" s="20">
        <v>80.0</v>
      </c>
      <c r="C17" s="46">
        <f>IFERROR(__xludf.DUMMYFUNCTION("GOOGLEFINANCE(A17,""marketcap"")"),4.1946951124E10)</f>
        <v>41946951124</v>
      </c>
      <c r="D17" s="20" t="s">
        <v>3981</v>
      </c>
    </row>
    <row r="18" ht="18.75" customHeight="1">
      <c r="A18" s="19" t="s">
        <v>1063</v>
      </c>
      <c r="B18" s="20">
        <v>80.0</v>
      </c>
      <c r="C18" s="46">
        <f>IFERROR(__xludf.DUMMYFUNCTION("GOOGLEFINANCE(A18,""marketcap"")"),4.0486545755E10)</f>
        <v>40486545755</v>
      </c>
      <c r="D18" s="20" t="s">
        <v>3982</v>
      </c>
    </row>
    <row r="19" ht="18.75" customHeight="1">
      <c r="A19" s="19" t="s">
        <v>963</v>
      </c>
      <c r="B19" s="20">
        <v>80.0</v>
      </c>
      <c r="C19" s="46">
        <f>IFERROR(__xludf.DUMMYFUNCTION("GOOGLEFINANCE(A19,""marketcap"")"),2.15635579756E11)</f>
        <v>215635579756</v>
      </c>
      <c r="D19" s="20" t="s">
        <v>3983</v>
      </c>
    </row>
    <row r="20" ht="18.75" customHeight="1">
      <c r="A20" s="19" t="s">
        <v>1061</v>
      </c>
      <c r="B20" s="20">
        <v>80.0</v>
      </c>
      <c r="C20" s="46">
        <f>IFERROR(__xludf.DUMMYFUNCTION("GOOGLEFINANCE(A20,""marketcap"")"),7.0820695776E10)</f>
        <v>70820695776</v>
      </c>
      <c r="D20" s="20" t="s">
        <v>3984</v>
      </c>
    </row>
    <row r="21" ht="18.75" customHeight="1">
      <c r="A21" s="19" t="s">
        <v>809</v>
      </c>
      <c r="B21" s="20">
        <v>80.0</v>
      </c>
      <c r="C21" s="46">
        <f>IFERROR(__xludf.DUMMYFUNCTION("GOOGLEFINANCE(A21,""marketcap"")"),8.6487356548E10)</f>
        <v>86487356548</v>
      </c>
      <c r="D21" s="20" t="s">
        <v>3985</v>
      </c>
    </row>
    <row r="22" ht="18.75" customHeight="1">
      <c r="A22" s="19" t="s">
        <v>183</v>
      </c>
      <c r="B22" s="20">
        <v>80.0</v>
      </c>
      <c r="C22" s="46">
        <f>IFERROR(__xludf.DUMMYFUNCTION("GOOGLEFINANCE(A22,""marketcap"")"),3.083691900928E12)</f>
        <v>3083691900928</v>
      </c>
      <c r="D22" s="20" t="s">
        <v>3986</v>
      </c>
    </row>
    <row r="23" ht="18.75" customHeight="1">
      <c r="A23" s="19" t="s">
        <v>956</v>
      </c>
      <c r="B23" s="20">
        <v>80.0</v>
      </c>
      <c r="C23" s="46">
        <f>IFERROR(__xludf.DUMMYFUNCTION("GOOGLEFINANCE(A23,""marketcap"")"),6.5782106402E10)</f>
        <v>65782106402</v>
      </c>
      <c r="D23" s="20" t="s">
        <v>3987</v>
      </c>
    </row>
    <row r="24" ht="18.75" customHeight="1">
      <c r="A24" s="19" t="s">
        <v>1065</v>
      </c>
      <c r="B24" s="20">
        <v>80.0</v>
      </c>
      <c r="C24" s="46">
        <f>IFERROR(__xludf.DUMMYFUNCTION("GOOGLEFINANCE(A24,""marketcap"")"),2.156566E10)</f>
        <v>21565660000</v>
      </c>
      <c r="D24" s="20" t="s">
        <v>3988</v>
      </c>
    </row>
    <row r="25" ht="18.75" customHeight="1">
      <c r="A25" s="19" t="s">
        <v>1481</v>
      </c>
      <c r="B25" s="20">
        <v>80.0</v>
      </c>
      <c r="C25" s="46">
        <f>IFERROR(__xludf.DUMMYFUNCTION("GOOGLEFINANCE(A25,""marketcap"")"),2.4002050295E10)</f>
        <v>24002050295</v>
      </c>
      <c r="D25" s="20" t="s">
        <v>3989</v>
      </c>
    </row>
    <row r="26" ht="18.75" customHeight="1">
      <c r="A26" s="19" t="s">
        <v>419</v>
      </c>
      <c r="B26" s="20">
        <v>80.0</v>
      </c>
      <c r="C26" s="46">
        <f>IFERROR(__xludf.DUMMYFUNCTION("GOOGLEFINANCE(A26,""marketcap"")"),8.061702151E9)</f>
        <v>8061702151</v>
      </c>
      <c r="D26" s="20" t="s">
        <v>3990</v>
      </c>
    </row>
    <row r="27" ht="18.75" customHeight="1">
      <c r="A27" s="19" t="s">
        <v>206</v>
      </c>
      <c r="B27" s="20">
        <v>80.0</v>
      </c>
      <c r="C27" s="46">
        <f>IFERROR(__xludf.DUMMYFUNCTION("GOOGLEFINANCE(A27,""marketcap"")"),1.10766891297E11)</f>
        <v>110766891297</v>
      </c>
      <c r="D27" s="20" t="s">
        <v>3991</v>
      </c>
    </row>
    <row r="28" ht="18.75" customHeight="1">
      <c r="A28" s="19" t="s">
        <v>1307</v>
      </c>
      <c r="B28" s="20">
        <v>75.0</v>
      </c>
      <c r="C28" s="46">
        <f>IFERROR(__xludf.DUMMYFUNCTION("GOOGLEFINANCE(A28,""marketcap"")"),1.8533958071E10)</f>
        <v>18533958071</v>
      </c>
      <c r="D28" s="20" t="s">
        <v>3992</v>
      </c>
    </row>
    <row r="29" ht="18.75" customHeight="1">
      <c r="A29" s="19" t="s">
        <v>1632</v>
      </c>
      <c r="B29" s="20">
        <v>75.0</v>
      </c>
      <c r="C29" s="46">
        <f>IFERROR(__xludf.DUMMYFUNCTION("GOOGLEFINANCE(A29,""marketcap"")"),4.5084953933E10)</f>
        <v>45084953933</v>
      </c>
      <c r="D29" s="20" t="s">
        <v>3993</v>
      </c>
    </row>
    <row r="30" ht="18.75" customHeight="1">
      <c r="A30" s="19" t="s">
        <v>231</v>
      </c>
      <c r="B30" s="20">
        <v>75.0</v>
      </c>
      <c r="C30" s="46">
        <f>IFERROR(__xludf.DUMMYFUNCTION("GOOGLEFINANCE(A30,""marketcap"")"),3.64126093955E11)</f>
        <v>364126093955</v>
      </c>
      <c r="D30" s="20" t="s">
        <v>3994</v>
      </c>
    </row>
    <row r="31" ht="18.75" customHeight="1">
      <c r="A31" s="19" t="s">
        <v>1477</v>
      </c>
      <c r="B31" s="20">
        <v>75.0</v>
      </c>
      <c r="C31" s="46">
        <f>IFERROR(__xludf.DUMMYFUNCTION("GOOGLEFINANCE(A31,""marketcap"")"),1.0219545487E10)</f>
        <v>10219545487</v>
      </c>
      <c r="D31" s="20" t="s">
        <v>3995</v>
      </c>
    </row>
    <row r="32" ht="18.75" customHeight="1">
      <c r="A32" s="19" t="s">
        <v>53</v>
      </c>
      <c r="B32" s="20">
        <v>75.0</v>
      </c>
      <c r="C32" s="46">
        <f>IFERROR(__xludf.DUMMYFUNCTION("GOOGLEFINANCE(A32,""marketcap"")"),2.933245949212E12)</f>
        <v>2933245949212</v>
      </c>
      <c r="D32" s="20" t="s">
        <v>3996</v>
      </c>
    </row>
    <row r="33" ht="18.75" customHeight="1">
      <c r="A33" s="19" t="s">
        <v>951</v>
      </c>
      <c r="B33" s="20">
        <v>75.0</v>
      </c>
      <c r="C33" s="46">
        <f>IFERROR(__xludf.DUMMYFUNCTION("GOOGLEFINANCE(A33,""marketcap"")"),3.0179668915E10)</f>
        <v>30179668915</v>
      </c>
      <c r="D33" s="20" t="s">
        <v>3997</v>
      </c>
    </row>
    <row r="34" ht="18.75" customHeight="1">
      <c r="A34" s="19" t="s">
        <v>1057</v>
      </c>
      <c r="B34" s="20">
        <v>75.0</v>
      </c>
      <c r="C34" s="46">
        <f>IFERROR(__xludf.DUMMYFUNCTION("GOOGLEFINANCE(A34,""marketcap"")"),2.441982712E10)</f>
        <v>24419827120</v>
      </c>
      <c r="D34" s="20" t="s">
        <v>3998</v>
      </c>
    </row>
    <row r="35" ht="18.75" customHeight="1">
      <c r="A35" s="19" t="s">
        <v>230</v>
      </c>
      <c r="B35" s="20">
        <v>75.0</v>
      </c>
      <c r="C35" s="46">
        <f>IFERROR(__xludf.DUMMYFUNCTION("GOOGLEFINANCE(A35,""marketcap"")"),1.342221893625E12)</f>
        <v>1342221893625</v>
      </c>
      <c r="D35" s="20" t="s">
        <v>3999</v>
      </c>
    </row>
    <row r="36" ht="18.75" customHeight="1">
      <c r="A36" s="19" t="s">
        <v>294</v>
      </c>
      <c r="B36" s="20">
        <v>75.0</v>
      </c>
      <c r="C36" s="46">
        <f>IFERROR(__xludf.DUMMYFUNCTION("GOOGLEFINANCE(A36,""marketcap"")"),1.79021216528E11)</f>
        <v>179021216528</v>
      </c>
      <c r="D36" s="20" t="s">
        <v>4000</v>
      </c>
    </row>
    <row r="37" ht="18.75" customHeight="1">
      <c r="A37" s="19" t="s">
        <v>1301</v>
      </c>
      <c r="B37" s="20">
        <v>75.0</v>
      </c>
      <c r="C37" s="46">
        <f>IFERROR(__xludf.DUMMYFUNCTION("GOOGLEFINANCE(A37,""marketcap"")"),8.076755749E9)</f>
        <v>8076755749</v>
      </c>
      <c r="D37" s="20" t="s">
        <v>4001</v>
      </c>
    </row>
    <row r="38" ht="18.75" customHeight="1">
      <c r="A38" s="19" t="s">
        <v>1153</v>
      </c>
      <c r="B38" s="20">
        <v>75.0</v>
      </c>
      <c r="C38" s="46">
        <f>IFERROR(__xludf.DUMMYFUNCTION("GOOGLEFINANCE(A38,""marketcap"")"),2.0334680802E11)</f>
        <v>203346808020</v>
      </c>
      <c r="D38" s="20" t="s">
        <v>4002</v>
      </c>
    </row>
    <row r="39" ht="18.75" customHeight="1">
      <c r="A39" s="19" t="s">
        <v>771</v>
      </c>
      <c r="B39" s="20">
        <v>75.0</v>
      </c>
      <c r="C39" s="46">
        <f>IFERROR(__xludf.DUMMYFUNCTION("GOOGLEFINANCE(A39,""marketcap"")"),1.46869587308E11)</f>
        <v>146869587308</v>
      </c>
      <c r="D39" s="20" t="s">
        <v>4003</v>
      </c>
    </row>
    <row r="40" ht="18.75" customHeight="1">
      <c r="A40" s="19" t="s">
        <v>239</v>
      </c>
      <c r="B40" s="20">
        <v>75.0</v>
      </c>
      <c r="C40" s="46">
        <f>IFERROR(__xludf.DUMMYFUNCTION("GOOGLEFINANCE(A40,""marketcap"")"),7.422331E11)</f>
        <v>742233100000</v>
      </c>
      <c r="D40" s="20" t="s">
        <v>4004</v>
      </c>
    </row>
    <row r="41" ht="18.75" customHeight="1">
      <c r="A41" s="19" t="s">
        <v>1321</v>
      </c>
      <c r="B41" s="20">
        <v>75.0</v>
      </c>
      <c r="C41" s="46">
        <f>IFERROR(__xludf.DUMMYFUNCTION("GOOGLEFINANCE(A41,""marketcap"")"),1.2087709581E10)</f>
        <v>12087709581</v>
      </c>
      <c r="D41" s="20" t="s">
        <v>4005</v>
      </c>
    </row>
    <row r="42" ht="18.75" customHeight="1">
      <c r="A42" s="19" t="s">
        <v>542</v>
      </c>
      <c r="B42" s="20">
        <v>70.0</v>
      </c>
      <c r="C42" s="46">
        <f>IFERROR(__xludf.DUMMYFUNCTION("GOOGLEFINANCE(A42,""marketcap"")"),5.4869263263E10)</f>
        <v>54869263263</v>
      </c>
      <c r="D42" s="20" t="s">
        <v>4006</v>
      </c>
    </row>
    <row r="43" ht="18.75" customHeight="1">
      <c r="A43" s="19" t="s">
        <v>126</v>
      </c>
      <c r="B43" s="20">
        <v>70.0</v>
      </c>
      <c r="C43" s="46">
        <f>IFERROR(__xludf.DUMMYFUNCTION("GOOGLEFINANCE(A43,""marketcap"")"),1.72803951E11)</f>
        <v>172803951000</v>
      </c>
      <c r="D43" s="20" t="s">
        <v>4007</v>
      </c>
    </row>
    <row r="44" ht="18.75" customHeight="1">
      <c r="A44" s="19" t="s">
        <v>1067</v>
      </c>
      <c r="B44" s="20">
        <v>70.0</v>
      </c>
      <c r="C44" s="46">
        <f>IFERROR(__xludf.DUMMYFUNCTION("GOOGLEFINANCE(A44,""marketcap"")"),1.1547195713E10)</f>
        <v>11547195713</v>
      </c>
      <c r="D44" s="20" t="s">
        <v>4008</v>
      </c>
    </row>
    <row r="45" ht="18.75" customHeight="1">
      <c r="A45" s="19" t="s">
        <v>1155</v>
      </c>
      <c r="B45" s="20">
        <v>70.0</v>
      </c>
      <c r="C45" s="46">
        <f>IFERROR(__xludf.DUMMYFUNCTION("GOOGLEFINANCE(A45,""marketcap"")"),8.4119373813E10)</f>
        <v>84119373813</v>
      </c>
      <c r="D45" s="20" t="s">
        <v>4009</v>
      </c>
    </row>
    <row r="46" ht="18.75" customHeight="1">
      <c r="A46" s="19" t="s">
        <v>35</v>
      </c>
      <c r="B46" s="20">
        <v>70.0</v>
      </c>
      <c r="C46" s="46">
        <f>IFERROR(__xludf.DUMMYFUNCTION("GOOGLEFINANCE(A46,""marketcap"")"),4.308093609573E12)</f>
        <v>4308093609573</v>
      </c>
      <c r="D46" s="20" t="s">
        <v>4010</v>
      </c>
    </row>
    <row r="47" ht="18.75" customHeight="1">
      <c r="A47" s="19" t="s">
        <v>3112</v>
      </c>
      <c r="B47" s="20">
        <v>70.0</v>
      </c>
      <c r="C47" s="46">
        <f>IFERROR(__xludf.DUMMYFUNCTION("GOOGLEFINANCE(A47,""marketcap"")"),5.98372817E9)</f>
        <v>5983728170</v>
      </c>
      <c r="D47" s="20" t="s">
        <v>4011</v>
      </c>
    </row>
    <row r="48" ht="18.75" customHeight="1">
      <c r="A48" s="19" t="s">
        <v>1483</v>
      </c>
      <c r="B48" s="20">
        <v>70.0</v>
      </c>
      <c r="C48" s="46">
        <f>IFERROR(__xludf.DUMMYFUNCTION("GOOGLEFINANCE(A48,""marketcap"")"),1.8449476956E10)</f>
        <v>18449476956</v>
      </c>
      <c r="D48" s="20" t="s">
        <v>4012</v>
      </c>
    </row>
    <row r="49" ht="18.75" customHeight="1">
      <c r="A49" s="19" t="s">
        <v>1195</v>
      </c>
      <c r="B49" s="20">
        <v>65.0</v>
      </c>
      <c r="C49" s="46">
        <f>IFERROR(__xludf.DUMMYFUNCTION("GOOGLEFINANCE(A49,""marketcap"")"),7.4735374915E10)</f>
        <v>74735374915</v>
      </c>
      <c r="D49" s="20" t="s">
        <v>4013</v>
      </c>
    </row>
    <row r="50" ht="18.75" customHeight="1">
      <c r="A50" s="19" t="s">
        <v>1098</v>
      </c>
      <c r="B50" s="20">
        <v>65.0</v>
      </c>
      <c r="C50" s="46">
        <f>IFERROR(__xludf.DUMMYFUNCTION("GOOGLEFINANCE(A50,""marketcap"")"),3.3012109014E10)</f>
        <v>33012109014</v>
      </c>
      <c r="D50" s="20" t="s">
        <v>4014</v>
      </c>
    </row>
    <row r="51" ht="18.75" customHeight="1">
      <c r="A51" s="19" t="s">
        <v>1582</v>
      </c>
      <c r="B51" s="20">
        <v>65.0</v>
      </c>
      <c r="C51" s="46">
        <f>IFERROR(__xludf.DUMMYFUNCTION("GOOGLEFINANCE(A51,""marketcap"")"),1.13752979506E11)</f>
        <v>113752979506</v>
      </c>
      <c r="D51" s="20" t="s">
        <v>4015</v>
      </c>
    </row>
    <row r="52" ht="18.75" customHeight="1">
      <c r="A52" s="19" t="s">
        <v>1313</v>
      </c>
      <c r="B52" s="20">
        <v>60.0</v>
      </c>
      <c r="C52" s="46">
        <f>IFERROR(__xludf.DUMMYFUNCTION("GOOGLEFINANCE(A52,""marketcap"")"),4.6040967472E10)</f>
        <v>46040967472</v>
      </c>
      <c r="D52" s="20" t="s">
        <v>4016</v>
      </c>
    </row>
    <row r="53" ht="18.75" customHeight="1">
      <c r="A53" s="19" t="s">
        <v>1590</v>
      </c>
      <c r="B53" s="20">
        <v>60.0</v>
      </c>
      <c r="C53" s="46">
        <f>IFERROR(__xludf.DUMMYFUNCTION("GOOGLEFINANCE(A53,""marketcap"")"),5.028223E10)</f>
        <v>50282230000</v>
      </c>
      <c r="D53" s="20" t="s">
        <v>4017</v>
      </c>
    </row>
    <row r="54" ht="18.75" customHeight="1">
      <c r="A54" s="19" t="s">
        <v>972</v>
      </c>
      <c r="B54" s="20">
        <v>50.0</v>
      </c>
      <c r="C54" s="46">
        <f>IFERROR(__xludf.DUMMYFUNCTION("GOOGLEFINANCE(A54,""marketcap"")"),9.687474127E9)</f>
        <v>9687474127</v>
      </c>
      <c r="D54" s="20" t="s">
        <v>4018</v>
      </c>
    </row>
    <row r="55" ht="18.75" customHeight="1">
      <c r="A55" s="19" t="s">
        <v>925</v>
      </c>
      <c r="B55" s="20">
        <v>50.0</v>
      </c>
      <c r="C55" s="46">
        <f>IFERROR(__xludf.DUMMYFUNCTION("GOOGLEFINANCE(A55,""marketcap"")"),7.8845605279E10)</f>
        <v>78845605279</v>
      </c>
      <c r="D55" s="20" t="s">
        <v>4019</v>
      </c>
    </row>
    <row r="56" ht="18.75" customHeight="1">
      <c r="A56" s="19" t="s">
        <v>787</v>
      </c>
      <c r="B56" s="20">
        <v>50.0</v>
      </c>
      <c r="C56" s="46">
        <f>IFERROR(__xludf.DUMMYFUNCTION("GOOGLEFINANCE(A56,""marketcap"")"),7.8649251512E10)</f>
        <v>78649251512</v>
      </c>
      <c r="D56" s="20" t="s">
        <v>4020</v>
      </c>
    </row>
    <row r="57" ht="18.75" customHeight="1">
      <c r="A57" s="19" t="s">
        <v>1584</v>
      </c>
      <c r="B57" s="20">
        <v>50.0</v>
      </c>
      <c r="C57" s="46">
        <f>IFERROR(__xludf.DUMMYFUNCTION("GOOGLEFINANCE(A57,""marketcap"")"),2.1565334799E10)</f>
        <v>21565334799</v>
      </c>
      <c r="D57" s="20" t="s">
        <v>4021</v>
      </c>
    </row>
    <row r="58" ht="18.75" customHeight="1">
      <c r="A58" s="19" t="s">
        <v>1418</v>
      </c>
      <c r="B58" s="20">
        <v>50.0</v>
      </c>
      <c r="C58" s="46">
        <f>IFERROR(__xludf.DUMMYFUNCTION("GOOGLEFINANCE(A58,""marketcap"")"),2.32849872E10)</f>
        <v>23284987200</v>
      </c>
      <c r="D58" s="20" t="s">
        <v>4022</v>
      </c>
    </row>
    <row r="59" ht="18.75" customHeight="1">
      <c r="A59" s="19" t="s">
        <v>1586</v>
      </c>
      <c r="B59" s="20">
        <v>50.0</v>
      </c>
      <c r="C59" s="46">
        <f>IFERROR(__xludf.DUMMYFUNCTION("GOOGLEFINANCE(A59,""marketcap"")"),3.04557954873E11)</f>
        <v>304557954873</v>
      </c>
      <c r="D59" s="20" t="s">
        <v>4023</v>
      </c>
    </row>
    <row r="60" ht="18.75" customHeight="1">
      <c r="A60" s="19" t="s">
        <v>1416</v>
      </c>
      <c r="B60" s="20">
        <v>50.0</v>
      </c>
      <c r="C60" s="46">
        <f>IFERROR(__xludf.DUMMYFUNCTION("GOOGLEFINANCE(A60,""marketcap"")"),7.053016223E9)</f>
        <v>7053016223</v>
      </c>
      <c r="D60" s="20" t="s">
        <v>4024</v>
      </c>
    </row>
    <row r="61" ht="18.75" customHeight="1">
      <c r="A61" s="19" t="s">
        <v>1578</v>
      </c>
      <c r="B61" s="20">
        <v>50.0</v>
      </c>
      <c r="C61" s="46">
        <f>IFERROR(__xludf.DUMMYFUNCTION("GOOGLEFINANCE(A61,""marketcap"")"),1.5049705272E10)</f>
        <v>15049705272</v>
      </c>
      <c r="D61" s="20" t="s">
        <v>4025</v>
      </c>
    </row>
    <row r="62" ht="18.75" customHeight="1">
      <c r="A62" s="19" t="s">
        <v>33</v>
      </c>
      <c r="B62" s="20">
        <v>50.0</v>
      </c>
      <c r="C62" s="46">
        <f>IFERROR(__xludf.DUMMYFUNCTION("GOOGLEFINANCE(A62,""marketcap"")"),6.382051874E10)</f>
        <v>63820518740</v>
      </c>
      <c r="D62" s="20" t="s">
        <v>4026</v>
      </c>
    </row>
    <row r="63" ht="18.75" customHeight="1">
      <c r="A63" s="19" t="s">
        <v>1028</v>
      </c>
      <c r="B63" s="20">
        <v>50.0</v>
      </c>
      <c r="C63" s="46">
        <f>IFERROR(__xludf.DUMMYFUNCTION("GOOGLEFINANCE(A63,""marketcap"")"),7.544145232E9)</f>
        <v>7544145232</v>
      </c>
      <c r="D63" s="20" t="s">
        <v>4027</v>
      </c>
    </row>
    <row r="64" ht="18.75" customHeight="1">
      <c r="A64" s="19" t="s">
        <v>908</v>
      </c>
      <c r="B64" s="20">
        <v>50.0</v>
      </c>
      <c r="C64" s="46">
        <f>IFERROR(__xludf.DUMMYFUNCTION("GOOGLEFINANCE(A64,""marketcap"")"),4.2618574755E10)</f>
        <v>42618574755</v>
      </c>
      <c r="D64" s="20" t="s">
        <v>4028</v>
      </c>
    </row>
    <row r="65" ht="18.75" customHeight="1">
      <c r="A65" s="19" t="s">
        <v>1345</v>
      </c>
      <c r="B65" s="20">
        <v>50.0</v>
      </c>
      <c r="C65" s="46">
        <f>IFERROR(__xludf.DUMMYFUNCTION("GOOGLEFINANCE(A65,""marketcap"")"),9.924468282E9)</f>
        <v>9924468282</v>
      </c>
      <c r="D65" s="20" t="s">
        <v>4029</v>
      </c>
    </row>
    <row r="66" ht="18.75" customHeight="1">
      <c r="A66" s="19" t="s">
        <v>976</v>
      </c>
      <c r="B66" s="20">
        <v>50.0</v>
      </c>
      <c r="C66" s="46">
        <f>IFERROR(__xludf.DUMMYFUNCTION("GOOGLEFINANCE(A66,""marketcap"")"),7.900859497E10)</f>
        <v>79008594970</v>
      </c>
      <c r="D66" s="20" t="s">
        <v>4030</v>
      </c>
    </row>
    <row r="67" ht="18.75" customHeight="1">
      <c r="A67" s="19" t="s">
        <v>1139</v>
      </c>
      <c r="B67" s="20">
        <v>50.0</v>
      </c>
      <c r="C67" s="46">
        <f>IFERROR(__xludf.DUMMYFUNCTION("GOOGLEFINANCE(A67,""marketcap"")"),2.8709631002E10)</f>
        <v>28709631002</v>
      </c>
      <c r="D67" s="20" t="s">
        <v>4031</v>
      </c>
    </row>
    <row r="68" ht="18.75" customHeight="1">
      <c r="A68" s="19" t="s">
        <v>19</v>
      </c>
      <c r="B68" s="20">
        <v>50.0</v>
      </c>
      <c r="C68" s="46">
        <f>IFERROR(__xludf.DUMMYFUNCTION("GOOGLEFINANCE(A68,""marketcap"")"),5.63561204923E11)</f>
        <v>563561204923</v>
      </c>
      <c r="D68" s="20" t="s">
        <v>4032</v>
      </c>
    </row>
    <row r="69" ht="18.75" customHeight="1">
      <c r="A69" s="19" t="s">
        <v>921</v>
      </c>
      <c r="B69" s="20">
        <v>50.0</v>
      </c>
      <c r="C69" s="46">
        <f>IFERROR(__xludf.DUMMYFUNCTION("GOOGLEFINANCE(A69,""marketcap"")"),5.3653595555E10)</f>
        <v>53653595555</v>
      </c>
      <c r="D69" s="20" t="s">
        <v>4033</v>
      </c>
    </row>
    <row r="70" ht="18.75" customHeight="1">
      <c r="A70" s="19" t="s">
        <v>129</v>
      </c>
      <c r="B70" s="20">
        <v>50.0</v>
      </c>
      <c r="C70" s="46">
        <f>IFERROR(__xludf.DUMMYFUNCTION("GOOGLEFINANCE(A70,""marketcap"")"),4.0444398724E10)</f>
        <v>40444398724</v>
      </c>
      <c r="D70" s="20" t="s">
        <v>4034</v>
      </c>
    </row>
    <row r="71" ht="18.75" customHeight="1">
      <c r="A71" s="19" t="s">
        <v>792</v>
      </c>
      <c r="B71" s="20">
        <v>50.0</v>
      </c>
      <c r="C71" s="46">
        <f>IFERROR(__xludf.DUMMYFUNCTION("GOOGLEFINANCE(A71,""marketcap"")"),2.1962577076E10)</f>
        <v>21962577076</v>
      </c>
      <c r="D71" s="20" t="s">
        <v>4035</v>
      </c>
    </row>
    <row r="72" ht="18.75" customHeight="1">
      <c r="A72" s="19" t="s">
        <v>1596</v>
      </c>
      <c r="B72" s="20">
        <v>50.0</v>
      </c>
      <c r="C72" s="46">
        <f>IFERROR(__xludf.DUMMYFUNCTION("GOOGLEFINANCE(A72,""marketcap"")"),4.124635E10)</f>
        <v>41246350000</v>
      </c>
      <c r="D72" s="20" t="s">
        <v>4036</v>
      </c>
    </row>
    <row r="73" ht="18.75" customHeight="1">
      <c r="A73" s="19" t="s">
        <v>63</v>
      </c>
      <c r="B73" s="20">
        <v>50.0</v>
      </c>
      <c r="C73" s="46">
        <f>IFERROR(__xludf.DUMMYFUNCTION("GOOGLEFINANCE(A73,""marketcap"")"),5.2745476926E10)</f>
        <v>52745476926</v>
      </c>
      <c r="D73" s="20" t="s">
        <v>4037</v>
      </c>
    </row>
    <row r="74" ht="18.75" customHeight="1">
      <c r="A74" s="19" t="s">
        <v>300</v>
      </c>
      <c r="B74" s="20">
        <v>50.0</v>
      </c>
      <c r="C74" s="46">
        <f>IFERROR(__xludf.DUMMYFUNCTION("GOOGLEFINANCE(A74,""marketcap"")"),7.7369919334E10)</f>
        <v>77369919334</v>
      </c>
      <c r="D74" s="20" t="s">
        <v>4038</v>
      </c>
    </row>
    <row r="75" ht="18.75" customHeight="1">
      <c r="A75" s="19" t="s">
        <v>1145</v>
      </c>
      <c r="B75" s="20">
        <v>50.0</v>
      </c>
      <c r="C75" s="46">
        <f>IFERROR(__xludf.DUMMYFUNCTION("GOOGLEFINANCE(A75,""marketcap"")"),7.441585E10)</f>
        <v>74415850000</v>
      </c>
      <c r="D75" s="20" t="s">
        <v>4039</v>
      </c>
    </row>
    <row r="76" ht="18.75" customHeight="1">
      <c r="A76" s="19" t="s">
        <v>893</v>
      </c>
      <c r="B76" s="20">
        <v>50.0</v>
      </c>
      <c r="C76" s="46">
        <f>IFERROR(__xludf.DUMMYFUNCTION("GOOGLEFINANCE(A76,""marketcap"")"),1.9994791456E10)</f>
        <v>19994791456</v>
      </c>
      <c r="D76" s="20" t="s">
        <v>4040</v>
      </c>
    </row>
    <row r="77" ht="18.75" customHeight="1">
      <c r="A77" s="19" t="s">
        <v>1441</v>
      </c>
      <c r="B77" s="20">
        <v>50.0</v>
      </c>
      <c r="C77" s="46">
        <f>IFERROR(__xludf.DUMMYFUNCTION("GOOGLEFINANCE(A77,""marketcap"")"),5.3621104804E10)</f>
        <v>53621104804</v>
      </c>
      <c r="D77" s="20" t="s">
        <v>4041</v>
      </c>
    </row>
    <row r="78" ht="18.75" customHeight="1">
      <c r="A78" s="19" t="s">
        <v>1599</v>
      </c>
      <c r="B78" s="20">
        <v>50.0</v>
      </c>
      <c r="C78" s="46" t="str">
        <f>IFERROR(__xludf.DUMMYFUNCTION("GOOGLEFINANCE(A78,""marketcap"")"),"#N/A")</f>
        <v>#N/A</v>
      </c>
      <c r="D78" s="20" t="s">
        <v>4042</v>
      </c>
    </row>
    <row r="79" ht="18.75" customHeight="1">
      <c r="A79" s="19" t="s">
        <v>1135</v>
      </c>
      <c r="B79" s="20">
        <v>50.0</v>
      </c>
      <c r="C79" s="46">
        <f>IFERROR(__xludf.DUMMYFUNCTION("GOOGLEFINANCE(A79,""marketcap"")"),3.365426E10)</f>
        <v>33654260000</v>
      </c>
      <c r="D79" s="20" t="s">
        <v>4043</v>
      </c>
    </row>
    <row r="80" ht="18.75" customHeight="1">
      <c r="A80" s="19" t="s">
        <v>1223</v>
      </c>
      <c r="B80" s="20">
        <v>50.0</v>
      </c>
      <c r="C80" s="46">
        <f>IFERROR(__xludf.DUMMYFUNCTION("GOOGLEFINANCE(A80,""marketcap"")"),7.841600472E9)</f>
        <v>7841600472</v>
      </c>
      <c r="D80" s="20" t="s">
        <v>4044</v>
      </c>
    </row>
    <row r="81" ht="18.75" customHeight="1">
      <c r="A81" s="19" t="s">
        <v>904</v>
      </c>
      <c r="B81" s="20">
        <v>50.0</v>
      </c>
      <c r="C81" s="46">
        <f>IFERROR(__xludf.DUMMYFUNCTION("GOOGLEFINANCE(A81,""marketcap"")"),7.8050196742E10)</f>
        <v>78050196742</v>
      </c>
      <c r="D81" s="20" t="s">
        <v>4045</v>
      </c>
    </row>
    <row r="82" ht="18.75" customHeight="1">
      <c r="A82" s="19" t="s">
        <v>927</v>
      </c>
      <c r="B82" s="20">
        <v>50.0</v>
      </c>
      <c r="C82" s="46">
        <f>IFERROR(__xludf.DUMMYFUNCTION("GOOGLEFINANCE(A82,""marketcap"")"),2.968343E10)</f>
        <v>29683430000</v>
      </c>
      <c r="D82" s="20" t="s">
        <v>4046</v>
      </c>
    </row>
    <row r="83" ht="18.75" customHeight="1">
      <c r="A83" s="19" t="s">
        <v>790</v>
      </c>
      <c r="B83" s="20">
        <v>50.0</v>
      </c>
      <c r="C83" s="46">
        <f>IFERROR(__xludf.DUMMYFUNCTION("GOOGLEFINANCE(A83,""marketcap"")"),7.0075576133E10)</f>
        <v>70075576133</v>
      </c>
      <c r="D83" s="20" t="s">
        <v>4047</v>
      </c>
    </row>
    <row r="84" ht="18.75" customHeight="1">
      <c r="A84" s="19" t="s">
        <v>1254</v>
      </c>
      <c r="B84" s="20">
        <v>50.0</v>
      </c>
      <c r="C84" s="46">
        <f>IFERROR(__xludf.DUMMYFUNCTION("GOOGLEFINANCE(A84,""marketcap"")"),2.2399395337E10)</f>
        <v>22399395337</v>
      </c>
      <c r="D84" s="20" t="s">
        <v>4048</v>
      </c>
    </row>
    <row r="85" ht="18.75" customHeight="1">
      <c r="A85" s="19" t="s">
        <v>1141</v>
      </c>
      <c r="B85" s="20">
        <v>50.0</v>
      </c>
      <c r="C85" s="46">
        <f>IFERROR(__xludf.DUMMYFUNCTION("GOOGLEFINANCE(A85,""marketcap"")"),6.5366351276E10)</f>
        <v>65366351276</v>
      </c>
      <c r="D85" s="20" t="s">
        <v>4049</v>
      </c>
    </row>
    <row r="86" ht="18.75" customHeight="1">
      <c r="A86" s="19" t="s">
        <v>1331</v>
      </c>
      <c r="B86" s="20">
        <v>50.0</v>
      </c>
      <c r="C86" s="46">
        <f>IFERROR(__xludf.DUMMYFUNCTION("GOOGLEFINANCE(A86,""marketcap"")"),1.580062E10)</f>
        <v>15800620000</v>
      </c>
      <c r="D86" s="20" t="s">
        <v>4050</v>
      </c>
    </row>
    <row r="87" ht="18.75" customHeight="1">
      <c r="A87" s="19" t="s">
        <v>1343</v>
      </c>
      <c r="B87" s="20">
        <v>50.0</v>
      </c>
      <c r="C87" s="46">
        <f>IFERROR(__xludf.DUMMYFUNCTION("GOOGLEFINANCE(A87,""marketcap"")"),1.580062E10)</f>
        <v>15800620000</v>
      </c>
      <c r="D87" s="20" t="s">
        <v>4051</v>
      </c>
    </row>
    <row r="88" ht="18.75" customHeight="1">
      <c r="A88" s="19" t="s">
        <v>85</v>
      </c>
      <c r="B88" s="20">
        <v>50.0</v>
      </c>
      <c r="C88" s="46">
        <f>IFERROR(__xludf.DUMMYFUNCTION("GOOGLEFINANCE(A88,""marketcap"")"),1.2438060231E11)</f>
        <v>124380602310</v>
      </c>
      <c r="D88" s="20" t="s">
        <v>4052</v>
      </c>
    </row>
    <row r="89" ht="18.75" customHeight="1">
      <c r="A89" s="19" t="s">
        <v>298</v>
      </c>
      <c r="B89" s="20">
        <v>50.0</v>
      </c>
      <c r="C89" s="46">
        <f>IFERROR(__xludf.DUMMYFUNCTION("GOOGLEFINANCE(A89,""marketcap"")"),1.68590642383E11)</f>
        <v>168590642383</v>
      </c>
      <c r="D89" s="20" t="s">
        <v>4053</v>
      </c>
    </row>
    <row r="90" ht="18.75" customHeight="1">
      <c r="A90" s="19" t="s">
        <v>1089</v>
      </c>
      <c r="B90" s="20">
        <v>50.0</v>
      </c>
      <c r="C90" s="46">
        <f>IFERROR(__xludf.DUMMYFUNCTION("GOOGLEFINANCE(A90,""marketcap"")"),2.1672118702E10)</f>
        <v>21672118702</v>
      </c>
      <c r="D90" s="20" t="s">
        <v>4054</v>
      </c>
    </row>
    <row r="91" ht="18.75" customHeight="1">
      <c r="A91" s="19" t="s">
        <v>166</v>
      </c>
      <c r="B91" s="20">
        <v>50.0</v>
      </c>
      <c r="C91" s="46">
        <f>IFERROR(__xludf.DUMMYFUNCTION("GOOGLEFINANCE(A91,""marketcap"")"),1.636593847E10)</f>
        <v>16365938470</v>
      </c>
      <c r="D91" s="20" t="s">
        <v>4055</v>
      </c>
    </row>
    <row r="92" ht="18.75" customHeight="1">
      <c r="A92" s="19" t="s">
        <v>167</v>
      </c>
      <c r="B92" s="20">
        <v>50.0</v>
      </c>
      <c r="C92" s="46">
        <f>IFERROR(__xludf.DUMMYFUNCTION("GOOGLEFINANCE(A92,""marketcap"")"),3.5192672718E10)</f>
        <v>35192672718</v>
      </c>
      <c r="D92" s="20" t="s">
        <v>4056</v>
      </c>
    </row>
    <row r="93" ht="18.75" customHeight="1">
      <c r="A93" s="19" t="s">
        <v>1460</v>
      </c>
      <c r="B93" s="20">
        <v>50.0</v>
      </c>
      <c r="C93" s="46">
        <f>IFERROR(__xludf.DUMMYFUNCTION("GOOGLEFINANCE(A93,""marketcap"")"),5.800438096E9)</f>
        <v>5800438096</v>
      </c>
      <c r="D93" s="20" t="s">
        <v>4057</v>
      </c>
    </row>
    <row r="94" ht="18.75" customHeight="1">
      <c r="A94" s="19" t="s">
        <v>811</v>
      </c>
      <c r="B94" s="20">
        <v>50.0</v>
      </c>
      <c r="C94" s="46">
        <f>IFERROR(__xludf.DUMMYFUNCTION("GOOGLEFINANCE(A94,""marketcap"")"),2.0837839599E10)</f>
        <v>20837839599</v>
      </c>
      <c r="D94" s="20" t="s">
        <v>4058</v>
      </c>
    </row>
    <row r="95" ht="18.75" customHeight="1">
      <c r="A95" s="19" t="s">
        <v>805</v>
      </c>
      <c r="B95" s="20">
        <v>50.0</v>
      </c>
      <c r="C95" s="46">
        <f>IFERROR(__xludf.DUMMYFUNCTION("GOOGLEFINANCE(A95,""marketcap"")"),5.5821406564E10)</f>
        <v>55821406564</v>
      </c>
      <c r="D95" s="20" t="s">
        <v>4059</v>
      </c>
    </row>
    <row r="96" ht="18.75" customHeight="1">
      <c r="A96" s="19" t="s">
        <v>987</v>
      </c>
      <c r="B96" s="20">
        <v>50.0</v>
      </c>
      <c r="C96" s="46">
        <f>IFERROR(__xludf.DUMMYFUNCTION("GOOGLEFINANCE(A96,""marketcap"")"),2.44167609071E11)</f>
        <v>244167609071</v>
      </c>
      <c r="D96" s="20" t="s">
        <v>4060</v>
      </c>
    </row>
    <row r="97" ht="18.75" customHeight="1">
      <c r="A97" s="19" t="s">
        <v>1086</v>
      </c>
      <c r="B97" s="20">
        <v>50.0</v>
      </c>
      <c r="C97" s="46">
        <f>IFERROR(__xludf.DUMMYFUNCTION("GOOGLEFINANCE(A97,""marketcap"")"),9.1401795275E10)</f>
        <v>91401795275</v>
      </c>
      <c r="D97" s="20" t="s">
        <v>4061</v>
      </c>
    </row>
    <row r="98" ht="18.75" customHeight="1">
      <c r="A98" s="19" t="s">
        <v>985</v>
      </c>
      <c r="B98" s="20">
        <v>50.0</v>
      </c>
      <c r="C98" s="46">
        <f>IFERROR(__xludf.DUMMYFUNCTION("GOOGLEFINANCE(A98,""marketcap"")"),6.988175291E10)</f>
        <v>69881752910</v>
      </c>
      <c r="D98" s="20" t="s">
        <v>4062</v>
      </c>
    </row>
    <row r="99" ht="18.75" customHeight="1">
      <c r="A99" s="19" t="s">
        <v>144</v>
      </c>
      <c r="B99" s="20">
        <v>50.0</v>
      </c>
      <c r="C99" s="46">
        <f>IFERROR(__xludf.DUMMYFUNCTION("GOOGLEFINANCE(A99,""marketcap"")"),1.10808425183E11)</f>
        <v>110808425183</v>
      </c>
      <c r="D99" s="20" t="s">
        <v>4063</v>
      </c>
    </row>
    <row r="100" ht="18.75" customHeight="1">
      <c r="A100" s="19" t="s">
        <v>1462</v>
      </c>
      <c r="B100" s="20">
        <v>50.0</v>
      </c>
      <c r="C100" s="46">
        <f>IFERROR(__xludf.DUMMYFUNCTION("GOOGLEFINANCE(A100,""marketcap"")"),2.3419260413E10)</f>
        <v>23419260413</v>
      </c>
      <c r="D100" s="20" t="s">
        <v>4064</v>
      </c>
    </row>
    <row r="101" ht="18.75" customHeight="1">
      <c r="A101" s="19" t="s">
        <v>1425</v>
      </c>
      <c r="B101" s="20">
        <v>50.0</v>
      </c>
      <c r="C101" s="46">
        <f>IFERROR(__xludf.DUMMYFUNCTION("GOOGLEFINANCE(A101,""marketcap"")"),3.3771322732E10)</f>
        <v>33771322732</v>
      </c>
      <c r="D101" s="20" t="s">
        <v>4065</v>
      </c>
    </row>
    <row r="102" ht="18.75" customHeight="1">
      <c r="A102" s="19" t="s">
        <v>1297</v>
      </c>
      <c r="B102" s="20">
        <v>50.0</v>
      </c>
      <c r="C102" s="46">
        <f>IFERROR(__xludf.DUMMYFUNCTION("GOOGLEFINANCE(A102,""marketcap"")"),3.7763789974E10)</f>
        <v>37763789974</v>
      </c>
      <c r="D102" s="20" t="s">
        <v>4066</v>
      </c>
    </row>
    <row r="103" ht="18.75" customHeight="1">
      <c r="A103" s="19" t="s">
        <v>186</v>
      </c>
      <c r="B103" s="20">
        <v>50.0</v>
      </c>
      <c r="C103" s="46">
        <f>IFERROR(__xludf.DUMMYFUNCTION("GOOGLEFINANCE(A103,""marketcap"")"),8.09480289454E11)</f>
        <v>809480289454</v>
      </c>
      <c r="D103" s="20" t="s">
        <v>4067</v>
      </c>
    </row>
    <row r="104" ht="18.75" customHeight="1">
      <c r="A104" s="19" t="s">
        <v>187</v>
      </c>
      <c r="B104" s="20">
        <v>50.0</v>
      </c>
      <c r="C104" s="46">
        <f>IFERROR(__xludf.DUMMYFUNCTION("GOOGLEFINANCE(A104,""marketcap"")"),5.3276528407E11)</f>
        <v>532765284070</v>
      </c>
      <c r="D104" s="20" t="s">
        <v>4068</v>
      </c>
    </row>
    <row r="105" ht="18.75" customHeight="1">
      <c r="A105" s="19" t="s">
        <v>1562</v>
      </c>
      <c r="B105" s="20">
        <v>50.0</v>
      </c>
      <c r="C105" s="46">
        <f>IFERROR(__xludf.DUMMYFUNCTION("GOOGLEFINANCE(A105,""marketcap"")"),1.398430918E10)</f>
        <v>13984309180</v>
      </c>
      <c r="D105" s="20" t="s">
        <v>4069</v>
      </c>
    </row>
    <row r="106" ht="18.75" customHeight="1">
      <c r="A106" s="19" t="s">
        <v>1055</v>
      </c>
      <c r="B106" s="20">
        <v>50.0</v>
      </c>
      <c r="C106" s="46">
        <f>IFERROR(__xludf.DUMMYFUNCTION("GOOGLEFINANCE(A106,""marketcap"")"),1.0524887518E10)</f>
        <v>10524887518</v>
      </c>
      <c r="D106" s="20" t="s">
        <v>4070</v>
      </c>
    </row>
    <row r="107" ht="18.75" customHeight="1">
      <c r="A107" s="19" t="s">
        <v>1219</v>
      </c>
      <c r="B107" s="20">
        <v>50.0</v>
      </c>
      <c r="C107" s="46">
        <f>IFERROR(__xludf.DUMMYFUNCTION("GOOGLEFINANCE(A107,""marketcap"")"),3.7469247746E10)</f>
        <v>37469247746</v>
      </c>
      <c r="D107" s="20" t="s">
        <v>4071</v>
      </c>
    </row>
    <row r="108" ht="18.75" customHeight="1">
      <c r="A108" s="19" t="s">
        <v>1564</v>
      </c>
      <c r="B108" s="20">
        <v>50.0</v>
      </c>
      <c r="C108" s="46">
        <f>IFERROR(__xludf.DUMMYFUNCTION("GOOGLEFINANCE(A108,""marketcap"")"),2.3141018196E10)</f>
        <v>23141018196</v>
      </c>
      <c r="D108" s="20" t="s">
        <v>4072</v>
      </c>
    </row>
    <row r="109" ht="18.75" customHeight="1">
      <c r="A109" s="19" t="s">
        <v>1558</v>
      </c>
      <c r="B109" s="20">
        <v>50.0</v>
      </c>
      <c r="C109" s="46">
        <f>IFERROR(__xludf.DUMMYFUNCTION("GOOGLEFINANCE(A109,""marketcap"")"),1.7066817769E10)</f>
        <v>17066817769</v>
      </c>
      <c r="D109" s="20" t="s">
        <v>4073</v>
      </c>
    </row>
    <row r="110" ht="18.75" customHeight="1">
      <c r="A110" s="19" t="s">
        <v>1268</v>
      </c>
      <c r="B110" s="20">
        <v>50.0</v>
      </c>
      <c r="C110" s="46">
        <f>IFERROR(__xludf.DUMMYFUNCTION("GOOGLEFINANCE(A110,""marketcap"")"),6.1792348656E10)</f>
        <v>61792348656</v>
      </c>
      <c r="D110" s="20" t="s">
        <v>4074</v>
      </c>
    </row>
    <row r="111" ht="18.75" customHeight="1">
      <c r="A111" s="19" t="s">
        <v>906</v>
      </c>
      <c r="B111" s="20">
        <v>50.0</v>
      </c>
      <c r="C111" s="46">
        <f>IFERROR(__xludf.DUMMYFUNCTION("GOOGLEFINANCE(A111,""marketcap"")"),2.2768627519E10)</f>
        <v>22768627519</v>
      </c>
      <c r="D111" s="20" t="s">
        <v>4075</v>
      </c>
    </row>
    <row r="112" ht="18.75" customHeight="1">
      <c r="A112" s="19" t="s">
        <v>900</v>
      </c>
      <c r="B112" s="20">
        <v>50.0</v>
      </c>
      <c r="C112" s="46">
        <f>IFERROR(__xludf.DUMMYFUNCTION("GOOGLEFINANCE(A112,""marketcap"")"),5.0376053789E10)</f>
        <v>50376053789</v>
      </c>
      <c r="D112" s="20" t="s">
        <v>4076</v>
      </c>
    </row>
    <row r="113" ht="18.75" customHeight="1">
      <c r="A113" s="19" t="s">
        <v>46</v>
      </c>
      <c r="B113" s="20">
        <v>50.0</v>
      </c>
      <c r="C113" s="46">
        <f>IFERROR(__xludf.DUMMYFUNCTION("GOOGLEFINANCE(A113,""marketcap"")"),1.547498825884E12)</f>
        <v>1547498825884</v>
      </c>
      <c r="D113" s="20" t="s">
        <v>4077</v>
      </c>
    </row>
    <row r="114" ht="18.75" customHeight="1">
      <c r="A114" s="19" t="s">
        <v>125</v>
      </c>
      <c r="B114" s="20">
        <v>50.0</v>
      </c>
      <c r="C114" s="46">
        <f>IFERROR(__xludf.DUMMYFUNCTION("GOOGLEFINANCE(A114,""marketcap"")"),2.75088990336E11)</f>
        <v>275088990336</v>
      </c>
      <c r="D114" s="20" t="s">
        <v>4078</v>
      </c>
    </row>
    <row r="115" ht="18.75" customHeight="1">
      <c r="A115" s="19" t="s">
        <v>122</v>
      </c>
      <c r="B115" s="20">
        <v>50.0</v>
      </c>
      <c r="C115" s="46">
        <f>IFERROR(__xludf.DUMMYFUNCTION("GOOGLEFINANCE(A115,""marketcap"")"),9.7767844709E10)</f>
        <v>97767844709</v>
      </c>
      <c r="D115" s="20" t="s">
        <v>4079</v>
      </c>
    </row>
    <row r="116" ht="18.75" customHeight="1">
      <c r="A116" s="19" t="s">
        <v>592</v>
      </c>
      <c r="B116" s="20">
        <v>50.0</v>
      </c>
      <c r="C116" s="46">
        <f>IFERROR(__xludf.DUMMYFUNCTION("GOOGLEFINANCE(A116,""marketcap"")"),9.0161753555E10)</f>
        <v>90161753555</v>
      </c>
      <c r="D116" s="20" t="s">
        <v>4080</v>
      </c>
    </row>
    <row r="117" ht="18.75" customHeight="1">
      <c r="A117" s="19" t="s">
        <v>1580</v>
      </c>
      <c r="B117" s="20">
        <v>50.0</v>
      </c>
      <c r="C117" s="46">
        <f>IFERROR(__xludf.DUMMYFUNCTION("GOOGLEFINANCE(A117,""marketcap"")"),1.960107107E11)</f>
        <v>196010710700</v>
      </c>
      <c r="D117" s="20" t="s">
        <v>4081</v>
      </c>
    </row>
    <row r="118" ht="18.75" customHeight="1">
      <c r="A118" s="19" t="s">
        <v>974</v>
      </c>
      <c r="B118" s="20">
        <v>50.0</v>
      </c>
      <c r="C118" s="46">
        <f>IFERROR(__xludf.DUMMYFUNCTION("GOOGLEFINANCE(A118,""marketcap"")"),3.5449892831E10)</f>
        <v>35449892831</v>
      </c>
      <c r="D118" s="20" t="s">
        <v>4082</v>
      </c>
    </row>
    <row r="119" ht="18.75" customHeight="1">
      <c r="A119" s="19" t="s">
        <v>1045</v>
      </c>
      <c r="B119" s="20">
        <v>50.0</v>
      </c>
      <c r="C119" s="46" t="str">
        <f>IFERROR(__xludf.DUMMYFUNCTION("GOOGLEFINANCE(A119,""marketcap"")"),"#N/A")</f>
        <v>#N/A</v>
      </c>
      <c r="D119" s="20" t="s">
        <v>4083</v>
      </c>
    </row>
    <row r="120" ht="18.75" customHeight="1">
      <c r="A120" s="19" t="s">
        <v>232</v>
      </c>
      <c r="B120" s="20">
        <v>50.0</v>
      </c>
      <c r="C120" s="46">
        <f>IFERROR(__xludf.DUMMYFUNCTION("GOOGLEFINANCE(A120,""marketcap"")"),2.28011146845E11)</f>
        <v>228011146845</v>
      </c>
      <c r="D120" s="20" t="s">
        <v>4084</v>
      </c>
    </row>
    <row r="121" ht="18.75" customHeight="1">
      <c r="A121" s="19" t="s">
        <v>1361</v>
      </c>
      <c r="B121" s="20">
        <v>50.0</v>
      </c>
      <c r="C121" s="46">
        <f>IFERROR(__xludf.DUMMYFUNCTION("GOOGLEFINANCE(A121,""marketcap"")"),5.190227806E9)</f>
        <v>5190227806</v>
      </c>
      <c r="D121" s="20" t="s">
        <v>4085</v>
      </c>
    </row>
    <row r="122" ht="18.75" customHeight="1">
      <c r="A122" s="19" t="s">
        <v>1197</v>
      </c>
      <c r="B122" s="20">
        <v>50.0</v>
      </c>
      <c r="C122" s="46">
        <f>IFERROR(__xludf.DUMMYFUNCTION("GOOGLEFINANCE(A122,""marketcap"")"),7.1486513816E10)</f>
        <v>71486513816</v>
      </c>
      <c r="D122" s="20" t="s">
        <v>4086</v>
      </c>
    </row>
    <row r="123" ht="18.75" customHeight="1">
      <c r="A123" s="19" t="s">
        <v>3782</v>
      </c>
      <c r="B123" s="20">
        <v>50.0</v>
      </c>
      <c r="C123" s="46">
        <f>IFERROR(__xludf.DUMMYFUNCTION("GOOGLEFINANCE(A123,""marketcap"")"),6.3389022E9)</f>
        <v>6338902200</v>
      </c>
      <c r="D123" s="20" t="s">
        <v>4087</v>
      </c>
    </row>
    <row r="124" ht="18.75" customHeight="1">
      <c r="A124" s="19" t="s">
        <v>823</v>
      </c>
      <c r="B124" s="20">
        <v>50.0</v>
      </c>
      <c r="C124" s="46">
        <f>IFERROR(__xludf.DUMMYFUNCTION("GOOGLEFINANCE(A124,""marketcap"")"),3.106684221E10)</f>
        <v>31066842210</v>
      </c>
      <c r="D124" s="20" t="s">
        <v>4088</v>
      </c>
    </row>
    <row r="125" ht="18.75" customHeight="1">
      <c r="A125" s="19" t="s">
        <v>1575</v>
      </c>
      <c r="B125" s="20">
        <v>50.0</v>
      </c>
      <c r="C125" s="46">
        <f>IFERROR(__xludf.DUMMYFUNCTION("GOOGLEFINANCE(A125,""marketcap"")"),2.3163030761E10)</f>
        <v>23163030761</v>
      </c>
      <c r="D125" s="20" t="s">
        <v>4089</v>
      </c>
    </row>
    <row r="126" ht="18.75" customHeight="1">
      <c r="A126" s="19" t="s">
        <v>1051</v>
      </c>
      <c r="B126" s="20">
        <v>50.0</v>
      </c>
      <c r="C126" s="46">
        <f>IFERROR(__xludf.DUMMYFUNCTION("GOOGLEFINANCE(A126,""marketcap"")"),1.2836639205E11)</f>
        <v>128366392050</v>
      </c>
      <c r="D126" s="20" t="s">
        <v>4090</v>
      </c>
    </row>
    <row r="127" ht="18.75" customHeight="1">
      <c r="A127" s="19" t="s">
        <v>1311</v>
      </c>
      <c r="B127" s="20">
        <v>50.0</v>
      </c>
      <c r="C127" s="46">
        <f>IFERROR(__xludf.DUMMYFUNCTION("GOOGLEFINANCE(A127,""marketcap"")"),2.15028396E10)</f>
        <v>21502839600</v>
      </c>
      <c r="D127" s="20" t="s">
        <v>4091</v>
      </c>
    </row>
    <row r="128" ht="18.75" customHeight="1">
      <c r="A128" s="19" t="s">
        <v>40</v>
      </c>
      <c r="B128" s="20">
        <v>50.0</v>
      </c>
      <c r="C128" s="46">
        <f>IFERROR(__xludf.DUMMYFUNCTION("GOOGLEFINANCE(A128,""marketcap"")"),1.16782771287E11)</f>
        <v>116782771287</v>
      </c>
      <c r="D128" s="20" t="s">
        <v>4092</v>
      </c>
    </row>
    <row r="129" ht="18.75" customHeight="1">
      <c r="A129" s="19" t="s">
        <v>168</v>
      </c>
      <c r="B129" s="20">
        <v>50.0</v>
      </c>
      <c r="C129" s="46">
        <f>IFERROR(__xludf.DUMMYFUNCTION("GOOGLEFINANCE(A129,""marketcap"")"),7.360906056E9)</f>
        <v>7360906056</v>
      </c>
      <c r="D129" s="20" t="s">
        <v>4093</v>
      </c>
    </row>
    <row r="130" ht="18.75" customHeight="1">
      <c r="A130" s="19" t="s">
        <v>163</v>
      </c>
      <c r="B130" s="20">
        <v>50.0</v>
      </c>
      <c r="C130" s="46">
        <f>IFERROR(__xludf.DUMMYFUNCTION("GOOGLEFINANCE(A130,""marketcap"")"),3.7997329371E10)</f>
        <v>37997329371</v>
      </c>
      <c r="D130" s="20" t="s">
        <v>4094</v>
      </c>
    </row>
    <row r="131" ht="18.75" customHeight="1">
      <c r="A131" s="19" t="s">
        <v>1348</v>
      </c>
      <c r="B131" s="20">
        <v>50.0</v>
      </c>
      <c r="C131" s="46">
        <f>IFERROR(__xludf.DUMMYFUNCTION("GOOGLEFINANCE(A131,""marketcap"")"),9.3129537816E10)</f>
        <v>93129537816</v>
      </c>
      <c r="D131" s="20" t="s">
        <v>4095</v>
      </c>
    </row>
    <row r="132" ht="18.75" customHeight="1">
      <c r="A132" s="19" t="s">
        <v>1271</v>
      </c>
      <c r="B132" s="20">
        <v>50.0</v>
      </c>
      <c r="C132" s="46">
        <f>IFERROR(__xludf.DUMMYFUNCTION("GOOGLEFINANCE(A132,""marketcap"")"),1.65447408E11)</f>
        <v>165447408000</v>
      </c>
      <c r="D132" s="20" t="s">
        <v>4096</v>
      </c>
    </row>
    <row r="133" ht="18.75" customHeight="1">
      <c r="A133" s="19" t="s">
        <v>1235</v>
      </c>
      <c r="B133" s="20">
        <v>50.0</v>
      </c>
      <c r="C133" s="46">
        <f>IFERROR(__xludf.DUMMYFUNCTION("GOOGLEFINANCE(A133,""marketcap"")"),2.3025460222E10)</f>
        <v>23025460222</v>
      </c>
      <c r="D133" s="20" t="s">
        <v>4097</v>
      </c>
    </row>
    <row r="134" ht="18.75" customHeight="1">
      <c r="A134" s="19" t="s">
        <v>71</v>
      </c>
      <c r="B134" s="20">
        <v>50.0</v>
      </c>
      <c r="C134" s="46">
        <f>IFERROR(__xludf.DUMMYFUNCTION("GOOGLEFINANCE(A134,""marketcap"")"),1.51510432581E11)</f>
        <v>151510432581</v>
      </c>
      <c r="D134" s="20" t="s">
        <v>4098</v>
      </c>
    </row>
    <row r="135" ht="18.75" customHeight="1">
      <c r="A135" s="19" t="s">
        <v>1634</v>
      </c>
      <c r="B135" s="20">
        <v>50.0</v>
      </c>
      <c r="C135" s="46">
        <f>IFERROR(__xludf.DUMMYFUNCTION("GOOGLEFINANCE(A135,""marketcap"")"),2.31472694092E11)</f>
        <v>231472694092</v>
      </c>
      <c r="D135" s="20" t="s">
        <v>4099</v>
      </c>
    </row>
    <row r="136" ht="18.75" customHeight="1">
      <c r="A136" s="19" t="s">
        <v>1015</v>
      </c>
      <c r="B136" s="20">
        <v>50.0</v>
      </c>
      <c r="C136" s="46">
        <f>IFERROR(__xludf.DUMMYFUNCTION("GOOGLEFINANCE(A136,""marketcap"")"),3.6370521688E10)</f>
        <v>36370521688</v>
      </c>
      <c r="D136" s="20" t="s">
        <v>4100</v>
      </c>
    </row>
    <row r="137" ht="18.75" customHeight="1">
      <c r="A137" s="19" t="s">
        <v>1076</v>
      </c>
      <c r="B137" s="20">
        <v>50.0</v>
      </c>
      <c r="C137" s="46">
        <f>IFERROR(__xludf.DUMMYFUNCTION("GOOGLEFINANCE(A137,""marketcap"")"),3.4861507391E10)</f>
        <v>34861507391</v>
      </c>
      <c r="D137" s="20" t="s">
        <v>4101</v>
      </c>
    </row>
    <row r="138" ht="18.75" customHeight="1">
      <c r="A138" s="19" t="s">
        <v>1200</v>
      </c>
      <c r="B138" s="20">
        <v>50.0</v>
      </c>
      <c r="C138" s="46">
        <f>IFERROR(__xludf.DUMMYFUNCTION("GOOGLEFINANCE(A138,""marketcap"")"),1.8757791239E11)</f>
        <v>187577912390</v>
      </c>
      <c r="D138" s="20" t="s">
        <v>4102</v>
      </c>
    </row>
    <row r="139" ht="18.75" customHeight="1">
      <c r="A139" s="19" t="s">
        <v>1454</v>
      </c>
      <c r="B139" s="20">
        <v>50.0</v>
      </c>
      <c r="C139" s="46">
        <f>IFERROR(__xludf.DUMMYFUNCTION("GOOGLEFINANCE(A139,""marketcap"")"),1.0369413195E10)</f>
        <v>10369413195</v>
      </c>
      <c r="D139" s="20" t="s">
        <v>4103</v>
      </c>
    </row>
    <row r="140" ht="18.75" customHeight="1">
      <c r="A140" s="19" t="s">
        <v>849</v>
      </c>
      <c r="B140" s="20">
        <v>50.0</v>
      </c>
      <c r="C140" s="46">
        <f>IFERROR(__xludf.DUMMYFUNCTION("GOOGLEFINANCE(A140,""marketcap"")"),5.8391467776E10)</f>
        <v>58391467776</v>
      </c>
      <c r="D140" s="20" t="s">
        <v>4104</v>
      </c>
    </row>
    <row r="141" ht="18.75" customHeight="1">
      <c r="A141" s="19" t="s">
        <v>1431</v>
      </c>
      <c r="B141" s="20">
        <v>50.0</v>
      </c>
      <c r="C141" s="46">
        <f>IFERROR(__xludf.DUMMYFUNCTION("GOOGLEFINANCE(A141,""marketcap"")"),3.8333081258E10)</f>
        <v>38333081258</v>
      </c>
      <c r="D141" s="20" t="s">
        <v>4105</v>
      </c>
    </row>
    <row r="142" ht="18.75" customHeight="1">
      <c r="A142" s="19" t="s">
        <v>1072</v>
      </c>
      <c r="B142" s="20">
        <v>50.0</v>
      </c>
      <c r="C142" s="46">
        <f>IFERROR(__xludf.DUMMYFUNCTION("GOOGLEFINANCE(A142,""marketcap"")"),3.6814032014E10)</f>
        <v>36814032014</v>
      </c>
      <c r="D142" s="20" t="s">
        <v>4106</v>
      </c>
    </row>
    <row r="143" ht="18.75" customHeight="1">
      <c r="A143" s="19" t="s">
        <v>961</v>
      </c>
      <c r="B143" s="20">
        <v>50.0</v>
      </c>
      <c r="C143" s="46">
        <f>IFERROR(__xludf.DUMMYFUNCTION("GOOGLEFINANCE(A143,""marketcap"")"),5.0010488237E10)</f>
        <v>50010488237</v>
      </c>
      <c r="D143" s="20" t="s">
        <v>4107</v>
      </c>
    </row>
    <row r="144" ht="18.75" customHeight="1">
      <c r="A144" s="19" t="s">
        <v>537</v>
      </c>
      <c r="B144" s="20">
        <v>50.0</v>
      </c>
      <c r="C144" s="46">
        <f>IFERROR(__xludf.DUMMYFUNCTION("GOOGLEFINANCE(A144,""marketcap"")"),3.1517534606E10)</f>
        <v>31517534606</v>
      </c>
      <c r="D144" s="20" t="s">
        <v>4108</v>
      </c>
    </row>
    <row r="145" ht="18.75" customHeight="1">
      <c r="A145" s="19" t="s">
        <v>459</v>
      </c>
      <c r="B145" s="20">
        <v>50.0</v>
      </c>
      <c r="C145" s="46">
        <f>IFERROR(__xludf.DUMMYFUNCTION("GOOGLEFINANCE(A145,""marketcap"")"),1.090906E11)</f>
        <v>109090600000</v>
      </c>
      <c r="D145" s="20" t="s">
        <v>4109</v>
      </c>
    </row>
    <row r="146" ht="18.75" customHeight="1">
      <c r="A146" s="19" t="s">
        <v>241</v>
      </c>
      <c r="B146" s="20">
        <v>50.0</v>
      </c>
      <c r="C146" s="46">
        <f>IFERROR(__xludf.DUMMYFUNCTION("GOOGLEFINANCE(A146,""marketcap"")"),1.97169901077E11)</f>
        <v>197169901077</v>
      </c>
      <c r="D146" s="20" t="s">
        <v>4110</v>
      </c>
    </row>
    <row r="147" ht="18.75" customHeight="1">
      <c r="A147" s="19" t="s">
        <v>1074</v>
      </c>
      <c r="B147" s="20">
        <v>50.0</v>
      </c>
      <c r="C147" s="46">
        <f>IFERROR(__xludf.DUMMYFUNCTION("GOOGLEFINANCE(A147,""marketcap"")"),2.622711E10)</f>
        <v>26227110000</v>
      </c>
      <c r="D147" s="20" t="s">
        <v>4111</v>
      </c>
    </row>
    <row r="148" ht="18.75" customHeight="1">
      <c r="A148" s="19" t="s">
        <v>843</v>
      </c>
      <c r="B148" s="20">
        <v>50.0</v>
      </c>
      <c r="C148" s="46">
        <f>IFERROR(__xludf.DUMMYFUNCTION("GOOGLEFINANCE(A148,""marketcap"")"),2.1327833628E10)</f>
        <v>21327833628</v>
      </c>
      <c r="D148" s="20" t="s">
        <v>4112</v>
      </c>
    </row>
    <row r="149" ht="18.75" customHeight="1">
      <c r="A149" s="19" t="s">
        <v>1323</v>
      </c>
      <c r="B149" s="20">
        <v>50.0</v>
      </c>
      <c r="C149" s="46">
        <f>IFERROR(__xludf.DUMMYFUNCTION("GOOGLEFINANCE(A149,""marketcap"")"),4.242316906E10)</f>
        <v>42423169060</v>
      </c>
      <c r="D149" s="20" t="s">
        <v>4113</v>
      </c>
    </row>
    <row r="150" ht="18.75" customHeight="1">
      <c r="A150" s="19" t="s">
        <v>1305</v>
      </c>
      <c r="B150" s="20">
        <v>50.0</v>
      </c>
      <c r="C150" s="46">
        <f>IFERROR(__xludf.DUMMYFUNCTION("GOOGLEFINANCE(A150,""marketcap"")"),7.1578595937E10)</f>
        <v>71578595937</v>
      </c>
      <c r="D150" s="20" t="s">
        <v>4114</v>
      </c>
    </row>
    <row r="151" ht="18.75" customHeight="1">
      <c r="A151" s="19" t="s">
        <v>476</v>
      </c>
      <c r="B151" s="20">
        <v>50.0</v>
      </c>
      <c r="C151" s="46">
        <f>IFERROR(__xludf.DUMMYFUNCTION("GOOGLEFINANCE(A151,""marketcap"")"),1.037261162E10)</f>
        <v>10372611620</v>
      </c>
      <c r="D151" s="20" t="s">
        <v>4115</v>
      </c>
    </row>
    <row r="152" ht="18.75" customHeight="1">
      <c r="A152" s="19" t="s">
        <v>835</v>
      </c>
      <c r="B152" s="20">
        <v>50.0</v>
      </c>
      <c r="C152" s="46">
        <f>IFERROR(__xludf.DUMMYFUNCTION("GOOGLEFINANCE(A152,""marketcap"")"),2.4451133769E10)</f>
        <v>24451133769</v>
      </c>
      <c r="D152" s="20" t="s">
        <v>4116</v>
      </c>
    </row>
    <row r="153" ht="18.75" customHeight="1">
      <c r="A153" s="19" t="s">
        <v>839</v>
      </c>
      <c r="B153" s="20">
        <v>50.0</v>
      </c>
      <c r="C153" s="46">
        <f>IFERROR(__xludf.DUMMYFUNCTION("GOOGLEFINANCE(A153,""marketcap"")"),2.560758995E10)</f>
        <v>25607589950</v>
      </c>
      <c r="D153" s="20" t="s">
        <v>4117</v>
      </c>
    </row>
    <row r="154" ht="18.75" customHeight="1">
      <c r="A154" s="19" t="s">
        <v>59</v>
      </c>
      <c r="B154" s="20">
        <v>50.0</v>
      </c>
      <c r="C154" s="46">
        <f>IFERROR(__xludf.DUMMYFUNCTION("GOOGLEFINANCE(A154,""marketcap"")"),5.760609235E10)</f>
        <v>57606092350</v>
      </c>
      <c r="D154" s="20" t="s">
        <v>4118</v>
      </c>
    </row>
    <row r="155" ht="18.75" customHeight="1">
      <c r="A155" s="19" t="s">
        <v>242</v>
      </c>
      <c r="B155" s="20">
        <v>50.0</v>
      </c>
      <c r="C155" s="46">
        <f>IFERROR(__xludf.DUMMYFUNCTION("GOOGLEFINANCE(A155,""marketcap"")"),8.5141383977E10)</f>
        <v>85141383977</v>
      </c>
      <c r="D155" s="20" t="s">
        <v>4119</v>
      </c>
    </row>
    <row r="156" ht="18.75" customHeight="1">
      <c r="A156" s="19" t="s">
        <v>278</v>
      </c>
      <c r="B156" s="20">
        <v>50.0</v>
      </c>
      <c r="C156" s="46">
        <f>IFERROR(__xludf.DUMMYFUNCTION("GOOGLEFINANCE(A156,""marketcap"")"),5.16250014E10)</f>
        <v>51625001400</v>
      </c>
      <c r="D156" s="20" t="s">
        <v>4120</v>
      </c>
    </row>
    <row r="157" ht="18.75" customHeight="1">
      <c r="A157" s="19" t="s">
        <v>953</v>
      </c>
      <c r="B157" s="20">
        <v>50.0</v>
      </c>
      <c r="C157" s="46">
        <f>IFERROR(__xludf.DUMMYFUNCTION("GOOGLEFINANCE(A157,""marketcap"")"),3.019078341E10)</f>
        <v>30190783410</v>
      </c>
      <c r="D157" s="20" t="s">
        <v>4121</v>
      </c>
    </row>
    <row r="158" ht="18.75" customHeight="1">
      <c r="A158" s="19" t="s">
        <v>831</v>
      </c>
      <c r="B158" s="20">
        <v>50.0</v>
      </c>
      <c r="C158" s="46">
        <f>IFERROR(__xludf.DUMMYFUNCTION("GOOGLEFINANCE(A158,""marketcap"")"),1.74820157859E11)</f>
        <v>174820157859</v>
      </c>
      <c r="D158" s="20" t="s">
        <v>4122</v>
      </c>
    </row>
    <row r="159" ht="18.75" customHeight="1">
      <c r="A159" s="19" t="s">
        <v>816</v>
      </c>
      <c r="B159" s="20">
        <v>50.0</v>
      </c>
      <c r="C159" s="46">
        <f>IFERROR(__xludf.DUMMYFUNCTION("GOOGLEFINANCE(A159,""marketcap"")"),1.1932447802E10)</f>
        <v>11932447802</v>
      </c>
      <c r="D159" s="20" t="s">
        <v>4123</v>
      </c>
    </row>
    <row r="160" ht="18.75" customHeight="1">
      <c r="A160" s="19" t="s">
        <v>244</v>
      </c>
      <c r="B160" s="20">
        <v>50.0</v>
      </c>
      <c r="C160" s="46">
        <f>IFERROR(__xludf.DUMMYFUNCTION("GOOGLEFINANCE(A160,""marketcap"")"),5.1109588745E10)</f>
        <v>51109588745</v>
      </c>
      <c r="D160" s="20" t="s">
        <v>4124</v>
      </c>
    </row>
    <row r="161" ht="18.75" customHeight="1">
      <c r="A161" s="19" t="s">
        <v>1237</v>
      </c>
      <c r="B161" s="20">
        <v>50.0</v>
      </c>
      <c r="C161" s="46">
        <f>IFERROR(__xludf.DUMMYFUNCTION("GOOGLEFINANCE(A161,""marketcap"")"),3.7428743554E10)</f>
        <v>37428743554</v>
      </c>
      <c r="D161" s="20" t="s">
        <v>4125</v>
      </c>
    </row>
    <row r="162" ht="18.75" customHeight="1">
      <c r="A162" s="19" t="s">
        <v>1474</v>
      </c>
      <c r="B162" s="20">
        <v>50.0</v>
      </c>
      <c r="C162" s="46">
        <f>IFERROR(__xludf.DUMMYFUNCTION("GOOGLEFINANCE(A162,""marketcap"")"),3.2772736166E10)</f>
        <v>32772736166</v>
      </c>
      <c r="D162" s="20" t="s">
        <v>4126</v>
      </c>
    </row>
    <row r="163" ht="18.75" customHeight="1">
      <c r="A163" s="19" t="s">
        <v>1412</v>
      </c>
      <c r="B163" s="20">
        <v>50.0</v>
      </c>
      <c r="C163" s="46">
        <f>IFERROR(__xludf.DUMMYFUNCTION("GOOGLEFINANCE(A163,""marketcap"")"),1.6966142285E10)</f>
        <v>16966142285</v>
      </c>
      <c r="D163" s="20" t="s">
        <v>4127</v>
      </c>
    </row>
    <row r="164" ht="18.75" customHeight="1">
      <c r="A164" s="19" t="s">
        <v>451</v>
      </c>
      <c r="B164" s="20">
        <v>50.0</v>
      </c>
      <c r="C164" s="46">
        <f>IFERROR(__xludf.DUMMYFUNCTION("GOOGLEFINANCE(A164,""marketcap"")"),3.45569496793E11)</f>
        <v>345569496793</v>
      </c>
      <c r="D164" s="20" t="s">
        <v>4128</v>
      </c>
    </row>
    <row r="165" ht="18.75" customHeight="1">
      <c r="A165" s="19" t="s">
        <v>1404</v>
      </c>
      <c r="B165" s="20">
        <v>50.0</v>
      </c>
      <c r="C165" s="46">
        <f>IFERROR(__xludf.DUMMYFUNCTION("GOOGLEFINANCE(A165,""marketcap"")"),1.2552680484E10)</f>
        <v>12552680484</v>
      </c>
      <c r="D165" s="20" t="s">
        <v>4129</v>
      </c>
    </row>
    <row r="166" ht="18.75" customHeight="1">
      <c r="A166" s="19" t="s">
        <v>1487</v>
      </c>
      <c r="B166" s="20">
        <v>50.0</v>
      </c>
      <c r="C166" s="46">
        <f>IFERROR(__xludf.DUMMYFUNCTION("GOOGLEFINANCE(A166,""marketcap"")"),6.6804720375E10)</f>
        <v>66804720375</v>
      </c>
      <c r="D166" s="20" t="s">
        <v>4130</v>
      </c>
    </row>
    <row r="167" ht="18.75" customHeight="1">
      <c r="A167" s="19" t="s">
        <v>1059</v>
      </c>
      <c r="B167" s="20">
        <v>50.0</v>
      </c>
      <c r="C167" s="46" t="str">
        <f>IFERROR(__xludf.DUMMYFUNCTION("GOOGLEFINANCE(A167,""marketcap"")"),"#N/A")</f>
        <v>#N/A</v>
      </c>
      <c r="D167" s="20" t="s">
        <v>4131</v>
      </c>
    </row>
    <row r="168" ht="18.75" customHeight="1">
      <c r="A168" s="19" t="s">
        <v>1163</v>
      </c>
      <c r="B168" s="20">
        <v>50.0</v>
      </c>
      <c r="C168" s="46">
        <f>IFERROR(__xludf.DUMMYFUNCTION("GOOGLEFINANCE(A168,""marketcap"")"),1.5927767979E10)</f>
        <v>15927767979</v>
      </c>
      <c r="D168" s="20" t="s">
        <v>4132</v>
      </c>
    </row>
    <row r="169" ht="18.75" customHeight="1">
      <c r="A169" s="19" t="s">
        <v>1466</v>
      </c>
      <c r="B169" s="20">
        <v>50.0</v>
      </c>
      <c r="C169" s="46">
        <f>IFERROR(__xludf.DUMMYFUNCTION("GOOGLEFINANCE(A169,""marketcap"")"),1.09314E10)</f>
        <v>10931400000</v>
      </c>
      <c r="D169" s="20" t="s">
        <v>4133</v>
      </c>
    </row>
    <row r="170" ht="18.75" customHeight="1">
      <c r="A170" s="19" t="s">
        <v>1233</v>
      </c>
      <c r="B170" s="20">
        <v>50.0</v>
      </c>
      <c r="C170" s="46">
        <f>IFERROR(__xludf.DUMMYFUNCTION("GOOGLEFINANCE(A170,""marketcap"")"),4.1880625303E10)</f>
        <v>41880625303</v>
      </c>
      <c r="D170" s="20" t="s">
        <v>4134</v>
      </c>
    </row>
    <row r="171" ht="18.75" customHeight="1">
      <c r="A171" s="19" t="s">
        <v>1641</v>
      </c>
      <c r="B171" s="20">
        <v>50.0</v>
      </c>
      <c r="C171" s="46">
        <f>IFERROR(__xludf.DUMMYFUNCTION("GOOGLEFINANCE(A171,""marketcap"")"),2.7032882552E10)</f>
        <v>27032882552</v>
      </c>
      <c r="D171" s="20" t="s">
        <v>4135</v>
      </c>
    </row>
    <row r="172" ht="18.75" customHeight="1">
      <c r="A172" s="19" t="s">
        <v>1638</v>
      </c>
      <c r="B172" s="20">
        <v>50.0</v>
      </c>
      <c r="C172" s="46">
        <f>IFERROR(__xludf.DUMMYFUNCTION("GOOGLEFINANCE(A172,""marketcap"")"),4.9560755223E10)</f>
        <v>49560755223</v>
      </c>
      <c r="D172" s="20" t="s">
        <v>4136</v>
      </c>
    </row>
    <row r="173" ht="18.75" customHeight="1">
      <c r="A173" s="19" t="s">
        <v>1021</v>
      </c>
      <c r="B173" s="20">
        <v>50.0</v>
      </c>
      <c r="C173" s="46">
        <f>IFERROR(__xludf.DUMMYFUNCTION("GOOGLEFINANCE(A173,""marketcap"")"),1.7252434822E10)</f>
        <v>17252434822</v>
      </c>
      <c r="D173" s="20" t="s">
        <v>4137</v>
      </c>
    </row>
    <row r="174" ht="18.75" customHeight="1">
      <c r="A174" s="19" t="s">
        <v>1490</v>
      </c>
      <c r="B174" s="20">
        <v>50.0</v>
      </c>
      <c r="C174" s="46">
        <f>IFERROR(__xludf.DUMMYFUNCTION("GOOGLEFINANCE(A174,""marketcap"")"),1.2261291479E10)</f>
        <v>12261291479</v>
      </c>
      <c r="D174" s="20" t="s">
        <v>4138</v>
      </c>
    </row>
    <row r="175" ht="18.75" customHeight="1">
      <c r="A175" s="19" t="s">
        <v>15</v>
      </c>
      <c r="B175" s="20">
        <v>50.0</v>
      </c>
      <c r="C175" s="46">
        <f>IFERROR(__xludf.DUMMYFUNCTION("GOOGLEFINANCE(A175,""marketcap"")"),2.309209E11)</f>
        <v>230920900000</v>
      </c>
      <c r="D175" s="20" t="s">
        <v>4139</v>
      </c>
    </row>
    <row r="176" ht="18.75" customHeight="1">
      <c r="A176" s="19" t="s">
        <v>359</v>
      </c>
      <c r="B176" s="20">
        <v>50.0</v>
      </c>
      <c r="C176" s="46">
        <f>IFERROR(__xludf.DUMMYFUNCTION("GOOGLEFINANCE(A176,""marketcap"")"),1.11794849E11)</f>
        <v>111794849000</v>
      </c>
      <c r="D176" s="20" t="s">
        <v>4140</v>
      </c>
    </row>
    <row r="177" ht="18.75" customHeight="1">
      <c r="A177" s="19" t="s">
        <v>3047</v>
      </c>
      <c r="B177" s="20">
        <v>50.0</v>
      </c>
      <c r="C177" s="46">
        <f>IFERROR(__xludf.DUMMYFUNCTION("GOOGLEFINANCE(A177,""marketcap"")"),7.943192622E9)</f>
        <v>7943192622</v>
      </c>
      <c r="D177" s="20" t="s">
        <v>4141</v>
      </c>
    </row>
    <row r="178" ht="18.75" customHeight="1">
      <c r="A178" s="19" t="s">
        <v>1175</v>
      </c>
      <c r="B178" s="20">
        <v>50.0</v>
      </c>
      <c r="C178" s="46">
        <f>IFERROR(__xludf.DUMMYFUNCTION("GOOGLEFINANCE(A178,""marketcap"")"),1.693892E10)</f>
        <v>16938920000</v>
      </c>
      <c r="D178" s="20" t="s">
        <v>4142</v>
      </c>
    </row>
    <row r="179" ht="18.75" customHeight="1">
      <c r="A179" s="19" t="s">
        <v>1601</v>
      </c>
      <c r="B179" s="20">
        <v>50.0</v>
      </c>
      <c r="C179" s="46">
        <f>IFERROR(__xludf.DUMMYFUNCTION("GOOGLEFINANCE(A179,""marketcap"")"),3.8435528213E10)</f>
        <v>38435528213</v>
      </c>
      <c r="D179" s="20" t="s">
        <v>4143</v>
      </c>
    </row>
    <row r="180" ht="18.75" customHeight="1">
      <c r="A180" s="19" t="s">
        <v>1605</v>
      </c>
      <c r="B180" s="20">
        <v>50.0</v>
      </c>
      <c r="C180" s="46">
        <f>IFERROR(__xludf.DUMMYFUNCTION("GOOGLEFINANCE(A180,""marketcap"")"),3.4981069152E10)</f>
        <v>34981069152</v>
      </c>
      <c r="D180" s="20" t="s">
        <v>4144</v>
      </c>
    </row>
    <row r="181" ht="18.75" customHeight="1">
      <c r="A181" s="19" t="s">
        <v>151</v>
      </c>
      <c r="B181" s="20">
        <v>50.0</v>
      </c>
      <c r="C181" s="46">
        <f>IFERROR(__xludf.DUMMYFUNCTION("GOOGLEFINANCE(A181,""marketcap"")"),1.34340593414E11)</f>
        <v>134340593414</v>
      </c>
      <c r="D181" s="20" t="s">
        <v>4145</v>
      </c>
    </row>
    <row r="182" ht="18.75" customHeight="1">
      <c r="A182" s="19" t="s">
        <v>141</v>
      </c>
      <c r="B182" s="20">
        <v>50.0</v>
      </c>
      <c r="C182" s="46">
        <f>IFERROR(__xludf.DUMMYFUNCTION("GOOGLEFINANCE(A182,""marketcap"")"),1.133613004E11)</f>
        <v>113361300400</v>
      </c>
      <c r="D182" s="20" t="s">
        <v>4146</v>
      </c>
    </row>
    <row r="183" ht="18.75" customHeight="1">
      <c r="A183" s="19" t="s">
        <v>1038</v>
      </c>
      <c r="B183" s="20">
        <v>50.0</v>
      </c>
      <c r="C183" s="46">
        <f>IFERROR(__xludf.DUMMYFUNCTION("GOOGLEFINANCE(A183,""marketcap"")"),3.40953461316E11)</f>
        <v>340953461316</v>
      </c>
      <c r="D183" s="20" t="s">
        <v>4147</v>
      </c>
    </row>
    <row r="184" ht="18.75" customHeight="1">
      <c r="A184" s="19" t="s">
        <v>146</v>
      </c>
      <c r="B184" s="20">
        <v>50.0</v>
      </c>
      <c r="C184" s="46">
        <f>IFERROR(__xludf.DUMMYFUNCTION("GOOGLEFINANCE(A184,""marketcap"")"),1.0348614344E11)</f>
        <v>103486143440</v>
      </c>
      <c r="D184" s="20" t="s">
        <v>4148</v>
      </c>
    </row>
    <row r="185" ht="18.75" customHeight="1">
      <c r="A185" s="19" t="s">
        <v>1248</v>
      </c>
      <c r="B185" s="20">
        <v>50.0</v>
      </c>
      <c r="C185" s="46">
        <f>IFERROR(__xludf.DUMMYFUNCTION("GOOGLEFINANCE(A185,""marketcap"")"),2.7010245035E10)</f>
        <v>27010245035</v>
      </c>
      <c r="D185" s="20" t="s">
        <v>4149</v>
      </c>
    </row>
    <row r="186" ht="18.75" customHeight="1">
      <c r="A186" s="19" t="s">
        <v>1250</v>
      </c>
      <c r="B186" s="20">
        <v>50.0</v>
      </c>
      <c r="C186" s="46">
        <f>IFERROR(__xludf.DUMMYFUNCTION("GOOGLEFINANCE(A186,""marketcap"")"),2.4432069136E10)</f>
        <v>24432069136</v>
      </c>
      <c r="D186" s="20" t="s">
        <v>4150</v>
      </c>
    </row>
    <row r="187" ht="18.75" customHeight="1">
      <c r="A187" s="19" t="s">
        <v>864</v>
      </c>
      <c r="B187" s="20">
        <v>50.0</v>
      </c>
      <c r="C187" s="46">
        <f>IFERROR(__xludf.DUMMYFUNCTION("GOOGLEFINANCE(A187,""marketcap"")"),8.707928596E10)</f>
        <v>87079285960</v>
      </c>
      <c r="D187" s="20" t="s">
        <v>4151</v>
      </c>
    </row>
    <row r="188" ht="18.75" customHeight="1">
      <c r="A188" s="19" t="s">
        <v>1171</v>
      </c>
      <c r="B188" s="20">
        <v>50.0</v>
      </c>
      <c r="C188" s="46">
        <f>IFERROR(__xludf.DUMMYFUNCTION("GOOGLEFINANCE(A188,""marketcap"")"),2.66497840981E11)</f>
        <v>266497840981</v>
      </c>
      <c r="D188" s="20" t="s">
        <v>4152</v>
      </c>
    </row>
    <row r="189" ht="18.75" customHeight="1">
      <c r="A189" s="19" t="s">
        <v>609</v>
      </c>
      <c r="B189" s="20">
        <v>50.0</v>
      </c>
      <c r="C189" s="46">
        <f>IFERROR(__xludf.DUMMYFUNCTION("GOOGLEFINANCE(A189,""marketcap"")"),3.5389739007E10)</f>
        <v>35389739007</v>
      </c>
      <c r="D189" s="20" t="s">
        <v>4153</v>
      </c>
    </row>
    <row r="190" ht="18.75" customHeight="1">
      <c r="A190" s="19" t="s">
        <v>1202</v>
      </c>
      <c r="B190" s="20">
        <v>50.0</v>
      </c>
      <c r="C190" s="46">
        <f>IFERROR(__xludf.DUMMYFUNCTION("GOOGLEFINANCE(A190,""marketcap"")"),1.46361723659E11)</f>
        <v>146361723659</v>
      </c>
      <c r="D190" s="20" t="s">
        <v>4154</v>
      </c>
    </row>
    <row r="191" ht="18.75" customHeight="1">
      <c r="A191" s="19" t="s">
        <v>795</v>
      </c>
      <c r="B191" s="20">
        <v>50.0</v>
      </c>
      <c r="C191" s="46">
        <f>IFERROR(__xludf.DUMMYFUNCTION("GOOGLEFINANCE(A191,""marketcap"")"),2.113297E11)</f>
        <v>211329700000</v>
      </c>
      <c r="D191" s="20" t="s">
        <v>4155</v>
      </c>
    </row>
    <row r="192" ht="18.75" customHeight="1">
      <c r="A192" s="19" t="s">
        <v>1379</v>
      </c>
      <c r="B192" s="20">
        <v>50.0</v>
      </c>
      <c r="C192" s="46">
        <f>IFERROR(__xludf.DUMMYFUNCTION("GOOGLEFINANCE(A192,""marketcap"")"),1.2414526778E10)</f>
        <v>12414526778</v>
      </c>
      <c r="D192" s="20" t="s">
        <v>4156</v>
      </c>
    </row>
    <row r="193" ht="18.75" customHeight="1">
      <c r="A193" s="19" t="s">
        <v>862</v>
      </c>
      <c r="B193" s="20">
        <v>50.0</v>
      </c>
      <c r="C193" s="46">
        <f>IFERROR(__xludf.DUMMYFUNCTION("GOOGLEFINANCE(A193,""marketcap"")"),4.002113E10)</f>
        <v>40021130000</v>
      </c>
      <c r="D193" s="20" t="s">
        <v>4157</v>
      </c>
    </row>
    <row r="194" ht="18.75" customHeight="1">
      <c r="A194" s="19" t="s">
        <v>1137</v>
      </c>
      <c r="B194" s="20">
        <v>50.0</v>
      </c>
      <c r="C194" s="46">
        <f>IFERROR(__xludf.DUMMYFUNCTION("GOOGLEFINANCE(A194,""marketcap"")"),6.378141772E9)</f>
        <v>6378141772</v>
      </c>
      <c r="D194" s="20" t="s">
        <v>4158</v>
      </c>
    </row>
    <row r="195" ht="18.75" customHeight="1">
      <c r="A195" s="19" t="s">
        <v>1147</v>
      </c>
      <c r="B195" s="20">
        <v>50.0</v>
      </c>
      <c r="C195" s="46">
        <f>IFERROR(__xludf.DUMMYFUNCTION("GOOGLEFINANCE(A195,""marketcap"")"),2.170924E10)</f>
        <v>21709240000</v>
      </c>
      <c r="D195" s="20" t="s">
        <v>4159</v>
      </c>
    </row>
    <row r="196" ht="18.75" customHeight="1">
      <c r="A196" s="19" t="s">
        <v>1183</v>
      </c>
      <c r="B196" s="20">
        <v>50.0</v>
      </c>
      <c r="C196" s="46">
        <f>IFERROR(__xludf.DUMMYFUNCTION("GOOGLEFINANCE(A196,""marketcap"")"),1.937391808E10)</f>
        <v>19373918080</v>
      </c>
      <c r="D196" s="20" t="s">
        <v>4160</v>
      </c>
    </row>
    <row r="197" ht="18.75" customHeight="1">
      <c r="A197" s="19" t="s">
        <v>1245</v>
      </c>
      <c r="B197" s="20">
        <v>50.0</v>
      </c>
      <c r="C197" s="46">
        <f>IFERROR(__xludf.DUMMYFUNCTION("GOOGLEFINANCE(A197,""marketcap"")"),1.0584843775E10)</f>
        <v>10584843775</v>
      </c>
      <c r="D197" s="20" t="s">
        <v>4161</v>
      </c>
    </row>
    <row r="198" ht="18.75" customHeight="1">
      <c r="A198" s="19" t="s">
        <v>1443</v>
      </c>
      <c r="B198" s="20">
        <v>50.0</v>
      </c>
      <c r="C198" s="46">
        <f>IFERROR(__xludf.DUMMYFUNCTION("GOOGLEFINANCE(A198,""marketcap"")"),1.004411E10)</f>
        <v>10044110000</v>
      </c>
      <c r="D198" s="20" t="s">
        <v>4162</v>
      </c>
    </row>
    <row r="199" ht="18.75" customHeight="1">
      <c r="A199" s="19" t="s">
        <v>1352</v>
      </c>
      <c r="B199" s="20">
        <v>50.0</v>
      </c>
      <c r="C199" s="46">
        <f>IFERROR(__xludf.DUMMYFUNCTION("GOOGLEFINANCE(A199,""marketcap"")"),6.5658316597E10)</f>
        <v>65658316597</v>
      </c>
      <c r="D199" s="20" t="s">
        <v>4163</v>
      </c>
    </row>
    <row r="200" ht="18.75" customHeight="1">
      <c r="A200" s="19" t="s">
        <v>1185</v>
      </c>
      <c r="B200" s="20">
        <v>50.0</v>
      </c>
      <c r="C200" s="46">
        <f>IFERROR(__xludf.DUMMYFUNCTION("GOOGLEFINANCE(A200,""marketcap"")"),7.8139092598E10)</f>
        <v>78139092598</v>
      </c>
      <c r="D200" s="20" t="s">
        <v>4164</v>
      </c>
    </row>
    <row r="201" ht="18.75" customHeight="1">
      <c r="A201" s="19" t="s">
        <v>1167</v>
      </c>
      <c r="B201" s="20">
        <v>50.0</v>
      </c>
      <c r="C201" s="46">
        <f>IFERROR(__xludf.DUMMYFUNCTION("GOOGLEFINANCE(A201,""marketcap"")"),1.754906E11)</f>
        <v>175490600000</v>
      </c>
      <c r="D201" s="20" t="s">
        <v>4165</v>
      </c>
    </row>
    <row r="202" ht="18.75" customHeight="1">
      <c r="A202" s="19" t="s">
        <v>1615</v>
      </c>
      <c r="B202" s="20">
        <v>50.0</v>
      </c>
      <c r="C202" s="46">
        <f>IFERROR(__xludf.DUMMYFUNCTION("GOOGLEFINANCE(A202,""marketcap"")"),2.3131788304E10)</f>
        <v>23131788304</v>
      </c>
      <c r="D202" s="20" t="s">
        <v>4166</v>
      </c>
    </row>
    <row r="203" ht="18.75" customHeight="1">
      <c r="A203" s="19" t="s">
        <v>426</v>
      </c>
      <c r="B203" s="20">
        <v>50.0</v>
      </c>
      <c r="C203" s="46">
        <f>IFERROR(__xludf.DUMMYFUNCTION("GOOGLEFINANCE(A203,""marketcap"")"),1.243555E11)</f>
        <v>124355500000</v>
      </c>
      <c r="D203" s="20" t="s">
        <v>4167</v>
      </c>
    </row>
    <row r="204" ht="18.75" customHeight="1">
      <c r="A204" s="19" t="s">
        <v>277</v>
      </c>
      <c r="B204" s="20">
        <v>50.0</v>
      </c>
      <c r="C204" s="46">
        <f>IFERROR(__xludf.DUMMYFUNCTION("GOOGLEFINANCE(A204,""marketcap"")"),7.3817961656E10)</f>
        <v>73817961656</v>
      </c>
      <c r="D204" s="20" t="s">
        <v>4168</v>
      </c>
    </row>
    <row r="205" ht="18.75" customHeight="1">
      <c r="A205" s="19" t="s">
        <v>855</v>
      </c>
      <c r="B205" s="20">
        <v>50.0</v>
      </c>
      <c r="C205" s="46">
        <f>IFERROR(__xludf.DUMMYFUNCTION("GOOGLEFINANCE(A205,""marketcap"")"),7.2744261674E10)</f>
        <v>72744261674</v>
      </c>
      <c r="D205" s="20" t="s">
        <v>4169</v>
      </c>
    </row>
    <row r="206" ht="18.75" customHeight="1">
      <c r="A206" s="19" t="s">
        <v>821</v>
      </c>
      <c r="B206" s="20">
        <v>50.0</v>
      </c>
      <c r="C206" s="46">
        <f>IFERROR(__xludf.DUMMYFUNCTION("GOOGLEFINANCE(A206,""marketcap"")"),2.0743398328E10)</f>
        <v>20743398328</v>
      </c>
      <c r="D206" s="20" t="s">
        <v>4170</v>
      </c>
    </row>
    <row r="207" ht="18.75" customHeight="1">
      <c r="A207" s="19" t="s">
        <v>1408</v>
      </c>
      <c r="B207" s="20">
        <v>50.0</v>
      </c>
      <c r="C207" s="46">
        <f>IFERROR(__xludf.DUMMYFUNCTION("GOOGLEFINANCE(A207,""marketcap"")"),5.05061121E10)</f>
        <v>50506112100</v>
      </c>
      <c r="D207" s="20" t="s">
        <v>4171</v>
      </c>
    </row>
    <row r="208" ht="18.75" customHeight="1">
      <c r="A208" s="19" t="s">
        <v>853</v>
      </c>
      <c r="B208" s="20">
        <v>50.0</v>
      </c>
      <c r="C208" s="46">
        <f>IFERROR(__xludf.DUMMYFUNCTION("GOOGLEFINANCE(A208,""marketcap"")"),1.129214E10)</f>
        <v>11292140000</v>
      </c>
      <c r="D208" s="20" t="s">
        <v>4172</v>
      </c>
    </row>
    <row r="209" ht="18.75" customHeight="1">
      <c r="A209" s="19" t="s">
        <v>780</v>
      </c>
      <c r="B209" s="20">
        <v>50.0</v>
      </c>
      <c r="C209" s="46">
        <f>IFERROR(__xludf.DUMMYFUNCTION("GOOGLEFINANCE(A209,""marketcap"")"),2.9991839791E10)</f>
        <v>29991839791</v>
      </c>
      <c r="D209" s="20" t="s">
        <v>4173</v>
      </c>
    </row>
    <row r="210" ht="18.75" customHeight="1">
      <c r="A210" s="19" t="s">
        <v>1173</v>
      </c>
      <c r="B210" s="20">
        <v>50.0</v>
      </c>
      <c r="C210" s="46">
        <f>IFERROR(__xludf.DUMMYFUNCTION("GOOGLEFINANCE(A210,""marketcap"")"),6.1797400442E10)</f>
        <v>61797400442</v>
      </c>
      <c r="D210" s="20" t="s">
        <v>4174</v>
      </c>
    </row>
    <row r="211" ht="18.75" customHeight="1">
      <c r="A211" s="19" t="s">
        <v>1030</v>
      </c>
      <c r="B211" s="20">
        <v>50.0</v>
      </c>
      <c r="C211" s="46">
        <f>IFERROR(__xludf.DUMMYFUNCTION("GOOGLEFINANCE(A211,""marketcap"")"),2.3604755889E10)</f>
        <v>23604755889</v>
      </c>
      <c r="D211" s="20" t="s">
        <v>4175</v>
      </c>
    </row>
    <row r="212" ht="18.75" customHeight="1">
      <c r="A212" s="19" t="s">
        <v>14</v>
      </c>
      <c r="B212" s="20">
        <v>50.0</v>
      </c>
      <c r="C212" s="46">
        <f>IFERROR(__xludf.DUMMYFUNCTION("GOOGLEFINANCE(A212,""marketcap"")"),7.494838E10)</f>
        <v>74948380000</v>
      </c>
      <c r="D212" s="20" t="s">
        <v>4176</v>
      </c>
    </row>
    <row r="213" ht="18.75" customHeight="1">
      <c r="A213" s="19" t="s">
        <v>1608</v>
      </c>
      <c r="B213" s="20">
        <v>50.0</v>
      </c>
      <c r="C213" s="46">
        <f>IFERROR(__xludf.DUMMYFUNCTION("GOOGLEFINANCE(A213,""marketcap"")"),1.4206480041E10)</f>
        <v>14206480041</v>
      </c>
      <c r="D213" s="20" t="s">
        <v>4177</v>
      </c>
    </row>
    <row r="214" ht="18.75" customHeight="1">
      <c r="A214" s="19" t="s">
        <v>777</v>
      </c>
      <c r="B214" s="20">
        <v>50.0</v>
      </c>
      <c r="C214" s="46">
        <f>IFERROR(__xludf.DUMMYFUNCTION("GOOGLEFINANCE(A214,""marketcap"")"),2.37137404538E11)</f>
        <v>237137404538</v>
      </c>
      <c r="D214" s="20" t="s">
        <v>4178</v>
      </c>
    </row>
    <row r="215" ht="18.75" customHeight="1">
      <c r="A215" s="19" t="s">
        <v>1177</v>
      </c>
      <c r="B215" s="20">
        <v>50.0</v>
      </c>
      <c r="C215" s="46">
        <f>IFERROR(__xludf.DUMMYFUNCTION("GOOGLEFINANCE(A215,""marketcap"")"),3.0076293746E10)</f>
        <v>30076293746</v>
      </c>
      <c r="D215" s="20" t="s">
        <v>4179</v>
      </c>
    </row>
    <row r="216" ht="18.75" customHeight="1">
      <c r="A216" s="19" t="s">
        <v>1611</v>
      </c>
      <c r="B216" s="20">
        <v>50.0</v>
      </c>
      <c r="C216" s="46">
        <f>IFERROR(__xludf.DUMMYFUNCTION("GOOGLEFINANCE(A216,""marketcap"")"),2.1699276903E10)</f>
        <v>21699276903</v>
      </c>
      <c r="D216" s="20" t="s">
        <v>4180</v>
      </c>
    </row>
    <row r="217" ht="18.75" customHeight="1">
      <c r="A217" s="19" t="s">
        <v>1613</v>
      </c>
      <c r="B217" s="20">
        <v>50.0</v>
      </c>
      <c r="C217" s="46">
        <f>IFERROR(__xludf.DUMMYFUNCTION("GOOGLEFINANCE(A217,""marketcap"")"),3.4646928175E10)</f>
        <v>34646928175</v>
      </c>
      <c r="D217" s="20" t="s">
        <v>4181</v>
      </c>
    </row>
    <row r="218" ht="18.75" customHeight="1">
      <c r="A218" s="19" t="s">
        <v>878</v>
      </c>
      <c r="B218" s="20">
        <v>50.0</v>
      </c>
      <c r="C218" s="46">
        <f>IFERROR(__xludf.DUMMYFUNCTION("GOOGLEFINANCE(A218,""marketcap"")"),4.1675997323E10)</f>
        <v>41675997323</v>
      </c>
      <c r="D218" s="20" t="s">
        <v>4182</v>
      </c>
    </row>
    <row r="219" ht="18.75" customHeight="1">
      <c r="A219" s="19" t="s">
        <v>941</v>
      </c>
      <c r="B219" s="20">
        <v>50.0</v>
      </c>
      <c r="C219" s="46">
        <f>IFERROR(__xludf.DUMMYFUNCTION("GOOGLEFINANCE(A219,""marketcap"")"),3.59062730346E11)</f>
        <v>359062730346</v>
      </c>
      <c r="D219" s="20" t="s">
        <v>4183</v>
      </c>
    </row>
    <row r="220" ht="18.75" customHeight="1">
      <c r="A220" s="19" t="s">
        <v>868</v>
      </c>
      <c r="B220" s="20">
        <v>50.0</v>
      </c>
      <c r="C220" s="46">
        <f>IFERROR(__xludf.DUMMYFUNCTION("GOOGLEFINANCE(A220,""marketcap"")"),1.9045379745E10)</f>
        <v>19045379745</v>
      </c>
      <c r="D220" s="20" t="s">
        <v>4184</v>
      </c>
    </row>
    <row r="221" ht="18.75" customHeight="1">
      <c r="A221" s="19" t="s">
        <v>1393</v>
      </c>
      <c r="B221" s="20">
        <v>50.0</v>
      </c>
      <c r="C221" s="46">
        <f>IFERROR(__xludf.DUMMYFUNCTION("GOOGLEFINANCE(A221,""marketcap"")"),8.764116918E9)</f>
        <v>8764116918</v>
      </c>
      <c r="D221" s="20" t="s">
        <v>4185</v>
      </c>
    </row>
    <row r="222" ht="18.75" customHeight="1">
      <c r="A222" s="19" t="s">
        <v>472</v>
      </c>
      <c r="B222" s="20">
        <v>50.0</v>
      </c>
      <c r="C222" s="46">
        <f>IFERROR(__xludf.DUMMYFUNCTION("GOOGLEFINANCE(A222,""marketcap"")"),1.7668957812E10)</f>
        <v>17668957812</v>
      </c>
      <c r="D222" s="20" t="s">
        <v>4186</v>
      </c>
    </row>
    <row r="223" ht="18.75" customHeight="1">
      <c r="A223" s="19" t="s">
        <v>1258</v>
      </c>
      <c r="B223" s="20">
        <v>50.0</v>
      </c>
      <c r="C223" s="46">
        <f>IFERROR(__xludf.DUMMYFUNCTION("GOOGLEFINANCE(A223,""marketcap"")"),2.7291952338E10)</f>
        <v>27291952338</v>
      </c>
      <c r="D223" s="20" t="s">
        <v>4187</v>
      </c>
    </row>
    <row r="224" ht="18.75" customHeight="1">
      <c r="A224" s="19" t="s">
        <v>51</v>
      </c>
      <c r="B224" s="20">
        <v>50.0</v>
      </c>
      <c r="C224" s="46">
        <f>IFERROR(__xludf.DUMMYFUNCTION("GOOGLEFINANCE(A224,""marketcap"")"),2.7632879667E10)</f>
        <v>27632879667</v>
      </c>
      <c r="D224" s="20" t="s">
        <v>4188</v>
      </c>
    </row>
    <row r="225" ht="18.75" customHeight="1">
      <c r="A225" s="19" t="s">
        <v>147</v>
      </c>
      <c r="B225" s="20">
        <v>50.0</v>
      </c>
      <c r="C225" s="46">
        <f>IFERROR(__xludf.DUMMYFUNCTION("GOOGLEFINANCE(A225,""marketcap"")"),1.1539140144E10)</f>
        <v>11539140144</v>
      </c>
      <c r="D225" s="20" t="s">
        <v>4189</v>
      </c>
    </row>
    <row r="226" ht="18.75" customHeight="1">
      <c r="A226" s="19" t="s">
        <v>1161</v>
      </c>
      <c r="B226" s="20">
        <v>50.0</v>
      </c>
      <c r="C226" s="46">
        <f>IFERROR(__xludf.DUMMYFUNCTION("GOOGLEFINANCE(A226,""marketcap"")"),4.2847838981E10)</f>
        <v>42847838981</v>
      </c>
      <c r="D226" s="20" t="s">
        <v>4190</v>
      </c>
    </row>
    <row r="227" ht="18.75" customHeight="1">
      <c r="A227" s="19" t="s">
        <v>1367</v>
      </c>
      <c r="B227" s="20">
        <v>50.0</v>
      </c>
      <c r="C227" s="46">
        <f>IFERROR(__xludf.DUMMYFUNCTION("GOOGLEFINANCE(A227,""marketcap"")"),3.6478093416E10)</f>
        <v>36478093416</v>
      </c>
      <c r="D227" s="20" t="s">
        <v>4191</v>
      </c>
    </row>
    <row r="228" ht="18.75" customHeight="1">
      <c r="A228" s="19" t="s">
        <v>1495</v>
      </c>
      <c r="B228" s="20">
        <v>50.0</v>
      </c>
      <c r="C228" s="46">
        <f>IFERROR(__xludf.DUMMYFUNCTION("GOOGLEFINANCE(A228,""marketcap"")"),3.252616E10)</f>
        <v>32526160000</v>
      </c>
      <c r="D228" s="20" t="s">
        <v>4192</v>
      </c>
    </row>
    <row r="229" ht="18.75" customHeight="1">
      <c r="A229" s="19" t="s">
        <v>3236</v>
      </c>
      <c r="B229" s="20">
        <v>50.0</v>
      </c>
      <c r="C229" s="46" t="str">
        <f>IFERROR(__xludf.DUMMYFUNCTION("GOOGLEFINANCE(A229,""marketcap"")"),"#N/A")</f>
        <v>#N/A</v>
      </c>
      <c r="D229" s="20" t="s">
        <v>4193</v>
      </c>
    </row>
    <row r="230" ht="18.75" customHeight="1">
      <c r="A230" s="19" t="s">
        <v>1508</v>
      </c>
      <c r="B230" s="20">
        <v>50.0</v>
      </c>
      <c r="C230" s="46">
        <f>IFERROR(__xludf.DUMMYFUNCTION("GOOGLEFINANCE(A230,""marketcap"")"),5.5507689652E10)</f>
        <v>55507689652</v>
      </c>
      <c r="D230" s="20" t="s">
        <v>4194</v>
      </c>
    </row>
    <row r="231" ht="18.75" customHeight="1">
      <c r="A231" s="19" t="s">
        <v>423</v>
      </c>
      <c r="B231" s="20">
        <v>50.0</v>
      </c>
      <c r="C231" s="46">
        <f>IFERROR(__xludf.DUMMYFUNCTION("GOOGLEFINANCE(A231,""marketcap"")"),3.268481896E10)</f>
        <v>32684818960</v>
      </c>
      <c r="D231" s="20" t="s">
        <v>4195</v>
      </c>
    </row>
    <row r="232" ht="18.75" customHeight="1">
      <c r="A232" s="19" t="s">
        <v>1309</v>
      </c>
      <c r="B232" s="20">
        <v>50.0</v>
      </c>
      <c r="C232" s="46">
        <f>IFERROR(__xludf.DUMMYFUNCTION("GOOGLEFINANCE(A232,""marketcap"")"),5.721047059E9)</f>
        <v>5721047059</v>
      </c>
      <c r="D232" s="20" t="s">
        <v>4196</v>
      </c>
    </row>
    <row r="233" ht="18.75" customHeight="1">
      <c r="A233" s="19" t="s">
        <v>1032</v>
      </c>
      <c r="B233" s="20">
        <v>50.0</v>
      </c>
      <c r="C233" s="46">
        <f>IFERROR(__xludf.DUMMYFUNCTION("GOOGLEFINANCE(A233,""marketcap"")"),4.301189374E10)</f>
        <v>43011893740</v>
      </c>
      <c r="D233" s="20" t="s">
        <v>4197</v>
      </c>
    </row>
    <row r="234" ht="18.75" customHeight="1">
      <c r="A234" s="19" t="s">
        <v>929</v>
      </c>
      <c r="B234" s="20">
        <v>50.0</v>
      </c>
      <c r="C234" s="46">
        <f>IFERROR(__xludf.DUMMYFUNCTION("GOOGLEFINANCE(A234,""marketcap"")"),1.20167436422E11)</f>
        <v>120167436422</v>
      </c>
      <c r="D234" s="20" t="s">
        <v>4198</v>
      </c>
    </row>
    <row r="235" ht="18.75" customHeight="1">
      <c r="A235" s="19" t="s">
        <v>1414</v>
      </c>
      <c r="B235" s="20">
        <v>50.0</v>
      </c>
      <c r="C235" s="46">
        <f>IFERROR(__xludf.DUMMYFUNCTION("GOOGLEFINANCE(A235,""marketcap"")"),6.213371021E9)</f>
        <v>6213371021</v>
      </c>
      <c r="D235" s="20" t="s">
        <v>4199</v>
      </c>
    </row>
    <row r="236" ht="18.75" customHeight="1">
      <c r="A236" s="19" t="s">
        <v>1406</v>
      </c>
      <c r="B236" s="20">
        <v>50.0</v>
      </c>
      <c r="C236" s="46">
        <f>IFERROR(__xludf.DUMMYFUNCTION("GOOGLEFINANCE(A236,""marketcap"")"),5.711100462E9)</f>
        <v>5711100462</v>
      </c>
      <c r="D236" s="20" t="s">
        <v>4200</v>
      </c>
    </row>
    <row r="237" ht="18.75" customHeight="1">
      <c r="A237" s="19" t="s">
        <v>1354</v>
      </c>
      <c r="B237" s="20">
        <v>50.0</v>
      </c>
      <c r="C237" s="46">
        <f>IFERROR(__xludf.DUMMYFUNCTION("GOOGLEFINANCE(A237,""marketcap"")"),2.0202253398E10)</f>
        <v>20202253398</v>
      </c>
      <c r="D237" s="20" t="s">
        <v>4201</v>
      </c>
    </row>
    <row r="238" ht="18.75" customHeight="1">
      <c r="A238" s="19" t="s">
        <v>1019</v>
      </c>
      <c r="B238" s="20">
        <v>50.0</v>
      </c>
      <c r="C238" s="46">
        <f>IFERROR(__xludf.DUMMYFUNCTION("GOOGLEFINANCE(A238,""marketcap"")"),2.4240621887E10)</f>
        <v>24240621887</v>
      </c>
      <c r="D238" s="20" t="s">
        <v>4202</v>
      </c>
    </row>
    <row r="239" ht="18.75" customHeight="1">
      <c r="A239" s="19" t="s">
        <v>1157</v>
      </c>
      <c r="B239" s="20">
        <v>50.0</v>
      </c>
      <c r="C239" s="46">
        <f>IFERROR(__xludf.DUMMYFUNCTION("GOOGLEFINANCE(A239,""marketcap"")"),8.325128684E9)</f>
        <v>8325128684</v>
      </c>
      <c r="D239" s="20" t="s">
        <v>4203</v>
      </c>
    </row>
    <row r="240" ht="18.75" customHeight="1">
      <c r="A240" s="19" t="s">
        <v>41</v>
      </c>
      <c r="B240" s="20">
        <v>50.0</v>
      </c>
      <c r="C240" s="46">
        <f>IFERROR(__xludf.DUMMYFUNCTION("GOOGLEFINANCE(A240,""marketcap"")"),4.13358206277E11)</f>
        <v>413358206277</v>
      </c>
      <c r="D240" s="20" t="s">
        <v>4204</v>
      </c>
    </row>
    <row r="241" ht="18.75" customHeight="1">
      <c r="A241" s="19" t="s">
        <v>1256</v>
      </c>
      <c r="B241" s="20">
        <v>50.0</v>
      </c>
      <c r="C241" s="46">
        <f>IFERROR(__xludf.DUMMYFUNCTION("GOOGLEFINANCE(A241,""marketcap"")"),8.330037E10)</f>
        <v>83300370000</v>
      </c>
      <c r="D241" s="20" t="s">
        <v>4205</v>
      </c>
    </row>
    <row r="242" ht="18.75" customHeight="1">
      <c r="A242" s="19" t="s">
        <v>1464</v>
      </c>
      <c r="B242" s="20">
        <v>50.0</v>
      </c>
      <c r="C242" s="46">
        <f>IFERROR(__xludf.DUMMYFUNCTION("GOOGLEFINANCE(A242,""marketcap"")"),3.9488519866E10)</f>
        <v>39488519866</v>
      </c>
      <c r="D242" s="20" t="s">
        <v>4206</v>
      </c>
    </row>
    <row r="243" ht="18.75" customHeight="1">
      <c r="A243" s="19" t="s">
        <v>510</v>
      </c>
      <c r="B243" s="20">
        <v>50.0</v>
      </c>
      <c r="C243" s="46">
        <f>IFERROR(__xludf.DUMMYFUNCTION("GOOGLEFINANCE(A243,""marketcap"")"),1.34336733576E11)</f>
        <v>134336733576</v>
      </c>
      <c r="D243" s="20" t="s">
        <v>4207</v>
      </c>
    </row>
    <row r="244" ht="18.75" customHeight="1">
      <c r="A244" s="19" t="s">
        <v>947</v>
      </c>
      <c r="B244" s="20">
        <v>50.0</v>
      </c>
      <c r="C244" s="46">
        <f>IFERROR(__xludf.DUMMYFUNCTION("GOOGLEFINANCE(A244,""marketcap"")"),5.93050795E8)</f>
        <v>593050795</v>
      </c>
      <c r="D244" s="20" t="s">
        <v>4208</v>
      </c>
    </row>
    <row r="245" ht="18.75" customHeight="1">
      <c r="A245" s="19" t="s">
        <v>1329</v>
      </c>
      <c r="B245" s="20">
        <v>50.0</v>
      </c>
      <c r="C245" s="46">
        <f>IFERROR(__xludf.DUMMYFUNCTION("GOOGLEFINANCE(A245,""marketcap"")"),1.3381813198E10)</f>
        <v>13381813198</v>
      </c>
      <c r="D245" s="20" t="s">
        <v>4209</v>
      </c>
    </row>
    <row r="246" ht="18.75" customHeight="1">
      <c r="A246" s="19" t="s">
        <v>1522</v>
      </c>
      <c r="B246" s="20">
        <v>50.0</v>
      </c>
      <c r="C246" s="46">
        <f>IFERROR(__xludf.DUMMYFUNCTION("GOOGLEFINANCE(A246,""marketcap"")"),5.4261364763E10)</f>
        <v>54261364763</v>
      </c>
      <c r="D246" s="20" t="s">
        <v>4210</v>
      </c>
    </row>
    <row r="247" ht="18.75" customHeight="1">
      <c r="A247" s="19" t="s">
        <v>1520</v>
      </c>
      <c r="B247" s="20">
        <v>50.0</v>
      </c>
      <c r="C247" s="46">
        <f>IFERROR(__xludf.DUMMYFUNCTION("GOOGLEFINANCE(A247,""marketcap"")"),2.2748746034E10)</f>
        <v>22748746034</v>
      </c>
      <c r="D247" s="20" t="s">
        <v>4211</v>
      </c>
    </row>
    <row r="248" ht="18.75" customHeight="1">
      <c r="A248" s="19" t="s">
        <v>819</v>
      </c>
      <c r="B248" s="20">
        <v>50.0</v>
      </c>
      <c r="C248" s="46">
        <f>IFERROR(__xludf.DUMMYFUNCTION("GOOGLEFINANCE(A248,""marketcap"")"),3.2694685773E10)</f>
        <v>32694685773</v>
      </c>
      <c r="D248" s="20" t="s">
        <v>4212</v>
      </c>
    </row>
    <row r="249" ht="18.75" customHeight="1">
      <c r="A249" s="19" t="s">
        <v>939</v>
      </c>
      <c r="B249" s="20">
        <v>50.0</v>
      </c>
      <c r="C249" s="46">
        <f>IFERROR(__xludf.DUMMYFUNCTION("GOOGLEFINANCE(A249,""marketcap"")"),1.1706858E10)</f>
        <v>11706858000</v>
      </c>
      <c r="D249" s="20" t="s">
        <v>4213</v>
      </c>
    </row>
    <row r="250" ht="18.75" customHeight="1">
      <c r="A250" s="19" t="s">
        <v>1511</v>
      </c>
      <c r="B250" s="20">
        <v>50.0</v>
      </c>
      <c r="C250" s="46">
        <f>IFERROR(__xludf.DUMMYFUNCTION("GOOGLEFINANCE(A250,""marketcap"")"),1.1000354153E11)</f>
        <v>110003541530</v>
      </c>
      <c r="D250" s="20" t="s">
        <v>4214</v>
      </c>
    </row>
    <row r="251" ht="18.75" customHeight="1">
      <c r="A251" s="19" t="s">
        <v>468</v>
      </c>
      <c r="B251" s="20">
        <v>50.0</v>
      </c>
      <c r="C251" s="46">
        <f>IFERROR(__xludf.DUMMYFUNCTION("GOOGLEFINANCE(A251,""marketcap"")"),1.38727027256E11)</f>
        <v>138727027256</v>
      </c>
      <c r="D251" s="20" t="s">
        <v>4215</v>
      </c>
    </row>
    <row r="252" ht="18.75" customHeight="1">
      <c r="A252" s="19" t="s">
        <v>55</v>
      </c>
      <c r="B252" s="20">
        <v>50.0</v>
      </c>
      <c r="C252" s="46">
        <f>IFERROR(__xludf.DUMMYFUNCTION("GOOGLEFINANCE(A252,""marketcap"")"),1.23975608045E11)</f>
        <v>123975608045</v>
      </c>
      <c r="D252" s="20" t="s">
        <v>4216</v>
      </c>
    </row>
    <row r="253" ht="18.75" customHeight="1">
      <c r="A253" s="19" t="s">
        <v>1515</v>
      </c>
      <c r="B253" s="20">
        <v>50.0</v>
      </c>
      <c r="C253" s="46">
        <f>IFERROR(__xludf.DUMMYFUNCTION("GOOGLEFINANCE(A253,""marketcap"")"),7.0056575656E10)</f>
        <v>70056575656</v>
      </c>
      <c r="D253" s="20" t="s">
        <v>4217</v>
      </c>
    </row>
    <row r="254" ht="18.75" customHeight="1">
      <c r="A254" s="19" t="s">
        <v>404</v>
      </c>
      <c r="B254" s="20">
        <v>50.0</v>
      </c>
      <c r="C254" s="46">
        <f>IFERROR(__xludf.DUMMYFUNCTION("GOOGLEFINANCE(A254,""marketcap"")"),3.37400630561E11)</f>
        <v>337400630561</v>
      </c>
      <c r="D254" s="20" t="s">
        <v>4218</v>
      </c>
    </row>
    <row r="255" ht="18.75" customHeight="1">
      <c r="A255" s="19" t="s">
        <v>20</v>
      </c>
      <c r="B255" s="20">
        <v>50.0</v>
      </c>
      <c r="C255" s="46">
        <f>IFERROR(__xludf.DUMMYFUNCTION("GOOGLEFINANCE(A255,""marketcap"")"),1.0191268125E11)</f>
        <v>101912681250</v>
      </c>
      <c r="D255" s="20" t="s">
        <v>4219</v>
      </c>
    </row>
    <row r="256" ht="18.75" customHeight="1">
      <c r="A256" s="19" t="s">
        <v>1517</v>
      </c>
      <c r="B256" s="20">
        <v>50.0</v>
      </c>
      <c r="C256" s="46">
        <f>IFERROR(__xludf.DUMMYFUNCTION("GOOGLEFINANCE(A256,""marketcap"")"),1.114410745E10)</f>
        <v>11144107450</v>
      </c>
      <c r="D256" s="20" t="s">
        <v>4220</v>
      </c>
    </row>
    <row r="257" ht="18.75" customHeight="1">
      <c r="A257" s="19" t="s">
        <v>1513</v>
      </c>
      <c r="B257" s="20">
        <v>50.0</v>
      </c>
      <c r="C257" s="46">
        <f>IFERROR(__xludf.DUMMYFUNCTION("GOOGLEFINANCE(A257,""marketcap"")"),2.6950263293E10)</f>
        <v>26950263293</v>
      </c>
      <c r="D257" s="20" t="s">
        <v>4221</v>
      </c>
    </row>
    <row r="258" ht="18.75" customHeight="1">
      <c r="A258" s="19" t="s">
        <v>873</v>
      </c>
      <c r="B258" s="20">
        <v>50.0</v>
      </c>
      <c r="C258" s="46">
        <f>IFERROR(__xludf.DUMMYFUNCTION("GOOGLEFINANCE(A258,""marketcap"")"),2.14137959655E11)</f>
        <v>214137959655</v>
      </c>
      <c r="D258" s="20" t="s">
        <v>4222</v>
      </c>
    </row>
    <row r="259" ht="18.75" customHeight="1">
      <c r="A259" s="19" t="s">
        <v>1133</v>
      </c>
      <c r="B259" s="20">
        <v>50.0</v>
      </c>
      <c r="C259" s="46">
        <f>IFERROR(__xludf.DUMMYFUNCTION("GOOGLEFINANCE(A259,""marketcap"")"),3.81441165804E11)</f>
        <v>381441165804</v>
      </c>
      <c r="D259" s="20" t="s">
        <v>4223</v>
      </c>
    </row>
    <row r="260" ht="18.75" customHeight="1">
      <c r="A260" s="19" t="s">
        <v>275</v>
      </c>
      <c r="B260" s="20">
        <v>50.0</v>
      </c>
      <c r="C260" s="46">
        <f>IFERROR(__xludf.DUMMYFUNCTION("GOOGLEFINANCE(A260,""marketcap"")"),6.6802526878E10)</f>
        <v>66802526878</v>
      </c>
      <c r="D260" s="20" t="s">
        <v>4224</v>
      </c>
    </row>
    <row r="261" ht="18.75" customHeight="1">
      <c r="A261" s="19" t="s">
        <v>1212</v>
      </c>
      <c r="B261" s="20">
        <v>50.0</v>
      </c>
      <c r="C261" s="46">
        <f>IFERROR(__xludf.DUMMYFUNCTION("GOOGLEFINANCE(A261,""marketcap"")"),2.498190205E10)</f>
        <v>24981902050</v>
      </c>
      <c r="D261" s="20" t="s">
        <v>4225</v>
      </c>
    </row>
    <row r="262" ht="18.75" customHeight="1">
      <c r="A262" s="19" t="s">
        <v>785</v>
      </c>
      <c r="B262" s="20">
        <v>50.0</v>
      </c>
      <c r="C262" s="46">
        <f>IFERROR(__xludf.DUMMYFUNCTION("GOOGLEFINANCE(A262,""marketcap"")"),7.6201173692E10)</f>
        <v>76201173692</v>
      </c>
      <c r="D262" s="20" t="s">
        <v>4226</v>
      </c>
    </row>
    <row r="263" ht="18.75" customHeight="1">
      <c r="A263" s="19" t="s">
        <v>1169</v>
      </c>
      <c r="B263" s="20">
        <v>50.0</v>
      </c>
      <c r="C263" s="46">
        <f>IFERROR(__xludf.DUMMYFUNCTION("GOOGLEFINANCE(A263,""marketcap"")"),2.2140010562E10)</f>
        <v>22140010562</v>
      </c>
      <c r="D263" s="20" t="s">
        <v>4227</v>
      </c>
    </row>
    <row r="264" ht="18.75" customHeight="1">
      <c r="A264" s="19" t="s">
        <v>82</v>
      </c>
      <c r="B264" s="20">
        <v>50.0</v>
      </c>
      <c r="C264" s="46">
        <f>IFERROR(__xludf.DUMMYFUNCTION("GOOGLEFINANCE(A264,""marketcap"")"),9.0716731695E10)</f>
        <v>90716731695</v>
      </c>
      <c r="D264" s="20" t="s">
        <v>4228</v>
      </c>
    </row>
    <row r="265" ht="18.75" customHeight="1">
      <c r="A265" s="19" t="s">
        <v>89</v>
      </c>
      <c r="B265" s="20">
        <v>50.0</v>
      </c>
      <c r="C265" s="46">
        <f>IFERROR(__xludf.DUMMYFUNCTION("GOOGLEFINANCE(A265,""marketcap"")"),1.582562916E10)</f>
        <v>15825629160</v>
      </c>
      <c r="D265" s="20" t="s">
        <v>4229</v>
      </c>
    </row>
    <row r="266" ht="18.75" customHeight="1">
      <c r="A266" s="19" t="s">
        <v>1325</v>
      </c>
      <c r="B266" s="20">
        <v>50.0</v>
      </c>
      <c r="C266" s="46">
        <f>IFERROR(__xludf.DUMMYFUNCTION("GOOGLEFINANCE(A266,""marketcap"")"),2.619247E11)</f>
        <v>261924700000</v>
      </c>
      <c r="D266" s="20" t="s">
        <v>4230</v>
      </c>
    </row>
    <row r="267" ht="18.75" customHeight="1">
      <c r="A267" s="19" t="s">
        <v>1624</v>
      </c>
      <c r="B267" s="20">
        <v>50.0</v>
      </c>
      <c r="C267" s="46">
        <f>IFERROR(__xludf.DUMMYFUNCTION("GOOGLEFINANCE(A267,""marketcap"")"),5.6319149597E10)</f>
        <v>56319149597</v>
      </c>
      <c r="D267" s="20" t="s">
        <v>4231</v>
      </c>
    </row>
    <row r="268" ht="18.75" customHeight="1">
      <c r="A268" s="19" t="s">
        <v>1445</v>
      </c>
      <c r="B268" s="20">
        <v>50.0</v>
      </c>
      <c r="C268" s="46">
        <f>IFERROR(__xludf.DUMMYFUNCTION("GOOGLEFINANCE(A268,""marketcap"")"),5.889951354E9)</f>
        <v>5889951354</v>
      </c>
      <c r="D268" s="20" t="s">
        <v>4232</v>
      </c>
    </row>
    <row r="269" ht="18.75" customHeight="1">
      <c r="A269" s="19" t="s">
        <v>1350</v>
      </c>
      <c r="B269" s="20">
        <v>50.0</v>
      </c>
      <c r="C269" s="46">
        <f>IFERROR(__xludf.DUMMYFUNCTION("GOOGLEFINANCE(A269,""marketcap"")"),6.0188892449E10)</f>
        <v>60188892449</v>
      </c>
      <c r="D269" s="20" t="s">
        <v>4233</v>
      </c>
    </row>
    <row r="270" ht="18.75" customHeight="1">
      <c r="A270" s="19" t="s">
        <v>1149</v>
      </c>
      <c r="B270" s="20">
        <v>50.0</v>
      </c>
      <c r="C270" s="46">
        <f>IFERROR(__xludf.DUMMYFUNCTION("GOOGLEFINANCE(A270,""marketcap"")"),5.688556905E10)</f>
        <v>56885569050</v>
      </c>
      <c r="D270" s="20" t="s">
        <v>4234</v>
      </c>
    </row>
    <row r="271" ht="18.75" customHeight="1">
      <c r="A271" s="19" t="s">
        <v>829</v>
      </c>
      <c r="B271" s="20">
        <v>50.0</v>
      </c>
      <c r="C271" s="46">
        <f>IFERROR(__xludf.DUMMYFUNCTION("GOOGLEFINANCE(A271,""marketcap"")"),5.3296646379E10)</f>
        <v>53296646379</v>
      </c>
      <c r="D271" s="20" t="s">
        <v>4235</v>
      </c>
    </row>
    <row r="272" ht="18.75" customHeight="1">
      <c r="A272" s="19" t="s">
        <v>1151</v>
      </c>
      <c r="B272" s="20">
        <v>50.0</v>
      </c>
      <c r="C272" s="46">
        <f>IFERROR(__xludf.DUMMYFUNCTION("GOOGLEFINANCE(A272,""marketcap"")"),2.702492055E10)</f>
        <v>27024920550</v>
      </c>
      <c r="D272" s="20" t="s">
        <v>4236</v>
      </c>
    </row>
    <row r="273" ht="18.75" customHeight="1">
      <c r="A273" s="19" t="s">
        <v>1025</v>
      </c>
      <c r="B273" s="20">
        <v>50.0</v>
      </c>
      <c r="C273" s="46">
        <f>IFERROR(__xludf.DUMMYFUNCTION("GOOGLEFINANCE(A273,""marketcap"")"),2.25687E10)</f>
        <v>22568700000</v>
      </c>
      <c r="D273" s="20" t="s">
        <v>4237</v>
      </c>
    </row>
    <row r="274" ht="18.75" customHeight="1">
      <c r="A274" s="19" t="s">
        <v>39</v>
      </c>
      <c r="B274" s="20">
        <v>50.0</v>
      </c>
      <c r="C274" s="46">
        <f>IFERROR(__xludf.DUMMYFUNCTION("GOOGLEFINANCE(A274,""marketcap"")"),2.09547165804E11)</f>
        <v>209547165804</v>
      </c>
      <c r="D274" s="20" t="s">
        <v>4238</v>
      </c>
    </row>
    <row r="275" ht="18.75" customHeight="1">
      <c r="A275" s="19" t="s">
        <v>857</v>
      </c>
      <c r="B275" s="20">
        <v>50.0</v>
      </c>
      <c r="C275" s="46">
        <f>IFERROR(__xludf.DUMMYFUNCTION("GOOGLEFINANCE(A275,""marketcap"")"),9.8937938018E10)</f>
        <v>98937938018</v>
      </c>
      <c r="D275" s="20" t="s">
        <v>4239</v>
      </c>
    </row>
    <row r="276" ht="18.75" customHeight="1">
      <c r="A276" s="19" t="s">
        <v>876</v>
      </c>
      <c r="B276" s="20">
        <v>50.0</v>
      </c>
      <c r="C276" s="46">
        <f>IFERROR(__xludf.DUMMYFUNCTION("GOOGLEFINANCE(A276,""marketcap"")"),1.9133603568E10)</f>
        <v>19133603568</v>
      </c>
      <c r="D276" s="20" t="s">
        <v>4240</v>
      </c>
    </row>
    <row r="277" ht="18.75" customHeight="1">
      <c r="A277" s="19" t="s">
        <v>881</v>
      </c>
      <c r="B277" s="20">
        <v>50.0</v>
      </c>
      <c r="C277" s="46">
        <f>IFERROR(__xludf.DUMMYFUNCTION("GOOGLEFINANCE(A277,""marketcap"")"),2.0345660525E10)</f>
        <v>20345660525</v>
      </c>
      <c r="D277" s="20" t="s">
        <v>4241</v>
      </c>
    </row>
    <row r="278" ht="18.75" customHeight="1">
      <c r="A278" s="19" t="s">
        <v>1357</v>
      </c>
      <c r="B278" s="20">
        <v>50.0</v>
      </c>
      <c r="C278" s="46">
        <f>IFERROR(__xludf.DUMMYFUNCTION("GOOGLEFINANCE(A278,""marketcap"")"),3.390443E10)</f>
        <v>33904430000</v>
      </c>
      <c r="D278" s="20" t="s">
        <v>4242</v>
      </c>
    </row>
    <row r="279" ht="18.75" customHeight="1">
      <c r="A279" s="19" t="s">
        <v>870</v>
      </c>
      <c r="B279" s="20">
        <v>50.0</v>
      </c>
      <c r="C279" s="46">
        <f>IFERROR(__xludf.DUMMYFUNCTION("GOOGLEFINANCE(A279,""marketcap"")"),4.137390035E10)</f>
        <v>41373900350</v>
      </c>
      <c r="D279" s="20" t="s">
        <v>4243</v>
      </c>
    </row>
    <row r="280" ht="18.75" customHeight="1">
      <c r="A280" s="19" t="s">
        <v>1371</v>
      </c>
      <c r="B280" s="20">
        <v>50.0</v>
      </c>
      <c r="C280" s="46">
        <f>IFERROR(__xludf.DUMMYFUNCTION("GOOGLEFINANCE(A280,""marketcap"")"),1.195887E11)</f>
        <v>119588700000</v>
      </c>
      <c r="D280" s="20" t="s">
        <v>4244</v>
      </c>
    </row>
    <row r="281" ht="18.75" customHeight="1">
      <c r="A281" s="19" t="s">
        <v>1447</v>
      </c>
      <c r="B281" s="20">
        <v>50.0</v>
      </c>
      <c r="C281" s="46">
        <f>IFERROR(__xludf.DUMMYFUNCTION("GOOGLEFINANCE(A281,""marketcap"")"),1.2602785444E10)</f>
        <v>12602785444</v>
      </c>
      <c r="D281" s="20" t="s">
        <v>4245</v>
      </c>
    </row>
    <row r="282" ht="18.75" customHeight="1">
      <c r="A282" s="19" t="s">
        <v>1456</v>
      </c>
      <c r="B282" s="20">
        <v>50.0</v>
      </c>
      <c r="C282" s="46">
        <f>IFERROR(__xludf.DUMMYFUNCTION("GOOGLEFINANCE(A282,""marketcap"")"),2.0191238087E10)</f>
        <v>20191238087</v>
      </c>
      <c r="D282" s="20" t="s">
        <v>4246</v>
      </c>
    </row>
    <row r="283" ht="18.75" customHeight="1">
      <c r="A283" s="19" t="s">
        <v>276</v>
      </c>
      <c r="B283" s="20">
        <v>50.0</v>
      </c>
      <c r="C283" s="46">
        <f>IFERROR(__xludf.DUMMYFUNCTION("GOOGLEFINANCE(A283,""marketcap"")"),3.4831440445E10)</f>
        <v>34831440445</v>
      </c>
      <c r="D283" s="20" t="s">
        <v>4247</v>
      </c>
    </row>
    <row r="284" ht="18.75" customHeight="1">
      <c r="A284" s="19" t="s">
        <v>12</v>
      </c>
      <c r="B284" s="20">
        <v>50.0</v>
      </c>
      <c r="C284" s="46">
        <f>IFERROR(__xludf.DUMMYFUNCTION("GOOGLEFINANCE(A284,""marketcap"")"),3.45076681091E11)</f>
        <v>345076681091</v>
      </c>
      <c r="D284" s="20" t="s">
        <v>4248</v>
      </c>
    </row>
    <row r="285" ht="18.75" customHeight="1">
      <c r="A285" s="19" t="s">
        <v>1470</v>
      </c>
      <c r="B285" s="20">
        <v>50.0</v>
      </c>
      <c r="C285" s="46">
        <f>IFERROR(__xludf.DUMMYFUNCTION("GOOGLEFINANCE(A285,""marketcap"")"),1.9993057148E10)</f>
        <v>19993057148</v>
      </c>
      <c r="D285" s="20" t="s">
        <v>4249</v>
      </c>
    </row>
    <row r="286" ht="18.75" customHeight="1">
      <c r="A286" s="19" t="s">
        <v>1229</v>
      </c>
      <c r="B286" s="20">
        <v>50.0</v>
      </c>
      <c r="C286" s="46">
        <f>IFERROR(__xludf.DUMMYFUNCTION("GOOGLEFINANCE(A286,""marketcap"")"),1.5580745301E10)</f>
        <v>15580745301</v>
      </c>
      <c r="D286" s="20" t="s">
        <v>4250</v>
      </c>
    </row>
    <row r="287" ht="18.75" customHeight="1">
      <c r="A287" s="19" t="s">
        <v>486</v>
      </c>
      <c r="B287" s="20">
        <v>50.0</v>
      </c>
      <c r="C287" s="46">
        <f>IFERROR(__xludf.DUMMYFUNCTION("GOOGLEFINANCE(A287,""marketcap"")"),2.4602116222E10)</f>
        <v>24602116222</v>
      </c>
      <c r="D287" s="20" t="s">
        <v>4251</v>
      </c>
    </row>
    <row r="288" ht="18.75" customHeight="1">
      <c r="A288" s="19" t="s">
        <v>1617</v>
      </c>
      <c r="B288" s="20">
        <v>50.0</v>
      </c>
      <c r="C288" s="46">
        <f>IFERROR(__xludf.DUMMYFUNCTION("GOOGLEFINANCE(A288,""marketcap"")"),2.123905E10)</f>
        <v>21239050000</v>
      </c>
      <c r="D288" s="20" t="s">
        <v>4252</v>
      </c>
    </row>
    <row r="289" ht="18.75" customHeight="1">
      <c r="A289" s="19" t="s">
        <v>1505</v>
      </c>
      <c r="B289" s="20">
        <v>50.0</v>
      </c>
      <c r="C289" s="46">
        <f>IFERROR(__xludf.DUMMYFUNCTION("GOOGLEFINANCE(A289,""marketcap"")"),1.729091585E10)</f>
        <v>17290915850</v>
      </c>
      <c r="D289" s="20" t="s">
        <v>4253</v>
      </c>
    </row>
    <row r="290" ht="18.75" customHeight="1">
      <c r="A290" s="19" t="s">
        <v>185</v>
      </c>
      <c r="B290" s="20">
        <v>50.0</v>
      </c>
      <c r="C290" s="46">
        <f>IFERROR(__xludf.DUMMYFUNCTION("GOOGLEFINANCE(A290,""marketcap"")"),2.03590724E12)</f>
        <v>2035907240000</v>
      </c>
      <c r="D290" s="20" t="s">
        <v>4254</v>
      </c>
    </row>
    <row r="291" ht="18.75" customHeight="1">
      <c r="A291" s="19" t="s">
        <v>296</v>
      </c>
      <c r="B291" s="20">
        <v>50.0</v>
      </c>
      <c r="C291" s="46">
        <f>IFERROR(__xludf.DUMMYFUNCTION("GOOGLEFINANCE(A291,""marketcap"")"),1.14682707048E11)</f>
        <v>114682707048</v>
      </c>
      <c r="D291" s="20" t="s">
        <v>4255</v>
      </c>
    </row>
    <row r="292" ht="18.75" customHeight="1">
      <c r="A292" s="19" t="s">
        <v>1181</v>
      </c>
      <c r="B292" s="20">
        <v>50.0</v>
      </c>
      <c r="C292" s="46">
        <f>IFERROR(__xludf.DUMMYFUNCTION("GOOGLEFINANCE(A292,""marketcap"")"),1.2577645605E10)</f>
        <v>12577645605</v>
      </c>
      <c r="D292" s="20" t="s">
        <v>4256</v>
      </c>
    </row>
    <row r="293" ht="18.75" customHeight="1">
      <c r="A293" s="19" t="s">
        <v>264</v>
      </c>
      <c r="B293" s="20">
        <v>50.0</v>
      </c>
      <c r="C293" s="46">
        <f>IFERROR(__xludf.DUMMYFUNCTION("GOOGLEFINANCE(A293,""marketcap"")"),1.28575583829E11)</f>
        <v>128575583829</v>
      </c>
      <c r="D293" s="20" t="s">
        <v>4257</v>
      </c>
    </row>
    <row r="294" ht="18.75" customHeight="1">
      <c r="A294" s="19" t="s">
        <v>1429</v>
      </c>
      <c r="B294" s="20">
        <v>50.0</v>
      </c>
      <c r="C294" s="46">
        <f>IFERROR(__xludf.DUMMYFUNCTION("GOOGLEFINANCE(A294,""marketcap"")"),1.87111434409E11)</f>
        <v>187111434409</v>
      </c>
      <c r="D294" s="20" t="s">
        <v>4258</v>
      </c>
    </row>
    <row r="295" ht="18.75" customHeight="1">
      <c r="A295" s="19" t="s">
        <v>274</v>
      </c>
      <c r="B295" s="20">
        <v>50.0</v>
      </c>
      <c r="C295" s="46">
        <f>IFERROR(__xludf.DUMMYFUNCTION("GOOGLEFINANCE(A295,""marketcap"")"),1.48167662151E11)</f>
        <v>148167662151</v>
      </c>
      <c r="D295" s="20" t="s">
        <v>4259</v>
      </c>
    </row>
    <row r="296" ht="18.75" customHeight="1">
      <c r="A296" s="19" t="s">
        <v>265</v>
      </c>
      <c r="B296" s="20">
        <v>50.0</v>
      </c>
      <c r="C296" s="46">
        <f>IFERROR(__xludf.DUMMYFUNCTION("GOOGLEFINANCE(A296,""marketcap"")"),5.03495983E8)</f>
        <v>503495983</v>
      </c>
      <c r="D296" s="20" t="s">
        <v>4260</v>
      </c>
    </row>
    <row r="297" ht="18.75" customHeight="1">
      <c r="A297" s="19" t="s">
        <v>890</v>
      </c>
      <c r="B297" s="20">
        <v>50.0</v>
      </c>
      <c r="C297" s="46">
        <f>IFERROR(__xludf.DUMMYFUNCTION("GOOGLEFINANCE(A297,""marketcap"")"),2.8560396544E10)</f>
        <v>28560396544</v>
      </c>
      <c r="D297" s="20" t="s">
        <v>4261</v>
      </c>
    </row>
    <row r="298" ht="18.75" customHeight="1">
      <c r="A298" s="19" t="s">
        <v>896</v>
      </c>
      <c r="B298" s="20">
        <v>50.0</v>
      </c>
      <c r="C298" s="46">
        <f>IFERROR(__xludf.DUMMYFUNCTION("GOOGLEFINANCE(A298,""marketcap"")"),7.571665E9)</f>
        <v>7571665000</v>
      </c>
      <c r="D298" s="20" t="s">
        <v>4262</v>
      </c>
    </row>
    <row r="299" ht="18.75" customHeight="1">
      <c r="A299" s="19" t="s">
        <v>1427</v>
      </c>
      <c r="B299" s="20">
        <v>50.0</v>
      </c>
      <c r="C299" s="46">
        <f>IFERROR(__xludf.DUMMYFUNCTION("GOOGLEFINANCE(A299,""marketcap"")"),1.2515295201E10)</f>
        <v>12515295201</v>
      </c>
      <c r="D299" s="20" t="s">
        <v>4263</v>
      </c>
    </row>
    <row r="300" ht="18.75" customHeight="1">
      <c r="A300" s="19" t="s">
        <v>825</v>
      </c>
      <c r="B300" s="20">
        <v>50.0</v>
      </c>
      <c r="C300" s="46">
        <f>IFERROR(__xludf.DUMMYFUNCTION("GOOGLEFINANCE(A300,""marketcap"")"),6.7963771928E10)</f>
        <v>67963771928</v>
      </c>
      <c r="D300" s="20" t="s">
        <v>4264</v>
      </c>
    </row>
    <row r="301" ht="18.75" customHeight="1">
      <c r="A301" s="19" t="s">
        <v>1498</v>
      </c>
      <c r="B301" s="20">
        <v>50.0</v>
      </c>
      <c r="C301" s="46">
        <f>IFERROR(__xludf.DUMMYFUNCTION("GOOGLEFINANCE(A301,""marketcap"")"),4.2548965088E10)</f>
        <v>42548965088</v>
      </c>
      <c r="D301" s="20" t="s">
        <v>4265</v>
      </c>
    </row>
    <row r="302" ht="18.75" customHeight="1">
      <c r="A302" s="19" t="s">
        <v>1389</v>
      </c>
      <c r="B302" s="20">
        <v>50.0</v>
      </c>
      <c r="C302" s="46">
        <f>IFERROR(__xludf.DUMMYFUNCTION("GOOGLEFINANCE(A302,""marketcap"")"),9.291277191E9)</f>
        <v>9291277191</v>
      </c>
      <c r="D302" s="20" t="s">
        <v>4266</v>
      </c>
    </row>
    <row r="303" ht="18.75" customHeight="1">
      <c r="A303" s="19" t="s">
        <v>1327</v>
      </c>
      <c r="B303" s="20">
        <v>50.0</v>
      </c>
      <c r="C303" s="46">
        <f>IFERROR(__xludf.DUMMYFUNCTION("GOOGLEFINANCE(A303,""marketcap"")"),8.5663623798E10)</f>
        <v>85663623798</v>
      </c>
      <c r="D303" s="20" t="s">
        <v>4267</v>
      </c>
    </row>
    <row r="304" ht="18.75" customHeight="1">
      <c r="A304" s="19" t="s">
        <v>124</v>
      </c>
      <c r="B304" s="20">
        <v>50.0</v>
      </c>
      <c r="C304" s="46">
        <f>IFERROR(__xludf.DUMMYFUNCTION("GOOGLEFINANCE(A304,""marketcap"")"),3.232065132E10)</f>
        <v>32320651320</v>
      </c>
      <c r="D304" s="20" t="s">
        <v>4268</v>
      </c>
    </row>
    <row r="305" ht="18.75" customHeight="1">
      <c r="A305" s="19" t="s">
        <v>1006</v>
      </c>
      <c r="B305" s="20">
        <v>50.0</v>
      </c>
      <c r="C305" s="46">
        <f>IFERROR(__xludf.DUMMYFUNCTION("GOOGLEFINANCE(A305,""marketcap"")"),1.57126194756E11)</f>
        <v>157126194756</v>
      </c>
      <c r="D305" s="20" t="s">
        <v>4269</v>
      </c>
    </row>
    <row r="306" ht="18.75" customHeight="1">
      <c r="A306" s="19" t="s">
        <v>1630</v>
      </c>
      <c r="B306" s="20">
        <v>50.0</v>
      </c>
      <c r="C306" s="46">
        <f>IFERROR(__xludf.DUMMYFUNCTION("GOOGLEFINANCE(A306,""marketcap"")"),2.2720244608E10)</f>
        <v>22720244608</v>
      </c>
      <c r="D306" s="20" t="s">
        <v>4270</v>
      </c>
    </row>
    <row r="307" ht="18.75" customHeight="1">
      <c r="A307" s="19" t="s">
        <v>1628</v>
      </c>
      <c r="B307" s="20">
        <v>50.0</v>
      </c>
      <c r="C307" s="46">
        <f>IFERROR(__xludf.DUMMYFUNCTION("GOOGLEFINANCE(A307,""marketcap"")"),1.53585862887E11)</f>
        <v>153585862887</v>
      </c>
      <c r="D307" s="20" t="s">
        <v>4271</v>
      </c>
    </row>
    <row r="308" ht="18.75" customHeight="1">
      <c r="A308" s="19" t="s">
        <v>958</v>
      </c>
      <c r="B308" s="20">
        <v>50.0</v>
      </c>
      <c r="C308" s="46">
        <f>IFERROR(__xludf.DUMMYFUNCTION("GOOGLEFINANCE(A308,""marketcap"")"),8.6199161575E10)</f>
        <v>86199161575</v>
      </c>
      <c r="D308" s="20" t="s">
        <v>4272</v>
      </c>
    </row>
    <row r="309" ht="18.75" customHeight="1">
      <c r="A309" s="19" t="s">
        <v>841</v>
      </c>
      <c r="B309" s="20">
        <v>50.0</v>
      </c>
      <c r="C309" s="46">
        <f>IFERROR(__xludf.DUMMYFUNCTION("GOOGLEFINANCE(A309,""marketcap"")"),1.3686710354E10)</f>
        <v>13686710354</v>
      </c>
      <c r="D309" s="20" t="s">
        <v>4273</v>
      </c>
    </row>
    <row r="310" ht="18.75" customHeight="1">
      <c r="A310" s="19" t="s">
        <v>1252</v>
      </c>
      <c r="B310" s="20">
        <v>50.0</v>
      </c>
      <c r="C310" s="46">
        <f>IFERROR(__xludf.DUMMYFUNCTION("GOOGLEFINANCE(A310,""marketcap"")"),6.118511845E10)</f>
        <v>61185118450</v>
      </c>
      <c r="D310" s="20" t="s">
        <v>4274</v>
      </c>
    </row>
    <row r="311" ht="18.75" customHeight="1">
      <c r="A311" s="19" t="s">
        <v>766</v>
      </c>
      <c r="B311" s="20">
        <v>50.0</v>
      </c>
      <c r="C311" s="46">
        <f>IFERROR(__xludf.DUMMYFUNCTION("GOOGLEFINANCE(A311,""marketcap"")"),6.3376598401E10)</f>
        <v>63376598401</v>
      </c>
      <c r="D311" s="20" t="s">
        <v>4275</v>
      </c>
    </row>
    <row r="312" ht="18.75" customHeight="1">
      <c r="A312" s="19" t="s">
        <v>180</v>
      </c>
      <c r="B312" s="20">
        <v>50.0</v>
      </c>
      <c r="C312" s="46">
        <f>IFERROR(__xludf.DUMMYFUNCTION("GOOGLEFINANCE(A312,""marketcap"")"),1.028142997165E12)</f>
        <v>1028142997165</v>
      </c>
      <c r="D312" s="20" t="s">
        <v>4276</v>
      </c>
    </row>
    <row r="313" ht="18.75" customHeight="1">
      <c r="A313" s="19" t="s">
        <v>1281</v>
      </c>
      <c r="B313" s="20">
        <v>50.0</v>
      </c>
      <c r="C313" s="46">
        <f>IFERROR(__xludf.DUMMYFUNCTION("GOOGLEFINANCE(A313,""marketcap"")"),8.067580659E9)</f>
        <v>8067580659</v>
      </c>
      <c r="D313" s="20" t="s">
        <v>4277</v>
      </c>
    </row>
    <row r="314" ht="18.75" customHeight="1">
      <c r="A314" s="19" t="s">
        <v>1435</v>
      </c>
      <c r="B314" s="20">
        <v>50.0</v>
      </c>
      <c r="C314" s="46">
        <f>IFERROR(__xludf.DUMMYFUNCTION("GOOGLEFINANCE(A314,""marketcap"")"),1.3540200523E10)</f>
        <v>13540200523</v>
      </c>
      <c r="D314" s="20" t="s">
        <v>4278</v>
      </c>
    </row>
    <row r="315" ht="18.75" customHeight="1">
      <c r="A315" s="19" t="s">
        <v>851</v>
      </c>
      <c r="B315" s="20">
        <v>50.0</v>
      </c>
      <c r="C315" s="46">
        <f>IFERROR(__xludf.DUMMYFUNCTION("GOOGLEFINANCE(A315,""marketcap"")"),9.6542419584E10)</f>
        <v>96542419584</v>
      </c>
      <c r="D315" s="20" t="s">
        <v>4279</v>
      </c>
    </row>
    <row r="316" ht="18.75" customHeight="1">
      <c r="A316" s="19" t="s">
        <v>1295</v>
      </c>
      <c r="B316" s="20">
        <v>50.0</v>
      </c>
      <c r="C316" s="46">
        <f>IFERROR(__xludf.DUMMYFUNCTION("GOOGLEFINANCE(A316,""marketcap"")"),1.3837972097E10)</f>
        <v>13837972097</v>
      </c>
      <c r="D316" s="20" t="s">
        <v>4280</v>
      </c>
    </row>
    <row r="317" ht="18.75" customHeight="1">
      <c r="A317" s="19" t="s">
        <v>982</v>
      </c>
      <c r="B317" s="20">
        <v>50.0</v>
      </c>
      <c r="C317" s="46">
        <f>IFERROR(__xludf.DUMMYFUNCTION("GOOGLEFINANCE(A317,""marketcap"")"),3.6190749387E10)</f>
        <v>36190749387</v>
      </c>
      <c r="D317" s="20" t="s">
        <v>4281</v>
      </c>
    </row>
    <row r="318" ht="18.75" customHeight="1">
      <c r="A318" s="19" t="s">
        <v>1551</v>
      </c>
      <c r="B318" s="20">
        <v>50.0</v>
      </c>
      <c r="C318" s="46">
        <f>IFERROR(__xludf.DUMMYFUNCTION("GOOGLEFINANCE(A318,""marketcap"")"),3.327389192E10)</f>
        <v>33273891920</v>
      </c>
      <c r="D318" s="20" t="s">
        <v>4282</v>
      </c>
    </row>
    <row r="319" ht="18.75" customHeight="1">
      <c r="A319" s="19" t="s">
        <v>1109</v>
      </c>
      <c r="B319" s="20">
        <v>50.0</v>
      </c>
      <c r="C319" s="46">
        <f>IFERROR(__xludf.DUMMYFUNCTION("GOOGLEFINANCE(A319,""marketcap"")"),2.76268430542E11)</f>
        <v>276268430542</v>
      </c>
      <c r="D319" s="20" t="s">
        <v>4283</v>
      </c>
    </row>
    <row r="320" ht="18.75" customHeight="1">
      <c r="A320" s="19" t="s">
        <v>1283</v>
      </c>
      <c r="B320" s="20">
        <v>50.0</v>
      </c>
      <c r="C320" s="46">
        <f>IFERROR(__xludf.DUMMYFUNCTION("GOOGLEFINANCE(A320,""marketcap"")"),1.2051939551E10)</f>
        <v>12051939551</v>
      </c>
      <c r="D320" s="20" t="s">
        <v>4284</v>
      </c>
    </row>
    <row r="321" ht="18.75" customHeight="1">
      <c r="A321" s="19" t="s">
        <v>128</v>
      </c>
      <c r="B321" s="20">
        <v>50.0</v>
      </c>
      <c r="C321" s="46">
        <f>IFERROR(__xludf.DUMMYFUNCTION("GOOGLEFINANCE(A321,""marketcap"")"),1.8916325259E10)</f>
        <v>18916325259</v>
      </c>
      <c r="D321" s="20" t="s">
        <v>4285</v>
      </c>
    </row>
    <row r="322" ht="18.75" customHeight="1">
      <c r="A322" s="19" t="s">
        <v>130</v>
      </c>
      <c r="B322" s="20">
        <v>50.0</v>
      </c>
      <c r="C322" s="46">
        <f>IFERROR(__xludf.DUMMYFUNCTION("GOOGLEFINANCE(A322,""marketcap"")"),1.63009556202E11)</f>
        <v>163009556202</v>
      </c>
      <c r="D322" s="20" t="s">
        <v>4286</v>
      </c>
    </row>
    <row r="323" ht="18.75" customHeight="1">
      <c r="A323" s="19" t="s">
        <v>143</v>
      </c>
      <c r="B323" s="20">
        <v>50.0</v>
      </c>
      <c r="C323" s="46">
        <f>IFERROR(__xludf.DUMMYFUNCTION("GOOGLEFINANCE(A323,""marketcap"")"),9.3770423265E10)</f>
        <v>93770423265</v>
      </c>
      <c r="D323" s="20" t="s">
        <v>4287</v>
      </c>
    </row>
    <row r="324" ht="18.75" customHeight="1">
      <c r="A324" s="19" t="s">
        <v>22</v>
      </c>
      <c r="B324" s="20">
        <v>50.0</v>
      </c>
      <c r="C324" s="46">
        <f>IFERROR(__xludf.DUMMYFUNCTION("GOOGLEFINANCE(A324,""marketcap"")"),9.3712142222E10)</f>
        <v>93712142222</v>
      </c>
      <c r="D324" s="20" t="s">
        <v>4288</v>
      </c>
    </row>
    <row r="325" ht="18.75" customHeight="1">
      <c r="A325" s="19" t="s">
        <v>1289</v>
      </c>
      <c r="B325" s="20">
        <v>50.0</v>
      </c>
      <c r="C325" s="46">
        <f>IFERROR(__xludf.DUMMYFUNCTION("GOOGLEFINANCE(A325,""marketcap"")"),1.3736450632E10)</f>
        <v>13736450632</v>
      </c>
      <c r="D325" s="20" t="s">
        <v>4289</v>
      </c>
    </row>
    <row r="326" ht="18.75" customHeight="1">
      <c r="A326" s="19" t="s">
        <v>245</v>
      </c>
      <c r="B326" s="20">
        <v>50.0</v>
      </c>
      <c r="C326" s="46">
        <f>IFERROR(__xludf.DUMMYFUNCTION("GOOGLEFINANCE(A326,""marketcap"")"),2.7950911456E11)</f>
        <v>279509114560</v>
      </c>
      <c r="D326" s="20" t="s">
        <v>4290</v>
      </c>
    </row>
    <row r="327" ht="18.75" customHeight="1">
      <c r="A327" s="19" t="s">
        <v>997</v>
      </c>
      <c r="B327" s="20">
        <v>50.0</v>
      </c>
      <c r="C327" s="46">
        <f>IFERROR(__xludf.DUMMYFUNCTION("GOOGLEFINANCE(A327,""marketcap"")"),2.8871976754E10)</f>
        <v>28871976754</v>
      </c>
      <c r="D327" s="20" t="s">
        <v>4291</v>
      </c>
    </row>
    <row r="328" ht="18.75" customHeight="1">
      <c r="A328" s="19" t="s">
        <v>1096</v>
      </c>
      <c r="B328" s="20">
        <v>50.0</v>
      </c>
      <c r="C328" s="46">
        <f>IFERROR(__xludf.DUMMYFUNCTION("GOOGLEFINANCE(A328,""marketcap"")"),1.0621916939E10)</f>
        <v>10621916939</v>
      </c>
      <c r="D328" s="20" t="s">
        <v>4292</v>
      </c>
    </row>
    <row r="329" ht="18.75" customHeight="1">
      <c r="A329" s="19" t="s">
        <v>145</v>
      </c>
      <c r="B329" s="20">
        <v>50.0</v>
      </c>
      <c r="C329" s="46">
        <f>IFERROR(__xludf.DUMMYFUNCTION("GOOGLEFINANCE(A329,""marketcap"")"),1.6134734663E10)</f>
        <v>16134734663</v>
      </c>
      <c r="D329" s="20" t="s">
        <v>4293</v>
      </c>
    </row>
    <row r="330" ht="18.75" customHeight="1">
      <c r="A330" s="19" t="s">
        <v>1117</v>
      </c>
      <c r="B330" s="20">
        <v>50.0</v>
      </c>
      <c r="C330" s="46">
        <f>IFERROR(__xludf.DUMMYFUNCTION("GOOGLEFINANCE(A330,""marketcap"")"),2.5377967612E10)</f>
        <v>25377967612</v>
      </c>
      <c r="D330" s="20" t="s">
        <v>4294</v>
      </c>
    </row>
    <row r="331" ht="18.75" customHeight="1">
      <c r="A331" s="19" t="s">
        <v>91</v>
      </c>
      <c r="B331" s="20">
        <v>50.0</v>
      </c>
      <c r="C331" s="46">
        <f>IFERROR(__xludf.DUMMYFUNCTION("GOOGLEFINANCE(A331,""marketcap"")"),2.5377967612E10)</f>
        <v>25377967612</v>
      </c>
      <c r="D331" s="20" t="s">
        <v>4295</v>
      </c>
    </row>
    <row r="332" ht="18.75" customHeight="1">
      <c r="A332" s="19" t="s">
        <v>1221</v>
      </c>
      <c r="B332" s="20">
        <v>50.0</v>
      </c>
      <c r="C332" s="46">
        <f>IFERROR(__xludf.DUMMYFUNCTION("GOOGLEFINANCE(A332,""marketcap"")"),1.8422750323E10)</f>
        <v>18422750323</v>
      </c>
      <c r="D332" s="20" t="s">
        <v>4296</v>
      </c>
    </row>
    <row r="333" ht="18.75" customHeight="1">
      <c r="A333" s="19" t="s">
        <v>1540</v>
      </c>
      <c r="B333" s="20">
        <v>50.0</v>
      </c>
      <c r="C333" s="46">
        <f>IFERROR(__xludf.DUMMYFUNCTION("GOOGLEFINANCE(A333,""marketcap"")"),4.9091404223E10)</f>
        <v>49091404223</v>
      </c>
      <c r="D333" s="20" t="s">
        <v>4297</v>
      </c>
    </row>
    <row r="334" ht="18.75" customHeight="1">
      <c r="A334" s="19" t="s">
        <v>1319</v>
      </c>
      <c r="B334" s="20">
        <v>50.0</v>
      </c>
      <c r="C334" s="46">
        <f>IFERROR(__xludf.DUMMYFUNCTION("GOOGLEFINANCE(A334,""marketcap"")"),1.675606972E9)</f>
        <v>1675606972</v>
      </c>
      <c r="D334" s="20" t="s">
        <v>4298</v>
      </c>
    </row>
    <row r="335" ht="18.75" customHeight="1">
      <c r="A335" s="19" t="s">
        <v>1285</v>
      </c>
      <c r="B335" s="20">
        <v>50.0</v>
      </c>
      <c r="C335" s="46">
        <f>IFERROR(__xludf.DUMMYFUNCTION("GOOGLEFINANCE(A335,""marketcap"")"),1.4412037807E10)</f>
        <v>14412037807</v>
      </c>
      <c r="D335" s="20" t="s">
        <v>4299</v>
      </c>
    </row>
    <row r="336" ht="18.75" customHeight="1">
      <c r="A336" s="19" t="s">
        <v>1396</v>
      </c>
      <c r="B336" s="20">
        <v>50.0</v>
      </c>
      <c r="C336" s="46">
        <f>IFERROR(__xludf.DUMMYFUNCTION("GOOGLEFINANCE(A336,""marketcap"")"),1.2230553261E10)</f>
        <v>12230553261</v>
      </c>
      <c r="D336" s="20" t="s">
        <v>4300</v>
      </c>
    </row>
    <row r="337" ht="18.75" customHeight="1">
      <c r="A337" s="19" t="s">
        <v>1560</v>
      </c>
      <c r="B337" s="20">
        <v>50.0</v>
      </c>
      <c r="C337" s="46">
        <f>IFERROR(__xludf.DUMMYFUNCTION("GOOGLEFINANCE(A337,""marketcap"")"),1.59394508903E11)</f>
        <v>159394508903</v>
      </c>
      <c r="D337" s="20" t="s">
        <v>4301</v>
      </c>
    </row>
    <row r="338" ht="18.75" customHeight="1">
      <c r="A338" s="19" t="s">
        <v>798</v>
      </c>
      <c r="B338" s="20">
        <v>50.0</v>
      </c>
      <c r="C338" s="46">
        <f>IFERROR(__xludf.DUMMYFUNCTION("GOOGLEFINANCE(A338,""marketcap"")"),1.09599490193E11)</f>
        <v>109599490193</v>
      </c>
      <c r="D338" s="20" t="s">
        <v>4302</v>
      </c>
    </row>
    <row r="339" ht="18.75" customHeight="1">
      <c r="A339" s="19" t="s">
        <v>1273</v>
      </c>
      <c r="B339" s="20">
        <v>50.0</v>
      </c>
      <c r="C339" s="46">
        <f>IFERROR(__xludf.DUMMYFUNCTION("GOOGLEFINANCE(A339,""marketcap"")"),6.52995049E8)</f>
        <v>652995049</v>
      </c>
      <c r="D339" s="20" t="s">
        <v>4303</v>
      </c>
    </row>
    <row r="340" ht="18.75" customHeight="1">
      <c r="A340" s="19" t="s">
        <v>1423</v>
      </c>
      <c r="B340" s="20">
        <v>50.0</v>
      </c>
      <c r="C340" s="46">
        <f>IFERROR(__xludf.DUMMYFUNCTION("GOOGLEFINANCE(A340,""marketcap"")"),2.0692341349E10)</f>
        <v>20692341349</v>
      </c>
      <c r="D340" s="20" t="s">
        <v>4304</v>
      </c>
    </row>
    <row r="341" ht="18.75" customHeight="1">
      <c r="A341" s="19" t="s">
        <v>551</v>
      </c>
      <c r="B341" s="20">
        <v>50.0</v>
      </c>
      <c r="C341" s="46">
        <f>IFERROR(__xludf.DUMMYFUNCTION("GOOGLEFINANCE(A341,""marketcap"")"),8.8118161891E10)</f>
        <v>88118161891</v>
      </c>
      <c r="D341" s="20" t="s">
        <v>4305</v>
      </c>
    </row>
    <row r="342" ht="18.75" customHeight="1">
      <c r="A342" s="19" t="s">
        <v>1421</v>
      </c>
      <c r="B342" s="20">
        <v>50.0</v>
      </c>
      <c r="C342" s="46">
        <f>IFERROR(__xludf.DUMMYFUNCTION("GOOGLEFINANCE(A342,""marketcap"")"),6.27722128233E11)</f>
        <v>627722128233</v>
      </c>
      <c r="D342" s="20" t="s">
        <v>4306</v>
      </c>
    </row>
    <row r="343" ht="18.75" customHeight="1">
      <c r="A343" s="19" t="s">
        <v>866</v>
      </c>
      <c r="B343" s="20">
        <v>50.0</v>
      </c>
      <c r="C343" s="46">
        <f>IFERROR(__xludf.DUMMYFUNCTION("GOOGLEFINANCE(A343,""marketcap"")"),1.067784E10)</f>
        <v>10677840000</v>
      </c>
      <c r="D343" s="20" t="s">
        <v>4307</v>
      </c>
    </row>
    <row r="344" ht="18.75" customHeight="1">
      <c r="A344" s="19" t="s">
        <v>97</v>
      </c>
      <c r="B344" s="20">
        <v>50.0</v>
      </c>
      <c r="C344" s="46">
        <f>IFERROR(__xludf.DUMMYFUNCTION("GOOGLEFINANCE(A344,""marketcap"")"),1.9690523288E10)</f>
        <v>19690523288</v>
      </c>
      <c r="D344" s="20" t="s">
        <v>4308</v>
      </c>
    </row>
    <row r="345" ht="18.75" customHeight="1">
      <c r="A345" s="19" t="s">
        <v>1299</v>
      </c>
      <c r="B345" s="20">
        <v>50.0</v>
      </c>
      <c r="C345" s="46">
        <f>IFERROR(__xludf.DUMMYFUNCTION("GOOGLEFINANCE(A345,""marketcap"")"),7.3390749697E10)</f>
        <v>73390749697</v>
      </c>
      <c r="D345" s="20" t="s">
        <v>4309</v>
      </c>
    </row>
    <row r="346" ht="18.75" customHeight="1">
      <c r="A346" s="19" t="s">
        <v>845</v>
      </c>
      <c r="B346" s="20">
        <v>50.0</v>
      </c>
      <c r="C346" s="46">
        <f>IFERROR(__xludf.DUMMYFUNCTION("GOOGLEFINANCE(A346,""marketcap"")"),4.4183150373E10)</f>
        <v>44183150373</v>
      </c>
      <c r="D346" s="20" t="s">
        <v>4310</v>
      </c>
    </row>
    <row r="347" ht="18.75" customHeight="1">
      <c r="A347" s="19" t="s">
        <v>1102</v>
      </c>
      <c r="B347" s="20">
        <v>50.0</v>
      </c>
      <c r="C347" s="46">
        <f>IFERROR(__xludf.DUMMYFUNCTION("GOOGLEFINANCE(A347,""marketcap"")"),3.7716683697E10)</f>
        <v>37716683697</v>
      </c>
      <c r="D347" s="20" t="s">
        <v>4311</v>
      </c>
    </row>
    <row r="348" ht="18.75" customHeight="1">
      <c r="A348" s="19" t="s">
        <v>99</v>
      </c>
      <c r="B348" s="20">
        <v>50.0</v>
      </c>
      <c r="C348" s="46">
        <f>IFERROR(__xludf.DUMMYFUNCTION("GOOGLEFINANCE(A348,""marketcap"")"),2.15948064341E11)</f>
        <v>215948064341</v>
      </c>
      <c r="D348" s="20" t="s">
        <v>4312</v>
      </c>
    </row>
    <row r="349" ht="18.75" customHeight="1">
      <c r="A349" s="19" t="s">
        <v>101</v>
      </c>
      <c r="B349" s="20">
        <v>50.0</v>
      </c>
      <c r="C349" s="46">
        <f>IFERROR(__xludf.DUMMYFUNCTION("GOOGLEFINANCE(A349,""marketcap"")"),1.2462709723E10)</f>
        <v>12462709723</v>
      </c>
      <c r="D349" s="20" t="s">
        <v>4313</v>
      </c>
    </row>
    <row r="350" ht="18.75" customHeight="1">
      <c r="A350" s="19" t="s">
        <v>1107</v>
      </c>
      <c r="B350" s="20">
        <v>50.0</v>
      </c>
      <c r="C350" s="46">
        <f>IFERROR(__xludf.DUMMYFUNCTION("GOOGLEFINANCE(A350,""marketcap"")"),3.2677337301E10)</f>
        <v>32677337301</v>
      </c>
      <c r="D350" s="20" t="s">
        <v>4314</v>
      </c>
    </row>
    <row r="351" ht="18.75" customHeight="1">
      <c r="A351" s="19" t="s">
        <v>1104</v>
      </c>
      <c r="B351" s="20">
        <v>50.0</v>
      </c>
      <c r="C351" s="46">
        <f>IFERROR(__xludf.DUMMYFUNCTION("GOOGLEFINANCE(A351,""marketcap"")"),2.6028798357E10)</f>
        <v>26028798357</v>
      </c>
      <c r="D351" s="20" t="s">
        <v>4315</v>
      </c>
    </row>
    <row r="352" ht="18.75" customHeight="1">
      <c r="A352" s="19" t="s">
        <v>1100</v>
      </c>
      <c r="B352" s="20">
        <v>50.0</v>
      </c>
      <c r="C352" s="46">
        <f>IFERROR(__xludf.DUMMYFUNCTION("GOOGLEFINANCE(A352,""marketcap"")"),2.0741998815E10)</f>
        <v>20741998815</v>
      </c>
      <c r="D352" s="20" t="s">
        <v>4316</v>
      </c>
    </row>
    <row r="353" ht="18.75" customHeight="1">
      <c r="A353" s="19" t="s">
        <v>1555</v>
      </c>
      <c r="B353" s="20">
        <v>50.0</v>
      </c>
      <c r="C353" s="46">
        <f>IFERROR(__xludf.DUMMYFUNCTION("GOOGLEFINANCE(A353,""marketcap"")"),1.08417070637E11)</f>
        <v>108417070637</v>
      </c>
      <c r="D353" s="20" t="s">
        <v>4317</v>
      </c>
    </row>
    <row r="354" ht="18.75" customHeight="1">
      <c r="A354" s="19" t="s">
        <v>1293</v>
      </c>
      <c r="B354" s="20">
        <v>50.0</v>
      </c>
      <c r="C354" s="46">
        <f>IFERROR(__xludf.DUMMYFUNCTION("GOOGLEFINANCE(A354,""marketcap"")"),1.5252718859E10)</f>
        <v>15252718859</v>
      </c>
      <c r="D354" s="20" t="s">
        <v>4318</v>
      </c>
    </row>
    <row r="355" ht="18.75" customHeight="1">
      <c r="A355" s="19" t="s">
        <v>93</v>
      </c>
      <c r="B355" s="20">
        <v>50.0</v>
      </c>
      <c r="C355" s="46">
        <f>IFERROR(__xludf.DUMMYFUNCTION("GOOGLEFINANCE(A355,""marketcap"")"),1.35044102953E11)</f>
        <v>135044102953</v>
      </c>
      <c r="D355" s="20" t="s">
        <v>4319</v>
      </c>
    </row>
    <row r="356" ht="18.75" customHeight="1">
      <c r="A356" s="19" t="s">
        <v>1279</v>
      </c>
      <c r="B356" s="20">
        <v>50.0</v>
      </c>
      <c r="C356" s="46">
        <f>IFERROR(__xludf.DUMMYFUNCTION("GOOGLEFINANCE(A356,""marketcap"")"),7.2114428196E10)</f>
        <v>72114428196</v>
      </c>
      <c r="D356" s="20" t="s">
        <v>4320</v>
      </c>
    </row>
    <row r="357" ht="18.75" customHeight="1">
      <c r="A357" s="19" t="s">
        <v>1553</v>
      </c>
      <c r="B357" s="20">
        <v>50.0</v>
      </c>
      <c r="C357" s="46">
        <f>IFERROR(__xludf.DUMMYFUNCTION("GOOGLEFINANCE(A357,""marketcap"")"),4.1596873406E10)</f>
        <v>41596873406</v>
      </c>
      <c r="D357" s="20" t="s">
        <v>4321</v>
      </c>
    </row>
    <row r="358" ht="18.75" customHeight="1">
      <c r="A358" s="19" t="s">
        <v>1008</v>
      </c>
      <c r="B358" s="20">
        <v>50.0</v>
      </c>
      <c r="C358" s="46" t="str">
        <f>IFERROR(__xludf.DUMMYFUNCTION("GOOGLEFINANCE(A358,""marketcap"")"),"#N/A")</f>
        <v>#N/A</v>
      </c>
      <c r="D358" s="20" t="s">
        <v>4322</v>
      </c>
    </row>
    <row r="359" ht="18.75" customHeight="1">
      <c r="A359" s="19" t="s">
        <v>847</v>
      </c>
      <c r="B359" s="20">
        <v>50.0</v>
      </c>
      <c r="C359" s="46">
        <f>IFERROR(__xludf.DUMMYFUNCTION("GOOGLEFINANCE(A359,""marketcap"")"),1.6055340172E10)</f>
        <v>16055340172</v>
      </c>
      <c r="D359" s="20" t="s">
        <v>4323</v>
      </c>
    </row>
    <row r="360" ht="18.75" customHeight="1">
      <c r="A360" s="19" t="s">
        <v>1189</v>
      </c>
      <c r="B360" s="20">
        <v>50.0</v>
      </c>
      <c r="C360" s="46">
        <f>IFERROR(__xludf.DUMMYFUNCTION("GOOGLEFINANCE(A360,""marketcap"")"),5.0160852238E10)</f>
        <v>50160852238</v>
      </c>
      <c r="D360" s="20" t="s">
        <v>4324</v>
      </c>
    </row>
    <row r="361" ht="18.75" customHeight="1">
      <c r="A361" s="19" t="s">
        <v>1439</v>
      </c>
      <c r="B361" s="20">
        <v>50.0</v>
      </c>
      <c r="C361" s="46">
        <f>IFERROR(__xludf.DUMMYFUNCTION("GOOGLEFINANCE(A361,""marketcap"")"),2.653153823E10)</f>
        <v>26531538230</v>
      </c>
      <c r="D361" s="20" t="s">
        <v>4325</v>
      </c>
    </row>
    <row r="362" ht="18.75" customHeight="1">
      <c r="A362" s="19" t="s">
        <v>968</v>
      </c>
      <c r="B362" s="20">
        <v>50.0</v>
      </c>
      <c r="C362" s="46">
        <f>IFERROR(__xludf.DUMMYFUNCTION("GOOGLEFINANCE(A362,""marketcap"")"),7.1797753358E10)</f>
        <v>71797753358</v>
      </c>
      <c r="D362" s="20" t="s">
        <v>4326</v>
      </c>
    </row>
    <row r="363" ht="18.75" customHeight="1">
      <c r="A363" s="19" t="s">
        <v>1334</v>
      </c>
      <c r="B363" s="20">
        <v>50.0</v>
      </c>
      <c r="C363" s="46">
        <f>IFERROR(__xludf.DUMMYFUNCTION("GOOGLEFINANCE(A363,""marketcap"")"),4.7814361083E10)</f>
        <v>47814361083</v>
      </c>
      <c r="D363" s="20" t="s">
        <v>4327</v>
      </c>
    </row>
    <row r="364" ht="18.75" customHeight="1">
      <c r="A364" s="19" t="s">
        <v>859</v>
      </c>
      <c r="B364" s="20">
        <v>50.0</v>
      </c>
      <c r="C364" s="46">
        <f>IFERROR(__xludf.DUMMYFUNCTION("GOOGLEFINANCE(A364,""marketcap"")"),2.0397678223E10)</f>
        <v>20397678223</v>
      </c>
      <c r="D364" s="20" t="s">
        <v>4328</v>
      </c>
    </row>
    <row r="365" ht="18.75" customHeight="1">
      <c r="A365" s="19" t="s">
        <v>1034</v>
      </c>
      <c r="B365" s="20">
        <v>50.0</v>
      </c>
      <c r="C365" s="46">
        <f>IFERROR(__xludf.DUMMYFUNCTION("GOOGLEFINANCE(A365,""marketcap"")"),9.6802458726E10)</f>
        <v>96802458726</v>
      </c>
      <c r="D365" s="20" t="s">
        <v>4329</v>
      </c>
    </row>
    <row r="366" ht="18.75" customHeight="1">
      <c r="A366" s="19" t="s">
        <v>1437</v>
      </c>
      <c r="B366" s="20">
        <v>50.0</v>
      </c>
      <c r="C366" s="46">
        <f>IFERROR(__xludf.DUMMYFUNCTION("GOOGLEFINANCE(A366,""marketcap"")"),2.6573734648E10)</f>
        <v>26573734648</v>
      </c>
      <c r="D366" s="20" t="s">
        <v>4330</v>
      </c>
    </row>
    <row r="367" ht="18.75" customHeight="1">
      <c r="A367" s="19" t="s">
        <v>1336</v>
      </c>
      <c r="B367" s="20">
        <v>50.0</v>
      </c>
      <c r="C367" s="46">
        <f>IFERROR(__xludf.DUMMYFUNCTION("GOOGLEFINANCE(A367,""marketcap"")"),2.9602615808E10)</f>
        <v>29602615808</v>
      </c>
      <c r="D367" s="20" t="s">
        <v>4331</v>
      </c>
    </row>
    <row r="368" ht="18.75" customHeight="1">
      <c r="A368" s="19" t="s">
        <v>911</v>
      </c>
      <c r="B368" s="20">
        <v>50.0</v>
      </c>
      <c r="C368" s="46">
        <f>IFERROR(__xludf.DUMMYFUNCTION("GOOGLEFINANCE(A368,""marketcap"")"),1.0759550073E10)</f>
        <v>10759550073</v>
      </c>
      <c r="D368" s="20" t="s">
        <v>4332</v>
      </c>
    </row>
    <row r="369" ht="18.75" customHeight="1">
      <c r="A369" s="19" t="s">
        <v>217</v>
      </c>
      <c r="B369" s="20">
        <v>50.0</v>
      </c>
      <c r="C369" s="46">
        <f>IFERROR(__xludf.DUMMYFUNCTION("GOOGLEFINANCE(A369,""marketcap"")"),5.4429494169E10)</f>
        <v>54429494169</v>
      </c>
      <c r="D369" s="20" t="s">
        <v>4333</v>
      </c>
    </row>
    <row r="370" ht="18.75" customHeight="1">
      <c r="A370" s="19" t="s">
        <v>1391</v>
      </c>
      <c r="B370" s="20">
        <v>50.0</v>
      </c>
      <c r="C370" s="46">
        <f>IFERROR(__xludf.DUMMYFUNCTION("GOOGLEFINANCE(A370,""marketcap"")"),1.835092128E10)</f>
        <v>18350921280</v>
      </c>
      <c r="D370" s="20" t="s">
        <v>4334</v>
      </c>
    </row>
    <row r="371" ht="18.75" customHeight="1">
      <c r="A371" s="19" t="s">
        <v>1543</v>
      </c>
      <c r="B371" s="20">
        <v>50.0</v>
      </c>
      <c r="C371" s="46">
        <f>IFERROR(__xludf.DUMMYFUNCTION("GOOGLEFINANCE(A371,""marketcap"")"),2.5641856155E10)</f>
        <v>25641856155</v>
      </c>
      <c r="D371" s="20" t="s">
        <v>4335</v>
      </c>
    </row>
    <row r="372" ht="18.75" customHeight="1">
      <c r="A372" s="19" t="s">
        <v>1526</v>
      </c>
      <c r="B372" s="20">
        <v>50.0</v>
      </c>
      <c r="C372" s="46">
        <f>IFERROR(__xludf.DUMMYFUNCTION("GOOGLEFINANCE(A372,""marketcap"")"),6.8633105002E10)</f>
        <v>68633105002</v>
      </c>
      <c r="D372" s="20" t="s">
        <v>4336</v>
      </c>
    </row>
    <row r="373" ht="18.75" customHeight="1">
      <c r="A373" s="19" t="s">
        <v>127</v>
      </c>
      <c r="B373" s="20">
        <v>50.0</v>
      </c>
      <c r="C373" s="46">
        <f>IFERROR(__xludf.DUMMYFUNCTION("GOOGLEFINANCE(A373,""marketcap"")"),5.3083818851E10)</f>
        <v>53083818851</v>
      </c>
      <c r="D373" s="20" t="s">
        <v>4337</v>
      </c>
    </row>
    <row r="374" ht="18.75" customHeight="1">
      <c r="A374" s="19" t="s">
        <v>1187</v>
      </c>
      <c r="B374" s="20">
        <v>50.0</v>
      </c>
      <c r="C374" s="46">
        <f>IFERROR(__xludf.DUMMYFUNCTION("GOOGLEFINANCE(A374,""marketcap"")"),2.3387756704E10)</f>
        <v>23387756704</v>
      </c>
      <c r="D374" s="20" t="s">
        <v>4338</v>
      </c>
    </row>
    <row r="375" ht="18.75" customHeight="1">
      <c r="A375" s="19" t="s">
        <v>902</v>
      </c>
      <c r="B375" s="20">
        <v>50.0</v>
      </c>
      <c r="C375" s="46">
        <f>IFERROR(__xludf.DUMMYFUNCTION("GOOGLEFINANCE(A375,""marketcap"")"),2.8342049818E10)</f>
        <v>28342049818</v>
      </c>
      <c r="D375" s="20" t="s">
        <v>4339</v>
      </c>
    </row>
    <row r="376" ht="18.75" customHeight="1">
      <c r="A376" s="19" t="s">
        <v>1131</v>
      </c>
      <c r="B376" s="20">
        <v>50.0</v>
      </c>
      <c r="C376" s="46">
        <f>IFERROR(__xludf.DUMMYFUNCTION("GOOGLEFINANCE(A376,""marketcap"")"),4.8177393221E10)</f>
        <v>48177393221</v>
      </c>
      <c r="D376" s="20" t="s">
        <v>4340</v>
      </c>
    </row>
    <row r="377" ht="18.75" customHeight="1">
      <c r="A377" s="19" t="s">
        <v>1036</v>
      </c>
      <c r="B377" s="20">
        <v>50.0</v>
      </c>
      <c r="C377" s="46">
        <f>IFERROR(__xludf.DUMMYFUNCTION("GOOGLEFINANCE(A377,""marketcap"")"),1.69348195338E11)</f>
        <v>169348195338</v>
      </c>
      <c r="D377" s="20" t="s">
        <v>4341</v>
      </c>
    </row>
    <row r="378" ht="18.75" customHeight="1">
      <c r="A378" s="19" t="s">
        <v>945</v>
      </c>
      <c r="B378" s="20">
        <v>50.0</v>
      </c>
      <c r="C378" s="46">
        <f>IFERROR(__xludf.DUMMYFUNCTION("GOOGLEFINANCE(A378,""marketcap"")"),1.4254608698E10)</f>
        <v>14254608698</v>
      </c>
      <c r="D378" s="20" t="s">
        <v>4342</v>
      </c>
    </row>
    <row r="379" ht="18.75" customHeight="1">
      <c r="A379" s="19" t="s">
        <v>1260</v>
      </c>
      <c r="B379" s="20">
        <v>50.0</v>
      </c>
      <c r="C379" s="46" t="str">
        <f>IFERROR(__xludf.DUMMYFUNCTION("GOOGLEFINANCE(A379,""marketcap"")"),"#N/A")</f>
        <v>#N/A</v>
      </c>
      <c r="D379" s="20" t="s">
        <v>4343</v>
      </c>
    </row>
    <row r="380" ht="18.75" customHeight="1">
      <c r="A380" s="19" t="s">
        <v>1528</v>
      </c>
      <c r="B380" s="20">
        <v>50.0</v>
      </c>
      <c r="C380" s="46">
        <f>IFERROR(__xludf.DUMMYFUNCTION("GOOGLEFINANCE(A380,""marketcap"")"),1.2753325635E10)</f>
        <v>12753325635</v>
      </c>
      <c r="D380" s="20" t="s">
        <v>4344</v>
      </c>
    </row>
    <row r="381" ht="18.75" customHeight="1">
      <c r="A381" s="19" t="s">
        <v>1047</v>
      </c>
      <c r="B381" s="20">
        <v>50.0</v>
      </c>
      <c r="C381" s="46">
        <f>IFERROR(__xludf.DUMMYFUNCTION("GOOGLEFINANCE(A381,""marketcap"")"),2.247520256E10)</f>
        <v>22475202560</v>
      </c>
      <c r="D381" s="20" t="s">
        <v>4345</v>
      </c>
    </row>
    <row r="382" ht="18.75" customHeight="1">
      <c r="A382" s="19" t="s">
        <v>342</v>
      </c>
      <c r="B382" s="20">
        <v>50.0</v>
      </c>
      <c r="C382" s="46">
        <f>IFERROR(__xludf.DUMMYFUNCTION("GOOGLEFINANCE(A382,""marketcap"")"),1.15535193743E11)</f>
        <v>115535193743</v>
      </c>
      <c r="D382" s="20" t="s">
        <v>4346</v>
      </c>
    </row>
    <row r="383" ht="18.75" customHeight="1">
      <c r="A383" s="19" t="s">
        <v>1375</v>
      </c>
      <c r="B383" s="20">
        <v>50.0</v>
      </c>
      <c r="C383" s="46">
        <f>IFERROR(__xludf.DUMMYFUNCTION("GOOGLEFINANCE(A383,""marketcap"")"),2.4949437728E10)</f>
        <v>24949437728</v>
      </c>
      <c r="D383" s="20" t="s">
        <v>4347</v>
      </c>
    </row>
    <row r="384" ht="18.75" customHeight="1">
      <c r="A384" s="19" t="s">
        <v>1119</v>
      </c>
      <c r="B384" s="20">
        <v>50.0</v>
      </c>
      <c r="C384" s="46">
        <f>IFERROR(__xludf.DUMMYFUNCTION("GOOGLEFINANCE(A384,""marketcap"")"),2.3634353007E10)</f>
        <v>23634353007</v>
      </c>
      <c r="D384" s="20" t="s">
        <v>4348</v>
      </c>
    </row>
    <row r="385" ht="18.75" customHeight="1">
      <c r="A385" s="19" t="s">
        <v>1083</v>
      </c>
      <c r="B385" s="20">
        <v>50.0</v>
      </c>
      <c r="C385" s="46">
        <f>IFERROR(__xludf.DUMMYFUNCTION("GOOGLEFINANCE(A385,""marketcap"")"),9.0331721282E10)</f>
        <v>90331721282</v>
      </c>
      <c r="D385" s="20" t="s">
        <v>4349</v>
      </c>
    </row>
    <row r="386" ht="18.75" customHeight="1">
      <c r="A386" s="19" t="s">
        <v>1545</v>
      </c>
      <c r="B386" s="20">
        <v>50.0</v>
      </c>
      <c r="C386" s="46">
        <f>IFERROR(__xludf.DUMMYFUNCTION("GOOGLEFINANCE(A386,""marketcap"")"),9.993502682E9)</f>
        <v>9993502682</v>
      </c>
      <c r="D386" s="20" t="s">
        <v>4350</v>
      </c>
    </row>
    <row r="387" ht="18.75" customHeight="1">
      <c r="A387" s="19" t="s">
        <v>1315</v>
      </c>
      <c r="B387" s="20">
        <v>50.0</v>
      </c>
      <c r="C387" s="46">
        <f>IFERROR(__xludf.DUMMYFUNCTION("GOOGLEFINANCE(A387,""marketcap"")"),5.0708703847E10)</f>
        <v>50708703847</v>
      </c>
      <c r="D387" s="20" t="s">
        <v>4351</v>
      </c>
    </row>
    <row r="388" ht="18.75" customHeight="1">
      <c r="A388" s="19" t="s">
        <v>991</v>
      </c>
      <c r="B388" s="20">
        <v>50.0</v>
      </c>
      <c r="C388" s="46">
        <f>IFERROR(__xludf.DUMMYFUNCTION("GOOGLEFINANCE(A388,""marketcap"")"),2.61129534E10)</f>
        <v>26112953400</v>
      </c>
      <c r="D388" s="20" t="s">
        <v>4352</v>
      </c>
    </row>
    <row r="389" ht="18.75" customHeight="1">
      <c r="A389" s="19" t="s">
        <v>1049</v>
      </c>
      <c r="B389" s="20">
        <v>50.0</v>
      </c>
      <c r="C389" s="46">
        <f>IFERROR(__xludf.DUMMYFUNCTION("GOOGLEFINANCE(A389,""marketcap"")"),1.9974107008E10)</f>
        <v>19974107008</v>
      </c>
      <c r="D389" s="20" t="s">
        <v>4353</v>
      </c>
    </row>
    <row r="390" ht="18.75" customHeight="1">
      <c r="A390" s="19" t="s">
        <v>17</v>
      </c>
      <c r="B390" s="20">
        <v>50.0</v>
      </c>
      <c r="C390" s="46">
        <f>IFERROR(__xludf.DUMMYFUNCTION("GOOGLEFINANCE(A390,""marketcap"")"),5.99235018148E11)</f>
        <v>599235018148</v>
      </c>
      <c r="D390" s="20" t="s">
        <v>4354</v>
      </c>
    </row>
    <row r="391" ht="18.75" customHeight="1">
      <c r="A391" s="19" t="s">
        <v>38</v>
      </c>
      <c r="B391" s="20">
        <v>50.0</v>
      </c>
      <c r="C391" s="46">
        <f>IFERROR(__xludf.DUMMYFUNCTION("GOOGLEFINANCE(A391,""marketcap"")"),3.0273687614E10)</f>
        <v>30273687614</v>
      </c>
      <c r="D391" s="20" t="s">
        <v>4355</v>
      </c>
    </row>
    <row r="392" ht="18.75" customHeight="1">
      <c r="A392" s="19" t="s">
        <v>1317</v>
      </c>
      <c r="B392" s="20">
        <v>50.0</v>
      </c>
      <c r="C392" s="46">
        <f>IFERROR(__xludf.DUMMYFUNCTION("GOOGLEFINANCE(A392,""marketcap"")"),2.0493657778E10)</f>
        <v>20493657778</v>
      </c>
      <c r="D392" s="20" t="s">
        <v>4356</v>
      </c>
    </row>
    <row r="393" ht="18.75" customHeight="1">
      <c r="A393" s="19" t="s">
        <v>1537</v>
      </c>
      <c r="B393" s="20">
        <v>50.0</v>
      </c>
      <c r="C393" s="46">
        <f>IFERROR(__xludf.DUMMYFUNCTION("GOOGLEFINANCE(A393,""marketcap"")"),2.760268E10)</f>
        <v>27602680000</v>
      </c>
      <c r="D393" s="20" t="s">
        <v>4357</v>
      </c>
    </row>
    <row r="394" ht="18.75" customHeight="1">
      <c r="A394" s="19" t="s">
        <v>1115</v>
      </c>
      <c r="B394" s="20">
        <v>50.0</v>
      </c>
      <c r="C394" s="46">
        <f>IFERROR(__xludf.DUMMYFUNCTION("GOOGLEFINANCE(A394,""marketcap"")"),4.4929063123E10)</f>
        <v>44929063123</v>
      </c>
      <c r="D394" s="20" t="s">
        <v>4358</v>
      </c>
    </row>
    <row r="395" ht="18.75" customHeight="1">
      <c r="A395" s="19" t="s">
        <v>1530</v>
      </c>
      <c r="B395" s="20">
        <v>50.0</v>
      </c>
      <c r="C395" s="46">
        <f>IFERROR(__xludf.DUMMYFUNCTION("GOOGLEFINANCE(A395,""marketcap"")"),8.210258E10)</f>
        <v>82102580000</v>
      </c>
      <c r="D395" s="20" t="s">
        <v>4359</v>
      </c>
    </row>
    <row r="396" ht="18.75" customHeight="1">
      <c r="A396" s="19" t="s">
        <v>1535</v>
      </c>
      <c r="B396" s="20">
        <v>50.0</v>
      </c>
      <c r="C396" s="46">
        <f>IFERROR(__xludf.DUMMYFUNCTION("GOOGLEFINANCE(A396,""marketcap"")"),1.8832633416E10)</f>
        <v>18832633416</v>
      </c>
      <c r="D396" s="20" t="s">
        <v>4360</v>
      </c>
    </row>
    <row r="397" ht="18.75" customHeight="1">
      <c r="A397" s="19" t="s">
        <v>978</v>
      </c>
      <c r="B397" s="20">
        <v>50.0</v>
      </c>
      <c r="C397" s="46">
        <f>IFERROR(__xludf.DUMMYFUNCTION("GOOGLEFINANCE(A397,""marketcap"")"),1.3910208397E10)</f>
        <v>13910208397</v>
      </c>
      <c r="D397" s="20" t="s">
        <v>4361</v>
      </c>
    </row>
    <row r="398" ht="18.75" customHeight="1">
      <c r="A398" s="19" t="s">
        <v>1206</v>
      </c>
      <c r="B398" s="20">
        <v>50.0</v>
      </c>
      <c r="C398" s="46">
        <f>IFERROR(__xludf.DUMMYFUNCTION("GOOGLEFINANCE(A398,""marketcap"")"),1.6936473333E10)</f>
        <v>16936473333</v>
      </c>
      <c r="D398" s="20" t="s">
        <v>4362</v>
      </c>
    </row>
    <row r="399" ht="18.75" customHeight="1">
      <c r="A399" s="19" t="s">
        <v>913</v>
      </c>
      <c r="B399" s="20">
        <v>50.0</v>
      </c>
      <c r="C399" s="46">
        <f>IFERROR(__xludf.DUMMYFUNCTION("GOOGLEFINANCE(A399,""marketcap"")"),1.1289382613E10)</f>
        <v>11289382613</v>
      </c>
      <c r="D399" s="20" t="s">
        <v>4363</v>
      </c>
    </row>
    <row r="400" ht="18.75" customHeight="1">
      <c r="A400" s="19" t="s">
        <v>923</v>
      </c>
      <c r="B400" s="20">
        <v>50.0</v>
      </c>
      <c r="C400" s="46">
        <f>IFERROR(__xludf.DUMMYFUNCTION("GOOGLEFINANCE(A400,""marketcap"")"),1.05733070885E11)</f>
        <v>105733070885</v>
      </c>
      <c r="D400" s="20" t="s">
        <v>4364</v>
      </c>
    </row>
    <row r="401" ht="18.75" customHeight="1">
      <c r="A401" s="19" t="s">
        <v>980</v>
      </c>
      <c r="B401" s="20">
        <v>50.0</v>
      </c>
      <c r="C401" s="46">
        <f>IFERROR(__xludf.DUMMYFUNCTION("GOOGLEFINANCE(A401,""marketcap"")"),2.093650031E10)</f>
        <v>20936500310</v>
      </c>
      <c r="D401" s="20" t="s">
        <v>4365</v>
      </c>
    </row>
    <row r="402" ht="18.75" customHeight="1">
      <c r="A402" s="19" t="s">
        <v>1043</v>
      </c>
      <c r="B402" s="20">
        <v>50.0</v>
      </c>
      <c r="C402" s="46">
        <f>IFERROR(__xludf.DUMMYFUNCTION("GOOGLEFINANCE(A402,""marketcap"")"),5.23506141E9)</f>
        <v>5235061410</v>
      </c>
      <c r="D402" s="20" t="s">
        <v>4366</v>
      </c>
    </row>
    <row r="403" ht="18.75" customHeight="1">
      <c r="A403" s="19" t="s">
        <v>919</v>
      </c>
      <c r="B403" s="20">
        <v>50.0</v>
      </c>
      <c r="C403" s="46">
        <f>IFERROR(__xludf.DUMMYFUNCTION("GOOGLEFINANCE(A403,""marketcap"")"),6.9257683204E10)</f>
        <v>69257683204</v>
      </c>
      <c r="D403" s="20" t="s">
        <v>4367</v>
      </c>
    </row>
    <row r="404" ht="18.75" customHeight="1">
      <c r="A404" s="19" t="s">
        <v>1533</v>
      </c>
      <c r="B404" s="20">
        <v>50.0</v>
      </c>
      <c r="C404" s="46">
        <f>IFERROR(__xludf.DUMMYFUNCTION("GOOGLEFINANCE(A404,""marketcap"")"),5.1095586335E10)</f>
        <v>51095586335</v>
      </c>
      <c r="D404" s="20" t="s">
        <v>4368</v>
      </c>
    </row>
    <row r="405" ht="18.75" customHeight="1">
      <c r="A405" s="19" t="s">
        <v>1262</v>
      </c>
      <c r="B405" s="20">
        <v>50.0</v>
      </c>
      <c r="C405" s="46">
        <f>IFERROR(__xludf.DUMMYFUNCTION("GOOGLEFINANCE(A405,""marketcap"")"),4.80404449E9)</f>
        <v>4804044490</v>
      </c>
      <c r="D405" s="20" t="s">
        <v>4369</v>
      </c>
    </row>
    <row r="406" ht="18.75" customHeight="1">
      <c r="A406" s="19" t="s">
        <v>139</v>
      </c>
      <c r="B406" s="20">
        <v>50.0</v>
      </c>
      <c r="C406" s="46">
        <f>IFERROR(__xludf.DUMMYFUNCTION("GOOGLEFINANCE(A406,""marketcap"")"),7.9147729632E10)</f>
        <v>79147729632</v>
      </c>
      <c r="D406" s="20" t="s">
        <v>4370</v>
      </c>
    </row>
    <row r="407" ht="18.75" customHeight="1">
      <c r="A407" s="19" t="s">
        <v>1264</v>
      </c>
      <c r="B407" s="20">
        <v>50.0</v>
      </c>
      <c r="C407" s="46">
        <f>IFERROR(__xludf.DUMMYFUNCTION("GOOGLEFINANCE(A407,""marketcap"")"),2.4997471705E10)</f>
        <v>24997471705</v>
      </c>
      <c r="D407" s="20" t="s">
        <v>4371</v>
      </c>
    </row>
    <row r="408" ht="18.75" customHeight="1">
      <c r="A408" s="19" t="s">
        <v>394</v>
      </c>
      <c r="B408" s="44"/>
      <c r="C408" s="46">
        <f>IFERROR(__xludf.DUMMYFUNCTION("GOOGLEFINANCE(A408,""marketcap"")"),1.78517072919E11)</f>
        <v>178517072919</v>
      </c>
      <c r="D408" s="20" t="s">
        <v>4372</v>
      </c>
    </row>
    <row r="409" ht="18.75" customHeight="1">
      <c r="A409" s="19" t="s">
        <v>1493</v>
      </c>
      <c r="B409" s="44"/>
      <c r="C409" s="46">
        <f>IFERROR(__xludf.DUMMYFUNCTION("GOOGLEFINANCE(A409,""marketcap"")"),1.2506938343E10)</f>
        <v>12506938343</v>
      </c>
      <c r="D409" s="20" t="s">
        <v>4373</v>
      </c>
    </row>
    <row r="410" ht="18.75" customHeight="1">
      <c r="A410" s="19" t="s">
        <v>1503</v>
      </c>
      <c r="B410" s="44"/>
      <c r="C410" s="46">
        <f>IFERROR(__xludf.DUMMYFUNCTION("GOOGLEFINANCE(A410,""marketcap"")"),6.3393191443E10)</f>
        <v>63393191443</v>
      </c>
      <c r="D410" s="20" t="s">
        <v>4374</v>
      </c>
    </row>
    <row r="411" ht="18.75" customHeight="1">
      <c r="A411" s="19" t="s">
        <v>1500</v>
      </c>
      <c r="B411" s="44"/>
      <c r="C411" s="46">
        <f>IFERROR(__xludf.DUMMYFUNCTION("GOOGLEFINANCE(A411,""marketcap"")"),8.95724595E10)</f>
        <v>89572459500</v>
      </c>
      <c r="D411" s="20" t="s">
        <v>4375</v>
      </c>
    </row>
    <row r="412" ht="18.75" customHeight="1">
      <c r="A412" s="19" t="s">
        <v>614</v>
      </c>
      <c r="B412" s="44"/>
      <c r="C412" s="46">
        <f>IFERROR(__xludf.DUMMYFUNCTION("GOOGLEFINANCE(A412,""marketcap"")"),8.0159125603E10)</f>
        <v>80159125603</v>
      </c>
      <c r="D412" s="20" t="s">
        <v>4376</v>
      </c>
    </row>
    <row r="413" ht="18.75" customHeight="1">
      <c r="A413" s="19" t="s">
        <v>1452</v>
      </c>
      <c r="B413" s="44"/>
      <c r="C413" s="46">
        <f>IFERROR(__xludf.DUMMYFUNCTION("GOOGLEFINANCE(A413,""marketcap"")"),1.2836553085E10)</f>
        <v>12836553085</v>
      </c>
      <c r="D413" s="20" t="s">
        <v>4377</v>
      </c>
    </row>
    <row r="414" ht="18.75" customHeight="1">
      <c r="A414" s="19" t="s">
        <v>1243</v>
      </c>
      <c r="B414" s="44"/>
      <c r="C414" s="46">
        <f>IFERROR(__xludf.DUMMYFUNCTION("GOOGLEFINANCE(A414,""marketcap"")"),9.430108785E9)</f>
        <v>9430108785</v>
      </c>
      <c r="D414" s="20" t="s">
        <v>4378</v>
      </c>
    </row>
    <row r="415" ht="18.75" customHeight="1">
      <c r="A415" s="19" t="s">
        <v>1400</v>
      </c>
      <c r="B415" s="44"/>
      <c r="C415" s="46">
        <f>IFERROR(__xludf.DUMMYFUNCTION("GOOGLEFINANCE(A415,""marketcap"")"),1.0430928931E10)</f>
        <v>10430928931</v>
      </c>
      <c r="D415" s="20" t="s">
        <v>4379</v>
      </c>
    </row>
    <row r="416" ht="18.75" customHeight="1">
      <c r="A416" s="19" t="s">
        <v>1365</v>
      </c>
      <c r="B416" s="44"/>
      <c r="C416" s="46">
        <f>IFERROR(__xludf.DUMMYFUNCTION("GOOGLEFINANCE(A416,""marketcap"")"),1.3387278902E10)</f>
        <v>13387278902</v>
      </c>
      <c r="D416" s="20" t="s">
        <v>4380</v>
      </c>
    </row>
    <row r="417" ht="18.75" customHeight="1">
      <c r="A417" s="19" t="s">
        <v>1458</v>
      </c>
      <c r="B417" s="44"/>
      <c r="C417" s="46">
        <f>IFERROR(__xludf.DUMMYFUNCTION("GOOGLEFINANCE(A417,""marketcap"")"),6.269404924E9)</f>
        <v>6269404924</v>
      </c>
      <c r="D417" s="20" t="s">
        <v>4381</v>
      </c>
    </row>
    <row r="418" ht="18.75" customHeight="1">
      <c r="A418" s="19" t="s">
        <v>888</v>
      </c>
      <c r="B418" s="44"/>
      <c r="C418" s="46">
        <f>IFERROR(__xludf.DUMMYFUNCTION("GOOGLEFINANCE(A418,""marketcap"")"),1.5401295345E11)</f>
        <v>154012953450</v>
      </c>
      <c r="D418" s="20" t="s">
        <v>4382</v>
      </c>
    </row>
    <row r="419" ht="18.75" customHeight="1">
      <c r="A419" s="19" t="s">
        <v>1338</v>
      </c>
      <c r="B419" s="44"/>
      <c r="C419" s="46">
        <f>IFERROR(__xludf.DUMMYFUNCTION("GOOGLEFINANCE(A419,""marketcap"")"),2.2430645083E10)</f>
        <v>22430645083</v>
      </c>
      <c r="D419" s="20" t="s">
        <v>4383</v>
      </c>
    </row>
    <row r="420" ht="18.75" customHeight="1">
      <c r="A420" s="19" t="s">
        <v>1128</v>
      </c>
      <c r="B420" s="44"/>
      <c r="C420" s="46">
        <f>IFERROR(__xludf.DUMMYFUNCTION("GOOGLEFINANCE(A420,""marketcap"")"),2.4489570736E10)</f>
        <v>24489570736</v>
      </c>
      <c r="D420" s="20" t="s">
        <v>4384</v>
      </c>
    </row>
    <row r="421" ht="18.75" customHeight="1">
      <c r="A421" s="19" t="s">
        <v>1410</v>
      </c>
      <c r="B421" s="44"/>
      <c r="C421" s="46">
        <f>IFERROR(__xludf.DUMMYFUNCTION("GOOGLEFINANCE(A421,""marketcap"")"),6.760316277E9)</f>
        <v>6760316277</v>
      </c>
      <c r="D421" s="20" t="s">
        <v>4385</v>
      </c>
    </row>
    <row r="422" ht="18.75" customHeight="1">
      <c r="A422" s="19" t="s">
        <v>1193</v>
      </c>
      <c r="B422" s="44"/>
      <c r="C422" s="46">
        <f>IFERROR(__xludf.DUMMYFUNCTION("GOOGLEFINANCE(A422,""marketcap"")"),3.9166856872E10)</f>
        <v>39166856872</v>
      </c>
      <c r="D422" s="20" t="s">
        <v>4386</v>
      </c>
    </row>
    <row r="423" ht="18.75" customHeight="1">
      <c r="A423" s="19" t="s">
        <v>1239</v>
      </c>
      <c r="B423" s="44"/>
      <c r="C423" s="46">
        <f>IFERROR(__xludf.DUMMYFUNCTION("GOOGLEFINANCE(A423,""marketcap"")"),2.552152602E10)</f>
        <v>25521526020</v>
      </c>
      <c r="D423" s="20" t="s">
        <v>4387</v>
      </c>
    </row>
    <row r="424" ht="18.75" customHeight="1">
      <c r="A424" s="19" t="s">
        <v>1287</v>
      </c>
      <c r="B424" s="44"/>
      <c r="C424" s="46">
        <f>IFERROR(__xludf.DUMMYFUNCTION("GOOGLEFINANCE(A424,""marketcap"")"),1.60887595045E11)</f>
        <v>160887595045</v>
      </c>
      <c r="D424" s="20" t="s">
        <v>4388</v>
      </c>
    </row>
    <row r="425" ht="18.75" customHeight="1">
      <c r="A425" s="19" t="s">
        <v>57</v>
      </c>
      <c r="B425" s="44"/>
      <c r="C425" s="46">
        <f>IFERROR(__xludf.DUMMYFUNCTION("GOOGLEFINANCE(A425,""marketcap"")"),4.47552195726E11)</f>
        <v>447552195726</v>
      </c>
      <c r="D425" s="20" t="s">
        <v>4389</v>
      </c>
    </row>
    <row r="426" ht="18.75" customHeight="1">
      <c r="A426" s="19" t="s">
        <v>197</v>
      </c>
      <c r="B426" s="44"/>
      <c r="C426" s="46">
        <f>IFERROR(__xludf.DUMMYFUNCTION("GOOGLEFINANCE(A426,""marketcap"")"),1.21142018487E11)</f>
        <v>121142018487</v>
      </c>
      <c r="D426" s="20" t="s">
        <v>4390</v>
      </c>
    </row>
    <row r="427" ht="18.75" customHeight="1">
      <c r="A427" s="19" t="s">
        <v>295</v>
      </c>
      <c r="B427" s="44"/>
      <c r="C427" s="46">
        <f>IFERROR(__xludf.DUMMYFUNCTION("GOOGLEFINANCE(A427,""marketcap"")"),1.55268487585E11)</f>
        <v>155268487585</v>
      </c>
      <c r="D427" s="20" t="s">
        <v>4391</v>
      </c>
    </row>
    <row r="428" ht="18.75" customHeight="1">
      <c r="A428" s="19" t="s">
        <v>949</v>
      </c>
      <c r="B428" s="44"/>
      <c r="C428" s="46">
        <f>IFERROR(__xludf.DUMMYFUNCTION("GOOGLEFINANCE(A428,""marketcap"")"),3.0798E8)</f>
        <v>307980000</v>
      </c>
      <c r="D428" s="20" t="s">
        <v>4392</v>
      </c>
    </row>
    <row r="429" ht="18.75" customHeight="1">
      <c r="A429" s="19" t="s">
        <v>1524</v>
      </c>
      <c r="B429" s="44"/>
      <c r="C429" s="46">
        <f>IFERROR(__xludf.DUMMYFUNCTION("GOOGLEFINANCE(A429,""marketcap"")"),4.1864857732E10)</f>
        <v>41864857732</v>
      </c>
      <c r="D429" s="20" t="s">
        <v>4393</v>
      </c>
    </row>
    <row r="430" ht="18.75" customHeight="1">
      <c r="A430" s="19" t="s">
        <v>1191</v>
      </c>
      <c r="B430" s="44"/>
      <c r="C430" s="46">
        <f>IFERROR(__xludf.DUMMYFUNCTION("GOOGLEFINANCE(A430,""marketcap"")"),2.9248780249E10)</f>
        <v>29248780249</v>
      </c>
      <c r="D430" s="20" t="s">
        <v>4394</v>
      </c>
    </row>
    <row r="431" ht="18.75" customHeight="1">
      <c r="A431" s="19" t="s">
        <v>917</v>
      </c>
      <c r="B431" s="44"/>
      <c r="C431" s="46">
        <f>IFERROR(__xludf.DUMMYFUNCTION("GOOGLEFINANCE(A431,""marketcap"")"),8.421870309E9)</f>
        <v>8421870309</v>
      </c>
      <c r="D431" s="20" t="s">
        <v>4395</v>
      </c>
    </row>
    <row r="432" ht="18.75" customHeight="1">
      <c r="A432" s="19" t="s">
        <v>915</v>
      </c>
      <c r="B432" s="44"/>
      <c r="C432" s="46">
        <f>IFERROR(__xludf.DUMMYFUNCTION("GOOGLEFINANCE(A432,""marketcap"")"),1.55906256489E11)</f>
        <v>155906256489</v>
      </c>
      <c r="D432" s="20" t="s">
        <v>4396</v>
      </c>
    </row>
    <row r="433" ht="18.75" customHeight="1">
      <c r="A433" s="19" t="s">
        <v>1208</v>
      </c>
      <c r="B433" s="44"/>
      <c r="C433" s="46">
        <f>IFERROR(__xludf.DUMMYFUNCTION("GOOGLEFINANCE(A433,""marketcap"")"),3.5001753903E10)</f>
        <v>35001753903</v>
      </c>
      <c r="D433" s="20" t="s">
        <v>4397</v>
      </c>
    </row>
    <row r="434" ht="18.75" customHeight="1">
      <c r="A434" s="19" t="s">
        <v>1204</v>
      </c>
      <c r="B434" s="44"/>
      <c r="C434" s="46">
        <f>IFERROR(__xludf.DUMMYFUNCTION("GOOGLEFINANCE(A434,""marketcap"")"),2.4555983561E10)</f>
        <v>24555983561</v>
      </c>
      <c r="D434" s="20" t="s">
        <v>4398</v>
      </c>
    </row>
    <row r="435" ht="18.75" customHeight="1">
      <c r="A435" s="19" t="s">
        <v>1472</v>
      </c>
      <c r="B435" s="44"/>
      <c r="C435" s="46">
        <f>IFERROR(__xludf.DUMMYFUNCTION("GOOGLEFINANCE(A435,""marketcap"")"),3.1186719275E10)</f>
        <v>31186719275</v>
      </c>
      <c r="D435" s="20" t="s">
        <v>4399</v>
      </c>
    </row>
    <row r="436" ht="18.75" customHeight="1">
      <c r="A436" s="19" t="s">
        <v>1113</v>
      </c>
      <c r="B436" s="44"/>
      <c r="C436" s="46">
        <f>IFERROR(__xludf.DUMMYFUNCTION("GOOGLEFINANCE(A436,""marketcap"")"),8.146362765E9)</f>
        <v>8146362765</v>
      </c>
      <c r="D436" s="20" t="s">
        <v>4400</v>
      </c>
    </row>
    <row r="437" ht="18.75" customHeight="1">
      <c r="A437" s="19" t="s">
        <v>1125</v>
      </c>
      <c r="B437" s="44"/>
      <c r="C437" s="46">
        <f>IFERROR(__xludf.DUMMYFUNCTION("GOOGLEFINANCE(A437,""marketcap"")"),2.2478642375E10)</f>
        <v>22478642375</v>
      </c>
      <c r="D437" s="20" t="s">
        <v>4401</v>
      </c>
    </row>
    <row r="438" ht="18.75" customHeight="1">
      <c r="A438" s="19" t="s">
        <v>995</v>
      </c>
      <c r="B438" s="44"/>
      <c r="C438" s="46">
        <f>IFERROR(__xludf.DUMMYFUNCTION("GOOGLEFINANCE(A438,""marketcap"")"),4.4708352887E10)</f>
        <v>44708352887</v>
      </c>
      <c r="D438" s="20" t="s">
        <v>4402</v>
      </c>
    </row>
    <row r="439" ht="18.75" customHeight="1">
      <c r="A439" s="19" t="s">
        <v>87</v>
      </c>
      <c r="B439" s="44"/>
      <c r="C439" s="46" t="str">
        <f>IFERROR(__xludf.DUMMYFUNCTION("GOOGLEFINANCE(A439,""marketcap"")"),"#N/A")</f>
        <v>#N/A</v>
      </c>
      <c r="D439" s="20" t="s">
        <v>4403</v>
      </c>
    </row>
    <row r="440" ht="18.75" customHeight="1">
      <c r="A440" s="19" t="s">
        <v>1000</v>
      </c>
      <c r="B440" s="44"/>
      <c r="C440" s="46">
        <f>IFERROR(__xludf.DUMMYFUNCTION("GOOGLEFINANCE(A440,""marketcap"")"),8.3510863509E10)</f>
        <v>83510863509</v>
      </c>
      <c r="D440" s="20" t="s">
        <v>4404</v>
      </c>
    </row>
    <row r="441" ht="18.75" customHeight="1">
      <c r="A441" s="19" t="s">
        <v>66</v>
      </c>
      <c r="B441" s="44"/>
      <c r="C441" s="46">
        <f>IFERROR(__xludf.DUMMYFUNCTION("GOOGLEFINANCE(A441,""marketcap"")"),4.6302844351E10)</f>
        <v>46302844351</v>
      </c>
      <c r="D441" s="20" t="s">
        <v>4405</v>
      </c>
    </row>
    <row r="442" ht="18.75" customHeight="1">
      <c r="A442" s="19" t="s">
        <v>1002</v>
      </c>
      <c r="B442" s="44"/>
      <c r="C442" s="46">
        <f>IFERROR(__xludf.DUMMYFUNCTION("GOOGLEFINANCE(A442,""marketcap"")"),3.10027583181E11)</f>
        <v>310027583181</v>
      </c>
      <c r="D442" s="20" t="s">
        <v>4406</v>
      </c>
    </row>
    <row r="443" ht="18.75" customHeight="1">
      <c r="A443" s="19" t="s">
        <v>1123</v>
      </c>
      <c r="B443" s="44"/>
      <c r="C443" s="46">
        <f>IFERROR(__xludf.DUMMYFUNCTION("GOOGLEFINANCE(A443,""marketcap"")"),1.58598086E10)</f>
        <v>15859808600</v>
      </c>
      <c r="D443" s="20" t="s">
        <v>4407</v>
      </c>
    </row>
    <row r="444" ht="18.75" customHeight="1">
      <c r="A444" s="19" t="s">
        <v>1121</v>
      </c>
      <c r="B444" s="44"/>
      <c r="C444" s="46">
        <f>IFERROR(__xludf.DUMMYFUNCTION("GOOGLEFINANCE(A444,""marketcap"")"),1.8508067646E10)</f>
        <v>18508067646</v>
      </c>
      <c r="D444" s="20" t="s">
        <v>4408</v>
      </c>
    </row>
    <row r="445" ht="18.75" customHeight="1">
      <c r="A445" s="19" t="s">
        <v>1549</v>
      </c>
      <c r="B445" s="44"/>
      <c r="C445" s="46">
        <f>IFERROR(__xludf.DUMMYFUNCTION("GOOGLEFINANCE(A445,""marketcap"")"),7.1051220511E10)</f>
        <v>71051220511</v>
      </c>
      <c r="D445" s="20" t="s">
        <v>4409</v>
      </c>
    </row>
    <row r="446" ht="18.75" customHeight="1">
      <c r="A446" s="19" t="s">
        <v>1547</v>
      </c>
      <c r="B446" s="44"/>
      <c r="C446" s="46">
        <f>IFERROR(__xludf.DUMMYFUNCTION("GOOGLEFINANCE(A446,""marketcap"")"),1.185195571E10)</f>
        <v>11851955710</v>
      </c>
      <c r="D446" s="20" t="s">
        <v>4410</v>
      </c>
    </row>
    <row r="447" ht="18.75" customHeight="1">
      <c r="A447" s="19" t="s">
        <v>61</v>
      </c>
      <c r="B447" s="44"/>
      <c r="C447" s="46">
        <f>IFERROR(__xludf.DUMMYFUNCTION("GOOGLEFINANCE(A447,""marketcap"")"),1.6968845325E10)</f>
        <v>16968845325</v>
      </c>
      <c r="D447" s="20" t="s">
        <v>4411</v>
      </c>
    </row>
    <row r="448" ht="18.75" customHeight="1">
      <c r="A448" s="19" t="s">
        <v>1053</v>
      </c>
      <c r="B448" s="44"/>
      <c r="C448" s="46">
        <f>IFERROR(__xludf.DUMMYFUNCTION("GOOGLEFINANCE(A448,""marketcap"")"),3.16189005523E11)</f>
        <v>316189005523</v>
      </c>
      <c r="D448" s="20" t="s">
        <v>4412</v>
      </c>
    </row>
    <row r="449" ht="18.75" customHeight="1">
      <c r="A449" s="19" t="s">
        <v>1433</v>
      </c>
      <c r="B449" s="44"/>
      <c r="C449" s="46">
        <f>IFERROR(__xludf.DUMMYFUNCTION("GOOGLEFINANCE(A449,""marketcap"")"),1.1247811385E10)</f>
        <v>11247811385</v>
      </c>
      <c r="D449" s="20" t="s">
        <v>4413</v>
      </c>
    </row>
    <row r="450" ht="18.75" customHeight="1">
      <c r="A450" s="19" t="s">
        <v>95</v>
      </c>
      <c r="B450" s="44"/>
      <c r="C450" s="46">
        <f>IFERROR(__xludf.DUMMYFUNCTION("GOOGLEFINANCE(A450,""marketcap"")"),2.9643770175E10)</f>
        <v>29643770175</v>
      </c>
      <c r="D450" s="20" t="s">
        <v>4414</v>
      </c>
    </row>
    <row r="451" ht="18.75" customHeight="1">
      <c r="A451" s="19" t="s">
        <v>1398</v>
      </c>
      <c r="B451" s="44"/>
      <c r="C451" s="46">
        <f>IFERROR(__xludf.DUMMYFUNCTION("GOOGLEFINANCE(A451,""marketcap"")"),1.748994256E10)</f>
        <v>17489942560</v>
      </c>
      <c r="D451" s="20" t="s">
        <v>4415</v>
      </c>
    </row>
    <row r="452" ht="18.75" customHeight="1">
      <c r="A452" s="19" t="s">
        <v>1094</v>
      </c>
      <c r="B452" s="44"/>
      <c r="C452" s="46">
        <f>IFERROR(__xludf.DUMMYFUNCTION("GOOGLEFINANCE(A452,""marketcap"")"),2.982670012E10)</f>
        <v>29826700120</v>
      </c>
      <c r="D452" s="20" t="s">
        <v>4416</v>
      </c>
    </row>
    <row r="453" ht="18.75" customHeight="1">
      <c r="A453" s="19" t="s">
        <v>1091</v>
      </c>
      <c r="B453" s="44"/>
      <c r="C453" s="46">
        <f>IFERROR(__xludf.DUMMYFUNCTION("GOOGLEFINANCE(A453,""marketcap"")"),8.5123331118E10)</f>
        <v>85123331118</v>
      </c>
      <c r="D453" s="20" t="s">
        <v>4417</v>
      </c>
    </row>
    <row r="454" ht="18.75" customHeight="1">
      <c r="A454" s="19" t="s">
        <v>1566</v>
      </c>
      <c r="B454" s="44"/>
      <c r="C454" s="46" t="str">
        <f>IFERROR(__xludf.DUMMYFUNCTION("GOOGLEFINANCE(A454,""marketcap"")"),"#N/A")</f>
        <v>#N/A</v>
      </c>
      <c r="D454" s="20" t="s">
        <v>4418</v>
      </c>
    </row>
    <row r="455" ht="18.75" customHeight="1">
      <c r="A455" s="19" t="s">
        <v>165</v>
      </c>
      <c r="B455" s="44"/>
      <c r="C455" s="46">
        <f>IFERROR(__xludf.DUMMYFUNCTION("GOOGLEFINANCE(A455,""marketcap"")"),3.9224915866E10)</f>
        <v>39224915866</v>
      </c>
      <c r="D455" s="20" t="s">
        <v>4419</v>
      </c>
    </row>
    <row r="456" ht="18.75" customHeight="1">
      <c r="A456" s="19" t="s">
        <v>164</v>
      </c>
      <c r="B456" s="44"/>
      <c r="C456" s="46">
        <f>IFERROR(__xludf.DUMMYFUNCTION("GOOGLEFINANCE(A456,""marketcap"")"),3.2633050082E10)</f>
        <v>32633050082</v>
      </c>
      <c r="D456" s="20" t="s">
        <v>4420</v>
      </c>
    </row>
    <row r="457" ht="18.75" customHeight="1">
      <c r="A457" s="19" t="s">
        <v>1385</v>
      </c>
      <c r="B457" s="44"/>
      <c r="C457" s="46">
        <f>IFERROR(__xludf.DUMMYFUNCTION("GOOGLEFINANCE(A457,""marketcap"")"),1.5834669847E10)</f>
        <v>15834669847</v>
      </c>
      <c r="D457" s="20" t="s">
        <v>4421</v>
      </c>
    </row>
    <row r="458" ht="18.75" customHeight="1">
      <c r="A458" s="19" t="s">
        <v>1569</v>
      </c>
      <c r="B458" s="44"/>
      <c r="C458" s="46">
        <f>IFERROR(__xludf.DUMMYFUNCTION("GOOGLEFINANCE(A458,""marketcap"")"),2.8407660457E10)</f>
        <v>28407660457</v>
      </c>
      <c r="D458" s="20" t="s">
        <v>4422</v>
      </c>
    </row>
    <row r="459" ht="18.75" customHeight="1">
      <c r="A459" s="19" t="s">
        <v>169</v>
      </c>
      <c r="B459" s="44"/>
      <c r="C459" s="46">
        <f>IFERROR(__xludf.DUMMYFUNCTION("GOOGLEFINANCE(A459,""marketcap"")"),4.0209455446E10)</f>
        <v>40209455446</v>
      </c>
      <c r="D459" s="20" t="s">
        <v>4423</v>
      </c>
    </row>
    <row r="460" ht="18.75" customHeight="1">
      <c r="A460" s="19" t="s">
        <v>455</v>
      </c>
      <c r="B460" s="44"/>
      <c r="C460" s="46">
        <f>IFERROR(__xludf.DUMMYFUNCTION("GOOGLEFINANCE(A460,""marketcap"")"),3.677304E11)</f>
        <v>367730400000</v>
      </c>
      <c r="D460" s="20" t="s">
        <v>4424</v>
      </c>
    </row>
    <row r="461" ht="18.75" customHeight="1">
      <c r="A461" s="19" t="s">
        <v>170</v>
      </c>
      <c r="B461" s="44"/>
      <c r="C461" s="46">
        <f>IFERROR(__xludf.DUMMYFUNCTION("GOOGLEFINANCE(A461,""marketcap"")"),1.5164223501E10)</f>
        <v>15164223501</v>
      </c>
      <c r="D461" s="20" t="s">
        <v>4425</v>
      </c>
    </row>
    <row r="462" ht="18.75" customHeight="1">
      <c r="A462" s="19" t="s">
        <v>1266</v>
      </c>
      <c r="B462" s="44"/>
      <c r="C462" s="46">
        <f>IFERROR(__xludf.DUMMYFUNCTION("GOOGLEFINANCE(A462,""marketcap"")"),1.4472425425E10)</f>
        <v>14472425425</v>
      </c>
      <c r="D462" s="20" t="s">
        <v>4426</v>
      </c>
    </row>
    <row r="463" ht="18.75" customHeight="1">
      <c r="A463" s="19" t="s">
        <v>36</v>
      </c>
      <c r="B463" s="44"/>
      <c r="C463" s="46">
        <f>IFERROR(__xludf.DUMMYFUNCTION("GOOGLEFINANCE(A463,""marketcap"")"),4.37798110931E11)</f>
        <v>437798110931</v>
      </c>
      <c r="D463" s="20" t="s">
        <v>4427</v>
      </c>
    </row>
    <row r="464" ht="18.75" customHeight="1">
      <c r="A464" s="19" t="s">
        <v>1225</v>
      </c>
      <c r="B464" s="44"/>
      <c r="C464" s="46">
        <f>IFERROR(__xludf.DUMMYFUNCTION("GOOGLEFINANCE(A464,""marketcap"")"),8.621531E9)</f>
        <v>8621531000</v>
      </c>
      <c r="D464" s="20" t="s">
        <v>4428</v>
      </c>
    </row>
    <row r="465" ht="18.75" customHeight="1">
      <c r="A465" s="19" t="s">
        <v>1381</v>
      </c>
      <c r="B465" s="44"/>
      <c r="C465" s="46">
        <f>IFERROR(__xludf.DUMMYFUNCTION("GOOGLEFINANCE(A465,""marketcap"")"),1.2985700333E10)</f>
        <v>12985700333</v>
      </c>
      <c r="D465" s="20" t="s">
        <v>4429</v>
      </c>
    </row>
    <row r="466" ht="18.75" customHeight="1">
      <c r="A466" s="19" t="s">
        <v>1359</v>
      </c>
      <c r="B466" s="44"/>
      <c r="C466" s="46">
        <f>IFERROR(__xludf.DUMMYFUNCTION("GOOGLEFINANCE(A466,""marketcap"")"),6.328764637E9)</f>
        <v>6328764637</v>
      </c>
      <c r="D466" s="20" t="s">
        <v>4430</v>
      </c>
    </row>
    <row r="467" ht="18.75" customHeight="1">
      <c r="A467" s="19" t="s">
        <v>965</v>
      </c>
      <c r="B467" s="44"/>
      <c r="C467" s="46">
        <f>IFERROR(__xludf.DUMMYFUNCTION("GOOGLEFINANCE(A467,""marketcap"")"),8.4383509635E10)</f>
        <v>84383509635</v>
      </c>
      <c r="D467" s="20" t="s">
        <v>4431</v>
      </c>
    </row>
    <row r="468" ht="18.75" customHeight="1">
      <c r="A468" s="19" t="s">
        <v>37</v>
      </c>
      <c r="B468" s="44"/>
      <c r="C468" s="46">
        <f>IFERROR(__xludf.DUMMYFUNCTION("GOOGLEFINANCE(A468,""marketcap"")"),3.68347965594E11)</f>
        <v>368347965594</v>
      </c>
      <c r="D468" s="20" t="s">
        <v>4432</v>
      </c>
    </row>
    <row r="469" ht="18.75" customHeight="1">
      <c r="A469" s="19" t="s">
        <v>1592</v>
      </c>
      <c r="B469" s="44"/>
      <c r="C469" s="46">
        <f>IFERROR(__xludf.DUMMYFUNCTION("GOOGLEFINANCE(A469,""marketcap"")"),1.94145243918E11)</f>
        <v>194145243918</v>
      </c>
      <c r="D469" s="20" t="s">
        <v>4433</v>
      </c>
    </row>
    <row r="470" ht="18.75" customHeight="1">
      <c r="A470" s="19" t="s">
        <v>1383</v>
      </c>
      <c r="B470" s="44"/>
      <c r="C470" s="46">
        <f>IFERROR(__xludf.DUMMYFUNCTION("GOOGLEFINANCE(A470,""marketcap"")"),1.581632E10)</f>
        <v>15816320000</v>
      </c>
      <c r="D470" s="20" t="s">
        <v>4434</v>
      </c>
    </row>
    <row r="471" ht="18.75" customHeight="1">
      <c r="A471" s="19" t="s">
        <v>937</v>
      </c>
      <c r="B471" s="44"/>
      <c r="C471" s="46">
        <f>IFERROR(__xludf.DUMMYFUNCTION("GOOGLEFINANCE(A471,""marketcap"")"),2.9139331832E10)</f>
        <v>29139331832</v>
      </c>
      <c r="D471" s="20" t="s">
        <v>4435</v>
      </c>
    </row>
    <row r="472" ht="18.75" customHeight="1">
      <c r="A472" s="19" t="s">
        <v>1143</v>
      </c>
      <c r="B472" s="44"/>
      <c r="C472" s="46">
        <f>IFERROR(__xludf.DUMMYFUNCTION("GOOGLEFINANCE(A472,""marketcap"")"),5.1809849E10)</f>
        <v>51809849000</v>
      </c>
      <c r="D472" s="20" t="s">
        <v>4436</v>
      </c>
    </row>
    <row r="473" ht="18.75" customHeight="1">
      <c r="A473" s="19" t="s">
        <v>933</v>
      </c>
      <c r="B473" s="44"/>
      <c r="C473" s="46">
        <f>IFERROR(__xludf.DUMMYFUNCTION("GOOGLEFINANCE(A473,""marketcap"")"),1.6125752909E10)</f>
        <v>16125752909</v>
      </c>
      <c r="D473" s="20" t="s">
        <v>4437</v>
      </c>
    </row>
    <row r="474" ht="18.75" customHeight="1">
      <c r="A474" s="19" t="s">
        <v>1340</v>
      </c>
      <c r="B474" s="44"/>
      <c r="C474" s="46">
        <f>IFERROR(__xludf.DUMMYFUNCTION("GOOGLEFINANCE(A474,""marketcap"")"),6.015978E10)</f>
        <v>60159780000</v>
      </c>
      <c r="D474" s="20" t="s">
        <v>4438</v>
      </c>
    </row>
    <row r="475" ht="18.75" customHeight="1">
      <c r="A475" s="19" t="s">
        <v>1377</v>
      </c>
      <c r="B475" s="44"/>
      <c r="C475" s="46">
        <f>IFERROR(__xludf.DUMMYFUNCTION("GOOGLEFINANCE(A475,""marketcap"")"),3.303496E11)</f>
        <v>330349600000</v>
      </c>
      <c r="D475" s="20" t="s">
        <v>4439</v>
      </c>
    </row>
    <row r="476" ht="18.75" customHeight="1">
      <c r="A476" s="19" t="s">
        <v>1369</v>
      </c>
      <c r="B476" s="44"/>
      <c r="C476" s="46">
        <f>IFERROR(__xludf.DUMMYFUNCTION("GOOGLEFINANCE(A476,""marketcap"")"),6.8784407621E10)</f>
        <v>68784407621</v>
      </c>
      <c r="D476" s="20" t="s">
        <v>4440</v>
      </c>
    </row>
    <row r="477" ht="18.75" customHeight="1">
      <c r="A477" s="19" t="s">
        <v>1363</v>
      </c>
      <c r="B477" s="44"/>
      <c r="C477" s="46">
        <f>IFERROR(__xludf.DUMMYFUNCTION("GOOGLEFINANCE(A477,""marketcap"")"),1.2027819675E10)</f>
        <v>12027819675</v>
      </c>
      <c r="D477" s="20" t="s">
        <v>4441</v>
      </c>
    </row>
    <row r="478" ht="18.75" customHeight="1">
      <c r="A478" s="19" t="s">
        <v>1449</v>
      </c>
      <c r="B478" s="44"/>
      <c r="C478" s="46">
        <f>IFERROR(__xludf.DUMMYFUNCTION("GOOGLEFINANCE(A478,""marketcap"")"),6.842902265E9)</f>
        <v>6842902265</v>
      </c>
      <c r="D478" s="20" t="s">
        <v>4442</v>
      </c>
    </row>
    <row r="479" ht="18.75" customHeight="1">
      <c r="A479" s="19" t="s">
        <v>1373</v>
      </c>
      <c r="B479" s="44"/>
      <c r="C479" s="46">
        <f>IFERROR(__xludf.DUMMYFUNCTION("GOOGLEFINANCE(A479,""marketcap"")"),5.4601736028E10)</f>
        <v>54601736028</v>
      </c>
      <c r="D479" s="20" t="s">
        <v>4443</v>
      </c>
    </row>
    <row r="480" ht="18.75" customHeight="1">
      <c r="A480" s="19" t="s">
        <v>142</v>
      </c>
      <c r="B480" s="44"/>
      <c r="C480" s="46">
        <f>IFERROR(__xludf.DUMMYFUNCTION("GOOGLEFINANCE(A480,""marketcap"")"),2.2391665146E10)</f>
        <v>22391665146</v>
      </c>
      <c r="D480" s="20" t="s">
        <v>4444</v>
      </c>
    </row>
    <row r="481" ht="18.75" customHeight="1">
      <c r="A481" s="19" t="s">
        <v>1041</v>
      </c>
      <c r="B481" s="44"/>
      <c r="C481" s="46">
        <f>IFERROR(__xludf.DUMMYFUNCTION("GOOGLEFINANCE(A481,""marketcap"")"),5.7738788372E10)</f>
        <v>57738788372</v>
      </c>
      <c r="D481" s="20" t="s">
        <v>4445</v>
      </c>
    </row>
    <row r="482" ht="18.75" customHeight="1">
      <c r="A482" s="19" t="s">
        <v>1179</v>
      </c>
      <c r="B482" s="44"/>
      <c r="C482" s="46">
        <f>IFERROR(__xludf.DUMMYFUNCTION("GOOGLEFINANCE(A482,""marketcap"")"),2.5917186469E10)</f>
        <v>25917186469</v>
      </c>
      <c r="D482" s="20" t="s">
        <v>4446</v>
      </c>
    </row>
    <row r="483" ht="18.75" customHeight="1">
      <c r="A483" s="19" t="s">
        <v>16</v>
      </c>
      <c r="B483" s="44"/>
      <c r="C483" s="46">
        <f>IFERROR(__xludf.DUMMYFUNCTION("GOOGLEFINANCE(A483,""marketcap"")"),1.48738493361E11)</f>
        <v>148738493361</v>
      </c>
      <c r="D483" s="20" t="s">
        <v>4447</v>
      </c>
    </row>
    <row r="484" ht="18.75" customHeight="1">
      <c r="A484" s="19" t="s">
        <v>886</v>
      </c>
      <c r="B484" s="44"/>
      <c r="C484" s="46">
        <f>IFERROR(__xludf.DUMMYFUNCTION("GOOGLEFINANCE(A484,""marketcap"")"),7.9641687074E10)</f>
        <v>79641687074</v>
      </c>
      <c r="D484" s="20" t="s">
        <v>4448</v>
      </c>
    </row>
    <row r="485" ht="18.75" customHeight="1">
      <c r="A485" s="19" t="s">
        <v>1468</v>
      </c>
      <c r="B485" s="44"/>
      <c r="C485" s="46">
        <f>IFERROR(__xludf.DUMMYFUNCTION("GOOGLEFINANCE(A485,""marketcap"")"),5.9800593828E10)</f>
        <v>59800593828</v>
      </c>
      <c r="D485" s="20" t="s">
        <v>4449</v>
      </c>
    </row>
    <row r="486" ht="18.75" customHeight="1">
      <c r="A486" s="19" t="s">
        <v>1594</v>
      </c>
      <c r="B486" s="44"/>
      <c r="C486" s="46">
        <f>IFERROR(__xludf.DUMMYFUNCTION("GOOGLEFINANCE(A486,""marketcap"")"),9.4006580314E10)</f>
        <v>94006580314</v>
      </c>
      <c r="D486" s="20" t="s">
        <v>4450</v>
      </c>
    </row>
    <row r="487" ht="18.75" customHeight="1">
      <c r="A487" s="19" t="s">
        <v>1241</v>
      </c>
      <c r="B487" s="44"/>
      <c r="C487" s="46">
        <f>IFERROR(__xludf.DUMMYFUNCTION("GOOGLEFINANCE(A487,""marketcap"")"),2.1791478799E10)</f>
        <v>21791478799</v>
      </c>
      <c r="D487" s="20" t="s">
        <v>4451</v>
      </c>
    </row>
    <row r="488" ht="18.75" customHeight="1">
      <c r="A488" s="19" t="s">
        <v>1619</v>
      </c>
      <c r="B488" s="44"/>
      <c r="C488" s="46">
        <f>IFERROR(__xludf.DUMMYFUNCTION("GOOGLEFINANCE(A488,""marketcap"")"),1.270755901E10)</f>
        <v>12707559010</v>
      </c>
      <c r="D488" s="20" t="s">
        <v>4452</v>
      </c>
    </row>
    <row r="489" ht="18.75" customHeight="1">
      <c r="A489" s="19" t="s">
        <v>1165</v>
      </c>
      <c r="B489" s="44"/>
      <c r="C489" s="46">
        <f>IFERROR(__xludf.DUMMYFUNCTION("GOOGLEFINANCE(A489,""marketcap"")"),1.09330528588E11)</f>
        <v>109330528588</v>
      </c>
      <c r="D489" s="20" t="s">
        <v>4453</v>
      </c>
    </row>
    <row r="490" ht="18.75" customHeight="1">
      <c r="A490" s="19" t="s">
        <v>833</v>
      </c>
      <c r="B490" s="44"/>
      <c r="C490" s="46">
        <f>IFERROR(__xludf.DUMMYFUNCTION("GOOGLEFINANCE(A490,""marketcap"")"),3.4639548711E10)</f>
        <v>34639548711</v>
      </c>
      <c r="D490" s="20" t="s">
        <v>4454</v>
      </c>
    </row>
    <row r="491" ht="18.75" customHeight="1">
      <c r="A491" s="19" t="s">
        <v>1069</v>
      </c>
      <c r="B491" s="44"/>
      <c r="C491" s="46">
        <f>IFERROR(__xludf.DUMMYFUNCTION("GOOGLEFINANCE(A491,""marketcap"")"),4.082193E10)</f>
        <v>40821930000</v>
      </c>
      <c r="D491" s="20" t="s">
        <v>4455</v>
      </c>
    </row>
    <row r="492" ht="18.75" customHeight="1">
      <c r="A492" s="19" t="s">
        <v>355</v>
      </c>
      <c r="B492" s="44"/>
      <c r="C492" s="46">
        <f>IFERROR(__xludf.DUMMYFUNCTION("GOOGLEFINANCE(A492,""marketcap"")"),2.8787995025E10)</f>
        <v>28787995025</v>
      </c>
      <c r="D492" s="20" t="s">
        <v>4456</v>
      </c>
    </row>
    <row r="493" ht="18.75" customHeight="1">
      <c r="A493" s="19" t="s">
        <v>898</v>
      </c>
      <c r="B493" s="44"/>
      <c r="C493" s="46">
        <f>IFERROR(__xludf.DUMMYFUNCTION("GOOGLEFINANCE(A493,""marketcap"")"),1.69587635714E11)</f>
        <v>169587635714</v>
      </c>
      <c r="D493" s="20" t="s">
        <v>4457</v>
      </c>
    </row>
    <row r="494" ht="18.75" customHeight="1">
      <c r="A494" s="19" t="s">
        <v>1402</v>
      </c>
      <c r="B494" s="44"/>
      <c r="C494" s="46">
        <f>IFERROR(__xludf.DUMMYFUNCTION("GOOGLEFINANCE(A494,""marketcap"")"),1.607438E10)</f>
        <v>16074380000</v>
      </c>
      <c r="D494" s="20" t="s">
        <v>4458</v>
      </c>
    </row>
    <row r="495" ht="18.75" customHeight="1">
      <c r="A495" s="19" t="s">
        <v>1081</v>
      </c>
      <c r="B495" s="44"/>
      <c r="C495" s="46">
        <f>IFERROR(__xludf.DUMMYFUNCTION("GOOGLEFINANCE(A495,""marketcap"")"),1.03049445403E11)</f>
        <v>103049445403</v>
      </c>
      <c r="D495" s="20" t="s">
        <v>4459</v>
      </c>
    </row>
    <row r="496" ht="18.75" customHeight="1">
      <c r="A496" s="19" t="s">
        <v>1210</v>
      </c>
      <c r="B496" s="44"/>
      <c r="C496" s="46">
        <f>IFERROR(__xludf.DUMMYFUNCTION("GOOGLEFINANCE(A496,""marketcap"")"),1.4173179022E10)</f>
        <v>14173179022</v>
      </c>
      <c r="D496" s="20" t="s">
        <v>4460</v>
      </c>
    </row>
    <row r="497" ht="18.75" customHeight="1">
      <c r="A497" s="19" t="s">
        <v>1023</v>
      </c>
      <c r="B497" s="44"/>
      <c r="C497" s="46">
        <f>IFERROR(__xludf.DUMMYFUNCTION("GOOGLEFINANCE(A497,""marketcap"")"),2.4078600566E10)</f>
        <v>24078600566</v>
      </c>
      <c r="D497" s="20" t="s">
        <v>4461</v>
      </c>
    </row>
    <row r="498" ht="18.75" customHeight="1">
      <c r="A498" s="19" t="s">
        <v>1387</v>
      </c>
      <c r="B498" s="44"/>
      <c r="C498" s="46">
        <f>IFERROR(__xludf.DUMMYFUNCTION("GOOGLEFINANCE(A498,""marketcap"")"),1.1992631055E10)</f>
        <v>11992631055</v>
      </c>
      <c r="D498" s="20" t="s">
        <v>4462</v>
      </c>
    </row>
    <row r="499" ht="18.75" customHeight="1">
      <c r="A499" s="19" t="s">
        <v>49</v>
      </c>
      <c r="B499" s="44"/>
      <c r="C499" s="46">
        <f>IFERROR(__xludf.DUMMYFUNCTION("GOOGLEFINANCE(A499,""marketcap"")"),5.869981735E10)</f>
        <v>58699817350</v>
      </c>
      <c r="D499" s="20" t="s">
        <v>4463</v>
      </c>
    </row>
    <row r="500" ht="18.75" customHeight="1">
      <c r="A500" s="19" t="s">
        <v>1010</v>
      </c>
      <c r="B500" s="44"/>
      <c r="C500" s="46">
        <f>IFERROR(__xludf.DUMMYFUNCTION("GOOGLEFINANCE(A500,""marketcap"")"),2.251872E10)</f>
        <v>22518720000</v>
      </c>
      <c r="D500" s="20" t="s">
        <v>4464</v>
      </c>
    </row>
    <row r="501" ht="18.75" customHeight="1">
      <c r="A501" s="19" t="s">
        <v>263</v>
      </c>
      <c r="B501" s="44"/>
      <c r="C501" s="46">
        <f>IFERROR(__xludf.DUMMYFUNCTION("GOOGLEFINANCE(A501,""marketcap"")"),1.039656167318E12)</f>
        <v>1039656167318</v>
      </c>
      <c r="D501" s="20" t="s">
        <v>4465</v>
      </c>
    </row>
    <row r="502" ht="18.75" customHeight="1">
      <c r="A502" s="19" t="s">
        <v>1291</v>
      </c>
      <c r="B502" s="44"/>
      <c r="C502" s="46">
        <f>IFERROR(__xludf.DUMMYFUNCTION("GOOGLEFINANCE(A502,""marketcap"")"),6.796845849E10)</f>
        <v>67968458490</v>
      </c>
      <c r="D502" s="20" t="s">
        <v>4466</v>
      </c>
    </row>
    <row r="503" ht="18.75" customHeight="1">
      <c r="A503" s="19" t="s">
        <v>1636</v>
      </c>
      <c r="B503" s="44"/>
      <c r="C503" s="46">
        <f>IFERROR(__xludf.DUMMYFUNCTION("GOOGLEFINANCE(A503,""marketcap"")"),8.800693496E10)</f>
        <v>88006934960</v>
      </c>
      <c r="D503" s="20" t="s">
        <v>4467</v>
      </c>
    </row>
    <row r="504" ht="18.75" customHeight="1">
      <c r="A504" s="19" t="s">
        <v>1214</v>
      </c>
      <c r="B504" s="44"/>
      <c r="C504" s="46">
        <f>IFERROR(__xludf.DUMMYFUNCTION("GOOGLEFINANCE(A504,""marketcap"")"),1.0656124837E10)</f>
        <v>10656124837</v>
      </c>
      <c r="D504" s="20" t="s">
        <v>4468</v>
      </c>
    </row>
    <row r="505" ht="18.75" customHeight="1">
      <c r="C505" s="7"/>
    </row>
    <row r="506" ht="18.75" customHeight="1">
      <c r="C506" s="7"/>
    </row>
    <row r="507" ht="18.75" customHeight="1">
      <c r="C507" s="7"/>
    </row>
    <row r="508" ht="18.75" customHeight="1">
      <c r="C508" s="7"/>
    </row>
    <row r="509" ht="18.75" customHeight="1">
      <c r="C509" s="7"/>
    </row>
    <row r="510" ht="18.75" customHeight="1">
      <c r="C510" s="7"/>
    </row>
    <row r="511" ht="18.75" customHeight="1">
      <c r="C511" s="7"/>
    </row>
    <row r="512" ht="18.75" customHeight="1">
      <c r="C512" s="7"/>
    </row>
    <row r="513" ht="18.75" customHeight="1">
      <c r="C513" s="7"/>
    </row>
    <row r="514" ht="18.75" customHeight="1">
      <c r="C514" s="7"/>
    </row>
    <row r="515" ht="18.75" customHeight="1">
      <c r="C515" s="7"/>
    </row>
    <row r="516" ht="18.75" customHeight="1">
      <c r="C516" s="7"/>
    </row>
    <row r="517" ht="18.75" customHeight="1">
      <c r="C517" s="7"/>
    </row>
    <row r="518" ht="18.75" customHeight="1">
      <c r="C518" s="7"/>
    </row>
    <row r="519" ht="18.75" customHeight="1">
      <c r="C519" s="7"/>
    </row>
    <row r="520" ht="18.75" customHeight="1">
      <c r="C520" s="7"/>
    </row>
    <row r="521" ht="18.75" customHeight="1">
      <c r="C521" s="7"/>
    </row>
    <row r="522" ht="18.75" customHeight="1">
      <c r="C522" s="7"/>
    </row>
    <row r="523" ht="18.75" customHeight="1">
      <c r="C523" s="7"/>
    </row>
    <row r="524" ht="18.75" customHeight="1">
      <c r="C524" s="7"/>
    </row>
    <row r="525" ht="18.75" customHeight="1">
      <c r="C525" s="7"/>
    </row>
    <row r="526" ht="18.75" customHeight="1">
      <c r="C526" s="7"/>
    </row>
    <row r="527" ht="18.75" customHeight="1">
      <c r="C527" s="7"/>
    </row>
    <row r="528" ht="18.75" customHeight="1">
      <c r="C528" s="7"/>
    </row>
    <row r="529" ht="18.75" customHeight="1">
      <c r="C529" s="7"/>
    </row>
    <row r="530" ht="18.75" customHeight="1">
      <c r="C530" s="7"/>
    </row>
    <row r="531" ht="18.75" customHeight="1">
      <c r="C531" s="7"/>
    </row>
    <row r="532" ht="18.75" customHeight="1">
      <c r="C532" s="7"/>
    </row>
    <row r="533" ht="18.75" customHeight="1">
      <c r="C533" s="7"/>
    </row>
    <row r="534" ht="18.75" customHeight="1">
      <c r="C534" s="7"/>
    </row>
    <row r="535" ht="18.75" customHeight="1">
      <c r="C535" s="7"/>
    </row>
    <row r="536" ht="18.75" customHeight="1">
      <c r="C536" s="7"/>
    </row>
    <row r="537" ht="18.75" customHeight="1">
      <c r="C537" s="7"/>
    </row>
    <row r="538" ht="18.75" customHeight="1">
      <c r="C538" s="7"/>
    </row>
    <row r="539" ht="18.75" customHeight="1">
      <c r="C539" s="7"/>
    </row>
    <row r="540" ht="18.75" customHeight="1">
      <c r="C540" s="7"/>
    </row>
    <row r="541" ht="18.75" customHeight="1">
      <c r="C541" s="7"/>
    </row>
    <row r="542" ht="18.75" customHeight="1">
      <c r="C542" s="7"/>
    </row>
    <row r="543" ht="18.75" customHeight="1">
      <c r="C543" s="7"/>
    </row>
    <row r="544" ht="18.75" customHeight="1">
      <c r="C544" s="7"/>
    </row>
    <row r="545" ht="18.75" customHeight="1">
      <c r="C545" s="7"/>
    </row>
    <row r="546" ht="18.75" customHeight="1">
      <c r="C546" s="7"/>
    </row>
    <row r="547" ht="18.75" customHeight="1">
      <c r="C547" s="7"/>
    </row>
    <row r="548" ht="18.75" customHeight="1">
      <c r="C548" s="7"/>
    </row>
    <row r="549" ht="18.75" customHeight="1">
      <c r="C549" s="7"/>
    </row>
    <row r="550" ht="18.75" customHeight="1">
      <c r="C550" s="7"/>
    </row>
    <row r="551" ht="18.75" customHeight="1">
      <c r="C551" s="7"/>
    </row>
    <row r="552" ht="18.75" customHeight="1">
      <c r="C552" s="7"/>
    </row>
    <row r="553" ht="18.75" customHeight="1">
      <c r="C553" s="7"/>
    </row>
    <row r="554" ht="18.75" customHeight="1">
      <c r="C554" s="7"/>
    </row>
    <row r="555" ht="18.75" customHeight="1">
      <c r="C555" s="7"/>
    </row>
    <row r="556" ht="18.75" customHeight="1">
      <c r="C556" s="7"/>
    </row>
    <row r="557" ht="18.75" customHeight="1">
      <c r="C557" s="7"/>
    </row>
    <row r="558" ht="18.75" customHeight="1">
      <c r="C558" s="7"/>
    </row>
    <row r="559" ht="18.75" customHeight="1">
      <c r="C559" s="7"/>
    </row>
    <row r="560" ht="18.75" customHeight="1">
      <c r="C560" s="7"/>
    </row>
    <row r="561" ht="18.75" customHeight="1">
      <c r="C561" s="7"/>
    </row>
    <row r="562" ht="18.75" customHeight="1">
      <c r="C562" s="7"/>
    </row>
    <row r="563" ht="18.75" customHeight="1">
      <c r="C563" s="7"/>
    </row>
    <row r="564" ht="18.75" customHeight="1">
      <c r="C564" s="7"/>
    </row>
    <row r="565" ht="18.75" customHeight="1">
      <c r="C565" s="7"/>
    </row>
    <row r="566" ht="18.75" customHeight="1">
      <c r="C566" s="7"/>
    </row>
    <row r="567" ht="18.75" customHeight="1">
      <c r="C567" s="7"/>
    </row>
    <row r="568" ht="18.75" customHeight="1">
      <c r="C568" s="7"/>
    </row>
    <row r="569" ht="18.75" customHeight="1">
      <c r="C569" s="7"/>
    </row>
    <row r="570" ht="18.75" customHeight="1">
      <c r="C570" s="7"/>
    </row>
    <row r="571" ht="18.75" customHeight="1">
      <c r="C571" s="7"/>
    </row>
    <row r="572" ht="18.75" customHeight="1">
      <c r="C572" s="7"/>
    </row>
    <row r="573" ht="18.75" customHeight="1">
      <c r="C573" s="7"/>
    </row>
    <row r="574" ht="18.75" customHeight="1">
      <c r="C574" s="7"/>
    </row>
    <row r="575" ht="18.75" customHeight="1">
      <c r="C575" s="7"/>
    </row>
    <row r="576" ht="18.75" customHeight="1">
      <c r="C576" s="7"/>
    </row>
    <row r="577" ht="18.75" customHeight="1">
      <c r="C577" s="7"/>
    </row>
    <row r="578" ht="18.75" customHeight="1">
      <c r="C578" s="7"/>
    </row>
    <row r="579" ht="18.75" customHeight="1">
      <c r="C579" s="7"/>
    </row>
    <row r="580" ht="18.75" customHeight="1">
      <c r="C580" s="7"/>
    </row>
    <row r="581" ht="18.75" customHeight="1">
      <c r="C581" s="7"/>
    </row>
    <row r="582" ht="18.75" customHeight="1">
      <c r="C582" s="7"/>
    </row>
    <row r="583" ht="18.75" customHeight="1">
      <c r="C583" s="7"/>
    </row>
    <row r="584" ht="18.75" customHeight="1">
      <c r="C584" s="7"/>
    </row>
    <row r="585" ht="18.75" customHeight="1">
      <c r="C585" s="7"/>
    </row>
    <row r="586" ht="18.75" customHeight="1">
      <c r="C586" s="7"/>
    </row>
    <row r="587" ht="18.75" customHeight="1">
      <c r="C587" s="7"/>
    </row>
    <row r="588" ht="18.75" customHeight="1">
      <c r="C588" s="7"/>
    </row>
    <row r="589" ht="18.75" customHeight="1">
      <c r="C589" s="7"/>
    </row>
    <row r="590" ht="18.75" customHeight="1">
      <c r="C590" s="7"/>
    </row>
    <row r="591" ht="18.75" customHeight="1">
      <c r="C591" s="7"/>
    </row>
    <row r="592" ht="18.75" customHeight="1">
      <c r="C592" s="7"/>
    </row>
    <row r="593" ht="18.75" customHeight="1">
      <c r="C593" s="7"/>
    </row>
    <row r="594" ht="18.75" customHeight="1">
      <c r="C594" s="7"/>
    </row>
    <row r="595" ht="18.75" customHeight="1">
      <c r="C595" s="7"/>
    </row>
    <row r="596" ht="18.75" customHeight="1">
      <c r="C596" s="7"/>
    </row>
    <row r="597" ht="18.75" customHeight="1">
      <c r="C597" s="7"/>
    </row>
    <row r="598" ht="18.75" customHeight="1">
      <c r="C598" s="7"/>
    </row>
    <row r="599" ht="18.75" customHeight="1">
      <c r="C599" s="7"/>
    </row>
    <row r="600" ht="18.75" customHeight="1">
      <c r="C600" s="7"/>
    </row>
    <row r="601" ht="18.75" customHeight="1">
      <c r="C601" s="7"/>
    </row>
    <row r="602" ht="18.75" customHeight="1">
      <c r="C602" s="7"/>
    </row>
    <row r="603" ht="18.75" customHeight="1">
      <c r="C603" s="7"/>
    </row>
    <row r="604" ht="18.75" customHeight="1">
      <c r="C604" s="7"/>
    </row>
    <row r="605" ht="18.75" customHeight="1">
      <c r="C605" s="7"/>
    </row>
    <row r="606" ht="18.75" customHeight="1">
      <c r="C606" s="7"/>
    </row>
    <row r="607" ht="18.75" customHeight="1">
      <c r="C607" s="7"/>
    </row>
    <row r="608" ht="18.75" customHeight="1">
      <c r="C608" s="7"/>
    </row>
    <row r="609" ht="18.75" customHeight="1">
      <c r="C609" s="7"/>
    </row>
    <row r="610" ht="18.75" customHeight="1">
      <c r="C610" s="7"/>
    </row>
    <row r="611" ht="18.75" customHeight="1">
      <c r="C611" s="7"/>
    </row>
    <row r="612" ht="18.75" customHeight="1">
      <c r="C612" s="7"/>
    </row>
    <row r="613" ht="18.75" customHeight="1">
      <c r="C613" s="7"/>
    </row>
    <row r="614" ht="18.75" customHeight="1">
      <c r="C614" s="7"/>
    </row>
    <row r="615" ht="18.75" customHeight="1">
      <c r="C615" s="7"/>
    </row>
    <row r="616" ht="18.75" customHeight="1">
      <c r="C616" s="7"/>
    </row>
    <row r="617" ht="18.75" customHeight="1">
      <c r="C617" s="7"/>
    </row>
    <row r="618" ht="18.75" customHeight="1">
      <c r="C618" s="7"/>
    </row>
    <row r="619" ht="18.75" customHeight="1">
      <c r="C619" s="7"/>
    </row>
    <row r="620" ht="18.75" customHeight="1">
      <c r="C620" s="7"/>
    </row>
    <row r="621" ht="18.75" customHeight="1">
      <c r="C621" s="7"/>
    </row>
    <row r="622" ht="18.75" customHeight="1">
      <c r="C622" s="7"/>
    </row>
    <row r="623" ht="18.75" customHeight="1">
      <c r="C623" s="7"/>
    </row>
    <row r="624" ht="18.75" customHeight="1">
      <c r="C624" s="7"/>
    </row>
    <row r="625" ht="18.75" customHeight="1">
      <c r="C625" s="7"/>
    </row>
    <row r="626" ht="18.75" customHeight="1">
      <c r="C626" s="7"/>
    </row>
    <row r="627" ht="18.75" customHeight="1">
      <c r="C627" s="7"/>
    </row>
    <row r="628" ht="18.75" customHeight="1">
      <c r="C628" s="7"/>
    </row>
    <row r="629" ht="18.75" customHeight="1">
      <c r="C629" s="7"/>
    </row>
    <row r="630" ht="18.75" customHeight="1">
      <c r="C630" s="7"/>
    </row>
    <row r="631" ht="18.75" customHeight="1">
      <c r="C631" s="7"/>
    </row>
    <row r="632" ht="18.75" customHeight="1">
      <c r="C632" s="7"/>
    </row>
    <row r="633" ht="18.75" customHeight="1">
      <c r="C633" s="7"/>
    </row>
    <row r="634" ht="18.75" customHeight="1">
      <c r="C634" s="7"/>
    </row>
    <row r="635" ht="18.75" customHeight="1">
      <c r="C635" s="7"/>
    </row>
    <row r="636" ht="18.75" customHeight="1">
      <c r="C636" s="7"/>
    </row>
    <row r="637" ht="18.75" customHeight="1">
      <c r="C637" s="7"/>
    </row>
    <row r="638" ht="18.75" customHeight="1">
      <c r="C638" s="7"/>
    </row>
    <row r="639" ht="18.75" customHeight="1">
      <c r="C639" s="7"/>
    </row>
    <row r="640" ht="18.75" customHeight="1">
      <c r="C640" s="7"/>
    </row>
    <row r="641" ht="18.75" customHeight="1">
      <c r="C641" s="7"/>
    </row>
    <row r="642" ht="18.75" customHeight="1">
      <c r="C642" s="7"/>
    </row>
    <row r="643" ht="18.75" customHeight="1">
      <c r="C643" s="7"/>
    </row>
    <row r="644" ht="18.75" customHeight="1">
      <c r="C644" s="7"/>
    </row>
    <row r="645" ht="18.75" customHeight="1">
      <c r="C645" s="7"/>
    </row>
    <row r="646" ht="18.75" customHeight="1">
      <c r="C646" s="7"/>
    </row>
    <row r="647" ht="18.75" customHeight="1">
      <c r="C647" s="7"/>
    </row>
    <row r="648" ht="18.75" customHeight="1">
      <c r="C648" s="7"/>
    </row>
    <row r="649" ht="18.75" customHeight="1">
      <c r="C649" s="7"/>
    </row>
    <row r="650" ht="18.75" customHeight="1">
      <c r="C650" s="7"/>
    </row>
    <row r="651" ht="18.75" customHeight="1">
      <c r="C651" s="7"/>
    </row>
    <row r="652" ht="18.75" customHeight="1">
      <c r="C652" s="7"/>
    </row>
    <row r="653" ht="18.75" customHeight="1">
      <c r="C653" s="7"/>
    </row>
    <row r="654" ht="18.75" customHeight="1">
      <c r="C654" s="7"/>
    </row>
    <row r="655" ht="18.75" customHeight="1">
      <c r="C655" s="7"/>
    </row>
    <row r="656" ht="18.75" customHeight="1">
      <c r="C656" s="7"/>
    </row>
    <row r="657" ht="18.75" customHeight="1">
      <c r="C657" s="7"/>
    </row>
    <row r="658" ht="18.75" customHeight="1">
      <c r="C658" s="7"/>
    </row>
    <row r="659" ht="18.75" customHeight="1">
      <c r="C659" s="7"/>
    </row>
    <row r="660" ht="18.75" customHeight="1">
      <c r="C660" s="7"/>
    </row>
    <row r="661" ht="18.75" customHeight="1">
      <c r="C661" s="7"/>
    </row>
    <row r="662" ht="18.75" customHeight="1">
      <c r="C662" s="7"/>
    </row>
    <row r="663" ht="18.75" customHeight="1">
      <c r="C663" s="7"/>
    </row>
    <row r="664" ht="18.75" customHeight="1">
      <c r="C664" s="7"/>
    </row>
    <row r="665" ht="18.75" customHeight="1">
      <c r="C665" s="7"/>
    </row>
    <row r="666" ht="18.75" customHeight="1">
      <c r="C666" s="7"/>
    </row>
    <row r="667" ht="18.75" customHeight="1">
      <c r="C667" s="7"/>
    </row>
    <row r="668" ht="18.75" customHeight="1">
      <c r="C668" s="7"/>
    </row>
    <row r="669" ht="18.75" customHeight="1">
      <c r="C669" s="7"/>
    </row>
    <row r="670" ht="18.75" customHeight="1">
      <c r="C670" s="7"/>
    </row>
    <row r="671" ht="18.75" customHeight="1">
      <c r="C671" s="7"/>
    </row>
    <row r="672" ht="18.75" customHeight="1">
      <c r="C672" s="7"/>
    </row>
    <row r="673" ht="18.75" customHeight="1">
      <c r="C673" s="7"/>
    </row>
    <row r="674" ht="18.75" customHeight="1">
      <c r="C674" s="7"/>
    </row>
    <row r="675" ht="18.75" customHeight="1">
      <c r="C675" s="7"/>
    </row>
    <row r="676" ht="18.75" customHeight="1">
      <c r="C676" s="7"/>
    </row>
    <row r="677" ht="18.75" customHeight="1">
      <c r="C677" s="7"/>
    </row>
    <row r="678" ht="18.75" customHeight="1">
      <c r="C678" s="7"/>
    </row>
    <row r="679" ht="18.75" customHeight="1">
      <c r="C679" s="7"/>
    </row>
    <row r="680" ht="18.75" customHeight="1">
      <c r="C680" s="7"/>
    </row>
    <row r="681" ht="18.75" customHeight="1">
      <c r="C681" s="7"/>
    </row>
    <row r="682" ht="18.75" customHeight="1">
      <c r="C682" s="7"/>
    </row>
    <row r="683" ht="18.75" customHeight="1">
      <c r="C683" s="7"/>
    </row>
    <row r="684" ht="18.75" customHeight="1">
      <c r="C684" s="7"/>
    </row>
    <row r="685" ht="18.75" customHeight="1">
      <c r="C685" s="7"/>
    </row>
    <row r="686" ht="18.75" customHeight="1">
      <c r="C686" s="7"/>
    </row>
    <row r="687" ht="18.75" customHeight="1">
      <c r="C687" s="7"/>
    </row>
    <row r="688" ht="18.75" customHeight="1">
      <c r="C688" s="7"/>
    </row>
    <row r="689" ht="18.75" customHeight="1">
      <c r="C689" s="7"/>
    </row>
    <row r="690" ht="18.75" customHeight="1">
      <c r="C690" s="7"/>
    </row>
    <row r="691" ht="18.75" customHeight="1">
      <c r="C691" s="7"/>
    </row>
    <row r="692" ht="18.75" customHeight="1">
      <c r="C692" s="7"/>
    </row>
    <row r="693" ht="18.75" customHeight="1">
      <c r="C693" s="7"/>
    </row>
    <row r="694" ht="18.75" customHeight="1">
      <c r="C694" s="7"/>
    </row>
    <row r="695" ht="18.75" customHeight="1">
      <c r="C695" s="7"/>
    </row>
    <row r="696" ht="18.75" customHeight="1">
      <c r="C696" s="7"/>
    </row>
    <row r="697" ht="18.75" customHeight="1">
      <c r="C697" s="7"/>
    </row>
    <row r="698" ht="18.75" customHeight="1">
      <c r="C698" s="7"/>
    </row>
    <row r="699" ht="18.75" customHeight="1">
      <c r="C699" s="7"/>
    </row>
    <row r="700" ht="18.75" customHeight="1">
      <c r="C700" s="7"/>
    </row>
    <row r="701" ht="18.75" customHeight="1">
      <c r="C701" s="7"/>
    </row>
    <row r="702" ht="18.75" customHeight="1">
      <c r="C702" s="7"/>
    </row>
    <row r="703" ht="18.75" customHeight="1">
      <c r="C703" s="7"/>
    </row>
    <row r="704" ht="18.75" customHeight="1">
      <c r="C704" s="7"/>
    </row>
    <row r="705" ht="18.75" customHeight="1">
      <c r="C705" s="7"/>
    </row>
    <row r="706" ht="18.75" customHeight="1">
      <c r="C706" s="7"/>
    </row>
    <row r="707" ht="18.75" customHeight="1">
      <c r="C707" s="7"/>
    </row>
    <row r="708" ht="18.75" customHeight="1">
      <c r="C708" s="7"/>
    </row>
    <row r="709" ht="18.75" customHeight="1">
      <c r="C709" s="7"/>
    </row>
    <row r="710" ht="18.75" customHeight="1">
      <c r="C710" s="7"/>
    </row>
    <row r="711" ht="18.75" customHeight="1">
      <c r="C711" s="7"/>
    </row>
    <row r="712" ht="18.75" customHeight="1">
      <c r="C712" s="7"/>
    </row>
    <row r="713" ht="18.75" customHeight="1">
      <c r="C713" s="7"/>
    </row>
    <row r="714" ht="18.75" customHeight="1">
      <c r="C714" s="7"/>
    </row>
    <row r="715" ht="18.75" customHeight="1">
      <c r="C715" s="7"/>
    </row>
    <row r="716" ht="18.75" customHeight="1">
      <c r="C716" s="7"/>
    </row>
    <row r="717" ht="18.75" customHeight="1">
      <c r="C717" s="7"/>
    </row>
    <row r="718" ht="18.75" customHeight="1">
      <c r="C718" s="7"/>
    </row>
    <row r="719" ht="18.75" customHeight="1">
      <c r="C719" s="7"/>
    </row>
    <row r="720" ht="18.75" customHeight="1">
      <c r="C720" s="7"/>
    </row>
    <row r="721" ht="18.75" customHeight="1">
      <c r="C721" s="7"/>
    </row>
    <row r="722" ht="18.75" customHeight="1">
      <c r="C722" s="7"/>
    </row>
    <row r="723" ht="18.75" customHeight="1">
      <c r="C723" s="7"/>
    </row>
    <row r="724" ht="18.75" customHeight="1">
      <c r="C724" s="7"/>
    </row>
    <row r="725" ht="18.75" customHeight="1">
      <c r="C725" s="7"/>
    </row>
    <row r="726" ht="18.75" customHeight="1">
      <c r="C726" s="7"/>
    </row>
    <row r="727" ht="18.75" customHeight="1">
      <c r="C727" s="7"/>
    </row>
    <row r="728" ht="18.75" customHeight="1">
      <c r="C728" s="7"/>
    </row>
    <row r="729" ht="18.75" customHeight="1">
      <c r="C729" s="7"/>
    </row>
    <row r="730" ht="18.75" customHeight="1">
      <c r="C730" s="7"/>
    </row>
    <row r="731" ht="18.75" customHeight="1">
      <c r="C731" s="7"/>
    </row>
    <row r="732" ht="18.75" customHeight="1">
      <c r="C732" s="7"/>
    </row>
    <row r="733" ht="18.75" customHeight="1">
      <c r="C733" s="7"/>
    </row>
    <row r="734" ht="18.75" customHeight="1">
      <c r="C734" s="7"/>
    </row>
    <row r="735" ht="18.75" customHeight="1">
      <c r="C735" s="7"/>
    </row>
    <row r="736" ht="18.75" customHeight="1">
      <c r="C736" s="7"/>
    </row>
    <row r="737" ht="18.75" customHeight="1">
      <c r="C737" s="7"/>
    </row>
    <row r="738" ht="18.75" customHeight="1">
      <c r="C738" s="7"/>
    </row>
    <row r="739" ht="18.75" customHeight="1">
      <c r="C739" s="7"/>
    </row>
    <row r="740" ht="18.75" customHeight="1">
      <c r="C740" s="7"/>
    </row>
    <row r="741" ht="18.75" customHeight="1">
      <c r="C741" s="7"/>
    </row>
    <row r="742" ht="18.75" customHeight="1">
      <c r="C742" s="7"/>
    </row>
    <row r="743" ht="18.75" customHeight="1">
      <c r="C743" s="7"/>
    </row>
    <row r="744" ht="18.75" customHeight="1">
      <c r="C744" s="7"/>
    </row>
    <row r="745" ht="18.75" customHeight="1">
      <c r="C745" s="7"/>
    </row>
    <row r="746" ht="18.75" customHeight="1">
      <c r="C746" s="7"/>
    </row>
    <row r="747" ht="18.75" customHeight="1">
      <c r="C747" s="7"/>
    </row>
    <row r="748" ht="18.75" customHeight="1">
      <c r="C748" s="7"/>
    </row>
    <row r="749" ht="18.75" customHeight="1">
      <c r="C749" s="7"/>
    </row>
    <row r="750" ht="18.75" customHeight="1">
      <c r="C750" s="7"/>
    </row>
    <row r="751" ht="18.75" customHeight="1">
      <c r="C751" s="7"/>
    </row>
    <row r="752" ht="18.75" customHeight="1">
      <c r="C752" s="7"/>
    </row>
    <row r="753" ht="18.75" customHeight="1">
      <c r="C753" s="7"/>
    </row>
    <row r="754" ht="18.75" customHeight="1">
      <c r="C754" s="7"/>
    </row>
    <row r="755" ht="18.75" customHeight="1">
      <c r="C755" s="7"/>
    </row>
    <row r="756" ht="18.75" customHeight="1">
      <c r="C756" s="7"/>
    </row>
    <row r="757" ht="18.75" customHeight="1">
      <c r="C757" s="7"/>
    </row>
    <row r="758" ht="18.75" customHeight="1">
      <c r="C758" s="7"/>
    </row>
    <row r="759" ht="18.75" customHeight="1">
      <c r="C759" s="7"/>
    </row>
    <row r="760" ht="18.75" customHeight="1">
      <c r="C760" s="7"/>
    </row>
    <row r="761" ht="18.75" customHeight="1">
      <c r="C761" s="7"/>
    </row>
    <row r="762" ht="18.75" customHeight="1">
      <c r="C762" s="7"/>
    </row>
    <row r="763" ht="18.75" customHeight="1">
      <c r="C763" s="7"/>
    </row>
    <row r="764" ht="18.75" customHeight="1">
      <c r="C764" s="7"/>
    </row>
    <row r="765" ht="18.75" customHeight="1">
      <c r="C765" s="7"/>
    </row>
    <row r="766" ht="18.75" customHeight="1">
      <c r="C766" s="7"/>
    </row>
    <row r="767" ht="18.75" customHeight="1">
      <c r="C767" s="7"/>
    </row>
    <row r="768" ht="18.75" customHeight="1">
      <c r="C768" s="7"/>
    </row>
    <row r="769" ht="18.75" customHeight="1">
      <c r="C769" s="7"/>
    </row>
    <row r="770" ht="18.75" customHeight="1">
      <c r="C770" s="7"/>
    </row>
    <row r="771" ht="18.75" customHeight="1">
      <c r="C771" s="7"/>
    </row>
    <row r="772" ht="18.75" customHeight="1">
      <c r="C772" s="7"/>
    </row>
    <row r="773" ht="18.75" customHeight="1">
      <c r="C773" s="7"/>
    </row>
    <row r="774" ht="18.75" customHeight="1">
      <c r="C774" s="7"/>
    </row>
    <row r="775" ht="18.75" customHeight="1">
      <c r="C775" s="7"/>
    </row>
    <row r="776" ht="18.75" customHeight="1">
      <c r="C776" s="7"/>
    </row>
    <row r="777" ht="18.75" customHeight="1">
      <c r="C777" s="7"/>
    </row>
    <row r="778" ht="18.75" customHeight="1">
      <c r="C778" s="7"/>
    </row>
    <row r="779" ht="18.75" customHeight="1">
      <c r="C779" s="7"/>
    </row>
    <row r="780" ht="18.75" customHeight="1">
      <c r="C780" s="7"/>
    </row>
    <row r="781" ht="18.75" customHeight="1">
      <c r="C781" s="7"/>
    </row>
    <row r="782" ht="18.75" customHeight="1">
      <c r="C782" s="7"/>
    </row>
    <row r="783" ht="18.75" customHeight="1">
      <c r="C783" s="7"/>
    </row>
    <row r="784" ht="18.75" customHeight="1">
      <c r="C784" s="7"/>
    </row>
    <row r="785" ht="18.75" customHeight="1">
      <c r="C785" s="7"/>
    </row>
    <row r="786" ht="18.75" customHeight="1">
      <c r="C786" s="7"/>
    </row>
    <row r="787" ht="18.75" customHeight="1">
      <c r="C787" s="7"/>
    </row>
    <row r="788" ht="18.75" customHeight="1">
      <c r="C788" s="7"/>
    </row>
    <row r="789" ht="18.75" customHeight="1">
      <c r="C789" s="7"/>
    </row>
    <row r="790" ht="18.75" customHeight="1">
      <c r="C790" s="7"/>
    </row>
    <row r="791" ht="18.75" customHeight="1">
      <c r="C791" s="7"/>
    </row>
    <row r="792" ht="18.75" customHeight="1">
      <c r="C792" s="7"/>
    </row>
    <row r="793" ht="18.75" customHeight="1">
      <c r="C793" s="7"/>
    </row>
    <row r="794" ht="18.75" customHeight="1">
      <c r="C794" s="7"/>
    </row>
    <row r="795" ht="18.75" customHeight="1">
      <c r="C795" s="7"/>
    </row>
    <row r="796" ht="18.75" customHeight="1">
      <c r="C796" s="7"/>
    </row>
    <row r="797" ht="18.75" customHeight="1">
      <c r="C797" s="7"/>
    </row>
    <row r="798" ht="18.75" customHeight="1">
      <c r="C798" s="7"/>
    </row>
    <row r="799" ht="18.75" customHeight="1">
      <c r="C799" s="7"/>
    </row>
    <row r="800" ht="18.75" customHeight="1">
      <c r="C800" s="7"/>
    </row>
    <row r="801" ht="18.75" customHeight="1">
      <c r="C801" s="7"/>
    </row>
    <row r="802" ht="18.75" customHeight="1">
      <c r="C802" s="7"/>
    </row>
    <row r="803" ht="18.75" customHeight="1">
      <c r="C803" s="7"/>
    </row>
    <row r="804" ht="18.75" customHeight="1">
      <c r="C804" s="7"/>
    </row>
    <row r="805" ht="18.75" customHeight="1">
      <c r="C805" s="7"/>
    </row>
    <row r="806" ht="18.75" customHeight="1">
      <c r="C806" s="7"/>
    </row>
    <row r="807" ht="18.75" customHeight="1">
      <c r="C807" s="7"/>
    </row>
    <row r="808" ht="18.75" customHeight="1">
      <c r="C808" s="7"/>
    </row>
    <row r="809" ht="18.75" customHeight="1">
      <c r="C809" s="7"/>
    </row>
    <row r="810" ht="18.75" customHeight="1">
      <c r="C810" s="7"/>
    </row>
    <row r="811" ht="18.75" customHeight="1">
      <c r="C811" s="7"/>
    </row>
    <row r="812" ht="18.75" customHeight="1">
      <c r="C812" s="7"/>
    </row>
    <row r="813" ht="18.75" customHeight="1">
      <c r="C813" s="7"/>
    </row>
    <row r="814" ht="18.75" customHeight="1">
      <c r="C814" s="7"/>
    </row>
    <row r="815" ht="18.75" customHeight="1">
      <c r="C815" s="7"/>
    </row>
    <row r="816" ht="18.75" customHeight="1">
      <c r="C816" s="7"/>
    </row>
    <row r="817" ht="18.75" customHeight="1">
      <c r="C817" s="7"/>
    </row>
    <row r="818" ht="18.75" customHeight="1">
      <c r="C818" s="7"/>
    </row>
    <row r="819" ht="18.75" customHeight="1">
      <c r="C819" s="7"/>
    </row>
    <row r="820" ht="18.75" customHeight="1">
      <c r="C820" s="7"/>
    </row>
    <row r="821" ht="18.75" customHeight="1">
      <c r="C821" s="7"/>
    </row>
    <row r="822" ht="18.75" customHeight="1">
      <c r="C822" s="7"/>
    </row>
    <row r="823" ht="18.75" customHeight="1">
      <c r="C823" s="7"/>
    </row>
    <row r="824" ht="18.75" customHeight="1">
      <c r="C824" s="7"/>
    </row>
    <row r="825" ht="18.75" customHeight="1">
      <c r="C825" s="7"/>
    </row>
    <row r="826" ht="18.75" customHeight="1">
      <c r="C826" s="7"/>
    </row>
    <row r="827" ht="18.75" customHeight="1">
      <c r="C827" s="7"/>
    </row>
    <row r="828" ht="18.75" customHeight="1">
      <c r="C828" s="7"/>
    </row>
    <row r="829" ht="18.75" customHeight="1">
      <c r="C829" s="7"/>
    </row>
    <row r="830" ht="18.75" customHeight="1">
      <c r="C830" s="7"/>
    </row>
    <row r="831" ht="18.75" customHeight="1">
      <c r="C831" s="7"/>
    </row>
    <row r="832" ht="18.75" customHeight="1">
      <c r="C832" s="7"/>
    </row>
    <row r="833" ht="18.75" customHeight="1">
      <c r="C833" s="7"/>
    </row>
    <row r="834" ht="18.75" customHeight="1">
      <c r="C834" s="7"/>
    </row>
    <row r="835" ht="18.75" customHeight="1">
      <c r="C835" s="7"/>
    </row>
    <row r="836" ht="18.75" customHeight="1">
      <c r="C836" s="7"/>
    </row>
    <row r="837" ht="18.75" customHeight="1">
      <c r="C837" s="7"/>
    </row>
    <row r="838" ht="18.75" customHeight="1">
      <c r="C838" s="7"/>
    </row>
    <row r="839" ht="18.75" customHeight="1">
      <c r="C839" s="7"/>
    </row>
    <row r="840" ht="18.75" customHeight="1">
      <c r="C840" s="7"/>
    </row>
    <row r="841" ht="18.75" customHeight="1">
      <c r="C841" s="7"/>
    </row>
    <row r="842" ht="18.75" customHeight="1">
      <c r="C842" s="7"/>
    </row>
    <row r="843" ht="18.75" customHeight="1">
      <c r="C843" s="7"/>
    </row>
    <row r="844" ht="18.75" customHeight="1">
      <c r="C844" s="7"/>
    </row>
    <row r="845" ht="18.75" customHeight="1">
      <c r="C845" s="7"/>
    </row>
    <row r="846" ht="18.75" customHeight="1">
      <c r="C846" s="7"/>
    </row>
    <row r="847" ht="18.75" customHeight="1">
      <c r="C847" s="7"/>
    </row>
    <row r="848" ht="18.75" customHeight="1">
      <c r="C848" s="7"/>
    </row>
    <row r="849" ht="18.75" customHeight="1">
      <c r="C849" s="7"/>
    </row>
    <row r="850" ht="18.75" customHeight="1">
      <c r="C850" s="7"/>
    </row>
    <row r="851" ht="18.75" customHeight="1">
      <c r="C851" s="7"/>
    </row>
    <row r="852" ht="18.75" customHeight="1">
      <c r="C852" s="7"/>
    </row>
    <row r="853" ht="18.75" customHeight="1">
      <c r="C853" s="7"/>
    </row>
    <row r="854" ht="18.75" customHeight="1">
      <c r="C854" s="7"/>
    </row>
    <row r="855" ht="18.75" customHeight="1">
      <c r="C855" s="7"/>
    </row>
    <row r="856" ht="18.75" customHeight="1">
      <c r="C856" s="7"/>
    </row>
    <row r="857" ht="18.75" customHeight="1">
      <c r="C857" s="7"/>
    </row>
    <row r="858" ht="18.75" customHeight="1">
      <c r="C858" s="7"/>
    </row>
    <row r="859" ht="18.75" customHeight="1">
      <c r="C859" s="7"/>
    </row>
    <row r="860" ht="18.75" customHeight="1">
      <c r="C860" s="7"/>
    </row>
    <row r="861" ht="18.75" customHeight="1">
      <c r="C861" s="7"/>
    </row>
    <row r="862" ht="18.75" customHeight="1">
      <c r="C862" s="7"/>
    </row>
    <row r="863" ht="18.75" customHeight="1">
      <c r="C863" s="7"/>
    </row>
    <row r="864" ht="18.75" customHeight="1">
      <c r="C864" s="7"/>
    </row>
    <row r="865" ht="18.75" customHeight="1">
      <c r="C865" s="7"/>
    </row>
    <row r="866" ht="18.75" customHeight="1">
      <c r="C866" s="7"/>
    </row>
    <row r="867" ht="18.75" customHeight="1">
      <c r="C867" s="7"/>
    </row>
    <row r="868" ht="18.75" customHeight="1">
      <c r="C868" s="7"/>
    </row>
    <row r="869" ht="18.75" customHeight="1">
      <c r="C869" s="7"/>
    </row>
    <row r="870" ht="18.75" customHeight="1">
      <c r="C870" s="7"/>
    </row>
    <row r="871" ht="18.75" customHeight="1">
      <c r="C871" s="7"/>
    </row>
    <row r="872" ht="18.75" customHeight="1">
      <c r="C872" s="7"/>
    </row>
    <row r="873" ht="18.75" customHeight="1">
      <c r="C873" s="7"/>
    </row>
    <row r="874" ht="18.75" customHeight="1">
      <c r="C874" s="7"/>
    </row>
    <row r="875" ht="18.75" customHeight="1">
      <c r="C875" s="7"/>
    </row>
    <row r="876" ht="18.75" customHeight="1">
      <c r="C876" s="7"/>
    </row>
    <row r="877" ht="18.75" customHeight="1">
      <c r="C877" s="7"/>
    </row>
    <row r="878" ht="18.75" customHeight="1">
      <c r="C878" s="7"/>
    </row>
    <row r="879" ht="18.75" customHeight="1">
      <c r="C879" s="7"/>
    </row>
    <row r="880" ht="18.75" customHeight="1">
      <c r="C880" s="7"/>
    </row>
    <row r="881" ht="18.75" customHeight="1">
      <c r="C881" s="7"/>
    </row>
    <row r="882" ht="18.75" customHeight="1">
      <c r="C882" s="7"/>
    </row>
    <row r="883" ht="18.75" customHeight="1">
      <c r="C883" s="7"/>
    </row>
    <row r="884" ht="18.75" customHeight="1">
      <c r="C884" s="7"/>
    </row>
    <row r="885" ht="18.75" customHeight="1">
      <c r="C885" s="7"/>
    </row>
    <row r="886" ht="18.75" customHeight="1">
      <c r="C886" s="7"/>
    </row>
    <row r="887" ht="18.75" customHeight="1">
      <c r="C887" s="7"/>
    </row>
    <row r="888" ht="18.75" customHeight="1">
      <c r="C888" s="7"/>
    </row>
    <row r="889" ht="18.75" customHeight="1">
      <c r="C889" s="7"/>
    </row>
    <row r="890" ht="18.75" customHeight="1">
      <c r="C890" s="7"/>
    </row>
    <row r="891" ht="18.75" customHeight="1">
      <c r="C891" s="7"/>
    </row>
    <row r="892" ht="18.75" customHeight="1">
      <c r="C892" s="7"/>
    </row>
    <row r="893" ht="18.75" customHeight="1">
      <c r="C893" s="7"/>
    </row>
    <row r="894" ht="18.75" customHeight="1">
      <c r="C894" s="7"/>
    </row>
    <row r="895" ht="18.75" customHeight="1">
      <c r="C895" s="7"/>
    </row>
    <row r="896" ht="18.75" customHeight="1">
      <c r="C896" s="7"/>
    </row>
    <row r="897" ht="18.75" customHeight="1">
      <c r="C897" s="7"/>
    </row>
    <row r="898" ht="18.75" customHeight="1">
      <c r="C898" s="7"/>
    </row>
    <row r="899" ht="18.75" customHeight="1">
      <c r="C899" s="7"/>
    </row>
    <row r="900" ht="18.75" customHeight="1">
      <c r="C900" s="7"/>
    </row>
    <row r="901" ht="18.75" customHeight="1">
      <c r="C901" s="7"/>
    </row>
    <row r="902" ht="18.75" customHeight="1">
      <c r="C902" s="7"/>
    </row>
    <row r="903" ht="18.75" customHeight="1">
      <c r="C903" s="7"/>
    </row>
    <row r="904" ht="18.75" customHeight="1">
      <c r="C904" s="7"/>
    </row>
    <row r="905" ht="18.75" customHeight="1">
      <c r="C905" s="7"/>
    </row>
    <row r="906" ht="18.75" customHeight="1">
      <c r="C906" s="7"/>
    </row>
    <row r="907" ht="18.75" customHeight="1">
      <c r="C907" s="7"/>
    </row>
    <row r="908" ht="18.75" customHeight="1">
      <c r="C908" s="7"/>
    </row>
    <row r="909" ht="18.75" customHeight="1">
      <c r="C909" s="7"/>
    </row>
    <row r="910" ht="18.75" customHeight="1">
      <c r="C910" s="7"/>
    </row>
    <row r="911" ht="18.75" customHeight="1">
      <c r="C911" s="7"/>
    </row>
    <row r="912" ht="18.75" customHeight="1">
      <c r="C912" s="7"/>
    </row>
    <row r="913" ht="18.75" customHeight="1">
      <c r="C913" s="7"/>
    </row>
    <row r="914" ht="18.75" customHeight="1">
      <c r="C914" s="7"/>
    </row>
    <row r="915" ht="18.75" customHeight="1">
      <c r="C915" s="7"/>
    </row>
    <row r="916" ht="18.75" customHeight="1">
      <c r="C916" s="7"/>
    </row>
    <row r="917" ht="18.75" customHeight="1">
      <c r="C917" s="7"/>
    </row>
    <row r="918" ht="18.75" customHeight="1">
      <c r="C918" s="7"/>
    </row>
    <row r="919" ht="18.75" customHeight="1">
      <c r="C919" s="7"/>
    </row>
    <row r="920" ht="18.75" customHeight="1">
      <c r="C920" s="7"/>
    </row>
    <row r="921" ht="18.75" customHeight="1">
      <c r="C921" s="7"/>
    </row>
    <row r="922" ht="18.75" customHeight="1">
      <c r="C922" s="7"/>
    </row>
    <row r="923" ht="18.75" customHeight="1">
      <c r="C923" s="7"/>
    </row>
    <row r="924" ht="18.75" customHeight="1">
      <c r="C924" s="7"/>
    </row>
    <row r="925" ht="18.75" customHeight="1">
      <c r="C925" s="7"/>
    </row>
    <row r="926" ht="18.75" customHeight="1">
      <c r="C926" s="7"/>
    </row>
    <row r="927" ht="18.75" customHeight="1">
      <c r="C927" s="7"/>
    </row>
    <row r="928" ht="18.75" customHeight="1">
      <c r="C928" s="7"/>
    </row>
    <row r="929" ht="18.75" customHeight="1">
      <c r="C929" s="7"/>
    </row>
    <row r="930" ht="18.75" customHeight="1">
      <c r="C930" s="7"/>
    </row>
    <row r="931" ht="18.75" customHeight="1">
      <c r="C931" s="7"/>
    </row>
    <row r="932" ht="18.75" customHeight="1">
      <c r="C932" s="7"/>
    </row>
    <row r="933" ht="18.75" customHeight="1">
      <c r="C933" s="7"/>
    </row>
    <row r="934" ht="18.75" customHeight="1">
      <c r="C934" s="7"/>
    </row>
    <row r="935" ht="18.75" customHeight="1">
      <c r="C935" s="7"/>
    </row>
    <row r="936" ht="18.75" customHeight="1">
      <c r="C936" s="7"/>
    </row>
    <row r="937" ht="18.75" customHeight="1">
      <c r="C937" s="7"/>
    </row>
    <row r="938" ht="18.75" customHeight="1">
      <c r="C938" s="7"/>
    </row>
    <row r="939" ht="18.75" customHeight="1">
      <c r="C939" s="7"/>
    </row>
    <row r="940" ht="18.75" customHeight="1">
      <c r="C940" s="7"/>
    </row>
    <row r="941" ht="18.75" customHeight="1">
      <c r="C941" s="7"/>
    </row>
    <row r="942" ht="18.75" customHeight="1">
      <c r="C942" s="7"/>
    </row>
    <row r="943" ht="18.75" customHeight="1">
      <c r="C943" s="7"/>
    </row>
    <row r="944" ht="18.75" customHeight="1">
      <c r="C944" s="7"/>
    </row>
    <row r="945" ht="18.75" customHeight="1">
      <c r="C945" s="7"/>
    </row>
    <row r="946" ht="18.75" customHeight="1">
      <c r="C946" s="7"/>
    </row>
    <row r="947" ht="18.75" customHeight="1">
      <c r="C947" s="7"/>
    </row>
    <row r="948" ht="18.75" customHeight="1">
      <c r="C948" s="7"/>
    </row>
    <row r="949" ht="18.75" customHeight="1">
      <c r="C949" s="7"/>
    </row>
    <row r="950" ht="18.75" customHeight="1">
      <c r="C950" s="7"/>
    </row>
    <row r="951" ht="18.75" customHeight="1">
      <c r="C951" s="7"/>
    </row>
    <row r="952" ht="18.75" customHeight="1">
      <c r="C952" s="7"/>
    </row>
    <row r="953" ht="18.75" customHeight="1">
      <c r="C953" s="7"/>
    </row>
    <row r="954" ht="18.75" customHeight="1">
      <c r="C954" s="7"/>
    </row>
    <row r="955" ht="18.75" customHeight="1">
      <c r="C955" s="7"/>
    </row>
    <row r="956" ht="18.75" customHeight="1">
      <c r="C956" s="7"/>
    </row>
    <row r="957" ht="18.75" customHeight="1">
      <c r="C957" s="7"/>
    </row>
    <row r="958" ht="18.75" customHeight="1">
      <c r="C958" s="7"/>
    </row>
    <row r="959" ht="18.75" customHeight="1">
      <c r="C959" s="7"/>
    </row>
    <row r="960" ht="18.75" customHeight="1">
      <c r="C960" s="7"/>
    </row>
    <row r="961" ht="18.75" customHeight="1">
      <c r="C961" s="7"/>
    </row>
    <row r="962" ht="18.75" customHeight="1">
      <c r="C962" s="7"/>
    </row>
    <row r="963" ht="18.75" customHeight="1">
      <c r="C963" s="7"/>
    </row>
    <row r="964" ht="18.75" customHeight="1">
      <c r="C964" s="7"/>
    </row>
    <row r="965" ht="18.75" customHeight="1">
      <c r="C965" s="7"/>
    </row>
    <row r="966" ht="18.75" customHeight="1">
      <c r="C966" s="7"/>
    </row>
    <row r="967" ht="18.75" customHeight="1">
      <c r="C967" s="7"/>
    </row>
    <row r="968" ht="18.75" customHeight="1">
      <c r="C968" s="7"/>
    </row>
    <row r="969" ht="18.75" customHeight="1">
      <c r="C969" s="7"/>
    </row>
    <row r="970" ht="18.75" customHeight="1">
      <c r="C970" s="7"/>
    </row>
    <row r="971" ht="18.75" customHeight="1">
      <c r="C971" s="7"/>
    </row>
    <row r="972" ht="18.75" customHeight="1">
      <c r="C972" s="7"/>
    </row>
    <row r="973" ht="18.75" customHeight="1">
      <c r="C973" s="7"/>
    </row>
    <row r="974" ht="18.75" customHeight="1">
      <c r="C974" s="7"/>
    </row>
    <row r="975" ht="18.75" customHeight="1">
      <c r="C975" s="7"/>
    </row>
    <row r="976" ht="18.75" customHeight="1">
      <c r="C976" s="7"/>
    </row>
    <row r="977" ht="18.75" customHeight="1">
      <c r="C977" s="7"/>
    </row>
    <row r="978" ht="18.75" customHeight="1">
      <c r="C978" s="7"/>
    </row>
    <row r="979" ht="18.75" customHeight="1">
      <c r="C979" s="7"/>
    </row>
    <row r="980" ht="18.75" customHeight="1">
      <c r="C980" s="7"/>
    </row>
    <row r="981" ht="18.75" customHeight="1">
      <c r="C981" s="7"/>
    </row>
    <row r="982" ht="18.75" customHeight="1">
      <c r="C982" s="7"/>
    </row>
    <row r="983" ht="18.75" customHeight="1">
      <c r="C983" s="7"/>
    </row>
    <row r="984" ht="18.75" customHeight="1">
      <c r="C984" s="7"/>
    </row>
    <row r="985" ht="18.75" customHeight="1">
      <c r="C985" s="7"/>
    </row>
    <row r="986" ht="18.75" customHeight="1">
      <c r="C986" s="7"/>
    </row>
    <row r="987" ht="18.75" customHeight="1">
      <c r="C987" s="7"/>
    </row>
    <row r="988" ht="18.75" customHeight="1">
      <c r="C988" s="7"/>
    </row>
    <row r="989" ht="18.75" customHeight="1">
      <c r="C989" s="7"/>
    </row>
    <row r="990" ht="18.75" customHeight="1">
      <c r="C990" s="7"/>
    </row>
    <row r="991" ht="18.75" customHeight="1">
      <c r="C991" s="7"/>
    </row>
    <row r="992" ht="18.75" customHeight="1">
      <c r="C992" s="7"/>
    </row>
    <row r="993" ht="18.75" customHeight="1">
      <c r="C993" s="7"/>
    </row>
    <row r="994" ht="18.75" customHeight="1">
      <c r="C994" s="7"/>
    </row>
    <row r="995" ht="18.75" customHeight="1">
      <c r="C995" s="7"/>
    </row>
    <row r="996" ht="18.75" customHeight="1">
      <c r="C996" s="7"/>
    </row>
    <row r="997" ht="18.75" customHeight="1">
      <c r="C997" s="7"/>
    </row>
    <row r="998" ht="18.75" customHeight="1">
      <c r="C998" s="7"/>
    </row>
    <row r="999" ht="18.75" customHeight="1">
      <c r="C999" s="7"/>
    </row>
    <row r="1000" ht="18.75" customHeight="1">
      <c r="C1000" s="7"/>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40" t="s">
        <v>623</v>
      </c>
      <c r="B1" s="40" t="s">
        <v>624</v>
      </c>
      <c r="C1" s="40" t="s">
        <v>625</v>
      </c>
      <c r="D1" s="40" t="s">
        <v>626</v>
      </c>
    </row>
    <row r="2">
      <c r="A2" s="19" t="s">
        <v>115</v>
      </c>
      <c r="B2" s="20" t="s">
        <v>4469</v>
      </c>
      <c r="C2" s="20">
        <v>85.0</v>
      </c>
      <c r="D2" s="41">
        <v>45568.0</v>
      </c>
    </row>
    <row r="3">
      <c r="A3" s="19" t="s">
        <v>742</v>
      </c>
      <c r="B3" s="20" t="s">
        <v>4470</v>
      </c>
      <c r="C3" s="20">
        <v>85.0</v>
      </c>
      <c r="D3" s="41">
        <v>45568.0</v>
      </c>
    </row>
    <row r="4">
      <c r="A4" s="19" t="s">
        <v>111</v>
      </c>
      <c r="B4" s="20" t="s">
        <v>4471</v>
      </c>
      <c r="C4" s="20">
        <v>85.0</v>
      </c>
      <c r="D4" s="41">
        <v>45568.0</v>
      </c>
    </row>
    <row r="5">
      <c r="A5" s="19" t="s">
        <v>194</v>
      </c>
      <c r="B5" s="20" t="s">
        <v>4472</v>
      </c>
      <c r="C5" s="20">
        <v>85.0</v>
      </c>
      <c r="D5" s="41">
        <v>45568.0</v>
      </c>
    </row>
    <row r="6">
      <c r="A6" s="19" t="s">
        <v>103</v>
      </c>
      <c r="B6" s="20" t="s">
        <v>4473</v>
      </c>
      <c r="C6" s="20">
        <v>85.0</v>
      </c>
      <c r="D6" s="41">
        <v>45568.0</v>
      </c>
    </row>
    <row r="7">
      <c r="A7" s="19" t="s">
        <v>647</v>
      </c>
      <c r="B7" s="20" t="s">
        <v>4474</v>
      </c>
      <c r="C7" s="20">
        <v>85.0</v>
      </c>
      <c r="D7" s="41">
        <v>45568.0</v>
      </c>
    </row>
    <row r="8">
      <c r="A8" s="19" t="s">
        <v>119</v>
      </c>
      <c r="B8" s="20" t="s">
        <v>4475</v>
      </c>
      <c r="C8" s="20">
        <v>85.0</v>
      </c>
      <c r="D8" s="41">
        <v>45568.0</v>
      </c>
    </row>
    <row r="9">
      <c r="A9" s="19" t="s">
        <v>107</v>
      </c>
      <c r="B9" s="20" t="s">
        <v>4476</v>
      </c>
      <c r="C9" s="20">
        <v>80.0</v>
      </c>
      <c r="D9" s="41">
        <v>45568.0</v>
      </c>
    </row>
    <row r="10">
      <c r="A10" s="19" t="s">
        <v>717</v>
      </c>
      <c r="B10" s="20" t="s">
        <v>4477</v>
      </c>
      <c r="C10" s="20">
        <v>80.0</v>
      </c>
      <c r="D10" s="41">
        <v>45568.0</v>
      </c>
    </row>
    <row r="11">
      <c r="A11" s="19" t="s">
        <v>156</v>
      </c>
      <c r="B11" s="20" t="s">
        <v>4478</v>
      </c>
      <c r="C11" s="20">
        <v>80.0</v>
      </c>
      <c r="D11" s="41">
        <v>45568.0</v>
      </c>
    </row>
    <row r="12">
      <c r="A12" s="19" t="s">
        <v>173</v>
      </c>
      <c r="B12" s="20" t="s">
        <v>4479</v>
      </c>
      <c r="C12" s="20">
        <v>80.0</v>
      </c>
      <c r="D12" s="41">
        <v>45568.0</v>
      </c>
    </row>
    <row r="13">
      <c r="A13" s="19" t="s">
        <v>309</v>
      </c>
      <c r="B13" s="20" t="s">
        <v>4480</v>
      </c>
      <c r="C13" s="20">
        <v>80.0</v>
      </c>
      <c r="D13" s="41">
        <v>45568.0</v>
      </c>
    </row>
    <row r="14">
      <c r="A14" s="19" t="s">
        <v>150</v>
      </c>
      <c r="B14" s="20" t="s">
        <v>4481</v>
      </c>
      <c r="C14" s="20">
        <v>75.0</v>
      </c>
      <c r="D14" s="41">
        <v>45568.0</v>
      </c>
    </row>
    <row r="15">
      <c r="A15" s="19" t="s">
        <v>642</v>
      </c>
      <c r="B15" s="20" t="s">
        <v>4482</v>
      </c>
      <c r="C15" s="20">
        <v>75.0</v>
      </c>
      <c r="D15" s="41">
        <v>45568.0</v>
      </c>
    </row>
    <row r="16">
      <c r="A16" s="19" t="s">
        <v>698</v>
      </c>
      <c r="B16" s="20" t="s">
        <v>4483</v>
      </c>
      <c r="C16" s="20">
        <v>75.0</v>
      </c>
      <c r="D16" s="41">
        <v>45568.0</v>
      </c>
    </row>
    <row r="17">
      <c r="A17" s="19" t="s">
        <v>753</v>
      </c>
      <c r="B17" s="20" t="s">
        <v>4484</v>
      </c>
      <c r="C17" s="20">
        <v>75.0</v>
      </c>
      <c r="D17" s="41">
        <v>45568.0</v>
      </c>
    </row>
    <row r="18">
      <c r="A18" s="19" t="s">
        <v>662</v>
      </c>
      <c r="B18" s="20" t="s">
        <v>4485</v>
      </c>
      <c r="C18" s="20">
        <v>75.0</v>
      </c>
      <c r="D18" s="41">
        <v>45568.0</v>
      </c>
    </row>
    <row r="19">
      <c r="A19" s="19" t="s">
        <v>672</v>
      </c>
      <c r="B19" s="20" t="s">
        <v>4486</v>
      </c>
      <c r="C19" s="20">
        <v>75.0</v>
      </c>
      <c r="D19" s="41">
        <v>45568.0</v>
      </c>
    </row>
    <row r="20">
      <c r="A20" s="19" t="s">
        <v>312</v>
      </c>
      <c r="B20" s="20" t="s">
        <v>4487</v>
      </c>
      <c r="C20" s="20">
        <v>75.0</v>
      </c>
      <c r="D20" s="41">
        <v>45568.0</v>
      </c>
    </row>
    <row r="21">
      <c r="A21" s="19" t="s">
        <v>656</v>
      </c>
      <c r="B21" s="20" t="s">
        <v>4488</v>
      </c>
      <c r="C21" s="20">
        <v>75.0</v>
      </c>
      <c r="D21" s="41">
        <v>45568.0</v>
      </c>
    </row>
    <row r="22">
      <c r="A22" s="19" t="s">
        <v>159</v>
      </c>
      <c r="B22" s="20" t="s">
        <v>4489</v>
      </c>
      <c r="C22" s="20">
        <v>75.0</v>
      </c>
      <c r="D22" s="41">
        <v>45568.0</v>
      </c>
    </row>
    <row r="23">
      <c r="A23" s="19" t="s">
        <v>153</v>
      </c>
      <c r="B23" s="20" t="s">
        <v>4490</v>
      </c>
      <c r="C23" s="20">
        <v>75.0</v>
      </c>
      <c r="D23" s="41">
        <v>45568.0</v>
      </c>
    </row>
    <row r="24">
      <c r="A24" s="19" t="s">
        <v>675</v>
      </c>
      <c r="B24" s="20" t="s">
        <v>4491</v>
      </c>
      <c r="C24" s="20">
        <v>75.0</v>
      </c>
      <c r="D24" s="41">
        <v>45568.0</v>
      </c>
    </row>
    <row r="25">
      <c r="A25" s="19" t="s">
        <v>738</v>
      </c>
      <c r="B25" s="20" t="s">
        <v>4492</v>
      </c>
      <c r="C25" s="20">
        <v>75.0</v>
      </c>
      <c r="D25" s="41">
        <v>45568.0</v>
      </c>
    </row>
    <row r="26">
      <c r="A26" s="19" t="s">
        <v>177</v>
      </c>
      <c r="B26" s="20" t="s">
        <v>4493</v>
      </c>
      <c r="C26" s="20">
        <v>75.0</v>
      </c>
      <c r="D26" s="41">
        <v>45568.0</v>
      </c>
    </row>
    <row r="27">
      <c r="A27" s="19" t="s">
        <v>731</v>
      </c>
      <c r="B27" s="20" t="s">
        <v>4494</v>
      </c>
      <c r="C27" s="20">
        <v>75.0</v>
      </c>
      <c r="D27" s="41">
        <v>45568.0</v>
      </c>
    </row>
    <row r="28">
      <c r="A28" s="19" t="s">
        <v>740</v>
      </c>
      <c r="B28" s="20" t="s">
        <v>4495</v>
      </c>
      <c r="C28" s="20">
        <v>75.0</v>
      </c>
      <c r="D28" s="41">
        <v>45568.0</v>
      </c>
    </row>
    <row r="29">
      <c r="A29" s="19" t="s">
        <v>751</v>
      </c>
      <c r="B29" s="20" t="s">
        <v>4496</v>
      </c>
      <c r="C29" s="20">
        <v>75.0</v>
      </c>
      <c r="D29" s="41">
        <v>45568.0</v>
      </c>
    </row>
    <row r="30">
      <c r="A30" s="19" t="s">
        <v>712</v>
      </c>
      <c r="B30" s="20" t="s">
        <v>4497</v>
      </c>
      <c r="C30" s="20">
        <v>75.0</v>
      </c>
      <c r="D30" s="41">
        <v>45568.0</v>
      </c>
    </row>
    <row r="31">
      <c r="A31" s="19" t="s">
        <v>668</v>
      </c>
      <c r="B31" s="20" t="s">
        <v>4498</v>
      </c>
      <c r="C31" s="20">
        <v>75.0</v>
      </c>
      <c r="D31" s="41">
        <v>45568.0</v>
      </c>
    </row>
    <row r="32">
      <c r="A32" s="19" t="s">
        <v>664</v>
      </c>
      <c r="B32" s="20" t="s">
        <v>4499</v>
      </c>
      <c r="C32" s="20">
        <v>75.0</v>
      </c>
      <c r="D32" s="41">
        <v>45568.0</v>
      </c>
    </row>
    <row r="33">
      <c r="A33" s="19" t="s">
        <v>666</v>
      </c>
      <c r="B33" s="20" t="s">
        <v>4500</v>
      </c>
      <c r="C33" s="20">
        <v>75.0</v>
      </c>
      <c r="D33" s="41">
        <v>45568.0</v>
      </c>
    </row>
    <row r="34">
      <c r="A34" s="19" t="s">
        <v>736</v>
      </c>
      <c r="B34" s="20" t="s">
        <v>4501</v>
      </c>
      <c r="C34" s="20">
        <v>75.0</v>
      </c>
      <c r="D34" s="41">
        <v>45568.0</v>
      </c>
    </row>
    <row r="35">
      <c r="A35" s="19" t="s">
        <v>658</v>
      </c>
      <c r="B35" s="20" t="s">
        <v>4502</v>
      </c>
      <c r="C35" s="20">
        <v>75.0</v>
      </c>
      <c r="D35" s="41">
        <v>45568.0</v>
      </c>
    </row>
    <row r="36">
      <c r="A36" s="19" t="s">
        <v>314</v>
      </c>
      <c r="B36" s="20" t="s">
        <v>4503</v>
      </c>
      <c r="C36" s="20">
        <v>75.0</v>
      </c>
      <c r="D36" s="41">
        <v>45568.0</v>
      </c>
    </row>
    <row r="37">
      <c r="A37" s="19" t="s">
        <v>660</v>
      </c>
      <c r="B37" s="20" t="s">
        <v>4504</v>
      </c>
      <c r="C37" s="20">
        <v>75.0</v>
      </c>
      <c r="D37" s="41">
        <v>45568.0</v>
      </c>
    </row>
    <row r="38">
      <c r="A38" s="19" t="s">
        <v>727</v>
      </c>
      <c r="B38" s="20" t="s">
        <v>4505</v>
      </c>
      <c r="C38" s="20">
        <v>75.0</v>
      </c>
      <c r="D38" s="41">
        <v>45568.0</v>
      </c>
    </row>
    <row r="39">
      <c r="A39" s="19" t="s">
        <v>188</v>
      </c>
      <c r="B39" s="20" t="s">
        <v>4506</v>
      </c>
      <c r="C39" s="20">
        <v>75.0</v>
      </c>
      <c r="D39" s="41">
        <v>45568.0</v>
      </c>
    </row>
    <row r="40">
      <c r="A40" s="19" t="s">
        <v>708</v>
      </c>
      <c r="B40" s="20" t="s">
        <v>4507</v>
      </c>
      <c r="C40" s="20">
        <v>75.0</v>
      </c>
      <c r="D40" s="41">
        <v>45568.0</v>
      </c>
    </row>
    <row r="41">
      <c r="A41" s="19" t="s">
        <v>636</v>
      </c>
      <c r="B41" s="20" t="s">
        <v>4508</v>
      </c>
      <c r="C41" s="20">
        <v>75.0</v>
      </c>
      <c r="D41" s="41">
        <v>45568.0</v>
      </c>
    </row>
    <row r="42">
      <c r="A42" s="19" t="s">
        <v>682</v>
      </c>
      <c r="B42" s="20" t="s">
        <v>4509</v>
      </c>
      <c r="C42" s="20">
        <v>75.0</v>
      </c>
      <c r="D42" s="41">
        <v>45568.0</v>
      </c>
    </row>
    <row r="43">
      <c r="A43" s="19" t="s">
        <v>690</v>
      </c>
      <c r="B43" s="20" t="s">
        <v>4510</v>
      </c>
      <c r="C43" s="20">
        <v>75.0</v>
      </c>
      <c r="D43" s="41">
        <v>45568.0</v>
      </c>
    </row>
    <row r="44">
      <c r="A44" s="19" t="s">
        <v>688</v>
      </c>
      <c r="B44" s="20" t="s">
        <v>4511</v>
      </c>
      <c r="C44" s="20">
        <v>75.0</v>
      </c>
      <c r="D44" s="41">
        <v>45568.0</v>
      </c>
    </row>
    <row r="45">
      <c r="A45" s="19" t="s">
        <v>684</v>
      </c>
      <c r="B45" s="20" t="s">
        <v>4512</v>
      </c>
      <c r="C45" s="20">
        <v>75.0</v>
      </c>
      <c r="D45" s="41">
        <v>45568.0</v>
      </c>
    </row>
    <row r="46">
      <c r="A46" s="19" t="s">
        <v>634</v>
      </c>
      <c r="B46" s="20" t="s">
        <v>4513</v>
      </c>
      <c r="C46" s="20">
        <v>75.0</v>
      </c>
      <c r="D46" s="41">
        <v>45568.0</v>
      </c>
    </row>
    <row r="47">
      <c r="A47" s="19" t="s">
        <v>654</v>
      </c>
      <c r="B47" s="20" t="s">
        <v>4514</v>
      </c>
      <c r="C47" s="20">
        <v>70.0</v>
      </c>
      <c r="D47" s="41">
        <v>45568.0</v>
      </c>
    </row>
    <row r="48">
      <c r="A48" s="19" t="s">
        <v>721</v>
      </c>
      <c r="B48" s="20" t="s">
        <v>4515</v>
      </c>
      <c r="C48" s="20">
        <v>70.0</v>
      </c>
      <c r="D48" s="41">
        <v>45568.0</v>
      </c>
    </row>
    <row r="49">
      <c r="A49" s="19" t="s">
        <v>704</v>
      </c>
      <c r="B49" s="20" t="s">
        <v>4516</v>
      </c>
      <c r="C49" s="20">
        <v>70.0</v>
      </c>
      <c r="D49" s="41">
        <v>45568.0</v>
      </c>
    </row>
    <row r="50">
      <c r="A50" s="19" t="s">
        <v>702</v>
      </c>
      <c r="B50" s="20" t="s">
        <v>4517</v>
      </c>
      <c r="C50" s="20">
        <v>70.0</v>
      </c>
      <c r="D50" s="41">
        <v>45568.0</v>
      </c>
    </row>
    <row r="51">
      <c r="A51" s="19" t="s">
        <v>700</v>
      </c>
      <c r="B51" s="20" t="s">
        <v>4518</v>
      </c>
      <c r="C51" s="20">
        <v>70.0</v>
      </c>
      <c r="D51" s="41">
        <v>45568.0</v>
      </c>
    </row>
    <row r="52">
      <c r="A52" s="19" t="s">
        <v>640</v>
      </c>
      <c r="B52" s="20" t="s">
        <v>4519</v>
      </c>
      <c r="C52" s="20">
        <v>70.0</v>
      </c>
      <c r="D52" s="41">
        <v>45568.0</v>
      </c>
    </row>
    <row r="53">
      <c r="A53" s="19" t="s">
        <v>719</v>
      </c>
      <c r="B53" s="20" t="s">
        <v>4520</v>
      </c>
      <c r="C53" s="20">
        <v>70.0</v>
      </c>
      <c r="D53" s="41">
        <v>45568.0</v>
      </c>
    </row>
    <row r="54">
      <c r="A54" s="19" t="s">
        <v>723</v>
      </c>
      <c r="B54" s="20" t="s">
        <v>4521</v>
      </c>
      <c r="C54" s="20">
        <v>70.0</v>
      </c>
      <c r="D54" s="41">
        <v>45568.0</v>
      </c>
    </row>
    <row r="55">
      <c r="A55" s="19" t="s">
        <v>725</v>
      </c>
      <c r="B55" s="20" t="s">
        <v>4522</v>
      </c>
      <c r="C55" s="20">
        <v>70.0</v>
      </c>
      <c r="D55" s="41">
        <v>45568.0</v>
      </c>
    </row>
    <row r="56">
      <c r="A56" s="19" t="s">
        <v>749</v>
      </c>
      <c r="B56" s="20" t="s">
        <v>4523</v>
      </c>
      <c r="C56" s="20">
        <v>70.0</v>
      </c>
      <c r="D56" s="41">
        <v>45568.0</v>
      </c>
    </row>
    <row r="57">
      <c r="A57" s="42"/>
      <c r="B57" s="20" t="s">
        <v>4524</v>
      </c>
      <c r="C57" s="20">
        <v>70.0</v>
      </c>
      <c r="D57" s="41">
        <v>45568.0</v>
      </c>
    </row>
    <row r="58">
      <c r="A58" s="19" t="s">
        <v>649</v>
      </c>
      <c r="B58" s="20" t="s">
        <v>4525</v>
      </c>
      <c r="C58" s="20">
        <v>70.0</v>
      </c>
      <c r="D58" s="41">
        <v>45568.0</v>
      </c>
    </row>
    <row r="59">
      <c r="A59" s="19" t="s">
        <v>652</v>
      </c>
      <c r="B59" s="20" t="s">
        <v>4526</v>
      </c>
      <c r="C59" s="20">
        <v>70.0</v>
      </c>
      <c r="D59" s="41">
        <v>45568.0</v>
      </c>
    </row>
    <row r="60">
      <c r="A60" s="19" t="s">
        <v>745</v>
      </c>
      <c r="B60" s="20" t="s">
        <v>4527</v>
      </c>
      <c r="C60" s="20">
        <v>70.0</v>
      </c>
      <c r="D60" s="41">
        <v>45568.0</v>
      </c>
    </row>
    <row r="61">
      <c r="A61" s="19" t="s">
        <v>757</v>
      </c>
      <c r="B61" s="20" t="s">
        <v>4528</v>
      </c>
      <c r="C61" s="20">
        <v>70.0</v>
      </c>
      <c r="D61" s="41">
        <v>45568.0</v>
      </c>
    </row>
    <row r="62">
      <c r="A62" s="19" t="s">
        <v>710</v>
      </c>
      <c r="B62" s="20" t="s">
        <v>4529</v>
      </c>
      <c r="C62" s="20">
        <v>70.0</v>
      </c>
      <c r="D62" s="41">
        <v>45568.0</v>
      </c>
    </row>
    <row r="63">
      <c r="A63" s="19" t="s">
        <v>694</v>
      </c>
      <c r="B63" s="20" t="s">
        <v>4530</v>
      </c>
      <c r="C63" s="20">
        <v>70.0</v>
      </c>
      <c r="D63" s="41">
        <v>45568.0</v>
      </c>
    </row>
    <row r="64">
      <c r="A64" s="19" t="s">
        <v>755</v>
      </c>
      <c r="B64" s="20" t="s">
        <v>4531</v>
      </c>
      <c r="C64" s="20">
        <v>70.0</v>
      </c>
      <c r="D64" s="41">
        <v>45568.0</v>
      </c>
    </row>
    <row r="65">
      <c r="A65" s="19" t="s">
        <v>686</v>
      </c>
      <c r="B65" s="20" t="s">
        <v>4532</v>
      </c>
      <c r="C65" s="20">
        <v>70.0</v>
      </c>
      <c r="D65" s="41">
        <v>45568.0</v>
      </c>
    </row>
    <row r="66">
      <c r="A66" s="19" t="s">
        <v>645</v>
      </c>
      <c r="B66" s="20" t="s">
        <v>4533</v>
      </c>
      <c r="C66" s="20">
        <v>70.0</v>
      </c>
      <c r="D66" s="41">
        <v>45568.0</v>
      </c>
    </row>
    <row r="67">
      <c r="A67" s="19" t="s">
        <v>148</v>
      </c>
      <c r="B67" s="20" t="s">
        <v>4534</v>
      </c>
      <c r="C67" s="20">
        <v>70.0</v>
      </c>
      <c r="D67" s="41">
        <v>45568.0</v>
      </c>
    </row>
    <row r="68">
      <c r="A68" s="19" t="s">
        <v>706</v>
      </c>
      <c r="B68" s="20" t="s">
        <v>4535</v>
      </c>
      <c r="C68" s="20">
        <v>70.0</v>
      </c>
      <c r="D68" s="41">
        <v>45568.0</v>
      </c>
    </row>
    <row r="69">
      <c r="A69" s="19" t="s">
        <v>729</v>
      </c>
      <c r="B69" s="20" t="s">
        <v>4536</v>
      </c>
      <c r="C69" s="20">
        <v>65.0</v>
      </c>
      <c r="D69" s="41">
        <v>45568.0</v>
      </c>
    </row>
    <row r="70">
      <c r="A70" s="19" t="s">
        <v>734</v>
      </c>
      <c r="B70" s="20" t="s">
        <v>4537</v>
      </c>
      <c r="C70" s="20">
        <v>65.0</v>
      </c>
      <c r="D70" s="41">
        <v>45568.0</v>
      </c>
    </row>
    <row r="71">
      <c r="A71" s="19" t="s">
        <v>678</v>
      </c>
      <c r="B71" s="20" t="s">
        <v>4538</v>
      </c>
      <c r="C71" s="20">
        <v>65.0</v>
      </c>
      <c r="D71" s="41">
        <v>45568.0</v>
      </c>
    </row>
    <row r="72">
      <c r="A72" s="19" t="s">
        <v>638</v>
      </c>
      <c r="B72" s="20" t="s">
        <v>4539</v>
      </c>
      <c r="C72" s="20">
        <v>65.0</v>
      </c>
      <c r="D72" s="41">
        <v>45568.0</v>
      </c>
    </row>
    <row r="73">
      <c r="A73" s="19" t="s">
        <v>692</v>
      </c>
      <c r="B73" s="20" t="s">
        <v>4540</v>
      </c>
      <c r="C73" s="20">
        <v>65.0</v>
      </c>
      <c r="D73" s="41">
        <v>45568.0</v>
      </c>
    </row>
    <row r="74">
      <c r="A74" s="19" t="s">
        <v>670</v>
      </c>
      <c r="B74" s="20" t="s">
        <v>4541</v>
      </c>
      <c r="C74" s="20">
        <v>65.0</v>
      </c>
      <c r="D74" s="41">
        <v>45568.0</v>
      </c>
    </row>
    <row r="75">
      <c r="A75" s="19" t="s">
        <v>747</v>
      </c>
      <c r="B75" s="20" t="s">
        <v>4542</v>
      </c>
      <c r="C75" s="20">
        <v>65.0</v>
      </c>
      <c r="D75" s="41">
        <v>45568.0</v>
      </c>
    </row>
    <row r="76">
      <c r="A76" s="19" t="s">
        <v>714</v>
      </c>
      <c r="B76" s="20" t="s">
        <v>4543</v>
      </c>
      <c r="C76" s="20">
        <v>35.0</v>
      </c>
      <c r="D76" s="41">
        <v>45568.0</v>
      </c>
    </row>
  </sheetData>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40" t="s">
        <v>759</v>
      </c>
      <c r="B1" s="40" t="s">
        <v>625</v>
      </c>
      <c r="C1" s="40" t="s">
        <v>624</v>
      </c>
      <c r="D1" s="14" t="s">
        <v>1643</v>
      </c>
      <c r="H1" s="40" t="s">
        <v>759</v>
      </c>
      <c r="I1" s="40" t="s">
        <v>625</v>
      </c>
      <c r="J1" s="40" t="s">
        <v>624</v>
      </c>
      <c r="K1" s="14" t="s">
        <v>1643</v>
      </c>
    </row>
    <row r="2">
      <c r="A2" s="19" t="s">
        <v>243</v>
      </c>
      <c r="B2" s="20">
        <v>85.0</v>
      </c>
      <c r="C2" s="20" t="s">
        <v>4544</v>
      </c>
      <c r="D2" s="7">
        <f>IFERROR(__xludf.DUMMYFUNCTION("GOOGLEFINANCE(A2,""marketcap"")"),8.2244090721E10)</f>
        <v>82244090721</v>
      </c>
      <c r="H2" s="19" t="s">
        <v>35</v>
      </c>
      <c r="I2" s="20">
        <v>85.0</v>
      </c>
      <c r="J2" s="20" t="s">
        <v>4545</v>
      </c>
      <c r="K2" s="7">
        <f>IFERROR(__xludf.DUMMYFUNCTION("GOOGLEFINANCE(H2,""marketcap"")"),4.308093609573E12)</f>
        <v>4308093609573</v>
      </c>
    </row>
    <row r="3">
      <c r="A3" s="19" t="s">
        <v>198</v>
      </c>
      <c r="B3" s="20">
        <v>85.0</v>
      </c>
      <c r="C3" s="20" t="s">
        <v>4546</v>
      </c>
      <c r="D3" s="7">
        <f>IFERROR(__xludf.DUMMYFUNCTION("GOOGLEFINANCE(A3,""marketcap"")"),3.56493986497E11)</f>
        <v>356493986497</v>
      </c>
      <c r="H3" s="19" t="s">
        <v>229</v>
      </c>
      <c r="I3" s="20">
        <v>85.0</v>
      </c>
      <c r="J3" s="20" t="s">
        <v>4547</v>
      </c>
      <c r="K3" s="7">
        <f>IFERROR(__xludf.DUMMYFUNCTION("GOOGLEFINANCE(H3,""marketcap"")"),4.840260565908E12)</f>
        <v>4840260565908</v>
      </c>
    </row>
    <row r="4">
      <c r="A4" s="19" t="s">
        <v>229</v>
      </c>
      <c r="B4" s="20">
        <v>85.0</v>
      </c>
      <c r="C4" s="20" t="s">
        <v>4547</v>
      </c>
      <c r="D4" s="7">
        <f>IFERROR(__xludf.DUMMYFUNCTION("GOOGLEFINANCE(A4,""marketcap"")"),4.840260565908E12)</f>
        <v>4840260565908</v>
      </c>
      <c r="H4" s="19" t="s">
        <v>184</v>
      </c>
      <c r="I4" s="20">
        <v>85.0</v>
      </c>
      <c r="J4" s="20" t="s">
        <v>4548</v>
      </c>
      <c r="K4" s="7">
        <f>IFERROR(__xludf.DUMMYFUNCTION("GOOGLEFINANCE(H4,""marketcap"")"),4.841311148549E12)</f>
        <v>4841311148549</v>
      </c>
    </row>
    <row r="5">
      <c r="A5" s="19" t="s">
        <v>1553</v>
      </c>
      <c r="B5" s="20">
        <v>85.0</v>
      </c>
      <c r="C5" s="20" t="s">
        <v>4549</v>
      </c>
      <c r="D5" s="7">
        <f>IFERROR(__xludf.DUMMYFUNCTION("GOOGLEFINANCE(A5,""marketcap"")"),4.1596873406E10)</f>
        <v>41596873406</v>
      </c>
      <c r="H5" s="19" t="s">
        <v>230</v>
      </c>
      <c r="I5" s="20">
        <v>85.0</v>
      </c>
      <c r="J5" s="20" t="s">
        <v>4550</v>
      </c>
      <c r="K5" s="7">
        <f>IFERROR(__xludf.DUMMYFUNCTION("GOOGLEFINANCE(H5,""marketcap"")"),1.342221893625E12)</f>
        <v>1342221893625</v>
      </c>
    </row>
    <row r="6">
      <c r="A6" s="19" t="s">
        <v>245</v>
      </c>
      <c r="B6" s="20">
        <v>85.0</v>
      </c>
      <c r="C6" s="20" t="s">
        <v>4551</v>
      </c>
      <c r="D6" s="7">
        <f>IFERROR(__xludf.DUMMYFUNCTION("GOOGLEFINANCE(A6,""marketcap"")"),2.7950911456E11)</f>
        <v>279509114560</v>
      </c>
      <c r="H6" s="19" t="s">
        <v>198</v>
      </c>
      <c r="I6" s="20">
        <v>85.0</v>
      </c>
      <c r="J6" s="20" t="s">
        <v>4546</v>
      </c>
      <c r="K6" s="7">
        <f>IFERROR(__xludf.DUMMYFUNCTION("GOOGLEFINANCE(H6,""marketcap"")"),3.56493986497E11)</f>
        <v>356493986497</v>
      </c>
    </row>
    <row r="7">
      <c r="A7" s="19" t="s">
        <v>241</v>
      </c>
      <c r="B7" s="20">
        <v>85.0</v>
      </c>
      <c r="C7" s="20" t="s">
        <v>4552</v>
      </c>
      <c r="D7" s="7">
        <f>IFERROR(__xludf.DUMMYFUNCTION("GOOGLEFINANCE(A7,""marketcap"")"),1.97169901077E11)</f>
        <v>197169901077</v>
      </c>
      <c r="H7" s="19" t="s">
        <v>239</v>
      </c>
      <c r="I7" s="20">
        <v>85.0</v>
      </c>
      <c r="J7" s="20" t="s">
        <v>4553</v>
      </c>
      <c r="K7" s="7">
        <f>IFERROR(__xludf.DUMMYFUNCTION("GOOGLEFINANCE(H7,""marketcap"")"),7.422331E11)</f>
        <v>742233100000</v>
      </c>
    </row>
    <row r="8">
      <c r="A8" s="19" t="s">
        <v>1404</v>
      </c>
      <c r="B8" s="20">
        <v>85.0</v>
      </c>
      <c r="C8" s="20" t="s">
        <v>4554</v>
      </c>
      <c r="D8" s="7">
        <f>IFERROR(__xludf.DUMMYFUNCTION("GOOGLEFINANCE(A8,""marketcap"")"),1.2552680484E10)</f>
        <v>12552680484</v>
      </c>
      <c r="H8" s="19" t="s">
        <v>241</v>
      </c>
      <c r="I8" s="20">
        <v>85.0</v>
      </c>
      <c r="J8" s="20" t="s">
        <v>4552</v>
      </c>
      <c r="K8" s="7">
        <f>IFERROR(__xludf.DUMMYFUNCTION("GOOGLEFINANCE(H8,""marketcap"")"),1.97169901077E11)</f>
        <v>197169901077</v>
      </c>
    </row>
    <row r="9">
      <c r="A9" s="19" t="s">
        <v>239</v>
      </c>
      <c r="B9" s="20">
        <v>85.0</v>
      </c>
      <c r="C9" s="20" t="s">
        <v>4553</v>
      </c>
      <c r="D9" s="7">
        <f>IFERROR(__xludf.DUMMYFUNCTION("GOOGLEFINANCE(A9,""marketcap"")"),7.422331E11)</f>
        <v>742233100000</v>
      </c>
      <c r="H9" s="19" t="s">
        <v>242</v>
      </c>
      <c r="I9" s="20">
        <v>85.0</v>
      </c>
      <c r="J9" s="20" t="s">
        <v>4555</v>
      </c>
      <c r="K9" s="7">
        <f>IFERROR(__xludf.DUMMYFUNCTION("GOOGLEFINANCE(H9,""marketcap"")"),8.5141383977E10)</f>
        <v>85141383977</v>
      </c>
    </row>
    <row r="10">
      <c r="A10" s="19" t="s">
        <v>184</v>
      </c>
      <c r="B10" s="20">
        <v>85.0</v>
      </c>
      <c r="C10" s="20" t="s">
        <v>4548</v>
      </c>
      <c r="D10" s="7">
        <f>IFERROR(__xludf.DUMMYFUNCTION("GOOGLEFINANCE(A10,""marketcap"")"),4.841311148549E12)</f>
        <v>4841311148549</v>
      </c>
      <c r="H10" s="19" t="s">
        <v>243</v>
      </c>
      <c r="I10" s="20">
        <v>85.0</v>
      </c>
      <c r="J10" s="20" t="s">
        <v>4544</v>
      </c>
      <c r="K10" s="7">
        <f>IFERROR(__xludf.DUMMYFUNCTION("GOOGLEFINANCE(H10,""marketcap"")"),8.2244090721E10)</f>
        <v>82244090721</v>
      </c>
    </row>
    <row r="11">
      <c r="A11" s="19" t="s">
        <v>1474</v>
      </c>
      <c r="B11" s="20">
        <v>85.0</v>
      </c>
      <c r="C11" s="20" t="s">
        <v>4556</v>
      </c>
      <c r="D11" s="7">
        <f>IFERROR(__xludf.DUMMYFUNCTION("GOOGLEFINANCE(A11,""marketcap"")"),3.2772736166E10)</f>
        <v>32772736166</v>
      </c>
      <c r="H11" s="19" t="s">
        <v>244</v>
      </c>
      <c r="I11" s="20">
        <v>85.0</v>
      </c>
      <c r="J11" s="20" t="s">
        <v>4557</v>
      </c>
      <c r="K11" s="7">
        <f>IFERROR(__xludf.DUMMYFUNCTION("GOOGLEFINANCE(H11,""marketcap"")"),5.1109588745E10)</f>
        <v>51109588745</v>
      </c>
    </row>
    <row r="12">
      <c r="A12" s="19" t="s">
        <v>244</v>
      </c>
      <c r="B12" s="20">
        <v>85.0</v>
      </c>
      <c r="C12" s="20" t="s">
        <v>4557</v>
      </c>
      <c r="D12" s="7">
        <f>IFERROR(__xludf.DUMMYFUNCTION("GOOGLEFINANCE(A12,""marketcap"")"),5.1109588745E10)</f>
        <v>51109588745</v>
      </c>
      <c r="H12" s="19" t="s">
        <v>245</v>
      </c>
      <c r="I12" s="20">
        <v>85.0</v>
      </c>
      <c r="J12" s="20" t="s">
        <v>4551</v>
      </c>
      <c r="K12" s="7">
        <f>IFERROR(__xludf.DUMMYFUNCTION("GOOGLEFINANCE(H12,""marketcap"")"),2.7950911456E11)</f>
        <v>279509114560</v>
      </c>
    </row>
    <row r="13">
      <c r="A13" s="19" t="s">
        <v>1495</v>
      </c>
      <c r="B13" s="20">
        <v>85.0</v>
      </c>
      <c r="C13" s="20" t="s">
        <v>4558</v>
      </c>
      <c r="D13" s="7">
        <f>IFERROR(__xludf.DUMMYFUNCTION("GOOGLEFINANCE(A13,""marketcap"")"),3.252616E10)</f>
        <v>32526160000</v>
      </c>
      <c r="H13" s="19" t="s">
        <v>1474</v>
      </c>
      <c r="I13" s="20">
        <v>85.0</v>
      </c>
      <c r="J13" s="20" t="s">
        <v>4556</v>
      </c>
      <c r="K13" s="7">
        <f>IFERROR(__xludf.DUMMYFUNCTION("GOOGLEFINANCE(H13,""marketcap"")"),3.2772736166E10)</f>
        <v>32772736166</v>
      </c>
    </row>
    <row r="14">
      <c r="A14" s="19" t="s">
        <v>230</v>
      </c>
      <c r="B14" s="20">
        <v>85.0</v>
      </c>
      <c r="C14" s="20" t="s">
        <v>4550</v>
      </c>
      <c r="D14" s="7">
        <f>IFERROR(__xludf.DUMMYFUNCTION("GOOGLEFINANCE(A14,""marketcap"")"),1.342221893625E12)</f>
        <v>1342221893625</v>
      </c>
      <c r="H14" s="19" t="s">
        <v>1495</v>
      </c>
      <c r="I14" s="20">
        <v>85.0</v>
      </c>
      <c r="J14" s="20" t="s">
        <v>4558</v>
      </c>
      <c r="K14" s="7">
        <f>IFERROR(__xludf.DUMMYFUNCTION("GOOGLEFINANCE(H14,""marketcap"")"),3.252616E10)</f>
        <v>32526160000</v>
      </c>
    </row>
    <row r="15">
      <c r="A15" s="19" t="s">
        <v>242</v>
      </c>
      <c r="B15" s="20">
        <v>85.0</v>
      </c>
      <c r="C15" s="20" t="s">
        <v>4555</v>
      </c>
      <c r="D15" s="7">
        <f>IFERROR(__xludf.DUMMYFUNCTION("GOOGLEFINANCE(A15,""marketcap"")"),8.5141383977E10)</f>
        <v>85141383977</v>
      </c>
      <c r="H15" s="19" t="s">
        <v>1553</v>
      </c>
      <c r="I15" s="20">
        <v>85.0</v>
      </c>
      <c r="J15" s="20" t="s">
        <v>4549</v>
      </c>
      <c r="K15" s="7">
        <f>IFERROR(__xludf.DUMMYFUNCTION("GOOGLEFINANCE(H15,""marketcap"")"),4.1596873406E10)</f>
        <v>41596873406</v>
      </c>
    </row>
    <row r="16">
      <c r="A16" s="19" t="s">
        <v>35</v>
      </c>
      <c r="B16" s="20">
        <v>85.0</v>
      </c>
      <c r="C16" s="20" t="s">
        <v>4545</v>
      </c>
      <c r="D16" s="7">
        <f>IFERROR(__xludf.DUMMYFUNCTION("GOOGLEFINANCE(A16,""marketcap"")"),4.308093609573E12)</f>
        <v>4308093609573</v>
      </c>
      <c r="H16" s="19" t="s">
        <v>1404</v>
      </c>
      <c r="I16" s="20">
        <v>85.0</v>
      </c>
      <c r="J16" s="20" t="s">
        <v>4554</v>
      </c>
      <c r="K16" s="7">
        <f>IFERROR(__xludf.DUMMYFUNCTION("GOOGLEFINANCE(H16,""marketcap"")"),1.2552680484E10)</f>
        <v>12552680484</v>
      </c>
    </row>
    <row r="17">
      <c r="A17" s="19" t="s">
        <v>180</v>
      </c>
      <c r="B17" s="20">
        <v>80.0</v>
      </c>
      <c r="C17" s="20" t="s">
        <v>4559</v>
      </c>
      <c r="D17" s="7">
        <f>IFERROR(__xludf.DUMMYFUNCTION("GOOGLEFINANCE(A17,""marketcap"")"),1.028142997165E12)</f>
        <v>1028142997165</v>
      </c>
    </row>
    <row r="18">
      <c r="A18" s="19" t="s">
        <v>1498</v>
      </c>
      <c r="B18" s="20">
        <v>80.0</v>
      </c>
      <c r="C18" s="20" t="s">
        <v>4560</v>
      </c>
      <c r="D18" s="7">
        <f>IFERROR(__xludf.DUMMYFUNCTION("GOOGLEFINANCE(A18,""marketcap"")"),4.2548965088E10)</f>
        <v>42548965088</v>
      </c>
    </row>
    <row r="19">
      <c r="A19" s="19" t="s">
        <v>1500</v>
      </c>
      <c r="B19" s="20">
        <v>80.0</v>
      </c>
      <c r="C19" s="20" t="s">
        <v>4561</v>
      </c>
      <c r="D19" s="7">
        <f>IFERROR(__xludf.DUMMYFUNCTION("GOOGLEFINANCE(A19,""marketcap"")"),8.95724595E10)</f>
        <v>89572459500</v>
      </c>
    </row>
    <row r="20">
      <c r="A20" s="19" t="s">
        <v>231</v>
      </c>
      <c r="B20" s="20">
        <v>80.0</v>
      </c>
      <c r="C20" s="20" t="s">
        <v>4562</v>
      </c>
      <c r="D20" s="7">
        <f>IFERROR(__xludf.DUMMYFUNCTION("GOOGLEFINANCE(A20,""marketcap"")"),3.64126093955E11)</f>
        <v>364126093955</v>
      </c>
    </row>
    <row r="21">
      <c r="A21" s="19" t="s">
        <v>862</v>
      </c>
      <c r="B21" s="20">
        <v>80.0</v>
      </c>
      <c r="C21" s="20" t="s">
        <v>4563</v>
      </c>
      <c r="D21" s="7">
        <f>IFERROR(__xludf.DUMMYFUNCTION("GOOGLEFINANCE(A21,""marketcap"")"),4.002113E10)</f>
        <v>40021130000</v>
      </c>
    </row>
    <row r="22">
      <c r="A22" s="19" t="s">
        <v>206</v>
      </c>
      <c r="B22" s="20">
        <v>80.0</v>
      </c>
      <c r="C22" s="20" t="s">
        <v>4564</v>
      </c>
      <c r="D22" s="7">
        <f>IFERROR(__xludf.DUMMYFUNCTION("GOOGLEFINANCE(A22,""marketcap"")"),1.10766891297E11)</f>
        <v>110766891297</v>
      </c>
    </row>
    <row r="23">
      <c r="A23" s="19" t="s">
        <v>951</v>
      </c>
      <c r="B23" s="20">
        <v>80.0</v>
      </c>
      <c r="C23" s="20" t="s">
        <v>4565</v>
      </c>
      <c r="D23" s="7">
        <f>IFERROR(__xludf.DUMMYFUNCTION("GOOGLEFINANCE(A23,""marketcap"")"),3.0179668915E10)</f>
        <v>30179668915</v>
      </c>
    </row>
    <row r="24">
      <c r="A24" s="19" t="s">
        <v>837</v>
      </c>
      <c r="B24" s="20">
        <v>80.0</v>
      </c>
      <c r="C24" s="20" t="s">
        <v>4566</v>
      </c>
      <c r="D24" s="7">
        <f>IFERROR(__xludf.DUMMYFUNCTION("GOOGLEFINANCE(A24,""marketcap"")"),5.3266752561E10)</f>
        <v>53266752561</v>
      </c>
    </row>
    <row r="25">
      <c r="A25" s="19" t="s">
        <v>294</v>
      </c>
      <c r="B25" s="20">
        <v>80.0</v>
      </c>
      <c r="C25" s="20" t="s">
        <v>4567</v>
      </c>
      <c r="D25" s="7">
        <f>IFERROR(__xludf.DUMMYFUNCTION("GOOGLEFINANCE(A25,""marketcap"")"),1.79021216528E11)</f>
        <v>179021216528</v>
      </c>
    </row>
    <row r="26">
      <c r="A26" s="19" t="s">
        <v>287</v>
      </c>
      <c r="B26" s="20">
        <v>80.0</v>
      </c>
      <c r="C26" s="20" t="s">
        <v>4568</v>
      </c>
      <c r="D26" s="7">
        <f>IFERROR(__xludf.DUMMYFUNCTION("GOOGLEFINANCE(A26,""marketcap"")"),1.57506857518E11)</f>
        <v>157506857518</v>
      </c>
    </row>
    <row r="27">
      <c r="A27" s="19" t="s">
        <v>1153</v>
      </c>
      <c r="B27" s="20">
        <v>80.0</v>
      </c>
      <c r="C27" s="20" t="s">
        <v>4569</v>
      </c>
      <c r="D27" s="7">
        <f>IFERROR(__xludf.DUMMYFUNCTION("GOOGLEFINANCE(A27,""marketcap"")"),2.0334680802E11)</f>
        <v>203346808020</v>
      </c>
    </row>
    <row r="28">
      <c r="A28" s="19" t="s">
        <v>1059</v>
      </c>
      <c r="B28" s="20">
        <v>80.0</v>
      </c>
      <c r="C28" s="20" t="s">
        <v>4570</v>
      </c>
      <c r="D28" s="7" t="str">
        <f>IFERROR(__xludf.DUMMYFUNCTION("GOOGLEFINANCE(A28,""marketcap"")"),"#N/A")</f>
        <v>#N/A</v>
      </c>
    </row>
    <row r="29">
      <c r="A29" s="19" t="s">
        <v>1487</v>
      </c>
      <c r="B29" s="20">
        <v>80.0</v>
      </c>
      <c r="C29" s="20" t="s">
        <v>4571</v>
      </c>
      <c r="D29" s="7">
        <f>IFERROR(__xludf.DUMMYFUNCTION("GOOGLEFINANCE(A29,""marketcap"")"),6.6804720375E10)</f>
        <v>66804720375</v>
      </c>
    </row>
    <row r="30">
      <c r="A30" s="19" t="s">
        <v>451</v>
      </c>
      <c r="B30" s="20">
        <v>80.0</v>
      </c>
      <c r="C30" s="20" t="s">
        <v>4572</v>
      </c>
      <c r="D30" s="7">
        <f>IFERROR(__xludf.DUMMYFUNCTION("GOOGLEFINANCE(A30,""marketcap"")"),3.45569496793E11)</f>
        <v>345569496793</v>
      </c>
    </row>
    <row r="31">
      <c r="A31" s="19" t="s">
        <v>1490</v>
      </c>
      <c r="B31" s="20">
        <v>80.0</v>
      </c>
      <c r="C31" s="20" t="s">
        <v>4573</v>
      </c>
      <c r="D31" s="7">
        <f>IFERROR(__xludf.DUMMYFUNCTION("GOOGLEFINANCE(A31,""marketcap"")"),1.2261291479E10)</f>
        <v>12261291479</v>
      </c>
    </row>
    <row r="32">
      <c r="A32" s="19" t="s">
        <v>1237</v>
      </c>
      <c r="B32" s="20">
        <v>80.0</v>
      </c>
      <c r="C32" s="20" t="s">
        <v>4574</v>
      </c>
      <c r="D32" s="7">
        <f>IFERROR(__xludf.DUMMYFUNCTION("GOOGLEFINANCE(A32,""marketcap"")"),3.7428743554E10)</f>
        <v>37428743554</v>
      </c>
    </row>
    <row r="33">
      <c r="A33" s="19" t="s">
        <v>394</v>
      </c>
      <c r="B33" s="20">
        <v>80.0</v>
      </c>
      <c r="C33" s="20" t="s">
        <v>4575</v>
      </c>
      <c r="D33" s="7">
        <f>IFERROR(__xludf.DUMMYFUNCTION("GOOGLEFINANCE(A33,""marketcap"")"),1.78517072919E11)</f>
        <v>178517072919</v>
      </c>
    </row>
    <row r="34">
      <c r="A34" s="19" t="s">
        <v>816</v>
      </c>
      <c r="B34" s="20">
        <v>80.0</v>
      </c>
      <c r="C34" s="20" t="s">
        <v>4576</v>
      </c>
      <c r="D34" s="7">
        <f>IFERROR(__xludf.DUMMYFUNCTION("GOOGLEFINANCE(A34,""marketcap"")"),1.1932447802E10)</f>
        <v>11932447802</v>
      </c>
    </row>
    <row r="35">
      <c r="A35" s="19" t="s">
        <v>278</v>
      </c>
      <c r="B35" s="20">
        <v>80.0</v>
      </c>
      <c r="C35" s="20" t="s">
        <v>4577</v>
      </c>
      <c r="D35" s="7">
        <f>IFERROR(__xludf.DUMMYFUNCTION("GOOGLEFINANCE(A35,""marketcap"")"),5.16250014E10)</f>
        <v>51625001400</v>
      </c>
    </row>
    <row r="36">
      <c r="A36" s="19" t="s">
        <v>18</v>
      </c>
      <c r="B36" s="20">
        <v>80.0</v>
      </c>
      <c r="C36" s="20" t="s">
        <v>4578</v>
      </c>
      <c r="D36" s="7">
        <f>IFERROR(__xludf.DUMMYFUNCTION("GOOGLEFINANCE(A36,""marketcap"")"),1.02278714678E11)</f>
        <v>102278714678</v>
      </c>
    </row>
    <row r="37">
      <c r="A37" s="19" t="s">
        <v>1231</v>
      </c>
      <c r="B37" s="20">
        <v>80.0</v>
      </c>
      <c r="C37" s="20" t="s">
        <v>4579</v>
      </c>
      <c r="D37" s="7">
        <f>IFERROR(__xludf.DUMMYFUNCTION("GOOGLEFINANCE(A37,""marketcap"")"),3.2674478702E10)</f>
        <v>32674478702</v>
      </c>
    </row>
    <row r="38">
      <c r="A38" s="19" t="s">
        <v>956</v>
      </c>
      <c r="B38" s="20">
        <v>80.0</v>
      </c>
      <c r="C38" s="20" t="s">
        <v>4580</v>
      </c>
      <c r="D38" s="7">
        <f>IFERROR(__xludf.DUMMYFUNCTION("GOOGLEFINANCE(A38,""marketcap"")"),6.5782106402E10)</f>
        <v>65782106402</v>
      </c>
    </row>
    <row r="39">
      <c r="A39" s="19" t="s">
        <v>1481</v>
      </c>
      <c r="B39" s="20">
        <v>80.0</v>
      </c>
      <c r="C39" s="20" t="s">
        <v>4581</v>
      </c>
      <c r="D39" s="7">
        <f>IFERROR(__xludf.DUMMYFUNCTION("GOOGLEFINANCE(A39,""marketcap"")"),2.4002050295E10)</f>
        <v>24002050295</v>
      </c>
    </row>
    <row r="40">
      <c r="A40" s="19" t="s">
        <v>59</v>
      </c>
      <c r="B40" s="20">
        <v>80.0</v>
      </c>
      <c r="C40" s="20" t="s">
        <v>4582</v>
      </c>
      <c r="D40" s="7">
        <f>IFERROR(__xludf.DUMMYFUNCTION("GOOGLEFINANCE(A40,""marketcap"")"),5.760609235E10)</f>
        <v>57606092350</v>
      </c>
    </row>
    <row r="41">
      <c r="A41" s="19" t="s">
        <v>1061</v>
      </c>
      <c r="B41" s="20">
        <v>75.0</v>
      </c>
      <c r="C41" s="20" t="s">
        <v>4583</v>
      </c>
      <c r="D41" s="7">
        <f>IFERROR(__xludf.DUMMYFUNCTION("GOOGLEFINANCE(A41,""marketcap"")"),7.0820695776E10)</f>
        <v>70820695776</v>
      </c>
    </row>
    <row r="42">
      <c r="A42" s="19" t="s">
        <v>1057</v>
      </c>
      <c r="B42" s="20">
        <v>75.0</v>
      </c>
      <c r="C42" s="20" t="s">
        <v>4584</v>
      </c>
      <c r="D42" s="7">
        <f>IFERROR(__xludf.DUMMYFUNCTION("GOOGLEFINANCE(A42,""marketcap"")"),2.441982712E10)</f>
        <v>24419827120</v>
      </c>
    </row>
    <row r="43">
      <c r="A43" s="19" t="s">
        <v>1485</v>
      </c>
      <c r="B43" s="20">
        <v>75.0</v>
      </c>
      <c r="C43" s="20" t="s">
        <v>4585</v>
      </c>
      <c r="D43" s="7">
        <f>IFERROR(__xludf.DUMMYFUNCTION("GOOGLEFINANCE(A43,""marketcap"")"),4.1946951124E10)</f>
        <v>41946951124</v>
      </c>
    </row>
    <row r="44">
      <c r="A44" s="19" t="s">
        <v>1503</v>
      </c>
      <c r="B44" s="20">
        <v>75.0</v>
      </c>
      <c r="C44" s="20" t="s">
        <v>4586</v>
      </c>
      <c r="D44" s="7">
        <f>IFERROR(__xludf.DUMMYFUNCTION("GOOGLEFINANCE(A44,""marketcap"")"),6.3393191443E10)</f>
        <v>63393191443</v>
      </c>
    </row>
    <row r="45">
      <c r="A45" s="19" t="s">
        <v>1493</v>
      </c>
      <c r="B45" s="20">
        <v>75.0</v>
      </c>
      <c r="C45" s="20" t="s">
        <v>4587</v>
      </c>
      <c r="D45" s="7">
        <f>IFERROR(__xludf.DUMMYFUNCTION("GOOGLEFINANCE(A45,""marketcap"")"),1.2506938343E10)</f>
        <v>12506938343</v>
      </c>
    </row>
    <row r="46">
      <c r="A46" s="19" t="s">
        <v>963</v>
      </c>
      <c r="B46" s="20">
        <v>75.0</v>
      </c>
      <c r="C46" s="20" t="s">
        <v>4588</v>
      </c>
      <c r="D46" s="7">
        <f>IFERROR(__xludf.DUMMYFUNCTION("GOOGLEFINANCE(A46,""marketcap"")"),2.15635579756E11)</f>
        <v>215635579756</v>
      </c>
    </row>
    <row r="47">
      <c r="A47" s="19" t="s">
        <v>1479</v>
      </c>
      <c r="B47" s="20">
        <v>75.0</v>
      </c>
      <c r="C47" s="20" t="s">
        <v>4589</v>
      </c>
      <c r="D47" s="7">
        <f>IFERROR(__xludf.DUMMYFUNCTION("GOOGLEFINANCE(A47,""marketcap"")"),5.7566180103E10)</f>
        <v>57566180103</v>
      </c>
    </row>
    <row r="48">
      <c r="A48" s="19" t="s">
        <v>1477</v>
      </c>
      <c r="B48" s="20">
        <v>75.0</v>
      </c>
      <c r="C48" s="20" t="s">
        <v>4590</v>
      </c>
      <c r="D48" s="7">
        <f>IFERROR(__xludf.DUMMYFUNCTION("GOOGLEFINANCE(A48,""marketcap"")"),1.0219545487E10)</f>
        <v>10219545487</v>
      </c>
    </row>
    <row r="49">
      <c r="A49" s="19" t="s">
        <v>953</v>
      </c>
      <c r="B49" s="20">
        <v>75.0</v>
      </c>
      <c r="C49" s="20" t="s">
        <v>4591</v>
      </c>
      <c r="D49" s="7">
        <f>IFERROR(__xludf.DUMMYFUNCTION("GOOGLEFINANCE(A49,""marketcap"")"),3.019078341E10)</f>
        <v>30190783410</v>
      </c>
    </row>
    <row r="50">
      <c r="A50" s="19" t="s">
        <v>831</v>
      </c>
      <c r="B50" s="20">
        <v>75.0</v>
      </c>
      <c r="C50" s="20" t="s">
        <v>4592</v>
      </c>
      <c r="D50" s="7">
        <f>IFERROR(__xludf.DUMMYFUNCTION("GOOGLEFINANCE(A50,""marketcap"")"),1.74820157859E11)</f>
        <v>174820157859</v>
      </c>
    </row>
    <row r="51">
      <c r="A51" s="19" t="s">
        <v>1065</v>
      </c>
      <c r="B51" s="20">
        <v>75.0</v>
      </c>
      <c r="C51" s="20" t="s">
        <v>4593</v>
      </c>
      <c r="D51" s="7">
        <f>IFERROR(__xludf.DUMMYFUNCTION("GOOGLEFINANCE(A51,""marketcap"")"),2.156566E10)</f>
        <v>21565660000</v>
      </c>
    </row>
    <row r="52">
      <c r="A52" s="19" t="s">
        <v>419</v>
      </c>
      <c r="B52" s="20">
        <v>75.0</v>
      </c>
      <c r="C52" s="20" t="s">
        <v>4594</v>
      </c>
      <c r="D52" s="7">
        <f>IFERROR(__xludf.DUMMYFUNCTION("GOOGLEFINANCE(A52,""marketcap"")"),8.061702151E9)</f>
        <v>8061702151</v>
      </c>
    </row>
    <row r="53">
      <c r="A53" s="19" t="s">
        <v>1307</v>
      </c>
      <c r="B53" s="20">
        <v>75.0</v>
      </c>
      <c r="C53" s="20" t="s">
        <v>4595</v>
      </c>
      <c r="D53" s="7">
        <f>IFERROR(__xludf.DUMMYFUNCTION("GOOGLEFINANCE(A53,""marketcap"")"),1.8533958071E10)</f>
        <v>18533958071</v>
      </c>
    </row>
    <row r="54">
      <c r="A54" s="19" t="s">
        <v>1063</v>
      </c>
      <c r="B54" s="20">
        <v>75.0</v>
      </c>
      <c r="C54" s="20" t="s">
        <v>4596</v>
      </c>
      <c r="D54" s="7">
        <f>IFERROR(__xludf.DUMMYFUNCTION("GOOGLEFINANCE(A54,""marketcap"")"),4.0486545755E10)</f>
        <v>40486545755</v>
      </c>
    </row>
    <row r="55">
      <c r="A55" s="19" t="s">
        <v>182</v>
      </c>
      <c r="B55" s="20">
        <v>75.0</v>
      </c>
      <c r="C55" s="20" t="s">
        <v>4597</v>
      </c>
      <c r="D55" s="7">
        <f>IFERROR(__xludf.DUMMYFUNCTION("GOOGLEFINANCE(A55,""marketcap"")"),5.229772984313E12)</f>
        <v>5229772984313</v>
      </c>
    </row>
    <row r="56">
      <c r="A56" s="19" t="s">
        <v>53</v>
      </c>
      <c r="B56" s="20">
        <v>70.0</v>
      </c>
      <c r="C56" s="20" t="s">
        <v>4598</v>
      </c>
      <c r="D56" s="7">
        <f>IFERROR(__xludf.DUMMYFUNCTION("GOOGLEFINANCE(A56,""marketcap"")"),2.933245949212E12)</f>
        <v>2933245949212</v>
      </c>
    </row>
    <row r="57">
      <c r="A57" s="19" t="s">
        <v>1483</v>
      </c>
      <c r="B57" s="20">
        <v>70.0</v>
      </c>
      <c r="C57" s="20" t="s">
        <v>4599</v>
      </c>
      <c r="D57" s="7">
        <f>IFERROR(__xludf.DUMMYFUNCTION("GOOGLEFINANCE(A57,""marketcap"")"),1.8449476956E10)</f>
        <v>18449476956</v>
      </c>
    </row>
    <row r="58">
      <c r="A58" s="19" t="s">
        <v>1321</v>
      </c>
      <c r="B58" s="20">
        <v>70.0</v>
      </c>
      <c r="C58" s="20" t="s">
        <v>4600</v>
      </c>
      <c r="D58" s="7">
        <f>IFERROR(__xludf.DUMMYFUNCTION("GOOGLEFINANCE(A58,""marketcap"")"),1.2087709581E10)</f>
        <v>12087709581</v>
      </c>
    </row>
    <row r="59">
      <c r="A59" s="19" t="s">
        <v>1301</v>
      </c>
      <c r="B59" s="20">
        <v>70.0</v>
      </c>
      <c r="C59" s="20" t="s">
        <v>4601</v>
      </c>
      <c r="D59" s="7">
        <f>IFERROR(__xludf.DUMMYFUNCTION("GOOGLEFINANCE(A59,""marketcap"")"),8.076755749E9)</f>
        <v>8076755749</v>
      </c>
    </row>
    <row r="60">
      <c r="A60" s="19" t="s">
        <v>1229</v>
      </c>
      <c r="B60" s="20">
        <v>70.0</v>
      </c>
      <c r="C60" s="20" t="s">
        <v>4602</v>
      </c>
      <c r="D60" s="7">
        <f>IFERROR(__xludf.DUMMYFUNCTION("GOOGLEFINANCE(A60,""marketcap"")"),1.5580745301E10)</f>
        <v>15580745301</v>
      </c>
    </row>
    <row r="61">
      <c r="A61" s="19" t="s">
        <v>771</v>
      </c>
      <c r="B61" s="20">
        <v>70.0</v>
      </c>
      <c r="C61" s="20" t="s">
        <v>4603</v>
      </c>
      <c r="D61" s="7">
        <f>IFERROR(__xludf.DUMMYFUNCTION("GOOGLEFINANCE(A61,""marketcap"")"),1.46869587308E11)</f>
        <v>146869587308</v>
      </c>
    </row>
    <row r="62">
      <c r="A62" s="19" t="s">
        <v>1067</v>
      </c>
      <c r="B62" s="20">
        <v>70.0</v>
      </c>
      <c r="C62" s="20" t="s">
        <v>4604</v>
      </c>
      <c r="D62" s="7">
        <f>IFERROR(__xludf.DUMMYFUNCTION("GOOGLEFINANCE(A62,""marketcap"")"),1.1547195713E10)</f>
        <v>11547195713</v>
      </c>
    </row>
    <row r="63">
      <c r="A63" s="19" t="s">
        <v>1389</v>
      </c>
      <c r="B63" s="20">
        <v>70.0</v>
      </c>
      <c r="C63" s="20" t="s">
        <v>4605</v>
      </c>
      <c r="D63" s="7">
        <f>IFERROR(__xludf.DUMMYFUNCTION("GOOGLEFINANCE(A63,""marketcap"")"),9.291277191E9)</f>
        <v>9291277191</v>
      </c>
    </row>
    <row r="64">
      <c r="A64" s="19" t="s">
        <v>125</v>
      </c>
      <c r="B64" s="20">
        <v>70.0</v>
      </c>
      <c r="C64" s="20" t="s">
        <v>4606</v>
      </c>
      <c r="D64" s="7">
        <f>IFERROR(__xludf.DUMMYFUNCTION("GOOGLEFINANCE(A64,""marketcap"")"),2.75088990336E11)</f>
        <v>275088990336</v>
      </c>
    </row>
    <row r="65">
      <c r="A65" s="19" t="s">
        <v>1427</v>
      </c>
      <c r="B65" s="20">
        <v>70.0</v>
      </c>
      <c r="C65" s="20" t="s">
        <v>4607</v>
      </c>
      <c r="D65" s="7">
        <f>IFERROR(__xludf.DUMMYFUNCTION("GOOGLEFINANCE(A65,""marketcap"")"),1.2515295201E10)</f>
        <v>12515295201</v>
      </c>
    </row>
    <row r="66">
      <c r="A66" s="19" t="s">
        <v>1582</v>
      </c>
      <c r="B66" s="20">
        <v>65.0</v>
      </c>
      <c r="C66" s="20" t="s">
        <v>4608</v>
      </c>
      <c r="D66" s="7">
        <f>IFERROR(__xludf.DUMMYFUNCTION("GOOGLEFINANCE(A66,""marketcap"")"),1.13752979506E11)</f>
        <v>113752979506</v>
      </c>
    </row>
    <row r="67">
      <c r="A67" s="19" t="s">
        <v>4609</v>
      </c>
      <c r="B67" s="20">
        <v>65.0</v>
      </c>
      <c r="C67" s="20" t="s">
        <v>4610</v>
      </c>
      <c r="D67" s="7">
        <f>IFERROR(__xludf.DUMMYFUNCTION("GOOGLEFINANCE(A67,""marketcap"")"),8.829491337E9)</f>
        <v>8829491337</v>
      </c>
    </row>
    <row r="68">
      <c r="A68" s="19" t="s">
        <v>1586</v>
      </c>
      <c r="B68" s="20">
        <v>65.0</v>
      </c>
      <c r="C68" s="20" t="s">
        <v>4611</v>
      </c>
      <c r="D68" s="7">
        <f>IFERROR(__xludf.DUMMYFUNCTION("GOOGLEFINANCE(A68,""marketcap"")"),3.04557954873E11)</f>
        <v>304557954873</v>
      </c>
    </row>
    <row r="69">
      <c r="A69" s="19" t="s">
        <v>4612</v>
      </c>
      <c r="B69" s="20">
        <v>65.0</v>
      </c>
      <c r="C69" s="20" t="s">
        <v>4613</v>
      </c>
      <c r="D69" s="7">
        <f>IFERROR(__xludf.DUMMYFUNCTION("GOOGLEFINANCE(A69,""marketcap"")"),3.973276632E9)</f>
        <v>3973276632</v>
      </c>
    </row>
    <row r="70">
      <c r="A70" s="19" t="s">
        <v>839</v>
      </c>
      <c r="B70" s="20">
        <v>65.0</v>
      </c>
      <c r="C70" s="20" t="s">
        <v>4614</v>
      </c>
      <c r="D70" s="7">
        <f>IFERROR(__xludf.DUMMYFUNCTION("GOOGLEFINANCE(A70,""marketcap"")"),2.560758995E10)</f>
        <v>25607589950</v>
      </c>
    </row>
    <row r="71">
      <c r="A71" s="19" t="s">
        <v>1155</v>
      </c>
      <c r="B71" s="20">
        <v>65.0</v>
      </c>
      <c r="C71" s="20" t="s">
        <v>4615</v>
      </c>
      <c r="D71" s="7">
        <f>IFERROR(__xludf.DUMMYFUNCTION("GOOGLEFINANCE(A71,""marketcap"")"),8.4119373813E10)</f>
        <v>84119373813</v>
      </c>
    </row>
    <row r="72">
      <c r="A72" s="19" t="s">
        <v>542</v>
      </c>
      <c r="B72" s="20">
        <v>65.0</v>
      </c>
      <c r="C72" s="20" t="s">
        <v>4616</v>
      </c>
      <c r="D72" s="7">
        <f>IFERROR(__xludf.DUMMYFUNCTION("GOOGLEFINANCE(A72,""marketcap"")"),5.4869263263E10)</f>
        <v>54869263263</v>
      </c>
    </row>
    <row r="73">
      <c r="A73" s="19" t="s">
        <v>404</v>
      </c>
      <c r="B73" s="20">
        <v>60.0</v>
      </c>
      <c r="C73" s="20" t="s">
        <v>4617</v>
      </c>
      <c r="D73" s="7">
        <f>IFERROR(__xludf.DUMMYFUNCTION("GOOGLEFINANCE(A73,""marketcap"")"),3.37400630561E11)</f>
        <v>337400630561</v>
      </c>
    </row>
    <row r="74">
      <c r="A74" s="19" t="s">
        <v>798</v>
      </c>
      <c r="B74" s="20">
        <v>60.0</v>
      </c>
      <c r="C74" s="20" t="s">
        <v>4618</v>
      </c>
      <c r="D74" s="7">
        <f>IFERROR(__xludf.DUMMYFUNCTION("GOOGLEFINANCE(A74,""marketcap"")"),1.09599490193E11)</f>
        <v>109599490193</v>
      </c>
    </row>
    <row r="75">
      <c r="A75" s="19" t="s">
        <v>40</v>
      </c>
      <c r="B75" s="20">
        <v>60.0</v>
      </c>
      <c r="C75" s="20" t="s">
        <v>4619</v>
      </c>
      <c r="D75" s="7">
        <f>IFERROR(__xludf.DUMMYFUNCTION("GOOGLEFINANCE(A75,""marketcap"")"),1.16782771287E11)</f>
        <v>116782771287</v>
      </c>
    </row>
    <row r="76">
      <c r="A76" s="19" t="s">
        <v>41</v>
      </c>
      <c r="B76" s="20">
        <v>60.0</v>
      </c>
      <c r="C76" s="20" t="s">
        <v>4620</v>
      </c>
      <c r="D76" s="7">
        <f>IFERROR(__xludf.DUMMYFUNCTION("GOOGLEFINANCE(A76,""marketcap"")"),4.13358206277E11)</f>
        <v>413358206277</v>
      </c>
    </row>
    <row r="77">
      <c r="A77" s="19" t="s">
        <v>1145</v>
      </c>
      <c r="B77" s="20">
        <v>60.0</v>
      </c>
      <c r="C77" s="20" t="s">
        <v>4621</v>
      </c>
      <c r="D77" s="7">
        <f>IFERROR(__xludf.DUMMYFUNCTION("GOOGLEFINANCE(A77,""marketcap"")"),7.441585E10)</f>
        <v>74415850000</v>
      </c>
    </row>
    <row r="78">
      <c r="A78" s="19" t="s">
        <v>1177</v>
      </c>
      <c r="B78" s="20">
        <v>60.0</v>
      </c>
      <c r="C78" s="20" t="s">
        <v>4622</v>
      </c>
      <c r="D78" s="7">
        <f>IFERROR(__xludf.DUMMYFUNCTION("GOOGLEFINANCE(A78,""marketcap"")"),3.0076293746E10)</f>
        <v>30076293746</v>
      </c>
    </row>
    <row r="79">
      <c r="A79" s="19" t="s">
        <v>93</v>
      </c>
      <c r="B79" s="20">
        <v>60.0</v>
      </c>
      <c r="C79" s="20" t="s">
        <v>4623</v>
      </c>
      <c r="D79" s="7">
        <f>IFERROR(__xludf.DUMMYFUNCTION("GOOGLEFINANCE(A79,""marketcap"")"),1.35044102953E11)</f>
        <v>135044102953</v>
      </c>
    </row>
    <row r="80">
      <c r="A80" s="19" t="s">
        <v>15</v>
      </c>
      <c r="B80" s="20">
        <v>60.0</v>
      </c>
      <c r="C80" s="20" t="s">
        <v>4624</v>
      </c>
      <c r="D80" s="7">
        <f>IFERROR(__xludf.DUMMYFUNCTION("GOOGLEFINANCE(A80,""marketcap"")"),2.309209E11)</f>
        <v>230920900000</v>
      </c>
    </row>
    <row r="81">
      <c r="A81" s="19" t="s">
        <v>21</v>
      </c>
      <c r="B81" s="20">
        <v>60.0</v>
      </c>
      <c r="C81" s="20" t="s">
        <v>4625</v>
      </c>
      <c r="D81" s="7">
        <f>IFERROR(__xludf.DUMMYFUNCTION("GOOGLEFINANCE(A81,""marketcap"")"),6.00640224849E11)</f>
        <v>600640224849</v>
      </c>
    </row>
    <row r="82">
      <c r="A82" s="19" t="s">
        <v>870</v>
      </c>
      <c r="B82" s="20">
        <v>60.0</v>
      </c>
      <c r="C82" s="20" t="s">
        <v>4626</v>
      </c>
      <c r="D82" s="7">
        <f>IFERROR(__xludf.DUMMYFUNCTION("GOOGLEFINANCE(A82,""marketcap"")"),4.137390035E10)</f>
        <v>41373900350</v>
      </c>
    </row>
    <row r="83">
      <c r="A83" s="19" t="s">
        <v>1038</v>
      </c>
      <c r="B83" s="20">
        <v>60.0</v>
      </c>
      <c r="C83" s="20" t="s">
        <v>4627</v>
      </c>
      <c r="D83" s="7">
        <f>IFERROR(__xludf.DUMMYFUNCTION("GOOGLEFINANCE(A83,""marketcap"")"),3.40953461316E11)</f>
        <v>340953461316</v>
      </c>
    </row>
    <row r="84">
      <c r="A84" s="19" t="s">
        <v>904</v>
      </c>
      <c r="B84" s="20">
        <v>60.0</v>
      </c>
      <c r="C84" s="20" t="s">
        <v>4628</v>
      </c>
      <c r="D84" s="7">
        <f>IFERROR(__xludf.DUMMYFUNCTION("GOOGLEFINANCE(A84,""marketcap"")"),7.8050196742E10)</f>
        <v>78050196742</v>
      </c>
    </row>
    <row r="85">
      <c r="A85" s="19" t="s">
        <v>1590</v>
      </c>
      <c r="B85" s="20">
        <v>60.0</v>
      </c>
      <c r="C85" s="20" t="s">
        <v>4629</v>
      </c>
      <c r="D85" s="7">
        <f>IFERROR(__xludf.DUMMYFUNCTION("GOOGLEFINANCE(A85,""marketcap"")"),5.028223E10)</f>
        <v>50282230000</v>
      </c>
    </row>
    <row r="86">
      <c r="A86" s="19" t="s">
        <v>1515</v>
      </c>
      <c r="B86" s="20">
        <v>60.0</v>
      </c>
      <c r="C86" s="20" t="s">
        <v>4630</v>
      </c>
      <c r="D86" s="7">
        <f>IFERROR(__xludf.DUMMYFUNCTION("GOOGLEFINANCE(A86,""marketcap"")"),7.0056575656E10)</f>
        <v>70056575656</v>
      </c>
    </row>
    <row r="87">
      <c r="A87" s="19" t="s">
        <v>22</v>
      </c>
      <c r="B87" s="20">
        <v>60.0</v>
      </c>
      <c r="C87" s="20" t="s">
        <v>4631</v>
      </c>
      <c r="D87" s="7">
        <f>IFERROR(__xludf.DUMMYFUNCTION("GOOGLEFINANCE(A87,""marketcap"")"),9.3712142222E10)</f>
        <v>93712142222</v>
      </c>
    </row>
    <row r="88">
      <c r="A88" s="19" t="s">
        <v>1173</v>
      </c>
      <c r="B88" s="20">
        <v>60.0</v>
      </c>
      <c r="C88" s="20" t="s">
        <v>4632</v>
      </c>
      <c r="D88" s="7">
        <f>IFERROR(__xludf.DUMMYFUNCTION("GOOGLEFINANCE(A88,""marketcap"")"),6.1797400442E10)</f>
        <v>61797400442</v>
      </c>
    </row>
    <row r="89">
      <c r="A89" s="19" t="s">
        <v>139</v>
      </c>
      <c r="B89" s="20">
        <v>60.0</v>
      </c>
      <c r="C89" s="20" t="s">
        <v>4633</v>
      </c>
      <c r="D89" s="7">
        <f>IFERROR(__xludf.DUMMYFUNCTION("GOOGLEFINANCE(A89,""marketcap"")"),7.9147729632E10)</f>
        <v>79147729632</v>
      </c>
    </row>
    <row r="90">
      <c r="A90" s="19" t="s">
        <v>864</v>
      </c>
      <c r="B90" s="20">
        <v>60.0</v>
      </c>
      <c r="C90" s="20" t="s">
        <v>4634</v>
      </c>
      <c r="D90" s="7">
        <f>IFERROR(__xludf.DUMMYFUNCTION("GOOGLEFINANCE(A90,""marketcap"")"),8.707928596E10)</f>
        <v>87079285960</v>
      </c>
    </row>
    <row r="91">
      <c r="A91" s="19" t="s">
        <v>1505</v>
      </c>
      <c r="B91" s="20">
        <v>60.0</v>
      </c>
      <c r="C91" s="20" t="s">
        <v>4635</v>
      </c>
      <c r="D91" s="7">
        <f>IFERROR(__xludf.DUMMYFUNCTION("GOOGLEFINANCE(A91,""marketcap"")"),1.729091585E10)</f>
        <v>17290915850</v>
      </c>
    </row>
    <row r="92">
      <c r="A92" s="19" t="s">
        <v>183</v>
      </c>
      <c r="B92" s="20">
        <v>60.0</v>
      </c>
      <c r="C92" s="20" t="s">
        <v>4636</v>
      </c>
      <c r="D92" s="7">
        <f>IFERROR(__xludf.DUMMYFUNCTION("GOOGLEFINANCE(A92,""marketcap"")"),3.083691900928E12)</f>
        <v>3083691900928</v>
      </c>
    </row>
    <row r="93">
      <c r="A93" s="19" t="s">
        <v>265</v>
      </c>
      <c r="B93" s="20">
        <v>60.0</v>
      </c>
      <c r="C93" s="20" t="s">
        <v>4637</v>
      </c>
      <c r="D93" s="7">
        <f>IFERROR(__xludf.DUMMYFUNCTION("GOOGLEFINANCE(A93,""marketcap"")"),5.03495983E8)</f>
        <v>503495983</v>
      </c>
    </row>
    <row r="94">
      <c r="A94" s="19" t="s">
        <v>1472</v>
      </c>
      <c r="B94" s="20">
        <v>60.0</v>
      </c>
      <c r="C94" s="20" t="s">
        <v>4638</v>
      </c>
      <c r="D94" s="7">
        <f>IFERROR(__xludf.DUMMYFUNCTION("GOOGLEFINANCE(A94,""marketcap"")"),3.1186719275E10)</f>
        <v>31186719275</v>
      </c>
    </row>
    <row r="95">
      <c r="A95" s="19" t="s">
        <v>1195</v>
      </c>
      <c r="B95" s="20">
        <v>60.0</v>
      </c>
      <c r="C95" s="20" t="s">
        <v>4639</v>
      </c>
      <c r="D95" s="7">
        <f>IFERROR(__xludf.DUMMYFUNCTION("GOOGLEFINANCE(A95,""marketcap"")"),7.4735374915E10)</f>
        <v>74735374915</v>
      </c>
    </row>
    <row r="96">
      <c r="A96" s="19" t="s">
        <v>1185</v>
      </c>
      <c r="B96" s="20">
        <v>60.0</v>
      </c>
      <c r="C96" s="20" t="s">
        <v>4640</v>
      </c>
      <c r="D96" s="7">
        <f>IFERROR(__xludf.DUMMYFUNCTION("GOOGLEFINANCE(A96,""marketcap"")"),7.8139092598E10)</f>
        <v>78139092598</v>
      </c>
    </row>
    <row r="97">
      <c r="A97" s="19" t="s">
        <v>1343</v>
      </c>
      <c r="B97" s="20">
        <v>50.0</v>
      </c>
      <c r="C97" s="20" t="s">
        <v>4641</v>
      </c>
      <c r="D97" s="7">
        <f>IFERROR(__xludf.DUMMYFUNCTION("GOOGLEFINANCE(A97,""marketcap"")"),1.580062E10)</f>
        <v>15800620000</v>
      </c>
    </row>
    <row r="98">
      <c r="A98" s="19" t="s">
        <v>976</v>
      </c>
      <c r="B98" s="20">
        <v>50.0</v>
      </c>
      <c r="C98" s="20" t="s">
        <v>4642</v>
      </c>
      <c r="D98" s="7">
        <f>IFERROR(__xludf.DUMMYFUNCTION("GOOGLEFINANCE(A98,""marketcap"")"),7.900859497E10)</f>
        <v>79008594970</v>
      </c>
    </row>
    <row r="99">
      <c r="A99" s="19" t="s">
        <v>37</v>
      </c>
      <c r="B99" s="20">
        <v>50.0</v>
      </c>
      <c r="C99" s="20" t="s">
        <v>4643</v>
      </c>
      <c r="D99" s="7">
        <f>IFERROR(__xludf.DUMMYFUNCTION("GOOGLEFINANCE(A99,""marketcap"")"),3.68347965594E11)</f>
        <v>368347965594</v>
      </c>
    </row>
    <row r="100">
      <c r="A100" s="19" t="s">
        <v>925</v>
      </c>
      <c r="B100" s="20">
        <v>50.0</v>
      </c>
      <c r="C100" s="20" t="s">
        <v>4644</v>
      </c>
      <c r="D100" s="7">
        <f>IFERROR(__xludf.DUMMYFUNCTION("GOOGLEFINANCE(A100,""marketcap"")"),7.8845605279E10)</f>
        <v>78845605279</v>
      </c>
    </row>
    <row r="101">
      <c r="A101" s="19" t="s">
        <v>1416</v>
      </c>
      <c r="B101" s="20">
        <v>50.0</v>
      </c>
      <c r="C101" s="20" t="s">
        <v>4645</v>
      </c>
      <c r="D101" s="7">
        <f>IFERROR(__xludf.DUMMYFUNCTION("GOOGLEFINANCE(A101,""marketcap"")"),7.053016223E9)</f>
        <v>7053016223</v>
      </c>
    </row>
    <row r="102">
      <c r="A102" s="19" t="s">
        <v>33</v>
      </c>
      <c r="B102" s="20">
        <v>50.0</v>
      </c>
      <c r="C102" s="20" t="s">
        <v>4646</v>
      </c>
      <c r="D102" s="7">
        <f>IFERROR(__xludf.DUMMYFUNCTION("GOOGLEFINANCE(A102,""marketcap"")"),6.382051874E10)</f>
        <v>63820518740</v>
      </c>
    </row>
    <row r="103">
      <c r="A103" s="19" t="s">
        <v>1418</v>
      </c>
      <c r="B103" s="20">
        <v>50.0</v>
      </c>
      <c r="C103" s="20" t="s">
        <v>4647</v>
      </c>
      <c r="D103" s="7">
        <f>IFERROR(__xludf.DUMMYFUNCTION("GOOGLEFINANCE(A103,""marketcap"")"),2.32849872E10)</f>
        <v>23284987200</v>
      </c>
    </row>
    <row r="104">
      <c r="A104" s="19" t="s">
        <v>908</v>
      </c>
      <c r="B104" s="20">
        <v>50.0</v>
      </c>
      <c r="C104" s="20" t="s">
        <v>4648</v>
      </c>
      <c r="D104" s="7">
        <f>IFERROR(__xludf.DUMMYFUNCTION("GOOGLEFINANCE(A104,""marketcap"")"),4.2618574755E10)</f>
        <v>42618574755</v>
      </c>
    </row>
    <row r="105">
      <c r="A105" s="19" t="s">
        <v>1331</v>
      </c>
      <c r="B105" s="20">
        <v>50.0</v>
      </c>
      <c r="C105" s="20" t="s">
        <v>4649</v>
      </c>
      <c r="D105" s="7">
        <f>IFERROR(__xludf.DUMMYFUNCTION("GOOGLEFINANCE(A105,""marketcap"")"),1.580062E10)</f>
        <v>15800620000</v>
      </c>
    </row>
    <row r="106">
      <c r="A106" s="19" t="s">
        <v>1137</v>
      </c>
      <c r="B106" s="20">
        <v>50.0</v>
      </c>
      <c r="C106" s="20" t="s">
        <v>4650</v>
      </c>
      <c r="D106" s="7">
        <f>IFERROR(__xludf.DUMMYFUNCTION("GOOGLEFINANCE(A106,""marketcap"")"),6.378141772E9)</f>
        <v>6378141772</v>
      </c>
    </row>
    <row r="107">
      <c r="A107" s="19" t="s">
        <v>144</v>
      </c>
      <c r="B107" s="20">
        <v>50.0</v>
      </c>
      <c r="C107" s="20" t="s">
        <v>4651</v>
      </c>
      <c r="D107" s="7">
        <f>IFERROR(__xludf.DUMMYFUNCTION("GOOGLEFINANCE(A107,""marketcap"")"),1.10808425183E11)</f>
        <v>110808425183</v>
      </c>
    </row>
    <row r="108">
      <c r="A108" s="19" t="s">
        <v>1599</v>
      </c>
      <c r="B108" s="20">
        <v>50.0</v>
      </c>
      <c r="C108" s="20" t="s">
        <v>4652</v>
      </c>
      <c r="D108" s="7" t="str">
        <f>IFERROR(__xludf.DUMMYFUNCTION("GOOGLEFINANCE(A108,""marketcap"")"),"#N/A")</f>
        <v>#N/A</v>
      </c>
    </row>
    <row r="109">
      <c r="A109" s="19" t="s">
        <v>298</v>
      </c>
      <c r="B109" s="20">
        <v>50.0</v>
      </c>
      <c r="C109" s="20" t="s">
        <v>4653</v>
      </c>
      <c r="D109" s="7">
        <f>IFERROR(__xludf.DUMMYFUNCTION("GOOGLEFINANCE(A109,""marketcap"")"),1.68590642383E11)</f>
        <v>168590642383</v>
      </c>
    </row>
    <row r="110">
      <c r="A110" s="19" t="s">
        <v>893</v>
      </c>
      <c r="B110" s="20">
        <v>50.0</v>
      </c>
      <c r="C110" s="20" t="s">
        <v>4654</v>
      </c>
      <c r="D110" s="7">
        <f>IFERROR(__xludf.DUMMYFUNCTION("GOOGLEFINANCE(A110,""marketcap"")"),1.9994791456E10)</f>
        <v>19994791456</v>
      </c>
    </row>
    <row r="111">
      <c r="A111" s="19" t="s">
        <v>1340</v>
      </c>
      <c r="B111" s="20">
        <v>50.0</v>
      </c>
      <c r="C111" s="20" t="s">
        <v>4655</v>
      </c>
      <c r="D111" s="7">
        <f>IFERROR(__xludf.DUMMYFUNCTION("GOOGLEFINANCE(A111,""marketcap"")"),6.015978E10)</f>
        <v>60159780000</v>
      </c>
    </row>
    <row r="112">
      <c r="A112" s="19" t="s">
        <v>1139</v>
      </c>
      <c r="B112" s="20">
        <v>50.0</v>
      </c>
      <c r="C112" s="20" t="s">
        <v>4656</v>
      </c>
      <c r="D112" s="7">
        <f>IFERROR(__xludf.DUMMYFUNCTION("GOOGLEFINANCE(A112,""marketcap"")"),2.8709631002E10)</f>
        <v>28709631002</v>
      </c>
    </row>
    <row r="113">
      <c r="A113" s="19" t="s">
        <v>921</v>
      </c>
      <c r="B113" s="20">
        <v>50.0</v>
      </c>
      <c r="C113" s="20" t="s">
        <v>4657</v>
      </c>
      <c r="D113" s="7">
        <f>IFERROR(__xludf.DUMMYFUNCTION("GOOGLEFINANCE(A113,""marketcap"")"),5.3653595555E10)</f>
        <v>53653595555</v>
      </c>
    </row>
    <row r="114">
      <c r="A114" s="19" t="s">
        <v>129</v>
      </c>
      <c r="B114" s="20">
        <v>50.0</v>
      </c>
      <c r="C114" s="20" t="s">
        <v>4658</v>
      </c>
      <c r="D114" s="7">
        <f>IFERROR(__xludf.DUMMYFUNCTION("GOOGLEFINANCE(A114,""marketcap"")"),4.0444398724E10)</f>
        <v>40444398724</v>
      </c>
    </row>
    <row r="115">
      <c r="A115" s="19" t="s">
        <v>792</v>
      </c>
      <c r="B115" s="20">
        <v>50.0</v>
      </c>
      <c r="C115" s="20" t="s">
        <v>4659</v>
      </c>
      <c r="D115" s="7">
        <f>IFERROR(__xludf.DUMMYFUNCTION("GOOGLEFINANCE(A115,""marketcap"")"),2.1962577076E10)</f>
        <v>21962577076</v>
      </c>
    </row>
    <row r="116">
      <c r="A116" s="19" t="s">
        <v>787</v>
      </c>
      <c r="B116" s="20">
        <v>50.0</v>
      </c>
      <c r="C116" s="20" t="s">
        <v>4660</v>
      </c>
      <c r="D116" s="7">
        <f>IFERROR(__xludf.DUMMYFUNCTION("GOOGLEFINANCE(A116,""marketcap"")"),7.8649251512E10)</f>
        <v>78649251512</v>
      </c>
    </row>
    <row r="117">
      <c r="A117" s="19" t="s">
        <v>63</v>
      </c>
      <c r="B117" s="20">
        <v>50.0</v>
      </c>
      <c r="C117" s="20" t="s">
        <v>4661</v>
      </c>
      <c r="D117" s="7">
        <f>IFERROR(__xludf.DUMMYFUNCTION("GOOGLEFINANCE(A117,""marketcap"")"),5.2745476926E10)</f>
        <v>52745476926</v>
      </c>
    </row>
    <row r="118">
      <c r="A118" s="19" t="s">
        <v>300</v>
      </c>
      <c r="B118" s="20">
        <v>50.0</v>
      </c>
      <c r="C118" s="20" t="s">
        <v>4662</v>
      </c>
      <c r="D118" s="7">
        <f>IFERROR(__xludf.DUMMYFUNCTION("GOOGLEFINANCE(A118,""marketcap"")"),7.7369919334E10)</f>
        <v>77369919334</v>
      </c>
    </row>
    <row r="119">
      <c r="A119" s="19" t="s">
        <v>1143</v>
      </c>
      <c r="B119" s="20">
        <v>50.0</v>
      </c>
      <c r="C119" s="20" t="s">
        <v>4663</v>
      </c>
      <c r="D119" s="7">
        <f>IFERROR(__xludf.DUMMYFUNCTION("GOOGLEFINANCE(A119,""marketcap"")"),5.1809849E10)</f>
        <v>51809849000</v>
      </c>
    </row>
    <row r="120">
      <c r="A120" s="19" t="s">
        <v>937</v>
      </c>
      <c r="B120" s="20">
        <v>50.0</v>
      </c>
      <c r="C120" s="20" t="s">
        <v>4664</v>
      </c>
      <c r="D120" s="7">
        <f>IFERROR(__xludf.DUMMYFUNCTION("GOOGLEFINANCE(A120,""marketcap"")"),2.9139331832E10)</f>
        <v>29139331832</v>
      </c>
    </row>
    <row r="121">
      <c r="A121" s="19" t="s">
        <v>1223</v>
      </c>
      <c r="B121" s="20">
        <v>50.0</v>
      </c>
      <c r="C121" s="20" t="s">
        <v>4665</v>
      </c>
      <c r="D121" s="7">
        <f>IFERROR(__xludf.DUMMYFUNCTION("GOOGLEFINANCE(A121,""marketcap"")"),7.841600472E9)</f>
        <v>7841600472</v>
      </c>
    </row>
    <row r="122">
      <c r="A122" s="19" t="s">
        <v>790</v>
      </c>
      <c r="B122" s="20">
        <v>50.0</v>
      </c>
      <c r="C122" s="20" t="s">
        <v>4666</v>
      </c>
      <c r="D122" s="7">
        <f>IFERROR(__xludf.DUMMYFUNCTION("GOOGLEFINANCE(A122,""marketcap"")"),7.0075576133E10)</f>
        <v>70075576133</v>
      </c>
    </row>
    <row r="123">
      <c r="A123" s="19" t="s">
        <v>1383</v>
      </c>
      <c r="B123" s="20">
        <v>50.0</v>
      </c>
      <c r="C123" s="20" t="s">
        <v>4667</v>
      </c>
      <c r="D123" s="7">
        <f>IFERROR(__xludf.DUMMYFUNCTION("GOOGLEFINANCE(A123,""marketcap"")"),1.581632E10)</f>
        <v>15816320000</v>
      </c>
    </row>
    <row r="124">
      <c r="A124" s="19" t="s">
        <v>1254</v>
      </c>
      <c r="B124" s="20">
        <v>50.0</v>
      </c>
      <c r="C124" s="20" t="s">
        <v>4668</v>
      </c>
      <c r="D124" s="7">
        <f>IFERROR(__xludf.DUMMYFUNCTION("GOOGLEFINANCE(A124,""marketcap"")"),2.2399395337E10)</f>
        <v>22399395337</v>
      </c>
    </row>
    <row r="125">
      <c r="A125" s="19" t="s">
        <v>1141</v>
      </c>
      <c r="B125" s="20">
        <v>50.0</v>
      </c>
      <c r="C125" s="20" t="s">
        <v>4669</v>
      </c>
      <c r="D125" s="7">
        <f>IFERROR(__xludf.DUMMYFUNCTION("GOOGLEFINANCE(A125,""marketcap"")"),6.5366351276E10)</f>
        <v>65366351276</v>
      </c>
    </row>
    <row r="126">
      <c r="A126" s="19" t="s">
        <v>1592</v>
      </c>
      <c r="B126" s="20">
        <v>50.0</v>
      </c>
      <c r="C126" s="20" t="s">
        <v>4670</v>
      </c>
      <c r="D126" s="7">
        <f>IFERROR(__xludf.DUMMYFUNCTION("GOOGLEFINANCE(A126,""marketcap"")"),1.94145243918E11)</f>
        <v>194145243918</v>
      </c>
    </row>
    <row r="127">
      <c r="A127" s="19" t="s">
        <v>1596</v>
      </c>
      <c r="B127" s="20">
        <v>50.0</v>
      </c>
      <c r="C127" s="20" t="s">
        <v>4671</v>
      </c>
      <c r="D127" s="7">
        <f>IFERROR(__xludf.DUMMYFUNCTION("GOOGLEFINANCE(A127,""marketcap"")"),4.124635E10)</f>
        <v>41246350000</v>
      </c>
    </row>
    <row r="128">
      <c r="A128" s="19" t="s">
        <v>823</v>
      </c>
      <c r="B128" s="20">
        <v>50.0</v>
      </c>
      <c r="C128" s="20" t="s">
        <v>4672</v>
      </c>
      <c r="D128" s="7">
        <f>IFERROR(__xludf.DUMMYFUNCTION("GOOGLEFINANCE(A128,""marketcap"")"),3.106684221E10)</f>
        <v>31066842210</v>
      </c>
    </row>
    <row r="129">
      <c r="A129" s="19" t="s">
        <v>1575</v>
      </c>
      <c r="B129" s="20">
        <v>50.0</v>
      </c>
      <c r="C129" s="20" t="s">
        <v>4673</v>
      </c>
      <c r="D129" s="7">
        <f>IFERROR(__xludf.DUMMYFUNCTION("GOOGLEFINANCE(A129,""marketcap"")"),2.3163030761E10)</f>
        <v>23163030761</v>
      </c>
    </row>
    <row r="130">
      <c r="A130" s="19" t="s">
        <v>170</v>
      </c>
      <c r="B130" s="20">
        <v>50.0</v>
      </c>
      <c r="C130" s="20" t="s">
        <v>4674</v>
      </c>
      <c r="D130" s="7">
        <f>IFERROR(__xludf.DUMMYFUNCTION("GOOGLEFINANCE(A130,""marketcap"")"),1.5164223501E10)</f>
        <v>15164223501</v>
      </c>
    </row>
    <row r="131">
      <c r="A131" s="19" t="s">
        <v>1051</v>
      </c>
      <c r="B131" s="20">
        <v>50.0</v>
      </c>
      <c r="C131" s="20" t="s">
        <v>4675</v>
      </c>
      <c r="D131" s="7">
        <f>IFERROR(__xludf.DUMMYFUNCTION("GOOGLEFINANCE(A131,""marketcap"")"),1.2836639205E11)</f>
        <v>128366392050</v>
      </c>
    </row>
    <row r="132">
      <c r="A132" s="19" t="s">
        <v>1311</v>
      </c>
      <c r="B132" s="20">
        <v>50.0</v>
      </c>
      <c r="C132" s="20" t="s">
        <v>4676</v>
      </c>
      <c r="D132" s="7">
        <f>IFERROR(__xludf.DUMMYFUNCTION("GOOGLEFINANCE(A132,""marketcap"")"),2.15028396E10)</f>
        <v>21502839600</v>
      </c>
    </row>
    <row r="133">
      <c r="A133" s="19" t="s">
        <v>168</v>
      </c>
      <c r="B133" s="20">
        <v>50.0</v>
      </c>
      <c r="C133" s="20" t="s">
        <v>4677</v>
      </c>
      <c r="D133" s="7">
        <f>IFERROR(__xludf.DUMMYFUNCTION("GOOGLEFINANCE(A133,""marketcap"")"),7.360906056E9)</f>
        <v>7360906056</v>
      </c>
    </row>
    <row r="134">
      <c r="A134" s="19" t="s">
        <v>163</v>
      </c>
      <c r="B134" s="20">
        <v>50.0</v>
      </c>
      <c r="C134" s="20" t="s">
        <v>4678</v>
      </c>
      <c r="D134" s="7">
        <f>IFERROR(__xludf.DUMMYFUNCTION("GOOGLEFINANCE(A134,""marketcap"")"),3.7997329371E10)</f>
        <v>37997329371</v>
      </c>
    </row>
    <row r="135">
      <c r="A135" s="19" t="s">
        <v>232</v>
      </c>
      <c r="B135" s="20">
        <v>50.0</v>
      </c>
      <c r="C135" s="20" t="s">
        <v>4679</v>
      </c>
      <c r="D135" s="7">
        <f>IFERROR(__xludf.DUMMYFUNCTION("GOOGLEFINANCE(A135,""marketcap"")"),2.28011146845E11)</f>
        <v>228011146845</v>
      </c>
    </row>
    <row r="136">
      <c r="A136" s="19" t="s">
        <v>252</v>
      </c>
      <c r="B136" s="20">
        <v>50.0</v>
      </c>
      <c r="C136" s="20" t="s">
        <v>4680</v>
      </c>
      <c r="D136" s="7">
        <f>IFERROR(__xludf.DUMMYFUNCTION("GOOGLEFINANCE(A136,""marketcap"")"),8.93194642325E11)</f>
        <v>893194642325</v>
      </c>
    </row>
    <row r="137">
      <c r="A137" s="19" t="s">
        <v>1089</v>
      </c>
      <c r="B137" s="20">
        <v>50.0</v>
      </c>
      <c r="C137" s="20" t="s">
        <v>4681</v>
      </c>
      <c r="D137" s="7">
        <f>IFERROR(__xludf.DUMMYFUNCTION("GOOGLEFINANCE(A137,""marketcap"")"),2.1672118702E10)</f>
        <v>21672118702</v>
      </c>
    </row>
    <row r="138">
      <c r="A138" s="19" t="s">
        <v>1135</v>
      </c>
      <c r="B138" s="20">
        <v>50.0</v>
      </c>
      <c r="C138" s="20" t="s">
        <v>4682</v>
      </c>
      <c r="D138" s="7">
        <f>IFERROR(__xludf.DUMMYFUNCTION("GOOGLEFINANCE(A138,""marketcap"")"),3.365426E10)</f>
        <v>33654260000</v>
      </c>
    </row>
    <row r="139">
      <c r="A139" s="19" t="s">
        <v>167</v>
      </c>
      <c r="B139" s="20">
        <v>50.0</v>
      </c>
      <c r="C139" s="20" t="s">
        <v>4683</v>
      </c>
      <c r="D139" s="7">
        <f>IFERROR(__xludf.DUMMYFUNCTION("GOOGLEFINANCE(A139,""marketcap"")"),3.5192672718E10)</f>
        <v>35192672718</v>
      </c>
    </row>
    <row r="140">
      <c r="A140" s="19" t="s">
        <v>455</v>
      </c>
      <c r="B140" s="20">
        <v>50.0</v>
      </c>
      <c r="C140" s="20" t="s">
        <v>4684</v>
      </c>
      <c r="D140" s="7">
        <f>IFERROR(__xludf.DUMMYFUNCTION("GOOGLEFINANCE(A140,""marketcap"")"),3.677304E11)</f>
        <v>367730400000</v>
      </c>
    </row>
    <row r="141">
      <c r="A141" s="19" t="s">
        <v>811</v>
      </c>
      <c r="B141" s="20">
        <v>50.0</v>
      </c>
      <c r="C141" s="20" t="s">
        <v>4685</v>
      </c>
      <c r="D141" s="7">
        <f>IFERROR(__xludf.DUMMYFUNCTION("GOOGLEFINANCE(A141,""marketcap"")"),2.0837839599E10)</f>
        <v>20837839599</v>
      </c>
    </row>
    <row r="142">
      <c r="A142" s="19" t="s">
        <v>805</v>
      </c>
      <c r="B142" s="20">
        <v>50.0</v>
      </c>
      <c r="C142" s="20" t="s">
        <v>4686</v>
      </c>
      <c r="D142" s="7">
        <f>IFERROR(__xludf.DUMMYFUNCTION("GOOGLEFINANCE(A142,""marketcap"")"),5.5821406564E10)</f>
        <v>55821406564</v>
      </c>
    </row>
    <row r="143">
      <c r="A143" s="19" t="s">
        <v>1569</v>
      </c>
      <c r="B143" s="20">
        <v>50.0</v>
      </c>
      <c r="C143" s="20" t="s">
        <v>4687</v>
      </c>
      <c r="D143" s="7">
        <f>IFERROR(__xludf.DUMMYFUNCTION("GOOGLEFINANCE(A143,""marketcap"")"),2.8407660457E10)</f>
        <v>28407660457</v>
      </c>
    </row>
    <row r="144">
      <c r="A144" s="19" t="s">
        <v>987</v>
      </c>
      <c r="B144" s="20">
        <v>50.0</v>
      </c>
      <c r="C144" s="20" t="s">
        <v>4688</v>
      </c>
      <c r="D144" s="7">
        <f>IFERROR(__xludf.DUMMYFUNCTION("GOOGLEFINANCE(A144,""marketcap"")"),2.44167609071E11)</f>
        <v>244167609071</v>
      </c>
    </row>
    <row r="145">
      <c r="A145" s="19" t="s">
        <v>1086</v>
      </c>
      <c r="B145" s="20">
        <v>50.0</v>
      </c>
      <c r="C145" s="20" t="s">
        <v>4689</v>
      </c>
      <c r="D145" s="7">
        <f>IFERROR(__xludf.DUMMYFUNCTION("GOOGLEFINANCE(A145,""marketcap"")"),9.1401795275E10)</f>
        <v>91401795275</v>
      </c>
    </row>
    <row r="146">
      <c r="A146" s="19" t="s">
        <v>985</v>
      </c>
      <c r="B146" s="20">
        <v>50.0</v>
      </c>
      <c r="C146" s="20" t="s">
        <v>4690</v>
      </c>
      <c r="D146" s="7">
        <f>IFERROR(__xludf.DUMMYFUNCTION("GOOGLEFINANCE(A146,""marketcap"")"),6.988175291E10)</f>
        <v>69881752910</v>
      </c>
    </row>
    <row r="147">
      <c r="A147" s="19" t="s">
        <v>1385</v>
      </c>
      <c r="B147" s="20">
        <v>50.0</v>
      </c>
      <c r="C147" s="20" t="s">
        <v>4691</v>
      </c>
      <c r="D147" s="7">
        <f>IFERROR(__xludf.DUMMYFUNCTION("GOOGLEFINANCE(A147,""marketcap"")"),1.5834669847E10)</f>
        <v>15834669847</v>
      </c>
    </row>
    <row r="148">
      <c r="A148" s="19" t="s">
        <v>1268</v>
      </c>
      <c r="B148" s="20">
        <v>50.0</v>
      </c>
      <c r="C148" s="20" t="s">
        <v>4692</v>
      </c>
      <c r="D148" s="7">
        <f>IFERROR(__xludf.DUMMYFUNCTION("GOOGLEFINANCE(A148,""marketcap"")"),6.1792348656E10)</f>
        <v>61792348656</v>
      </c>
    </row>
    <row r="149">
      <c r="A149" s="19" t="s">
        <v>166</v>
      </c>
      <c r="B149" s="20">
        <v>50.0</v>
      </c>
      <c r="C149" s="20" t="s">
        <v>4693</v>
      </c>
      <c r="D149" s="7">
        <f>IFERROR(__xludf.DUMMYFUNCTION("GOOGLEFINANCE(A149,""marketcap"")"),1.636593847E10)</f>
        <v>16365938470</v>
      </c>
    </row>
    <row r="150">
      <c r="A150" s="19" t="s">
        <v>972</v>
      </c>
      <c r="B150" s="20">
        <v>50.0</v>
      </c>
      <c r="C150" s="20" t="s">
        <v>4694</v>
      </c>
      <c r="D150" s="7">
        <f>IFERROR(__xludf.DUMMYFUNCTION("GOOGLEFINANCE(A150,""marketcap"")"),9.687474127E9)</f>
        <v>9687474127</v>
      </c>
    </row>
    <row r="151">
      <c r="A151" s="19" t="s">
        <v>1359</v>
      </c>
      <c r="B151" s="20">
        <v>50.0</v>
      </c>
      <c r="C151" s="20" t="s">
        <v>4695</v>
      </c>
      <c r="D151" s="7">
        <f>IFERROR(__xludf.DUMMYFUNCTION("GOOGLEFINANCE(A151,""marketcap"")"),6.328764637E9)</f>
        <v>6328764637</v>
      </c>
    </row>
    <row r="152">
      <c r="A152" s="19" t="s">
        <v>1584</v>
      </c>
      <c r="B152" s="20">
        <v>50.0</v>
      </c>
      <c r="C152" s="20" t="s">
        <v>4696</v>
      </c>
      <c r="D152" s="7">
        <f>IFERROR(__xludf.DUMMYFUNCTION("GOOGLEFINANCE(A152,""marketcap"")"),2.1565334799E10)</f>
        <v>21565334799</v>
      </c>
    </row>
    <row r="153">
      <c r="A153" s="19" t="s">
        <v>1578</v>
      </c>
      <c r="B153" s="20">
        <v>50.0</v>
      </c>
      <c r="C153" s="20" t="s">
        <v>4697</v>
      </c>
      <c r="D153" s="7">
        <f>IFERROR(__xludf.DUMMYFUNCTION("GOOGLEFINANCE(A153,""marketcap"")"),1.5049705272E10)</f>
        <v>15049705272</v>
      </c>
    </row>
    <row r="154">
      <c r="A154" s="19" t="s">
        <v>253</v>
      </c>
      <c r="B154" s="20">
        <v>50.0</v>
      </c>
      <c r="C154" s="20" t="s">
        <v>4698</v>
      </c>
      <c r="D154" s="7">
        <f>IFERROR(__xludf.DUMMYFUNCTION("GOOGLEFINANCE(A154,""marketcap"")"),8.4218044908E11)</f>
        <v>842180449080</v>
      </c>
    </row>
    <row r="155">
      <c r="A155" s="19" t="s">
        <v>1441</v>
      </c>
      <c r="B155" s="20">
        <v>50.0</v>
      </c>
      <c r="C155" s="20" t="s">
        <v>4699</v>
      </c>
      <c r="D155" s="7">
        <f>IFERROR(__xludf.DUMMYFUNCTION("GOOGLEFINANCE(A155,""marketcap"")"),5.3621104804E10)</f>
        <v>53621104804</v>
      </c>
    </row>
    <row r="156">
      <c r="A156" s="19" t="s">
        <v>1345</v>
      </c>
      <c r="B156" s="20">
        <v>50.0</v>
      </c>
      <c r="C156" s="20" t="s">
        <v>4700</v>
      </c>
      <c r="D156" s="7">
        <f>IFERROR(__xludf.DUMMYFUNCTION("GOOGLEFINANCE(A156,""marketcap"")"),9.924468282E9)</f>
        <v>9924468282</v>
      </c>
    </row>
    <row r="157">
      <c r="A157" s="19" t="s">
        <v>906</v>
      </c>
      <c r="B157" s="20">
        <v>50.0</v>
      </c>
      <c r="C157" s="20" t="s">
        <v>4701</v>
      </c>
      <c r="D157" s="7">
        <f>IFERROR(__xludf.DUMMYFUNCTION("GOOGLEFINANCE(A157,""marketcap"")"),2.2768627519E10)</f>
        <v>22768627519</v>
      </c>
    </row>
    <row r="158">
      <c r="A158" s="19" t="s">
        <v>900</v>
      </c>
      <c r="B158" s="20">
        <v>50.0</v>
      </c>
      <c r="C158" s="20" t="s">
        <v>4702</v>
      </c>
      <c r="D158" s="7">
        <f>IFERROR(__xludf.DUMMYFUNCTION("GOOGLEFINANCE(A158,""marketcap"")"),5.0376053789E10)</f>
        <v>50376053789</v>
      </c>
    </row>
    <row r="159">
      <c r="A159" s="19" t="s">
        <v>46</v>
      </c>
      <c r="B159" s="20">
        <v>50.0</v>
      </c>
      <c r="C159" s="20" t="s">
        <v>4703</v>
      </c>
      <c r="D159" s="7">
        <f>IFERROR(__xludf.DUMMYFUNCTION("GOOGLEFINANCE(A159,""marketcap"")"),1.547498825884E12)</f>
        <v>1547498825884</v>
      </c>
    </row>
    <row r="160">
      <c r="A160" s="19" t="s">
        <v>3782</v>
      </c>
      <c r="B160" s="20">
        <v>50.0</v>
      </c>
      <c r="C160" s="20" t="s">
        <v>4704</v>
      </c>
      <c r="D160" s="7">
        <f>IFERROR(__xludf.DUMMYFUNCTION("GOOGLEFINANCE(A160,""marketcap"")"),6.3389022E9)</f>
        <v>6338902200</v>
      </c>
    </row>
    <row r="161">
      <c r="A161" s="19" t="s">
        <v>592</v>
      </c>
      <c r="B161" s="20">
        <v>50.0</v>
      </c>
      <c r="C161" s="20" t="s">
        <v>4705</v>
      </c>
      <c r="D161" s="7">
        <f>IFERROR(__xludf.DUMMYFUNCTION("GOOGLEFINANCE(A161,""marketcap"")"),9.0161753555E10)</f>
        <v>90161753555</v>
      </c>
    </row>
    <row r="162">
      <c r="A162" s="19" t="s">
        <v>1580</v>
      </c>
      <c r="B162" s="20">
        <v>50.0</v>
      </c>
      <c r="C162" s="20" t="s">
        <v>4706</v>
      </c>
      <c r="D162" s="7">
        <f>IFERROR(__xludf.DUMMYFUNCTION("GOOGLEFINANCE(A162,""marketcap"")"),1.960107107E11)</f>
        <v>196010710700</v>
      </c>
    </row>
    <row r="163">
      <c r="A163" s="19" t="s">
        <v>1381</v>
      </c>
      <c r="B163" s="20">
        <v>50.0</v>
      </c>
      <c r="C163" s="20" t="s">
        <v>4707</v>
      </c>
      <c r="D163" s="7">
        <f>IFERROR(__xludf.DUMMYFUNCTION("GOOGLEFINANCE(A163,""marketcap"")"),1.2985700333E10)</f>
        <v>12985700333</v>
      </c>
    </row>
    <row r="164">
      <c r="A164" s="19" t="s">
        <v>1225</v>
      </c>
      <c r="B164" s="20">
        <v>50.0</v>
      </c>
      <c r="C164" s="20" t="s">
        <v>4708</v>
      </c>
      <c r="D164" s="7">
        <f>IFERROR(__xludf.DUMMYFUNCTION("GOOGLEFINANCE(A164,""marketcap"")"),8.621531E9)</f>
        <v>8621531000</v>
      </c>
    </row>
    <row r="165">
      <c r="A165" s="19" t="s">
        <v>36</v>
      </c>
      <c r="B165" s="20">
        <v>50.0</v>
      </c>
      <c r="C165" s="20" t="s">
        <v>4709</v>
      </c>
      <c r="D165" s="7">
        <f>IFERROR(__xludf.DUMMYFUNCTION("GOOGLEFINANCE(A165,""marketcap"")"),4.37798110931E11)</f>
        <v>437798110931</v>
      </c>
    </row>
    <row r="166">
      <c r="A166" s="19" t="s">
        <v>1266</v>
      </c>
      <c r="B166" s="20">
        <v>50.0</v>
      </c>
      <c r="C166" s="20" t="s">
        <v>4710</v>
      </c>
      <c r="D166" s="7">
        <f>IFERROR(__xludf.DUMMYFUNCTION("GOOGLEFINANCE(A166,""marketcap"")"),1.4472425425E10)</f>
        <v>14472425425</v>
      </c>
    </row>
    <row r="167">
      <c r="A167" s="19" t="s">
        <v>974</v>
      </c>
      <c r="B167" s="20">
        <v>50.0</v>
      </c>
      <c r="C167" s="20" t="s">
        <v>4711</v>
      </c>
      <c r="D167" s="7">
        <f>IFERROR(__xludf.DUMMYFUNCTION("GOOGLEFINANCE(A167,""marketcap"")"),3.5449892831E10)</f>
        <v>35449892831</v>
      </c>
    </row>
    <row r="168">
      <c r="A168" s="19" t="s">
        <v>1045</v>
      </c>
      <c r="B168" s="20">
        <v>50.0</v>
      </c>
      <c r="C168" s="20" t="s">
        <v>4712</v>
      </c>
      <c r="D168" s="7" t="str">
        <f>IFERROR(__xludf.DUMMYFUNCTION("GOOGLEFINANCE(A168,""marketcap"")"),"#N/A")</f>
        <v>#N/A</v>
      </c>
    </row>
    <row r="169">
      <c r="A169" s="19" t="s">
        <v>1348</v>
      </c>
      <c r="B169" s="20">
        <v>50.0</v>
      </c>
      <c r="C169" s="20" t="s">
        <v>4713</v>
      </c>
      <c r="D169" s="7">
        <f>IFERROR(__xludf.DUMMYFUNCTION("GOOGLEFINANCE(A169,""marketcap"")"),9.3129537816E10)</f>
        <v>93129537816</v>
      </c>
    </row>
    <row r="170">
      <c r="A170" s="19" t="s">
        <v>1361</v>
      </c>
      <c r="B170" s="20">
        <v>50.0</v>
      </c>
      <c r="C170" s="20" t="s">
        <v>4714</v>
      </c>
      <c r="D170" s="7">
        <f>IFERROR(__xludf.DUMMYFUNCTION("GOOGLEFINANCE(A170,""marketcap"")"),5.190227806E9)</f>
        <v>5190227806</v>
      </c>
    </row>
    <row r="171">
      <c r="A171" s="19" t="s">
        <v>1197</v>
      </c>
      <c r="B171" s="20">
        <v>50.0</v>
      </c>
      <c r="C171" s="20" t="s">
        <v>4715</v>
      </c>
      <c r="D171" s="7">
        <f>IFERROR(__xludf.DUMMYFUNCTION("GOOGLEFINANCE(A171,""marketcap"")"),7.1486513816E10)</f>
        <v>71486513816</v>
      </c>
    </row>
    <row r="172">
      <c r="A172" s="19" t="s">
        <v>122</v>
      </c>
      <c r="B172" s="20">
        <v>50.0</v>
      </c>
      <c r="C172" s="20" t="s">
        <v>4716</v>
      </c>
      <c r="D172" s="7">
        <f>IFERROR(__xludf.DUMMYFUNCTION("GOOGLEFINANCE(A172,""marketcap"")"),9.7767844709E10)</f>
        <v>97767844709</v>
      </c>
    </row>
    <row r="173">
      <c r="A173" s="19" t="s">
        <v>1632</v>
      </c>
      <c r="B173" s="20">
        <v>50.0</v>
      </c>
      <c r="C173" s="20" t="s">
        <v>4717</v>
      </c>
      <c r="D173" s="7">
        <f>IFERROR(__xludf.DUMMYFUNCTION("GOOGLEFINANCE(A173,""marketcap"")"),4.5084953933E10)</f>
        <v>45084953933</v>
      </c>
    </row>
    <row r="174">
      <c r="A174" s="19" t="s">
        <v>1072</v>
      </c>
      <c r="B174" s="20">
        <v>50.0</v>
      </c>
      <c r="C174" s="20" t="s">
        <v>4718</v>
      </c>
      <c r="D174" s="7">
        <f>IFERROR(__xludf.DUMMYFUNCTION("GOOGLEFINANCE(A174,""marketcap"")"),3.6814032014E10)</f>
        <v>36814032014</v>
      </c>
    </row>
    <row r="175">
      <c r="A175" s="19" t="s">
        <v>961</v>
      </c>
      <c r="B175" s="20">
        <v>50.0</v>
      </c>
      <c r="C175" s="20" t="s">
        <v>4719</v>
      </c>
      <c r="D175" s="7">
        <f>IFERROR(__xludf.DUMMYFUNCTION("GOOGLEFINANCE(A175,""marketcap"")"),5.0010488237E10)</f>
        <v>50010488237</v>
      </c>
    </row>
    <row r="176">
      <c r="A176" s="19" t="s">
        <v>537</v>
      </c>
      <c r="B176" s="20">
        <v>50.0</v>
      </c>
      <c r="C176" s="20" t="s">
        <v>4720</v>
      </c>
      <c r="D176" s="7">
        <f>IFERROR(__xludf.DUMMYFUNCTION("GOOGLEFINANCE(A176,""marketcap"")"),3.1517534606E10)</f>
        <v>31517534606</v>
      </c>
    </row>
    <row r="177">
      <c r="A177" s="19" t="s">
        <v>1470</v>
      </c>
      <c r="B177" s="20">
        <v>50.0</v>
      </c>
      <c r="C177" s="20" t="s">
        <v>4721</v>
      </c>
      <c r="D177" s="7">
        <f>IFERROR(__xludf.DUMMYFUNCTION("GOOGLEFINANCE(A177,""marketcap"")"),1.9993057148E10)</f>
        <v>19993057148</v>
      </c>
    </row>
    <row r="178">
      <c r="A178" s="19" t="s">
        <v>459</v>
      </c>
      <c r="B178" s="20">
        <v>50.0</v>
      </c>
      <c r="C178" s="20" t="s">
        <v>4722</v>
      </c>
      <c r="D178" s="7">
        <f>IFERROR(__xludf.DUMMYFUNCTION("GOOGLEFINANCE(A178,""marketcap"")"),1.090906E11)</f>
        <v>109090600000</v>
      </c>
    </row>
    <row r="179">
      <c r="A179" s="19" t="s">
        <v>833</v>
      </c>
      <c r="B179" s="20">
        <v>50.0</v>
      </c>
      <c r="C179" s="20" t="s">
        <v>4723</v>
      </c>
      <c r="D179" s="7">
        <f>IFERROR(__xludf.DUMMYFUNCTION("GOOGLEFINANCE(A179,""marketcap"")"),3.4639548711E10)</f>
        <v>34639548711</v>
      </c>
    </row>
    <row r="180">
      <c r="A180" s="19" t="s">
        <v>1010</v>
      </c>
      <c r="B180" s="20">
        <v>50.0</v>
      </c>
      <c r="C180" s="20" t="s">
        <v>4724</v>
      </c>
      <c r="D180" s="7">
        <f>IFERROR(__xludf.DUMMYFUNCTION("GOOGLEFINANCE(A180,""marketcap"")"),2.251872E10)</f>
        <v>22518720000</v>
      </c>
    </row>
    <row r="181">
      <c r="A181" s="19" t="s">
        <v>1074</v>
      </c>
      <c r="B181" s="20">
        <v>50.0</v>
      </c>
      <c r="C181" s="20" t="s">
        <v>4725</v>
      </c>
      <c r="D181" s="7">
        <f>IFERROR(__xludf.DUMMYFUNCTION("GOOGLEFINANCE(A181,""marketcap"")"),2.622711E10)</f>
        <v>26227110000</v>
      </c>
    </row>
    <row r="182">
      <c r="A182" s="19" t="s">
        <v>843</v>
      </c>
      <c r="B182" s="20">
        <v>50.0</v>
      </c>
      <c r="C182" s="20" t="s">
        <v>4726</v>
      </c>
      <c r="D182" s="7">
        <f>IFERROR(__xludf.DUMMYFUNCTION("GOOGLEFINANCE(A182,""marketcap"")"),2.1327833628E10)</f>
        <v>21327833628</v>
      </c>
    </row>
    <row r="183">
      <c r="A183" s="19" t="s">
        <v>164</v>
      </c>
      <c r="B183" s="20">
        <v>50.0</v>
      </c>
      <c r="C183" s="20" t="s">
        <v>4727</v>
      </c>
      <c r="D183" s="7">
        <f>IFERROR(__xludf.DUMMYFUNCTION("GOOGLEFINANCE(A183,""marketcap"")"),3.2633050082E10)</f>
        <v>32633050082</v>
      </c>
    </row>
    <row r="184">
      <c r="A184" s="19" t="s">
        <v>476</v>
      </c>
      <c r="B184" s="20">
        <v>50.0</v>
      </c>
      <c r="C184" s="20" t="s">
        <v>4728</v>
      </c>
      <c r="D184" s="7">
        <f>IFERROR(__xludf.DUMMYFUNCTION("GOOGLEFINANCE(A184,""marketcap"")"),1.037261162E10)</f>
        <v>10372611620</v>
      </c>
    </row>
    <row r="185">
      <c r="A185" s="19" t="s">
        <v>12</v>
      </c>
      <c r="B185" s="20">
        <v>50.0</v>
      </c>
      <c r="C185" s="20" t="s">
        <v>4729</v>
      </c>
      <c r="D185" s="7">
        <f>IFERROR(__xludf.DUMMYFUNCTION("GOOGLEFINANCE(A185,""marketcap"")"),3.45076681091E11)</f>
        <v>345076681091</v>
      </c>
    </row>
    <row r="186">
      <c r="A186" s="19" t="s">
        <v>49</v>
      </c>
      <c r="B186" s="20">
        <v>50.0</v>
      </c>
      <c r="C186" s="20" t="s">
        <v>4730</v>
      </c>
      <c r="D186" s="7">
        <f>IFERROR(__xludf.DUMMYFUNCTION("GOOGLEFINANCE(A186,""marketcap"")"),5.869981735E10)</f>
        <v>58699817350</v>
      </c>
    </row>
    <row r="187">
      <c r="A187" s="19" t="s">
        <v>881</v>
      </c>
      <c r="B187" s="20">
        <v>50.0</v>
      </c>
      <c r="C187" s="20" t="s">
        <v>4731</v>
      </c>
      <c r="D187" s="7">
        <f>IFERROR(__xludf.DUMMYFUNCTION("GOOGLEFINANCE(A187,""marketcap"")"),2.0345660525E10)</f>
        <v>20345660525</v>
      </c>
    </row>
    <row r="188">
      <c r="A188" s="19" t="s">
        <v>1357</v>
      </c>
      <c r="B188" s="20">
        <v>50.0</v>
      </c>
      <c r="C188" s="20" t="s">
        <v>4732</v>
      </c>
      <c r="D188" s="7">
        <f>IFERROR(__xludf.DUMMYFUNCTION("GOOGLEFINANCE(A188,""marketcap"")"),3.390443E10)</f>
        <v>33904430000</v>
      </c>
    </row>
    <row r="189">
      <c r="A189" s="19" t="s">
        <v>1371</v>
      </c>
      <c r="B189" s="20">
        <v>50.0</v>
      </c>
      <c r="C189" s="20" t="s">
        <v>4733</v>
      </c>
      <c r="D189" s="7">
        <f>IFERROR(__xludf.DUMMYFUNCTION("GOOGLEFINANCE(A189,""marketcap"")"),1.195887E11)</f>
        <v>119588700000</v>
      </c>
    </row>
    <row r="190">
      <c r="A190" s="19" t="s">
        <v>1447</v>
      </c>
      <c r="B190" s="20">
        <v>50.0</v>
      </c>
      <c r="C190" s="20" t="s">
        <v>4734</v>
      </c>
      <c r="D190" s="7">
        <f>IFERROR(__xludf.DUMMYFUNCTION("GOOGLEFINANCE(A190,""marketcap"")"),1.2602785444E10)</f>
        <v>12602785444</v>
      </c>
    </row>
    <row r="191">
      <c r="A191" s="19" t="s">
        <v>1456</v>
      </c>
      <c r="B191" s="20">
        <v>50.0</v>
      </c>
      <c r="C191" s="20" t="s">
        <v>4735</v>
      </c>
      <c r="D191" s="7">
        <f>IFERROR(__xludf.DUMMYFUNCTION("GOOGLEFINANCE(A191,""marketcap"")"),2.0191238087E10)</f>
        <v>20191238087</v>
      </c>
    </row>
    <row r="192">
      <c r="A192" s="19" t="s">
        <v>146</v>
      </c>
      <c r="B192" s="20">
        <v>50.0</v>
      </c>
      <c r="C192" s="20" t="s">
        <v>4736</v>
      </c>
      <c r="D192" s="7">
        <f>IFERROR(__xludf.DUMMYFUNCTION("GOOGLEFINANCE(A192,""marketcap"")"),1.0348614344E11)</f>
        <v>103486143440</v>
      </c>
    </row>
    <row r="193">
      <c r="A193" s="19" t="s">
        <v>1619</v>
      </c>
      <c r="B193" s="20">
        <v>50.0</v>
      </c>
      <c r="C193" s="20" t="s">
        <v>4737</v>
      </c>
      <c r="D193" s="7">
        <f>IFERROR(__xludf.DUMMYFUNCTION("GOOGLEFINANCE(A193,""marketcap"")"),1.270755901E10)</f>
        <v>12707559010</v>
      </c>
    </row>
    <row r="194">
      <c r="A194" s="19" t="s">
        <v>1305</v>
      </c>
      <c r="B194" s="20">
        <v>50.0</v>
      </c>
      <c r="C194" s="20" t="s">
        <v>4738</v>
      </c>
      <c r="D194" s="7">
        <f>IFERROR(__xludf.DUMMYFUNCTION("GOOGLEFINANCE(A194,""marketcap"")"),7.1578595937E10)</f>
        <v>71578595937</v>
      </c>
    </row>
    <row r="195">
      <c r="A195" s="19" t="s">
        <v>1151</v>
      </c>
      <c r="B195" s="20">
        <v>50.0</v>
      </c>
      <c r="C195" s="20" t="s">
        <v>4739</v>
      </c>
      <c r="D195" s="7">
        <f>IFERROR(__xludf.DUMMYFUNCTION("GOOGLEFINANCE(A195,""marketcap"")"),2.702492055E10)</f>
        <v>27024920550</v>
      </c>
    </row>
    <row r="196">
      <c r="A196" s="19" t="s">
        <v>1327</v>
      </c>
      <c r="B196" s="20">
        <v>50.0</v>
      </c>
      <c r="C196" s="20" t="s">
        <v>4740</v>
      </c>
      <c r="D196" s="7">
        <f>IFERROR(__xludf.DUMMYFUNCTION("GOOGLEFINANCE(A196,""marketcap"")"),8.5663623798E10)</f>
        <v>85663623798</v>
      </c>
    </row>
    <row r="197">
      <c r="A197" s="19" t="s">
        <v>276</v>
      </c>
      <c r="B197" s="20">
        <v>50.0</v>
      </c>
      <c r="C197" s="20" t="s">
        <v>4741</v>
      </c>
      <c r="D197" s="7">
        <f>IFERROR(__xludf.DUMMYFUNCTION("GOOGLEFINANCE(A197,""marketcap"")"),3.4831440445E10)</f>
        <v>34831440445</v>
      </c>
    </row>
    <row r="198">
      <c r="A198" s="19" t="s">
        <v>1165</v>
      </c>
      <c r="B198" s="20">
        <v>50.0</v>
      </c>
      <c r="C198" s="20" t="s">
        <v>4742</v>
      </c>
      <c r="D198" s="7">
        <f>IFERROR(__xludf.DUMMYFUNCTION("GOOGLEFINANCE(A198,""marketcap"")"),1.09330528588E11)</f>
        <v>109330528588</v>
      </c>
    </row>
    <row r="199">
      <c r="A199" s="19" t="s">
        <v>1617</v>
      </c>
      <c r="B199" s="20">
        <v>50.0</v>
      </c>
      <c r="C199" s="20" t="s">
        <v>4743</v>
      </c>
      <c r="D199" s="7">
        <f>IFERROR(__xludf.DUMMYFUNCTION("GOOGLEFINANCE(A199,""marketcap"")"),2.123905E10)</f>
        <v>21239050000</v>
      </c>
    </row>
    <row r="200">
      <c r="A200" s="19" t="s">
        <v>486</v>
      </c>
      <c r="B200" s="20">
        <v>50.0</v>
      </c>
      <c r="C200" s="20" t="s">
        <v>4744</v>
      </c>
      <c r="D200" s="7">
        <f>IFERROR(__xludf.DUMMYFUNCTION("GOOGLEFINANCE(A200,""marketcap"")"),2.4602116222E10)</f>
        <v>24602116222</v>
      </c>
    </row>
    <row r="201">
      <c r="A201" s="19" t="s">
        <v>857</v>
      </c>
      <c r="B201" s="20">
        <v>50.0</v>
      </c>
      <c r="C201" s="20" t="s">
        <v>4745</v>
      </c>
      <c r="D201" s="7">
        <f>IFERROR(__xludf.DUMMYFUNCTION("GOOGLEFINANCE(A201,""marketcap"")"),9.8937938018E10)</f>
        <v>98937938018</v>
      </c>
    </row>
    <row r="202">
      <c r="A202" s="19" t="s">
        <v>1163</v>
      </c>
      <c r="B202" s="20">
        <v>50.0</v>
      </c>
      <c r="C202" s="20" t="s">
        <v>4746</v>
      </c>
      <c r="D202" s="7">
        <f>IFERROR(__xludf.DUMMYFUNCTION("GOOGLEFINANCE(A202,""marketcap"")"),1.5927767979E10)</f>
        <v>15927767979</v>
      </c>
    </row>
    <row r="203">
      <c r="A203" s="19" t="s">
        <v>1466</v>
      </c>
      <c r="B203" s="20">
        <v>50.0</v>
      </c>
      <c r="C203" s="20" t="s">
        <v>4747</v>
      </c>
      <c r="D203" s="7">
        <f>IFERROR(__xludf.DUMMYFUNCTION("GOOGLEFINANCE(A203,""marketcap"")"),1.09314E10)</f>
        <v>10931400000</v>
      </c>
    </row>
    <row r="204">
      <c r="A204" s="19" t="s">
        <v>1233</v>
      </c>
      <c r="B204" s="20">
        <v>50.0</v>
      </c>
      <c r="C204" s="20" t="s">
        <v>4748</v>
      </c>
      <c r="D204" s="7">
        <f>IFERROR(__xludf.DUMMYFUNCTION("GOOGLEFINANCE(A204,""marketcap"")"),4.1880625303E10)</f>
        <v>41880625303</v>
      </c>
    </row>
    <row r="205">
      <c r="A205" s="19" t="s">
        <v>1454</v>
      </c>
      <c r="B205" s="20">
        <v>50.0</v>
      </c>
      <c r="C205" s="20" t="s">
        <v>4749</v>
      </c>
      <c r="D205" s="7">
        <f>IFERROR(__xludf.DUMMYFUNCTION("GOOGLEFINANCE(A205,""marketcap"")"),1.0369413195E10)</f>
        <v>10369413195</v>
      </c>
    </row>
    <row r="206">
      <c r="A206" s="19" t="s">
        <v>1638</v>
      </c>
      <c r="B206" s="20">
        <v>50.0</v>
      </c>
      <c r="C206" s="20" t="s">
        <v>4750</v>
      </c>
      <c r="D206" s="7">
        <f>IFERROR(__xludf.DUMMYFUNCTION("GOOGLEFINANCE(A206,""marketcap"")"),4.9560755223E10)</f>
        <v>49560755223</v>
      </c>
    </row>
    <row r="207">
      <c r="A207" s="19" t="s">
        <v>1021</v>
      </c>
      <c r="B207" s="20">
        <v>50.0</v>
      </c>
      <c r="C207" s="20" t="s">
        <v>4751</v>
      </c>
      <c r="D207" s="7">
        <f>IFERROR(__xludf.DUMMYFUNCTION("GOOGLEFINANCE(A207,""marketcap"")"),1.7252434822E10)</f>
        <v>17252434822</v>
      </c>
    </row>
    <row r="208">
      <c r="A208" s="19" t="s">
        <v>1412</v>
      </c>
      <c r="B208" s="20">
        <v>50.0</v>
      </c>
      <c r="C208" s="20" t="s">
        <v>4752</v>
      </c>
      <c r="D208" s="7">
        <f>IFERROR(__xludf.DUMMYFUNCTION("GOOGLEFINANCE(A208,""marketcap"")"),1.6966142285E10)</f>
        <v>16966142285</v>
      </c>
    </row>
    <row r="209">
      <c r="A209" s="19" t="s">
        <v>1271</v>
      </c>
      <c r="B209" s="20">
        <v>50.0</v>
      </c>
      <c r="C209" s="20" t="s">
        <v>4753</v>
      </c>
      <c r="D209" s="7">
        <f>IFERROR(__xludf.DUMMYFUNCTION("GOOGLEFINANCE(A209,""marketcap"")"),1.65447408E11)</f>
        <v>165447408000</v>
      </c>
    </row>
    <row r="210">
      <c r="A210" s="19" t="s">
        <v>1235</v>
      </c>
      <c r="B210" s="20">
        <v>50.0</v>
      </c>
      <c r="C210" s="20" t="s">
        <v>4754</v>
      </c>
      <c r="D210" s="7">
        <f>IFERROR(__xludf.DUMMYFUNCTION("GOOGLEFINANCE(A210,""marketcap"")"),2.3025460222E10)</f>
        <v>23025460222</v>
      </c>
    </row>
    <row r="211">
      <c r="A211" s="19" t="s">
        <v>1634</v>
      </c>
      <c r="B211" s="20">
        <v>50.0</v>
      </c>
      <c r="C211" s="20" t="s">
        <v>4755</v>
      </c>
      <c r="D211" s="7">
        <f>IFERROR(__xludf.DUMMYFUNCTION("GOOGLEFINANCE(A211,""marketcap"")"),2.31472694092E11)</f>
        <v>231472694092</v>
      </c>
    </row>
    <row r="212">
      <c r="A212" s="19" t="s">
        <v>1015</v>
      </c>
      <c r="B212" s="20">
        <v>50.0</v>
      </c>
      <c r="C212" s="20" t="s">
        <v>4756</v>
      </c>
      <c r="D212" s="7">
        <f>IFERROR(__xludf.DUMMYFUNCTION("GOOGLEFINANCE(A212,""marketcap"")"),3.6370521688E10)</f>
        <v>36370521688</v>
      </c>
    </row>
    <row r="213">
      <c r="A213" s="19" t="s">
        <v>1076</v>
      </c>
      <c r="B213" s="20">
        <v>50.0</v>
      </c>
      <c r="C213" s="20" t="s">
        <v>4757</v>
      </c>
      <c r="D213" s="7">
        <f>IFERROR(__xludf.DUMMYFUNCTION("GOOGLEFINANCE(A213,""marketcap"")"),3.4861507391E10)</f>
        <v>34861507391</v>
      </c>
    </row>
    <row r="214">
      <c r="A214" s="19" t="s">
        <v>809</v>
      </c>
      <c r="B214" s="20">
        <v>50.0</v>
      </c>
      <c r="C214" s="20" t="s">
        <v>4758</v>
      </c>
      <c r="D214" s="7">
        <f>IFERROR(__xludf.DUMMYFUNCTION("GOOGLEFINANCE(A214,""marketcap"")"),8.6487356548E10)</f>
        <v>86487356548</v>
      </c>
    </row>
    <row r="215">
      <c r="A215" s="19" t="s">
        <v>1291</v>
      </c>
      <c r="B215" s="20">
        <v>50.0</v>
      </c>
      <c r="C215" s="20" t="s">
        <v>4759</v>
      </c>
      <c r="D215" s="7">
        <f>IFERROR(__xludf.DUMMYFUNCTION("GOOGLEFINANCE(A215,""marketcap"")"),6.796845849E10)</f>
        <v>67968458490</v>
      </c>
    </row>
    <row r="216">
      <c r="A216" s="19" t="s">
        <v>263</v>
      </c>
      <c r="B216" s="20">
        <v>50.0</v>
      </c>
      <c r="C216" s="20" t="s">
        <v>4760</v>
      </c>
      <c r="D216" s="7">
        <f>IFERROR(__xludf.DUMMYFUNCTION("GOOGLEFINANCE(A216,""marketcap"")"),1.039656167318E12)</f>
        <v>1039656167318</v>
      </c>
    </row>
    <row r="217">
      <c r="A217" s="19" t="s">
        <v>1641</v>
      </c>
      <c r="B217" s="20">
        <v>50.0</v>
      </c>
      <c r="C217" s="20" t="s">
        <v>4761</v>
      </c>
      <c r="D217" s="7">
        <f>IFERROR(__xludf.DUMMYFUNCTION("GOOGLEFINANCE(A217,""marketcap"")"),2.7032882552E10)</f>
        <v>27032882552</v>
      </c>
    </row>
    <row r="218">
      <c r="A218" s="19" t="s">
        <v>821</v>
      </c>
      <c r="B218" s="20">
        <v>50.0</v>
      </c>
      <c r="C218" s="20" t="s">
        <v>4762</v>
      </c>
      <c r="D218" s="7">
        <f>IFERROR(__xludf.DUMMYFUNCTION("GOOGLEFINANCE(A218,""marketcap"")"),2.0743398328E10)</f>
        <v>20743398328</v>
      </c>
    </row>
    <row r="219">
      <c r="A219" s="19" t="s">
        <v>359</v>
      </c>
      <c r="B219" s="20">
        <v>50.0</v>
      </c>
      <c r="C219" s="20" t="s">
        <v>4763</v>
      </c>
      <c r="D219" s="7">
        <f>IFERROR(__xludf.DUMMYFUNCTION("GOOGLEFINANCE(A219,""marketcap"")"),1.11794849E11)</f>
        <v>111794849000</v>
      </c>
    </row>
    <row r="220">
      <c r="A220" s="19" t="s">
        <v>3047</v>
      </c>
      <c r="B220" s="20">
        <v>50.0</v>
      </c>
      <c r="C220" s="20" t="s">
        <v>4764</v>
      </c>
      <c r="D220" s="7">
        <f>IFERROR(__xludf.DUMMYFUNCTION("GOOGLEFINANCE(A220,""marketcap"")"),7.943192622E9)</f>
        <v>7943192622</v>
      </c>
    </row>
    <row r="221">
      <c r="A221" s="19" t="s">
        <v>142</v>
      </c>
      <c r="B221" s="20">
        <v>50.0</v>
      </c>
      <c r="C221" s="20" t="s">
        <v>4765</v>
      </c>
      <c r="D221" s="7">
        <f>IFERROR(__xludf.DUMMYFUNCTION("GOOGLEFINANCE(A221,""marketcap"")"),2.2391665146E10)</f>
        <v>22391665146</v>
      </c>
    </row>
    <row r="222">
      <c r="A222" s="19" t="s">
        <v>1373</v>
      </c>
      <c r="B222" s="20">
        <v>50.0</v>
      </c>
      <c r="C222" s="20" t="s">
        <v>4766</v>
      </c>
      <c r="D222" s="7">
        <f>IFERROR(__xludf.DUMMYFUNCTION("GOOGLEFINANCE(A222,""marketcap"")"),5.4601736028E10)</f>
        <v>54601736028</v>
      </c>
    </row>
    <row r="223">
      <c r="A223" s="19" t="s">
        <v>1175</v>
      </c>
      <c r="B223" s="20">
        <v>50.0</v>
      </c>
      <c r="C223" s="20" t="s">
        <v>4767</v>
      </c>
      <c r="D223" s="7">
        <f>IFERROR(__xludf.DUMMYFUNCTION("GOOGLEFINANCE(A223,""marketcap"")"),1.693892E10)</f>
        <v>16938920000</v>
      </c>
    </row>
    <row r="224">
      <c r="A224" s="19" t="s">
        <v>1601</v>
      </c>
      <c r="B224" s="20">
        <v>50.0</v>
      </c>
      <c r="C224" s="20" t="s">
        <v>4768</v>
      </c>
      <c r="D224" s="7">
        <f>IFERROR(__xludf.DUMMYFUNCTION("GOOGLEFINANCE(A224,""marketcap"")"),3.8435528213E10)</f>
        <v>38435528213</v>
      </c>
    </row>
    <row r="225">
      <c r="A225" s="19" t="s">
        <v>1605</v>
      </c>
      <c r="B225" s="20">
        <v>50.0</v>
      </c>
      <c r="C225" s="20" t="s">
        <v>4769</v>
      </c>
      <c r="D225" s="7">
        <f>IFERROR(__xludf.DUMMYFUNCTION("GOOGLEFINANCE(A225,""marketcap"")"),3.4981069152E10)</f>
        <v>34981069152</v>
      </c>
    </row>
    <row r="226">
      <c r="A226" s="19" t="s">
        <v>151</v>
      </c>
      <c r="B226" s="20">
        <v>50.0</v>
      </c>
      <c r="C226" s="20" t="s">
        <v>4770</v>
      </c>
      <c r="D226" s="7">
        <f>IFERROR(__xludf.DUMMYFUNCTION("GOOGLEFINANCE(A226,""marketcap"")"),1.34340593414E11)</f>
        <v>134340593414</v>
      </c>
    </row>
    <row r="227">
      <c r="A227" s="19" t="s">
        <v>141</v>
      </c>
      <c r="B227" s="20">
        <v>50.0</v>
      </c>
      <c r="C227" s="20" t="s">
        <v>4771</v>
      </c>
      <c r="D227" s="7">
        <f>IFERROR(__xludf.DUMMYFUNCTION("GOOGLEFINANCE(A227,""marketcap"")"),1.133613004E11)</f>
        <v>113361300400</v>
      </c>
    </row>
    <row r="228">
      <c r="A228" s="19" t="s">
        <v>1183</v>
      </c>
      <c r="B228" s="20">
        <v>50.0</v>
      </c>
      <c r="C228" s="20" t="s">
        <v>4772</v>
      </c>
      <c r="D228" s="7">
        <f>IFERROR(__xludf.DUMMYFUNCTION("GOOGLEFINANCE(A228,""marketcap"")"),1.937391808E10)</f>
        <v>19373918080</v>
      </c>
    </row>
    <row r="229">
      <c r="A229" s="19" t="s">
        <v>1248</v>
      </c>
      <c r="B229" s="20">
        <v>50.0</v>
      </c>
      <c r="C229" s="20" t="s">
        <v>4773</v>
      </c>
      <c r="D229" s="7">
        <f>IFERROR(__xludf.DUMMYFUNCTION("GOOGLEFINANCE(A229,""marketcap"")"),2.7010245035E10)</f>
        <v>27010245035</v>
      </c>
    </row>
    <row r="230">
      <c r="A230" s="19" t="s">
        <v>1250</v>
      </c>
      <c r="B230" s="20">
        <v>50.0</v>
      </c>
      <c r="C230" s="20" t="s">
        <v>4774</v>
      </c>
      <c r="D230" s="7">
        <f>IFERROR(__xludf.DUMMYFUNCTION("GOOGLEFINANCE(A230,""marketcap"")"),2.4432069136E10)</f>
        <v>24432069136</v>
      </c>
    </row>
    <row r="231">
      <c r="A231" s="19" t="s">
        <v>1449</v>
      </c>
      <c r="B231" s="20">
        <v>50.0</v>
      </c>
      <c r="C231" s="20" t="s">
        <v>4775</v>
      </c>
      <c r="D231" s="7">
        <f>IFERROR(__xludf.DUMMYFUNCTION("GOOGLEFINANCE(A231,""marketcap"")"),6.842902265E9)</f>
        <v>6842902265</v>
      </c>
    </row>
    <row r="232">
      <c r="A232" s="19" t="s">
        <v>1363</v>
      </c>
      <c r="B232" s="20">
        <v>50.0</v>
      </c>
      <c r="C232" s="20" t="s">
        <v>4776</v>
      </c>
      <c r="D232" s="7">
        <f>IFERROR(__xludf.DUMMYFUNCTION("GOOGLEFINANCE(A232,""marketcap"")"),1.2027819675E10)</f>
        <v>12027819675</v>
      </c>
    </row>
    <row r="233">
      <c r="A233" s="19" t="s">
        <v>1171</v>
      </c>
      <c r="B233" s="20">
        <v>50.0</v>
      </c>
      <c r="C233" s="20" t="s">
        <v>4777</v>
      </c>
      <c r="D233" s="7">
        <f>IFERROR(__xludf.DUMMYFUNCTION("GOOGLEFINANCE(A233,""marketcap"")"),2.66497840981E11)</f>
        <v>266497840981</v>
      </c>
    </row>
    <row r="234">
      <c r="A234" s="19" t="s">
        <v>609</v>
      </c>
      <c r="B234" s="20">
        <v>50.0</v>
      </c>
      <c r="C234" s="20" t="s">
        <v>4778</v>
      </c>
      <c r="D234" s="7">
        <f>IFERROR(__xludf.DUMMYFUNCTION("GOOGLEFINANCE(A234,""marketcap"")"),3.5389739007E10)</f>
        <v>35389739007</v>
      </c>
    </row>
    <row r="235">
      <c r="A235" s="19" t="s">
        <v>1202</v>
      </c>
      <c r="B235" s="20">
        <v>50.0</v>
      </c>
      <c r="C235" s="20" t="s">
        <v>4779</v>
      </c>
      <c r="D235" s="7">
        <f>IFERROR(__xludf.DUMMYFUNCTION("GOOGLEFINANCE(A235,""marketcap"")"),1.46361723659E11)</f>
        <v>146361723659</v>
      </c>
    </row>
    <row r="236">
      <c r="A236" s="19" t="s">
        <v>795</v>
      </c>
      <c r="B236" s="20">
        <v>50.0</v>
      </c>
      <c r="C236" s="20" t="s">
        <v>4780</v>
      </c>
      <c r="D236" s="7">
        <f>IFERROR(__xludf.DUMMYFUNCTION("GOOGLEFINANCE(A236,""marketcap"")"),2.113297E11)</f>
        <v>211329700000</v>
      </c>
    </row>
    <row r="237">
      <c r="A237" s="19" t="s">
        <v>1379</v>
      </c>
      <c r="B237" s="20">
        <v>50.0</v>
      </c>
      <c r="C237" s="20" t="s">
        <v>4781</v>
      </c>
      <c r="D237" s="7">
        <f>IFERROR(__xludf.DUMMYFUNCTION("GOOGLEFINANCE(A237,""marketcap"")"),1.2414526778E10)</f>
        <v>12414526778</v>
      </c>
    </row>
    <row r="238">
      <c r="A238" s="19" t="s">
        <v>1025</v>
      </c>
      <c r="B238" s="20">
        <v>50.0</v>
      </c>
      <c r="C238" s="20" t="s">
        <v>4782</v>
      </c>
      <c r="D238" s="7">
        <f>IFERROR(__xludf.DUMMYFUNCTION("GOOGLEFINANCE(A238,""marketcap"")"),2.25687E10)</f>
        <v>22568700000</v>
      </c>
    </row>
    <row r="239">
      <c r="A239" s="19" t="s">
        <v>1147</v>
      </c>
      <c r="B239" s="20">
        <v>50.0</v>
      </c>
      <c r="C239" s="20" t="s">
        <v>4783</v>
      </c>
      <c r="D239" s="7">
        <f>IFERROR(__xludf.DUMMYFUNCTION("GOOGLEFINANCE(A239,""marketcap"")"),2.170924E10)</f>
        <v>21709240000</v>
      </c>
    </row>
    <row r="240">
      <c r="A240" s="19" t="s">
        <v>1241</v>
      </c>
      <c r="B240" s="20">
        <v>50.0</v>
      </c>
      <c r="C240" s="20" t="s">
        <v>4784</v>
      </c>
      <c r="D240" s="7">
        <f>IFERROR(__xludf.DUMMYFUNCTION("GOOGLEFINANCE(A240,""marketcap"")"),2.1791478799E10)</f>
        <v>21791478799</v>
      </c>
    </row>
    <row r="241">
      <c r="A241" s="19" t="s">
        <v>1245</v>
      </c>
      <c r="B241" s="20">
        <v>50.0</v>
      </c>
      <c r="C241" s="20" t="s">
        <v>4785</v>
      </c>
      <c r="D241" s="7">
        <f>IFERROR(__xludf.DUMMYFUNCTION("GOOGLEFINANCE(A241,""marketcap"")"),1.0584843775E10)</f>
        <v>10584843775</v>
      </c>
    </row>
    <row r="242">
      <c r="A242" s="19" t="s">
        <v>1443</v>
      </c>
      <c r="B242" s="20">
        <v>50.0</v>
      </c>
      <c r="C242" s="20" t="s">
        <v>4786</v>
      </c>
      <c r="D242" s="7">
        <f>IFERROR(__xludf.DUMMYFUNCTION("GOOGLEFINANCE(A242,""marketcap"")"),1.004411E10)</f>
        <v>10044110000</v>
      </c>
    </row>
    <row r="243">
      <c r="A243" s="19" t="s">
        <v>1352</v>
      </c>
      <c r="B243" s="20">
        <v>50.0</v>
      </c>
      <c r="C243" s="20" t="s">
        <v>4787</v>
      </c>
      <c r="D243" s="7">
        <f>IFERROR(__xludf.DUMMYFUNCTION("GOOGLEFINANCE(A243,""marketcap"")"),6.5658316597E10)</f>
        <v>65658316597</v>
      </c>
    </row>
    <row r="244">
      <c r="A244" s="19" t="s">
        <v>1594</v>
      </c>
      <c r="B244" s="20">
        <v>50.0</v>
      </c>
      <c r="C244" s="20" t="s">
        <v>4788</v>
      </c>
      <c r="D244" s="7">
        <f>IFERROR(__xludf.DUMMYFUNCTION("GOOGLEFINANCE(A244,""marketcap"")"),9.4006580314E10)</f>
        <v>94006580314</v>
      </c>
    </row>
    <row r="245">
      <c r="A245" s="19" t="s">
        <v>1468</v>
      </c>
      <c r="B245" s="20">
        <v>50.0</v>
      </c>
      <c r="C245" s="20" t="s">
        <v>4789</v>
      </c>
      <c r="D245" s="7">
        <f>IFERROR(__xludf.DUMMYFUNCTION("GOOGLEFINANCE(A245,""marketcap"")"),5.9800593828E10)</f>
        <v>59800593828</v>
      </c>
    </row>
    <row r="246">
      <c r="A246" s="19" t="s">
        <v>1167</v>
      </c>
      <c r="B246" s="20">
        <v>50.0</v>
      </c>
      <c r="C246" s="20" t="s">
        <v>4790</v>
      </c>
      <c r="D246" s="7">
        <f>IFERROR(__xludf.DUMMYFUNCTION("GOOGLEFINANCE(A246,""marketcap"")"),1.754906E11)</f>
        <v>175490600000</v>
      </c>
    </row>
    <row r="247">
      <c r="A247" s="19" t="s">
        <v>886</v>
      </c>
      <c r="B247" s="20">
        <v>50.0</v>
      </c>
      <c r="C247" s="20" t="s">
        <v>4791</v>
      </c>
      <c r="D247" s="7">
        <f>IFERROR(__xludf.DUMMYFUNCTION("GOOGLEFINANCE(A247,""marketcap"")"),7.9641687074E10)</f>
        <v>79641687074</v>
      </c>
    </row>
    <row r="248">
      <c r="A248" s="19" t="s">
        <v>1615</v>
      </c>
      <c r="B248" s="20">
        <v>50.0</v>
      </c>
      <c r="C248" s="20" t="s">
        <v>4792</v>
      </c>
      <c r="D248" s="7">
        <f>IFERROR(__xludf.DUMMYFUNCTION("GOOGLEFINANCE(A248,""marketcap"")"),2.3131788304E10)</f>
        <v>23131788304</v>
      </c>
    </row>
    <row r="249">
      <c r="A249" s="19" t="s">
        <v>16</v>
      </c>
      <c r="B249" s="20">
        <v>50.0</v>
      </c>
      <c r="C249" s="20" t="s">
        <v>4793</v>
      </c>
      <c r="D249" s="7">
        <f>IFERROR(__xludf.DUMMYFUNCTION("GOOGLEFINANCE(A249,""marketcap"")"),1.48738493361E11)</f>
        <v>148738493361</v>
      </c>
    </row>
    <row r="250">
      <c r="A250" s="19" t="s">
        <v>1611</v>
      </c>
      <c r="B250" s="20">
        <v>50.0</v>
      </c>
      <c r="C250" s="20" t="s">
        <v>4794</v>
      </c>
      <c r="D250" s="7">
        <f>IFERROR(__xludf.DUMMYFUNCTION("GOOGLEFINANCE(A250,""marketcap"")"),2.1699276903E10)</f>
        <v>21699276903</v>
      </c>
    </row>
    <row r="251">
      <c r="A251" s="19" t="s">
        <v>277</v>
      </c>
      <c r="B251" s="20">
        <v>50.0</v>
      </c>
      <c r="C251" s="20" t="s">
        <v>4795</v>
      </c>
      <c r="D251" s="7">
        <f>IFERROR(__xludf.DUMMYFUNCTION("GOOGLEFINANCE(A251,""marketcap"")"),7.3817961656E10)</f>
        <v>73817961656</v>
      </c>
    </row>
    <row r="252">
      <c r="A252" s="19" t="s">
        <v>855</v>
      </c>
      <c r="B252" s="20">
        <v>50.0</v>
      </c>
      <c r="C252" s="20" t="s">
        <v>4796</v>
      </c>
      <c r="D252" s="7">
        <f>IFERROR(__xludf.DUMMYFUNCTION("GOOGLEFINANCE(A252,""marketcap"")"),7.2744261674E10)</f>
        <v>72744261674</v>
      </c>
    </row>
    <row r="253">
      <c r="A253" s="19" t="s">
        <v>1613</v>
      </c>
      <c r="B253" s="20">
        <v>50.0</v>
      </c>
      <c r="C253" s="20" t="s">
        <v>4797</v>
      </c>
      <c r="D253" s="7">
        <f>IFERROR(__xludf.DUMMYFUNCTION("GOOGLEFINANCE(A253,""marketcap"")"),3.4646928175E10)</f>
        <v>34646928175</v>
      </c>
    </row>
    <row r="254">
      <c r="A254" s="19" t="s">
        <v>1179</v>
      </c>
      <c r="B254" s="20">
        <v>50.0</v>
      </c>
      <c r="C254" s="20" t="s">
        <v>4798</v>
      </c>
      <c r="D254" s="7">
        <f>IFERROR(__xludf.DUMMYFUNCTION("GOOGLEFINANCE(A254,""marketcap"")"),2.5917186469E10)</f>
        <v>25917186469</v>
      </c>
    </row>
    <row r="255">
      <c r="A255" s="19" t="s">
        <v>1408</v>
      </c>
      <c r="B255" s="20">
        <v>50.0</v>
      </c>
      <c r="C255" s="20" t="s">
        <v>4799</v>
      </c>
      <c r="D255" s="7">
        <f>IFERROR(__xludf.DUMMYFUNCTION("GOOGLEFINANCE(A255,""marketcap"")"),5.05061121E10)</f>
        <v>50506112100</v>
      </c>
    </row>
    <row r="256">
      <c r="A256" s="19" t="s">
        <v>853</v>
      </c>
      <c r="B256" s="20">
        <v>50.0</v>
      </c>
      <c r="C256" s="20" t="s">
        <v>4800</v>
      </c>
      <c r="D256" s="7">
        <f>IFERROR(__xludf.DUMMYFUNCTION("GOOGLEFINANCE(A256,""marketcap"")"),1.129214E10)</f>
        <v>11292140000</v>
      </c>
    </row>
    <row r="257">
      <c r="A257" s="19" t="s">
        <v>780</v>
      </c>
      <c r="B257" s="20">
        <v>50.0</v>
      </c>
      <c r="C257" s="20" t="s">
        <v>4801</v>
      </c>
      <c r="D257" s="7">
        <f>IFERROR(__xludf.DUMMYFUNCTION("GOOGLEFINANCE(A257,""marketcap"")"),2.9991839791E10)</f>
        <v>29991839791</v>
      </c>
    </row>
    <row r="258">
      <c r="A258" s="19" t="s">
        <v>1030</v>
      </c>
      <c r="B258" s="20">
        <v>50.0</v>
      </c>
      <c r="C258" s="20" t="s">
        <v>4802</v>
      </c>
      <c r="D258" s="7">
        <f>IFERROR(__xludf.DUMMYFUNCTION("GOOGLEFINANCE(A258,""marketcap"")"),2.3604755889E10)</f>
        <v>23604755889</v>
      </c>
    </row>
    <row r="259">
      <c r="A259" s="19" t="s">
        <v>1608</v>
      </c>
      <c r="B259" s="20">
        <v>50.0</v>
      </c>
      <c r="C259" s="20" t="s">
        <v>4803</v>
      </c>
      <c r="D259" s="7">
        <f>IFERROR(__xludf.DUMMYFUNCTION("GOOGLEFINANCE(A259,""marketcap"")"),1.4206480041E10)</f>
        <v>14206480041</v>
      </c>
    </row>
    <row r="260">
      <c r="A260" s="19" t="s">
        <v>1041</v>
      </c>
      <c r="B260" s="20">
        <v>50.0</v>
      </c>
      <c r="C260" s="20" t="s">
        <v>4804</v>
      </c>
      <c r="D260" s="7">
        <f>IFERROR(__xludf.DUMMYFUNCTION("GOOGLEFINANCE(A260,""marketcap"")"),5.7738788372E10)</f>
        <v>57738788372</v>
      </c>
    </row>
    <row r="261">
      <c r="A261" s="19" t="s">
        <v>777</v>
      </c>
      <c r="B261" s="20">
        <v>50.0</v>
      </c>
      <c r="C261" s="20" t="s">
        <v>4805</v>
      </c>
      <c r="D261" s="7">
        <f>IFERROR(__xludf.DUMMYFUNCTION("GOOGLEFINANCE(A261,""marketcap"")"),2.37137404538E11)</f>
        <v>237137404538</v>
      </c>
    </row>
    <row r="262">
      <c r="A262" s="19" t="s">
        <v>426</v>
      </c>
      <c r="B262" s="20">
        <v>50.0</v>
      </c>
      <c r="C262" s="20" t="s">
        <v>4806</v>
      </c>
      <c r="D262" s="7">
        <f>IFERROR(__xludf.DUMMYFUNCTION("GOOGLEFINANCE(A262,""marketcap"")"),1.243555E11)</f>
        <v>124355500000</v>
      </c>
    </row>
    <row r="263">
      <c r="A263" s="19" t="s">
        <v>1287</v>
      </c>
      <c r="B263" s="20">
        <v>50.0</v>
      </c>
      <c r="C263" s="20" t="s">
        <v>4807</v>
      </c>
      <c r="D263" s="7">
        <f>IFERROR(__xludf.DUMMYFUNCTION("GOOGLEFINANCE(A263,""marketcap"")"),1.60887595045E11)</f>
        <v>160887595045</v>
      </c>
    </row>
    <row r="264">
      <c r="A264" s="19" t="s">
        <v>819</v>
      </c>
      <c r="B264" s="20">
        <v>50.0</v>
      </c>
      <c r="C264" s="20" t="s">
        <v>4808</v>
      </c>
      <c r="D264" s="7">
        <f>IFERROR(__xludf.DUMMYFUNCTION("GOOGLEFINANCE(A264,""marketcap"")"),3.2694685773E10)</f>
        <v>32694685773</v>
      </c>
    </row>
    <row r="265">
      <c r="A265" s="19" t="s">
        <v>1511</v>
      </c>
      <c r="B265" s="20">
        <v>50.0</v>
      </c>
      <c r="C265" s="20" t="s">
        <v>4809</v>
      </c>
      <c r="D265" s="7">
        <f>IFERROR(__xludf.DUMMYFUNCTION("GOOGLEFINANCE(A265,""marketcap"")"),1.1000354153E11)</f>
        <v>110003541530</v>
      </c>
    </row>
    <row r="266">
      <c r="A266" s="19" t="s">
        <v>1239</v>
      </c>
      <c r="B266" s="20">
        <v>50.0</v>
      </c>
      <c r="C266" s="20" t="s">
        <v>4810</v>
      </c>
      <c r="D266" s="7">
        <f>IFERROR(__xludf.DUMMYFUNCTION("GOOGLEFINANCE(A266,""marketcap"")"),2.552152602E10)</f>
        <v>25521526020</v>
      </c>
    </row>
    <row r="267">
      <c r="A267" s="19" t="s">
        <v>1193</v>
      </c>
      <c r="B267" s="20">
        <v>50.0</v>
      </c>
      <c r="C267" s="20" t="s">
        <v>4811</v>
      </c>
      <c r="D267" s="7">
        <f>IFERROR(__xludf.DUMMYFUNCTION("GOOGLEFINANCE(A267,""marketcap"")"),3.9166856872E10)</f>
        <v>39166856872</v>
      </c>
    </row>
    <row r="268">
      <c r="A268" s="19" t="s">
        <v>468</v>
      </c>
      <c r="B268" s="20">
        <v>50.0</v>
      </c>
      <c r="C268" s="20" t="s">
        <v>4812</v>
      </c>
      <c r="D268" s="7">
        <f>IFERROR(__xludf.DUMMYFUNCTION("GOOGLEFINANCE(A268,""marketcap"")"),1.38727027256E11)</f>
        <v>138727027256</v>
      </c>
    </row>
    <row r="269">
      <c r="A269" s="19" t="s">
        <v>82</v>
      </c>
      <c r="B269" s="20">
        <v>50.0</v>
      </c>
      <c r="C269" s="20" t="s">
        <v>4813</v>
      </c>
      <c r="D269" s="7">
        <f>IFERROR(__xludf.DUMMYFUNCTION("GOOGLEFINANCE(A269,""marketcap"")"),9.0716731695E10)</f>
        <v>90716731695</v>
      </c>
    </row>
    <row r="270">
      <c r="A270" s="19" t="s">
        <v>1128</v>
      </c>
      <c r="B270" s="20">
        <v>50.0</v>
      </c>
      <c r="C270" s="20" t="s">
        <v>4814</v>
      </c>
      <c r="D270" s="7">
        <f>IFERROR(__xludf.DUMMYFUNCTION("GOOGLEFINANCE(A270,""marketcap"")"),2.4489570736E10)</f>
        <v>24489570736</v>
      </c>
    </row>
    <row r="271">
      <c r="A271" s="19" t="s">
        <v>1338</v>
      </c>
      <c r="B271" s="20">
        <v>50.0</v>
      </c>
      <c r="C271" s="20" t="s">
        <v>4815</v>
      </c>
      <c r="D271" s="7">
        <f>IFERROR(__xludf.DUMMYFUNCTION("GOOGLEFINANCE(A271,""marketcap"")"),2.2430645083E10)</f>
        <v>22430645083</v>
      </c>
    </row>
    <row r="272">
      <c r="A272" s="19" t="s">
        <v>20</v>
      </c>
      <c r="B272" s="20">
        <v>50.0</v>
      </c>
      <c r="C272" s="20" t="s">
        <v>4816</v>
      </c>
      <c r="D272" s="7">
        <f>IFERROR(__xludf.DUMMYFUNCTION("GOOGLEFINANCE(A272,""marketcap"")"),1.0191268125E11)</f>
        <v>101912681250</v>
      </c>
    </row>
    <row r="273">
      <c r="A273" s="19" t="s">
        <v>1517</v>
      </c>
      <c r="B273" s="20">
        <v>50.0</v>
      </c>
      <c r="C273" s="20" t="s">
        <v>4817</v>
      </c>
      <c r="D273" s="7">
        <f>IFERROR(__xludf.DUMMYFUNCTION("GOOGLEFINANCE(A273,""marketcap"")"),1.114410745E10)</f>
        <v>11144107450</v>
      </c>
    </row>
    <row r="274">
      <c r="A274" s="19" t="s">
        <v>1562</v>
      </c>
      <c r="B274" s="20">
        <v>50.0</v>
      </c>
      <c r="C274" s="20" t="s">
        <v>4818</v>
      </c>
      <c r="D274" s="7">
        <f>IFERROR(__xludf.DUMMYFUNCTION("GOOGLEFINANCE(A274,""marketcap"")"),1.398430918E10)</f>
        <v>13984309180</v>
      </c>
    </row>
    <row r="275">
      <c r="A275" s="19" t="s">
        <v>873</v>
      </c>
      <c r="B275" s="20">
        <v>50.0</v>
      </c>
      <c r="C275" s="20" t="s">
        <v>4819</v>
      </c>
      <c r="D275" s="7">
        <f>IFERROR(__xludf.DUMMYFUNCTION("GOOGLEFINANCE(A275,""marketcap"")"),2.14137959655E11)</f>
        <v>214137959655</v>
      </c>
    </row>
    <row r="276">
      <c r="A276" s="19" t="s">
        <v>1133</v>
      </c>
      <c r="B276" s="20">
        <v>50.0</v>
      </c>
      <c r="C276" s="20" t="s">
        <v>4820</v>
      </c>
      <c r="D276" s="7">
        <f>IFERROR(__xludf.DUMMYFUNCTION("GOOGLEFINANCE(A276,""marketcap"")"),3.81441165804E11)</f>
        <v>381441165804</v>
      </c>
    </row>
    <row r="277">
      <c r="A277" s="19" t="s">
        <v>275</v>
      </c>
      <c r="B277" s="20">
        <v>50.0</v>
      </c>
      <c r="C277" s="20" t="s">
        <v>4821</v>
      </c>
      <c r="D277" s="7">
        <f>IFERROR(__xludf.DUMMYFUNCTION("GOOGLEFINANCE(A277,""marketcap"")"),6.6802526878E10)</f>
        <v>66802526878</v>
      </c>
    </row>
    <row r="278">
      <c r="A278" s="19" t="s">
        <v>1212</v>
      </c>
      <c r="B278" s="20">
        <v>50.0</v>
      </c>
      <c r="C278" s="20" t="s">
        <v>4822</v>
      </c>
      <c r="D278" s="7">
        <f>IFERROR(__xludf.DUMMYFUNCTION("GOOGLEFINANCE(A278,""marketcap"")"),2.498190205E10)</f>
        <v>24981902050</v>
      </c>
    </row>
    <row r="279">
      <c r="A279" s="19" t="s">
        <v>785</v>
      </c>
      <c r="B279" s="20">
        <v>50.0</v>
      </c>
      <c r="C279" s="20" t="s">
        <v>4823</v>
      </c>
      <c r="D279" s="7">
        <f>IFERROR(__xludf.DUMMYFUNCTION("GOOGLEFINANCE(A279,""marketcap"")"),7.6201173692E10)</f>
        <v>76201173692</v>
      </c>
    </row>
    <row r="280">
      <c r="A280" s="19" t="s">
        <v>55</v>
      </c>
      <c r="B280" s="20">
        <v>50.0</v>
      </c>
      <c r="C280" s="20" t="s">
        <v>4824</v>
      </c>
      <c r="D280" s="7">
        <f>IFERROR(__xludf.DUMMYFUNCTION("GOOGLEFINANCE(A280,""marketcap"")"),1.23975608045E11)</f>
        <v>123975608045</v>
      </c>
    </row>
    <row r="281">
      <c r="A281" s="19" t="s">
        <v>878</v>
      </c>
      <c r="B281" s="20">
        <v>50.0</v>
      </c>
      <c r="C281" s="20" t="s">
        <v>4825</v>
      </c>
      <c r="D281" s="7">
        <f>IFERROR(__xludf.DUMMYFUNCTION("GOOGLEFINANCE(A281,""marketcap"")"),4.1675997323E10)</f>
        <v>41675997323</v>
      </c>
    </row>
    <row r="282">
      <c r="A282" s="19" t="s">
        <v>941</v>
      </c>
      <c r="B282" s="20">
        <v>50.0</v>
      </c>
      <c r="C282" s="20" t="s">
        <v>4826</v>
      </c>
      <c r="D282" s="7">
        <f>IFERROR(__xludf.DUMMYFUNCTION("GOOGLEFINANCE(A282,""marketcap"")"),3.59062730346E11)</f>
        <v>359062730346</v>
      </c>
    </row>
    <row r="283">
      <c r="A283" s="19" t="s">
        <v>868</v>
      </c>
      <c r="B283" s="20">
        <v>50.0</v>
      </c>
      <c r="C283" s="20" t="s">
        <v>4827</v>
      </c>
      <c r="D283" s="7">
        <f>IFERROR(__xludf.DUMMYFUNCTION("GOOGLEFINANCE(A283,""marketcap"")"),1.9045379745E10)</f>
        <v>19045379745</v>
      </c>
    </row>
    <row r="284">
      <c r="A284" s="19" t="s">
        <v>888</v>
      </c>
      <c r="B284" s="20">
        <v>50.0</v>
      </c>
      <c r="C284" s="20" t="s">
        <v>4828</v>
      </c>
      <c r="D284" s="7">
        <f>IFERROR(__xludf.DUMMYFUNCTION("GOOGLEFINANCE(A284,""marketcap"")"),1.5401295345E11)</f>
        <v>154012953450</v>
      </c>
    </row>
    <row r="285">
      <c r="A285" s="19" t="s">
        <v>1393</v>
      </c>
      <c r="B285" s="20">
        <v>50.0</v>
      </c>
      <c r="C285" s="20" t="s">
        <v>4829</v>
      </c>
      <c r="D285" s="7">
        <f>IFERROR(__xludf.DUMMYFUNCTION("GOOGLEFINANCE(A285,""marketcap"")"),8.764116918E9)</f>
        <v>8764116918</v>
      </c>
    </row>
    <row r="286">
      <c r="A286" s="19" t="s">
        <v>472</v>
      </c>
      <c r="B286" s="20">
        <v>50.0</v>
      </c>
      <c r="C286" s="20" t="s">
        <v>4830</v>
      </c>
      <c r="D286" s="7">
        <f>IFERROR(__xludf.DUMMYFUNCTION("GOOGLEFINANCE(A286,""marketcap"")"),1.7668957812E10)</f>
        <v>17668957812</v>
      </c>
    </row>
    <row r="287">
      <c r="A287" s="19" t="s">
        <v>1513</v>
      </c>
      <c r="B287" s="20">
        <v>50.0</v>
      </c>
      <c r="C287" s="20" t="s">
        <v>4831</v>
      </c>
      <c r="D287" s="7">
        <f>IFERROR(__xludf.DUMMYFUNCTION("GOOGLEFINANCE(A287,""marketcap"")"),2.6950263293E10)</f>
        <v>26950263293</v>
      </c>
    </row>
    <row r="288">
      <c r="A288" s="19" t="s">
        <v>1524</v>
      </c>
      <c r="B288" s="20">
        <v>50.0</v>
      </c>
      <c r="C288" s="20" t="s">
        <v>4832</v>
      </c>
      <c r="D288" s="7">
        <f>IFERROR(__xludf.DUMMYFUNCTION("GOOGLEFINANCE(A288,""marketcap"")"),4.1864857732E10)</f>
        <v>41864857732</v>
      </c>
    </row>
    <row r="289">
      <c r="A289" s="19" t="s">
        <v>1437</v>
      </c>
      <c r="B289" s="20">
        <v>50.0</v>
      </c>
      <c r="C289" s="20" t="s">
        <v>4833</v>
      </c>
      <c r="D289" s="7">
        <f>IFERROR(__xludf.DUMMYFUNCTION("GOOGLEFINANCE(A289,""marketcap"")"),2.6573734648E10)</f>
        <v>26573734648</v>
      </c>
    </row>
    <row r="290">
      <c r="A290" s="19" t="s">
        <v>1336</v>
      </c>
      <c r="B290" s="20">
        <v>50.0</v>
      </c>
      <c r="C290" s="20" t="s">
        <v>4834</v>
      </c>
      <c r="D290" s="7">
        <f>IFERROR(__xludf.DUMMYFUNCTION("GOOGLEFINANCE(A290,""marketcap"")"),2.9602615808E10)</f>
        <v>29602615808</v>
      </c>
    </row>
    <row r="291">
      <c r="A291" s="19" t="s">
        <v>911</v>
      </c>
      <c r="B291" s="20">
        <v>50.0</v>
      </c>
      <c r="C291" s="20" t="s">
        <v>4835</v>
      </c>
      <c r="D291" s="7">
        <f>IFERROR(__xludf.DUMMYFUNCTION("GOOGLEFINANCE(A291,""marketcap"")"),1.0759550073E10)</f>
        <v>10759550073</v>
      </c>
    </row>
    <row r="292">
      <c r="A292" s="19" t="s">
        <v>217</v>
      </c>
      <c r="B292" s="20">
        <v>50.0</v>
      </c>
      <c r="C292" s="20" t="s">
        <v>4836</v>
      </c>
      <c r="D292" s="7">
        <f>IFERROR(__xludf.DUMMYFUNCTION("GOOGLEFINANCE(A292,""marketcap"")"),5.4429494169E10)</f>
        <v>54429494169</v>
      </c>
    </row>
    <row r="293">
      <c r="A293" s="19" t="s">
        <v>1391</v>
      </c>
      <c r="B293" s="20">
        <v>50.0</v>
      </c>
      <c r="C293" s="20" t="s">
        <v>4837</v>
      </c>
      <c r="D293" s="7">
        <f>IFERROR(__xludf.DUMMYFUNCTION("GOOGLEFINANCE(A293,""marketcap"")"),1.835092128E10)</f>
        <v>18350921280</v>
      </c>
    </row>
    <row r="294">
      <c r="A294" s="19" t="s">
        <v>1375</v>
      </c>
      <c r="B294" s="20">
        <v>50.0</v>
      </c>
      <c r="C294" s="20" t="s">
        <v>4838</v>
      </c>
      <c r="D294" s="7">
        <f>IFERROR(__xludf.DUMMYFUNCTION("GOOGLEFINANCE(A294,""marketcap"")"),2.4949437728E10)</f>
        <v>24949437728</v>
      </c>
    </row>
    <row r="295">
      <c r="A295" s="19" t="s">
        <v>949</v>
      </c>
      <c r="B295" s="20">
        <v>50.0</v>
      </c>
      <c r="C295" s="20" t="s">
        <v>4839</v>
      </c>
      <c r="D295" s="7">
        <f>IFERROR(__xludf.DUMMYFUNCTION("GOOGLEFINANCE(A295,""marketcap"")"),3.0798E8)</f>
        <v>307980000</v>
      </c>
    </row>
    <row r="296">
      <c r="A296" s="19" t="s">
        <v>1526</v>
      </c>
      <c r="B296" s="20">
        <v>50.0</v>
      </c>
      <c r="C296" s="20" t="s">
        <v>4840</v>
      </c>
      <c r="D296" s="7">
        <f>IFERROR(__xludf.DUMMYFUNCTION("GOOGLEFINANCE(A296,""marketcap"")"),6.8633105002E10)</f>
        <v>68633105002</v>
      </c>
    </row>
    <row r="297">
      <c r="A297" s="19" t="s">
        <v>1187</v>
      </c>
      <c r="B297" s="20">
        <v>50.0</v>
      </c>
      <c r="C297" s="20" t="s">
        <v>4841</v>
      </c>
      <c r="D297" s="7">
        <f>IFERROR(__xludf.DUMMYFUNCTION("GOOGLEFINANCE(A297,""marketcap"")"),2.3387756704E10)</f>
        <v>23387756704</v>
      </c>
    </row>
    <row r="298">
      <c r="A298" s="19" t="s">
        <v>902</v>
      </c>
      <c r="B298" s="20">
        <v>50.0</v>
      </c>
      <c r="C298" s="20" t="s">
        <v>4842</v>
      </c>
      <c r="D298" s="7">
        <f>IFERROR(__xludf.DUMMYFUNCTION("GOOGLEFINANCE(A298,""marketcap"")"),2.8342049818E10)</f>
        <v>28342049818</v>
      </c>
    </row>
    <row r="299">
      <c r="A299" s="19" t="s">
        <v>1131</v>
      </c>
      <c r="B299" s="20">
        <v>50.0</v>
      </c>
      <c r="C299" s="20" t="s">
        <v>4843</v>
      </c>
      <c r="D299" s="7">
        <f>IFERROR(__xludf.DUMMYFUNCTION("GOOGLEFINANCE(A299,""marketcap"")"),4.8177393221E10)</f>
        <v>48177393221</v>
      </c>
    </row>
    <row r="300">
      <c r="A300" s="19" t="s">
        <v>1520</v>
      </c>
      <c r="B300" s="20">
        <v>50.0</v>
      </c>
      <c r="C300" s="20" t="s">
        <v>4844</v>
      </c>
      <c r="D300" s="7">
        <f>IFERROR(__xludf.DUMMYFUNCTION("GOOGLEFINANCE(A300,""marketcap"")"),2.2748746034E10)</f>
        <v>22748746034</v>
      </c>
    </row>
    <row r="301">
      <c r="A301" s="19" t="s">
        <v>945</v>
      </c>
      <c r="B301" s="20">
        <v>50.0</v>
      </c>
      <c r="C301" s="20" t="s">
        <v>4845</v>
      </c>
      <c r="D301" s="7">
        <f>IFERROR(__xludf.DUMMYFUNCTION("GOOGLEFINANCE(A301,""marketcap"")"),1.4254608698E10)</f>
        <v>14254608698</v>
      </c>
    </row>
    <row r="302">
      <c r="A302" s="19" t="s">
        <v>1260</v>
      </c>
      <c r="B302" s="20">
        <v>50.0</v>
      </c>
      <c r="C302" s="20" t="s">
        <v>4846</v>
      </c>
      <c r="D302" s="7" t="str">
        <f>IFERROR(__xludf.DUMMYFUNCTION("GOOGLEFINANCE(A302,""marketcap"")"),"#N/A")</f>
        <v>#N/A</v>
      </c>
    </row>
    <row r="303">
      <c r="A303" s="19" t="s">
        <v>1528</v>
      </c>
      <c r="B303" s="20">
        <v>50.0</v>
      </c>
      <c r="C303" s="20" t="s">
        <v>4847</v>
      </c>
      <c r="D303" s="7">
        <f>IFERROR(__xludf.DUMMYFUNCTION("GOOGLEFINANCE(A303,""marketcap"")"),1.2753325635E10)</f>
        <v>12753325635</v>
      </c>
    </row>
    <row r="304">
      <c r="A304" s="19" t="s">
        <v>1047</v>
      </c>
      <c r="B304" s="20">
        <v>50.0</v>
      </c>
      <c r="C304" s="20" t="s">
        <v>4848</v>
      </c>
      <c r="D304" s="7">
        <f>IFERROR(__xludf.DUMMYFUNCTION("GOOGLEFINANCE(A304,""marketcap"")"),2.247520256E10)</f>
        <v>22475202560</v>
      </c>
    </row>
    <row r="305">
      <c r="A305" s="19" t="s">
        <v>197</v>
      </c>
      <c r="B305" s="20">
        <v>50.0</v>
      </c>
      <c r="C305" s="20" t="s">
        <v>4849</v>
      </c>
      <c r="D305" s="7">
        <f>IFERROR(__xludf.DUMMYFUNCTION("GOOGLEFINANCE(A305,""marketcap"")"),1.21142018487E11)</f>
        <v>121142018487</v>
      </c>
    </row>
    <row r="306">
      <c r="A306" s="19" t="s">
        <v>342</v>
      </c>
      <c r="B306" s="20">
        <v>50.0</v>
      </c>
      <c r="C306" s="20" t="s">
        <v>4850</v>
      </c>
      <c r="D306" s="7">
        <f>IFERROR(__xludf.DUMMYFUNCTION("GOOGLEFINANCE(A306,""marketcap"")"),1.15535193743E11)</f>
        <v>115535193743</v>
      </c>
    </row>
    <row r="307">
      <c r="A307" s="19" t="s">
        <v>1464</v>
      </c>
      <c r="B307" s="20">
        <v>50.0</v>
      </c>
      <c r="C307" s="20" t="s">
        <v>4851</v>
      </c>
      <c r="D307" s="7">
        <f>IFERROR(__xludf.DUMMYFUNCTION("GOOGLEFINANCE(A307,""marketcap"")"),3.9488519866E10)</f>
        <v>39488519866</v>
      </c>
    </row>
    <row r="308">
      <c r="A308" s="19" t="s">
        <v>510</v>
      </c>
      <c r="B308" s="20">
        <v>50.0</v>
      </c>
      <c r="C308" s="20" t="s">
        <v>4852</v>
      </c>
      <c r="D308" s="7">
        <f>IFERROR(__xludf.DUMMYFUNCTION("GOOGLEFINANCE(A308,""marketcap"")"),1.34336733576E11)</f>
        <v>134336733576</v>
      </c>
    </row>
    <row r="309">
      <c r="A309" s="19" t="s">
        <v>947</v>
      </c>
      <c r="B309" s="20">
        <v>50.0</v>
      </c>
      <c r="C309" s="20" t="s">
        <v>4853</v>
      </c>
      <c r="D309" s="7">
        <f>IFERROR(__xludf.DUMMYFUNCTION("GOOGLEFINANCE(A309,""marketcap"")"),5.93050795E8)</f>
        <v>593050795</v>
      </c>
    </row>
    <row r="310">
      <c r="A310" s="19" t="s">
        <v>57</v>
      </c>
      <c r="B310" s="20">
        <v>50.0</v>
      </c>
      <c r="C310" s="20" t="s">
        <v>4854</v>
      </c>
      <c r="D310" s="7">
        <f>IFERROR(__xludf.DUMMYFUNCTION("GOOGLEFINANCE(A310,""marketcap"")"),4.47552195726E11)</f>
        <v>447552195726</v>
      </c>
    </row>
    <row r="311">
      <c r="A311" s="19" t="s">
        <v>1329</v>
      </c>
      <c r="B311" s="20">
        <v>50.0</v>
      </c>
      <c r="C311" s="20" t="s">
        <v>4855</v>
      </c>
      <c r="D311" s="7">
        <f>IFERROR(__xludf.DUMMYFUNCTION("GOOGLEFINANCE(A311,""marketcap"")"),1.3381813198E10)</f>
        <v>13381813198</v>
      </c>
    </row>
    <row r="312">
      <c r="A312" s="19" t="s">
        <v>1522</v>
      </c>
      <c r="B312" s="20">
        <v>50.0</v>
      </c>
      <c r="C312" s="20" t="s">
        <v>4856</v>
      </c>
      <c r="D312" s="7">
        <f>IFERROR(__xludf.DUMMYFUNCTION("GOOGLEFINANCE(A312,""marketcap"")"),5.4261364763E10)</f>
        <v>54261364763</v>
      </c>
    </row>
    <row r="313">
      <c r="A313" s="19" t="s">
        <v>295</v>
      </c>
      <c r="B313" s="20">
        <v>50.0</v>
      </c>
      <c r="C313" s="20" t="s">
        <v>4857</v>
      </c>
      <c r="D313" s="7">
        <f>IFERROR(__xludf.DUMMYFUNCTION("GOOGLEFINANCE(A313,""marketcap"")"),1.55268487585E11)</f>
        <v>155268487585</v>
      </c>
    </row>
    <row r="314">
      <c r="A314" s="19" t="s">
        <v>890</v>
      </c>
      <c r="B314" s="20">
        <v>50.0</v>
      </c>
      <c r="C314" s="20" t="s">
        <v>4858</v>
      </c>
      <c r="D314" s="7">
        <f>IFERROR(__xludf.DUMMYFUNCTION("GOOGLEFINANCE(A314,""marketcap"")"),2.8560396544E10)</f>
        <v>28560396544</v>
      </c>
    </row>
    <row r="315">
      <c r="A315" s="19" t="s">
        <v>896</v>
      </c>
      <c r="B315" s="20">
        <v>50.0</v>
      </c>
      <c r="C315" s="20" t="s">
        <v>4859</v>
      </c>
      <c r="D315" s="7">
        <f>IFERROR(__xludf.DUMMYFUNCTION("GOOGLEFINANCE(A315,""marketcap"")"),7.571665E9)</f>
        <v>7571665000</v>
      </c>
    </row>
    <row r="316">
      <c r="A316" s="19" t="s">
        <v>4860</v>
      </c>
      <c r="B316" s="20">
        <v>50.0</v>
      </c>
      <c r="C316" s="20" t="s">
        <v>4861</v>
      </c>
      <c r="D316" s="7">
        <f>IFERROR(__xludf.DUMMYFUNCTION("GOOGLEFINANCE(A316,""marketcap"")"),6.82574554E9)</f>
        <v>6825745540</v>
      </c>
    </row>
    <row r="317">
      <c r="A317" s="19" t="s">
        <v>829</v>
      </c>
      <c r="B317" s="20">
        <v>50.0</v>
      </c>
      <c r="C317" s="20" t="s">
        <v>4862</v>
      </c>
      <c r="D317" s="7">
        <f>IFERROR(__xludf.DUMMYFUNCTION("GOOGLEFINANCE(A317,""marketcap"")"),5.3296646379E10)</f>
        <v>53296646379</v>
      </c>
    </row>
    <row r="318">
      <c r="A318" s="19" t="s">
        <v>1149</v>
      </c>
      <c r="B318" s="20">
        <v>50.0</v>
      </c>
      <c r="C318" s="20" t="s">
        <v>4863</v>
      </c>
      <c r="D318" s="7">
        <f>IFERROR(__xludf.DUMMYFUNCTION("GOOGLEFINANCE(A318,""marketcap"")"),5.688556905E10)</f>
        <v>56885569050</v>
      </c>
    </row>
    <row r="319">
      <c r="A319" s="19" t="s">
        <v>1350</v>
      </c>
      <c r="B319" s="20">
        <v>50.0</v>
      </c>
      <c r="C319" s="20" t="s">
        <v>4864</v>
      </c>
      <c r="D319" s="7">
        <f>IFERROR(__xludf.DUMMYFUNCTION("GOOGLEFINANCE(A319,""marketcap"")"),6.0188892449E10)</f>
        <v>60188892449</v>
      </c>
    </row>
    <row r="320">
      <c r="A320" s="19" t="s">
        <v>355</v>
      </c>
      <c r="B320" s="20">
        <v>50.0</v>
      </c>
      <c r="C320" s="20" t="s">
        <v>4865</v>
      </c>
      <c r="D320" s="7">
        <f>IFERROR(__xludf.DUMMYFUNCTION("GOOGLEFINANCE(A320,""marketcap"")"),2.8787995025E10)</f>
        <v>28787995025</v>
      </c>
    </row>
    <row r="321">
      <c r="A321" s="19" t="s">
        <v>1445</v>
      </c>
      <c r="B321" s="20">
        <v>50.0</v>
      </c>
      <c r="C321" s="20" t="s">
        <v>4866</v>
      </c>
      <c r="D321" s="7">
        <f>IFERROR(__xludf.DUMMYFUNCTION("GOOGLEFINANCE(A321,""marketcap"")"),5.889951354E9)</f>
        <v>5889951354</v>
      </c>
    </row>
    <row r="322">
      <c r="A322" s="19" t="s">
        <v>1624</v>
      </c>
      <c r="B322" s="20">
        <v>50.0</v>
      </c>
      <c r="C322" s="20" t="s">
        <v>4867</v>
      </c>
      <c r="D322" s="7">
        <f>IFERROR(__xludf.DUMMYFUNCTION("GOOGLEFINANCE(A322,""marketcap"")"),5.6319149597E10)</f>
        <v>56319149597</v>
      </c>
    </row>
    <row r="323">
      <c r="A323" s="19" t="s">
        <v>124</v>
      </c>
      <c r="B323" s="20">
        <v>50.0</v>
      </c>
      <c r="C323" s="20" t="s">
        <v>4868</v>
      </c>
      <c r="D323" s="7">
        <f>IFERROR(__xludf.DUMMYFUNCTION("GOOGLEFINANCE(A323,""marketcap"")"),3.232065132E10)</f>
        <v>32320651320</v>
      </c>
    </row>
    <row r="324">
      <c r="A324" s="19" t="s">
        <v>1006</v>
      </c>
      <c r="B324" s="20">
        <v>50.0</v>
      </c>
      <c r="C324" s="20" t="s">
        <v>4869</v>
      </c>
      <c r="D324" s="7">
        <f>IFERROR(__xludf.DUMMYFUNCTION("GOOGLEFINANCE(A324,""marketcap"")"),1.57126194756E11)</f>
        <v>157126194756</v>
      </c>
    </row>
    <row r="325">
      <c r="A325" s="19" t="s">
        <v>1630</v>
      </c>
      <c r="B325" s="20">
        <v>50.0</v>
      </c>
      <c r="C325" s="20" t="s">
        <v>4870</v>
      </c>
      <c r="D325" s="7">
        <f>IFERROR(__xludf.DUMMYFUNCTION("GOOGLEFINANCE(A325,""marketcap"")"),2.2720244608E10)</f>
        <v>22720244608</v>
      </c>
    </row>
    <row r="326">
      <c r="A326" s="19" t="s">
        <v>1258</v>
      </c>
      <c r="B326" s="20">
        <v>50.0</v>
      </c>
      <c r="C326" s="20" t="s">
        <v>4871</v>
      </c>
      <c r="D326" s="7">
        <f>IFERROR(__xludf.DUMMYFUNCTION("GOOGLEFINANCE(A326,""marketcap"")"),2.7291952338E10)</f>
        <v>27291952338</v>
      </c>
    </row>
    <row r="327">
      <c r="A327" s="19" t="s">
        <v>1023</v>
      </c>
      <c r="B327" s="20">
        <v>50.0</v>
      </c>
      <c r="C327" s="20" t="s">
        <v>4872</v>
      </c>
      <c r="D327" s="7">
        <f>IFERROR(__xludf.DUMMYFUNCTION("GOOGLEFINANCE(A327,""marketcap"")"),2.4078600566E10)</f>
        <v>24078600566</v>
      </c>
    </row>
    <row r="328">
      <c r="A328" s="19" t="s">
        <v>841</v>
      </c>
      <c r="B328" s="20">
        <v>50.0</v>
      </c>
      <c r="C328" s="20" t="s">
        <v>4873</v>
      </c>
      <c r="D328" s="7">
        <f>IFERROR(__xludf.DUMMYFUNCTION("GOOGLEFINANCE(A328,""marketcap"")"),1.3686710354E10)</f>
        <v>13686710354</v>
      </c>
    </row>
    <row r="329">
      <c r="A329" s="19" t="s">
        <v>1252</v>
      </c>
      <c r="B329" s="20">
        <v>50.0</v>
      </c>
      <c r="C329" s="20" t="s">
        <v>4874</v>
      </c>
      <c r="D329" s="7">
        <f>IFERROR(__xludf.DUMMYFUNCTION("GOOGLEFINANCE(A329,""marketcap"")"),6.118511845E10)</f>
        <v>61185118450</v>
      </c>
    </row>
    <row r="330">
      <c r="A330" s="19" t="s">
        <v>1210</v>
      </c>
      <c r="B330" s="20">
        <v>50.0</v>
      </c>
      <c r="C330" s="20" t="s">
        <v>4875</v>
      </c>
      <c r="D330" s="7">
        <f>IFERROR(__xludf.DUMMYFUNCTION("GOOGLEFINANCE(A330,""marketcap"")"),1.4173179022E10)</f>
        <v>14173179022</v>
      </c>
    </row>
    <row r="331">
      <c r="A331" s="19" t="s">
        <v>766</v>
      </c>
      <c r="B331" s="20">
        <v>50.0</v>
      </c>
      <c r="C331" s="20" t="s">
        <v>4876</v>
      </c>
      <c r="D331" s="7">
        <f>IFERROR(__xludf.DUMMYFUNCTION("GOOGLEFINANCE(A331,""marketcap"")"),6.3376598401E10)</f>
        <v>63376598401</v>
      </c>
    </row>
    <row r="332">
      <c r="A332" s="19" t="s">
        <v>825</v>
      </c>
      <c r="B332" s="20">
        <v>50.0</v>
      </c>
      <c r="C332" s="20" t="s">
        <v>4877</v>
      </c>
      <c r="D332" s="7">
        <f>IFERROR(__xludf.DUMMYFUNCTION("GOOGLEFINANCE(A332,""marketcap"")"),6.7963771928E10)</f>
        <v>67963771928</v>
      </c>
    </row>
    <row r="333">
      <c r="A333" s="19" t="s">
        <v>1081</v>
      </c>
      <c r="B333" s="20">
        <v>50.0</v>
      </c>
      <c r="C333" s="20" t="s">
        <v>4878</v>
      </c>
      <c r="D333" s="7">
        <f>IFERROR(__xludf.DUMMYFUNCTION("GOOGLEFINANCE(A333,""marketcap"")"),1.03049445403E11)</f>
        <v>103049445403</v>
      </c>
    </row>
    <row r="334">
      <c r="A334" s="19" t="s">
        <v>1402</v>
      </c>
      <c r="B334" s="20">
        <v>50.0</v>
      </c>
      <c r="C334" s="20" t="s">
        <v>4879</v>
      </c>
      <c r="D334" s="7">
        <f>IFERROR(__xludf.DUMMYFUNCTION("GOOGLEFINANCE(A334,""marketcap"")"),1.607438E10)</f>
        <v>16074380000</v>
      </c>
    </row>
    <row r="335">
      <c r="A335" s="19" t="s">
        <v>898</v>
      </c>
      <c r="B335" s="20">
        <v>50.0</v>
      </c>
      <c r="C335" s="20" t="s">
        <v>4880</v>
      </c>
      <c r="D335" s="7">
        <f>IFERROR(__xludf.DUMMYFUNCTION("GOOGLEFINANCE(A335,""marketcap"")"),1.69587635714E11)</f>
        <v>169587635714</v>
      </c>
    </row>
    <row r="336">
      <c r="A336" s="19" t="s">
        <v>126</v>
      </c>
      <c r="B336" s="20">
        <v>50.0</v>
      </c>
      <c r="C336" s="20" t="s">
        <v>4881</v>
      </c>
      <c r="D336" s="7">
        <f>IFERROR(__xludf.DUMMYFUNCTION("GOOGLEFINANCE(A336,""marketcap"")"),1.72803951E11)</f>
        <v>172803951000</v>
      </c>
    </row>
    <row r="337">
      <c r="A337" s="19" t="s">
        <v>89</v>
      </c>
      <c r="B337" s="20">
        <v>50.0</v>
      </c>
      <c r="C337" s="20" t="s">
        <v>4882</v>
      </c>
      <c r="D337" s="7">
        <f>IFERROR(__xludf.DUMMYFUNCTION("GOOGLEFINANCE(A337,""marketcap"")"),1.582562916E10)</f>
        <v>15825629160</v>
      </c>
    </row>
    <row r="338">
      <c r="A338" s="19" t="s">
        <v>1325</v>
      </c>
      <c r="B338" s="20">
        <v>50.0</v>
      </c>
      <c r="C338" s="20" t="s">
        <v>4883</v>
      </c>
      <c r="D338" s="7">
        <f>IFERROR(__xludf.DUMMYFUNCTION("GOOGLEFINANCE(A338,""marketcap"")"),2.619247E11)</f>
        <v>261924700000</v>
      </c>
    </row>
    <row r="339">
      <c r="A339" s="19" t="s">
        <v>1387</v>
      </c>
      <c r="B339" s="20">
        <v>50.0</v>
      </c>
      <c r="C339" s="20" t="s">
        <v>4884</v>
      </c>
      <c r="D339" s="7">
        <f>IFERROR(__xludf.DUMMYFUNCTION("GOOGLEFINANCE(A339,""marketcap"")"),1.1992631055E10)</f>
        <v>11992631055</v>
      </c>
    </row>
    <row r="340">
      <c r="A340" s="19" t="s">
        <v>51</v>
      </c>
      <c r="B340" s="20">
        <v>50.0</v>
      </c>
      <c r="C340" s="20" t="s">
        <v>4885</v>
      </c>
      <c r="D340" s="7">
        <f>IFERROR(__xludf.DUMMYFUNCTION("GOOGLEFINANCE(A340,""marketcap"")"),2.7632879667E10)</f>
        <v>27632879667</v>
      </c>
    </row>
    <row r="341">
      <c r="A341" s="19" t="s">
        <v>147</v>
      </c>
      <c r="B341" s="20">
        <v>50.0</v>
      </c>
      <c r="C341" s="20" t="s">
        <v>4886</v>
      </c>
      <c r="D341" s="7">
        <f>IFERROR(__xludf.DUMMYFUNCTION("GOOGLEFINANCE(A341,""marketcap"")"),1.1539140144E10)</f>
        <v>11539140144</v>
      </c>
    </row>
    <row r="342">
      <c r="A342" s="19" t="s">
        <v>1458</v>
      </c>
      <c r="B342" s="20">
        <v>50.0</v>
      </c>
      <c r="C342" s="20" t="s">
        <v>4887</v>
      </c>
      <c r="D342" s="7">
        <f>IFERROR(__xludf.DUMMYFUNCTION("GOOGLEFINANCE(A342,""marketcap"")"),6.269404924E9)</f>
        <v>6269404924</v>
      </c>
    </row>
    <row r="343">
      <c r="A343" s="19" t="s">
        <v>1365</v>
      </c>
      <c r="B343" s="20">
        <v>50.0</v>
      </c>
      <c r="C343" s="20" t="s">
        <v>4888</v>
      </c>
      <c r="D343" s="7">
        <f>IFERROR(__xludf.DUMMYFUNCTION("GOOGLEFINANCE(A343,""marketcap"")"),1.3387278902E10)</f>
        <v>13387278902</v>
      </c>
    </row>
    <row r="344">
      <c r="A344" s="19" t="s">
        <v>1161</v>
      </c>
      <c r="B344" s="20">
        <v>50.0</v>
      </c>
      <c r="C344" s="20" t="s">
        <v>4889</v>
      </c>
      <c r="D344" s="7">
        <f>IFERROR(__xludf.DUMMYFUNCTION("GOOGLEFINANCE(A344,""marketcap"")"),4.2847838981E10)</f>
        <v>42847838981</v>
      </c>
    </row>
    <row r="345">
      <c r="A345" s="19" t="s">
        <v>1367</v>
      </c>
      <c r="B345" s="20">
        <v>50.0</v>
      </c>
      <c r="C345" s="20" t="s">
        <v>4890</v>
      </c>
      <c r="D345" s="7">
        <f>IFERROR(__xludf.DUMMYFUNCTION("GOOGLEFINANCE(A345,""marketcap"")"),3.6478093416E10)</f>
        <v>36478093416</v>
      </c>
    </row>
    <row r="346">
      <c r="A346" s="19" t="s">
        <v>3236</v>
      </c>
      <c r="B346" s="20">
        <v>50.0</v>
      </c>
      <c r="C346" s="20" t="s">
        <v>4891</v>
      </c>
      <c r="D346" s="7" t="str">
        <f>IFERROR(__xludf.DUMMYFUNCTION("GOOGLEFINANCE(A346,""marketcap"")"),"#N/A")</f>
        <v>#N/A</v>
      </c>
    </row>
    <row r="347">
      <c r="A347" s="19" t="s">
        <v>1508</v>
      </c>
      <c r="B347" s="20">
        <v>50.0</v>
      </c>
      <c r="C347" s="20" t="s">
        <v>4892</v>
      </c>
      <c r="D347" s="7">
        <f>IFERROR(__xludf.DUMMYFUNCTION("GOOGLEFINANCE(A347,""marketcap"")"),5.5507689652E10)</f>
        <v>55507689652</v>
      </c>
    </row>
    <row r="348">
      <c r="A348" s="19" t="s">
        <v>423</v>
      </c>
      <c r="B348" s="20">
        <v>50.0</v>
      </c>
      <c r="C348" s="20" t="s">
        <v>4893</v>
      </c>
      <c r="D348" s="7">
        <f>IFERROR(__xludf.DUMMYFUNCTION("GOOGLEFINANCE(A348,""marketcap"")"),3.268481896E10)</f>
        <v>32684818960</v>
      </c>
    </row>
    <row r="349">
      <c r="A349" s="19" t="s">
        <v>1309</v>
      </c>
      <c r="B349" s="20">
        <v>50.0</v>
      </c>
      <c r="C349" s="20" t="s">
        <v>4894</v>
      </c>
      <c r="D349" s="7">
        <f>IFERROR(__xludf.DUMMYFUNCTION("GOOGLEFINANCE(A349,""marketcap"")"),5.721047059E9)</f>
        <v>5721047059</v>
      </c>
    </row>
    <row r="350">
      <c r="A350" s="19" t="s">
        <v>1032</v>
      </c>
      <c r="B350" s="20">
        <v>50.0</v>
      </c>
      <c r="C350" s="20" t="s">
        <v>4895</v>
      </c>
      <c r="D350" s="7">
        <f>IFERROR(__xludf.DUMMYFUNCTION("GOOGLEFINANCE(A350,""marketcap"")"),4.301189374E10)</f>
        <v>43011893740</v>
      </c>
    </row>
    <row r="351">
      <c r="A351" s="19" t="s">
        <v>1400</v>
      </c>
      <c r="B351" s="20">
        <v>50.0</v>
      </c>
      <c r="C351" s="20" t="s">
        <v>4896</v>
      </c>
      <c r="D351" s="7">
        <f>IFERROR(__xludf.DUMMYFUNCTION("GOOGLEFINANCE(A351,""marketcap"")"),1.0430928931E10)</f>
        <v>10430928931</v>
      </c>
    </row>
    <row r="352">
      <c r="A352" s="19" t="s">
        <v>274</v>
      </c>
      <c r="B352" s="20">
        <v>50.0</v>
      </c>
      <c r="C352" s="20" t="s">
        <v>4897</v>
      </c>
      <c r="D352" s="7">
        <f>IFERROR(__xludf.DUMMYFUNCTION("GOOGLEFINANCE(A352,""marketcap"")"),1.48167662151E11)</f>
        <v>148167662151</v>
      </c>
    </row>
    <row r="353">
      <c r="A353" s="19" t="s">
        <v>250</v>
      </c>
      <c r="B353" s="20">
        <v>50.0</v>
      </c>
      <c r="C353" s="20" t="s">
        <v>4898</v>
      </c>
      <c r="D353" s="7">
        <f>IFERROR(__xludf.DUMMYFUNCTION("GOOGLEFINANCE(A353,""marketcap"")"),1.00038430296E11)</f>
        <v>100038430296</v>
      </c>
    </row>
    <row r="354">
      <c r="A354" s="19" t="s">
        <v>1354</v>
      </c>
      <c r="B354" s="20">
        <v>50.0</v>
      </c>
      <c r="C354" s="20" t="s">
        <v>4899</v>
      </c>
      <c r="D354" s="7">
        <f>IFERROR(__xludf.DUMMYFUNCTION("GOOGLEFINANCE(A354,""marketcap"")"),2.0202253398E10)</f>
        <v>20202253398</v>
      </c>
    </row>
    <row r="355">
      <c r="A355" s="19" t="s">
        <v>1243</v>
      </c>
      <c r="B355" s="20">
        <v>50.0</v>
      </c>
      <c r="C355" s="20" t="s">
        <v>4900</v>
      </c>
      <c r="D355" s="7">
        <f>IFERROR(__xludf.DUMMYFUNCTION("GOOGLEFINANCE(A355,""marketcap"")"),9.430108785E9)</f>
        <v>9430108785</v>
      </c>
    </row>
    <row r="356">
      <c r="A356" s="19" t="s">
        <v>1019</v>
      </c>
      <c r="B356" s="20">
        <v>50.0</v>
      </c>
      <c r="C356" s="20" t="s">
        <v>4901</v>
      </c>
      <c r="D356" s="7">
        <f>IFERROR(__xludf.DUMMYFUNCTION("GOOGLEFINANCE(A356,""marketcap"")"),2.4240621887E10)</f>
        <v>24240621887</v>
      </c>
    </row>
    <row r="357">
      <c r="A357" s="19" t="s">
        <v>1157</v>
      </c>
      <c r="B357" s="20">
        <v>50.0</v>
      </c>
      <c r="C357" s="20" t="s">
        <v>4902</v>
      </c>
      <c r="D357" s="7">
        <f>IFERROR(__xludf.DUMMYFUNCTION("GOOGLEFINANCE(A357,""marketcap"")"),8.325128684E9)</f>
        <v>8325128684</v>
      </c>
    </row>
    <row r="358">
      <c r="A358" s="19" t="s">
        <v>1452</v>
      </c>
      <c r="B358" s="20">
        <v>50.0</v>
      </c>
      <c r="C358" s="20" t="s">
        <v>4903</v>
      </c>
      <c r="D358" s="7">
        <f>IFERROR(__xludf.DUMMYFUNCTION("GOOGLEFINANCE(A358,""marketcap"")"),1.2836553085E10)</f>
        <v>12836553085</v>
      </c>
    </row>
    <row r="359">
      <c r="A359" s="19" t="s">
        <v>185</v>
      </c>
      <c r="B359" s="20">
        <v>50.0</v>
      </c>
      <c r="C359" s="20" t="s">
        <v>4904</v>
      </c>
      <c r="D359" s="7">
        <f>IFERROR(__xludf.DUMMYFUNCTION("GOOGLEFINANCE(A359,""marketcap"")"),2.03590724E12)</f>
        <v>2035907240000</v>
      </c>
    </row>
    <row r="360">
      <c r="A360" s="19" t="s">
        <v>296</v>
      </c>
      <c r="B360" s="20">
        <v>50.0</v>
      </c>
      <c r="C360" s="20" t="s">
        <v>4905</v>
      </c>
      <c r="D360" s="7">
        <f>IFERROR(__xludf.DUMMYFUNCTION("GOOGLEFINANCE(A360,""marketcap"")"),1.14682707048E11)</f>
        <v>114682707048</v>
      </c>
    </row>
    <row r="361">
      <c r="A361" s="19" t="s">
        <v>614</v>
      </c>
      <c r="B361" s="20">
        <v>50.0</v>
      </c>
      <c r="C361" s="20" t="s">
        <v>4906</v>
      </c>
      <c r="D361" s="7">
        <f>IFERROR(__xludf.DUMMYFUNCTION("GOOGLEFINANCE(A361,""marketcap"")"),8.0159125603E10)</f>
        <v>80159125603</v>
      </c>
    </row>
    <row r="362">
      <c r="A362" s="19" t="s">
        <v>1181</v>
      </c>
      <c r="B362" s="20">
        <v>50.0</v>
      </c>
      <c r="C362" s="20" t="s">
        <v>4907</v>
      </c>
      <c r="D362" s="7">
        <f>IFERROR(__xludf.DUMMYFUNCTION("GOOGLEFINANCE(A362,""marketcap"")"),1.2577645605E10)</f>
        <v>12577645605</v>
      </c>
    </row>
    <row r="363">
      <c r="A363" s="19" t="s">
        <v>264</v>
      </c>
      <c r="B363" s="20">
        <v>50.0</v>
      </c>
      <c r="C363" s="20" t="s">
        <v>4908</v>
      </c>
      <c r="D363" s="7">
        <f>IFERROR(__xludf.DUMMYFUNCTION("GOOGLEFINANCE(A363,""marketcap"")"),1.28575583829E11)</f>
        <v>128575583829</v>
      </c>
    </row>
    <row r="364">
      <c r="A364" s="19" t="s">
        <v>1429</v>
      </c>
      <c r="B364" s="20">
        <v>50.0</v>
      </c>
      <c r="C364" s="20" t="s">
        <v>4909</v>
      </c>
      <c r="D364" s="7">
        <f>IFERROR(__xludf.DUMMYFUNCTION("GOOGLEFINANCE(A364,""marketcap"")"),1.87111434409E11)</f>
        <v>187111434409</v>
      </c>
    </row>
    <row r="365">
      <c r="A365" s="19" t="s">
        <v>1406</v>
      </c>
      <c r="B365" s="20">
        <v>50.0</v>
      </c>
      <c r="C365" s="20" t="s">
        <v>4910</v>
      </c>
      <c r="D365" s="7">
        <f>IFERROR(__xludf.DUMMYFUNCTION("GOOGLEFINANCE(A365,""marketcap"")"),5.711100462E9)</f>
        <v>5711100462</v>
      </c>
    </row>
    <row r="366">
      <c r="A366" s="19" t="s">
        <v>99</v>
      </c>
      <c r="B366" s="20">
        <v>50.0</v>
      </c>
      <c r="C366" s="20" t="s">
        <v>4911</v>
      </c>
      <c r="D366" s="7">
        <f>IFERROR(__xludf.DUMMYFUNCTION("GOOGLEFINANCE(A366,""marketcap"")"),2.15948064341E11)</f>
        <v>215948064341</v>
      </c>
    </row>
    <row r="367">
      <c r="A367" s="19" t="s">
        <v>101</v>
      </c>
      <c r="B367" s="20">
        <v>50.0</v>
      </c>
      <c r="C367" s="20" t="s">
        <v>4912</v>
      </c>
      <c r="D367" s="7">
        <f>IFERROR(__xludf.DUMMYFUNCTION("GOOGLEFINANCE(A367,""marketcap"")"),1.2462709723E10)</f>
        <v>12462709723</v>
      </c>
    </row>
    <row r="368">
      <c r="A368" s="19" t="s">
        <v>1107</v>
      </c>
      <c r="B368" s="20">
        <v>50.0</v>
      </c>
      <c r="C368" s="20" t="s">
        <v>4913</v>
      </c>
      <c r="D368" s="7">
        <f>IFERROR(__xludf.DUMMYFUNCTION("GOOGLEFINANCE(A368,""marketcap"")"),3.2677337301E10)</f>
        <v>32677337301</v>
      </c>
    </row>
    <row r="369">
      <c r="A369" s="19" t="s">
        <v>1098</v>
      </c>
      <c r="B369" s="20">
        <v>50.0</v>
      </c>
      <c r="C369" s="20" t="s">
        <v>4914</v>
      </c>
      <c r="D369" s="7">
        <f>IFERROR(__xludf.DUMMYFUNCTION("GOOGLEFINANCE(A369,""marketcap"")"),3.3012109014E10)</f>
        <v>33012109014</v>
      </c>
    </row>
    <row r="370">
      <c r="A370" s="19" t="s">
        <v>1104</v>
      </c>
      <c r="B370" s="20">
        <v>50.0</v>
      </c>
      <c r="C370" s="20" t="s">
        <v>4915</v>
      </c>
      <c r="D370" s="7">
        <f>IFERROR(__xludf.DUMMYFUNCTION("GOOGLEFINANCE(A370,""marketcap"")"),2.6028798357E10)</f>
        <v>26028798357</v>
      </c>
    </row>
    <row r="371">
      <c r="A371" s="19" t="s">
        <v>1100</v>
      </c>
      <c r="B371" s="20">
        <v>50.0</v>
      </c>
      <c r="C371" s="20" t="s">
        <v>4916</v>
      </c>
      <c r="D371" s="7">
        <f>IFERROR(__xludf.DUMMYFUNCTION("GOOGLEFINANCE(A371,""marketcap"")"),2.0741998815E10)</f>
        <v>20741998815</v>
      </c>
    </row>
    <row r="372">
      <c r="A372" s="19" t="s">
        <v>1555</v>
      </c>
      <c r="B372" s="20">
        <v>50.0</v>
      </c>
      <c r="C372" s="20" t="s">
        <v>4917</v>
      </c>
      <c r="D372" s="7">
        <f>IFERROR(__xludf.DUMMYFUNCTION("GOOGLEFINANCE(A372,""marketcap"")"),1.08417070637E11)</f>
        <v>108417070637</v>
      </c>
    </row>
    <row r="373">
      <c r="A373" s="19" t="s">
        <v>1293</v>
      </c>
      <c r="B373" s="20">
        <v>50.0</v>
      </c>
      <c r="C373" s="20" t="s">
        <v>4918</v>
      </c>
      <c r="D373" s="7">
        <f>IFERROR(__xludf.DUMMYFUNCTION("GOOGLEFINANCE(A373,""marketcap"")"),1.5252718859E10)</f>
        <v>15252718859</v>
      </c>
    </row>
    <row r="374">
      <c r="A374" s="19" t="s">
        <v>1433</v>
      </c>
      <c r="B374" s="20">
        <v>50.0</v>
      </c>
      <c r="C374" s="20" t="s">
        <v>4919</v>
      </c>
      <c r="D374" s="7">
        <f>IFERROR(__xludf.DUMMYFUNCTION("GOOGLEFINANCE(A374,""marketcap"")"),1.1247811385E10)</f>
        <v>11247811385</v>
      </c>
    </row>
    <row r="375">
      <c r="A375" s="19" t="s">
        <v>1053</v>
      </c>
      <c r="B375" s="20">
        <v>50.0</v>
      </c>
      <c r="C375" s="20" t="s">
        <v>4920</v>
      </c>
      <c r="D375" s="7">
        <f>IFERROR(__xludf.DUMMYFUNCTION("GOOGLEFINANCE(A375,""marketcap"")"),3.16189005523E11)</f>
        <v>316189005523</v>
      </c>
    </row>
    <row r="376">
      <c r="A376" s="19" t="s">
        <v>61</v>
      </c>
      <c r="B376" s="20">
        <v>50.0</v>
      </c>
      <c r="C376" s="20" t="s">
        <v>4921</v>
      </c>
      <c r="D376" s="7">
        <f>IFERROR(__xludf.DUMMYFUNCTION("GOOGLEFINANCE(A376,""marketcap"")"),1.6968845325E10)</f>
        <v>16968845325</v>
      </c>
    </row>
    <row r="377">
      <c r="A377" s="19" t="s">
        <v>1279</v>
      </c>
      <c r="B377" s="20">
        <v>50.0</v>
      </c>
      <c r="C377" s="20" t="s">
        <v>4922</v>
      </c>
      <c r="D377" s="7">
        <f>IFERROR(__xludf.DUMMYFUNCTION("GOOGLEFINANCE(A377,""marketcap"")"),7.2114428196E10)</f>
        <v>72114428196</v>
      </c>
    </row>
    <row r="378">
      <c r="A378" s="19" t="s">
        <v>1191</v>
      </c>
      <c r="B378" s="20">
        <v>50.0</v>
      </c>
      <c r="C378" s="20" t="s">
        <v>4923</v>
      </c>
      <c r="D378" s="7">
        <f>IFERROR(__xludf.DUMMYFUNCTION("GOOGLEFINANCE(A378,""marketcap"")"),2.9248780249E10)</f>
        <v>29248780249</v>
      </c>
    </row>
    <row r="379">
      <c r="A379" s="19" t="s">
        <v>1008</v>
      </c>
      <c r="B379" s="20">
        <v>50.0</v>
      </c>
      <c r="C379" s="20" t="s">
        <v>4924</v>
      </c>
      <c r="D379" s="7" t="str">
        <f>IFERROR(__xludf.DUMMYFUNCTION("GOOGLEFINANCE(A379,""marketcap"")"),"#N/A")</f>
        <v>#N/A</v>
      </c>
    </row>
    <row r="380">
      <c r="A380" s="19" t="s">
        <v>1102</v>
      </c>
      <c r="B380" s="20">
        <v>50.0</v>
      </c>
      <c r="C380" s="20" t="s">
        <v>4925</v>
      </c>
      <c r="D380" s="7">
        <f>IFERROR(__xludf.DUMMYFUNCTION("GOOGLEFINANCE(A380,""marketcap"")"),3.7716683697E10)</f>
        <v>37716683697</v>
      </c>
    </row>
    <row r="381">
      <c r="A381" s="19" t="s">
        <v>1281</v>
      </c>
      <c r="B381" s="20">
        <v>50.0</v>
      </c>
      <c r="C381" s="20" t="s">
        <v>4926</v>
      </c>
      <c r="D381" s="7">
        <f>IFERROR(__xludf.DUMMYFUNCTION("GOOGLEFINANCE(A381,""marketcap"")"),8.067580659E9)</f>
        <v>8067580659</v>
      </c>
    </row>
    <row r="382">
      <c r="A382" s="19" t="s">
        <v>1435</v>
      </c>
      <c r="B382" s="20">
        <v>50.0</v>
      </c>
      <c r="C382" s="20" t="s">
        <v>4927</v>
      </c>
      <c r="D382" s="7">
        <f>IFERROR(__xludf.DUMMYFUNCTION("GOOGLEFINANCE(A382,""marketcap"")"),1.3540200523E10)</f>
        <v>13540200523</v>
      </c>
    </row>
    <row r="383">
      <c r="A383" s="19" t="s">
        <v>851</v>
      </c>
      <c r="B383" s="20">
        <v>50.0</v>
      </c>
      <c r="C383" s="20" t="s">
        <v>4928</v>
      </c>
      <c r="D383" s="7">
        <f>IFERROR(__xludf.DUMMYFUNCTION("GOOGLEFINANCE(A383,""marketcap"")"),9.6542419584E10)</f>
        <v>96542419584</v>
      </c>
    </row>
    <row r="384">
      <c r="A384" s="19" t="s">
        <v>1295</v>
      </c>
      <c r="B384" s="20">
        <v>50.0</v>
      </c>
      <c r="C384" s="20" t="s">
        <v>4929</v>
      </c>
      <c r="D384" s="7">
        <f>IFERROR(__xludf.DUMMYFUNCTION("GOOGLEFINANCE(A384,""marketcap"")"),1.3837972097E10)</f>
        <v>13837972097</v>
      </c>
    </row>
    <row r="385">
      <c r="A385" s="19" t="s">
        <v>982</v>
      </c>
      <c r="B385" s="20">
        <v>50.0</v>
      </c>
      <c r="C385" s="20" t="s">
        <v>4930</v>
      </c>
      <c r="D385" s="7">
        <f>IFERROR(__xludf.DUMMYFUNCTION("GOOGLEFINANCE(A385,""marketcap"")"),3.6190749387E10)</f>
        <v>36190749387</v>
      </c>
    </row>
    <row r="386">
      <c r="A386" s="19" t="s">
        <v>1551</v>
      </c>
      <c r="B386" s="20">
        <v>50.0</v>
      </c>
      <c r="C386" s="20" t="s">
        <v>4931</v>
      </c>
      <c r="D386" s="7">
        <f>IFERROR(__xludf.DUMMYFUNCTION("GOOGLEFINANCE(A386,""marketcap"")"),3.327389192E10)</f>
        <v>33273891920</v>
      </c>
    </row>
    <row r="387">
      <c r="A387" s="19" t="s">
        <v>1109</v>
      </c>
      <c r="B387" s="20">
        <v>50.0</v>
      </c>
      <c r="C387" s="20" t="s">
        <v>4932</v>
      </c>
      <c r="D387" s="7">
        <f>IFERROR(__xludf.DUMMYFUNCTION("GOOGLEFINANCE(A387,""marketcap"")"),2.76268430542E11)</f>
        <v>276268430542</v>
      </c>
    </row>
    <row r="388">
      <c r="A388" s="19" t="s">
        <v>1283</v>
      </c>
      <c r="B388" s="20">
        <v>50.0</v>
      </c>
      <c r="C388" s="20" t="s">
        <v>4933</v>
      </c>
      <c r="D388" s="7">
        <f>IFERROR(__xludf.DUMMYFUNCTION("GOOGLEFINANCE(A388,""marketcap"")"),1.2051939551E10)</f>
        <v>12051939551</v>
      </c>
    </row>
    <row r="389">
      <c r="A389" s="19" t="s">
        <v>1547</v>
      </c>
      <c r="B389" s="20">
        <v>50.0</v>
      </c>
      <c r="C389" s="20" t="s">
        <v>4934</v>
      </c>
      <c r="D389" s="7">
        <f>IFERROR(__xludf.DUMMYFUNCTION("GOOGLEFINANCE(A389,""marketcap"")"),1.185195571E10)</f>
        <v>11851955710</v>
      </c>
    </row>
    <row r="390">
      <c r="A390" s="19" t="s">
        <v>130</v>
      </c>
      <c r="B390" s="20">
        <v>50.0</v>
      </c>
      <c r="C390" s="20" t="s">
        <v>4935</v>
      </c>
      <c r="D390" s="7">
        <f>IFERROR(__xludf.DUMMYFUNCTION("GOOGLEFINANCE(A390,""marketcap"")"),1.63009556202E11)</f>
        <v>163009556202</v>
      </c>
    </row>
    <row r="391">
      <c r="A391" s="19" t="s">
        <v>1069</v>
      </c>
      <c r="B391" s="20">
        <v>50.0</v>
      </c>
      <c r="C391" s="20" t="s">
        <v>4936</v>
      </c>
      <c r="D391" s="7">
        <f>IFERROR(__xludf.DUMMYFUNCTION("GOOGLEFINANCE(A391,""marketcap"")"),4.082193E10)</f>
        <v>40821930000</v>
      </c>
    </row>
    <row r="392">
      <c r="A392" s="19" t="s">
        <v>1462</v>
      </c>
      <c r="B392" s="20">
        <v>50.0</v>
      </c>
      <c r="C392" s="20" t="s">
        <v>4937</v>
      </c>
      <c r="D392" s="7">
        <f>IFERROR(__xludf.DUMMYFUNCTION("GOOGLEFINANCE(A392,""marketcap"")"),2.3419260413E10)</f>
        <v>23419260413</v>
      </c>
    </row>
    <row r="393">
      <c r="A393" s="19" t="s">
        <v>165</v>
      </c>
      <c r="B393" s="20">
        <v>50.0</v>
      </c>
      <c r="C393" s="20" t="s">
        <v>4938</v>
      </c>
      <c r="D393" s="7">
        <f>IFERROR(__xludf.DUMMYFUNCTION("GOOGLEFINANCE(A393,""marketcap"")"),3.9224915866E10)</f>
        <v>39224915866</v>
      </c>
    </row>
    <row r="394">
      <c r="A394" s="19" t="s">
        <v>1425</v>
      </c>
      <c r="B394" s="20">
        <v>50.0</v>
      </c>
      <c r="C394" s="20" t="s">
        <v>4939</v>
      </c>
      <c r="D394" s="7">
        <f>IFERROR(__xludf.DUMMYFUNCTION("GOOGLEFINANCE(A394,""marketcap"")"),3.3771322732E10)</f>
        <v>33771322732</v>
      </c>
    </row>
    <row r="395">
      <c r="A395" s="19" t="s">
        <v>1297</v>
      </c>
      <c r="B395" s="20">
        <v>50.0</v>
      </c>
      <c r="C395" s="20" t="s">
        <v>4940</v>
      </c>
      <c r="D395" s="7">
        <f>IFERROR(__xludf.DUMMYFUNCTION("GOOGLEFINANCE(A395,""marketcap"")"),3.7763789974E10)</f>
        <v>37763789974</v>
      </c>
    </row>
    <row r="396">
      <c r="A396" s="19" t="s">
        <v>1566</v>
      </c>
      <c r="B396" s="20">
        <v>50.0</v>
      </c>
      <c r="C396" s="20" t="s">
        <v>4941</v>
      </c>
      <c r="D396" s="7" t="str">
        <f>IFERROR(__xludf.DUMMYFUNCTION("GOOGLEFINANCE(A396,""marketcap"")"),"#N/A")</f>
        <v>#N/A</v>
      </c>
    </row>
    <row r="397">
      <c r="A397" s="19" t="s">
        <v>186</v>
      </c>
      <c r="B397" s="20">
        <v>50.0</v>
      </c>
      <c r="C397" s="20" t="s">
        <v>4942</v>
      </c>
      <c r="D397" s="7">
        <f>IFERROR(__xludf.DUMMYFUNCTION("GOOGLEFINANCE(A397,""marketcap"")"),8.09480289454E11)</f>
        <v>809480289454</v>
      </c>
    </row>
    <row r="398">
      <c r="A398" s="19" t="s">
        <v>1091</v>
      </c>
      <c r="B398" s="20">
        <v>50.0</v>
      </c>
      <c r="C398" s="20" t="s">
        <v>4943</v>
      </c>
      <c r="D398" s="7">
        <f>IFERROR(__xludf.DUMMYFUNCTION("GOOGLEFINANCE(A398,""marketcap"")"),8.5123331118E10)</f>
        <v>85123331118</v>
      </c>
    </row>
    <row r="399">
      <c r="A399" s="19" t="s">
        <v>187</v>
      </c>
      <c r="B399" s="20">
        <v>50.0</v>
      </c>
      <c r="C399" s="20" t="s">
        <v>4944</v>
      </c>
      <c r="D399" s="7">
        <f>IFERROR(__xludf.DUMMYFUNCTION("GOOGLEFINANCE(A399,""marketcap"")"),5.3276528407E11)</f>
        <v>532765284070</v>
      </c>
    </row>
    <row r="400">
      <c r="A400" s="19" t="s">
        <v>1055</v>
      </c>
      <c r="B400" s="20">
        <v>50.0</v>
      </c>
      <c r="C400" s="20" t="s">
        <v>4945</v>
      </c>
      <c r="D400" s="7">
        <f>IFERROR(__xludf.DUMMYFUNCTION("GOOGLEFINANCE(A400,""marketcap"")"),1.0524887518E10)</f>
        <v>10524887518</v>
      </c>
    </row>
    <row r="401">
      <c r="A401" s="19" t="s">
        <v>1219</v>
      </c>
      <c r="B401" s="20">
        <v>50.0</v>
      </c>
      <c r="C401" s="20" t="s">
        <v>4946</v>
      </c>
      <c r="D401" s="7">
        <f>IFERROR(__xludf.DUMMYFUNCTION("GOOGLEFINANCE(A401,""marketcap"")"),3.7469247746E10)</f>
        <v>37469247746</v>
      </c>
    </row>
    <row r="402">
      <c r="A402" s="19" t="s">
        <v>1564</v>
      </c>
      <c r="B402" s="20">
        <v>50.0</v>
      </c>
      <c r="C402" s="20" t="s">
        <v>4947</v>
      </c>
      <c r="D402" s="7">
        <f>IFERROR(__xludf.DUMMYFUNCTION("GOOGLEFINANCE(A402,""marketcap"")"),2.3141018196E10)</f>
        <v>23141018196</v>
      </c>
    </row>
    <row r="403">
      <c r="A403" s="19" t="s">
        <v>1431</v>
      </c>
      <c r="B403" s="20">
        <v>50.0</v>
      </c>
      <c r="C403" s="20" t="s">
        <v>4948</v>
      </c>
      <c r="D403" s="7">
        <f>IFERROR(__xludf.DUMMYFUNCTION("GOOGLEFINANCE(A403,""marketcap"")"),3.8333081258E10)</f>
        <v>38333081258</v>
      </c>
    </row>
    <row r="404">
      <c r="A404" s="19" t="s">
        <v>847</v>
      </c>
      <c r="B404" s="20">
        <v>50.0</v>
      </c>
      <c r="C404" s="20" t="s">
        <v>4949</v>
      </c>
      <c r="D404" s="7">
        <f>IFERROR(__xludf.DUMMYFUNCTION("GOOGLEFINANCE(A404,""marketcap"")"),1.6055340172E10)</f>
        <v>16055340172</v>
      </c>
    </row>
    <row r="405">
      <c r="A405" s="19" t="s">
        <v>1558</v>
      </c>
      <c r="B405" s="20">
        <v>50.0</v>
      </c>
      <c r="C405" s="20" t="s">
        <v>4950</v>
      </c>
      <c r="D405" s="7">
        <f>IFERROR(__xludf.DUMMYFUNCTION("GOOGLEFINANCE(A405,""marketcap"")"),1.7066817769E10)</f>
        <v>17066817769</v>
      </c>
    </row>
    <row r="406">
      <c r="A406" s="19" t="s">
        <v>1396</v>
      </c>
      <c r="B406" s="20">
        <v>50.0</v>
      </c>
      <c r="C406" s="20" t="s">
        <v>4951</v>
      </c>
      <c r="D406" s="7">
        <f>IFERROR(__xludf.DUMMYFUNCTION("GOOGLEFINANCE(A406,""marketcap"")"),1.2230553261E10)</f>
        <v>12230553261</v>
      </c>
    </row>
    <row r="407">
      <c r="A407" s="19" t="s">
        <v>1560</v>
      </c>
      <c r="B407" s="20">
        <v>50.0</v>
      </c>
      <c r="C407" s="20" t="s">
        <v>4952</v>
      </c>
      <c r="D407" s="7">
        <f>IFERROR(__xludf.DUMMYFUNCTION("GOOGLEFINANCE(A407,""marketcap"")"),1.59394508903E11)</f>
        <v>159394508903</v>
      </c>
    </row>
    <row r="408">
      <c r="A408" s="19" t="s">
        <v>1273</v>
      </c>
      <c r="B408" s="20">
        <v>50.0</v>
      </c>
      <c r="C408" s="20" t="s">
        <v>4953</v>
      </c>
      <c r="D408" s="7">
        <f>IFERROR(__xludf.DUMMYFUNCTION("GOOGLEFINANCE(A408,""marketcap"")"),6.52995049E8)</f>
        <v>652995049</v>
      </c>
    </row>
    <row r="409">
      <c r="A409" s="19" t="s">
        <v>1398</v>
      </c>
      <c r="B409" s="20">
        <v>50.0</v>
      </c>
      <c r="C409" s="20" t="s">
        <v>4954</v>
      </c>
      <c r="D409" s="7">
        <f>IFERROR(__xludf.DUMMYFUNCTION("GOOGLEFINANCE(A409,""marketcap"")"),1.748994256E10)</f>
        <v>17489942560</v>
      </c>
    </row>
    <row r="410">
      <c r="A410" s="19" t="s">
        <v>1423</v>
      </c>
      <c r="B410" s="20">
        <v>50.0</v>
      </c>
      <c r="C410" s="20" t="s">
        <v>4955</v>
      </c>
      <c r="D410" s="7">
        <f>IFERROR(__xludf.DUMMYFUNCTION("GOOGLEFINANCE(A410,""marketcap"")"),2.0692341349E10)</f>
        <v>20692341349</v>
      </c>
    </row>
    <row r="411">
      <c r="A411" s="19" t="s">
        <v>551</v>
      </c>
      <c r="B411" s="20">
        <v>50.0</v>
      </c>
      <c r="C411" s="20" t="s">
        <v>4956</v>
      </c>
      <c r="D411" s="7">
        <f>IFERROR(__xludf.DUMMYFUNCTION("GOOGLEFINANCE(A411,""marketcap"")"),8.8118161891E10)</f>
        <v>88118161891</v>
      </c>
    </row>
    <row r="412">
      <c r="A412" s="19" t="s">
        <v>866</v>
      </c>
      <c r="B412" s="20">
        <v>50.0</v>
      </c>
      <c r="C412" s="20" t="s">
        <v>4957</v>
      </c>
      <c r="D412" s="7">
        <f>IFERROR(__xludf.DUMMYFUNCTION("GOOGLEFINANCE(A412,""marketcap"")"),1.067784E10)</f>
        <v>10677840000</v>
      </c>
    </row>
    <row r="413">
      <c r="A413" s="19" t="s">
        <v>95</v>
      </c>
      <c r="B413" s="20">
        <v>50.0</v>
      </c>
      <c r="C413" s="20" t="s">
        <v>4958</v>
      </c>
      <c r="D413" s="7">
        <f>IFERROR(__xludf.DUMMYFUNCTION("GOOGLEFINANCE(A413,""marketcap"")"),2.9643770175E10)</f>
        <v>29643770175</v>
      </c>
    </row>
    <row r="414">
      <c r="A414" s="19" t="s">
        <v>97</v>
      </c>
      <c r="B414" s="20">
        <v>50.0</v>
      </c>
      <c r="C414" s="20" t="s">
        <v>4959</v>
      </c>
      <c r="D414" s="7">
        <f>IFERROR(__xludf.DUMMYFUNCTION("GOOGLEFINANCE(A414,""marketcap"")"),1.9690523288E10)</f>
        <v>19690523288</v>
      </c>
    </row>
    <row r="415">
      <c r="A415" s="19" t="s">
        <v>1299</v>
      </c>
      <c r="B415" s="20">
        <v>50.0</v>
      </c>
      <c r="C415" s="20" t="s">
        <v>4960</v>
      </c>
      <c r="D415" s="7">
        <f>IFERROR(__xludf.DUMMYFUNCTION("GOOGLEFINANCE(A415,""marketcap"")"),7.3390749697E10)</f>
        <v>73390749697</v>
      </c>
    </row>
    <row r="416">
      <c r="A416" s="19" t="s">
        <v>845</v>
      </c>
      <c r="B416" s="20">
        <v>50.0</v>
      </c>
      <c r="C416" s="20" t="s">
        <v>4961</v>
      </c>
      <c r="D416" s="7">
        <f>IFERROR(__xludf.DUMMYFUNCTION("GOOGLEFINANCE(A416,""marketcap"")"),4.4183150373E10)</f>
        <v>44183150373</v>
      </c>
    </row>
    <row r="417">
      <c r="A417" s="19" t="s">
        <v>1094</v>
      </c>
      <c r="B417" s="20">
        <v>50.0</v>
      </c>
      <c r="C417" s="20" t="s">
        <v>4962</v>
      </c>
      <c r="D417" s="7">
        <f>IFERROR(__xludf.DUMMYFUNCTION("GOOGLEFINANCE(A417,""marketcap"")"),2.982670012E10)</f>
        <v>29826700120</v>
      </c>
    </row>
    <row r="418">
      <c r="A418" s="19" t="s">
        <v>38</v>
      </c>
      <c r="B418" s="20">
        <v>50.0</v>
      </c>
      <c r="C418" s="20" t="s">
        <v>4963</v>
      </c>
      <c r="D418" s="7">
        <f>IFERROR(__xludf.DUMMYFUNCTION("GOOGLEFINANCE(A418,""marketcap"")"),3.0273687614E10)</f>
        <v>30273687614</v>
      </c>
    </row>
    <row r="419">
      <c r="A419" s="19" t="s">
        <v>1317</v>
      </c>
      <c r="B419" s="20">
        <v>50.0</v>
      </c>
      <c r="C419" s="20" t="s">
        <v>4964</v>
      </c>
      <c r="D419" s="7">
        <f>IFERROR(__xludf.DUMMYFUNCTION("GOOGLEFINANCE(A419,""marketcap"")"),2.0493657778E10)</f>
        <v>20493657778</v>
      </c>
    </row>
    <row r="420">
      <c r="A420" s="19" t="s">
        <v>1537</v>
      </c>
      <c r="B420" s="20">
        <v>50.0</v>
      </c>
      <c r="C420" s="20" t="s">
        <v>4965</v>
      </c>
      <c r="D420" s="7">
        <f>IFERROR(__xludf.DUMMYFUNCTION("GOOGLEFINANCE(A420,""marketcap"")"),2.760268E10)</f>
        <v>27602680000</v>
      </c>
    </row>
    <row r="421">
      <c r="A421" s="19" t="s">
        <v>1115</v>
      </c>
      <c r="B421" s="20">
        <v>50.0</v>
      </c>
      <c r="C421" s="20" t="s">
        <v>4966</v>
      </c>
      <c r="D421" s="7">
        <f>IFERROR(__xludf.DUMMYFUNCTION("GOOGLEFINANCE(A421,""marketcap"")"),4.4929063123E10)</f>
        <v>44929063123</v>
      </c>
    </row>
    <row r="422">
      <c r="A422" s="19" t="s">
        <v>1264</v>
      </c>
      <c r="B422" s="20">
        <v>50.0</v>
      </c>
      <c r="C422" s="20" t="s">
        <v>4967</v>
      </c>
      <c r="D422" s="7">
        <f>IFERROR(__xludf.DUMMYFUNCTION("GOOGLEFINANCE(A422,""marketcap"")"),2.4997471705E10)</f>
        <v>24997471705</v>
      </c>
    </row>
    <row r="423">
      <c r="A423" s="19" t="s">
        <v>1535</v>
      </c>
      <c r="B423" s="20">
        <v>50.0</v>
      </c>
      <c r="C423" s="20" t="s">
        <v>4968</v>
      </c>
      <c r="D423" s="7">
        <f>IFERROR(__xludf.DUMMYFUNCTION("GOOGLEFINANCE(A423,""marketcap"")"),1.8832633416E10)</f>
        <v>18832633416</v>
      </c>
    </row>
    <row r="424">
      <c r="A424" s="19" t="s">
        <v>978</v>
      </c>
      <c r="B424" s="20">
        <v>50.0</v>
      </c>
      <c r="C424" s="20" t="s">
        <v>4969</v>
      </c>
      <c r="D424" s="7">
        <f>IFERROR(__xludf.DUMMYFUNCTION("GOOGLEFINANCE(A424,""marketcap"")"),1.3910208397E10)</f>
        <v>13910208397</v>
      </c>
    </row>
    <row r="425">
      <c r="A425" s="19" t="s">
        <v>4970</v>
      </c>
      <c r="B425" s="20">
        <v>50.0</v>
      </c>
      <c r="C425" s="20" t="s">
        <v>4971</v>
      </c>
      <c r="D425" s="7">
        <f>IFERROR(__xludf.DUMMYFUNCTION("GOOGLEFINANCE(A425,""marketcap"")"),6.109419026E9)</f>
        <v>6109419026</v>
      </c>
    </row>
    <row r="426">
      <c r="A426" s="19" t="s">
        <v>1206</v>
      </c>
      <c r="B426" s="20">
        <v>50.0</v>
      </c>
      <c r="C426" s="20" t="s">
        <v>4972</v>
      </c>
      <c r="D426" s="7">
        <f>IFERROR(__xludf.DUMMYFUNCTION("GOOGLEFINANCE(A426,""marketcap"")"),1.6936473333E10)</f>
        <v>16936473333</v>
      </c>
    </row>
    <row r="427">
      <c r="A427" s="19" t="s">
        <v>923</v>
      </c>
      <c r="B427" s="20">
        <v>50.0</v>
      </c>
      <c r="C427" s="20" t="s">
        <v>4973</v>
      </c>
      <c r="D427" s="7">
        <f>IFERROR(__xludf.DUMMYFUNCTION("GOOGLEFINANCE(A427,""marketcap"")"),1.05733070885E11)</f>
        <v>105733070885</v>
      </c>
    </row>
    <row r="428">
      <c r="A428" s="19" t="s">
        <v>980</v>
      </c>
      <c r="B428" s="20">
        <v>50.0</v>
      </c>
      <c r="C428" s="20" t="s">
        <v>4974</v>
      </c>
      <c r="D428" s="7">
        <f>IFERROR(__xludf.DUMMYFUNCTION("GOOGLEFINANCE(A428,""marketcap"")"),2.093650031E10)</f>
        <v>20936500310</v>
      </c>
    </row>
    <row r="429">
      <c r="A429" s="19" t="s">
        <v>1043</v>
      </c>
      <c r="B429" s="20">
        <v>50.0</v>
      </c>
      <c r="C429" s="20" t="s">
        <v>4975</v>
      </c>
      <c r="D429" s="7">
        <f>IFERROR(__xludf.DUMMYFUNCTION("GOOGLEFINANCE(A429,""marketcap"")"),5.23506141E9)</f>
        <v>5235061410</v>
      </c>
    </row>
    <row r="430">
      <c r="A430" s="19" t="s">
        <v>1285</v>
      </c>
      <c r="B430" s="20">
        <v>50.0</v>
      </c>
      <c r="C430" s="20" t="s">
        <v>4976</v>
      </c>
      <c r="D430" s="7">
        <f>IFERROR(__xludf.DUMMYFUNCTION("GOOGLEFINANCE(A430,""marketcap"")"),1.4412037807E10)</f>
        <v>14412037807</v>
      </c>
    </row>
    <row r="431">
      <c r="A431" s="19" t="s">
        <v>1533</v>
      </c>
      <c r="B431" s="20">
        <v>50.0</v>
      </c>
      <c r="C431" s="20" t="s">
        <v>4977</v>
      </c>
      <c r="D431" s="7">
        <f>IFERROR(__xludf.DUMMYFUNCTION("GOOGLEFINANCE(A431,""marketcap"")"),5.1095586335E10)</f>
        <v>51095586335</v>
      </c>
    </row>
    <row r="432">
      <c r="A432" s="19" t="s">
        <v>1262</v>
      </c>
      <c r="B432" s="20">
        <v>50.0</v>
      </c>
      <c r="C432" s="20" t="s">
        <v>4978</v>
      </c>
      <c r="D432" s="7">
        <f>IFERROR(__xludf.DUMMYFUNCTION("GOOGLEFINANCE(A432,""marketcap"")"),4.80404449E9)</f>
        <v>4804044490</v>
      </c>
    </row>
    <row r="433">
      <c r="A433" s="19" t="s">
        <v>1530</v>
      </c>
      <c r="B433" s="20">
        <v>50.0</v>
      </c>
      <c r="C433" s="20" t="s">
        <v>4979</v>
      </c>
      <c r="D433" s="7">
        <f>IFERROR(__xludf.DUMMYFUNCTION("GOOGLEFINANCE(A433,""marketcap"")"),8.210258E10)</f>
        <v>82102580000</v>
      </c>
    </row>
    <row r="434">
      <c r="A434" s="19" t="s">
        <v>1189</v>
      </c>
      <c r="B434" s="20">
        <v>50.0</v>
      </c>
      <c r="C434" s="20" t="s">
        <v>4980</v>
      </c>
      <c r="D434" s="7">
        <f>IFERROR(__xludf.DUMMYFUNCTION("GOOGLEFINANCE(A434,""marketcap"")"),5.0160852238E10)</f>
        <v>50160852238</v>
      </c>
    </row>
    <row r="435">
      <c r="A435" s="19" t="s">
        <v>1313</v>
      </c>
      <c r="B435" s="20">
        <v>50.0</v>
      </c>
      <c r="C435" s="20" t="s">
        <v>4981</v>
      </c>
      <c r="D435" s="7">
        <f>IFERROR(__xludf.DUMMYFUNCTION("GOOGLEFINANCE(A435,""marketcap"")"),4.6040967472E10)</f>
        <v>46040967472</v>
      </c>
    </row>
    <row r="436">
      <c r="A436" s="19" t="s">
        <v>1439</v>
      </c>
      <c r="B436" s="20">
        <v>50.0</v>
      </c>
      <c r="C436" s="20" t="s">
        <v>4982</v>
      </c>
      <c r="D436" s="7">
        <f>IFERROR(__xludf.DUMMYFUNCTION("GOOGLEFINANCE(A436,""marketcap"")"),2.653153823E10)</f>
        <v>26531538230</v>
      </c>
    </row>
    <row r="437">
      <c r="A437" s="19" t="s">
        <v>968</v>
      </c>
      <c r="B437" s="20">
        <v>50.0</v>
      </c>
      <c r="C437" s="20" t="s">
        <v>4983</v>
      </c>
      <c r="D437" s="7">
        <f>IFERROR(__xludf.DUMMYFUNCTION("GOOGLEFINANCE(A437,""marketcap"")"),7.1797753358E10)</f>
        <v>71797753358</v>
      </c>
    </row>
    <row r="438">
      <c r="A438" s="19" t="s">
        <v>1334</v>
      </c>
      <c r="B438" s="20">
        <v>50.0</v>
      </c>
      <c r="C438" s="20" t="s">
        <v>4984</v>
      </c>
      <c r="D438" s="7">
        <f>IFERROR(__xludf.DUMMYFUNCTION("GOOGLEFINANCE(A438,""marketcap"")"),4.7814361083E10)</f>
        <v>47814361083</v>
      </c>
    </row>
    <row r="439">
      <c r="A439" s="19" t="s">
        <v>915</v>
      </c>
      <c r="B439" s="20">
        <v>50.0</v>
      </c>
      <c r="C439" s="20" t="s">
        <v>4985</v>
      </c>
      <c r="D439" s="7">
        <f>IFERROR(__xludf.DUMMYFUNCTION("GOOGLEFINANCE(A439,""marketcap"")"),1.55906256489E11)</f>
        <v>155906256489</v>
      </c>
    </row>
    <row r="440">
      <c r="A440" s="19" t="s">
        <v>917</v>
      </c>
      <c r="B440" s="20">
        <v>50.0</v>
      </c>
      <c r="C440" s="20" t="s">
        <v>4986</v>
      </c>
      <c r="D440" s="7">
        <f>IFERROR(__xludf.DUMMYFUNCTION("GOOGLEFINANCE(A440,""marketcap"")"),8.421870309E9)</f>
        <v>8421870309</v>
      </c>
    </row>
    <row r="441">
      <c r="A441" s="19" t="s">
        <v>859</v>
      </c>
      <c r="B441" s="20">
        <v>50.0</v>
      </c>
      <c r="C441" s="20" t="s">
        <v>4987</v>
      </c>
      <c r="D441" s="7">
        <f>IFERROR(__xludf.DUMMYFUNCTION("GOOGLEFINANCE(A441,""marketcap"")"),2.0397678223E10)</f>
        <v>20397678223</v>
      </c>
    </row>
    <row r="442">
      <c r="A442" s="19" t="s">
        <v>1034</v>
      </c>
      <c r="B442" s="20">
        <v>50.0</v>
      </c>
      <c r="C442" s="20" t="s">
        <v>4988</v>
      </c>
      <c r="D442" s="7">
        <f>IFERROR(__xludf.DUMMYFUNCTION("GOOGLEFINANCE(A442,""marketcap"")"),9.6802458726E10)</f>
        <v>96802458726</v>
      </c>
    </row>
    <row r="443">
      <c r="A443" s="19" t="s">
        <v>919</v>
      </c>
      <c r="B443" s="20">
        <v>50.0</v>
      </c>
      <c r="C443" s="20" t="s">
        <v>4989</v>
      </c>
      <c r="D443" s="7">
        <f>IFERROR(__xludf.DUMMYFUNCTION("GOOGLEFINANCE(A443,""marketcap"")"),6.9257683204E10)</f>
        <v>69257683204</v>
      </c>
    </row>
    <row r="444">
      <c r="A444" s="19" t="s">
        <v>1549</v>
      </c>
      <c r="B444" s="20">
        <v>50.0</v>
      </c>
      <c r="C444" s="20" t="s">
        <v>4990</v>
      </c>
      <c r="D444" s="7">
        <f>IFERROR(__xludf.DUMMYFUNCTION("GOOGLEFINANCE(A444,""marketcap"")"),7.1051220511E10)</f>
        <v>71051220511</v>
      </c>
    </row>
    <row r="445">
      <c r="A445" s="19" t="s">
        <v>1121</v>
      </c>
      <c r="B445" s="20">
        <v>50.0</v>
      </c>
      <c r="C445" s="20" t="s">
        <v>4991</v>
      </c>
      <c r="D445" s="7">
        <f>IFERROR(__xludf.DUMMYFUNCTION("GOOGLEFINANCE(A445,""marketcap"")"),1.8508067646E10)</f>
        <v>18508067646</v>
      </c>
    </row>
    <row r="446">
      <c r="A446" s="19" t="s">
        <v>1123</v>
      </c>
      <c r="B446" s="20">
        <v>50.0</v>
      </c>
      <c r="C446" s="20" t="s">
        <v>4992</v>
      </c>
      <c r="D446" s="7">
        <f>IFERROR(__xludf.DUMMYFUNCTION("GOOGLEFINANCE(A446,""marketcap"")"),1.58598086E10)</f>
        <v>15859808600</v>
      </c>
    </row>
    <row r="447">
      <c r="A447" s="19" t="s">
        <v>1289</v>
      </c>
      <c r="B447" s="20">
        <v>50.0</v>
      </c>
      <c r="C447" s="20" t="s">
        <v>4993</v>
      </c>
      <c r="D447" s="7">
        <f>IFERROR(__xludf.DUMMYFUNCTION("GOOGLEFINANCE(A447,""marketcap"")"),1.3736450632E10)</f>
        <v>13736450632</v>
      </c>
    </row>
    <row r="448">
      <c r="A448" s="19" t="s">
        <v>997</v>
      </c>
      <c r="B448" s="20">
        <v>50.0</v>
      </c>
      <c r="C448" s="20" t="s">
        <v>4994</v>
      </c>
      <c r="D448" s="7">
        <f>IFERROR(__xludf.DUMMYFUNCTION("GOOGLEFINANCE(A448,""marketcap"")"),2.8871976754E10)</f>
        <v>28871976754</v>
      </c>
    </row>
    <row r="449">
      <c r="A449" s="19" t="s">
        <v>1096</v>
      </c>
      <c r="B449" s="20">
        <v>50.0</v>
      </c>
      <c r="C449" s="20" t="s">
        <v>4995</v>
      </c>
      <c r="D449" s="7">
        <f>IFERROR(__xludf.DUMMYFUNCTION("GOOGLEFINANCE(A449,""marketcap"")"),1.0621916939E10)</f>
        <v>10621916939</v>
      </c>
    </row>
    <row r="450">
      <c r="A450" s="19" t="s">
        <v>66</v>
      </c>
      <c r="B450" s="20">
        <v>50.0</v>
      </c>
      <c r="C450" s="20" t="s">
        <v>4996</v>
      </c>
      <c r="D450" s="7">
        <f>IFERROR(__xludf.DUMMYFUNCTION("GOOGLEFINANCE(A450,""marketcap"")"),4.6302844351E10)</f>
        <v>46302844351</v>
      </c>
    </row>
    <row r="451">
      <c r="A451" s="19" t="s">
        <v>254</v>
      </c>
      <c r="B451" s="20">
        <v>50.0</v>
      </c>
      <c r="C451" s="20" t="s">
        <v>4997</v>
      </c>
      <c r="D451" s="7">
        <f>IFERROR(__xludf.DUMMYFUNCTION("GOOGLEFINANCE(A451,""marketcap"")"),8.8623726693E10)</f>
        <v>88623726693</v>
      </c>
    </row>
    <row r="452">
      <c r="A452" s="19" t="s">
        <v>145</v>
      </c>
      <c r="B452" s="20">
        <v>50.0</v>
      </c>
      <c r="C452" s="20" t="s">
        <v>4998</v>
      </c>
      <c r="D452" s="7">
        <f>IFERROR(__xludf.DUMMYFUNCTION("GOOGLEFINANCE(A452,""marketcap"")"),1.6134734663E10)</f>
        <v>16134734663</v>
      </c>
    </row>
    <row r="453">
      <c r="A453" s="19" t="s">
        <v>1117</v>
      </c>
      <c r="B453" s="20">
        <v>50.0</v>
      </c>
      <c r="C453" s="20" t="s">
        <v>4999</v>
      </c>
      <c r="D453" s="7">
        <f>IFERROR(__xludf.DUMMYFUNCTION("GOOGLEFINANCE(A453,""marketcap"")"),2.5377967612E10)</f>
        <v>25377967612</v>
      </c>
    </row>
    <row r="454">
      <c r="A454" s="19" t="s">
        <v>91</v>
      </c>
      <c r="B454" s="20">
        <v>50.0</v>
      </c>
      <c r="C454" s="20" t="s">
        <v>5000</v>
      </c>
      <c r="D454" s="7">
        <f>IFERROR(__xludf.DUMMYFUNCTION("GOOGLEFINANCE(A454,""marketcap"")"),2.5377967612E10)</f>
        <v>25377967612</v>
      </c>
    </row>
    <row r="455">
      <c r="A455" s="19" t="s">
        <v>1221</v>
      </c>
      <c r="B455" s="20">
        <v>50.0</v>
      </c>
      <c r="C455" s="20" t="s">
        <v>5001</v>
      </c>
      <c r="D455" s="7">
        <f>IFERROR(__xludf.DUMMYFUNCTION("GOOGLEFINANCE(A455,""marketcap"")"),1.8422750323E10)</f>
        <v>18422750323</v>
      </c>
    </row>
    <row r="456">
      <c r="A456" s="19" t="s">
        <v>17</v>
      </c>
      <c r="B456" s="20">
        <v>50.0</v>
      </c>
      <c r="C456" s="20" t="s">
        <v>5002</v>
      </c>
      <c r="D456" s="7">
        <f>IFERROR(__xludf.DUMMYFUNCTION("GOOGLEFINANCE(A456,""marketcap"")"),5.99235018148E11)</f>
        <v>599235018148</v>
      </c>
    </row>
    <row r="457">
      <c r="A457" s="19" t="s">
        <v>1540</v>
      </c>
      <c r="B457" s="20">
        <v>50.0</v>
      </c>
      <c r="C457" s="20" t="s">
        <v>5003</v>
      </c>
      <c r="D457" s="7">
        <f>IFERROR(__xludf.DUMMYFUNCTION("GOOGLEFINANCE(A457,""marketcap"")"),4.9091404223E10)</f>
        <v>49091404223</v>
      </c>
    </row>
    <row r="458">
      <c r="A458" s="19" t="s">
        <v>1319</v>
      </c>
      <c r="B458" s="20">
        <v>50.0</v>
      </c>
      <c r="C458" s="20" t="s">
        <v>5004</v>
      </c>
      <c r="D458" s="7">
        <f>IFERROR(__xludf.DUMMYFUNCTION("GOOGLEFINANCE(A458,""marketcap"")"),1.675606972E9)</f>
        <v>1675606972</v>
      </c>
    </row>
    <row r="459">
      <c r="A459" s="19" t="s">
        <v>87</v>
      </c>
      <c r="B459" s="20">
        <v>50.0</v>
      </c>
      <c r="C459" s="20" t="s">
        <v>5005</v>
      </c>
      <c r="D459" s="7" t="str">
        <f>IFERROR(__xludf.DUMMYFUNCTION("GOOGLEFINANCE(A459,""marketcap"")"),"#N/A")</f>
        <v>#N/A</v>
      </c>
    </row>
    <row r="460">
      <c r="A460" s="19" t="s">
        <v>1543</v>
      </c>
      <c r="B460" s="20">
        <v>50.0</v>
      </c>
      <c r="C460" s="20" t="s">
        <v>5006</v>
      </c>
      <c r="D460" s="7">
        <f>IFERROR(__xludf.DUMMYFUNCTION("GOOGLEFINANCE(A460,""marketcap"")"),2.5641856155E10)</f>
        <v>25641856155</v>
      </c>
    </row>
    <row r="461">
      <c r="A461" s="19" t="s">
        <v>1119</v>
      </c>
      <c r="B461" s="20">
        <v>50.0</v>
      </c>
      <c r="C461" s="20" t="s">
        <v>5007</v>
      </c>
      <c r="D461" s="7">
        <f>IFERROR(__xludf.DUMMYFUNCTION("GOOGLEFINANCE(A461,""marketcap"")"),2.3634353007E10)</f>
        <v>23634353007</v>
      </c>
    </row>
    <row r="462">
      <c r="A462" s="19" t="s">
        <v>995</v>
      </c>
      <c r="B462" s="20">
        <v>50.0</v>
      </c>
      <c r="C462" s="20" t="s">
        <v>5008</v>
      </c>
      <c r="D462" s="7">
        <f>IFERROR(__xludf.DUMMYFUNCTION("GOOGLEFINANCE(A462,""marketcap"")"),4.4708352887E10)</f>
        <v>44708352887</v>
      </c>
    </row>
    <row r="463">
      <c r="A463" s="19" t="s">
        <v>1125</v>
      </c>
      <c r="B463" s="20">
        <v>50.0</v>
      </c>
      <c r="C463" s="20" t="s">
        <v>5009</v>
      </c>
      <c r="D463" s="7">
        <f>IFERROR(__xludf.DUMMYFUNCTION("GOOGLEFINANCE(A463,""marketcap"")"),2.2478642375E10)</f>
        <v>22478642375</v>
      </c>
    </row>
    <row r="464">
      <c r="A464" s="19" t="s">
        <v>1083</v>
      </c>
      <c r="B464" s="20">
        <v>50.0</v>
      </c>
      <c r="C464" s="20" t="s">
        <v>5010</v>
      </c>
      <c r="D464" s="7">
        <f>IFERROR(__xludf.DUMMYFUNCTION("GOOGLEFINANCE(A464,""marketcap"")"),9.0331721282E10)</f>
        <v>90331721282</v>
      </c>
    </row>
    <row r="465">
      <c r="A465" s="19" t="s">
        <v>1315</v>
      </c>
      <c r="B465" s="20">
        <v>50.0</v>
      </c>
      <c r="C465" s="20" t="s">
        <v>5011</v>
      </c>
      <c r="D465" s="7">
        <f>IFERROR(__xludf.DUMMYFUNCTION("GOOGLEFINANCE(A465,""marketcap"")"),5.0708703847E10)</f>
        <v>50708703847</v>
      </c>
    </row>
    <row r="466">
      <c r="A466" s="19" t="s">
        <v>991</v>
      </c>
      <c r="B466" s="20">
        <v>50.0</v>
      </c>
      <c r="C466" s="20" t="s">
        <v>5012</v>
      </c>
      <c r="D466" s="7">
        <f>IFERROR(__xludf.DUMMYFUNCTION("GOOGLEFINANCE(A466,""marketcap"")"),2.61129534E10)</f>
        <v>26112953400</v>
      </c>
    </row>
    <row r="467">
      <c r="A467" s="19" t="s">
        <v>1113</v>
      </c>
      <c r="B467" s="20">
        <v>50.0</v>
      </c>
      <c r="C467" s="20" t="s">
        <v>5013</v>
      </c>
      <c r="D467" s="7">
        <f>IFERROR(__xludf.DUMMYFUNCTION("GOOGLEFINANCE(A467,""marketcap"")"),8.146362765E9)</f>
        <v>8146362765</v>
      </c>
    </row>
    <row r="468">
      <c r="A468" s="19" t="s">
        <v>1049</v>
      </c>
      <c r="B468" s="20">
        <v>50.0</v>
      </c>
      <c r="C468" s="20" t="s">
        <v>5014</v>
      </c>
      <c r="D468" s="7">
        <f>IFERROR(__xludf.DUMMYFUNCTION("GOOGLEFINANCE(A468,""marketcap"")"),1.9974107008E10)</f>
        <v>19974107008</v>
      </c>
    </row>
    <row r="469">
      <c r="A469" s="19" t="s">
        <v>1000</v>
      </c>
      <c r="B469" s="20">
        <v>50.0</v>
      </c>
      <c r="C469" s="20" t="s">
        <v>5015</v>
      </c>
      <c r="D469" s="7">
        <f>IFERROR(__xludf.DUMMYFUNCTION("GOOGLEFINANCE(A469,""marketcap"")"),8.3510863509E10)</f>
        <v>83510863509</v>
      </c>
    </row>
    <row r="470">
      <c r="A470" s="19" t="s">
        <v>876</v>
      </c>
      <c r="B470" s="44"/>
      <c r="C470" s="20" t="s">
        <v>5016</v>
      </c>
      <c r="D470" s="7">
        <f>IFERROR(__xludf.DUMMYFUNCTION("GOOGLEFINANCE(A470,""marketcap"")"),1.9133603568E10)</f>
        <v>19133603568</v>
      </c>
    </row>
    <row r="471">
      <c r="A471" s="19" t="s">
        <v>1414</v>
      </c>
      <c r="B471" s="44"/>
      <c r="C471" s="20" t="s">
        <v>5017</v>
      </c>
      <c r="D471" s="7">
        <f>IFERROR(__xludf.DUMMYFUNCTION("GOOGLEFINANCE(A471,""marketcap"")"),6.213371021E9)</f>
        <v>6213371021</v>
      </c>
    </row>
    <row r="472">
      <c r="A472" s="19" t="s">
        <v>929</v>
      </c>
      <c r="B472" s="44"/>
      <c r="C472" s="20" t="s">
        <v>5018</v>
      </c>
      <c r="D472" s="7">
        <f>IFERROR(__xludf.DUMMYFUNCTION("GOOGLEFINANCE(A472,""marketcap"")"),1.20167436422E11)</f>
        <v>120167436422</v>
      </c>
    </row>
    <row r="473">
      <c r="A473" s="19" t="s">
        <v>1169</v>
      </c>
      <c r="B473" s="44"/>
      <c r="C473" s="20" t="s">
        <v>5019</v>
      </c>
      <c r="D473" s="7">
        <f>IFERROR(__xludf.DUMMYFUNCTION("GOOGLEFINANCE(A473,""marketcap"")"),2.2140010562E10)</f>
        <v>22140010562</v>
      </c>
    </row>
    <row r="474">
      <c r="A474" s="19" t="s">
        <v>1410</v>
      </c>
      <c r="B474" s="44"/>
      <c r="C474" s="20" t="s">
        <v>5020</v>
      </c>
      <c r="D474" s="7">
        <f>IFERROR(__xludf.DUMMYFUNCTION("GOOGLEFINANCE(A474,""marketcap"")"),6.760316277E9)</f>
        <v>6760316277</v>
      </c>
    </row>
    <row r="475">
      <c r="A475" s="19" t="s">
        <v>939</v>
      </c>
      <c r="B475" s="44"/>
      <c r="C475" s="20" t="s">
        <v>5021</v>
      </c>
      <c r="D475" s="7">
        <f>IFERROR(__xludf.DUMMYFUNCTION("GOOGLEFINANCE(A475,""marketcap"")"),1.1706858E10)</f>
        <v>11706858000</v>
      </c>
    </row>
    <row r="476">
      <c r="A476" s="19" t="s">
        <v>1256</v>
      </c>
      <c r="B476" s="44"/>
      <c r="C476" s="20" t="s">
        <v>5022</v>
      </c>
      <c r="D476" s="7">
        <f>IFERROR(__xludf.DUMMYFUNCTION("GOOGLEFINANCE(A476,""marketcap"")"),8.330037E10)</f>
        <v>83300370000</v>
      </c>
    </row>
    <row r="477">
      <c r="A477" s="19" t="s">
        <v>143</v>
      </c>
      <c r="B477" s="44"/>
      <c r="C477" s="20" t="s">
        <v>5023</v>
      </c>
      <c r="D477" s="7">
        <f>IFERROR(__xludf.DUMMYFUNCTION("GOOGLEFINANCE(A477,""marketcap"")"),9.3770423265E10)</f>
        <v>93770423265</v>
      </c>
    </row>
    <row r="478">
      <c r="A478" s="19" t="s">
        <v>127</v>
      </c>
      <c r="B478" s="44"/>
      <c r="C478" s="20" t="s">
        <v>5024</v>
      </c>
      <c r="D478" s="7">
        <f>IFERROR(__xludf.DUMMYFUNCTION("GOOGLEFINANCE(A478,""marketcap"")"),5.3083818851E10)</f>
        <v>53083818851</v>
      </c>
    </row>
    <row r="479">
      <c r="A479" s="19" t="s">
        <v>1208</v>
      </c>
      <c r="B479" s="44"/>
      <c r="C479" s="20" t="s">
        <v>5025</v>
      </c>
      <c r="D479" s="7">
        <f>IFERROR(__xludf.DUMMYFUNCTION("GOOGLEFINANCE(A479,""marketcap"")"),3.5001753903E10)</f>
        <v>35001753903</v>
      </c>
    </row>
    <row r="480">
      <c r="A480" s="19" t="s">
        <v>1204</v>
      </c>
      <c r="B480" s="44"/>
      <c r="C480" s="20" t="s">
        <v>5026</v>
      </c>
      <c r="D480" s="7">
        <f>IFERROR(__xludf.DUMMYFUNCTION("GOOGLEFINANCE(A480,""marketcap"")"),2.4555983561E10)</f>
        <v>24555983561</v>
      </c>
    </row>
    <row r="481">
      <c r="A481" s="19" t="s">
        <v>1545</v>
      </c>
      <c r="B481" s="44"/>
      <c r="C481" s="20" t="s">
        <v>5027</v>
      </c>
      <c r="D481" s="7">
        <f>IFERROR(__xludf.DUMMYFUNCTION("GOOGLEFINANCE(A481,""marketcap"")"),9.993502682E9)</f>
        <v>9993502682</v>
      </c>
    </row>
    <row r="482">
      <c r="A482" s="19" t="s">
        <v>1002</v>
      </c>
      <c r="B482" s="44"/>
      <c r="C482" s="20" t="s">
        <v>5028</v>
      </c>
      <c r="D482" s="7">
        <f>IFERROR(__xludf.DUMMYFUNCTION("GOOGLEFINANCE(A482,""marketcap"")"),3.10027583181E11)</f>
        <v>310027583181</v>
      </c>
    </row>
    <row r="483">
      <c r="A483" s="19" t="s">
        <v>128</v>
      </c>
      <c r="B483" s="44"/>
      <c r="C483" s="20" t="s">
        <v>5029</v>
      </c>
      <c r="D483" s="7">
        <f>IFERROR(__xludf.DUMMYFUNCTION("GOOGLEFINANCE(A483,""marketcap"")"),1.8916325259E10)</f>
        <v>18916325259</v>
      </c>
    </row>
    <row r="484">
      <c r="A484" s="19" t="s">
        <v>1421</v>
      </c>
      <c r="B484" s="44"/>
      <c r="C484" s="20" t="s">
        <v>5030</v>
      </c>
      <c r="D484" s="7">
        <f>IFERROR(__xludf.DUMMYFUNCTION("GOOGLEFINANCE(A484,""marketcap"")"),6.27722128233E11)</f>
        <v>627722128233</v>
      </c>
    </row>
    <row r="485">
      <c r="A485" s="19" t="s">
        <v>169</v>
      </c>
      <c r="B485" s="44"/>
      <c r="C485" s="20" t="s">
        <v>5031</v>
      </c>
      <c r="D485" s="7">
        <f>IFERROR(__xludf.DUMMYFUNCTION("GOOGLEFINANCE(A485,""marketcap"")"),4.0209455446E10)</f>
        <v>40209455446</v>
      </c>
    </row>
    <row r="486">
      <c r="A486" s="19" t="s">
        <v>1460</v>
      </c>
      <c r="B486" s="44"/>
      <c r="C486" s="20" t="s">
        <v>5032</v>
      </c>
      <c r="D486" s="7">
        <f>IFERROR(__xludf.DUMMYFUNCTION("GOOGLEFINANCE(A486,""marketcap"")"),5.800438096E9)</f>
        <v>5800438096</v>
      </c>
    </row>
    <row r="487">
      <c r="A487" s="19" t="s">
        <v>1028</v>
      </c>
      <c r="B487" s="44"/>
      <c r="C487" s="20" t="s">
        <v>5033</v>
      </c>
      <c r="D487" s="7">
        <f>IFERROR(__xludf.DUMMYFUNCTION("GOOGLEFINANCE(A487,""marketcap"")"),7.544145232E9)</f>
        <v>7544145232</v>
      </c>
    </row>
    <row r="488">
      <c r="A488" s="19" t="s">
        <v>965</v>
      </c>
      <c r="B488" s="44"/>
      <c r="C488" s="20" t="s">
        <v>5034</v>
      </c>
      <c r="D488" s="7">
        <f>IFERROR(__xludf.DUMMYFUNCTION("GOOGLEFINANCE(A488,""marketcap"")"),8.4383509635E10)</f>
        <v>84383509635</v>
      </c>
    </row>
    <row r="489">
      <c r="A489" s="19" t="s">
        <v>85</v>
      </c>
      <c r="B489" s="44"/>
      <c r="C489" s="20" t="s">
        <v>5035</v>
      </c>
      <c r="D489" s="7">
        <f>IFERROR(__xludf.DUMMYFUNCTION("GOOGLEFINANCE(A489,""marketcap"")"),1.2438060231E11)</f>
        <v>124380602310</v>
      </c>
    </row>
    <row r="490">
      <c r="A490" s="19" t="s">
        <v>927</v>
      </c>
      <c r="B490" s="44"/>
      <c r="C490" s="20" t="s">
        <v>5036</v>
      </c>
      <c r="D490" s="7">
        <f>IFERROR(__xludf.DUMMYFUNCTION("GOOGLEFINANCE(A490,""marketcap"")"),2.968343E10)</f>
        <v>29683430000</v>
      </c>
    </row>
    <row r="491">
      <c r="A491" s="19" t="s">
        <v>933</v>
      </c>
      <c r="B491" s="44"/>
      <c r="C491" s="20" t="s">
        <v>5037</v>
      </c>
      <c r="D491" s="7">
        <f>IFERROR(__xludf.DUMMYFUNCTION("GOOGLEFINANCE(A491,""marketcap"")"),1.6125752909E10)</f>
        <v>16125752909</v>
      </c>
    </row>
    <row r="492">
      <c r="A492" s="19" t="s">
        <v>19</v>
      </c>
      <c r="B492" s="44"/>
      <c r="C492" s="20" t="s">
        <v>5038</v>
      </c>
      <c r="D492" s="7">
        <f>IFERROR(__xludf.DUMMYFUNCTION("GOOGLEFINANCE(A492,""marketcap"")"),5.63561204923E11)</f>
        <v>563561204923</v>
      </c>
    </row>
    <row r="493">
      <c r="A493" s="19" t="s">
        <v>1369</v>
      </c>
      <c r="B493" s="44"/>
      <c r="C493" s="20" t="s">
        <v>5039</v>
      </c>
      <c r="D493" s="7">
        <f>IFERROR(__xludf.DUMMYFUNCTION("GOOGLEFINANCE(A493,""marketcap"")"),6.8784407621E10)</f>
        <v>68784407621</v>
      </c>
    </row>
    <row r="494">
      <c r="A494" s="19" t="s">
        <v>14</v>
      </c>
      <c r="B494" s="44"/>
      <c r="C494" s="20" t="s">
        <v>5040</v>
      </c>
      <c r="D494" s="7">
        <f>IFERROR(__xludf.DUMMYFUNCTION("GOOGLEFINANCE(A494,""marketcap"")"),7.494838E10)</f>
        <v>74948380000</v>
      </c>
    </row>
    <row r="495">
      <c r="A495" s="19" t="s">
        <v>39</v>
      </c>
      <c r="B495" s="44"/>
      <c r="C495" s="20" t="s">
        <v>5041</v>
      </c>
      <c r="D495" s="7">
        <f>IFERROR(__xludf.DUMMYFUNCTION("GOOGLEFINANCE(A495,""marketcap"")"),2.09547165804E11)</f>
        <v>209547165804</v>
      </c>
    </row>
    <row r="496">
      <c r="A496" s="19" t="s">
        <v>958</v>
      </c>
      <c r="B496" s="44"/>
      <c r="C496" s="20" t="s">
        <v>5042</v>
      </c>
      <c r="D496" s="7">
        <f>IFERROR(__xludf.DUMMYFUNCTION("GOOGLEFINANCE(A496,""marketcap"")"),8.6199161575E10)</f>
        <v>86199161575</v>
      </c>
    </row>
    <row r="497">
      <c r="A497" s="19" t="s">
        <v>1628</v>
      </c>
      <c r="B497" s="44"/>
      <c r="C497" s="20" t="s">
        <v>5043</v>
      </c>
      <c r="D497" s="7">
        <f>IFERROR(__xludf.DUMMYFUNCTION("GOOGLEFINANCE(A497,""marketcap"")"),1.53585862887E11)</f>
        <v>153585862887</v>
      </c>
    </row>
    <row r="498">
      <c r="A498" s="19" t="s">
        <v>1323</v>
      </c>
      <c r="B498" s="44"/>
      <c r="C498" s="20" t="s">
        <v>5044</v>
      </c>
      <c r="D498" s="7">
        <f>IFERROR(__xludf.DUMMYFUNCTION("GOOGLEFINANCE(A498,""marketcap"")"),4.242316906E10)</f>
        <v>42423169060</v>
      </c>
    </row>
    <row r="499">
      <c r="A499" s="19" t="s">
        <v>835</v>
      </c>
      <c r="B499" s="44"/>
      <c r="C499" s="20" t="s">
        <v>5045</v>
      </c>
      <c r="D499" s="7">
        <f>IFERROR(__xludf.DUMMYFUNCTION("GOOGLEFINANCE(A499,""marketcap"")"),2.4451133769E10)</f>
        <v>24451133769</v>
      </c>
    </row>
    <row r="500">
      <c r="A500" s="19" t="s">
        <v>849</v>
      </c>
      <c r="B500" s="44"/>
      <c r="C500" s="20" t="s">
        <v>5046</v>
      </c>
      <c r="D500" s="7">
        <f>IFERROR(__xludf.DUMMYFUNCTION("GOOGLEFINANCE(A500,""marketcap"")"),5.8391467776E10)</f>
        <v>58391467776</v>
      </c>
    </row>
    <row r="501">
      <c r="A501" s="19" t="s">
        <v>1200</v>
      </c>
      <c r="B501" s="44"/>
      <c r="C501" s="20" t="s">
        <v>5047</v>
      </c>
      <c r="D501" s="7">
        <f>IFERROR(__xludf.DUMMYFUNCTION("GOOGLEFINANCE(A501,""marketcap"")"),1.8757791239E11)</f>
        <v>187577912390</v>
      </c>
    </row>
    <row r="502">
      <c r="A502" s="19" t="s">
        <v>71</v>
      </c>
      <c r="B502" s="44"/>
      <c r="C502" s="20" t="s">
        <v>5048</v>
      </c>
      <c r="D502" s="7">
        <f>IFERROR(__xludf.DUMMYFUNCTION("GOOGLEFINANCE(A502,""marketcap"")"),1.51510432581E11)</f>
        <v>151510432581</v>
      </c>
    </row>
    <row r="503">
      <c r="A503" s="19" t="s">
        <v>1636</v>
      </c>
      <c r="B503" s="44"/>
      <c r="C503" s="20" t="s">
        <v>5049</v>
      </c>
      <c r="D503" s="7">
        <f>IFERROR(__xludf.DUMMYFUNCTION("GOOGLEFINANCE(A503,""marketcap"")"),8.800693496E10)</f>
        <v>88006934960</v>
      </c>
    </row>
    <row r="504">
      <c r="A504" s="19" t="s">
        <v>1214</v>
      </c>
      <c r="B504" s="44"/>
      <c r="C504" s="20" t="s">
        <v>5050</v>
      </c>
      <c r="D504" s="7">
        <f>IFERROR(__xludf.DUMMYFUNCTION("GOOGLEFINANCE(A504,""marketcap"")"),1.0656124837E10)</f>
        <v>10656124837</v>
      </c>
    </row>
    <row r="505">
      <c r="D505" s="7"/>
    </row>
    <row r="506">
      <c r="D506" s="7"/>
    </row>
    <row r="507">
      <c r="D507" s="7"/>
    </row>
    <row r="508">
      <c r="D508" s="7"/>
    </row>
    <row r="509">
      <c r="D509" s="7"/>
    </row>
    <row r="510">
      <c r="D510" s="7"/>
    </row>
    <row r="511">
      <c r="D511" s="7"/>
    </row>
    <row r="512">
      <c r="D512" s="7"/>
    </row>
    <row r="513">
      <c r="D513" s="7"/>
    </row>
    <row r="514">
      <c r="D514" s="7"/>
    </row>
    <row r="515">
      <c r="D515" s="7"/>
    </row>
    <row r="516">
      <c r="D516" s="7"/>
    </row>
    <row r="517">
      <c r="D517" s="7"/>
    </row>
    <row r="518">
      <c r="D518" s="7"/>
    </row>
    <row r="519">
      <c r="D519" s="7"/>
    </row>
    <row r="520">
      <c r="D520" s="7"/>
    </row>
    <row r="521">
      <c r="D521" s="7"/>
    </row>
    <row r="522">
      <c r="D522" s="7"/>
    </row>
    <row r="523">
      <c r="D523" s="7"/>
    </row>
    <row r="524">
      <c r="D524" s="7"/>
    </row>
    <row r="525">
      <c r="D525" s="7"/>
    </row>
    <row r="526">
      <c r="D526" s="7"/>
    </row>
    <row r="527">
      <c r="D527" s="7"/>
    </row>
    <row r="528">
      <c r="D528" s="7"/>
    </row>
    <row r="529">
      <c r="D529" s="7"/>
    </row>
    <row r="530">
      <c r="D530" s="7"/>
    </row>
    <row r="531">
      <c r="D531" s="7"/>
    </row>
    <row r="532">
      <c r="D532" s="7"/>
    </row>
    <row r="533">
      <c r="D533" s="7"/>
    </row>
    <row r="534">
      <c r="D534" s="7"/>
    </row>
    <row r="535">
      <c r="D535" s="7"/>
    </row>
    <row r="536">
      <c r="D536" s="7"/>
    </row>
    <row r="537">
      <c r="D537" s="7"/>
    </row>
    <row r="538">
      <c r="D538" s="7"/>
    </row>
    <row r="539">
      <c r="D539" s="7"/>
    </row>
    <row r="540">
      <c r="D540" s="7"/>
    </row>
    <row r="541">
      <c r="D541" s="7"/>
    </row>
    <row r="542">
      <c r="D542" s="7"/>
    </row>
    <row r="543">
      <c r="D543" s="7"/>
    </row>
    <row r="544">
      <c r="D544" s="7"/>
    </row>
    <row r="545">
      <c r="D545" s="7"/>
    </row>
    <row r="546">
      <c r="D546" s="7"/>
    </row>
    <row r="547">
      <c r="D547" s="7"/>
    </row>
    <row r="548">
      <c r="D548" s="7"/>
    </row>
    <row r="549">
      <c r="D549" s="7"/>
    </row>
    <row r="550">
      <c r="D550" s="7"/>
    </row>
    <row r="551">
      <c r="D551" s="7"/>
    </row>
    <row r="552">
      <c r="D552" s="7"/>
    </row>
    <row r="553">
      <c r="D553" s="7"/>
    </row>
    <row r="554">
      <c r="D554" s="7"/>
    </row>
    <row r="555">
      <c r="D555" s="7"/>
    </row>
    <row r="556">
      <c r="D556" s="7"/>
    </row>
    <row r="557">
      <c r="D557" s="7"/>
    </row>
    <row r="558">
      <c r="D558" s="7"/>
    </row>
    <row r="559">
      <c r="D559" s="7"/>
    </row>
    <row r="560">
      <c r="D560" s="7"/>
    </row>
    <row r="561">
      <c r="D561" s="7"/>
    </row>
    <row r="562">
      <c r="D562" s="7"/>
    </row>
    <row r="563">
      <c r="D563" s="7"/>
    </row>
    <row r="564">
      <c r="D564" s="7"/>
    </row>
    <row r="565">
      <c r="D565" s="7"/>
    </row>
    <row r="566">
      <c r="D566" s="7"/>
    </row>
    <row r="567">
      <c r="D567" s="7"/>
    </row>
    <row r="568">
      <c r="D568" s="7"/>
    </row>
    <row r="569">
      <c r="D569" s="7"/>
    </row>
    <row r="570">
      <c r="D570" s="7"/>
    </row>
    <row r="571">
      <c r="D571" s="7"/>
    </row>
    <row r="572">
      <c r="D572" s="7"/>
    </row>
    <row r="573">
      <c r="D573" s="7"/>
    </row>
    <row r="574">
      <c r="D574" s="7"/>
    </row>
    <row r="575">
      <c r="D575" s="7"/>
    </row>
    <row r="576">
      <c r="D576" s="7"/>
    </row>
    <row r="577">
      <c r="D577" s="7"/>
    </row>
    <row r="578">
      <c r="D578" s="7"/>
    </row>
    <row r="579">
      <c r="D579" s="7"/>
    </row>
    <row r="580">
      <c r="D580" s="7"/>
    </row>
    <row r="581">
      <c r="D581" s="7"/>
    </row>
    <row r="582">
      <c r="D582" s="7"/>
    </row>
    <row r="583">
      <c r="D583" s="7"/>
    </row>
    <row r="584">
      <c r="D584" s="7"/>
    </row>
    <row r="585">
      <c r="D585" s="7"/>
    </row>
    <row r="586">
      <c r="D586" s="7"/>
    </row>
    <row r="587">
      <c r="D587" s="7"/>
    </row>
    <row r="588">
      <c r="D588" s="7"/>
    </row>
    <row r="589">
      <c r="D589" s="7"/>
    </row>
    <row r="590">
      <c r="D590" s="7"/>
    </row>
    <row r="591">
      <c r="D591" s="7"/>
    </row>
    <row r="592">
      <c r="D592" s="7"/>
    </row>
    <row r="593">
      <c r="D593" s="7"/>
    </row>
    <row r="594">
      <c r="D594" s="7"/>
    </row>
    <row r="595">
      <c r="D595" s="7"/>
    </row>
    <row r="596">
      <c r="D596" s="7"/>
    </row>
    <row r="597">
      <c r="D597" s="7"/>
    </row>
    <row r="598">
      <c r="D598" s="7"/>
    </row>
    <row r="599">
      <c r="D599" s="7"/>
    </row>
    <row r="600">
      <c r="D600" s="7"/>
    </row>
    <row r="601">
      <c r="D601" s="7"/>
    </row>
    <row r="602">
      <c r="D602" s="7"/>
    </row>
    <row r="603">
      <c r="D603" s="7"/>
    </row>
    <row r="604">
      <c r="D604" s="7"/>
    </row>
    <row r="605">
      <c r="D605" s="7"/>
    </row>
    <row r="606">
      <c r="D606" s="7"/>
    </row>
    <row r="607">
      <c r="D607" s="7"/>
    </row>
    <row r="608">
      <c r="D608" s="7"/>
    </row>
    <row r="609">
      <c r="D609" s="7"/>
    </row>
    <row r="610">
      <c r="D610" s="7"/>
    </row>
    <row r="611">
      <c r="D611" s="7"/>
    </row>
    <row r="612">
      <c r="D612" s="7"/>
    </row>
    <row r="613">
      <c r="D613" s="7"/>
    </row>
    <row r="614">
      <c r="D614" s="7"/>
    </row>
    <row r="615">
      <c r="D615" s="7"/>
    </row>
    <row r="616">
      <c r="D616" s="7"/>
    </row>
    <row r="617">
      <c r="D617" s="7"/>
    </row>
    <row r="618">
      <c r="D618" s="7"/>
    </row>
    <row r="619">
      <c r="D619" s="7"/>
    </row>
    <row r="620">
      <c r="D620" s="7"/>
    </row>
    <row r="621">
      <c r="D621" s="7"/>
    </row>
    <row r="622">
      <c r="D622" s="7"/>
    </row>
    <row r="623">
      <c r="D623" s="7"/>
    </row>
    <row r="624">
      <c r="D624" s="7"/>
    </row>
    <row r="625">
      <c r="D625" s="7"/>
    </row>
    <row r="626">
      <c r="D626" s="7"/>
    </row>
    <row r="627">
      <c r="D627" s="7"/>
    </row>
    <row r="628">
      <c r="D628" s="7"/>
    </row>
    <row r="629">
      <c r="D629" s="7"/>
    </row>
    <row r="630">
      <c r="D630" s="7"/>
    </row>
    <row r="631">
      <c r="D631" s="7"/>
    </row>
    <row r="632">
      <c r="D632" s="7"/>
    </row>
    <row r="633">
      <c r="D633" s="7"/>
    </row>
    <row r="634">
      <c r="D634" s="7"/>
    </row>
    <row r="635">
      <c r="D635" s="7"/>
    </row>
    <row r="636">
      <c r="D636" s="7"/>
    </row>
    <row r="637">
      <c r="D637" s="7"/>
    </row>
    <row r="638">
      <c r="D638" s="7"/>
    </row>
    <row r="639">
      <c r="D639" s="7"/>
    </row>
    <row r="640">
      <c r="D640" s="7"/>
    </row>
    <row r="641">
      <c r="D641" s="7"/>
    </row>
    <row r="642">
      <c r="D642" s="7"/>
    </row>
    <row r="643">
      <c r="D643" s="7"/>
    </row>
    <row r="644">
      <c r="D644" s="7"/>
    </row>
    <row r="645">
      <c r="D645" s="7"/>
    </row>
    <row r="646">
      <c r="D646" s="7"/>
    </row>
    <row r="647">
      <c r="D647" s="7"/>
    </row>
    <row r="648">
      <c r="D648" s="7"/>
    </row>
    <row r="649">
      <c r="D649" s="7"/>
    </row>
    <row r="650">
      <c r="D650" s="7"/>
    </row>
    <row r="651">
      <c r="D651" s="7"/>
    </row>
    <row r="652">
      <c r="D652" s="7"/>
    </row>
    <row r="653">
      <c r="D653" s="7"/>
    </row>
    <row r="654">
      <c r="D654" s="7"/>
    </row>
    <row r="655">
      <c r="D655" s="7"/>
    </row>
    <row r="656">
      <c r="D656" s="7"/>
    </row>
    <row r="657">
      <c r="D657" s="7"/>
    </row>
    <row r="658">
      <c r="D658" s="7"/>
    </row>
    <row r="659">
      <c r="D659" s="7"/>
    </row>
    <row r="660">
      <c r="D660" s="7"/>
    </row>
    <row r="661">
      <c r="D661" s="7"/>
    </row>
    <row r="662">
      <c r="D662" s="7"/>
    </row>
    <row r="663">
      <c r="D663" s="7"/>
    </row>
    <row r="664">
      <c r="D664" s="7"/>
    </row>
    <row r="665">
      <c r="D665" s="7"/>
    </row>
    <row r="666">
      <c r="D666" s="7"/>
    </row>
    <row r="667">
      <c r="D667" s="7"/>
    </row>
    <row r="668">
      <c r="D668" s="7"/>
    </row>
    <row r="669">
      <c r="D669" s="7"/>
    </row>
    <row r="670">
      <c r="D670" s="7"/>
    </row>
    <row r="671">
      <c r="D671" s="7"/>
    </row>
    <row r="672">
      <c r="D672" s="7"/>
    </row>
    <row r="673">
      <c r="D673" s="7"/>
    </row>
    <row r="674">
      <c r="D674" s="7"/>
    </row>
    <row r="675">
      <c r="D675" s="7"/>
    </row>
    <row r="676">
      <c r="D676" s="7"/>
    </row>
    <row r="677">
      <c r="D677" s="7"/>
    </row>
    <row r="678">
      <c r="D678" s="7"/>
    </row>
    <row r="679">
      <c r="D679" s="7"/>
    </row>
    <row r="680">
      <c r="D680" s="7"/>
    </row>
    <row r="681">
      <c r="D681" s="7"/>
    </row>
    <row r="682">
      <c r="D682" s="7"/>
    </row>
    <row r="683">
      <c r="D683" s="7"/>
    </row>
    <row r="684">
      <c r="D684" s="7"/>
    </row>
    <row r="685">
      <c r="D685" s="7"/>
    </row>
    <row r="686">
      <c r="D686" s="7"/>
    </row>
    <row r="687">
      <c r="D687" s="7"/>
    </row>
    <row r="688">
      <c r="D688" s="7"/>
    </row>
    <row r="689">
      <c r="D689" s="7"/>
    </row>
    <row r="690">
      <c r="D690" s="7"/>
    </row>
    <row r="691">
      <c r="D691" s="7"/>
    </row>
    <row r="692">
      <c r="D692" s="7"/>
    </row>
    <row r="693">
      <c r="D693" s="7"/>
    </row>
    <row r="694">
      <c r="D694" s="7"/>
    </row>
    <row r="695">
      <c r="D695" s="7"/>
    </row>
    <row r="696">
      <c r="D696" s="7"/>
    </row>
    <row r="697">
      <c r="D697" s="7"/>
    </row>
    <row r="698">
      <c r="D698" s="7"/>
    </row>
    <row r="699">
      <c r="D699" s="7"/>
    </row>
    <row r="700">
      <c r="D700" s="7"/>
    </row>
    <row r="701">
      <c r="D701" s="7"/>
    </row>
    <row r="702">
      <c r="D702" s="7"/>
    </row>
    <row r="703">
      <c r="D703" s="7"/>
    </row>
    <row r="704">
      <c r="D704" s="7"/>
    </row>
    <row r="705">
      <c r="D705" s="7"/>
    </row>
    <row r="706">
      <c r="D706" s="7"/>
    </row>
    <row r="707">
      <c r="D707" s="7"/>
    </row>
    <row r="708">
      <c r="D708" s="7"/>
    </row>
    <row r="709">
      <c r="D709" s="7"/>
    </row>
    <row r="710">
      <c r="D710" s="7"/>
    </row>
    <row r="711">
      <c r="D711" s="7"/>
    </row>
    <row r="712">
      <c r="D712" s="7"/>
    </row>
    <row r="713">
      <c r="D713" s="7"/>
    </row>
    <row r="714">
      <c r="D714" s="7"/>
    </row>
    <row r="715">
      <c r="D715" s="7"/>
    </row>
    <row r="716">
      <c r="D716" s="7"/>
    </row>
    <row r="717">
      <c r="D717" s="7"/>
    </row>
    <row r="718">
      <c r="D718" s="7"/>
    </row>
    <row r="719">
      <c r="D719" s="7"/>
    </row>
    <row r="720">
      <c r="D720" s="7"/>
    </row>
    <row r="721">
      <c r="D721" s="7"/>
    </row>
    <row r="722">
      <c r="D722" s="7"/>
    </row>
    <row r="723">
      <c r="D723" s="7"/>
    </row>
    <row r="724">
      <c r="D724" s="7"/>
    </row>
    <row r="725">
      <c r="D725" s="7"/>
    </row>
    <row r="726">
      <c r="D726" s="7"/>
    </row>
    <row r="727">
      <c r="D727" s="7"/>
    </row>
    <row r="728">
      <c r="D728" s="7"/>
    </row>
    <row r="729">
      <c r="D729" s="7"/>
    </row>
    <row r="730">
      <c r="D730" s="7"/>
    </row>
    <row r="731">
      <c r="D731" s="7"/>
    </row>
    <row r="732">
      <c r="D732" s="7"/>
    </row>
    <row r="733">
      <c r="D733" s="7"/>
    </row>
    <row r="734">
      <c r="D734" s="7"/>
    </row>
    <row r="735">
      <c r="D735" s="7"/>
    </row>
    <row r="736">
      <c r="D736" s="7"/>
    </row>
    <row r="737">
      <c r="D737" s="7"/>
    </row>
    <row r="738">
      <c r="D738" s="7"/>
    </row>
    <row r="739">
      <c r="D739" s="7"/>
    </row>
    <row r="740">
      <c r="D740" s="7"/>
    </row>
    <row r="741">
      <c r="D741" s="7"/>
    </row>
    <row r="742">
      <c r="D742" s="7"/>
    </row>
    <row r="743">
      <c r="D743" s="7"/>
    </row>
    <row r="744">
      <c r="D744" s="7"/>
    </row>
    <row r="745">
      <c r="D745" s="7"/>
    </row>
    <row r="746">
      <c r="D746" s="7"/>
    </row>
    <row r="747">
      <c r="D747" s="7"/>
    </row>
    <row r="748">
      <c r="D748" s="7"/>
    </row>
    <row r="749">
      <c r="D749" s="7"/>
    </row>
    <row r="750">
      <c r="D750" s="7"/>
    </row>
    <row r="751">
      <c r="D751" s="7"/>
    </row>
    <row r="752">
      <c r="D752" s="7"/>
    </row>
    <row r="753">
      <c r="D753" s="7"/>
    </row>
    <row r="754">
      <c r="D754" s="7"/>
    </row>
    <row r="755">
      <c r="D755" s="7"/>
    </row>
    <row r="756">
      <c r="D756" s="7"/>
    </row>
    <row r="757">
      <c r="D757" s="7"/>
    </row>
    <row r="758">
      <c r="D758" s="7"/>
    </row>
    <row r="759">
      <c r="D759" s="7"/>
    </row>
    <row r="760">
      <c r="D760" s="7"/>
    </row>
    <row r="761">
      <c r="D761" s="7"/>
    </row>
    <row r="762">
      <c r="D762" s="7"/>
    </row>
    <row r="763">
      <c r="D763" s="7"/>
    </row>
    <row r="764">
      <c r="D764" s="7"/>
    </row>
    <row r="765">
      <c r="D765" s="7"/>
    </row>
    <row r="766">
      <c r="D766" s="7"/>
    </row>
    <row r="767">
      <c r="D767" s="7"/>
    </row>
    <row r="768">
      <c r="D768" s="7"/>
    </row>
    <row r="769">
      <c r="D769" s="7"/>
    </row>
    <row r="770">
      <c r="D770" s="7"/>
    </row>
    <row r="771">
      <c r="D771" s="7"/>
    </row>
    <row r="772">
      <c r="D772" s="7"/>
    </row>
    <row r="773">
      <c r="D773" s="7"/>
    </row>
    <row r="774">
      <c r="D774" s="7"/>
    </row>
    <row r="775">
      <c r="D775" s="7"/>
    </row>
    <row r="776">
      <c r="D776" s="7"/>
    </row>
    <row r="777">
      <c r="D777" s="7"/>
    </row>
    <row r="778">
      <c r="D778" s="7"/>
    </row>
    <row r="779">
      <c r="D779" s="7"/>
    </row>
    <row r="780">
      <c r="D780" s="7"/>
    </row>
    <row r="781">
      <c r="D781" s="7"/>
    </row>
    <row r="782">
      <c r="D782" s="7"/>
    </row>
    <row r="783">
      <c r="D783" s="7"/>
    </row>
    <row r="784">
      <c r="D784" s="7"/>
    </row>
    <row r="785">
      <c r="D785" s="7"/>
    </row>
    <row r="786">
      <c r="D786" s="7"/>
    </row>
    <row r="787">
      <c r="D787" s="7"/>
    </row>
    <row r="788">
      <c r="D788" s="7"/>
    </row>
    <row r="789">
      <c r="D789" s="7"/>
    </row>
    <row r="790">
      <c r="D790" s="7"/>
    </row>
    <row r="791">
      <c r="D791" s="7"/>
    </row>
    <row r="792">
      <c r="D792" s="7"/>
    </row>
    <row r="793">
      <c r="D793" s="7"/>
    </row>
    <row r="794">
      <c r="D794" s="7"/>
    </row>
    <row r="795">
      <c r="D795" s="7"/>
    </row>
    <row r="796">
      <c r="D796" s="7"/>
    </row>
    <row r="797">
      <c r="D797" s="7"/>
    </row>
    <row r="798">
      <c r="D798" s="7"/>
    </row>
    <row r="799">
      <c r="D799" s="7"/>
    </row>
    <row r="800">
      <c r="D800" s="7"/>
    </row>
    <row r="801">
      <c r="D801" s="7"/>
    </row>
    <row r="802">
      <c r="D802" s="7"/>
    </row>
    <row r="803">
      <c r="D803" s="7"/>
    </row>
    <row r="804">
      <c r="D804" s="7"/>
    </row>
    <row r="805">
      <c r="D805" s="7"/>
    </row>
    <row r="806">
      <c r="D806" s="7"/>
    </row>
    <row r="807">
      <c r="D807" s="7"/>
    </row>
    <row r="808">
      <c r="D808" s="7"/>
    </row>
    <row r="809">
      <c r="D809" s="7"/>
    </row>
    <row r="810">
      <c r="D810" s="7"/>
    </row>
    <row r="811">
      <c r="D811" s="7"/>
    </row>
    <row r="812">
      <c r="D812" s="7"/>
    </row>
    <row r="813">
      <c r="D813" s="7"/>
    </row>
    <row r="814">
      <c r="D814" s="7"/>
    </row>
    <row r="815">
      <c r="D815" s="7"/>
    </row>
    <row r="816">
      <c r="D816" s="7"/>
    </row>
    <row r="817">
      <c r="D817" s="7"/>
    </row>
    <row r="818">
      <c r="D818" s="7"/>
    </row>
    <row r="819">
      <c r="D819" s="7"/>
    </row>
    <row r="820">
      <c r="D820" s="7"/>
    </row>
    <row r="821">
      <c r="D821" s="7"/>
    </row>
    <row r="822">
      <c r="D822" s="7"/>
    </row>
    <row r="823">
      <c r="D823" s="7"/>
    </row>
    <row r="824">
      <c r="D824" s="7"/>
    </row>
    <row r="825">
      <c r="D825" s="7"/>
    </row>
    <row r="826">
      <c r="D826" s="7"/>
    </row>
    <row r="827">
      <c r="D827" s="7"/>
    </row>
    <row r="828">
      <c r="D828" s="7"/>
    </row>
    <row r="829">
      <c r="D829" s="7"/>
    </row>
    <row r="830">
      <c r="D830" s="7"/>
    </row>
    <row r="831">
      <c r="D831" s="7"/>
    </row>
    <row r="832">
      <c r="D832" s="7"/>
    </row>
    <row r="833">
      <c r="D833" s="7"/>
    </row>
    <row r="834">
      <c r="D834" s="7"/>
    </row>
    <row r="835">
      <c r="D835" s="7"/>
    </row>
    <row r="836">
      <c r="D836" s="7"/>
    </row>
    <row r="837">
      <c r="D837" s="7"/>
    </row>
    <row r="838">
      <c r="D838" s="7"/>
    </row>
    <row r="839">
      <c r="D839" s="7"/>
    </row>
    <row r="840">
      <c r="D840" s="7"/>
    </row>
    <row r="841">
      <c r="D841" s="7"/>
    </row>
    <row r="842">
      <c r="D842" s="7"/>
    </row>
    <row r="843">
      <c r="D843" s="7"/>
    </row>
    <row r="844">
      <c r="D844" s="7"/>
    </row>
    <row r="845">
      <c r="D845" s="7"/>
    </row>
    <row r="846">
      <c r="D846" s="7"/>
    </row>
    <row r="847">
      <c r="D847" s="7"/>
    </row>
    <row r="848">
      <c r="D848" s="7"/>
    </row>
    <row r="849">
      <c r="D849" s="7"/>
    </row>
    <row r="850">
      <c r="D850" s="7"/>
    </row>
    <row r="851">
      <c r="D851" s="7"/>
    </row>
    <row r="852">
      <c r="D852" s="7"/>
    </row>
    <row r="853">
      <c r="D853" s="7"/>
    </row>
    <row r="854">
      <c r="D854" s="7"/>
    </row>
    <row r="855">
      <c r="D855" s="7"/>
    </row>
    <row r="856">
      <c r="D856" s="7"/>
    </row>
    <row r="857">
      <c r="D857" s="7"/>
    </row>
    <row r="858">
      <c r="D858" s="7"/>
    </row>
    <row r="859">
      <c r="D859" s="7"/>
    </row>
    <row r="860">
      <c r="D860" s="7"/>
    </row>
    <row r="861">
      <c r="D861" s="7"/>
    </row>
    <row r="862">
      <c r="D862" s="7"/>
    </row>
    <row r="863">
      <c r="D863" s="7"/>
    </row>
    <row r="864">
      <c r="D864" s="7"/>
    </row>
    <row r="865">
      <c r="D865" s="7"/>
    </row>
    <row r="866">
      <c r="D866" s="7"/>
    </row>
    <row r="867">
      <c r="D867" s="7"/>
    </row>
    <row r="868">
      <c r="D868" s="7"/>
    </row>
    <row r="869">
      <c r="D869" s="7"/>
    </row>
    <row r="870">
      <c r="D870" s="7"/>
    </row>
    <row r="871">
      <c r="D871" s="7"/>
    </row>
    <row r="872">
      <c r="D872" s="7"/>
    </row>
    <row r="873">
      <c r="D873" s="7"/>
    </row>
    <row r="874">
      <c r="D874" s="7"/>
    </row>
    <row r="875">
      <c r="D875" s="7"/>
    </row>
    <row r="876">
      <c r="D876" s="7"/>
    </row>
    <row r="877">
      <c r="D877" s="7"/>
    </row>
    <row r="878">
      <c r="D878" s="7"/>
    </row>
    <row r="879">
      <c r="D879" s="7"/>
    </row>
    <row r="880">
      <c r="D880" s="7"/>
    </row>
    <row r="881">
      <c r="D881" s="7"/>
    </row>
    <row r="882">
      <c r="D882" s="7"/>
    </row>
    <row r="883">
      <c r="D883" s="7"/>
    </row>
    <row r="884">
      <c r="D884" s="7"/>
    </row>
    <row r="885">
      <c r="D885" s="7"/>
    </row>
    <row r="886">
      <c r="D886" s="7"/>
    </row>
    <row r="887">
      <c r="D887" s="7"/>
    </row>
    <row r="888">
      <c r="D888" s="7"/>
    </row>
    <row r="889">
      <c r="D889" s="7"/>
    </row>
    <row r="890">
      <c r="D890" s="7"/>
    </row>
    <row r="891">
      <c r="D891" s="7"/>
    </row>
    <row r="892">
      <c r="D892" s="7"/>
    </row>
    <row r="893">
      <c r="D893" s="7"/>
    </row>
    <row r="894">
      <c r="D894" s="7"/>
    </row>
    <row r="895">
      <c r="D895" s="7"/>
    </row>
    <row r="896">
      <c r="D896" s="7"/>
    </row>
    <row r="897">
      <c r="D897" s="7"/>
    </row>
    <row r="898">
      <c r="D898" s="7"/>
    </row>
    <row r="899">
      <c r="D899" s="7"/>
    </row>
    <row r="900">
      <c r="D900" s="7"/>
    </row>
    <row r="901">
      <c r="D901" s="7"/>
    </row>
    <row r="902">
      <c r="D902" s="7"/>
    </row>
    <row r="903">
      <c r="D903" s="7"/>
    </row>
    <row r="904">
      <c r="D904" s="7"/>
    </row>
    <row r="905">
      <c r="D905" s="7"/>
    </row>
    <row r="906">
      <c r="D906" s="7"/>
    </row>
    <row r="907">
      <c r="D907" s="7"/>
    </row>
    <row r="908">
      <c r="D908" s="7"/>
    </row>
    <row r="909">
      <c r="D909" s="7"/>
    </row>
    <row r="910">
      <c r="D910" s="7"/>
    </row>
    <row r="911">
      <c r="D911" s="7"/>
    </row>
    <row r="912">
      <c r="D912" s="7"/>
    </row>
    <row r="913">
      <c r="D913" s="7"/>
    </row>
    <row r="914">
      <c r="D914" s="7"/>
    </row>
    <row r="915">
      <c r="D915" s="7"/>
    </row>
    <row r="916">
      <c r="D916" s="7"/>
    </row>
    <row r="917">
      <c r="D917" s="7"/>
    </row>
    <row r="918">
      <c r="D918" s="7"/>
    </row>
    <row r="919">
      <c r="D919" s="7"/>
    </row>
    <row r="920">
      <c r="D920" s="7"/>
    </row>
    <row r="921">
      <c r="D921" s="7"/>
    </row>
    <row r="922">
      <c r="D922" s="7"/>
    </row>
    <row r="923">
      <c r="D923" s="7"/>
    </row>
    <row r="924">
      <c r="D924" s="7"/>
    </row>
    <row r="925">
      <c r="D925" s="7"/>
    </row>
    <row r="926">
      <c r="D926" s="7"/>
    </row>
    <row r="927">
      <c r="D927" s="7"/>
    </row>
    <row r="928">
      <c r="D928" s="7"/>
    </row>
    <row r="929">
      <c r="D929" s="7"/>
    </row>
    <row r="930">
      <c r="D930" s="7"/>
    </row>
    <row r="931">
      <c r="D931" s="7"/>
    </row>
    <row r="932">
      <c r="D932" s="7"/>
    </row>
    <row r="933">
      <c r="D933" s="7"/>
    </row>
    <row r="934">
      <c r="D934" s="7"/>
    </row>
    <row r="935">
      <c r="D935" s="7"/>
    </row>
    <row r="936">
      <c r="D936" s="7"/>
    </row>
    <row r="937">
      <c r="D937" s="7"/>
    </row>
    <row r="938">
      <c r="D938" s="7"/>
    </row>
    <row r="939">
      <c r="D939" s="7"/>
    </row>
    <row r="940">
      <c r="D940" s="7"/>
    </row>
    <row r="941">
      <c r="D941" s="7"/>
    </row>
    <row r="942">
      <c r="D942" s="7"/>
    </row>
    <row r="943">
      <c r="D943" s="7"/>
    </row>
    <row r="944">
      <c r="D944" s="7"/>
    </row>
    <row r="945">
      <c r="D945" s="7"/>
    </row>
    <row r="946">
      <c r="D946" s="7"/>
    </row>
    <row r="947">
      <c r="D947" s="7"/>
    </row>
    <row r="948">
      <c r="D948" s="7"/>
    </row>
    <row r="949">
      <c r="D949" s="7"/>
    </row>
    <row r="950">
      <c r="D950" s="7"/>
    </row>
    <row r="951">
      <c r="D951" s="7"/>
    </row>
    <row r="952">
      <c r="D952" s="7"/>
    </row>
    <row r="953">
      <c r="D953" s="7"/>
    </row>
    <row r="954">
      <c r="D954" s="7"/>
    </row>
    <row r="955">
      <c r="D955" s="7"/>
    </row>
    <row r="956">
      <c r="D956" s="7"/>
    </row>
    <row r="957">
      <c r="D957" s="7"/>
    </row>
    <row r="958">
      <c r="D958" s="7"/>
    </row>
    <row r="959">
      <c r="D959" s="7"/>
    </row>
    <row r="960">
      <c r="D960" s="7"/>
    </row>
    <row r="961">
      <c r="D961" s="7"/>
    </row>
    <row r="962">
      <c r="D962" s="7"/>
    </row>
    <row r="963">
      <c r="D963" s="7"/>
    </row>
    <row r="964">
      <c r="D964" s="7"/>
    </row>
    <row r="965">
      <c r="D965" s="7"/>
    </row>
    <row r="966">
      <c r="D966" s="7"/>
    </row>
    <row r="967">
      <c r="D967" s="7"/>
    </row>
    <row r="968">
      <c r="D968" s="7"/>
    </row>
    <row r="969">
      <c r="D969" s="7"/>
    </row>
    <row r="970">
      <c r="D970" s="7"/>
    </row>
    <row r="971">
      <c r="D971" s="7"/>
    </row>
    <row r="972">
      <c r="D972" s="7"/>
    </row>
    <row r="973">
      <c r="D973" s="7"/>
    </row>
    <row r="974">
      <c r="D974" s="7"/>
    </row>
    <row r="975">
      <c r="D975" s="7"/>
    </row>
    <row r="976">
      <c r="D976" s="7"/>
    </row>
    <row r="977">
      <c r="D977" s="7"/>
    </row>
    <row r="978">
      <c r="D978" s="7"/>
    </row>
    <row r="979">
      <c r="D979" s="7"/>
    </row>
    <row r="980">
      <c r="D980" s="7"/>
    </row>
    <row r="981">
      <c r="D981" s="7"/>
    </row>
    <row r="982">
      <c r="D982" s="7"/>
    </row>
    <row r="983">
      <c r="D983" s="7"/>
    </row>
    <row r="984">
      <c r="D984" s="7"/>
    </row>
    <row r="985">
      <c r="D985" s="7"/>
    </row>
    <row r="986">
      <c r="D986" s="7"/>
    </row>
    <row r="987">
      <c r="D987" s="7"/>
    </row>
    <row r="988">
      <c r="D988" s="7"/>
    </row>
    <row r="989">
      <c r="D989" s="7"/>
    </row>
    <row r="990">
      <c r="D990" s="7"/>
    </row>
    <row r="991">
      <c r="D991" s="7"/>
    </row>
    <row r="992">
      <c r="D992" s="7"/>
    </row>
    <row r="993">
      <c r="D993" s="7"/>
    </row>
    <row r="994">
      <c r="D994" s="7"/>
    </row>
    <row r="995">
      <c r="D995" s="7"/>
    </row>
    <row r="996">
      <c r="D996" s="7"/>
    </row>
    <row r="997">
      <c r="D997" s="7"/>
    </row>
    <row r="998">
      <c r="D998" s="7"/>
    </row>
    <row r="999">
      <c r="D999" s="7"/>
    </row>
    <row r="1000">
      <c r="D1000" s="7"/>
    </row>
  </sheetData>
  <autoFilter ref="$H$1:$K$16">
    <sortState ref="H1:K16">
      <sortCondition descending="1" ref="K1:K16"/>
    </sortState>
  </autoFilter>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40" t="s">
        <v>623</v>
      </c>
      <c r="B1" s="40" t="s">
        <v>624</v>
      </c>
      <c r="C1" s="40" t="s">
        <v>625</v>
      </c>
      <c r="D1" s="40" t="s">
        <v>626</v>
      </c>
    </row>
    <row r="2">
      <c r="A2" s="19" t="s">
        <v>647</v>
      </c>
      <c r="B2" s="20" t="s">
        <v>5051</v>
      </c>
      <c r="C2" s="20">
        <v>85.0</v>
      </c>
      <c r="D2" s="41">
        <v>45540.0</v>
      </c>
    </row>
    <row r="3">
      <c r="A3" s="19" t="s">
        <v>662</v>
      </c>
      <c r="B3" s="20" t="s">
        <v>5052</v>
      </c>
      <c r="C3" s="20">
        <v>80.0</v>
      </c>
      <c r="D3" s="41">
        <v>45540.0</v>
      </c>
    </row>
    <row r="4">
      <c r="A4" s="19" t="s">
        <v>173</v>
      </c>
      <c r="B4" s="20" t="s">
        <v>5053</v>
      </c>
      <c r="C4" s="20">
        <v>80.0</v>
      </c>
      <c r="D4" s="41">
        <v>45540.0</v>
      </c>
    </row>
    <row r="5">
      <c r="A5" s="19" t="s">
        <v>188</v>
      </c>
      <c r="B5" s="20" t="s">
        <v>5054</v>
      </c>
      <c r="C5" s="20">
        <v>80.0</v>
      </c>
      <c r="D5" s="41">
        <v>45540.0</v>
      </c>
    </row>
    <row r="6">
      <c r="A6" s="19" t="s">
        <v>107</v>
      </c>
      <c r="B6" s="20" t="s">
        <v>5055</v>
      </c>
      <c r="C6" s="20">
        <v>80.0</v>
      </c>
      <c r="D6" s="41">
        <v>45540.0</v>
      </c>
    </row>
    <row r="7">
      <c r="A7" s="19" t="s">
        <v>309</v>
      </c>
      <c r="B7" s="20" t="s">
        <v>5056</v>
      </c>
      <c r="C7" s="20">
        <v>80.0</v>
      </c>
      <c r="D7" s="41">
        <v>45540.0</v>
      </c>
    </row>
    <row r="8">
      <c r="A8" s="19" t="s">
        <v>675</v>
      </c>
      <c r="B8" s="20" t="s">
        <v>5057</v>
      </c>
      <c r="C8" s="20">
        <v>75.0</v>
      </c>
      <c r="D8" s="41">
        <v>45540.0</v>
      </c>
    </row>
    <row r="9">
      <c r="A9" s="19" t="s">
        <v>700</v>
      </c>
      <c r="B9" s="20" t="s">
        <v>5058</v>
      </c>
      <c r="C9" s="20">
        <v>75.0</v>
      </c>
      <c r="D9" s="41">
        <v>45540.0</v>
      </c>
    </row>
    <row r="10">
      <c r="A10" s="19" t="s">
        <v>698</v>
      </c>
      <c r="B10" s="20" t="s">
        <v>5059</v>
      </c>
      <c r="C10" s="20">
        <v>75.0</v>
      </c>
      <c r="D10" s="41">
        <v>45540.0</v>
      </c>
    </row>
    <row r="11">
      <c r="A11" s="19" t="s">
        <v>312</v>
      </c>
      <c r="B11" s="20" t="s">
        <v>5060</v>
      </c>
      <c r="C11" s="20">
        <v>75.0</v>
      </c>
      <c r="D11" s="41">
        <v>45540.0</v>
      </c>
    </row>
    <row r="12">
      <c r="A12" s="19" t="s">
        <v>753</v>
      </c>
      <c r="B12" s="20" t="s">
        <v>5061</v>
      </c>
      <c r="C12" s="20">
        <v>75.0</v>
      </c>
      <c r="D12" s="41">
        <v>45540.0</v>
      </c>
    </row>
    <row r="13">
      <c r="A13" s="19" t="s">
        <v>642</v>
      </c>
      <c r="B13" s="20" t="s">
        <v>5062</v>
      </c>
      <c r="C13" s="20">
        <v>75.0</v>
      </c>
      <c r="D13" s="41">
        <v>45540.0</v>
      </c>
    </row>
    <row r="14">
      <c r="A14" s="19" t="s">
        <v>723</v>
      </c>
      <c r="B14" s="20" t="s">
        <v>5063</v>
      </c>
      <c r="C14" s="20">
        <v>75.0</v>
      </c>
      <c r="D14" s="41">
        <v>45540.0</v>
      </c>
    </row>
    <row r="15">
      <c r="A15" s="19" t="s">
        <v>738</v>
      </c>
      <c r="B15" s="20" t="s">
        <v>5064</v>
      </c>
      <c r="C15" s="20">
        <v>75.0</v>
      </c>
      <c r="D15" s="41">
        <v>45540.0</v>
      </c>
    </row>
    <row r="16">
      <c r="A16" s="19" t="s">
        <v>717</v>
      </c>
      <c r="B16" s="20" t="s">
        <v>5065</v>
      </c>
      <c r="C16" s="20">
        <v>75.0</v>
      </c>
      <c r="D16" s="41">
        <v>45540.0</v>
      </c>
    </row>
    <row r="17">
      <c r="A17" s="19" t="s">
        <v>740</v>
      </c>
      <c r="B17" s="20" t="s">
        <v>5066</v>
      </c>
      <c r="C17" s="20">
        <v>75.0</v>
      </c>
      <c r="D17" s="41">
        <v>45540.0</v>
      </c>
    </row>
    <row r="18">
      <c r="A18" s="19" t="s">
        <v>742</v>
      </c>
      <c r="B18" s="20" t="s">
        <v>5067</v>
      </c>
      <c r="C18" s="20">
        <v>75.0</v>
      </c>
      <c r="D18" s="41">
        <v>45540.0</v>
      </c>
    </row>
    <row r="19">
      <c r="A19" s="19" t="s">
        <v>194</v>
      </c>
      <c r="B19" s="20" t="s">
        <v>5068</v>
      </c>
      <c r="C19" s="20">
        <v>75.0</v>
      </c>
      <c r="D19" s="41">
        <v>45540.0</v>
      </c>
    </row>
    <row r="20">
      <c r="A20" s="19" t="s">
        <v>649</v>
      </c>
      <c r="B20" s="20" t="s">
        <v>5069</v>
      </c>
      <c r="C20" s="20">
        <v>75.0</v>
      </c>
      <c r="D20" s="41">
        <v>45540.0</v>
      </c>
    </row>
    <row r="21">
      <c r="A21" s="19" t="s">
        <v>159</v>
      </c>
      <c r="B21" s="20" t="s">
        <v>5070</v>
      </c>
      <c r="C21" s="20">
        <v>75.0</v>
      </c>
      <c r="D21" s="41">
        <v>45540.0</v>
      </c>
    </row>
    <row r="22">
      <c r="A22" s="19" t="s">
        <v>656</v>
      </c>
      <c r="B22" s="20" t="s">
        <v>5071</v>
      </c>
      <c r="C22" s="20">
        <v>75.0</v>
      </c>
      <c r="D22" s="41">
        <v>45540.0</v>
      </c>
    </row>
    <row r="23">
      <c r="A23" s="19" t="s">
        <v>156</v>
      </c>
      <c r="B23" s="20" t="s">
        <v>5072</v>
      </c>
      <c r="C23" s="20">
        <v>75.0</v>
      </c>
      <c r="D23" s="41">
        <v>45540.0</v>
      </c>
    </row>
    <row r="24">
      <c r="A24" s="19" t="s">
        <v>153</v>
      </c>
      <c r="B24" s="20" t="s">
        <v>5073</v>
      </c>
      <c r="C24" s="20">
        <v>75.0</v>
      </c>
      <c r="D24" s="41">
        <v>45540.0</v>
      </c>
    </row>
    <row r="25">
      <c r="A25" s="19" t="s">
        <v>684</v>
      </c>
      <c r="B25" s="20" t="s">
        <v>5074</v>
      </c>
      <c r="C25" s="20">
        <v>75.0</v>
      </c>
      <c r="D25" s="41">
        <v>45540.0</v>
      </c>
    </row>
    <row r="26">
      <c r="A26" s="19" t="s">
        <v>634</v>
      </c>
      <c r="B26" s="20" t="s">
        <v>5075</v>
      </c>
      <c r="C26" s="20">
        <v>75.0</v>
      </c>
      <c r="D26" s="41">
        <v>45540.0</v>
      </c>
    </row>
    <row r="27">
      <c r="A27" s="19" t="s">
        <v>111</v>
      </c>
      <c r="B27" s="20" t="s">
        <v>5076</v>
      </c>
      <c r="C27" s="20">
        <v>75.0</v>
      </c>
      <c r="D27" s="41">
        <v>45540.0</v>
      </c>
    </row>
    <row r="28">
      <c r="A28" s="19" t="s">
        <v>731</v>
      </c>
      <c r="B28" s="20" t="s">
        <v>5077</v>
      </c>
      <c r="C28" s="20">
        <v>75.0</v>
      </c>
      <c r="D28" s="41">
        <v>45540.0</v>
      </c>
    </row>
    <row r="29">
      <c r="A29" s="19" t="s">
        <v>119</v>
      </c>
      <c r="B29" s="20" t="s">
        <v>5078</v>
      </c>
      <c r="C29" s="20">
        <v>75.0</v>
      </c>
      <c r="D29" s="41">
        <v>45540.0</v>
      </c>
    </row>
    <row r="30">
      <c r="A30" s="19" t="s">
        <v>670</v>
      </c>
      <c r="B30" s="20" t="s">
        <v>5079</v>
      </c>
      <c r="C30" s="20">
        <v>75.0</v>
      </c>
      <c r="D30" s="41">
        <v>45540.0</v>
      </c>
    </row>
    <row r="31">
      <c r="A31" s="19" t="s">
        <v>708</v>
      </c>
      <c r="B31" s="20" t="s">
        <v>5080</v>
      </c>
      <c r="C31" s="20">
        <v>75.0</v>
      </c>
      <c r="D31" s="41">
        <v>45540.0</v>
      </c>
    </row>
    <row r="32">
      <c r="A32" s="19" t="s">
        <v>638</v>
      </c>
      <c r="B32" s="20" t="s">
        <v>5081</v>
      </c>
      <c r="C32" s="20">
        <v>75.0</v>
      </c>
      <c r="D32" s="41">
        <v>45540.0</v>
      </c>
    </row>
    <row r="33">
      <c r="A33" s="19" t="s">
        <v>115</v>
      </c>
      <c r="B33" s="20" t="s">
        <v>5082</v>
      </c>
      <c r="C33" s="20">
        <v>75.0</v>
      </c>
      <c r="D33" s="41">
        <v>45540.0</v>
      </c>
    </row>
    <row r="34">
      <c r="A34" s="19" t="s">
        <v>150</v>
      </c>
      <c r="B34" s="20" t="s">
        <v>5083</v>
      </c>
      <c r="C34" s="20">
        <v>70.0</v>
      </c>
      <c r="D34" s="41">
        <v>45540.0</v>
      </c>
    </row>
    <row r="35">
      <c r="A35" s="19" t="s">
        <v>712</v>
      </c>
      <c r="B35" s="20" t="s">
        <v>5084</v>
      </c>
      <c r="C35" s="20">
        <v>70.0</v>
      </c>
      <c r="D35" s="41">
        <v>45540.0</v>
      </c>
    </row>
    <row r="36">
      <c r="A36" s="19" t="s">
        <v>725</v>
      </c>
      <c r="B36" s="20" t="s">
        <v>5085</v>
      </c>
      <c r="C36" s="20">
        <v>70.0</v>
      </c>
      <c r="D36" s="41">
        <v>45540.0</v>
      </c>
    </row>
    <row r="37">
      <c r="A37" s="19" t="s">
        <v>749</v>
      </c>
      <c r="B37" s="20" t="s">
        <v>5086</v>
      </c>
      <c r="C37" s="20">
        <v>70.0</v>
      </c>
      <c r="D37" s="41">
        <v>45540.0</v>
      </c>
    </row>
    <row r="38">
      <c r="A38" s="19" t="s">
        <v>751</v>
      </c>
      <c r="B38" s="20" t="s">
        <v>5087</v>
      </c>
      <c r="C38" s="20">
        <v>70.0</v>
      </c>
      <c r="D38" s="41">
        <v>45540.0</v>
      </c>
    </row>
    <row r="39">
      <c r="A39" s="19" t="s">
        <v>755</v>
      </c>
      <c r="B39" s="20" t="s">
        <v>5088</v>
      </c>
      <c r="C39" s="20">
        <v>70.0</v>
      </c>
      <c r="D39" s="41">
        <v>45540.0</v>
      </c>
    </row>
    <row r="40">
      <c r="A40" s="19" t="s">
        <v>148</v>
      </c>
      <c r="B40" s="20" t="s">
        <v>5089</v>
      </c>
      <c r="C40" s="20">
        <v>70.0</v>
      </c>
      <c r="D40" s="41">
        <v>45540.0</v>
      </c>
    </row>
    <row r="41">
      <c r="A41" s="19" t="s">
        <v>719</v>
      </c>
      <c r="B41" s="20" t="s">
        <v>5090</v>
      </c>
      <c r="C41" s="20">
        <v>70.0</v>
      </c>
      <c r="D41" s="41">
        <v>45540.0</v>
      </c>
    </row>
    <row r="42">
      <c r="A42" s="19" t="s">
        <v>706</v>
      </c>
      <c r="B42" s="20" t="s">
        <v>5091</v>
      </c>
      <c r="C42" s="20">
        <v>70.0</v>
      </c>
      <c r="D42" s="41">
        <v>45540.0</v>
      </c>
    </row>
    <row r="43">
      <c r="A43" s="19" t="s">
        <v>103</v>
      </c>
      <c r="B43" s="20" t="s">
        <v>5092</v>
      </c>
      <c r="C43" s="20">
        <v>70.0</v>
      </c>
      <c r="D43" s="41">
        <v>45540.0</v>
      </c>
    </row>
    <row r="44">
      <c r="A44" s="19" t="s">
        <v>660</v>
      </c>
      <c r="B44" s="20" t="s">
        <v>5093</v>
      </c>
      <c r="C44" s="20">
        <v>70.0</v>
      </c>
      <c r="D44" s="41">
        <v>45540.0</v>
      </c>
    </row>
    <row r="45">
      <c r="A45" s="19" t="s">
        <v>177</v>
      </c>
      <c r="B45" s="20" t="s">
        <v>5094</v>
      </c>
      <c r="C45" s="20">
        <v>70.0</v>
      </c>
      <c r="D45" s="41">
        <v>45540.0</v>
      </c>
    </row>
    <row r="46">
      <c r="A46" s="19" t="s">
        <v>664</v>
      </c>
      <c r="B46" s="20" t="s">
        <v>5095</v>
      </c>
      <c r="C46" s="20">
        <v>70.0</v>
      </c>
      <c r="D46" s="41">
        <v>45540.0</v>
      </c>
    </row>
    <row r="47">
      <c r="A47" s="19" t="s">
        <v>727</v>
      </c>
      <c r="B47" s="20" t="s">
        <v>5096</v>
      </c>
      <c r="C47" s="20">
        <v>70.0</v>
      </c>
      <c r="D47" s="41">
        <v>45540.0</v>
      </c>
    </row>
    <row r="48">
      <c r="A48" s="19" t="s">
        <v>666</v>
      </c>
      <c r="B48" s="20" t="s">
        <v>5097</v>
      </c>
      <c r="C48" s="20">
        <v>70.0</v>
      </c>
      <c r="D48" s="41">
        <v>45540.0</v>
      </c>
    </row>
    <row r="49">
      <c r="A49" s="19" t="s">
        <v>704</v>
      </c>
      <c r="B49" s="20" t="s">
        <v>5098</v>
      </c>
      <c r="C49" s="20">
        <v>70.0</v>
      </c>
      <c r="D49" s="41">
        <v>45540.0</v>
      </c>
    </row>
    <row r="50">
      <c r="A50" s="42"/>
      <c r="B50" s="20" t="s">
        <v>5096</v>
      </c>
      <c r="C50" s="20">
        <v>70.0</v>
      </c>
      <c r="D50" s="41">
        <v>45540.0</v>
      </c>
    </row>
    <row r="51">
      <c r="A51" s="19" t="s">
        <v>640</v>
      </c>
      <c r="B51" s="20" t="s">
        <v>5099</v>
      </c>
      <c r="C51" s="20">
        <v>70.0</v>
      </c>
      <c r="D51" s="41">
        <v>45540.0</v>
      </c>
    </row>
    <row r="52">
      <c r="A52" s="19" t="s">
        <v>682</v>
      </c>
      <c r="B52" s="20" t="s">
        <v>5100</v>
      </c>
      <c r="C52" s="20">
        <v>70.0</v>
      </c>
      <c r="D52" s="41">
        <v>45540.0</v>
      </c>
    </row>
    <row r="53">
      <c r="A53" s="19" t="s">
        <v>690</v>
      </c>
      <c r="B53" s="20" t="s">
        <v>5101</v>
      </c>
      <c r="C53" s="20">
        <v>70.0</v>
      </c>
      <c r="D53" s="41">
        <v>45540.0</v>
      </c>
    </row>
    <row r="54">
      <c r="A54" s="19" t="s">
        <v>654</v>
      </c>
      <c r="B54" s="20" t="s">
        <v>5102</v>
      </c>
      <c r="C54" s="20">
        <v>70.0</v>
      </c>
      <c r="D54" s="41">
        <v>45540.0</v>
      </c>
    </row>
    <row r="55">
      <c r="A55" s="19" t="s">
        <v>692</v>
      </c>
      <c r="B55" s="20" t="s">
        <v>5103</v>
      </c>
      <c r="C55" s="20">
        <v>70.0</v>
      </c>
      <c r="D55" s="41">
        <v>45540.0</v>
      </c>
    </row>
    <row r="56">
      <c r="A56" s="19" t="s">
        <v>702</v>
      </c>
      <c r="B56" s="20" t="s">
        <v>5104</v>
      </c>
      <c r="C56" s="20">
        <v>70.0</v>
      </c>
      <c r="D56" s="41">
        <v>45540.0</v>
      </c>
    </row>
    <row r="57">
      <c r="A57" s="19" t="s">
        <v>688</v>
      </c>
      <c r="B57" s="20" t="s">
        <v>5105</v>
      </c>
      <c r="C57" s="20">
        <v>65.0</v>
      </c>
      <c r="D57" s="41">
        <v>45540.0</v>
      </c>
    </row>
    <row r="58">
      <c r="A58" s="19" t="s">
        <v>721</v>
      </c>
      <c r="B58" s="20" t="s">
        <v>5106</v>
      </c>
      <c r="C58" s="20">
        <v>65.0</v>
      </c>
      <c r="D58" s="41">
        <v>45540.0</v>
      </c>
    </row>
    <row r="59">
      <c r="A59" s="19" t="s">
        <v>672</v>
      </c>
      <c r="B59" s="20" t="s">
        <v>5107</v>
      </c>
      <c r="C59" s="20">
        <v>65.0</v>
      </c>
      <c r="D59" s="41">
        <v>45540.0</v>
      </c>
    </row>
    <row r="60">
      <c r="A60" s="19" t="s">
        <v>636</v>
      </c>
      <c r="B60" s="20" t="s">
        <v>5108</v>
      </c>
      <c r="C60" s="20">
        <v>65.0</v>
      </c>
      <c r="D60" s="41">
        <v>45540.0</v>
      </c>
    </row>
    <row r="61">
      <c r="A61" s="19" t="s">
        <v>645</v>
      </c>
      <c r="B61" s="20" t="s">
        <v>5109</v>
      </c>
      <c r="C61" s="20">
        <v>65.0</v>
      </c>
      <c r="D61" s="41">
        <v>45540.0</v>
      </c>
    </row>
    <row r="62">
      <c r="A62" s="19" t="s">
        <v>668</v>
      </c>
      <c r="B62" s="20" t="s">
        <v>5110</v>
      </c>
      <c r="C62" s="20">
        <v>65.0</v>
      </c>
      <c r="D62" s="41">
        <v>45540.0</v>
      </c>
    </row>
    <row r="63">
      <c r="A63" s="19" t="s">
        <v>714</v>
      </c>
      <c r="B63" s="20" t="s">
        <v>5111</v>
      </c>
      <c r="C63" s="20">
        <v>65.0</v>
      </c>
      <c r="D63" s="41">
        <v>45540.0</v>
      </c>
    </row>
    <row r="64">
      <c r="A64" s="19" t="s">
        <v>658</v>
      </c>
      <c r="B64" s="20" t="s">
        <v>5112</v>
      </c>
      <c r="C64" s="20">
        <v>65.0</v>
      </c>
      <c r="D64" s="41">
        <v>45540.0</v>
      </c>
    </row>
    <row r="65">
      <c r="A65" s="19" t="s">
        <v>734</v>
      </c>
      <c r="B65" s="20" t="s">
        <v>5113</v>
      </c>
      <c r="C65" s="20">
        <v>65.0</v>
      </c>
      <c r="D65" s="41">
        <v>45540.0</v>
      </c>
    </row>
    <row r="66">
      <c r="A66" s="19" t="s">
        <v>736</v>
      </c>
      <c r="B66" s="20" t="s">
        <v>5114</v>
      </c>
      <c r="C66" s="20">
        <v>65.0</v>
      </c>
      <c r="D66" s="41">
        <v>45540.0</v>
      </c>
    </row>
    <row r="67">
      <c r="A67" s="19" t="s">
        <v>710</v>
      </c>
      <c r="B67" s="20" t="s">
        <v>5115</v>
      </c>
      <c r="C67" s="20">
        <v>65.0</v>
      </c>
      <c r="D67" s="41">
        <v>45540.0</v>
      </c>
    </row>
    <row r="68">
      <c r="A68" s="19" t="s">
        <v>652</v>
      </c>
      <c r="B68" s="20" t="s">
        <v>5116</v>
      </c>
      <c r="C68" s="20">
        <v>65.0</v>
      </c>
      <c r="D68" s="41">
        <v>45540.0</v>
      </c>
    </row>
    <row r="69">
      <c r="A69" s="19" t="s">
        <v>686</v>
      </c>
      <c r="B69" s="20" t="s">
        <v>5117</v>
      </c>
      <c r="C69" s="20">
        <v>65.0</v>
      </c>
      <c r="D69" s="41">
        <v>45540.0</v>
      </c>
    </row>
    <row r="70">
      <c r="A70" s="19" t="s">
        <v>747</v>
      </c>
      <c r="B70" s="20" t="s">
        <v>5118</v>
      </c>
      <c r="C70" s="20">
        <v>65.0</v>
      </c>
      <c r="D70" s="41">
        <v>45540.0</v>
      </c>
    </row>
    <row r="71">
      <c r="A71" s="19" t="s">
        <v>694</v>
      </c>
      <c r="B71" s="20" t="s">
        <v>5119</v>
      </c>
      <c r="C71" s="20">
        <v>65.0</v>
      </c>
      <c r="D71" s="41">
        <v>45540.0</v>
      </c>
    </row>
    <row r="72">
      <c r="A72" s="19" t="s">
        <v>757</v>
      </c>
      <c r="B72" s="20" t="s">
        <v>5120</v>
      </c>
      <c r="C72" s="20">
        <v>65.0</v>
      </c>
      <c r="D72" s="41">
        <v>45540.0</v>
      </c>
    </row>
    <row r="73">
      <c r="A73" s="19" t="s">
        <v>314</v>
      </c>
      <c r="B73" s="20" t="s">
        <v>5121</v>
      </c>
      <c r="C73" s="20">
        <v>60.0</v>
      </c>
      <c r="D73" s="41">
        <v>45540.0</v>
      </c>
    </row>
    <row r="74">
      <c r="A74" s="19" t="s">
        <v>678</v>
      </c>
      <c r="B74" s="20" t="s">
        <v>5122</v>
      </c>
      <c r="C74" s="20">
        <v>60.0</v>
      </c>
      <c r="D74" s="41">
        <v>45540.0</v>
      </c>
    </row>
    <row r="75">
      <c r="A75" s="19" t="s">
        <v>729</v>
      </c>
      <c r="B75" s="20" t="s">
        <v>5123</v>
      </c>
      <c r="C75" s="20">
        <v>45.0</v>
      </c>
      <c r="D75" s="41">
        <v>45540.0</v>
      </c>
    </row>
    <row r="76">
      <c r="A76" s="19" t="s">
        <v>745</v>
      </c>
      <c r="B76" s="20" t="s">
        <v>5124</v>
      </c>
      <c r="C76" s="20">
        <v>40.0</v>
      </c>
      <c r="D76" s="41">
        <v>45540.0</v>
      </c>
    </row>
  </sheetData>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40" t="s">
        <v>759</v>
      </c>
      <c r="B1" s="40" t="s">
        <v>625</v>
      </c>
      <c r="C1" s="40" t="s">
        <v>624</v>
      </c>
    </row>
    <row r="2">
      <c r="A2" s="19" t="s">
        <v>53</v>
      </c>
      <c r="B2" s="20">
        <v>90.0</v>
      </c>
      <c r="C2" s="20" t="s">
        <v>5125</v>
      </c>
      <c r="V2" s="2" t="s">
        <v>327</v>
      </c>
      <c r="W2" s="2" t="s">
        <v>5126</v>
      </c>
      <c r="X2" s="2" t="s">
        <v>1643</v>
      </c>
    </row>
    <row r="3">
      <c r="A3" s="19" t="s">
        <v>1187</v>
      </c>
      <c r="B3" s="20">
        <v>85.0</v>
      </c>
      <c r="C3" s="20" t="s">
        <v>5127</v>
      </c>
      <c r="V3" s="19" t="s">
        <v>35</v>
      </c>
      <c r="W3" s="20">
        <v>85.0</v>
      </c>
      <c r="X3" s="7">
        <f>IFERROR(__xludf.DUMMYFUNCTION("GOOGLEFINANCE(V3,""marketcap"")"),4.308093609573E12)</f>
        <v>4308093609573</v>
      </c>
    </row>
    <row r="4">
      <c r="A4" s="19" t="s">
        <v>902</v>
      </c>
      <c r="B4" s="20">
        <v>85.0</v>
      </c>
      <c r="C4" s="20" t="s">
        <v>5128</v>
      </c>
      <c r="V4" s="19" t="s">
        <v>182</v>
      </c>
      <c r="W4" s="20">
        <v>85.0</v>
      </c>
      <c r="X4" s="7">
        <f>IFERROR(__xludf.DUMMYFUNCTION("GOOGLEFINANCE(V4,""marketcap"")"),5.229772984313E12)</f>
        <v>5229772984313</v>
      </c>
    </row>
    <row r="5">
      <c r="A5" s="19" t="s">
        <v>1045</v>
      </c>
      <c r="B5" s="20">
        <v>85.0</v>
      </c>
      <c r="C5" s="20" t="s">
        <v>5129</v>
      </c>
      <c r="V5" s="19" t="s">
        <v>229</v>
      </c>
      <c r="W5" s="20">
        <v>85.0</v>
      </c>
      <c r="X5" s="7">
        <f>IFERROR(__xludf.DUMMYFUNCTION("GOOGLEFINANCE(V5,""marketcap"")"),4.840260565908E12)</f>
        <v>4840260565908</v>
      </c>
    </row>
    <row r="6">
      <c r="A6" s="19" t="s">
        <v>1575</v>
      </c>
      <c r="B6" s="20">
        <v>85.0</v>
      </c>
      <c r="C6" s="20" t="s">
        <v>5130</v>
      </c>
      <c r="V6" s="19" t="s">
        <v>184</v>
      </c>
      <c r="W6" s="20">
        <v>85.0</v>
      </c>
      <c r="X6" s="7">
        <f>IFERROR(__xludf.DUMMYFUNCTION("GOOGLEFINANCE(V6,""marketcap"")"),4.841311148549E12)</f>
        <v>4841311148549</v>
      </c>
    </row>
    <row r="7">
      <c r="A7" s="19" t="s">
        <v>1317</v>
      </c>
      <c r="B7" s="20">
        <v>85.0</v>
      </c>
      <c r="C7" s="20" t="s">
        <v>5131</v>
      </c>
      <c r="V7" s="19" t="s">
        <v>185</v>
      </c>
      <c r="W7" s="20">
        <v>85.0</v>
      </c>
      <c r="X7" s="7">
        <f>IFERROR(__xludf.DUMMYFUNCTION("GOOGLEFINANCE(V7,""marketcap"")"),2.03590724E12)</f>
        <v>2035907240000</v>
      </c>
    </row>
    <row r="8">
      <c r="A8" s="19" t="s">
        <v>1115</v>
      </c>
      <c r="B8" s="20">
        <v>85.0</v>
      </c>
      <c r="C8" s="20" t="s">
        <v>5132</v>
      </c>
      <c r="V8" s="19" t="s">
        <v>230</v>
      </c>
      <c r="W8" s="20">
        <v>85.0</v>
      </c>
      <c r="X8" s="7">
        <f>IFERROR(__xludf.DUMMYFUNCTION("GOOGLEFINANCE(V8,""marketcap"")"),1.342221893625E12)</f>
        <v>1342221893625</v>
      </c>
    </row>
    <row r="9">
      <c r="A9" s="19" t="s">
        <v>1313</v>
      </c>
      <c r="B9" s="20">
        <v>85.0</v>
      </c>
      <c r="C9" s="20" t="s">
        <v>5133</v>
      </c>
      <c r="V9" s="19" t="s">
        <v>198</v>
      </c>
      <c r="W9" s="20">
        <v>85.0</v>
      </c>
      <c r="X9" s="7">
        <f>IFERROR(__xludf.DUMMYFUNCTION("GOOGLEFINANCE(V9,""marketcap"")"),3.56493986497E11)</f>
        <v>356493986497</v>
      </c>
    </row>
    <row r="10">
      <c r="A10" s="19" t="s">
        <v>1043</v>
      </c>
      <c r="B10" s="20">
        <v>85.0</v>
      </c>
      <c r="C10" s="20" t="s">
        <v>5134</v>
      </c>
      <c r="V10" s="19" t="s">
        <v>231</v>
      </c>
      <c r="W10" s="20">
        <v>85.0</v>
      </c>
      <c r="X10" s="7">
        <f>IFERROR(__xludf.DUMMYFUNCTION("GOOGLEFINANCE(V10,""marketcap"")"),3.64126093955E11)</f>
        <v>364126093955</v>
      </c>
    </row>
    <row r="11">
      <c r="A11" s="19" t="s">
        <v>1449</v>
      </c>
      <c r="B11" s="20">
        <v>85.0</v>
      </c>
      <c r="C11" s="20" t="s">
        <v>5135</v>
      </c>
      <c r="V11" s="19" t="s">
        <v>37</v>
      </c>
      <c r="W11" s="20">
        <v>85.0</v>
      </c>
      <c r="X11" s="7">
        <f>IFERROR(__xludf.DUMMYFUNCTION("GOOGLEFINANCE(V11,""marketcap"")"),3.68347965594E11)</f>
        <v>368347965594</v>
      </c>
    </row>
    <row r="12">
      <c r="A12" s="19" t="s">
        <v>1363</v>
      </c>
      <c r="B12" s="20">
        <v>85.0</v>
      </c>
      <c r="C12" s="20" t="s">
        <v>5136</v>
      </c>
      <c r="V12" s="19" t="s">
        <v>232</v>
      </c>
      <c r="W12" s="20">
        <v>85.0</v>
      </c>
      <c r="X12" s="7">
        <f>IFERROR(__xludf.DUMMYFUNCTION("GOOGLEFINANCE(V12,""marketcap"")"),2.28011146845E11)</f>
        <v>228011146845</v>
      </c>
    </row>
    <row r="13">
      <c r="A13" s="19" t="s">
        <v>3047</v>
      </c>
      <c r="B13" s="20">
        <v>85.0</v>
      </c>
      <c r="C13" s="20" t="s">
        <v>5137</v>
      </c>
      <c r="V13" s="19" t="s">
        <v>206</v>
      </c>
      <c r="W13" s="20">
        <v>85.0</v>
      </c>
      <c r="X13" s="7">
        <f>IFERROR(__xludf.DUMMYFUNCTION("GOOGLEFINANCE(V13,""marketcap"")"),1.10766891297E11)</f>
        <v>110766891297</v>
      </c>
    </row>
    <row r="14">
      <c r="A14" s="19" t="s">
        <v>1065</v>
      </c>
      <c r="B14" s="20">
        <v>85.0</v>
      </c>
      <c r="C14" s="20" t="s">
        <v>5138</v>
      </c>
      <c r="V14" s="19" t="s">
        <v>771</v>
      </c>
      <c r="W14" s="20">
        <v>85.0</v>
      </c>
      <c r="X14" s="7">
        <f>IFERROR(__xludf.DUMMYFUNCTION("GOOGLEFINANCE(V14,""marketcap"")"),1.46869587308E11)</f>
        <v>146869587308</v>
      </c>
    </row>
    <row r="15">
      <c r="A15" s="19" t="s">
        <v>1177</v>
      </c>
      <c r="B15" s="20">
        <v>85.0</v>
      </c>
      <c r="C15" s="20" t="s">
        <v>5139</v>
      </c>
      <c r="V15" s="19" t="s">
        <v>1133</v>
      </c>
      <c r="W15" s="20">
        <v>85.0</v>
      </c>
      <c r="X15" s="7">
        <f>IFERROR(__xludf.DUMMYFUNCTION("GOOGLEFINANCE(V15,""marketcap"")"),3.81441165804E11)</f>
        <v>381441165804</v>
      </c>
    </row>
    <row r="16">
      <c r="A16" s="19" t="s">
        <v>821</v>
      </c>
      <c r="B16" s="20">
        <v>85.0</v>
      </c>
      <c r="C16" s="20" t="s">
        <v>5140</v>
      </c>
      <c r="V16" s="19" t="s">
        <v>241</v>
      </c>
      <c r="W16" s="20">
        <v>85.0</v>
      </c>
      <c r="X16" s="7">
        <f>IFERROR(__xludf.DUMMYFUNCTION("GOOGLEFINANCE(V16,""marketcap"")"),1.97169901077E11)</f>
        <v>197169901077</v>
      </c>
    </row>
    <row r="17">
      <c r="A17" s="19" t="s">
        <v>426</v>
      </c>
      <c r="B17" s="20">
        <v>85.0</v>
      </c>
      <c r="C17" s="20" t="s">
        <v>5141</v>
      </c>
      <c r="V17" s="19" t="s">
        <v>451</v>
      </c>
      <c r="W17" s="20">
        <v>85.0</v>
      </c>
      <c r="X17" s="7">
        <f>IFERROR(__xludf.DUMMYFUNCTION("GOOGLEFINANCE(V17,""marketcap"")"),3.45569496793E11)</f>
        <v>345569496793</v>
      </c>
    </row>
    <row r="18">
      <c r="A18" s="19" t="s">
        <v>780</v>
      </c>
      <c r="B18" s="20">
        <v>85.0</v>
      </c>
      <c r="C18" s="20" t="s">
        <v>5142</v>
      </c>
      <c r="V18" s="19" t="s">
        <v>41</v>
      </c>
      <c r="W18" s="20">
        <v>85.0</v>
      </c>
      <c r="X18" s="7">
        <f>IFERROR(__xludf.DUMMYFUNCTION("GOOGLEFINANCE(V18,""marketcap"")"),4.13358206277E11)</f>
        <v>413358206277</v>
      </c>
    </row>
    <row r="19">
      <c r="A19" s="19" t="s">
        <v>170</v>
      </c>
      <c r="B19" s="20">
        <v>85.0</v>
      </c>
      <c r="C19" s="20" t="s">
        <v>5143</v>
      </c>
      <c r="V19" s="19" t="s">
        <v>274</v>
      </c>
      <c r="W19" s="20">
        <v>85.0</v>
      </c>
      <c r="X19" s="7">
        <f>IFERROR(__xludf.DUMMYFUNCTION("GOOGLEFINANCE(V19,""marketcap"")"),1.48167662151E11)</f>
        <v>148167662151</v>
      </c>
    </row>
    <row r="20">
      <c r="A20" s="19" t="s">
        <v>40</v>
      </c>
      <c r="B20" s="20">
        <v>85.0</v>
      </c>
      <c r="C20" s="20" t="s">
        <v>5144</v>
      </c>
      <c r="V20" s="19" t="s">
        <v>1592</v>
      </c>
      <c r="W20" s="20">
        <v>85.0</v>
      </c>
      <c r="X20" s="7">
        <f>IFERROR(__xludf.DUMMYFUNCTION("GOOGLEFINANCE(V20,""marketcap"")"),1.94145243918E11)</f>
        <v>194145243918</v>
      </c>
    </row>
    <row r="21">
      <c r="A21" s="19" t="s">
        <v>232</v>
      </c>
      <c r="B21" s="20">
        <v>85.0</v>
      </c>
      <c r="C21" s="20" t="s">
        <v>5145</v>
      </c>
      <c r="V21" s="19" t="s">
        <v>1586</v>
      </c>
      <c r="W21" s="20">
        <v>85.0</v>
      </c>
      <c r="X21" s="7">
        <f>IFERROR(__xludf.DUMMYFUNCTION("GOOGLEFINANCE(V21,""marketcap"")"),3.04557954873E11)</f>
        <v>304557954873</v>
      </c>
    </row>
    <row r="22">
      <c r="A22" s="19" t="s">
        <v>1266</v>
      </c>
      <c r="B22" s="20">
        <v>85.0</v>
      </c>
      <c r="C22" s="20" t="s">
        <v>5146</v>
      </c>
      <c r="V22" s="19" t="s">
        <v>1109</v>
      </c>
      <c r="W22" s="20">
        <v>85.0</v>
      </c>
      <c r="X22" s="7">
        <f>IFERROR(__xludf.DUMMYFUNCTION("GOOGLEFINANCE(V22,""marketcap"")"),2.76268430542E11)</f>
        <v>276268430542</v>
      </c>
    </row>
    <row r="23">
      <c r="A23" s="19" t="s">
        <v>866</v>
      </c>
      <c r="B23" s="20">
        <v>85.0</v>
      </c>
      <c r="C23" s="20" t="s">
        <v>5147</v>
      </c>
      <c r="V23" s="19" t="s">
        <v>1200</v>
      </c>
      <c r="W23" s="20">
        <v>85.0</v>
      </c>
      <c r="X23" s="7">
        <f>IFERROR(__xludf.DUMMYFUNCTION("GOOGLEFINANCE(V23,""marketcap"")"),1.8757791239E11)</f>
        <v>187577912390</v>
      </c>
    </row>
    <row r="24">
      <c r="A24" s="19" t="s">
        <v>1094</v>
      </c>
      <c r="B24" s="20">
        <v>85.0</v>
      </c>
      <c r="C24" s="20" t="s">
        <v>5148</v>
      </c>
      <c r="V24" s="19" t="s">
        <v>426</v>
      </c>
      <c r="W24" s="20">
        <v>85.0</v>
      </c>
      <c r="X24" s="7">
        <f>IFERROR(__xludf.DUMMYFUNCTION("GOOGLEFINANCE(V24,""marketcap"")"),1.243555E11)</f>
        <v>124355500000</v>
      </c>
    </row>
    <row r="25">
      <c r="A25" s="19" t="s">
        <v>1400</v>
      </c>
      <c r="B25" s="20">
        <v>85.0</v>
      </c>
      <c r="C25" s="20" t="s">
        <v>5149</v>
      </c>
      <c r="V25" s="19" t="s">
        <v>831</v>
      </c>
      <c r="W25" s="20">
        <v>85.0</v>
      </c>
      <c r="X25" s="7">
        <f>IFERROR(__xludf.DUMMYFUNCTION("GOOGLEFINANCE(V25,""marketcap"")"),1.74820157859E11)</f>
        <v>174820157859</v>
      </c>
    </row>
    <row r="26">
      <c r="A26" s="19" t="s">
        <v>41</v>
      </c>
      <c r="B26" s="20">
        <v>85.0</v>
      </c>
      <c r="C26" s="20" t="s">
        <v>5150</v>
      </c>
      <c r="V26" s="19" t="s">
        <v>40</v>
      </c>
      <c r="W26" s="20">
        <v>85.0</v>
      </c>
      <c r="X26" s="7">
        <f>IFERROR(__xludf.DUMMYFUNCTION("GOOGLEFINANCE(V26,""marketcap"")"),1.16782771287E11)</f>
        <v>116782771287</v>
      </c>
    </row>
    <row r="27">
      <c r="A27" s="19" t="s">
        <v>1508</v>
      </c>
      <c r="B27" s="20">
        <v>85.0</v>
      </c>
      <c r="C27" s="20" t="s">
        <v>5151</v>
      </c>
      <c r="V27" s="19" t="s">
        <v>265</v>
      </c>
      <c r="W27" s="20">
        <v>85.0</v>
      </c>
      <c r="X27" s="7">
        <f>IFERROR(__xludf.DUMMYFUNCTION("GOOGLEFINANCE(V27,""marketcap"")"),5.03495983E8)</f>
        <v>503495983</v>
      </c>
    </row>
    <row r="28">
      <c r="A28" s="19" t="s">
        <v>151</v>
      </c>
      <c r="B28" s="20">
        <v>85.0</v>
      </c>
      <c r="C28" s="20" t="s">
        <v>5152</v>
      </c>
      <c r="V28" s="19" t="s">
        <v>1141</v>
      </c>
      <c r="W28" s="20">
        <v>85.0</v>
      </c>
      <c r="X28" s="7">
        <f>IFERROR(__xludf.DUMMYFUNCTION("GOOGLEFINANCE(V28,""marketcap"")"),6.5366351276E10)</f>
        <v>65366351276</v>
      </c>
    </row>
    <row r="29">
      <c r="A29" s="19" t="s">
        <v>542</v>
      </c>
      <c r="B29" s="20">
        <v>85.0</v>
      </c>
      <c r="C29" s="20" t="s">
        <v>5153</v>
      </c>
      <c r="V29" s="19" t="s">
        <v>151</v>
      </c>
      <c r="W29" s="20">
        <v>85.0</v>
      </c>
      <c r="X29" s="7">
        <f>IFERROR(__xludf.DUMMYFUNCTION("GOOGLEFINANCE(V29,""marketcap"")"),1.34340593414E11)</f>
        <v>134340593414</v>
      </c>
    </row>
    <row r="30">
      <c r="A30" s="19" t="s">
        <v>1586</v>
      </c>
      <c r="B30" s="20">
        <v>85.0</v>
      </c>
      <c r="C30" s="20" t="s">
        <v>5154</v>
      </c>
      <c r="V30" s="19" t="s">
        <v>614</v>
      </c>
      <c r="W30" s="20">
        <v>85.0</v>
      </c>
      <c r="X30" s="7">
        <f>IFERROR(__xludf.DUMMYFUNCTION("GOOGLEFINANCE(V30,""marketcap"")"),8.0159125603E10)</f>
        <v>80159125603</v>
      </c>
    </row>
    <row r="31">
      <c r="A31" s="19" t="s">
        <v>787</v>
      </c>
      <c r="B31" s="20">
        <v>85.0</v>
      </c>
      <c r="C31" s="20" t="s">
        <v>5155</v>
      </c>
      <c r="V31" s="19" t="s">
        <v>873</v>
      </c>
      <c r="W31" s="20">
        <v>85.0</v>
      </c>
      <c r="X31" s="7">
        <f>IFERROR(__xludf.DUMMYFUNCTION("GOOGLEFINANCE(V31,""marketcap"")"),2.14137959655E11)</f>
        <v>214137959655</v>
      </c>
    </row>
    <row r="32">
      <c r="A32" s="19" t="s">
        <v>1141</v>
      </c>
      <c r="B32" s="20">
        <v>85.0</v>
      </c>
      <c r="C32" s="20" t="s">
        <v>5156</v>
      </c>
      <c r="V32" s="19" t="s">
        <v>1153</v>
      </c>
      <c r="W32" s="20">
        <v>85.0</v>
      </c>
      <c r="X32" s="7">
        <f>IFERROR(__xludf.DUMMYFUNCTION("GOOGLEFINANCE(V32,""marketcap"")"),2.0334680802E11)</f>
        <v>203346808020</v>
      </c>
    </row>
    <row r="33">
      <c r="A33" s="19" t="s">
        <v>1592</v>
      </c>
      <c r="B33" s="20">
        <v>85.0</v>
      </c>
      <c r="C33" s="20" t="s">
        <v>5157</v>
      </c>
      <c r="V33" s="19" t="s">
        <v>1045</v>
      </c>
      <c r="W33" s="20">
        <v>85.0</v>
      </c>
      <c r="X33" s="7" t="str">
        <f>IFERROR(__xludf.DUMMYFUNCTION("GOOGLEFINANCE(V33,""marketcap"")"),"#N/A")</f>
        <v>#N/A</v>
      </c>
    </row>
    <row r="34">
      <c r="A34" s="19" t="s">
        <v>37</v>
      </c>
      <c r="B34" s="20">
        <v>85.0</v>
      </c>
      <c r="C34" s="20" t="s">
        <v>5158</v>
      </c>
      <c r="V34" s="19" t="s">
        <v>242</v>
      </c>
      <c r="W34" s="20">
        <v>85.0</v>
      </c>
      <c r="X34" s="7">
        <f>IFERROR(__xludf.DUMMYFUNCTION("GOOGLEFINANCE(V34,""marketcap"")"),8.5141383977E10)</f>
        <v>85141383977</v>
      </c>
    </row>
    <row r="35">
      <c r="A35" s="19" t="s">
        <v>1590</v>
      </c>
      <c r="B35" s="20">
        <v>85.0</v>
      </c>
      <c r="C35" s="20" t="s">
        <v>5159</v>
      </c>
      <c r="V35" s="19" t="s">
        <v>243</v>
      </c>
      <c r="W35" s="20">
        <v>85.0</v>
      </c>
      <c r="X35" s="7">
        <f>IFERROR(__xludf.DUMMYFUNCTION("GOOGLEFINANCE(V35,""marketcap"")"),8.2244090721E10)</f>
        <v>82244090721</v>
      </c>
    </row>
    <row r="36">
      <c r="A36" s="19" t="s">
        <v>230</v>
      </c>
      <c r="B36" s="20">
        <v>85.0</v>
      </c>
      <c r="C36" s="20" t="s">
        <v>5160</v>
      </c>
      <c r="V36" s="19" t="s">
        <v>296</v>
      </c>
      <c r="W36" s="20">
        <v>85.0</v>
      </c>
      <c r="X36" s="7">
        <f>IFERROR(__xludf.DUMMYFUNCTION("GOOGLEFINANCE(V36,""marketcap"")"),1.14682707048E11)</f>
        <v>114682707048</v>
      </c>
    </row>
    <row r="37">
      <c r="A37" s="19" t="s">
        <v>1624</v>
      </c>
      <c r="B37" s="20">
        <v>85.0</v>
      </c>
      <c r="C37" s="20" t="s">
        <v>5161</v>
      </c>
      <c r="V37" s="19" t="s">
        <v>87</v>
      </c>
      <c r="W37" s="20">
        <v>85.0</v>
      </c>
      <c r="X37" s="7" t="str">
        <f>IFERROR(__xludf.DUMMYFUNCTION("GOOGLEFINANCE(V37,""marketcap"")"),"#N/A")</f>
        <v>#N/A</v>
      </c>
    </row>
    <row r="38">
      <c r="A38" s="19" t="s">
        <v>1321</v>
      </c>
      <c r="B38" s="20">
        <v>85.0</v>
      </c>
      <c r="C38" s="20" t="s">
        <v>5162</v>
      </c>
      <c r="V38" s="19" t="s">
        <v>785</v>
      </c>
      <c r="W38" s="20">
        <v>85.0</v>
      </c>
      <c r="X38" s="7">
        <f>IFERROR(__xludf.DUMMYFUNCTION("GOOGLEFINANCE(V38,""marketcap"")"),7.6201173692E10)</f>
        <v>76201173692</v>
      </c>
    </row>
    <row r="39">
      <c r="A39" s="19" t="s">
        <v>419</v>
      </c>
      <c r="B39" s="20">
        <v>85.0</v>
      </c>
      <c r="C39" s="20" t="s">
        <v>5163</v>
      </c>
      <c r="V39" s="19" t="s">
        <v>551</v>
      </c>
      <c r="W39" s="20">
        <v>85.0</v>
      </c>
      <c r="X39" s="7">
        <f>IFERROR(__xludf.DUMMYFUNCTION("GOOGLEFINANCE(V39,""marketcap"")"),8.8118161891E10)</f>
        <v>88118161891</v>
      </c>
    </row>
    <row r="40">
      <c r="A40" s="19" t="s">
        <v>1063</v>
      </c>
      <c r="B40" s="20">
        <v>85.0</v>
      </c>
      <c r="C40" s="20" t="s">
        <v>5164</v>
      </c>
      <c r="V40" s="19" t="s">
        <v>20</v>
      </c>
      <c r="W40" s="20">
        <v>85.0</v>
      </c>
      <c r="X40" s="7">
        <f>IFERROR(__xludf.DUMMYFUNCTION("GOOGLEFINANCE(V40,""marketcap"")"),1.0191268125E11)</f>
        <v>101912681250</v>
      </c>
    </row>
    <row r="41">
      <c r="A41" s="19" t="s">
        <v>1526</v>
      </c>
      <c r="B41" s="20">
        <v>85.0</v>
      </c>
      <c r="C41" s="20" t="s">
        <v>5165</v>
      </c>
      <c r="V41" s="19" t="s">
        <v>1155</v>
      </c>
      <c r="W41" s="20">
        <v>85.0</v>
      </c>
      <c r="X41" s="7">
        <f>IFERROR(__xludf.DUMMYFUNCTION("GOOGLEFINANCE(V41,""marketcap"")"),8.4119373813E10)</f>
        <v>84119373813</v>
      </c>
    </row>
    <row r="42">
      <c r="A42" s="19" t="s">
        <v>1483</v>
      </c>
      <c r="B42" s="20">
        <v>85.0</v>
      </c>
      <c r="C42" s="20" t="s">
        <v>5166</v>
      </c>
      <c r="V42" s="19" t="s">
        <v>1487</v>
      </c>
      <c r="W42" s="20">
        <v>85.0</v>
      </c>
      <c r="X42" s="7">
        <f>IFERROR(__xludf.DUMMYFUNCTION("GOOGLEFINANCE(V42,""marketcap"")"),6.6804720375E10)</f>
        <v>66804720375</v>
      </c>
    </row>
    <row r="43">
      <c r="A43" s="19" t="s">
        <v>1340</v>
      </c>
      <c r="B43" s="20">
        <v>85.0</v>
      </c>
      <c r="C43" s="20" t="s">
        <v>5167</v>
      </c>
      <c r="V43" s="19" t="s">
        <v>1498</v>
      </c>
      <c r="W43" s="20">
        <v>85.0</v>
      </c>
      <c r="X43" s="7">
        <f>IFERROR(__xludf.DUMMYFUNCTION("GOOGLEFINANCE(V43,""marketcap"")"),4.2548965088E10)</f>
        <v>42548965088</v>
      </c>
    </row>
    <row r="44">
      <c r="A44" s="19" t="s">
        <v>182</v>
      </c>
      <c r="B44" s="20">
        <v>85.0</v>
      </c>
      <c r="C44" s="20" t="s">
        <v>5168</v>
      </c>
      <c r="V44" s="19" t="s">
        <v>862</v>
      </c>
      <c r="W44" s="20">
        <v>85.0</v>
      </c>
      <c r="X44" s="7">
        <f>IFERROR(__xludf.DUMMYFUNCTION("GOOGLEFINANCE(V44,""marketcap"")"),4.002113E10)</f>
        <v>40021130000</v>
      </c>
    </row>
    <row r="45">
      <c r="A45" s="19" t="s">
        <v>1379</v>
      </c>
      <c r="B45" s="20">
        <v>85.0</v>
      </c>
      <c r="C45" s="20" t="s">
        <v>5169</v>
      </c>
      <c r="V45" s="19" t="s">
        <v>1149</v>
      </c>
      <c r="W45" s="20">
        <v>85.0</v>
      </c>
      <c r="X45" s="7">
        <f>IFERROR(__xludf.DUMMYFUNCTION("GOOGLEFINANCE(V45,""marketcap"")"),5.688556905E10)</f>
        <v>56885569050</v>
      </c>
    </row>
    <row r="46">
      <c r="A46" s="19" t="s">
        <v>862</v>
      </c>
      <c r="B46" s="20">
        <v>85.0</v>
      </c>
      <c r="C46" s="20" t="s">
        <v>5170</v>
      </c>
      <c r="V46" s="19" t="s">
        <v>510</v>
      </c>
      <c r="W46" s="20">
        <v>85.0</v>
      </c>
      <c r="X46" s="7">
        <f>IFERROR(__xludf.DUMMYFUNCTION("GOOGLEFINANCE(V46,""marketcap"")"),1.34336733576E11)</f>
        <v>134336733576</v>
      </c>
    </row>
    <row r="47">
      <c r="A47" s="19" t="s">
        <v>87</v>
      </c>
      <c r="B47" s="20">
        <v>85.0</v>
      </c>
      <c r="C47" s="20" t="s">
        <v>5171</v>
      </c>
      <c r="V47" s="19" t="s">
        <v>1508</v>
      </c>
      <c r="W47" s="20">
        <v>85.0</v>
      </c>
      <c r="X47" s="7">
        <f>IFERROR(__xludf.DUMMYFUNCTION("GOOGLEFINANCE(V47,""marketcap"")"),5.5507689652E10)</f>
        <v>55507689652</v>
      </c>
    </row>
    <row r="48">
      <c r="A48" s="19" t="s">
        <v>1119</v>
      </c>
      <c r="B48" s="20">
        <v>85.0</v>
      </c>
      <c r="C48" s="20" t="s">
        <v>5172</v>
      </c>
      <c r="V48" s="19" t="s">
        <v>278</v>
      </c>
      <c r="W48" s="20">
        <v>85.0</v>
      </c>
      <c r="X48" s="7">
        <f>IFERROR(__xludf.DUMMYFUNCTION("GOOGLEFINANCE(V48,""marketcap"")"),5.16250014E10)</f>
        <v>51625001400</v>
      </c>
    </row>
    <row r="49">
      <c r="A49" s="19" t="s">
        <v>1113</v>
      </c>
      <c r="B49" s="20">
        <v>85.0</v>
      </c>
      <c r="C49" s="20" t="s">
        <v>5173</v>
      </c>
      <c r="V49" s="19" t="s">
        <v>1526</v>
      </c>
      <c r="W49" s="20">
        <v>85.0</v>
      </c>
      <c r="X49" s="7">
        <f>IFERROR(__xludf.DUMMYFUNCTION("GOOGLEFINANCE(V49,""marketcap"")"),6.8633105002E10)</f>
        <v>68633105002</v>
      </c>
    </row>
    <row r="50">
      <c r="A50" s="19" t="s">
        <v>1109</v>
      </c>
      <c r="B50" s="20">
        <v>85.0</v>
      </c>
      <c r="C50" s="20" t="s">
        <v>5174</v>
      </c>
      <c r="V50" s="19" t="s">
        <v>1340</v>
      </c>
      <c r="W50" s="20">
        <v>85.0</v>
      </c>
      <c r="X50" s="7">
        <f>IFERROR(__xludf.DUMMYFUNCTION("GOOGLEFINANCE(V50,""marketcap"")"),6.015978E10)</f>
        <v>60159780000</v>
      </c>
    </row>
    <row r="51">
      <c r="A51" s="19" t="s">
        <v>1135</v>
      </c>
      <c r="B51" s="20">
        <v>85.0</v>
      </c>
      <c r="C51" s="20" t="s">
        <v>5175</v>
      </c>
      <c r="V51" s="19" t="s">
        <v>1500</v>
      </c>
      <c r="W51" s="20">
        <v>85.0</v>
      </c>
      <c r="X51" s="7">
        <f>IFERROR(__xludf.DUMMYFUNCTION("GOOGLEFINANCE(V51,""marketcap"")"),8.95724595E10)</f>
        <v>89572459500</v>
      </c>
    </row>
    <row r="52">
      <c r="A52" s="19" t="s">
        <v>510</v>
      </c>
      <c r="B52" s="20">
        <v>85.0</v>
      </c>
      <c r="C52" s="20" t="s">
        <v>5176</v>
      </c>
      <c r="V52" s="19" t="s">
        <v>1063</v>
      </c>
      <c r="W52" s="20">
        <v>85.0</v>
      </c>
      <c r="X52" s="7">
        <f>IFERROR(__xludf.DUMMYFUNCTION("GOOGLEFINANCE(V52,""marketcap"")"),4.0486545755E10)</f>
        <v>40486545755</v>
      </c>
    </row>
    <row r="53">
      <c r="A53" s="19" t="s">
        <v>1329</v>
      </c>
      <c r="B53" s="20">
        <v>85.0</v>
      </c>
      <c r="C53" s="20" t="s">
        <v>5177</v>
      </c>
      <c r="V53" s="19" t="s">
        <v>542</v>
      </c>
      <c r="W53" s="20">
        <v>85.0</v>
      </c>
      <c r="X53" s="7">
        <f>IFERROR(__xludf.DUMMYFUNCTION("GOOGLEFINANCE(V53,""marketcap"")"),5.4869263263E10)</f>
        <v>54869263263</v>
      </c>
    </row>
    <row r="54">
      <c r="A54" s="19" t="s">
        <v>951</v>
      </c>
      <c r="B54" s="20">
        <v>85.0</v>
      </c>
      <c r="C54" s="20" t="s">
        <v>5178</v>
      </c>
      <c r="V54" s="19" t="s">
        <v>1135</v>
      </c>
      <c r="W54" s="20">
        <v>85.0</v>
      </c>
      <c r="X54" s="7">
        <f>IFERROR(__xludf.DUMMYFUNCTION("GOOGLEFINANCE(V54,""marketcap"")"),3.365426E10)</f>
        <v>33654260000</v>
      </c>
    </row>
    <row r="55">
      <c r="A55" s="19" t="s">
        <v>185</v>
      </c>
      <c r="B55" s="20">
        <v>85.0</v>
      </c>
      <c r="C55" s="20" t="s">
        <v>5179</v>
      </c>
      <c r="V55" s="19" t="s">
        <v>1094</v>
      </c>
      <c r="W55" s="20">
        <v>85.0</v>
      </c>
      <c r="X55" s="7">
        <f>IFERROR(__xludf.DUMMYFUNCTION("GOOGLEFINANCE(V55,""marketcap"")"),2.982670012E10)</f>
        <v>29826700120</v>
      </c>
    </row>
    <row r="56">
      <c r="A56" s="19" t="s">
        <v>296</v>
      </c>
      <c r="B56" s="20">
        <v>85.0</v>
      </c>
      <c r="C56" s="20" t="s">
        <v>5180</v>
      </c>
      <c r="V56" s="19" t="s">
        <v>787</v>
      </c>
      <c r="W56" s="20">
        <v>85.0</v>
      </c>
      <c r="X56" s="7">
        <f>IFERROR(__xludf.DUMMYFUNCTION("GOOGLEFINANCE(V56,""marketcap"")"),7.8649251512E10)</f>
        <v>78649251512</v>
      </c>
    </row>
    <row r="57">
      <c r="A57" s="19" t="s">
        <v>1153</v>
      </c>
      <c r="B57" s="20">
        <v>85.0</v>
      </c>
      <c r="C57" s="20" t="s">
        <v>5181</v>
      </c>
      <c r="V57" s="19" t="s">
        <v>1485</v>
      </c>
      <c r="W57" s="20">
        <v>85.0</v>
      </c>
      <c r="X57" s="7">
        <f>IFERROR(__xludf.DUMMYFUNCTION("GOOGLEFINANCE(V57,""marketcap"")"),4.1946951124E10)</f>
        <v>41946951124</v>
      </c>
    </row>
    <row r="58">
      <c r="A58" s="19" t="s">
        <v>1485</v>
      </c>
      <c r="B58" s="20">
        <v>85.0</v>
      </c>
      <c r="C58" s="20" t="s">
        <v>5182</v>
      </c>
      <c r="V58" s="19" t="s">
        <v>1313</v>
      </c>
      <c r="W58" s="20">
        <v>85.0</v>
      </c>
      <c r="X58" s="7">
        <f>IFERROR(__xludf.DUMMYFUNCTION("GOOGLEFINANCE(V58,""marketcap"")"),4.6040967472E10)</f>
        <v>46040967472</v>
      </c>
    </row>
    <row r="59">
      <c r="A59" s="19" t="s">
        <v>243</v>
      </c>
      <c r="B59" s="20">
        <v>85.0</v>
      </c>
      <c r="C59" s="20" t="s">
        <v>5183</v>
      </c>
      <c r="V59" s="19" t="s">
        <v>1590</v>
      </c>
      <c r="W59" s="20">
        <v>85.0</v>
      </c>
      <c r="X59" s="7">
        <f>IFERROR(__xludf.DUMMYFUNCTION("GOOGLEFINANCE(V59,""marketcap"")"),5.028223E10)</f>
        <v>50282230000</v>
      </c>
    </row>
    <row r="60">
      <c r="A60" s="19" t="s">
        <v>241</v>
      </c>
      <c r="B60" s="20">
        <v>85.0</v>
      </c>
      <c r="C60" s="20" t="s">
        <v>5184</v>
      </c>
      <c r="V60" s="19" t="s">
        <v>1115</v>
      </c>
      <c r="W60" s="20">
        <v>85.0</v>
      </c>
      <c r="X60" s="7">
        <f>IFERROR(__xludf.DUMMYFUNCTION("GOOGLEFINANCE(V60,""marketcap"")"),4.4929063123E10)</f>
        <v>44929063123</v>
      </c>
    </row>
    <row r="61">
      <c r="A61" s="19" t="s">
        <v>835</v>
      </c>
      <c r="B61" s="20">
        <v>85.0</v>
      </c>
      <c r="C61" s="20" t="s">
        <v>5185</v>
      </c>
      <c r="V61" s="19" t="s">
        <v>1474</v>
      </c>
      <c r="W61" s="20">
        <v>85.0</v>
      </c>
      <c r="X61" s="7">
        <f>IFERROR(__xludf.DUMMYFUNCTION("GOOGLEFINANCE(V61,""marketcap"")"),3.2772736166E10)</f>
        <v>32772736166</v>
      </c>
    </row>
    <row r="62">
      <c r="A62" s="19" t="s">
        <v>614</v>
      </c>
      <c r="B62" s="20">
        <v>85.0</v>
      </c>
      <c r="C62" s="20" t="s">
        <v>5186</v>
      </c>
      <c r="V62" s="19" t="s">
        <v>1638</v>
      </c>
      <c r="W62" s="20">
        <v>85.0</v>
      </c>
      <c r="X62" s="7">
        <f>IFERROR(__xludf.DUMMYFUNCTION("GOOGLEFINANCE(V62,""marketcap"")"),4.9560755223E10)</f>
        <v>49560755223</v>
      </c>
    </row>
    <row r="63">
      <c r="A63" s="19" t="s">
        <v>274</v>
      </c>
      <c r="B63" s="20">
        <v>85.0</v>
      </c>
      <c r="C63" s="20" t="s">
        <v>5187</v>
      </c>
      <c r="V63" s="19" t="s">
        <v>1617</v>
      </c>
      <c r="W63" s="20">
        <v>85.0</v>
      </c>
      <c r="X63" s="7">
        <f>IFERROR(__xludf.DUMMYFUNCTION("GOOGLEFINANCE(V63,""marketcap"")"),2.123905E10)</f>
        <v>21239050000</v>
      </c>
    </row>
    <row r="64">
      <c r="A64" s="19" t="s">
        <v>265</v>
      </c>
      <c r="B64" s="20">
        <v>85.0</v>
      </c>
      <c r="C64" s="20" t="s">
        <v>5188</v>
      </c>
      <c r="V64" s="19" t="s">
        <v>537</v>
      </c>
      <c r="W64" s="20">
        <v>85.0</v>
      </c>
      <c r="X64" s="7">
        <f>IFERROR(__xludf.DUMMYFUNCTION("GOOGLEFINANCE(V64,""marketcap"")"),3.1517534606E10)</f>
        <v>31517534606</v>
      </c>
    </row>
    <row r="65">
      <c r="A65" s="19" t="s">
        <v>890</v>
      </c>
      <c r="B65" s="20">
        <v>85.0</v>
      </c>
      <c r="C65" s="20" t="s">
        <v>5189</v>
      </c>
      <c r="V65" s="19" t="s">
        <v>780</v>
      </c>
      <c r="W65" s="20">
        <v>85.0</v>
      </c>
      <c r="X65" s="7">
        <f>IFERROR(__xludf.DUMMYFUNCTION("GOOGLEFINANCE(V65,""marketcap"")"),2.9991839791E10)</f>
        <v>29991839791</v>
      </c>
    </row>
    <row r="66">
      <c r="A66" s="19" t="s">
        <v>1447</v>
      </c>
      <c r="B66" s="20">
        <v>85.0</v>
      </c>
      <c r="C66" s="20" t="s">
        <v>5190</v>
      </c>
      <c r="V66" s="19" t="s">
        <v>1641</v>
      </c>
      <c r="W66" s="20">
        <v>85.0</v>
      </c>
      <c r="X66" s="7">
        <f>IFERROR(__xludf.DUMMYFUNCTION("GOOGLEFINANCE(V66,""marketcap"")"),2.7032882552E10)</f>
        <v>27032882552</v>
      </c>
    </row>
    <row r="67">
      <c r="A67" s="19" t="s">
        <v>537</v>
      </c>
      <c r="B67" s="20">
        <v>85.0</v>
      </c>
      <c r="C67" s="20" t="s">
        <v>5191</v>
      </c>
      <c r="V67" s="19" t="s">
        <v>1575</v>
      </c>
      <c r="W67" s="20">
        <v>85.0</v>
      </c>
      <c r="X67" s="7">
        <f>IFERROR(__xludf.DUMMYFUNCTION("GOOGLEFINANCE(V67,""marketcap"")"),2.3163030761E10)</f>
        <v>23163030761</v>
      </c>
    </row>
    <row r="68">
      <c r="A68" s="19" t="s">
        <v>1025</v>
      </c>
      <c r="B68" s="20">
        <v>85.0</v>
      </c>
      <c r="C68" s="20" t="s">
        <v>5192</v>
      </c>
      <c r="V68" s="19" t="s">
        <v>1329</v>
      </c>
      <c r="W68" s="20">
        <v>85.0</v>
      </c>
      <c r="X68" s="7">
        <f>IFERROR(__xludf.DUMMYFUNCTION("GOOGLEFINANCE(V68,""marketcap"")"),1.3381813198E10)</f>
        <v>13381813198</v>
      </c>
    </row>
    <row r="69">
      <c r="A69" s="19" t="s">
        <v>1617</v>
      </c>
      <c r="B69" s="20">
        <v>85.0</v>
      </c>
      <c r="C69" s="20" t="s">
        <v>5193</v>
      </c>
      <c r="V69" s="19" t="s">
        <v>890</v>
      </c>
      <c r="W69" s="20">
        <v>85.0</v>
      </c>
      <c r="X69" s="7">
        <f>IFERROR(__xludf.DUMMYFUNCTION("GOOGLEFINANCE(V69,""marketcap"")"),2.8560396544E10)</f>
        <v>28560396544</v>
      </c>
    </row>
    <row r="70">
      <c r="A70" s="19" t="s">
        <v>1149</v>
      </c>
      <c r="B70" s="20">
        <v>85.0</v>
      </c>
      <c r="C70" s="20" t="s">
        <v>5194</v>
      </c>
      <c r="V70" s="19" t="s">
        <v>170</v>
      </c>
      <c r="W70" s="20">
        <v>85.0</v>
      </c>
      <c r="X70" s="7">
        <f>IFERROR(__xludf.DUMMYFUNCTION("GOOGLEFINANCE(V70,""marketcap"")"),1.5164223501E10)</f>
        <v>15164223501</v>
      </c>
    </row>
    <row r="71">
      <c r="A71" s="19" t="s">
        <v>198</v>
      </c>
      <c r="B71" s="20">
        <v>85.0</v>
      </c>
      <c r="C71" s="20" t="s">
        <v>5195</v>
      </c>
      <c r="V71" s="19" t="s">
        <v>1187</v>
      </c>
      <c r="W71" s="20">
        <v>85.0</v>
      </c>
      <c r="X71" s="7">
        <f>IFERROR(__xludf.DUMMYFUNCTION("GOOGLEFINANCE(V71,""marketcap"")"),2.3387756704E10)</f>
        <v>23387756704</v>
      </c>
    </row>
    <row r="72">
      <c r="A72" s="19" t="s">
        <v>771</v>
      </c>
      <c r="B72" s="20">
        <v>85.0</v>
      </c>
      <c r="C72" s="20" t="s">
        <v>5196</v>
      </c>
      <c r="V72" s="19" t="s">
        <v>902</v>
      </c>
      <c r="W72" s="20">
        <v>85.0</v>
      </c>
      <c r="X72" s="7">
        <f>IFERROR(__xludf.DUMMYFUNCTION("GOOGLEFINANCE(V72,""marketcap"")"),2.8342049818E10)</f>
        <v>28342049818</v>
      </c>
    </row>
    <row r="73">
      <c r="A73" s="19" t="s">
        <v>1301</v>
      </c>
      <c r="B73" s="20">
        <v>85.0</v>
      </c>
      <c r="C73" s="20" t="s">
        <v>5197</v>
      </c>
      <c r="V73" s="19" t="s">
        <v>1237</v>
      </c>
      <c r="W73" s="20">
        <v>85.0</v>
      </c>
      <c r="X73" s="7">
        <f>IFERROR(__xludf.DUMMYFUNCTION("GOOGLEFINANCE(V73,""marketcap"")"),3.7428743554E10)</f>
        <v>37428743554</v>
      </c>
    </row>
    <row r="74">
      <c r="A74" s="19" t="s">
        <v>1638</v>
      </c>
      <c r="B74" s="20">
        <v>85.0</v>
      </c>
      <c r="C74" s="20" t="s">
        <v>5198</v>
      </c>
      <c r="V74" s="19" t="s">
        <v>1495</v>
      </c>
      <c r="W74" s="20">
        <v>85.0</v>
      </c>
      <c r="X74" s="7">
        <f>IFERROR(__xludf.DUMMYFUNCTION("GOOGLEFINANCE(V74,""marketcap"")"),3.252616E10)</f>
        <v>32526160000</v>
      </c>
    </row>
    <row r="75">
      <c r="A75" s="19" t="s">
        <v>1155</v>
      </c>
      <c r="B75" s="20">
        <v>85.0</v>
      </c>
      <c r="C75" s="20" t="s">
        <v>5199</v>
      </c>
      <c r="V75" s="19" t="s">
        <v>1119</v>
      </c>
      <c r="W75" s="20">
        <v>85.0</v>
      </c>
      <c r="X75" s="7">
        <f>IFERROR(__xludf.DUMMYFUNCTION("GOOGLEFINANCE(V75,""marketcap"")"),2.3634353007E10)</f>
        <v>23634353007</v>
      </c>
    </row>
    <row r="76">
      <c r="A76" s="19" t="s">
        <v>1477</v>
      </c>
      <c r="B76" s="20">
        <v>85.0</v>
      </c>
      <c r="C76" s="20" t="s">
        <v>5200</v>
      </c>
      <c r="V76" s="19" t="s">
        <v>1025</v>
      </c>
      <c r="W76" s="20">
        <v>85.0</v>
      </c>
      <c r="X76" s="7">
        <f>IFERROR(__xludf.DUMMYFUNCTION("GOOGLEFINANCE(V76,""marketcap"")"),2.25687E10)</f>
        <v>22568700000</v>
      </c>
    </row>
    <row r="77">
      <c r="A77" s="19" t="s">
        <v>229</v>
      </c>
      <c r="B77" s="20">
        <v>85.0</v>
      </c>
      <c r="C77" s="20" t="s">
        <v>5201</v>
      </c>
      <c r="V77" s="19" t="s">
        <v>1177</v>
      </c>
      <c r="W77" s="20">
        <v>85.0</v>
      </c>
      <c r="X77" s="7">
        <f>IFERROR(__xludf.DUMMYFUNCTION("GOOGLEFINANCE(V77,""marketcap"")"),3.0076293746E10)</f>
        <v>30076293746</v>
      </c>
    </row>
    <row r="78">
      <c r="A78" s="19" t="s">
        <v>184</v>
      </c>
      <c r="B78" s="20">
        <v>85.0</v>
      </c>
      <c r="C78" s="20" t="s">
        <v>5202</v>
      </c>
      <c r="V78" s="19" t="s">
        <v>951</v>
      </c>
      <c r="W78" s="20">
        <v>85.0</v>
      </c>
      <c r="X78" s="7">
        <f>IFERROR(__xludf.DUMMYFUNCTION("GOOGLEFINANCE(V78,""marketcap"")"),3.0179668915E10)</f>
        <v>30179668915</v>
      </c>
    </row>
    <row r="79">
      <c r="A79" s="19" t="s">
        <v>1641</v>
      </c>
      <c r="B79" s="20">
        <v>85.0</v>
      </c>
      <c r="C79" s="20" t="s">
        <v>5203</v>
      </c>
      <c r="V79" s="19" t="s">
        <v>835</v>
      </c>
      <c r="W79" s="20">
        <v>85.0</v>
      </c>
      <c r="X79" s="7">
        <f>IFERROR(__xludf.DUMMYFUNCTION("GOOGLEFINANCE(V79,""marketcap"")"),2.4451133769E10)</f>
        <v>24451133769</v>
      </c>
    </row>
    <row r="80">
      <c r="A80" s="19" t="s">
        <v>1619</v>
      </c>
      <c r="B80" s="20">
        <v>85.0</v>
      </c>
      <c r="C80" s="20" t="s">
        <v>5204</v>
      </c>
      <c r="V80" s="19" t="s">
        <v>1624</v>
      </c>
      <c r="W80" s="20">
        <v>85.0</v>
      </c>
      <c r="X80" s="7">
        <f>IFERROR(__xludf.DUMMYFUNCTION("GOOGLEFINANCE(V80,""marketcap"")"),5.6319149597E10)</f>
        <v>56319149597</v>
      </c>
    </row>
    <row r="81">
      <c r="A81" s="19" t="s">
        <v>206</v>
      </c>
      <c r="B81" s="20">
        <v>85.0</v>
      </c>
      <c r="C81" s="20" t="s">
        <v>5205</v>
      </c>
      <c r="V81" s="19" t="s">
        <v>953</v>
      </c>
      <c r="W81" s="20">
        <v>85.0</v>
      </c>
      <c r="X81" s="7">
        <f>IFERROR(__xludf.DUMMYFUNCTION("GOOGLEFINANCE(V81,""marketcap"")"),3.019078341E10)</f>
        <v>30190783410</v>
      </c>
    </row>
    <row r="82">
      <c r="A82" s="19" t="s">
        <v>1200</v>
      </c>
      <c r="B82" s="20">
        <v>85.0</v>
      </c>
      <c r="C82" s="20" t="s">
        <v>5206</v>
      </c>
      <c r="V82" s="19" t="s">
        <v>419</v>
      </c>
      <c r="W82" s="20">
        <v>85.0</v>
      </c>
      <c r="X82" s="7">
        <f>IFERROR(__xludf.DUMMYFUNCTION("GOOGLEFINANCE(V82,""marketcap"")"),8.061702151E9)</f>
        <v>8061702151</v>
      </c>
    </row>
    <row r="83">
      <c r="A83" s="19" t="s">
        <v>1433</v>
      </c>
      <c r="B83" s="20">
        <v>85.0</v>
      </c>
      <c r="C83" s="20" t="s">
        <v>5207</v>
      </c>
      <c r="V83" s="19" t="s">
        <v>1229</v>
      </c>
      <c r="W83" s="20">
        <v>85.0</v>
      </c>
      <c r="X83" s="7">
        <f>IFERROR(__xludf.DUMMYFUNCTION("GOOGLEFINANCE(V83,""marketcap"")"),1.5580745301E10)</f>
        <v>15580745301</v>
      </c>
    </row>
    <row r="84">
      <c r="A84" s="19" t="s">
        <v>551</v>
      </c>
      <c r="B84" s="20">
        <v>85.0</v>
      </c>
      <c r="C84" s="20" t="s">
        <v>5208</v>
      </c>
      <c r="V84" s="19" t="s">
        <v>1483</v>
      </c>
      <c r="W84" s="20">
        <v>85.0</v>
      </c>
      <c r="X84" s="7">
        <f>IFERROR(__xludf.DUMMYFUNCTION("GOOGLEFINANCE(V84,""marketcap"")"),1.8449476956E10)</f>
        <v>18449476956</v>
      </c>
    </row>
    <row r="85">
      <c r="A85" s="19" t="s">
        <v>785</v>
      </c>
      <c r="B85" s="20">
        <v>85.0</v>
      </c>
      <c r="C85" s="20" t="s">
        <v>5209</v>
      </c>
      <c r="V85" s="19" t="s">
        <v>1490</v>
      </c>
      <c r="W85" s="20">
        <v>85.0</v>
      </c>
      <c r="X85" s="7">
        <f>IFERROR(__xludf.DUMMYFUNCTION("GOOGLEFINANCE(V85,""marketcap"")"),1.2261291479E10)</f>
        <v>12261291479</v>
      </c>
    </row>
    <row r="86">
      <c r="A86" s="19" t="s">
        <v>1393</v>
      </c>
      <c r="B86" s="20">
        <v>85.0</v>
      </c>
      <c r="C86" s="20" t="s">
        <v>5210</v>
      </c>
      <c r="V86" s="19" t="s">
        <v>1433</v>
      </c>
      <c r="W86" s="20">
        <v>85.0</v>
      </c>
      <c r="X86" s="7">
        <f>IFERROR(__xludf.DUMMYFUNCTION("GOOGLEFINANCE(V86,""marketcap"")"),1.1247811385E10)</f>
        <v>11247811385</v>
      </c>
    </row>
    <row r="87">
      <c r="A87" s="19" t="s">
        <v>20</v>
      </c>
      <c r="B87" s="20">
        <v>85.0</v>
      </c>
      <c r="C87" s="20" t="s">
        <v>5211</v>
      </c>
      <c r="V87" s="19" t="s">
        <v>1317</v>
      </c>
      <c r="W87" s="20">
        <v>85.0</v>
      </c>
      <c r="X87" s="7">
        <f>IFERROR(__xludf.DUMMYFUNCTION("GOOGLEFINANCE(V87,""marketcap"")"),2.0493657778E10)</f>
        <v>20493657778</v>
      </c>
    </row>
    <row r="88">
      <c r="A88" s="19" t="s">
        <v>873</v>
      </c>
      <c r="B88" s="20">
        <v>85.0</v>
      </c>
      <c r="C88" s="20" t="s">
        <v>5212</v>
      </c>
      <c r="V88" s="19" t="s">
        <v>821</v>
      </c>
      <c r="W88" s="20">
        <v>85.0</v>
      </c>
      <c r="X88" s="7">
        <f>IFERROR(__xludf.DUMMYFUNCTION("GOOGLEFINANCE(V88,""marketcap"")"),2.0743398328E10)</f>
        <v>20743398328</v>
      </c>
    </row>
    <row r="89">
      <c r="A89" s="19" t="s">
        <v>1133</v>
      </c>
      <c r="B89" s="20">
        <v>85.0</v>
      </c>
      <c r="C89" s="20" t="s">
        <v>5213</v>
      </c>
      <c r="V89" s="19" t="s">
        <v>1321</v>
      </c>
      <c r="W89" s="20">
        <v>85.0</v>
      </c>
      <c r="X89" s="7">
        <f>IFERROR(__xludf.DUMMYFUNCTION("GOOGLEFINANCE(V89,""marketcap"")"),1.2087709581E10)</f>
        <v>12087709581</v>
      </c>
    </row>
    <row r="90">
      <c r="A90" s="19" t="s">
        <v>1237</v>
      </c>
      <c r="B90" s="20">
        <v>85.0</v>
      </c>
      <c r="C90" s="20" t="s">
        <v>5214</v>
      </c>
      <c r="V90" s="19" t="s">
        <v>1266</v>
      </c>
      <c r="W90" s="20">
        <v>85.0</v>
      </c>
      <c r="X90" s="7">
        <f>IFERROR(__xludf.DUMMYFUNCTION("GOOGLEFINANCE(V90,""marketcap"")"),1.4472425425E10)</f>
        <v>14472425425</v>
      </c>
    </row>
    <row r="91">
      <c r="A91" s="19" t="s">
        <v>1474</v>
      </c>
      <c r="B91" s="20">
        <v>85.0</v>
      </c>
      <c r="C91" s="20" t="s">
        <v>5215</v>
      </c>
      <c r="V91" s="19" t="s">
        <v>1065</v>
      </c>
      <c r="W91" s="20">
        <v>85.0</v>
      </c>
      <c r="X91" s="7">
        <f>IFERROR(__xludf.DUMMYFUNCTION("GOOGLEFINANCE(V91,""marketcap"")"),2.156566E10)</f>
        <v>21565660000</v>
      </c>
    </row>
    <row r="92">
      <c r="A92" s="19" t="s">
        <v>1490</v>
      </c>
      <c r="B92" s="20">
        <v>85.0</v>
      </c>
      <c r="C92" s="20" t="s">
        <v>5216</v>
      </c>
      <c r="V92" s="19" t="s">
        <v>1113</v>
      </c>
      <c r="W92" s="20">
        <v>85.0</v>
      </c>
      <c r="X92" s="7">
        <f>IFERROR(__xludf.DUMMYFUNCTION("GOOGLEFINANCE(V92,""marketcap"")"),8.146362765E9)</f>
        <v>8146362765</v>
      </c>
    </row>
    <row r="93">
      <c r="A93" s="19" t="s">
        <v>1229</v>
      </c>
      <c r="B93" s="20">
        <v>85.0</v>
      </c>
      <c r="C93" s="20" t="s">
        <v>5217</v>
      </c>
      <c r="V93" s="19" t="s">
        <v>1447</v>
      </c>
      <c r="W93" s="20">
        <v>85.0</v>
      </c>
      <c r="X93" s="7">
        <f>IFERROR(__xludf.DUMMYFUNCTION("GOOGLEFINANCE(V93,""marketcap"")"),1.2602785444E10)</f>
        <v>12602785444</v>
      </c>
    </row>
    <row r="94">
      <c r="A94" s="19" t="s">
        <v>35</v>
      </c>
      <c r="B94" s="20">
        <v>85.0</v>
      </c>
      <c r="C94" s="20" t="s">
        <v>5218</v>
      </c>
      <c r="V94" s="19" t="s">
        <v>1379</v>
      </c>
      <c r="W94" s="20">
        <v>85.0</v>
      </c>
      <c r="X94" s="7">
        <f>IFERROR(__xludf.DUMMYFUNCTION("GOOGLEFINANCE(V94,""marketcap"")"),1.2414526778E10)</f>
        <v>12414526778</v>
      </c>
    </row>
    <row r="95">
      <c r="A95" s="19" t="s">
        <v>1404</v>
      </c>
      <c r="B95" s="20">
        <v>85.0</v>
      </c>
      <c r="C95" s="20" t="s">
        <v>5219</v>
      </c>
      <c r="V95" s="19" t="s">
        <v>866</v>
      </c>
      <c r="W95" s="20">
        <v>85.0</v>
      </c>
      <c r="X95" s="7">
        <f>IFERROR(__xludf.DUMMYFUNCTION("GOOGLEFINANCE(V95,""marketcap"")"),1.067784E10)</f>
        <v>10677840000</v>
      </c>
    </row>
    <row r="96">
      <c r="A96" s="19" t="s">
        <v>1487</v>
      </c>
      <c r="B96" s="20">
        <v>85.0</v>
      </c>
      <c r="C96" s="20" t="s">
        <v>5220</v>
      </c>
      <c r="V96" s="19" t="s">
        <v>1449</v>
      </c>
      <c r="W96" s="20">
        <v>85.0</v>
      </c>
      <c r="X96" s="7">
        <f>IFERROR(__xludf.DUMMYFUNCTION("GOOGLEFINANCE(V96,""marketcap"")"),6.842902265E9)</f>
        <v>6842902265</v>
      </c>
    </row>
    <row r="97">
      <c r="A97" s="19" t="s">
        <v>1495</v>
      </c>
      <c r="B97" s="20">
        <v>85.0</v>
      </c>
      <c r="C97" s="20" t="s">
        <v>5221</v>
      </c>
      <c r="V97" s="19" t="s">
        <v>1400</v>
      </c>
      <c r="W97" s="20">
        <v>85.0</v>
      </c>
      <c r="X97" s="7">
        <f>IFERROR(__xludf.DUMMYFUNCTION("GOOGLEFINANCE(V97,""marketcap"")"),1.0430928931E10)</f>
        <v>10430928931</v>
      </c>
    </row>
    <row r="98">
      <c r="A98" s="19" t="s">
        <v>242</v>
      </c>
      <c r="B98" s="20">
        <v>85.0</v>
      </c>
      <c r="C98" s="20" t="s">
        <v>5222</v>
      </c>
      <c r="V98" s="19" t="s">
        <v>1477</v>
      </c>
      <c r="W98" s="20">
        <v>85.0</v>
      </c>
      <c r="X98" s="7">
        <f>IFERROR(__xludf.DUMMYFUNCTION("GOOGLEFINANCE(V98,""marketcap"")"),1.0219545487E10)</f>
        <v>10219545487</v>
      </c>
    </row>
    <row r="99">
      <c r="A99" s="19" t="s">
        <v>278</v>
      </c>
      <c r="B99" s="20">
        <v>85.0</v>
      </c>
      <c r="C99" s="20" t="s">
        <v>5223</v>
      </c>
      <c r="V99" s="19" t="s">
        <v>896</v>
      </c>
      <c r="W99" s="20">
        <v>85.0</v>
      </c>
      <c r="X99" s="7">
        <f>IFERROR(__xludf.DUMMYFUNCTION("GOOGLEFINANCE(V99,""marketcap"")"),7.571665E9)</f>
        <v>7571665000</v>
      </c>
    </row>
    <row r="100">
      <c r="A100" s="19" t="s">
        <v>953</v>
      </c>
      <c r="B100" s="20">
        <v>85.0</v>
      </c>
      <c r="C100" s="20" t="s">
        <v>5224</v>
      </c>
      <c r="V100" s="19" t="s">
        <v>1043</v>
      </c>
      <c r="W100" s="20">
        <v>85.0</v>
      </c>
      <c r="X100" s="7">
        <f>IFERROR(__xludf.DUMMYFUNCTION("GOOGLEFINANCE(V100,""marketcap"")"),5.23506141E9)</f>
        <v>5235061410</v>
      </c>
    </row>
    <row r="101">
      <c r="A101" s="19" t="s">
        <v>831</v>
      </c>
      <c r="B101" s="20">
        <v>85.0</v>
      </c>
      <c r="C101" s="20" t="s">
        <v>5225</v>
      </c>
      <c r="V101" s="19" t="s">
        <v>1404</v>
      </c>
      <c r="W101" s="20">
        <v>85.0</v>
      </c>
      <c r="X101" s="7">
        <f>IFERROR(__xludf.DUMMYFUNCTION("GOOGLEFINANCE(V101,""marketcap"")"),1.2552680484E10)</f>
        <v>12552680484</v>
      </c>
    </row>
    <row r="102">
      <c r="A102" s="19" t="s">
        <v>816</v>
      </c>
      <c r="B102" s="20">
        <v>85.0</v>
      </c>
      <c r="C102" s="20" t="s">
        <v>5226</v>
      </c>
      <c r="V102" s="19" t="s">
        <v>3047</v>
      </c>
      <c r="W102" s="20">
        <v>85.0</v>
      </c>
      <c r="X102" s="7">
        <f>IFERROR(__xludf.DUMMYFUNCTION("GOOGLEFINANCE(V102,""marketcap"")"),7.943192622E9)</f>
        <v>7943192622</v>
      </c>
    </row>
    <row r="103">
      <c r="A103" s="19" t="s">
        <v>896</v>
      </c>
      <c r="B103" s="20">
        <v>85.0</v>
      </c>
      <c r="C103" s="20" t="s">
        <v>5227</v>
      </c>
      <c r="V103" s="19" t="s">
        <v>1393</v>
      </c>
      <c r="W103" s="20">
        <v>85.0</v>
      </c>
      <c r="X103" s="7">
        <f>IFERROR(__xludf.DUMMYFUNCTION("GOOGLEFINANCE(V103,""marketcap"")"),8.764116918E9)</f>
        <v>8764116918</v>
      </c>
    </row>
    <row r="104">
      <c r="A104" s="19" t="s">
        <v>1498</v>
      </c>
      <c r="B104" s="20">
        <v>85.0</v>
      </c>
      <c r="C104" s="20" t="s">
        <v>5228</v>
      </c>
      <c r="V104" s="19" t="s">
        <v>1619</v>
      </c>
      <c r="W104" s="20">
        <v>85.0</v>
      </c>
      <c r="X104" s="7">
        <f>IFERROR(__xludf.DUMMYFUNCTION("GOOGLEFINANCE(V104,""marketcap"")"),1.270755901E10)</f>
        <v>12707559010</v>
      </c>
    </row>
    <row r="105">
      <c r="A105" s="19" t="s">
        <v>1500</v>
      </c>
      <c r="B105" s="20">
        <v>85.0</v>
      </c>
      <c r="C105" s="20" t="s">
        <v>5229</v>
      </c>
      <c r="V105" s="19" t="s">
        <v>1363</v>
      </c>
      <c r="W105" s="20">
        <v>85.0</v>
      </c>
      <c r="X105" s="7">
        <f>IFERROR(__xludf.DUMMYFUNCTION("GOOGLEFINANCE(V105,""marketcap"")"),1.2027819675E10)</f>
        <v>12027819675</v>
      </c>
    </row>
    <row r="106">
      <c r="A106" s="19" t="s">
        <v>231</v>
      </c>
      <c r="B106" s="20">
        <v>85.0</v>
      </c>
      <c r="C106" s="20" t="s">
        <v>5230</v>
      </c>
      <c r="V106" s="19" t="s">
        <v>816</v>
      </c>
      <c r="W106" s="20">
        <v>85.0</v>
      </c>
      <c r="X106" s="7">
        <f>IFERROR(__xludf.DUMMYFUNCTION("GOOGLEFINANCE(V106,""marketcap"")"),1.1932447802E10)</f>
        <v>11932447802</v>
      </c>
    </row>
    <row r="107">
      <c r="A107" s="19" t="s">
        <v>451</v>
      </c>
      <c r="B107" s="20">
        <v>85.0</v>
      </c>
      <c r="C107" s="20" t="s">
        <v>5231</v>
      </c>
      <c r="V107" s="19" t="s">
        <v>1301</v>
      </c>
      <c r="W107" s="20">
        <v>85.0</v>
      </c>
      <c r="X107" s="7">
        <f>IFERROR(__xludf.DUMMYFUNCTION("GOOGLEFINANCE(V107,""marketcap"")"),8.076755749E9)</f>
        <v>8076755749</v>
      </c>
    </row>
    <row r="108">
      <c r="A108" s="19" t="s">
        <v>1325</v>
      </c>
      <c r="B108" s="20">
        <v>80.0</v>
      </c>
      <c r="C108" s="20" t="s">
        <v>5232</v>
      </c>
    </row>
    <row r="109">
      <c r="A109" s="19" t="s">
        <v>1402</v>
      </c>
      <c r="B109" s="20">
        <v>80.0</v>
      </c>
      <c r="C109" s="20" t="s">
        <v>5233</v>
      </c>
    </row>
    <row r="110">
      <c r="A110" s="19" t="s">
        <v>1081</v>
      </c>
      <c r="B110" s="20">
        <v>80.0</v>
      </c>
      <c r="C110" s="20" t="s">
        <v>5234</v>
      </c>
    </row>
    <row r="111">
      <c r="A111" s="19" t="s">
        <v>825</v>
      </c>
      <c r="B111" s="20">
        <v>80.0</v>
      </c>
      <c r="C111" s="20" t="s">
        <v>5235</v>
      </c>
    </row>
    <row r="112">
      <c r="A112" s="19" t="s">
        <v>18</v>
      </c>
      <c r="B112" s="20">
        <v>80.0</v>
      </c>
      <c r="C112" s="20" t="s">
        <v>5236</v>
      </c>
    </row>
    <row r="113">
      <c r="A113" s="19" t="s">
        <v>1479</v>
      </c>
      <c r="B113" s="20">
        <v>80.0</v>
      </c>
      <c r="C113" s="20" t="s">
        <v>5237</v>
      </c>
    </row>
    <row r="114">
      <c r="A114" s="19" t="s">
        <v>925</v>
      </c>
      <c r="B114" s="20">
        <v>80.0</v>
      </c>
      <c r="C114" s="20" t="s">
        <v>5238</v>
      </c>
    </row>
    <row r="115">
      <c r="A115" s="19" t="s">
        <v>1416</v>
      </c>
      <c r="B115" s="20">
        <v>80.0</v>
      </c>
      <c r="C115" s="20" t="s">
        <v>5239</v>
      </c>
    </row>
    <row r="116">
      <c r="A116" s="19" t="s">
        <v>33</v>
      </c>
      <c r="B116" s="20">
        <v>80.0</v>
      </c>
      <c r="C116" s="20" t="s">
        <v>5240</v>
      </c>
    </row>
    <row r="117">
      <c r="A117" s="19" t="s">
        <v>128</v>
      </c>
      <c r="B117" s="20">
        <v>80.0</v>
      </c>
      <c r="C117" s="20" t="s">
        <v>5241</v>
      </c>
    </row>
    <row r="118">
      <c r="A118" s="19" t="s">
        <v>795</v>
      </c>
      <c r="B118" s="20">
        <v>80.0</v>
      </c>
      <c r="C118" s="20" t="s">
        <v>5242</v>
      </c>
    </row>
    <row r="119">
      <c r="A119" s="19" t="s">
        <v>1202</v>
      </c>
      <c r="B119" s="20">
        <v>80.0</v>
      </c>
      <c r="C119" s="20" t="s">
        <v>5243</v>
      </c>
    </row>
    <row r="120">
      <c r="A120" s="19" t="s">
        <v>1547</v>
      </c>
      <c r="B120" s="20">
        <v>80.0</v>
      </c>
      <c r="C120" s="20" t="s">
        <v>5244</v>
      </c>
    </row>
    <row r="121">
      <c r="A121" s="19" t="s">
        <v>1221</v>
      </c>
      <c r="B121" s="20">
        <v>80.0</v>
      </c>
      <c r="C121" s="20" t="s">
        <v>5245</v>
      </c>
    </row>
    <row r="122">
      <c r="A122" s="19" t="s">
        <v>1549</v>
      </c>
      <c r="B122" s="20">
        <v>80.0</v>
      </c>
      <c r="C122" s="20" t="s">
        <v>5246</v>
      </c>
    </row>
    <row r="123">
      <c r="A123" s="19" t="s">
        <v>1545</v>
      </c>
      <c r="B123" s="20">
        <v>80.0</v>
      </c>
      <c r="C123" s="20" t="s">
        <v>5247</v>
      </c>
    </row>
    <row r="124">
      <c r="A124" s="19" t="s">
        <v>1464</v>
      </c>
      <c r="B124" s="20">
        <v>80.0</v>
      </c>
      <c r="C124" s="20" t="s">
        <v>5248</v>
      </c>
    </row>
    <row r="125">
      <c r="A125" s="19" t="s">
        <v>1137</v>
      </c>
      <c r="B125" s="20">
        <v>80.0</v>
      </c>
      <c r="C125" s="20" t="s">
        <v>5249</v>
      </c>
    </row>
    <row r="126">
      <c r="A126" s="19" t="s">
        <v>978</v>
      </c>
      <c r="B126" s="20">
        <v>80.0</v>
      </c>
      <c r="C126" s="20" t="s">
        <v>5250</v>
      </c>
    </row>
    <row r="127">
      <c r="A127" s="19" t="s">
        <v>1049</v>
      </c>
      <c r="B127" s="20">
        <v>80.0</v>
      </c>
      <c r="C127" s="20" t="s">
        <v>5251</v>
      </c>
    </row>
    <row r="128">
      <c r="A128" s="19" t="s">
        <v>906</v>
      </c>
      <c r="B128" s="20">
        <v>80.0</v>
      </c>
      <c r="C128" s="20" t="s">
        <v>5252</v>
      </c>
    </row>
    <row r="129">
      <c r="A129" s="19" t="s">
        <v>972</v>
      </c>
      <c r="B129" s="20">
        <v>80.0</v>
      </c>
      <c r="C129" s="20" t="s">
        <v>5253</v>
      </c>
    </row>
    <row r="130">
      <c r="A130" s="19" t="s">
        <v>1038</v>
      </c>
      <c r="B130" s="20">
        <v>80.0</v>
      </c>
      <c r="C130" s="20" t="s">
        <v>5254</v>
      </c>
    </row>
    <row r="131">
      <c r="A131" s="19" t="s">
        <v>980</v>
      </c>
      <c r="B131" s="20">
        <v>80.0</v>
      </c>
      <c r="C131" s="20" t="s">
        <v>5255</v>
      </c>
    </row>
    <row r="132">
      <c r="A132" s="19" t="s">
        <v>1204</v>
      </c>
      <c r="B132" s="20">
        <v>80.0</v>
      </c>
      <c r="C132" s="20" t="s">
        <v>5256</v>
      </c>
    </row>
    <row r="133">
      <c r="A133" s="19" t="s">
        <v>1189</v>
      </c>
      <c r="B133" s="20">
        <v>80.0</v>
      </c>
      <c r="C133" s="20" t="s">
        <v>5257</v>
      </c>
    </row>
    <row r="134">
      <c r="A134" s="19" t="s">
        <v>1179</v>
      </c>
      <c r="B134" s="20">
        <v>80.0</v>
      </c>
      <c r="C134" s="20" t="s">
        <v>5258</v>
      </c>
    </row>
    <row r="135">
      <c r="A135" s="19" t="s">
        <v>359</v>
      </c>
      <c r="B135" s="20">
        <v>80.0</v>
      </c>
      <c r="C135" s="20" t="s">
        <v>5259</v>
      </c>
    </row>
    <row r="136">
      <c r="A136" s="19" t="s">
        <v>1311</v>
      </c>
      <c r="B136" s="20">
        <v>80.0</v>
      </c>
      <c r="C136" s="20" t="s">
        <v>5260</v>
      </c>
    </row>
    <row r="137">
      <c r="A137" s="19" t="s">
        <v>1086</v>
      </c>
      <c r="B137" s="20">
        <v>80.0</v>
      </c>
      <c r="C137" s="20" t="s">
        <v>5261</v>
      </c>
    </row>
    <row r="138">
      <c r="A138" s="19" t="s">
        <v>811</v>
      </c>
      <c r="B138" s="20">
        <v>80.0</v>
      </c>
      <c r="C138" s="20" t="s">
        <v>5262</v>
      </c>
    </row>
    <row r="139">
      <c r="A139" s="19" t="s">
        <v>455</v>
      </c>
      <c r="B139" s="20">
        <v>80.0</v>
      </c>
      <c r="C139" s="20" t="s">
        <v>5263</v>
      </c>
    </row>
    <row r="140">
      <c r="A140" s="19" t="s">
        <v>164</v>
      </c>
      <c r="B140" s="20">
        <v>80.0</v>
      </c>
      <c r="C140" s="20" t="s">
        <v>5264</v>
      </c>
    </row>
    <row r="141">
      <c r="A141" s="19" t="s">
        <v>1273</v>
      </c>
      <c r="B141" s="20">
        <v>80.0</v>
      </c>
      <c r="C141" s="20" t="s">
        <v>5265</v>
      </c>
    </row>
    <row r="142">
      <c r="A142" s="19" t="s">
        <v>1560</v>
      </c>
      <c r="B142" s="20">
        <v>80.0</v>
      </c>
      <c r="C142" s="20" t="s">
        <v>5266</v>
      </c>
    </row>
    <row r="143">
      <c r="A143" s="19" t="s">
        <v>1564</v>
      </c>
      <c r="B143" s="20">
        <v>80.0</v>
      </c>
      <c r="C143" s="20" t="s">
        <v>5267</v>
      </c>
    </row>
    <row r="144">
      <c r="A144" s="19" t="s">
        <v>187</v>
      </c>
      <c r="B144" s="20">
        <v>80.0</v>
      </c>
      <c r="C144" s="20" t="s">
        <v>5268</v>
      </c>
    </row>
    <row r="145">
      <c r="A145" s="19" t="s">
        <v>97</v>
      </c>
      <c r="B145" s="20">
        <v>80.0</v>
      </c>
      <c r="C145" s="20" t="s">
        <v>5269</v>
      </c>
    </row>
    <row r="146">
      <c r="A146" s="19" t="s">
        <v>3236</v>
      </c>
      <c r="B146" s="20">
        <v>80.0</v>
      </c>
      <c r="C146" s="20" t="s">
        <v>5270</v>
      </c>
    </row>
    <row r="147">
      <c r="A147" s="19" t="s">
        <v>1161</v>
      </c>
      <c r="B147" s="20">
        <v>80.0</v>
      </c>
      <c r="C147" s="20" t="s">
        <v>5271</v>
      </c>
    </row>
    <row r="148">
      <c r="A148" s="19" t="s">
        <v>51</v>
      </c>
      <c r="B148" s="20">
        <v>80.0</v>
      </c>
      <c r="C148" s="20" t="s">
        <v>5272</v>
      </c>
    </row>
    <row r="149">
      <c r="A149" s="19" t="s">
        <v>1505</v>
      </c>
      <c r="B149" s="20">
        <v>80.0</v>
      </c>
      <c r="C149" s="20" t="s">
        <v>5273</v>
      </c>
    </row>
    <row r="150">
      <c r="A150" s="19" t="s">
        <v>876</v>
      </c>
      <c r="B150" s="20">
        <v>80.0</v>
      </c>
      <c r="C150" s="20" t="s">
        <v>5274</v>
      </c>
    </row>
    <row r="151">
      <c r="A151" s="19" t="s">
        <v>71</v>
      </c>
      <c r="B151" s="20">
        <v>80.0</v>
      </c>
      <c r="C151" s="20" t="s">
        <v>5275</v>
      </c>
    </row>
    <row r="152">
      <c r="A152" s="19" t="s">
        <v>1235</v>
      </c>
      <c r="B152" s="20">
        <v>80.0</v>
      </c>
      <c r="C152" s="20" t="s">
        <v>5276</v>
      </c>
    </row>
    <row r="153">
      <c r="A153" s="19" t="s">
        <v>1021</v>
      </c>
      <c r="B153" s="20">
        <v>80.0</v>
      </c>
      <c r="C153" s="20" t="s">
        <v>5277</v>
      </c>
    </row>
    <row r="154">
      <c r="A154" s="19" t="s">
        <v>1338</v>
      </c>
      <c r="B154" s="20">
        <v>80.0</v>
      </c>
      <c r="C154" s="20" t="s">
        <v>5278</v>
      </c>
    </row>
    <row r="155">
      <c r="A155" s="19" t="s">
        <v>888</v>
      </c>
      <c r="B155" s="20">
        <v>80.0</v>
      </c>
      <c r="C155" s="20" t="s">
        <v>5279</v>
      </c>
    </row>
    <row r="156">
      <c r="A156" s="19" t="s">
        <v>868</v>
      </c>
      <c r="B156" s="20">
        <v>80.0</v>
      </c>
      <c r="C156" s="20" t="s">
        <v>5280</v>
      </c>
    </row>
    <row r="157">
      <c r="A157" s="19" t="s">
        <v>878</v>
      </c>
      <c r="B157" s="20">
        <v>80.0</v>
      </c>
      <c r="C157" s="20" t="s">
        <v>5281</v>
      </c>
    </row>
    <row r="158">
      <c r="A158" s="19" t="s">
        <v>275</v>
      </c>
      <c r="B158" s="20">
        <v>80.0</v>
      </c>
      <c r="C158" s="20" t="s">
        <v>5282</v>
      </c>
    </row>
    <row r="159">
      <c r="A159" s="19" t="s">
        <v>244</v>
      </c>
      <c r="B159" s="20">
        <v>80.0</v>
      </c>
      <c r="C159" s="20" t="s">
        <v>5283</v>
      </c>
    </row>
    <row r="160">
      <c r="A160" s="19" t="s">
        <v>1389</v>
      </c>
      <c r="B160" s="20">
        <v>80.0</v>
      </c>
      <c r="C160" s="20" t="s">
        <v>5284</v>
      </c>
    </row>
    <row r="161">
      <c r="A161" s="19" t="s">
        <v>1632</v>
      </c>
      <c r="B161" s="20">
        <v>80.0</v>
      </c>
      <c r="C161" s="20" t="s">
        <v>5285</v>
      </c>
    </row>
    <row r="162">
      <c r="A162" s="19" t="s">
        <v>1327</v>
      </c>
      <c r="B162" s="20">
        <v>80.0</v>
      </c>
      <c r="C162" s="20" t="s">
        <v>5286</v>
      </c>
    </row>
    <row r="163">
      <c r="A163" s="19" t="s">
        <v>1057</v>
      </c>
      <c r="B163" s="20">
        <v>80.0</v>
      </c>
      <c r="C163" s="20" t="s">
        <v>5287</v>
      </c>
    </row>
    <row r="164">
      <c r="A164" s="19" t="s">
        <v>486</v>
      </c>
      <c r="B164" s="20">
        <v>80.0</v>
      </c>
      <c r="C164" s="20" t="s">
        <v>5288</v>
      </c>
    </row>
    <row r="165">
      <c r="A165" s="19" t="s">
        <v>1350</v>
      </c>
      <c r="B165" s="20">
        <v>80.0</v>
      </c>
      <c r="C165" s="20" t="s">
        <v>5289</v>
      </c>
    </row>
    <row r="166">
      <c r="A166" s="19" t="s">
        <v>355</v>
      </c>
      <c r="B166" s="20">
        <v>80.0</v>
      </c>
      <c r="C166" s="20" t="s">
        <v>5290</v>
      </c>
    </row>
    <row r="167">
      <c r="A167" s="19" t="s">
        <v>870</v>
      </c>
      <c r="B167" s="20">
        <v>80.0</v>
      </c>
      <c r="C167" s="20" t="s">
        <v>5291</v>
      </c>
    </row>
    <row r="168">
      <c r="A168" s="19" t="s">
        <v>1357</v>
      </c>
      <c r="B168" s="20">
        <v>80.0</v>
      </c>
      <c r="C168" s="20" t="s">
        <v>5292</v>
      </c>
    </row>
    <row r="169">
      <c r="A169" s="19" t="s">
        <v>881</v>
      </c>
      <c r="B169" s="20">
        <v>80.0</v>
      </c>
      <c r="C169" s="20" t="s">
        <v>5293</v>
      </c>
    </row>
    <row r="170">
      <c r="A170" s="19" t="s">
        <v>1061</v>
      </c>
      <c r="B170" s="20">
        <v>80.0</v>
      </c>
      <c r="C170" s="20" t="s">
        <v>5294</v>
      </c>
    </row>
    <row r="171">
      <c r="A171" s="19" t="s">
        <v>963</v>
      </c>
      <c r="B171" s="20">
        <v>80.0</v>
      </c>
      <c r="C171" s="20" t="s">
        <v>5295</v>
      </c>
    </row>
    <row r="172">
      <c r="A172" s="19" t="s">
        <v>1264</v>
      </c>
      <c r="B172" s="20">
        <v>75.0</v>
      </c>
      <c r="C172" s="20" t="s">
        <v>5296</v>
      </c>
    </row>
    <row r="173">
      <c r="A173" s="19" t="s">
        <v>1472</v>
      </c>
      <c r="B173" s="20">
        <v>75.0</v>
      </c>
      <c r="C173" s="20" t="s">
        <v>5297</v>
      </c>
    </row>
    <row r="174">
      <c r="A174" s="19" t="s">
        <v>1584</v>
      </c>
      <c r="B174" s="20">
        <v>75.0</v>
      </c>
      <c r="C174" s="20" t="s">
        <v>5298</v>
      </c>
    </row>
    <row r="175">
      <c r="A175" s="19" t="s">
        <v>253</v>
      </c>
      <c r="B175" s="20">
        <v>75.0</v>
      </c>
      <c r="C175" s="20" t="s">
        <v>5299</v>
      </c>
    </row>
    <row r="176">
      <c r="A176" s="19" t="s">
        <v>423</v>
      </c>
      <c r="B176" s="20">
        <v>75.0</v>
      </c>
      <c r="C176" s="20" t="s">
        <v>5300</v>
      </c>
    </row>
    <row r="177">
      <c r="A177" s="19" t="s">
        <v>1580</v>
      </c>
      <c r="B177" s="20">
        <v>75.0</v>
      </c>
      <c r="C177" s="20" t="s">
        <v>5301</v>
      </c>
    </row>
    <row r="178">
      <c r="A178" s="19" t="s">
        <v>1367</v>
      </c>
      <c r="B178" s="20">
        <v>75.0</v>
      </c>
      <c r="C178" s="20" t="s">
        <v>5302</v>
      </c>
    </row>
    <row r="179">
      <c r="A179" s="19" t="s">
        <v>1365</v>
      </c>
      <c r="B179" s="20">
        <v>75.0</v>
      </c>
      <c r="C179" s="20" t="s">
        <v>5303</v>
      </c>
    </row>
    <row r="180">
      <c r="A180" s="19" t="s">
        <v>1348</v>
      </c>
      <c r="B180" s="20">
        <v>75.0</v>
      </c>
      <c r="C180" s="20" t="s">
        <v>5304</v>
      </c>
    </row>
    <row r="181">
      <c r="A181" s="19" t="s">
        <v>1258</v>
      </c>
      <c r="B181" s="20">
        <v>75.0</v>
      </c>
      <c r="C181" s="20" t="s">
        <v>5305</v>
      </c>
    </row>
    <row r="182">
      <c r="A182" s="19" t="s">
        <v>823</v>
      </c>
      <c r="B182" s="20">
        <v>75.0</v>
      </c>
      <c r="C182" s="20" t="s">
        <v>5306</v>
      </c>
    </row>
    <row r="183">
      <c r="A183" s="19" t="s">
        <v>394</v>
      </c>
      <c r="B183" s="20">
        <v>75.0</v>
      </c>
      <c r="C183" s="20" t="s">
        <v>5307</v>
      </c>
    </row>
    <row r="184">
      <c r="A184" s="19" t="s">
        <v>168</v>
      </c>
      <c r="B184" s="20">
        <v>75.0</v>
      </c>
      <c r="C184" s="20" t="s">
        <v>5308</v>
      </c>
    </row>
    <row r="185">
      <c r="A185" s="19" t="s">
        <v>163</v>
      </c>
      <c r="B185" s="20">
        <v>75.0</v>
      </c>
      <c r="C185" s="20" t="s">
        <v>5309</v>
      </c>
    </row>
    <row r="186">
      <c r="A186" s="19" t="s">
        <v>252</v>
      </c>
      <c r="B186" s="20">
        <v>75.0</v>
      </c>
      <c r="C186" s="20" t="s">
        <v>5310</v>
      </c>
    </row>
    <row r="187">
      <c r="A187" s="19" t="s">
        <v>167</v>
      </c>
      <c r="B187" s="20">
        <v>75.0</v>
      </c>
      <c r="C187" s="20" t="s">
        <v>5311</v>
      </c>
    </row>
    <row r="188">
      <c r="A188" s="19" t="s">
        <v>1460</v>
      </c>
      <c r="B188" s="20">
        <v>75.0</v>
      </c>
      <c r="C188" s="20" t="s">
        <v>5312</v>
      </c>
    </row>
    <row r="189">
      <c r="A189" s="19" t="s">
        <v>1513</v>
      </c>
      <c r="B189" s="20">
        <v>75.0</v>
      </c>
      <c r="C189" s="20" t="s">
        <v>5313</v>
      </c>
    </row>
    <row r="190">
      <c r="A190" s="19" t="s">
        <v>1517</v>
      </c>
      <c r="B190" s="20">
        <v>75.0</v>
      </c>
      <c r="C190" s="20" t="s">
        <v>5314</v>
      </c>
    </row>
    <row r="191">
      <c r="A191" s="19" t="s">
        <v>1128</v>
      </c>
      <c r="B191" s="20">
        <v>75.0</v>
      </c>
      <c r="C191" s="20" t="s">
        <v>5315</v>
      </c>
    </row>
    <row r="192">
      <c r="A192" s="19" t="s">
        <v>985</v>
      </c>
      <c r="B192" s="20">
        <v>75.0</v>
      </c>
      <c r="C192" s="20" t="s">
        <v>5316</v>
      </c>
    </row>
    <row r="193">
      <c r="A193" s="19" t="s">
        <v>1385</v>
      </c>
      <c r="B193" s="20">
        <v>75.0</v>
      </c>
      <c r="C193" s="20" t="s">
        <v>5317</v>
      </c>
    </row>
    <row r="194">
      <c r="A194" s="19" t="s">
        <v>1462</v>
      </c>
      <c r="B194" s="20">
        <v>75.0</v>
      </c>
      <c r="C194" s="20" t="s">
        <v>5318</v>
      </c>
    </row>
    <row r="195">
      <c r="A195" s="19" t="s">
        <v>165</v>
      </c>
      <c r="B195" s="20">
        <v>75.0</v>
      </c>
      <c r="C195" s="20" t="s">
        <v>5319</v>
      </c>
    </row>
    <row r="196">
      <c r="A196" s="19" t="s">
        <v>941</v>
      </c>
      <c r="B196" s="20">
        <v>75.0</v>
      </c>
      <c r="C196" s="20" t="s">
        <v>5320</v>
      </c>
    </row>
    <row r="197">
      <c r="A197" s="19" t="s">
        <v>1047</v>
      </c>
      <c r="B197" s="20">
        <v>75.0</v>
      </c>
      <c r="C197" s="20" t="s">
        <v>5321</v>
      </c>
    </row>
    <row r="198">
      <c r="A198" s="19" t="s">
        <v>342</v>
      </c>
      <c r="B198" s="20">
        <v>75.0</v>
      </c>
      <c r="C198" s="20" t="s">
        <v>5322</v>
      </c>
    </row>
    <row r="199">
      <c r="A199" s="19" t="s">
        <v>1375</v>
      </c>
      <c r="B199" s="20">
        <v>75.0</v>
      </c>
      <c r="C199" s="20" t="s">
        <v>5323</v>
      </c>
    </row>
    <row r="200">
      <c r="A200" s="19" t="s">
        <v>468</v>
      </c>
      <c r="B200" s="20">
        <v>75.0</v>
      </c>
      <c r="C200" s="20" t="s">
        <v>5324</v>
      </c>
    </row>
    <row r="201">
      <c r="A201" s="19" t="s">
        <v>1191</v>
      </c>
      <c r="B201" s="20">
        <v>75.0</v>
      </c>
      <c r="C201" s="20" t="s">
        <v>5325</v>
      </c>
    </row>
    <row r="202">
      <c r="A202" s="19" t="s">
        <v>1034</v>
      </c>
      <c r="B202" s="20">
        <v>75.0</v>
      </c>
      <c r="C202" s="20" t="s">
        <v>5326</v>
      </c>
    </row>
    <row r="203">
      <c r="A203" s="19" t="s">
        <v>893</v>
      </c>
      <c r="B203" s="20">
        <v>75.0</v>
      </c>
      <c r="C203" s="20" t="s">
        <v>5327</v>
      </c>
    </row>
    <row r="204">
      <c r="A204" s="19" t="s">
        <v>792</v>
      </c>
      <c r="B204" s="20">
        <v>75.0</v>
      </c>
      <c r="C204" s="20" t="s">
        <v>5328</v>
      </c>
    </row>
    <row r="205">
      <c r="A205" s="19" t="s">
        <v>1143</v>
      </c>
      <c r="B205" s="20">
        <v>75.0</v>
      </c>
      <c r="C205" s="20" t="s">
        <v>5329</v>
      </c>
    </row>
    <row r="206">
      <c r="A206" s="19" t="s">
        <v>937</v>
      </c>
      <c r="B206" s="20">
        <v>75.0</v>
      </c>
      <c r="C206" s="20" t="s">
        <v>5330</v>
      </c>
    </row>
    <row r="207">
      <c r="A207" s="19" t="s">
        <v>904</v>
      </c>
      <c r="B207" s="20">
        <v>75.0</v>
      </c>
      <c r="C207" s="20" t="s">
        <v>5331</v>
      </c>
    </row>
    <row r="208">
      <c r="A208" s="19" t="s">
        <v>790</v>
      </c>
      <c r="B208" s="20">
        <v>75.0</v>
      </c>
      <c r="C208" s="20" t="s">
        <v>5332</v>
      </c>
    </row>
    <row r="209">
      <c r="A209" s="19" t="s">
        <v>1030</v>
      </c>
      <c r="B209" s="20">
        <v>75.0</v>
      </c>
      <c r="C209" s="20" t="s">
        <v>5333</v>
      </c>
    </row>
    <row r="210">
      <c r="A210" s="19" t="s">
        <v>919</v>
      </c>
      <c r="B210" s="20">
        <v>75.0</v>
      </c>
      <c r="C210" s="20" t="s">
        <v>5334</v>
      </c>
    </row>
    <row r="211">
      <c r="A211" s="19" t="s">
        <v>1208</v>
      </c>
      <c r="B211" s="20">
        <v>75.0</v>
      </c>
      <c r="C211" s="20" t="s">
        <v>5335</v>
      </c>
    </row>
    <row r="212">
      <c r="A212" s="19" t="s">
        <v>1206</v>
      </c>
      <c r="B212" s="20">
        <v>75.0</v>
      </c>
      <c r="C212" s="20" t="s">
        <v>5336</v>
      </c>
    </row>
    <row r="213">
      <c r="A213" s="19" t="s">
        <v>1248</v>
      </c>
      <c r="B213" s="20">
        <v>75.0</v>
      </c>
      <c r="C213" s="20" t="s">
        <v>5337</v>
      </c>
    </row>
    <row r="214">
      <c r="A214" s="19" t="s">
        <v>141</v>
      </c>
      <c r="B214" s="20">
        <v>75.0</v>
      </c>
      <c r="C214" s="20" t="s">
        <v>5338</v>
      </c>
    </row>
    <row r="215">
      <c r="A215" s="19" t="s">
        <v>1601</v>
      </c>
      <c r="B215" s="20">
        <v>75.0</v>
      </c>
      <c r="C215" s="20" t="s">
        <v>5339</v>
      </c>
    </row>
    <row r="216">
      <c r="A216" s="19" t="s">
        <v>1551</v>
      </c>
      <c r="B216" s="20">
        <v>75.0</v>
      </c>
      <c r="C216" s="20" t="s">
        <v>5340</v>
      </c>
    </row>
    <row r="217">
      <c r="A217" s="19" t="s">
        <v>1373</v>
      </c>
      <c r="B217" s="20">
        <v>75.0</v>
      </c>
      <c r="C217" s="20" t="s">
        <v>5341</v>
      </c>
    </row>
    <row r="218">
      <c r="A218" s="19" t="s">
        <v>1123</v>
      </c>
      <c r="B218" s="20">
        <v>75.0</v>
      </c>
      <c r="C218" s="20" t="s">
        <v>5342</v>
      </c>
    </row>
    <row r="219">
      <c r="A219" s="19" t="s">
        <v>1041</v>
      </c>
      <c r="B219" s="20">
        <v>75.0</v>
      </c>
      <c r="C219" s="20" t="s">
        <v>5343</v>
      </c>
    </row>
    <row r="220">
      <c r="A220" s="19" t="s">
        <v>1000</v>
      </c>
      <c r="B220" s="20">
        <v>75.0</v>
      </c>
      <c r="C220" s="20" t="s">
        <v>5344</v>
      </c>
    </row>
    <row r="221">
      <c r="A221" s="19" t="s">
        <v>1540</v>
      </c>
      <c r="B221" s="20">
        <v>75.0</v>
      </c>
      <c r="C221" s="20" t="s">
        <v>5345</v>
      </c>
    </row>
    <row r="222">
      <c r="A222" s="19" t="s">
        <v>1533</v>
      </c>
      <c r="B222" s="20">
        <v>75.0</v>
      </c>
      <c r="C222" s="20" t="s">
        <v>5346</v>
      </c>
    </row>
    <row r="223">
      <c r="A223" s="19" t="s">
        <v>1231</v>
      </c>
      <c r="B223" s="20">
        <v>75.0</v>
      </c>
      <c r="C223" s="20" t="s">
        <v>5347</v>
      </c>
    </row>
    <row r="224">
      <c r="A224" s="19" t="s">
        <v>961</v>
      </c>
      <c r="B224" s="20">
        <v>75.0</v>
      </c>
      <c r="C224" s="20" t="s">
        <v>5348</v>
      </c>
    </row>
    <row r="225">
      <c r="A225" s="19" t="s">
        <v>833</v>
      </c>
      <c r="B225" s="20">
        <v>75.0</v>
      </c>
      <c r="C225" s="20" t="s">
        <v>5349</v>
      </c>
    </row>
    <row r="226">
      <c r="A226" s="19" t="s">
        <v>1233</v>
      </c>
      <c r="B226" s="20">
        <v>75.0</v>
      </c>
      <c r="C226" s="20" t="s">
        <v>5350</v>
      </c>
    </row>
    <row r="227">
      <c r="A227" s="19" t="s">
        <v>1195</v>
      </c>
      <c r="B227" s="20">
        <v>75.0</v>
      </c>
      <c r="C227" s="20" t="s">
        <v>5351</v>
      </c>
    </row>
    <row r="228">
      <c r="A228" s="19" t="s">
        <v>1163</v>
      </c>
      <c r="B228" s="20">
        <v>75.0</v>
      </c>
      <c r="C228" s="20" t="s">
        <v>5352</v>
      </c>
    </row>
    <row r="229">
      <c r="A229" s="19" t="s">
        <v>1252</v>
      </c>
      <c r="B229" s="20">
        <v>75.0</v>
      </c>
      <c r="C229" s="20" t="s">
        <v>5353</v>
      </c>
    </row>
    <row r="230">
      <c r="A230" s="19" t="s">
        <v>239</v>
      </c>
      <c r="B230" s="20">
        <v>75.0</v>
      </c>
      <c r="C230" s="20" t="s">
        <v>5354</v>
      </c>
    </row>
    <row r="231">
      <c r="A231" s="19" t="s">
        <v>4609</v>
      </c>
      <c r="B231" s="20">
        <v>75.0</v>
      </c>
      <c r="C231" s="20" t="s">
        <v>5355</v>
      </c>
    </row>
    <row r="232">
      <c r="A232" s="19" t="s">
        <v>1323</v>
      </c>
      <c r="B232" s="20">
        <v>75.0</v>
      </c>
      <c r="C232" s="20" t="s">
        <v>5356</v>
      </c>
    </row>
    <row r="233">
      <c r="A233" s="19" t="s">
        <v>1307</v>
      </c>
      <c r="B233" s="20">
        <v>75.0</v>
      </c>
      <c r="C233" s="20" t="s">
        <v>5357</v>
      </c>
    </row>
    <row r="234">
      <c r="A234" s="19" t="s">
        <v>294</v>
      </c>
      <c r="B234" s="20">
        <v>75.0</v>
      </c>
      <c r="C234" s="20" t="s">
        <v>5358</v>
      </c>
    </row>
    <row r="235">
      <c r="A235" s="19" t="s">
        <v>1305</v>
      </c>
      <c r="B235" s="20">
        <v>75.0</v>
      </c>
      <c r="C235" s="20" t="s">
        <v>5359</v>
      </c>
    </row>
    <row r="236">
      <c r="A236" s="19" t="s">
        <v>476</v>
      </c>
      <c r="B236" s="20">
        <v>75.0</v>
      </c>
      <c r="C236" s="20" t="s">
        <v>5360</v>
      </c>
    </row>
    <row r="237">
      <c r="A237" s="19" t="s">
        <v>898</v>
      </c>
      <c r="B237" s="20">
        <v>75.0</v>
      </c>
      <c r="C237" s="20" t="s">
        <v>5361</v>
      </c>
    </row>
    <row r="238">
      <c r="A238" s="19" t="s">
        <v>124</v>
      </c>
      <c r="B238" s="20">
        <v>75.0</v>
      </c>
      <c r="C238" s="20" t="s">
        <v>5362</v>
      </c>
    </row>
    <row r="239">
      <c r="A239" s="19" t="s">
        <v>1006</v>
      </c>
      <c r="B239" s="20">
        <v>75.0</v>
      </c>
      <c r="C239" s="20" t="s">
        <v>5363</v>
      </c>
    </row>
    <row r="240">
      <c r="A240" s="19" t="s">
        <v>287</v>
      </c>
      <c r="B240" s="20">
        <v>75.0</v>
      </c>
      <c r="C240" s="20" t="s">
        <v>5364</v>
      </c>
    </row>
    <row r="241">
      <c r="A241" s="19" t="s">
        <v>1059</v>
      </c>
      <c r="B241" s="20">
        <v>75.0</v>
      </c>
      <c r="C241" s="20" t="s">
        <v>5365</v>
      </c>
    </row>
    <row r="242">
      <c r="A242" s="19" t="s">
        <v>1210</v>
      </c>
      <c r="B242" s="20">
        <v>75.0</v>
      </c>
      <c r="C242" s="20" t="s">
        <v>5366</v>
      </c>
    </row>
    <row r="243">
      <c r="A243" s="19" t="s">
        <v>1387</v>
      </c>
      <c r="B243" s="20">
        <v>75.0</v>
      </c>
      <c r="C243" s="20" t="s">
        <v>5367</v>
      </c>
    </row>
    <row r="244">
      <c r="A244" s="19" t="s">
        <v>1628</v>
      </c>
      <c r="B244" s="20">
        <v>75.0</v>
      </c>
      <c r="C244" s="20" t="s">
        <v>5368</v>
      </c>
    </row>
    <row r="245">
      <c r="A245" s="19" t="s">
        <v>837</v>
      </c>
      <c r="B245" s="20">
        <v>75.0</v>
      </c>
      <c r="C245" s="20" t="s">
        <v>5369</v>
      </c>
    </row>
    <row r="246">
      <c r="A246" s="19" t="s">
        <v>839</v>
      </c>
      <c r="B246" s="20">
        <v>75.0</v>
      </c>
      <c r="C246" s="20" t="s">
        <v>5370</v>
      </c>
    </row>
    <row r="247">
      <c r="A247" s="19" t="s">
        <v>1091</v>
      </c>
      <c r="B247" s="20">
        <v>75.0</v>
      </c>
      <c r="C247" s="20" t="s">
        <v>5371</v>
      </c>
    </row>
    <row r="248">
      <c r="A248" s="19" t="s">
        <v>4612</v>
      </c>
      <c r="B248" s="20">
        <v>75.0</v>
      </c>
      <c r="C248" s="20" t="s">
        <v>5372</v>
      </c>
    </row>
    <row r="249">
      <c r="A249" s="19" t="s">
        <v>1431</v>
      </c>
      <c r="B249" s="20">
        <v>75.0</v>
      </c>
      <c r="C249" s="20" t="s">
        <v>5373</v>
      </c>
    </row>
    <row r="250">
      <c r="A250" s="19" t="s">
        <v>180</v>
      </c>
      <c r="B250" s="20">
        <v>75.0</v>
      </c>
      <c r="C250" s="20" t="s">
        <v>5374</v>
      </c>
    </row>
    <row r="251">
      <c r="A251" s="19" t="s">
        <v>1181</v>
      </c>
      <c r="B251" s="20">
        <v>75.0</v>
      </c>
      <c r="C251" s="20" t="s">
        <v>5375</v>
      </c>
    </row>
    <row r="252">
      <c r="A252" s="19" t="s">
        <v>1615</v>
      </c>
      <c r="B252" s="20">
        <v>75.0</v>
      </c>
      <c r="C252" s="20" t="s">
        <v>5376</v>
      </c>
    </row>
    <row r="253">
      <c r="A253" s="19" t="s">
        <v>956</v>
      </c>
      <c r="B253" s="20">
        <v>75.0</v>
      </c>
      <c r="C253" s="20" t="s">
        <v>5377</v>
      </c>
    </row>
    <row r="254">
      <c r="A254" s="19" t="s">
        <v>845</v>
      </c>
      <c r="B254" s="20">
        <v>75.0</v>
      </c>
      <c r="C254" s="20" t="s">
        <v>5378</v>
      </c>
    </row>
    <row r="255">
      <c r="A255" s="19" t="s">
        <v>847</v>
      </c>
      <c r="B255" s="20">
        <v>75.0</v>
      </c>
      <c r="C255" s="20" t="s">
        <v>5379</v>
      </c>
    </row>
    <row r="256">
      <c r="A256" s="19" t="s">
        <v>1107</v>
      </c>
      <c r="B256" s="20">
        <v>75.0</v>
      </c>
      <c r="C256" s="20" t="s">
        <v>5380</v>
      </c>
    </row>
    <row r="257">
      <c r="A257" s="19" t="s">
        <v>1072</v>
      </c>
      <c r="B257" s="20">
        <v>75.0</v>
      </c>
      <c r="C257" s="20" t="s">
        <v>5381</v>
      </c>
    </row>
    <row r="258">
      <c r="A258" s="19" t="s">
        <v>1352</v>
      </c>
      <c r="B258" s="20">
        <v>75.0</v>
      </c>
      <c r="C258" s="20" t="s">
        <v>5382</v>
      </c>
    </row>
    <row r="259">
      <c r="A259" s="19" t="s">
        <v>1279</v>
      </c>
      <c r="B259" s="20">
        <v>75.0</v>
      </c>
      <c r="C259" s="20" t="s">
        <v>5383</v>
      </c>
    </row>
    <row r="260">
      <c r="A260" s="19" t="s">
        <v>1443</v>
      </c>
      <c r="B260" s="20">
        <v>75.0</v>
      </c>
      <c r="C260" s="20" t="s">
        <v>5384</v>
      </c>
    </row>
    <row r="261">
      <c r="A261" s="19" t="s">
        <v>1008</v>
      </c>
      <c r="B261" s="20">
        <v>75.0</v>
      </c>
      <c r="C261" s="20" t="s">
        <v>5385</v>
      </c>
    </row>
    <row r="262">
      <c r="A262" s="19" t="s">
        <v>146</v>
      </c>
      <c r="B262" s="20">
        <v>75.0</v>
      </c>
      <c r="C262" s="20" t="s">
        <v>5386</v>
      </c>
    </row>
    <row r="263">
      <c r="A263" s="19" t="s">
        <v>1634</v>
      </c>
      <c r="B263" s="20">
        <v>75.0</v>
      </c>
      <c r="C263" s="20" t="s">
        <v>5387</v>
      </c>
    </row>
    <row r="264">
      <c r="A264" s="19" t="s">
        <v>1015</v>
      </c>
      <c r="B264" s="20">
        <v>75.0</v>
      </c>
      <c r="C264" s="20" t="s">
        <v>5388</v>
      </c>
    </row>
    <row r="265">
      <c r="A265" s="19" t="s">
        <v>809</v>
      </c>
      <c r="B265" s="20">
        <v>75.0</v>
      </c>
      <c r="C265" s="20" t="s">
        <v>5389</v>
      </c>
    </row>
    <row r="266">
      <c r="A266" s="19" t="s">
        <v>263</v>
      </c>
      <c r="B266" s="20">
        <v>75.0</v>
      </c>
      <c r="C266" s="20" t="s">
        <v>5390</v>
      </c>
    </row>
    <row r="267">
      <c r="A267" s="19" t="s">
        <v>1067</v>
      </c>
      <c r="B267" s="20">
        <v>75.0</v>
      </c>
      <c r="C267" s="20" t="s">
        <v>5391</v>
      </c>
    </row>
    <row r="268">
      <c r="A268" s="19" t="s">
        <v>1104</v>
      </c>
      <c r="B268" s="20">
        <v>75.0</v>
      </c>
      <c r="C268" s="20" t="s">
        <v>5392</v>
      </c>
    </row>
    <row r="269">
      <c r="A269" s="19" t="s">
        <v>917</v>
      </c>
      <c r="B269" s="20">
        <v>70.0</v>
      </c>
      <c r="C269" s="20" t="s">
        <v>5393</v>
      </c>
    </row>
    <row r="270">
      <c r="A270" s="19" t="s">
        <v>139</v>
      </c>
      <c r="B270" s="20">
        <v>70.0</v>
      </c>
      <c r="C270" s="20" t="s">
        <v>5394</v>
      </c>
    </row>
    <row r="271">
      <c r="A271" s="19" t="s">
        <v>945</v>
      </c>
      <c r="B271" s="20">
        <v>70.0</v>
      </c>
      <c r="C271" s="20" t="s">
        <v>5395</v>
      </c>
    </row>
    <row r="272">
      <c r="A272" s="19" t="s">
        <v>1594</v>
      </c>
      <c r="B272" s="20">
        <v>70.0</v>
      </c>
      <c r="C272" s="20" t="s">
        <v>5396</v>
      </c>
    </row>
    <row r="273">
      <c r="A273" s="19" t="s">
        <v>1243</v>
      </c>
      <c r="B273" s="20">
        <v>70.0</v>
      </c>
      <c r="C273" s="20" t="s">
        <v>5397</v>
      </c>
    </row>
    <row r="274">
      <c r="A274" s="19" t="s">
        <v>1456</v>
      </c>
      <c r="B274" s="20">
        <v>70.0</v>
      </c>
      <c r="C274" s="20" t="s">
        <v>5398</v>
      </c>
    </row>
    <row r="275">
      <c r="A275" s="19" t="s">
        <v>1157</v>
      </c>
      <c r="B275" s="20">
        <v>70.0</v>
      </c>
      <c r="C275" s="20" t="s">
        <v>5399</v>
      </c>
    </row>
    <row r="276">
      <c r="A276" s="19" t="s">
        <v>1452</v>
      </c>
      <c r="B276" s="20">
        <v>70.0</v>
      </c>
      <c r="C276" s="20" t="s">
        <v>5400</v>
      </c>
    </row>
    <row r="277">
      <c r="A277" s="19" t="s">
        <v>277</v>
      </c>
      <c r="B277" s="20">
        <v>70.0</v>
      </c>
      <c r="C277" s="20" t="s">
        <v>5401</v>
      </c>
    </row>
    <row r="278">
      <c r="A278" s="19" t="s">
        <v>1173</v>
      </c>
      <c r="B278" s="20">
        <v>70.0</v>
      </c>
      <c r="C278" s="20" t="s">
        <v>5402</v>
      </c>
    </row>
    <row r="279">
      <c r="A279" s="19" t="s">
        <v>1131</v>
      </c>
      <c r="B279" s="20">
        <v>70.0</v>
      </c>
      <c r="C279" s="20" t="s">
        <v>5403</v>
      </c>
    </row>
    <row r="280">
      <c r="A280" s="19" t="s">
        <v>1445</v>
      </c>
      <c r="B280" s="20">
        <v>70.0</v>
      </c>
      <c r="C280" s="20" t="s">
        <v>5404</v>
      </c>
    </row>
    <row r="281">
      <c r="A281" s="19" t="s">
        <v>777</v>
      </c>
      <c r="B281" s="20">
        <v>70.0</v>
      </c>
      <c r="C281" s="20" t="s">
        <v>5405</v>
      </c>
    </row>
    <row r="282">
      <c r="A282" s="19" t="s">
        <v>15</v>
      </c>
      <c r="B282" s="20">
        <v>70.0</v>
      </c>
      <c r="C282" s="20" t="s">
        <v>5406</v>
      </c>
    </row>
    <row r="283">
      <c r="A283" s="19" t="s">
        <v>142</v>
      </c>
      <c r="B283" s="20">
        <v>70.0</v>
      </c>
      <c r="C283" s="20" t="s">
        <v>5407</v>
      </c>
    </row>
    <row r="284">
      <c r="A284" s="19" t="s">
        <v>1605</v>
      </c>
      <c r="B284" s="20">
        <v>70.0</v>
      </c>
      <c r="C284" s="20" t="s">
        <v>5408</v>
      </c>
    </row>
    <row r="285">
      <c r="A285" s="19" t="s">
        <v>766</v>
      </c>
      <c r="B285" s="20">
        <v>70.0</v>
      </c>
      <c r="C285" s="20" t="s">
        <v>5409</v>
      </c>
    </row>
    <row r="286">
      <c r="A286" s="19" t="s">
        <v>1250</v>
      </c>
      <c r="B286" s="20">
        <v>70.0</v>
      </c>
      <c r="C286" s="20" t="s">
        <v>5410</v>
      </c>
    </row>
    <row r="287">
      <c r="A287" s="19" t="s">
        <v>1369</v>
      </c>
      <c r="B287" s="20">
        <v>70.0</v>
      </c>
      <c r="C287" s="20" t="s">
        <v>5411</v>
      </c>
    </row>
    <row r="288">
      <c r="A288" s="19" t="s">
        <v>1151</v>
      </c>
      <c r="B288" s="20">
        <v>70.0</v>
      </c>
      <c r="C288" s="20" t="s">
        <v>5412</v>
      </c>
    </row>
    <row r="289">
      <c r="A289" s="19" t="s">
        <v>987</v>
      </c>
      <c r="B289" s="20">
        <v>70.0</v>
      </c>
      <c r="C289" s="20" t="s">
        <v>5413</v>
      </c>
    </row>
    <row r="290">
      <c r="A290" s="19" t="s">
        <v>798</v>
      </c>
      <c r="B290" s="20">
        <v>70.0</v>
      </c>
      <c r="C290" s="20" t="s">
        <v>5414</v>
      </c>
    </row>
    <row r="291">
      <c r="A291" s="19" t="s">
        <v>1381</v>
      </c>
      <c r="B291" s="20">
        <v>70.0</v>
      </c>
      <c r="C291" s="20" t="s">
        <v>5415</v>
      </c>
    </row>
    <row r="292">
      <c r="A292" s="19" t="s">
        <v>46</v>
      </c>
      <c r="B292" s="20">
        <v>70.0</v>
      </c>
      <c r="C292" s="20" t="s">
        <v>5416</v>
      </c>
    </row>
    <row r="293">
      <c r="A293" s="19" t="s">
        <v>1423</v>
      </c>
      <c r="B293" s="20">
        <v>70.0</v>
      </c>
      <c r="C293" s="20" t="s">
        <v>5417</v>
      </c>
    </row>
    <row r="294">
      <c r="A294" s="19" t="s">
        <v>1481</v>
      </c>
      <c r="B294" s="20">
        <v>70.0</v>
      </c>
      <c r="C294" s="20" t="s">
        <v>5418</v>
      </c>
    </row>
    <row r="295">
      <c r="A295" s="19" t="s">
        <v>17</v>
      </c>
      <c r="B295" s="20">
        <v>70.0</v>
      </c>
      <c r="C295" s="20" t="s">
        <v>5419</v>
      </c>
    </row>
    <row r="296">
      <c r="A296" s="19" t="s">
        <v>1315</v>
      </c>
      <c r="B296" s="20">
        <v>70.0</v>
      </c>
      <c r="C296" s="20" t="s">
        <v>5420</v>
      </c>
    </row>
    <row r="297">
      <c r="A297" s="19" t="s">
        <v>95</v>
      </c>
      <c r="B297" s="20">
        <v>70.0</v>
      </c>
      <c r="C297" s="20" t="s">
        <v>5421</v>
      </c>
    </row>
    <row r="298">
      <c r="A298" s="19" t="s">
        <v>254</v>
      </c>
      <c r="B298" s="20">
        <v>70.0</v>
      </c>
      <c r="C298" s="20" t="s">
        <v>5422</v>
      </c>
    </row>
    <row r="299">
      <c r="A299" s="19" t="s">
        <v>1553</v>
      </c>
      <c r="B299" s="20">
        <v>70.0</v>
      </c>
      <c r="C299" s="20" t="s">
        <v>5423</v>
      </c>
    </row>
    <row r="300">
      <c r="A300" s="19" t="s">
        <v>1102</v>
      </c>
      <c r="B300" s="20">
        <v>70.0</v>
      </c>
      <c r="C300" s="20" t="s">
        <v>5424</v>
      </c>
    </row>
    <row r="301">
      <c r="A301" s="19" t="s">
        <v>982</v>
      </c>
      <c r="B301" s="20">
        <v>70.0</v>
      </c>
      <c r="C301" s="20" t="s">
        <v>5425</v>
      </c>
    </row>
    <row r="302">
      <c r="A302" s="19" t="s">
        <v>21</v>
      </c>
      <c r="B302" s="20">
        <v>70.0</v>
      </c>
      <c r="C302" s="20" t="s">
        <v>5426</v>
      </c>
    </row>
    <row r="303">
      <c r="A303" s="19" t="s">
        <v>1435</v>
      </c>
      <c r="B303" s="20">
        <v>70.0</v>
      </c>
      <c r="C303" s="20" t="s">
        <v>5427</v>
      </c>
    </row>
    <row r="304">
      <c r="A304" s="19" t="s">
        <v>976</v>
      </c>
      <c r="B304" s="20">
        <v>70.0</v>
      </c>
      <c r="C304" s="20" t="s">
        <v>5428</v>
      </c>
    </row>
    <row r="305">
      <c r="A305" s="19" t="s">
        <v>1630</v>
      </c>
      <c r="B305" s="20">
        <v>70.0</v>
      </c>
      <c r="C305" s="20" t="s">
        <v>5429</v>
      </c>
    </row>
    <row r="306">
      <c r="A306" s="19" t="s">
        <v>12</v>
      </c>
      <c r="B306" s="20">
        <v>70.0</v>
      </c>
      <c r="C306" s="20" t="s">
        <v>5430</v>
      </c>
    </row>
    <row r="307">
      <c r="A307" s="19" t="s">
        <v>1343</v>
      </c>
      <c r="B307" s="20">
        <v>70.0</v>
      </c>
      <c r="C307" s="20" t="s">
        <v>5431</v>
      </c>
    </row>
    <row r="308">
      <c r="A308" s="19" t="s">
        <v>829</v>
      </c>
      <c r="B308" s="20">
        <v>70.0</v>
      </c>
      <c r="C308" s="20" t="s">
        <v>5432</v>
      </c>
    </row>
    <row r="309">
      <c r="A309" s="19" t="s">
        <v>1331</v>
      </c>
      <c r="B309" s="20">
        <v>70.0</v>
      </c>
      <c r="C309" s="20" t="s">
        <v>5433</v>
      </c>
    </row>
    <row r="310">
      <c r="A310" s="19" t="s">
        <v>1254</v>
      </c>
      <c r="B310" s="20">
        <v>70.0</v>
      </c>
      <c r="C310" s="20" t="s">
        <v>5434</v>
      </c>
    </row>
    <row r="311">
      <c r="A311" s="19" t="s">
        <v>1074</v>
      </c>
      <c r="B311" s="20">
        <v>70.0</v>
      </c>
      <c r="C311" s="20" t="s">
        <v>5435</v>
      </c>
    </row>
    <row r="312">
      <c r="A312" s="19" t="s">
        <v>1582</v>
      </c>
      <c r="B312" s="20">
        <v>65.0</v>
      </c>
      <c r="C312" s="20" t="s">
        <v>5436</v>
      </c>
    </row>
    <row r="313">
      <c r="A313" s="19" t="s">
        <v>1212</v>
      </c>
      <c r="B313" s="20">
        <v>65.0</v>
      </c>
      <c r="C313" s="20" t="s">
        <v>5437</v>
      </c>
    </row>
    <row r="314">
      <c r="A314" s="19" t="s">
        <v>38</v>
      </c>
      <c r="B314" s="20">
        <v>65.0</v>
      </c>
      <c r="C314" s="20" t="s">
        <v>5438</v>
      </c>
    </row>
    <row r="315">
      <c r="A315" s="19" t="s">
        <v>1421</v>
      </c>
      <c r="B315" s="20">
        <v>65.0</v>
      </c>
      <c r="C315" s="20" t="s">
        <v>5439</v>
      </c>
    </row>
    <row r="316">
      <c r="A316" s="19" t="s">
        <v>1608</v>
      </c>
      <c r="B316" s="20">
        <v>65.0</v>
      </c>
      <c r="C316" s="20" t="s">
        <v>5440</v>
      </c>
    </row>
    <row r="317">
      <c r="A317" s="19" t="s">
        <v>130</v>
      </c>
      <c r="B317" s="20">
        <v>65.0</v>
      </c>
      <c r="C317" s="20" t="s">
        <v>5441</v>
      </c>
    </row>
    <row r="318">
      <c r="A318" s="19" t="s">
        <v>1371</v>
      </c>
      <c r="B318" s="20">
        <v>65.0</v>
      </c>
      <c r="C318" s="20" t="s">
        <v>5442</v>
      </c>
    </row>
    <row r="319">
      <c r="A319" s="19" t="s">
        <v>1470</v>
      </c>
      <c r="B319" s="20">
        <v>65.0</v>
      </c>
      <c r="C319" s="20" t="s">
        <v>5443</v>
      </c>
    </row>
    <row r="320">
      <c r="A320" s="19" t="s">
        <v>1028</v>
      </c>
      <c r="B320" s="20">
        <v>65.0</v>
      </c>
      <c r="C320" s="20" t="s">
        <v>5444</v>
      </c>
    </row>
    <row r="321">
      <c r="A321" s="19" t="s">
        <v>1197</v>
      </c>
      <c r="B321" s="20">
        <v>65.0</v>
      </c>
      <c r="C321" s="20" t="s">
        <v>5445</v>
      </c>
    </row>
    <row r="322">
      <c r="A322" s="19" t="s">
        <v>864</v>
      </c>
      <c r="B322" s="20">
        <v>65.0</v>
      </c>
      <c r="C322" s="20" t="s">
        <v>5446</v>
      </c>
    </row>
    <row r="323">
      <c r="A323" s="19" t="s">
        <v>1530</v>
      </c>
      <c r="B323" s="20">
        <v>60.0</v>
      </c>
      <c r="C323" s="20" t="s">
        <v>5447</v>
      </c>
    </row>
    <row r="324">
      <c r="A324" s="19" t="s">
        <v>169</v>
      </c>
      <c r="B324" s="20">
        <v>60.0</v>
      </c>
      <c r="C324" s="20" t="s">
        <v>5448</v>
      </c>
    </row>
    <row r="325">
      <c r="A325" s="19" t="s">
        <v>855</v>
      </c>
      <c r="B325" s="20">
        <v>60.0</v>
      </c>
      <c r="C325" s="20" t="s">
        <v>5449</v>
      </c>
    </row>
    <row r="326">
      <c r="A326" s="19" t="s">
        <v>1171</v>
      </c>
      <c r="B326" s="20">
        <v>60.0</v>
      </c>
      <c r="C326" s="20" t="s">
        <v>5450</v>
      </c>
    </row>
    <row r="327">
      <c r="A327" s="19" t="s">
        <v>609</v>
      </c>
      <c r="B327" s="20">
        <v>60.0</v>
      </c>
      <c r="C327" s="20" t="s">
        <v>5451</v>
      </c>
    </row>
    <row r="328">
      <c r="A328" s="19" t="s">
        <v>1281</v>
      </c>
      <c r="B328" s="20">
        <v>60.0</v>
      </c>
      <c r="C328" s="20" t="s">
        <v>5452</v>
      </c>
    </row>
    <row r="329">
      <c r="A329" s="19" t="s">
        <v>1429</v>
      </c>
      <c r="B329" s="20">
        <v>60.0</v>
      </c>
      <c r="C329" s="20" t="s">
        <v>5453</v>
      </c>
    </row>
    <row r="330">
      <c r="A330" s="19" t="s">
        <v>1051</v>
      </c>
      <c r="B330" s="20">
        <v>60.0</v>
      </c>
      <c r="C330" s="20" t="s">
        <v>5454</v>
      </c>
    </row>
    <row r="331">
      <c r="A331" s="19" t="s">
        <v>1562</v>
      </c>
      <c r="B331" s="20">
        <v>60.0</v>
      </c>
      <c r="C331" s="20" t="s">
        <v>5455</v>
      </c>
    </row>
    <row r="332">
      <c r="A332" s="19" t="s">
        <v>1297</v>
      </c>
      <c r="B332" s="20">
        <v>50.0</v>
      </c>
      <c r="C332" s="20" t="s">
        <v>5456</v>
      </c>
    </row>
    <row r="333">
      <c r="A333" s="19" t="s">
        <v>958</v>
      </c>
      <c r="B333" s="20">
        <v>50.0</v>
      </c>
      <c r="C333" s="20" t="s">
        <v>5457</v>
      </c>
    </row>
    <row r="334">
      <c r="A334" s="19" t="s">
        <v>1023</v>
      </c>
      <c r="B334" s="20">
        <v>50.0</v>
      </c>
      <c r="C334" s="20" t="s">
        <v>5458</v>
      </c>
    </row>
    <row r="335">
      <c r="A335" s="19" t="s">
        <v>843</v>
      </c>
      <c r="B335" s="20">
        <v>50.0</v>
      </c>
      <c r="C335" s="20" t="s">
        <v>5459</v>
      </c>
    </row>
    <row r="336">
      <c r="A336" s="19" t="s">
        <v>1293</v>
      </c>
      <c r="B336" s="20">
        <v>50.0</v>
      </c>
      <c r="C336" s="20" t="s">
        <v>5460</v>
      </c>
    </row>
    <row r="337">
      <c r="A337" s="19" t="s">
        <v>1454</v>
      </c>
      <c r="B337" s="20">
        <v>50.0</v>
      </c>
      <c r="C337" s="20" t="s">
        <v>5461</v>
      </c>
    </row>
    <row r="338">
      <c r="A338" s="19" t="s">
        <v>1425</v>
      </c>
      <c r="B338" s="20">
        <v>50.0</v>
      </c>
      <c r="C338" s="20" t="s">
        <v>5462</v>
      </c>
    </row>
    <row r="339">
      <c r="A339" s="19" t="s">
        <v>295</v>
      </c>
      <c r="B339" s="20">
        <v>50.0</v>
      </c>
      <c r="C339" s="20" t="s">
        <v>5463</v>
      </c>
    </row>
    <row r="340">
      <c r="A340" s="19" t="s">
        <v>1260</v>
      </c>
      <c r="B340" s="20">
        <v>50.0</v>
      </c>
      <c r="C340" s="20" t="s">
        <v>5464</v>
      </c>
    </row>
    <row r="341">
      <c r="A341" s="19" t="s">
        <v>947</v>
      </c>
      <c r="B341" s="20">
        <v>50.0</v>
      </c>
      <c r="C341" s="20" t="s">
        <v>5465</v>
      </c>
    </row>
    <row r="342">
      <c r="A342" s="19" t="s">
        <v>1391</v>
      </c>
      <c r="B342" s="20">
        <v>50.0</v>
      </c>
      <c r="C342" s="20" t="s">
        <v>5466</v>
      </c>
    </row>
    <row r="343">
      <c r="A343" s="19" t="s">
        <v>1410</v>
      </c>
      <c r="B343" s="20">
        <v>50.0</v>
      </c>
      <c r="C343" s="20" t="s">
        <v>5467</v>
      </c>
    </row>
    <row r="344">
      <c r="A344" s="19" t="s">
        <v>300</v>
      </c>
      <c r="B344" s="20">
        <v>50.0</v>
      </c>
      <c r="C344" s="20" t="s">
        <v>5468</v>
      </c>
    </row>
    <row r="345">
      <c r="A345" s="19" t="s">
        <v>1439</v>
      </c>
      <c r="B345" s="20">
        <v>50.0</v>
      </c>
      <c r="C345" s="20" t="s">
        <v>5469</v>
      </c>
    </row>
    <row r="346">
      <c r="A346" s="19" t="s">
        <v>1223</v>
      </c>
      <c r="B346" s="20">
        <v>50.0</v>
      </c>
      <c r="C346" s="20" t="s">
        <v>5470</v>
      </c>
    </row>
    <row r="347">
      <c r="A347" s="19" t="s">
        <v>908</v>
      </c>
      <c r="B347" s="20">
        <v>50.0</v>
      </c>
      <c r="C347" s="20" t="s">
        <v>5471</v>
      </c>
    </row>
    <row r="348">
      <c r="A348" s="19" t="s">
        <v>1295</v>
      </c>
      <c r="B348" s="20">
        <v>50.0</v>
      </c>
      <c r="C348" s="20" t="s">
        <v>5472</v>
      </c>
    </row>
    <row r="349">
      <c r="A349" s="19" t="s">
        <v>1578</v>
      </c>
      <c r="B349" s="20">
        <v>50.0</v>
      </c>
      <c r="C349" s="20" t="s">
        <v>5473</v>
      </c>
    </row>
    <row r="350">
      <c r="A350" s="19" t="s">
        <v>245</v>
      </c>
      <c r="B350" s="20">
        <v>50.0</v>
      </c>
      <c r="C350" s="20" t="s">
        <v>5474</v>
      </c>
    </row>
    <row r="351">
      <c r="A351" s="19" t="s">
        <v>1096</v>
      </c>
      <c r="B351" s="20">
        <v>50.0</v>
      </c>
      <c r="C351" s="20" t="s">
        <v>5475</v>
      </c>
    </row>
    <row r="352">
      <c r="A352" s="19" t="s">
        <v>1611</v>
      </c>
      <c r="B352" s="20">
        <v>50.0</v>
      </c>
      <c r="C352" s="20" t="s">
        <v>5476</v>
      </c>
    </row>
    <row r="353">
      <c r="A353" s="19" t="s">
        <v>1117</v>
      </c>
      <c r="B353" s="20">
        <v>50.0</v>
      </c>
      <c r="C353" s="20" t="s">
        <v>5477</v>
      </c>
    </row>
    <row r="354">
      <c r="A354" s="19" t="s">
        <v>14</v>
      </c>
      <c r="B354" s="20">
        <v>50.0</v>
      </c>
      <c r="C354" s="20" t="s">
        <v>5478</v>
      </c>
    </row>
    <row r="355">
      <c r="A355" s="19" t="s">
        <v>1543</v>
      </c>
      <c r="B355" s="20">
        <v>50.0</v>
      </c>
      <c r="C355" s="20" t="s">
        <v>5479</v>
      </c>
    </row>
    <row r="356">
      <c r="A356" s="19" t="s">
        <v>1019</v>
      </c>
      <c r="B356" s="20">
        <v>50.0</v>
      </c>
      <c r="C356" s="20" t="s">
        <v>5480</v>
      </c>
    </row>
    <row r="357">
      <c r="A357" s="19" t="s">
        <v>1345</v>
      </c>
      <c r="B357" s="20">
        <v>50.0</v>
      </c>
      <c r="C357" s="20" t="s">
        <v>5481</v>
      </c>
    </row>
    <row r="358">
      <c r="A358" s="19" t="s">
        <v>1225</v>
      </c>
      <c r="B358" s="20">
        <v>50.0</v>
      </c>
      <c r="C358" s="20" t="s">
        <v>5482</v>
      </c>
    </row>
    <row r="359">
      <c r="A359" s="19" t="s">
        <v>147</v>
      </c>
      <c r="B359" s="20">
        <v>50.0</v>
      </c>
      <c r="C359" s="20" t="s">
        <v>5483</v>
      </c>
    </row>
    <row r="360">
      <c r="A360" s="19" t="s">
        <v>1569</v>
      </c>
      <c r="B360" s="20">
        <v>50.0</v>
      </c>
      <c r="C360" s="20" t="s">
        <v>5484</v>
      </c>
    </row>
    <row r="361">
      <c r="A361" s="19" t="s">
        <v>1175</v>
      </c>
      <c r="B361" s="20">
        <v>50.0</v>
      </c>
      <c r="C361" s="20" t="s">
        <v>5485</v>
      </c>
    </row>
    <row r="362">
      <c r="A362" s="19" t="s">
        <v>59</v>
      </c>
      <c r="B362" s="44"/>
      <c r="C362" s="20" t="s">
        <v>5486</v>
      </c>
    </row>
    <row r="363">
      <c r="A363" s="19" t="s">
        <v>1493</v>
      </c>
      <c r="B363" s="44"/>
      <c r="C363" s="20" t="s">
        <v>5487</v>
      </c>
    </row>
    <row r="364">
      <c r="A364" s="19" t="s">
        <v>1503</v>
      </c>
      <c r="B364" s="44"/>
      <c r="C364" s="20" t="s">
        <v>5488</v>
      </c>
    </row>
    <row r="365">
      <c r="A365" s="19" t="s">
        <v>1427</v>
      </c>
      <c r="B365" s="44"/>
      <c r="C365" s="20" t="s">
        <v>5489</v>
      </c>
    </row>
    <row r="366">
      <c r="A366" s="19" t="s">
        <v>4860</v>
      </c>
      <c r="B366" s="44"/>
      <c r="C366" s="20" t="s">
        <v>5490</v>
      </c>
    </row>
    <row r="367">
      <c r="A367" s="19" t="s">
        <v>264</v>
      </c>
      <c r="B367" s="44"/>
      <c r="C367" s="20" t="s">
        <v>5491</v>
      </c>
    </row>
    <row r="368">
      <c r="A368" s="19" t="s">
        <v>250</v>
      </c>
      <c r="B368" s="44"/>
      <c r="C368" s="20" t="s">
        <v>5492</v>
      </c>
    </row>
    <row r="369">
      <c r="A369" s="19" t="s">
        <v>1406</v>
      </c>
      <c r="B369" s="44"/>
      <c r="C369" s="20" t="s">
        <v>5493</v>
      </c>
    </row>
    <row r="370">
      <c r="A370" s="19" t="s">
        <v>1414</v>
      </c>
      <c r="B370" s="44"/>
      <c r="C370" s="20" t="s">
        <v>5494</v>
      </c>
    </row>
    <row r="371">
      <c r="A371" s="19" t="s">
        <v>929</v>
      </c>
      <c r="B371" s="44"/>
      <c r="C371" s="20" t="s">
        <v>5495</v>
      </c>
    </row>
    <row r="372">
      <c r="A372" s="19" t="s">
        <v>1032</v>
      </c>
      <c r="B372" s="44"/>
      <c r="C372" s="20" t="s">
        <v>5496</v>
      </c>
    </row>
    <row r="373">
      <c r="A373" s="19" t="s">
        <v>1309</v>
      </c>
      <c r="B373" s="44"/>
      <c r="C373" s="20" t="s">
        <v>5497</v>
      </c>
    </row>
    <row r="374">
      <c r="A374" s="19" t="s">
        <v>1458</v>
      </c>
      <c r="B374" s="44"/>
      <c r="C374" s="20" t="s">
        <v>5498</v>
      </c>
    </row>
    <row r="375">
      <c r="A375" s="19" t="s">
        <v>472</v>
      </c>
      <c r="B375" s="44"/>
      <c r="C375" s="20" t="s">
        <v>5499</v>
      </c>
    </row>
    <row r="376">
      <c r="A376" s="19" t="s">
        <v>1354</v>
      </c>
      <c r="B376" s="44"/>
      <c r="C376" s="20" t="s">
        <v>5500</v>
      </c>
    </row>
    <row r="377">
      <c r="A377" s="19" t="s">
        <v>55</v>
      </c>
      <c r="B377" s="44"/>
      <c r="C377" s="20" t="s">
        <v>5501</v>
      </c>
    </row>
    <row r="378">
      <c r="A378" s="19" t="s">
        <v>1169</v>
      </c>
      <c r="B378" s="44"/>
      <c r="C378" s="20" t="s">
        <v>5502</v>
      </c>
    </row>
    <row r="379">
      <c r="A379" s="19" t="s">
        <v>404</v>
      </c>
      <c r="B379" s="44"/>
      <c r="C379" s="20" t="s">
        <v>5503</v>
      </c>
    </row>
    <row r="380">
      <c r="A380" s="19" t="s">
        <v>1515</v>
      </c>
      <c r="B380" s="44"/>
      <c r="C380" s="20" t="s">
        <v>5504</v>
      </c>
    </row>
    <row r="381">
      <c r="A381" s="19" t="s">
        <v>82</v>
      </c>
      <c r="B381" s="44"/>
      <c r="C381" s="20" t="s">
        <v>5505</v>
      </c>
    </row>
    <row r="382">
      <c r="A382" s="19" t="s">
        <v>1193</v>
      </c>
      <c r="B382" s="44"/>
      <c r="C382" s="20" t="s">
        <v>5506</v>
      </c>
    </row>
    <row r="383">
      <c r="A383" s="19" t="s">
        <v>1239</v>
      </c>
      <c r="B383" s="44"/>
      <c r="C383" s="20" t="s">
        <v>5507</v>
      </c>
    </row>
    <row r="384">
      <c r="A384" s="19" t="s">
        <v>1511</v>
      </c>
      <c r="B384" s="44"/>
      <c r="C384" s="20" t="s">
        <v>5508</v>
      </c>
    </row>
    <row r="385">
      <c r="A385" s="19" t="s">
        <v>939</v>
      </c>
      <c r="B385" s="44"/>
      <c r="C385" s="20" t="s">
        <v>5509</v>
      </c>
    </row>
    <row r="386">
      <c r="A386" s="19" t="s">
        <v>819</v>
      </c>
      <c r="B386" s="44"/>
      <c r="C386" s="20" t="s">
        <v>5510</v>
      </c>
    </row>
    <row r="387">
      <c r="A387" s="19" t="s">
        <v>1287</v>
      </c>
      <c r="B387" s="44"/>
      <c r="C387" s="20" t="s">
        <v>5511</v>
      </c>
    </row>
    <row r="388">
      <c r="A388" s="19" t="s">
        <v>1520</v>
      </c>
      <c r="B388" s="44"/>
      <c r="C388" s="20" t="s">
        <v>5512</v>
      </c>
    </row>
    <row r="389">
      <c r="A389" s="19" t="s">
        <v>1522</v>
      </c>
      <c r="B389" s="44"/>
      <c r="C389" s="20" t="s">
        <v>5513</v>
      </c>
    </row>
    <row r="390">
      <c r="A390" s="19" t="s">
        <v>57</v>
      </c>
      <c r="B390" s="44"/>
      <c r="C390" s="20" t="s">
        <v>5514</v>
      </c>
    </row>
    <row r="391">
      <c r="A391" s="19" t="s">
        <v>1256</v>
      </c>
      <c r="B391" s="44"/>
      <c r="C391" s="20" t="s">
        <v>5515</v>
      </c>
    </row>
    <row r="392">
      <c r="A392" s="19" t="s">
        <v>143</v>
      </c>
      <c r="B392" s="44"/>
      <c r="C392" s="20" t="s">
        <v>5516</v>
      </c>
    </row>
    <row r="393">
      <c r="A393" s="19" t="s">
        <v>197</v>
      </c>
      <c r="B393" s="44"/>
      <c r="C393" s="20" t="s">
        <v>5517</v>
      </c>
    </row>
    <row r="394">
      <c r="A394" s="19" t="s">
        <v>1528</v>
      </c>
      <c r="B394" s="44"/>
      <c r="C394" s="20" t="s">
        <v>5518</v>
      </c>
    </row>
    <row r="395">
      <c r="A395" s="19" t="s">
        <v>127</v>
      </c>
      <c r="B395" s="44"/>
      <c r="C395" s="20" t="s">
        <v>5519</v>
      </c>
    </row>
    <row r="396">
      <c r="A396" s="19" t="s">
        <v>949</v>
      </c>
      <c r="B396" s="44"/>
      <c r="C396" s="20" t="s">
        <v>5520</v>
      </c>
    </row>
    <row r="397">
      <c r="A397" s="19" t="s">
        <v>217</v>
      </c>
      <c r="B397" s="44"/>
      <c r="C397" s="20" t="s">
        <v>5521</v>
      </c>
    </row>
    <row r="398">
      <c r="A398" s="19" t="s">
        <v>911</v>
      </c>
      <c r="B398" s="44"/>
      <c r="C398" s="20" t="s">
        <v>5522</v>
      </c>
    </row>
    <row r="399">
      <c r="A399" s="19" t="s">
        <v>1336</v>
      </c>
      <c r="B399" s="44"/>
      <c r="C399" s="20" t="s">
        <v>5523</v>
      </c>
    </row>
    <row r="400">
      <c r="A400" s="19" t="s">
        <v>1437</v>
      </c>
      <c r="B400" s="44"/>
      <c r="C400" s="20" t="s">
        <v>5524</v>
      </c>
    </row>
    <row r="401">
      <c r="A401" s="19" t="s">
        <v>1524</v>
      </c>
      <c r="B401" s="44"/>
      <c r="C401" s="20" t="s">
        <v>5525</v>
      </c>
    </row>
    <row r="402">
      <c r="A402" s="19" t="s">
        <v>859</v>
      </c>
      <c r="B402" s="44"/>
      <c r="C402" s="20" t="s">
        <v>5526</v>
      </c>
    </row>
    <row r="403">
      <c r="A403" s="19" t="s">
        <v>915</v>
      </c>
      <c r="B403" s="44"/>
      <c r="C403" s="20" t="s">
        <v>5527</v>
      </c>
    </row>
    <row r="404">
      <c r="A404" s="19" t="s">
        <v>1334</v>
      </c>
      <c r="B404" s="44"/>
      <c r="C404" s="20" t="s">
        <v>5528</v>
      </c>
    </row>
    <row r="405">
      <c r="A405" s="19" t="s">
        <v>968</v>
      </c>
      <c r="B405" s="44"/>
      <c r="C405" s="20" t="s">
        <v>5529</v>
      </c>
    </row>
    <row r="406">
      <c r="A406" s="19" t="s">
        <v>1262</v>
      </c>
      <c r="B406" s="44"/>
      <c r="C406" s="20" t="s">
        <v>5530</v>
      </c>
    </row>
    <row r="407">
      <c r="A407" s="19" t="s">
        <v>923</v>
      </c>
      <c r="B407" s="44"/>
      <c r="C407" s="20" t="s">
        <v>5531</v>
      </c>
    </row>
    <row r="408">
      <c r="A408" s="19" t="s">
        <v>4970</v>
      </c>
      <c r="B408" s="44"/>
      <c r="C408" s="20" t="s">
        <v>5532</v>
      </c>
    </row>
    <row r="409">
      <c r="A409" s="19" t="s">
        <v>1535</v>
      </c>
      <c r="B409" s="44"/>
      <c r="C409" s="20" t="s">
        <v>5533</v>
      </c>
    </row>
    <row r="410">
      <c r="A410" s="19" t="s">
        <v>1537</v>
      </c>
      <c r="B410" s="44"/>
      <c r="C410" s="20" t="s">
        <v>5534</v>
      </c>
    </row>
    <row r="411">
      <c r="A411" s="19" t="s">
        <v>991</v>
      </c>
      <c r="B411" s="44"/>
      <c r="C411" s="20" t="s">
        <v>5535</v>
      </c>
    </row>
    <row r="412">
      <c r="A412" s="19" t="s">
        <v>1083</v>
      </c>
      <c r="B412" s="44"/>
      <c r="C412" s="20" t="s">
        <v>5536</v>
      </c>
    </row>
    <row r="413">
      <c r="A413" s="19" t="s">
        <v>1125</v>
      </c>
      <c r="B413" s="44"/>
      <c r="C413" s="20" t="s">
        <v>5537</v>
      </c>
    </row>
    <row r="414">
      <c r="A414" s="19" t="s">
        <v>995</v>
      </c>
      <c r="B414" s="44"/>
      <c r="C414" s="20" t="s">
        <v>5538</v>
      </c>
    </row>
    <row r="415">
      <c r="A415" s="19" t="s">
        <v>1319</v>
      </c>
      <c r="B415" s="44"/>
      <c r="C415" s="20" t="s">
        <v>5539</v>
      </c>
    </row>
    <row r="416">
      <c r="A416" s="19" t="s">
        <v>91</v>
      </c>
      <c r="B416" s="44"/>
      <c r="C416" s="20" t="s">
        <v>5540</v>
      </c>
    </row>
    <row r="417">
      <c r="A417" s="19" t="s">
        <v>145</v>
      </c>
      <c r="B417" s="44"/>
      <c r="C417" s="20" t="s">
        <v>5541</v>
      </c>
    </row>
    <row r="418">
      <c r="A418" s="19" t="s">
        <v>66</v>
      </c>
      <c r="B418" s="44"/>
      <c r="C418" s="20" t="s">
        <v>5542</v>
      </c>
    </row>
    <row r="419">
      <c r="A419" s="19" t="s">
        <v>1002</v>
      </c>
      <c r="B419" s="44"/>
      <c r="C419" s="20" t="s">
        <v>5543</v>
      </c>
    </row>
    <row r="420">
      <c r="A420" s="19" t="s">
        <v>997</v>
      </c>
      <c r="B420" s="44"/>
      <c r="C420" s="20" t="s">
        <v>5544</v>
      </c>
    </row>
    <row r="421">
      <c r="A421" s="19" t="s">
        <v>1289</v>
      </c>
      <c r="B421" s="44"/>
      <c r="C421" s="20" t="s">
        <v>5545</v>
      </c>
    </row>
    <row r="422">
      <c r="A422" s="19" t="s">
        <v>22</v>
      </c>
      <c r="B422" s="44"/>
      <c r="C422" s="20" t="s">
        <v>5546</v>
      </c>
    </row>
    <row r="423">
      <c r="A423" s="19" t="s">
        <v>1121</v>
      </c>
      <c r="B423" s="44"/>
      <c r="C423" s="20" t="s">
        <v>5547</v>
      </c>
    </row>
    <row r="424">
      <c r="A424" s="19" t="s">
        <v>1285</v>
      </c>
      <c r="B424" s="44"/>
      <c r="C424" s="20" t="s">
        <v>5548</v>
      </c>
    </row>
    <row r="425">
      <c r="A425" s="19" t="s">
        <v>1283</v>
      </c>
      <c r="B425" s="44"/>
      <c r="C425" s="20" t="s">
        <v>5549</v>
      </c>
    </row>
    <row r="426">
      <c r="A426" s="19" t="s">
        <v>851</v>
      </c>
      <c r="B426" s="44"/>
      <c r="C426" s="20" t="s">
        <v>5550</v>
      </c>
    </row>
    <row r="427">
      <c r="A427" s="19" t="s">
        <v>61</v>
      </c>
      <c r="B427" s="44"/>
      <c r="C427" s="20" t="s">
        <v>5551</v>
      </c>
    </row>
    <row r="428">
      <c r="A428" s="19" t="s">
        <v>1053</v>
      </c>
      <c r="B428" s="44"/>
      <c r="C428" s="20" t="s">
        <v>5552</v>
      </c>
    </row>
    <row r="429">
      <c r="A429" s="19" t="s">
        <v>93</v>
      </c>
      <c r="B429" s="44"/>
      <c r="C429" s="20" t="s">
        <v>5553</v>
      </c>
    </row>
    <row r="430">
      <c r="A430" s="19" t="s">
        <v>1555</v>
      </c>
      <c r="B430" s="44"/>
      <c r="C430" s="20" t="s">
        <v>5554</v>
      </c>
    </row>
    <row r="431">
      <c r="A431" s="19" t="s">
        <v>1100</v>
      </c>
      <c r="B431" s="44"/>
      <c r="C431" s="20" t="s">
        <v>5555</v>
      </c>
    </row>
    <row r="432">
      <c r="A432" s="19" t="s">
        <v>1098</v>
      </c>
      <c r="B432" s="44"/>
      <c r="C432" s="20" t="s">
        <v>5556</v>
      </c>
    </row>
    <row r="433">
      <c r="A433" s="19" t="s">
        <v>101</v>
      </c>
      <c r="B433" s="44"/>
      <c r="C433" s="20" t="s">
        <v>5557</v>
      </c>
    </row>
    <row r="434">
      <c r="A434" s="19" t="s">
        <v>99</v>
      </c>
      <c r="B434" s="44"/>
      <c r="C434" s="20" t="s">
        <v>5558</v>
      </c>
    </row>
    <row r="435">
      <c r="A435" s="19" t="s">
        <v>1299</v>
      </c>
      <c r="B435" s="44"/>
      <c r="C435" s="20" t="s">
        <v>5559</v>
      </c>
    </row>
    <row r="436">
      <c r="A436" s="19" t="s">
        <v>1398</v>
      </c>
      <c r="B436" s="44"/>
      <c r="C436" s="20" t="s">
        <v>5560</v>
      </c>
    </row>
    <row r="437">
      <c r="A437" s="19" t="s">
        <v>1396</v>
      </c>
      <c r="B437" s="44"/>
      <c r="C437" s="20" t="s">
        <v>5561</v>
      </c>
    </row>
    <row r="438">
      <c r="A438" s="19" t="s">
        <v>1558</v>
      </c>
      <c r="B438" s="44"/>
      <c r="C438" s="20" t="s">
        <v>5562</v>
      </c>
    </row>
    <row r="439">
      <c r="A439" s="19" t="s">
        <v>1219</v>
      </c>
      <c r="B439" s="44"/>
      <c r="C439" s="20" t="s">
        <v>5563</v>
      </c>
    </row>
    <row r="440">
      <c r="A440" s="19" t="s">
        <v>1055</v>
      </c>
      <c r="B440" s="44"/>
      <c r="C440" s="20" t="s">
        <v>5564</v>
      </c>
    </row>
    <row r="441">
      <c r="A441" s="19" t="s">
        <v>186</v>
      </c>
      <c r="B441" s="44"/>
      <c r="C441" s="20" t="s">
        <v>5565</v>
      </c>
    </row>
    <row r="442">
      <c r="A442" s="19" t="s">
        <v>1566</v>
      </c>
      <c r="B442" s="44"/>
      <c r="C442" s="20" t="s">
        <v>5566</v>
      </c>
    </row>
    <row r="443">
      <c r="A443" s="19" t="s">
        <v>1268</v>
      </c>
      <c r="B443" s="44"/>
      <c r="C443" s="20" t="s">
        <v>5567</v>
      </c>
    </row>
    <row r="444">
      <c r="A444" s="19" t="s">
        <v>805</v>
      </c>
      <c r="B444" s="44"/>
      <c r="C444" s="20" t="s">
        <v>5568</v>
      </c>
    </row>
    <row r="445">
      <c r="A445" s="19" t="s">
        <v>166</v>
      </c>
      <c r="B445" s="44"/>
      <c r="C445" s="20" t="s">
        <v>5569</v>
      </c>
    </row>
    <row r="446">
      <c r="A446" s="19" t="s">
        <v>1089</v>
      </c>
      <c r="B446" s="44"/>
      <c r="C446" s="20" t="s">
        <v>5570</v>
      </c>
    </row>
    <row r="447">
      <c r="A447" s="19" t="s">
        <v>3782</v>
      </c>
      <c r="B447" s="44"/>
      <c r="C447" s="20" t="s">
        <v>5571</v>
      </c>
    </row>
    <row r="448">
      <c r="A448" s="19" t="s">
        <v>1361</v>
      </c>
      <c r="B448" s="44"/>
      <c r="C448" s="20" t="s">
        <v>5572</v>
      </c>
    </row>
    <row r="449">
      <c r="A449" s="19" t="s">
        <v>974</v>
      </c>
      <c r="B449" s="44"/>
      <c r="C449" s="20" t="s">
        <v>5573</v>
      </c>
    </row>
    <row r="450">
      <c r="A450" s="19" t="s">
        <v>36</v>
      </c>
      <c r="B450" s="44"/>
      <c r="C450" s="20" t="s">
        <v>5574</v>
      </c>
    </row>
    <row r="451">
      <c r="A451" s="19" t="s">
        <v>592</v>
      </c>
      <c r="B451" s="44"/>
      <c r="C451" s="20" t="s">
        <v>5575</v>
      </c>
    </row>
    <row r="452">
      <c r="A452" s="19" t="s">
        <v>122</v>
      </c>
      <c r="B452" s="44"/>
      <c r="C452" s="20" t="s">
        <v>5576</v>
      </c>
    </row>
    <row r="453">
      <c r="A453" s="19" t="s">
        <v>125</v>
      </c>
      <c r="B453" s="44"/>
      <c r="C453" s="20" t="s">
        <v>5577</v>
      </c>
    </row>
    <row r="454">
      <c r="A454" s="19" t="s">
        <v>900</v>
      </c>
      <c r="B454" s="44"/>
      <c r="C454" s="20" t="s">
        <v>5578</v>
      </c>
    </row>
    <row r="455">
      <c r="A455" s="19" t="s">
        <v>1441</v>
      </c>
      <c r="B455" s="44"/>
      <c r="C455" s="20" t="s">
        <v>5579</v>
      </c>
    </row>
    <row r="456">
      <c r="A456" s="19" t="s">
        <v>183</v>
      </c>
      <c r="B456" s="44"/>
      <c r="C456" s="20" t="s">
        <v>5580</v>
      </c>
    </row>
    <row r="457">
      <c r="A457" s="19" t="s">
        <v>1359</v>
      </c>
      <c r="B457" s="44"/>
      <c r="C457" s="20" t="s">
        <v>5581</v>
      </c>
    </row>
    <row r="458">
      <c r="A458" s="19" t="s">
        <v>965</v>
      </c>
      <c r="B458" s="44"/>
      <c r="C458" s="20" t="s">
        <v>5582</v>
      </c>
    </row>
    <row r="459">
      <c r="A459" s="19" t="s">
        <v>1418</v>
      </c>
      <c r="B459" s="44"/>
      <c r="C459" s="20" t="s">
        <v>5583</v>
      </c>
    </row>
    <row r="460">
      <c r="A460" s="19" t="s">
        <v>85</v>
      </c>
      <c r="B460" s="44"/>
      <c r="C460" s="20" t="s">
        <v>5584</v>
      </c>
    </row>
    <row r="461">
      <c r="A461" s="19" t="s">
        <v>1383</v>
      </c>
      <c r="B461" s="44"/>
      <c r="C461" s="20" t="s">
        <v>5585</v>
      </c>
    </row>
    <row r="462">
      <c r="A462" s="19" t="s">
        <v>927</v>
      </c>
      <c r="B462" s="44"/>
      <c r="C462" s="20" t="s">
        <v>5586</v>
      </c>
    </row>
    <row r="463">
      <c r="A463" s="19" t="s">
        <v>933</v>
      </c>
      <c r="B463" s="44"/>
      <c r="C463" s="20" t="s">
        <v>5587</v>
      </c>
    </row>
    <row r="464">
      <c r="A464" s="19" t="s">
        <v>1145</v>
      </c>
      <c r="B464" s="44"/>
      <c r="C464" s="20" t="s">
        <v>5588</v>
      </c>
    </row>
    <row r="465">
      <c r="A465" s="19" t="s">
        <v>63</v>
      </c>
      <c r="B465" s="44"/>
      <c r="C465" s="20" t="s">
        <v>5589</v>
      </c>
    </row>
    <row r="466">
      <c r="A466" s="19" t="s">
        <v>1596</v>
      </c>
      <c r="B466" s="44"/>
      <c r="C466" s="20" t="s">
        <v>5590</v>
      </c>
    </row>
    <row r="467">
      <c r="A467" s="19" t="s">
        <v>129</v>
      </c>
      <c r="B467" s="44"/>
      <c r="C467" s="20" t="s">
        <v>5591</v>
      </c>
    </row>
    <row r="468">
      <c r="A468" s="19" t="s">
        <v>921</v>
      </c>
      <c r="B468" s="44"/>
      <c r="C468" s="20" t="s">
        <v>5592</v>
      </c>
    </row>
    <row r="469">
      <c r="A469" s="19" t="s">
        <v>19</v>
      </c>
      <c r="B469" s="44"/>
      <c r="C469" s="20" t="s">
        <v>5593</v>
      </c>
    </row>
    <row r="470">
      <c r="A470" s="19" t="s">
        <v>1139</v>
      </c>
      <c r="B470" s="44"/>
      <c r="C470" s="20" t="s">
        <v>5594</v>
      </c>
    </row>
    <row r="471">
      <c r="A471" s="19" t="s">
        <v>298</v>
      </c>
      <c r="B471" s="44"/>
      <c r="C471" s="20" t="s">
        <v>5595</v>
      </c>
    </row>
    <row r="472">
      <c r="A472" s="19" t="s">
        <v>1599</v>
      </c>
      <c r="B472" s="44"/>
      <c r="C472" s="20" t="s">
        <v>5596</v>
      </c>
    </row>
    <row r="473">
      <c r="A473" s="19" t="s">
        <v>144</v>
      </c>
      <c r="B473" s="44"/>
      <c r="C473" s="20" t="s">
        <v>5597</v>
      </c>
    </row>
    <row r="474">
      <c r="A474" s="19" t="s">
        <v>1147</v>
      </c>
      <c r="B474" s="44"/>
      <c r="C474" s="20" t="s">
        <v>5598</v>
      </c>
    </row>
    <row r="475">
      <c r="A475" s="19" t="s">
        <v>853</v>
      </c>
      <c r="B475" s="44"/>
      <c r="C475" s="20" t="s">
        <v>5599</v>
      </c>
    </row>
    <row r="476">
      <c r="A476" s="19" t="s">
        <v>1408</v>
      </c>
      <c r="B476" s="44"/>
      <c r="C476" s="20" t="s">
        <v>5600</v>
      </c>
    </row>
    <row r="477">
      <c r="A477" s="19" t="s">
        <v>1613</v>
      </c>
      <c r="B477" s="44"/>
      <c r="C477" s="20" t="s">
        <v>5601</v>
      </c>
    </row>
    <row r="478">
      <c r="A478" s="19" t="s">
        <v>16</v>
      </c>
      <c r="B478" s="44"/>
      <c r="C478" s="20" t="s">
        <v>5602</v>
      </c>
    </row>
    <row r="479">
      <c r="A479" s="19" t="s">
        <v>886</v>
      </c>
      <c r="B479" s="44"/>
      <c r="C479" s="20" t="s">
        <v>5603</v>
      </c>
    </row>
    <row r="480">
      <c r="A480" s="19" t="s">
        <v>1167</v>
      </c>
      <c r="B480" s="44"/>
      <c r="C480" s="20" t="s">
        <v>5604</v>
      </c>
    </row>
    <row r="481">
      <c r="A481" s="19" t="s">
        <v>1468</v>
      </c>
      <c r="B481" s="44"/>
      <c r="C481" s="20" t="s">
        <v>5605</v>
      </c>
    </row>
    <row r="482">
      <c r="A482" s="19" t="s">
        <v>1185</v>
      </c>
      <c r="B482" s="44"/>
      <c r="C482" s="20" t="s">
        <v>5606</v>
      </c>
    </row>
    <row r="483">
      <c r="A483" s="19" t="s">
        <v>1245</v>
      </c>
      <c r="B483" s="44"/>
      <c r="C483" s="20" t="s">
        <v>5607</v>
      </c>
    </row>
    <row r="484">
      <c r="A484" s="19" t="s">
        <v>1241</v>
      </c>
      <c r="B484" s="44"/>
      <c r="C484" s="20" t="s">
        <v>5608</v>
      </c>
    </row>
    <row r="485">
      <c r="A485" s="19" t="s">
        <v>1183</v>
      </c>
      <c r="B485" s="44"/>
      <c r="C485" s="20" t="s">
        <v>5609</v>
      </c>
    </row>
    <row r="486">
      <c r="A486" s="19" t="s">
        <v>1165</v>
      </c>
      <c r="B486" s="44"/>
      <c r="C486" s="20" t="s">
        <v>5610</v>
      </c>
    </row>
    <row r="487">
      <c r="A487" s="19" t="s">
        <v>857</v>
      </c>
      <c r="B487" s="44"/>
      <c r="C487" s="20" t="s">
        <v>5611</v>
      </c>
    </row>
    <row r="488">
      <c r="A488" s="19" t="s">
        <v>39</v>
      </c>
      <c r="B488" s="44"/>
      <c r="C488" s="20" t="s">
        <v>5612</v>
      </c>
    </row>
    <row r="489">
      <c r="A489" s="19" t="s">
        <v>1069</v>
      </c>
      <c r="B489" s="44"/>
      <c r="C489" s="20" t="s">
        <v>5613</v>
      </c>
    </row>
    <row r="490">
      <c r="A490" s="19" t="s">
        <v>89</v>
      </c>
      <c r="B490" s="44"/>
      <c r="C490" s="20" t="s">
        <v>5614</v>
      </c>
    </row>
    <row r="491">
      <c r="A491" s="19" t="s">
        <v>126</v>
      </c>
      <c r="B491" s="44"/>
      <c r="C491" s="20" t="s">
        <v>5615</v>
      </c>
    </row>
    <row r="492">
      <c r="A492" s="19" t="s">
        <v>841</v>
      </c>
      <c r="B492" s="44"/>
      <c r="C492" s="20" t="s">
        <v>5616</v>
      </c>
    </row>
    <row r="493">
      <c r="A493" s="19" t="s">
        <v>49</v>
      </c>
      <c r="B493" s="44"/>
      <c r="C493" s="20" t="s">
        <v>5617</v>
      </c>
    </row>
    <row r="494">
      <c r="A494" s="19" t="s">
        <v>1010</v>
      </c>
      <c r="B494" s="44"/>
      <c r="C494" s="20" t="s">
        <v>5618</v>
      </c>
    </row>
    <row r="495">
      <c r="A495" s="19" t="s">
        <v>459</v>
      </c>
      <c r="B495" s="44"/>
      <c r="C495" s="20" t="s">
        <v>5619</v>
      </c>
    </row>
    <row r="496">
      <c r="A496" s="19" t="s">
        <v>849</v>
      </c>
      <c r="B496" s="44"/>
      <c r="C496" s="20" t="s">
        <v>5620</v>
      </c>
    </row>
    <row r="497">
      <c r="A497" s="19" t="s">
        <v>1291</v>
      </c>
      <c r="B497" s="44"/>
      <c r="C497" s="20" t="s">
        <v>5621</v>
      </c>
    </row>
    <row r="498">
      <c r="A498" s="19" t="s">
        <v>1076</v>
      </c>
      <c r="B498" s="44"/>
      <c r="C498" s="20" t="s">
        <v>5622</v>
      </c>
    </row>
    <row r="499">
      <c r="A499" s="19" t="s">
        <v>1271</v>
      </c>
      <c r="B499" s="44"/>
      <c r="C499" s="20" t="s">
        <v>5623</v>
      </c>
    </row>
    <row r="500">
      <c r="A500" s="19" t="s">
        <v>1412</v>
      </c>
      <c r="B500" s="44"/>
      <c r="C500" s="20" t="s">
        <v>5624</v>
      </c>
    </row>
    <row r="501">
      <c r="A501" s="19" t="s">
        <v>1636</v>
      </c>
      <c r="B501" s="44"/>
      <c r="C501" s="20" t="s">
        <v>5625</v>
      </c>
    </row>
    <row r="502">
      <c r="A502" s="19" t="s">
        <v>1214</v>
      </c>
      <c r="B502" s="44"/>
      <c r="C502" s="20" t="s">
        <v>5626</v>
      </c>
    </row>
    <row r="503">
      <c r="A503" s="19" t="s">
        <v>1466</v>
      </c>
      <c r="B503" s="44"/>
      <c r="C503" s="20" t="s">
        <v>5627</v>
      </c>
    </row>
    <row r="504">
      <c r="A504" s="19" t="s">
        <v>276</v>
      </c>
      <c r="B504" s="44"/>
      <c r="C504" s="20" t="s">
        <v>5628</v>
      </c>
    </row>
  </sheetData>
  <autoFilter ref="$V$2:$X$107">
    <sortState ref="V2:X107">
      <sortCondition descending="1" ref="X2:X107"/>
    </sortState>
  </autoFilter>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465.88"/>
  </cols>
  <sheetData>
    <row r="1">
      <c r="A1" s="40" t="s">
        <v>623</v>
      </c>
      <c r="B1" s="40" t="s">
        <v>624</v>
      </c>
      <c r="C1" s="40" t="s">
        <v>625</v>
      </c>
      <c r="D1" s="40" t="s">
        <v>626</v>
      </c>
    </row>
    <row r="2">
      <c r="A2" s="19" t="s">
        <v>119</v>
      </c>
      <c r="B2" s="20" t="s">
        <v>5629</v>
      </c>
      <c r="C2" s="20">
        <v>80.0</v>
      </c>
      <c r="D2" s="41">
        <v>45516.0</v>
      </c>
    </row>
    <row r="3">
      <c r="A3" s="19" t="s">
        <v>150</v>
      </c>
      <c r="B3" s="20" t="s">
        <v>5630</v>
      </c>
      <c r="C3" s="20">
        <v>80.0</v>
      </c>
      <c r="D3" s="41">
        <v>45516.0</v>
      </c>
    </row>
    <row r="4">
      <c r="A4" s="19" t="s">
        <v>649</v>
      </c>
      <c r="B4" s="20" t="s">
        <v>5631</v>
      </c>
      <c r="C4" s="20">
        <v>80.0</v>
      </c>
      <c r="D4" s="41">
        <v>45516.0</v>
      </c>
    </row>
    <row r="5">
      <c r="A5" s="19" t="s">
        <v>111</v>
      </c>
      <c r="B5" s="20" t="s">
        <v>5632</v>
      </c>
      <c r="C5" s="20">
        <v>80.0</v>
      </c>
      <c r="D5" s="41">
        <v>45516.0</v>
      </c>
    </row>
    <row r="6">
      <c r="A6" s="19" t="s">
        <v>103</v>
      </c>
      <c r="B6" s="20" t="s">
        <v>5633</v>
      </c>
      <c r="C6" s="20">
        <v>75.0</v>
      </c>
      <c r="D6" s="41">
        <v>45516.0</v>
      </c>
    </row>
    <row r="7">
      <c r="A7" s="19" t="s">
        <v>660</v>
      </c>
      <c r="B7" s="20" t="s">
        <v>5634</v>
      </c>
      <c r="C7" s="20">
        <v>75.0</v>
      </c>
      <c r="D7" s="41">
        <v>45516.0</v>
      </c>
    </row>
    <row r="8">
      <c r="A8" s="19" t="s">
        <v>115</v>
      </c>
      <c r="B8" s="20" t="s">
        <v>5635</v>
      </c>
      <c r="C8" s="20">
        <v>75.0</v>
      </c>
      <c r="D8" s="41">
        <v>45516.0</v>
      </c>
    </row>
    <row r="9">
      <c r="A9" s="19" t="s">
        <v>107</v>
      </c>
      <c r="B9" s="20" t="s">
        <v>5636</v>
      </c>
      <c r="C9" s="20">
        <v>75.0</v>
      </c>
      <c r="D9" s="41">
        <v>45516.0</v>
      </c>
    </row>
    <row r="10">
      <c r="A10" s="19" t="s">
        <v>173</v>
      </c>
      <c r="B10" s="20" t="s">
        <v>5637</v>
      </c>
      <c r="C10" s="20">
        <v>75.0</v>
      </c>
      <c r="D10" s="41">
        <v>45516.0</v>
      </c>
    </row>
    <row r="11">
      <c r="A11" s="19" t="s">
        <v>634</v>
      </c>
      <c r="B11" s="20" t="s">
        <v>5638</v>
      </c>
      <c r="C11" s="20">
        <v>75.0</v>
      </c>
      <c r="D11" s="41">
        <v>45516.0</v>
      </c>
    </row>
    <row r="12">
      <c r="A12" s="19" t="s">
        <v>309</v>
      </c>
      <c r="B12" s="20" t="s">
        <v>5639</v>
      </c>
      <c r="C12" s="20">
        <v>75.0</v>
      </c>
      <c r="D12" s="41">
        <v>45516.0</v>
      </c>
    </row>
    <row r="13">
      <c r="A13" s="19" t="s">
        <v>188</v>
      </c>
      <c r="B13" s="20" t="s">
        <v>5640</v>
      </c>
      <c r="C13" s="20">
        <v>75.0</v>
      </c>
      <c r="D13" s="41">
        <v>45516.0</v>
      </c>
    </row>
    <row r="14">
      <c r="A14" s="19" t="s">
        <v>658</v>
      </c>
      <c r="B14" s="20" t="s">
        <v>5641</v>
      </c>
      <c r="C14" s="20">
        <v>75.0</v>
      </c>
      <c r="D14" s="41">
        <v>45516.0</v>
      </c>
    </row>
    <row r="15">
      <c r="A15" s="19" t="s">
        <v>751</v>
      </c>
      <c r="B15" s="20" t="s">
        <v>5642</v>
      </c>
      <c r="C15" s="20">
        <v>70.0</v>
      </c>
      <c r="D15" s="41">
        <v>45516.0</v>
      </c>
    </row>
    <row r="16">
      <c r="A16" s="19" t="s">
        <v>642</v>
      </c>
      <c r="B16" s="20" t="s">
        <v>5643</v>
      </c>
      <c r="C16" s="20">
        <v>70.0</v>
      </c>
      <c r="D16" s="41">
        <v>45516.0</v>
      </c>
    </row>
    <row r="17">
      <c r="A17" s="19" t="s">
        <v>755</v>
      </c>
      <c r="B17" s="20" t="s">
        <v>5644</v>
      </c>
      <c r="C17" s="20">
        <v>70.0</v>
      </c>
      <c r="D17" s="41">
        <v>45516.0</v>
      </c>
    </row>
    <row r="18">
      <c r="A18" s="19" t="s">
        <v>747</v>
      </c>
      <c r="B18" s="20" t="s">
        <v>5645</v>
      </c>
      <c r="C18" s="20">
        <v>70.0</v>
      </c>
      <c r="D18" s="41">
        <v>45516.0</v>
      </c>
    </row>
    <row r="19">
      <c r="A19" s="19" t="s">
        <v>647</v>
      </c>
      <c r="B19" s="20" t="s">
        <v>5646</v>
      </c>
      <c r="C19" s="20">
        <v>70.0</v>
      </c>
      <c r="D19" s="41">
        <v>45516.0</v>
      </c>
    </row>
    <row r="20">
      <c r="A20" s="19" t="s">
        <v>312</v>
      </c>
      <c r="B20" s="20" t="s">
        <v>5647</v>
      </c>
      <c r="C20" s="20">
        <v>70.0</v>
      </c>
      <c r="D20" s="41">
        <v>45516.0</v>
      </c>
    </row>
    <row r="21">
      <c r="A21" s="19" t="s">
        <v>159</v>
      </c>
      <c r="B21" s="20" t="s">
        <v>5648</v>
      </c>
      <c r="C21" s="20">
        <v>70.0</v>
      </c>
      <c r="D21" s="41">
        <v>45516.0</v>
      </c>
    </row>
    <row r="22">
      <c r="A22" s="19" t="s">
        <v>156</v>
      </c>
      <c r="B22" s="20" t="s">
        <v>5649</v>
      </c>
      <c r="C22" s="20">
        <v>70.0</v>
      </c>
      <c r="D22" s="41">
        <v>45516.0</v>
      </c>
    </row>
    <row r="23">
      <c r="A23" s="19" t="s">
        <v>153</v>
      </c>
      <c r="B23" s="20" t="s">
        <v>5650</v>
      </c>
      <c r="C23" s="20">
        <v>70.0</v>
      </c>
      <c r="D23" s="41">
        <v>45516.0</v>
      </c>
    </row>
    <row r="24">
      <c r="A24" s="19" t="s">
        <v>686</v>
      </c>
      <c r="B24" s="20" t="s">
        <v>5651</v>
      </c>
      <c r="C24" s="20">
        <v>70.0</v>
      </c>
      <c r="D24" s="41">
        <v>45516.0</v>
      </c>
    </row>
    <row r="25">
      <c r="A25" s="19" t="s">
        <v>148</v>
      </c>
      <c r="B25" s="20" t="s">
        <v>5652</v>
      </c>
      <c r="C25" s="20">
        <v>70.0</v>
      </c>
      <c r="D25" s="41">
        <v>45516.0</v>
      </c>
    </row>
    <row r="26">
      <c r="A26" s="19" t="s">
        <v>662</v>
      </c>
      <c r="B26" s="20" t="s">
        <v>5653</v>
      </c>
      <c r="C26" s="20">
        <v>70.0</v>
      </c>
      <c r="D26" s="41">
        <v>45516.0</v>
      </c>
    </row>
    <row r="27">
      <c r="A27" s="19" t="s">
        <v>194</v>
      </c>
      <c r="B27" s="20" t="s">
        <v>5654</v>
      </c>
      <c r="C27" s="20">
        <v>70.0</v>
      </c>
      <c r="D27" s="41">
        <v>45516.0</v>
      </c>
    </row>
    <row r="28">
      <c r="A28" s="19" t="s">
        <v>694</v>
      </c>
      <c r="B28" s="20" t="s">
        <v>5655</v>
      </c>
      <c r="C28" s="20">
        <v>70.0</v>
      </c>
      <c r="D28" s="41">
        <v>45516.0</v>
      </c>
    </row>
    <row r="29">
      <c r="A29" s="19" t="s">
        <v>725</v>
      </c>
      <c r="B29" s="20" t="s">
        <v>5656</v>
      </c>
      <c r="C29" s="20">
        <v>70.0</v>
      </c>
      <c r="D29" s="41">
        <v>45516.0</v>
      </c>
    </row>
    <row r="30">
      <c r="A30" s="19" t="s">
        <v>727</v>
      </c>
      <c r="B30" s="20" t="s">
        <v>5657</v>
      </c>
      <c r="C30" s="20">
        <v>70.0</v>
      </c>
      <c r="D30" s="41">
        <v>45516.0</v>
      </c>
    </row>
    <row r="31">
      <c r="A31" s="19" t="s">
        <v>664</v>
      </c>
      <c r="B31" s="20" t="s">
        <v>5658</v>
      </c>
      <c r="C31" s="20">
        <v>70.0</v>
      </c>
      <c r="D31" s="41">
        <v>45516.0</v>
      </c>
    </row>
    <row r="32">
      <c r="A32" s="19" t="s">
        <v>719</v>
      </c>
      <c r="B32" s="20" t="s">
        <v>5659</v>
      </c>
      <c r="C32" s="20">
        <v>70.0</v>
      </c>
      <c r="D32" s="41">
        <v>45516.0</v>
      </c>
    </row>
    <row r="33">
      <c r="A33" s="19" t="s">
        <v>652</v>
      </c>
      <c r="B33" s="20" t="s">
        <v>5660</v>
      </c>
      <c r="C33" s="20">
        <v>70.0</v>
      </c>
      <c r="D33" s="41">
        <v>45516.0</v>
      </c>
    </row>
    <row r="34">
      <c r="A34" s="19" t="s">
        <v>177</v>
      </c>
      <c r="B34" s="20" t="s">
        <v>5661</v>
      </c>
      <c r="C34" s="20">
        <v>70.0</v>
      </c>
      <c r="D34" s="41">
        <v>45516.0</v>
      </c>
    </row>
    <row r="35">
      <c r="A35" s="19" t="s">
        <v>740</v>
      </c>
      <c r="B35" s="20" t="s">
        <v>5662</v>
      </c>
      <c r="C35" s="20">
        <v>70.0</v>
      </c>
      <c r="D35" s="41">
        <v>45516.0</v>
      </c>
    </row>
    <row r="36">
      <c r="A36" s="19" t="s">
        <v>742</v>
      </c>
      <c r="B36" s="20" t="s">
        <v>5663</v>
      </c>
      <c r="C36" s="20">
        <v>70.0</v>
      </c>
      <c r="D36" s="41">
        <v>45516.0</v>
      </c>
    </row>
    <row r="37">
      <c r="A37" s="19" t="s">
        <v>731</v>
      </c>
      <c r="B37" s="20" t="s">
        <v>5664</v>
      </c>
      <c r="C37" s="20">
        <v>70.0</v>
      </c>
      <c r="D37" s="41">
        <v>45516.0</v>
      </c>
    </row>
    <row r="38">
      <c r="A38" s="19" t="s">
        <v>714</v>
      </c>
      <c r="B38" s="20" t="s">
        <v>5665</v>
      </c>
      <c r="C38" s="20">
        <v>70.0</v>
      </c>
      <c r="D38" s="41">
        <v>45516.0</v>
      </c>
    </row>
    <row r="39">
      <c r="A39" s="19" t="s">
        <v>638</v>
      </c>
      <c r="B39" s="20" t="s">
        <v>5666</v>
      </c>
      <c r="C39" s="20">
        <v>70.0</v>
      </c>
      <c r="D39" s="41">
        <v>45516.0</v>
      </c>
    </row>
    <row r="40">
      <c r="A40" s="19" t="s">
        <v>314</v>
      </c>
      <c r="B40" s="20" t="s">
        <v>5667</v>
      </c>
      <c r="C40" s="20">
        <v>70.0</v>
      </c>
      <c r="D40" s="41">
        <v>45516.0</v>
      </c>
    </row>
    <row r="41">
      <c r="A41" s="19" t="s">
        <v>704</v>
      </c>
      <c r="B41" s="20" t="s">
        <v>5668</v>
      </c>
      <c r="C41" s="20">
        <v>70.0</v>
      </c>
      <c r="D41" s="41">
        <v>45516.0</v>
      </c>
    </row>
    <row r="42">
      <c r="A42" s="19" t="s">
        <v>636</v>
      </c>
      <c r="B42" s="20" t="s">
        <v>5669</v>
      </c>
      <c r="C42" s="20">
        <v>70.0</v>
      </c>
      <c r="D42" s="41">
        <v>45516.0</v>
      </c>
    </row>
    <row r="43">
      <c r="A43" s="19" t="s">
        <v>684</v>
      </c>
      <c r="B43" s="20" t="s">
        <v>5670</v>
      </c>
      <c r="C43" s="20">
        <v>70.0</v>
      </c>
      <c r="D43" s="41">
        <v>45516.0</v>
      </c>
    </row>
    <row r="44">
      <c r="A44" s="19" t="s">
        <v>721</v>
      </c>
      <c r="B44" s="20" t="s">
        <v>5671</v>
      </c>
      <c r="C44" s="20">
        <v>70.0</v>
      </c>
      <c r="D44" s="41">
        <v>45516.0</v>
      </c>
    </row>
    <row r="45">
      <c r="A45" s="19" t="s">
        <v>672</v>
      </c>
      <c r="B45" s="20" t="s">
        <v>5672</v>
      </c>
      <c r="C45" s="20">
        <v>70.0</v>
      </c>
      <c r="D45" s="41">
        <v>45516.0</v>
      </c>
    </row>
    <row r="46">
      <c r="A46" s="19" t="s">
        <v>690</v>
      </c>
      <c r="B46" s="20" t="s">
        <v>5673</v>
      </c>
      <c r="C46" s="20">
        <v>65.0</v>
      </c>
      <c r="D46" s="41">
        <v>45516.0</v>
      </c>
    </row>
    <row r="47">
      <c r="A47" s="19" t="s">
        <v>692</v>
      </c>
      <c r="B47" s="20" t="s">
        <v>5674</v>
      </c>
      <c r="C47" s="20">
        <v>65.0</v>
      </c>
      <c r="D47" s="41">
        <v>45516.0</v>
      </c>
    </row>
    <row r="48">
      <c r="A48" s="19" t="s">
        <v>668</v>
      </c>
      <c r="B48" s="20" t="s">
        <v>5675</v>
      </c>
      <c r="C48" s="20">
        <v>65.0</v>
      </c>
      <c r="D48" s="41">
        <v>45516.0</v>
      </c>
    </row>
    <row r="49">
      <c r="A49" s="19" t="s">
        <v>678</v>
      </c>
      <c r="B49" s="20" t="s">
        <v>5676</v>
      </c>
      <c r="C49" s="20">
        <v>65.0</v>
      </c>
      <c r="D49" s="41">
        <v>45516.0</v>
      </c>
    </row>
    <row r="50">
      <c r="A50" s="19" t="s">
        <v>700</v>
      </c>
      <c r="B50" s="20" t="s">
        <v>5677</v>
      </c>
      <c r="C50" s="20">
        <v>65.0</v>
      </c>
      <c r="D50" s="41">
        <v>45516.0</v>
      </c>
    </row>
    <row r="51">
      <c r="A51" s="19" t="s">
        <v>666</v>
      </c>
      <c r="B51" s="20" t="s">
        <v>5678</v>
      </c>
      <c r="C51" s="20">
        <v>65.0</v>
      </c>
      <c r="D51" s="41">
        <v>45516.0</v>
      </c>
    </row>
    <row r="52">
      <c r="A52" s="19" t="s">
        <v>645</v>
      </c>
      <c r="B52" s="20" t="s">
        <v>5679</v>
      </c>
      <c r="C52" s="20">
        <v>65.0</v>
      </c>
      <c r="D52" s="41">
        <v>45516.0</v>
      </c>
    </row>
    <row r="53">
      <c r="A53" s="19" t="s">
        <v>753</v>
      </c>
      <c r="B53" s="20" t="s">
        <v>5680</v>
      </c>
      <c r="C53" s="20">
        <v>65.0</v>
      </c>
      <c r="D53" s="41">
        <v>45516.0</v>
      </c>
    </row>
    <row r="54">
      <c r="A54" s="19" t="s">
        <v>654</v>
      </c>
      <c r="B54" s="20" t="s">
        <v>5681</v>
      </c>
      <c r="C54" s="20">
        <v>65.0</v>
      </c>
      <c r="D54" s="41">
        <v>45516.0</v>
      </c>
    </row>
    <row r="55">
      <c r="A55" s="19" t="s">
        <v>706</v>
      </c>
      <c r="B55" s="20" t="s">
        <v>5682</v>
      </c>
      <c r="C55" s="20">
        <v>65.0</v>
      </c>
      <c r="D55" s="41">
        <v>45516.0</v>
      </c>
    </row>
    <row r="56">
      <c r="A56" s="19" t="s">
        <v>710</v>
      </c>
      <c r="B56" s="20" t="s">
        <v>5683</v>
      </c>
      <c r="C56" s="20">
        <v>65.0</v>
      </c>
      <c r="D56" s="41">
        <v>45516.0</v>
      </c>
    </row>
    <row r="57">
      <c r="A57" s="19" t="s">
        <v>749</v>
      </c>
      <c r="B57" s="20" t="s">
        <v>5684</v>
      </c>
      <c r="C57" s="20">
        <v>65.0</v>
      </c>
      <c r="D57" s="41">
        <v>45516.0</v>
      </c>
    </row>
    <row r="58">
      <c r="A58" s="19" t="s">
        <v>717</v>
      </c>
      <c r="B58" s="20" t="s">
        <v>5685</v>
      </c>
      <c r="C58" s="20">
        <v>65.0</v>
      </c>
      <c r="D58" s="41">
        <v>45516.0</v>
      </c>
    </row>
    <row r="59">
      <c r="A59" s="19" t="s">
        <v>745</v>
      </c>
      <c r="B59" s="20" t="s">
        <v>5686</v>
      </c>
      <c r="C59" s="20">
        <v>65.0</v>
      </c>
      <c r="D59" s="41">
        <v>45516.0</v>
      </c>
    </row>
    <row r="60">
      <c r="A60" s="19" t="s">
        <v>734</v>
      </c>
      <c r="B60" s="20" t="s">
        <v>5687</v>
      </c>
      <c r="C60" s="20">
        <v>65.0</v>
      </c>
      <c r="D60" s="41">
        <v>45516.0</v>
      </c>
    </row>
    <row r="61">
      <c r="A61" s="19" t="s">
        <v>675</v>
      </c>
      <c r="B61" s="20" t="s">
        <v>5688</v>
      </c>
      <c r="C61" s="20">
        <v>65.0</v>
      </c>
      <c r="D61" s="41">
        <v>45516.0</v>
      </c>
    </row>
    <row r="62">
      <c r="A62" s="19" t="s">
        <v>736</v>
      </c>
      <c r="B62" s="20" t="s">
        <v>5689</v>
      </c>
      <c r="C62" s="20">
        <v>60.0</v>
      </c>
      <c r="D62" s="41">
        <v>45516.0</v>
      </c>
    </row>
    <row r="63">
      <c r="A63" s="19" t="s">
        <v>682</v>
      </c>
      <c r="B63" s="20" t="s">
        <v>5690</v>
      </c>
      <c r="C63" s="20">
        <v>60.0</v>
      </c>
      <c r="D63" s="41">
        <v>45516.0</v>
      </c>
    </row>
    <row r="64">
      <c r="A64" s="19" t="s">
        <v>640</v>
      </c>
      <c r="B64" s="20" t="s">
        <v>5691</v>
      </c>
      <c r="C64" s="20">
        <v>60.0</v>
      </c>
      <c r="D64" s="41">
        <v>45516.0</v>
      </c>
    </row>
    <row r="65">
      <c r="A65" s="19" t="s">
        <v>702</v>
      </c>
      <c r="B65" s="20" t="s">
        <v>5692</v>
      </c>
      <c r="C65" s="20">
        <v>60.0</v>
      </c>
      <c r="D65" s="41">
        <v>45516.0</v>
      </c>
    </row>
    <row r="66">
      <c r="A66" s="19" t="s">
        <v>708</v>
      </c>
      <c r="B66" s="20" t="s">
        <v>5693</v>
      </c>
      <c r="C66" s="20">
        <v>60.0</v>
      </c>
      <c r="D66" s="41">
        <v>45516.0</v>
      </c>
    </row>
    <row r="67">
      <c r="A67" s="19" t="s">
        <v>670</v>
      </c>
      <c r="B67" s="20" t="s">
        <v>5694</v>
      </c>
      <c r="C67" s="20">
        <v>60.0</v>
      </c>
      <c r="D67" s="41">
        <v>45516.0</v>
      </c>
    </row>
    <row r="68">
      <c r="A68" s="19" t="s">
        <v>729</v>
      </c>
      <c r="B68" s="20" t="s">
        <v>5695</v>
      </c>
      <c r="C68" s="20">
        <v>60.0</v>
      </c>
      <c r="D68" s="41">
        <v>45516.0</v>
      </c>
    </row>
    <row r="69">
      <c r="A69" s="19" t="s">
        <v>688</v>
      </c>
      <c r="B69" s="20" t="s">
        <v>5696</v>
      </c>
      <c r="C69" s="20">
        <v>60.0</v>
      </c>
      <c r="D69" s="41">
        <v>45516.0</v>
      </c>
    </row>
    <row r="70">
      <c r="A70" s="42"/>
      <c r="B70" s="20" t="s">
        <v>5697</v>
      </c>
      <c r="C70" s="20">
        <v>60.0</v>
      </c>
      <c r="D70" s="41">
        <v>45516.0</v>
      </c>
    </row>
    <row r="71">
      <c r="A71" s="19" t="s">
        <v>712</v>
      </c>
      <c r="B71" s="20" t="s">
        <v>5698</v>
      </c>
      <c r="C71" s="20">
        <v>60.0</v>
      </c>
      <c r="D71" s="41">
        <v>45516.0</v>
      </c>
    </row>
    <row r="72">
      <c r="A72" s="19" t="s">
        <v>723</v>
      </c>
      <c r="B72" s="20" t="s">
        <v>5699</v>
      </c>
      <c r="C72" s="20">
        <v>60.0</v>
      </c>
      <c r="D72" s="41">
        <v>45516.0</v>
      </c>
    </row>
    <row r="73">
      <c r="A73" s="19" t="s">
        <v>698</v>
      </c>
      <c r="B73" s="20" t="s">
        <v>5700</v>
      </c>
      <c r="C73" s="20">
        <v>60.0</v>
      </c>
      <c r="D73" s="41">
        <v>45516.0</v>
      </c>
    </row>
    <row r="74">
      <c r="A74" s="19" t="s">
        <v>757</v>
      </c>
      <c r="B74" s="20" t="s">
        <v>5701</v>
      </c>
      <c r="C74" s="20">
        <v>60.0</v>
      </c>
      <c r="D74" s="41">
        <v>45516.0</v>
      </c>
    </row>
    <row r="75">
      <c r="A75" s="19" t="s">
        <v>738</v>
      </c>
      <c r="B75" s="20" t="s">
        <v>5702</v>
      </c>
      <c r="C75" s="20">
        <v>60.0</v>
      </c>
      <c r="D75" s="41">
        <v>45516.0</v>
      </c>
    </row>
    <row r="76">
      <c r="A76" s="19" t="s">
        <v>656</v>
      </c>
      <c r="B76" s="20" t="s">
        <v>5703</v>
      </c>
      <c r="C76" s="20">
        <v>60.0</v>
      </c>
      <c r="D76" s="41">
        <v>45516.0</v>
      </c>
    </row>
  </sheetData>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6" t="s">
        <v>5704</v>
      </c>
      <c r="B1" s="16" t="s">
        <v>5705</v>
      </c>
      <c r="C1" s="47" t="s">
        <v>1643</v>
      </c>
      <c r="D1" s="16" t="s">
        <v>625</v>
      </c>
      <c r="E1" s="16" t="s">
        <v>624</v>
      </c>
    </row>
    <row r="2">
      <c r="A2" s="16" t="s">
        <v>206</v>
      </c>
      <c r="B2" s="16" t="str">
        <f>IFERROR(__xludf.DUMMYFUNCTION("GOOGLEFINANCE(A2,""name"")"),"Accenture Plc")</f>
        <v>Accenture Plc</v>
      </c>
      <c r="C2" s="47">
        <f>IFERROR(__xludf.DUMMYFUNCTION("GOOGLEFINANCE(A2,""Marketcap"")"),1.10766891297E11)</f>
        <v>110766891297</v>
      </c>
      <c r="D2" s="16">
        <v>90.0</v>
      </c>
      <c r="E2" s="16" t="s">
        <v>5706</v>
      </c>
    </row>
    <row r="3">
      <c r="A3" s="16" t="s">
        <v>1421</v>
      </c>
      <c r="B3" s="16" t="str">
        <f>IFERROR(__xludf.DUMMYFUNCTION("GOOGLEFINANCE(A3,""name"")"),"Intel Corp")</f>
        <v>Intel Corp</v>
      </c>
      <c r="C3" s="47">
        <f>IFERROR(__xludf.DUMMYFUNCTION("GOOGLEFINANCE(A3,""Marketcap"")"),6.27722128233E11)</f>
        <v>627722128233</v>
      </c>
      <c r="D3" s="16">
        <v>85.0</v>
      </c>
      <c r="E3" s="16" t="s">
        <v>5707</v>
      </c>
    </row>
    <row r="4">
      <c r="A4" s="16" t="s">
        <v>1423</v>
      </c>
      <c r="B4" s="16" t="str">
        <f>IFERROR(__xludf.DUMMYFUNCTION("GOOGLEFINANCE(A4,""name"")"),"International Flavors &amp; Fragrances Inc")</f>
        <v>International Flavors &amp; Fragrances Inc</v>
      </c>
      <c r="C4" s="47">
        <f>IFERROR(__xludf.DUMMYFUNCTION("GOOGLEFINANCE(A4,""Marketcap"")"),2.0692341349E10)</f>
        <v>20692341349</v>
      </c>
      <c r="D4" s="16">
        <v>85.0</v>
      </c>
      <c r="E4" s="16" t="s">
        <v>5708</v>
      </c>
    </row>
    <row r="5">
      <c r="A5" s="16" t="s">
        <v>16</v>
      </c>
      <c r="B5" s="16" t="str">
        <f>IFERROR(__xludf.DUMMYFUNCTION("GOOGLEFINANCE(A5,""name"")"),"Salesforce Inc")</f>
        <v>Salesforce Inc</v>
      </c>
      <c r="C5" s="47">
        <f>IFERROR(__xludf.DUMMYFUNCTION("GOOGLEFINANCE(A5,""Marketcap"")"),1.48738493361E11)</f>
        <v>148738493361</v>
      </c>
      <c r="D5" s="16">
        <v>85.0</v>
      </c>
      <c r="E5" s="16" t="s">
        <v>5709</v>
      </c>
    </row>
    <row r="6">
      <c r="A6" s="16" t="s">
        <v>1615</v>
      </c>
      <c r="B6" s="16" t="str">
        <f>IFERROR(__xludf.DUMMYFUNCTION("GOOGLEFINANCE(A6,""name"")"),"SBA Communications Corp")</f>
        <v>SBA Communications Corp</v>
      </c>
      <c r="C6" s="47">
        <f>IFERROR(__xludf.DUMMYFUNCTION("GOOGLEFINANCE(A6,""Marketcap"")"),2.3131788304E10)</f>
        <v>23131788304</v>
      </c>
      <c r="D6" s="16">
        <v>85.0</v>
      </c>
      <c r="E6" s="16" t="s">
        <v>5710</v>
      </c>
    </row>
    <row r="7">
      <c r="A7" s="16" t="s">
        <v>1167</v>
      </c>
      <c r="B7" s="16" t="str">
        <f>IFERROR(__xludf.DUMMYFUNCTION("GOOGLEFINANCE(A7,""name"")"),"Seagate Technology Holdings PLC")</f>
        <v>Seagate Technology Holdings PLC</v>
      </c>
      <c r="C7" s="47">
        <f>IFERROR(__xludf.DUMMYFUNCTION("GOOGLEFINANCE(A7,""Marketcap"")"),1.754906E11)</f>
        <v>175490600000</v>
      </c>
      <c r="D7" s="16">
        <v>85.0</v>
      </c>
      <c r="E7" s="16" t="s">
        <v>5711</v>
      </c>
    </row>
    <row r="8">
      <c r="A8" s="16" t="s">
        <v>1560</v>
      </c>
      <c r="B8" s="16" t="str">
        <f>IFERROR(__xludf.DUMMYFUNCTION("GOOGLEFINANCE(A8,""name"")"),"Intuitive Surgical Inc")</f>
        <v>Intuitive Surgical Inc</v>
      </c>
      <c r="C8" s="47">
        <f>IFERROR(__xludf.DUMMYFUNCTION("GOOGLEFINANCE(A8,""Marketcap"")"),1.59394508903E11)</f>
        <v>159394508903</v>
      </c>
      <c r="D8" s="16">
        <v>85.0</v>
      </c>
      <c r="E8" s="16" t="s">
        <v>5712</v>
      </c>
    </row>
    <row r="9">
      <c r="A9" s="16" t="s">
        <v>1094</v>
      </c>
      <c r="B9" s="16" t="str">
        <f>IFERROR(__xludf.DUMMYFUNCTION("GOOGLEFINANCE(A9,""name"")"),"Iqvia Holdings Inc")</f>
        <v>Iqvia Holdings Inc</v>
      </c>
      <c r="C9" s="47">
        <f>IFERROR(__xludf.DUMMYFUNCTION("GOOGLEFINANCE(A9,""Marketcap"")"),2.982670012E10)</f>
        <v>29826700120</v>
      </c>
      <c r="D9" s="16">
        <v>85.0</v>
      </c>
      <c r="E9" s="16" t="s">
        <v>5713</v>
      </c>
    </row>
    <row r="10">
      <c r="A10" s="16" t="s">
        <v>1564</v>
      </c>
      <c r="B10" s="16" t="str">
        <f>IFERROR(__xludf.DUMMYFUNCTION("GOOGLEFINANCE(A10,""name"")"),"J B Hunt Transport Services Inc")</f>
        <v>J B Hunt Transport Services Inc</v>
      </c>
      <c r="C10" s="47">
        <f>IFERROR(__xludf.DUMMYFUNCTION("GOOGLEFINANCE(A10,""Marketcap"")"),2.3141018196E10)</f>
        <v>23141018196</v>
      </c>
      <c r="D10" s="16">
        <v>85.0</v>
      </c>
      <c r="E10" s="16" t="s">
        <v>5714</v>
      </c>
    </row>
    <row r="11">
      <c r="A11" s="16" t="s">
        <v>1055</v>
      </c>
      <c r="B11" s="16" t="str">
        <f>IFERROR(__xludf.DUMMYFUNCTION("GOOGLEFINANCE(A11,""name"")"),"Jack Henry &amp; Associates Inc")</f>
        <v>Jack Henry &amp; Associates Inc</v>
      </c>
      <c r="C11" s="47">
        <f>IFERROR(__xludf.DUMMYFUNCTION("GOOGLEFINANCE(A11,""Marketcap"")"),1.0524887518E10)</f>
        <v>10524887518</v>
      </c>
      <c r="D11" s="16">
        <v>85.0</v>
      </c>
      <c r="E11" s="16" t="s">
        <v>5715</v>
      </c>
    </row>
    <row r="12">
      <c r="A12" s="16" t="s">
        <v>845</v>
      </c>
      <c r="B12" s="16" t="str">
        <f>IFERROR(__xludf.DUMMYFUNCTION("GOOGLEFINANCE(A12,""name"")"),"IDEXX Laboratories Inc")</f>
        <v>IDEXX Laboratories Inc</v>
      </c>
      <c r="C12" s="47">
        <f>IFERROR(__xludf.DUMMYFUNCTION("GOOGLEFINANCE(A12,""Marketcap"")"),4.4183150373E10)</f>
        <v>44183150373</v>
      </c>
      <c r="D12" s="16">
        <v>85.0</v>
      </c>
      <c r="E12" s="16" t="s">
        <v>5716</v>
      </c>
    </row>
    <row r="13">
      <c r="A13" s="16" t="s">
        <v>5717</v>
      </c>
      <c r="B13" s="16" t="str">
        <f>IFERROR(__xludf.DUMMYFUNCTION("GOOGLEFINANCE(A13,""name"")"),"Illumina Inc")</f>
        <v>Illumina Inc</v>
      </c>
      <c r="C13" s="47">
        <f>IFERROR(__xludf.DUMMYFUNCTION("GOOGLEFINANCE(A13,""Marketcap"")"),2.146643055E10)</f>
        <v>21466430550</v>
      </c>
      <c r="D13" s="16">
        <v>85.0</v>
      </c>
      <c r="E13" s="16" t="s">
        <v>5718</v>
      </c>
    </row>
    <row r="14">
      <c r="A14" s="16" t="s">
        <v>187</v>
      </c>
      <c r="B14" s="16" t="str">
        <f>IFERROR(__xludf.DUMMYFUNCTION("GOOGLEFINANCE(A14,""name"")"),"Johnson &amp; Johnson")</f>
        <v>Johnson &amp; Johnson</v>
      </c>
      <c r="C14" s="47">
        <f>IFERROR(__xludf.DUMMYFUNCTION("GOOGLEFINANCE(A14,""Marketcap"")"),5.3276528407E11)</f>
        <v>532765284070</v>
      </c>
      <c r="D14" s="16">
        <v>85.0</v>
      </c>
      <c r="E14" s="16" t="s">
        <v>5719</v>
      </c>
    </row>
    <row r="15">
      <c r="A15" s="16" t="s">
        <v>1268</v>
      </c>
      <c r="B15" s="16" t="str">
        <f>IFERROR(__xludf.DUMMYFUNCTION("GOOGLEFINANCE(A15,""name"")"),"Keysight Technologies Inc")</f>
        <v>Keysight Technologies Inc</v>
      </c>
      <c r="C15" s="47">
        <f>IFERROR(__xludf.DUMMYFUNCTION("GOOGLEFINANCE(A15,""Marketcap"")"),6.1792348656E10)</f>
        <v>61792348656</v>
      </c>
      <c r="D15" s="16">
        <v>85.0</v>
      </c>
      <c r="E15" s="16" t="s">
        <v>5720</v>
      </c>
    </row>
    <row r="16">
      <c r="A16" s="16" t="s">
        <v>798</v>
      </c>
      <c r="B16" s="16" t="str">
        <f>IFERROR(__xludf.DUMMYFUNCTION("GOOGLEFINANCE(A16,""name"")"),"Intuit Inc")</f>
        <v>Intuit Inc</v>
      </c>
      <c r="C16" s="47">
        <f>IFERROR(__xludf.DUMMYFUNCTION("GOOGLEFINANCE(A16,""Marketcap"")"),1.09599490193E11)</f>
        <v>109599490193</v>
      </c>
      <c r="D16" s="16">
        <v>85.0</v>
      </c>
      <c r="E16" s="16" t="s">
        <v>5721</v>
      </c>
    </row>
    <row r="17">
      <c r="A17" s="16" t="s">
        <v>805</v>
      </c>
      <c r="B17" s="16" t="str">
        <f>IFERROR(__xludf.DUMMYFUNCTION("GOOGLEFINANCE(A17,""name"")"),"L3harris Technologies, Inc")</f>
        <v>L3harris Technologies, Inc</v>
      </c>
      <c r="C17" s="47">
        <f>IFERROR(__xludf.DUMMYFUNCTION("GOOGLEFINANCE(A17,""Marketcap"")"),5.5821406564E10)</f>
        <v>55821406564</v>
      </c>
      <c r="D17" s="16">
        <v>85.0</v>
      </c>
      <c r="E17" s="16" t="s">
        <v>5722</v>
      </c>
    </row>
    <row r="18">
      <c r="A18" s="16" t="s">
        <v>455</v>
      </c>
      <c r="B18" s="16" t="str">
        <f>IFERROR(__xludf.DUMMYFUNCTION("GOOGLEFINANCE(A18,""name"")"),"Lam Research Corp")</f>
        <v>Lam Research Corp</v>
      </c>
      <c r="C18" s="47">
        <f>IFERROR(__xludf.DUMMYFUNCTION("GOOGLEFINANCE(A18,""Marketcap"")"),3.677304E11)</f>
        <v>367730400000</v>
      </c>
      <c r="D18" s="16">
        <v>85.0</v>
      </c>
      <c r="E18" s="16" t="s">
        <v>5723</v>
      </c>
    </row>
    <row r="19">
      <c r="A19" s="16" t="s">
        <v>87</v>
      </c>
      <c r="B19" s="16" t="str">
        <f>IFERROR(__xludf.DUMMYFUNCTION("GOOGLEFINANCE(A19,""name"")"),"#N/A")</f>
        <v>#N/A</v>
      </c>
      <c r="C19" s="47" t="str">
        <f>IFERROR(__xludf.DUMMYFUNCTION("GOOGLEFINANCE(A19,""Marketcap"")"),"#N/A")</f>
        <v>#N/A</v>
      </c>
      <c r="D19" s="16">
        <v>85.0</v>
      </c>
      <c r="E19" s="16" t="s">
        <v>5724</v>
      </c>
    </row>
    <row r="20">
      <c r="A20" s="16" t="s">
        <v>551</v>
      </c>
      <c r="B20" s="16" t="str">
        <f>IFERROR(__xludf.DUMMYFUNCTION("GOOGLEFINANCE(A20,""name"")"),"Intercontinental Exchange Inc")</f>
        <v>Intercontinental Exchange Inc</v>
      </c>
      <c r="C20" s="47">
        <f>IFERROR(__xludf.DUMMYFUNCTION("GOOGLEFINANCE(A20,""Marketcap"")"),8.8118161891E10)</f>
        <v>88118161891</v>
      </c>
      <c r="D20" s="16">
        <v>85.0</v>
      </c>
      <c r="E20" s="16" t="s">
        <v>5725</v>
      </c>
    </row>
    <row r="21">
      <c r="A21" s="16" t="s">
        <v>3047</v>
      </c>
      <c r="B21" s="16" t="str">
        <f>IFERROR(__xludf.DUMMYFUNCTION("GOOGLEFINANCE(A21,""name"")"),"Qorvo Inc")</f>
        <v>Qorvo Inc</v>
      </c>
      <c r="C21" s="47">
        <f>IFERROR(__xludf.DUMMYFUNCTION("GOOGLEFINANCE(A21,""Marketcap"")"),7.943192622E9)</f>
        <v>7943192622</v>
      </c>
      <c r="D21" s="16">
        <v>85.0</v>
      </c>
      <c r="E21" s="16" t="s">
        <v>5726</v>
      </c>
    </row>
    <row r="22">
      <c r="A22" s="16" t="s">
        <v>1594</v>
      </c>
      <c r="B22" s="16" t="str">
        <f>IFERROR(__xludf.DUMMYFUNCTION("GOOGLEFINANCE(A22,""name"")"),"ServiceNow Inc")</f>
        <v>ServiceNow Inc</v>
      </c>
      <c r="C22" s="47">
        <f>IFERROR(__xludf.DUMMYFUNCTION("GOOGLEFINANCE(A22,""Marketcap"")"),9.4006580314E10)</f>
        <v>94006580314</v>
      </c>
      <c r="D22" s="16">
        <v>85.0</v>
      </c>
      <c r="E22" s="16" t="s">
        <v>5727</v>
      </c>
    </row>
    <row r="23">
      <c r="A23" s="16" t="s">
        <v>1185</v>
      </c>
      <c r="B23" s="16" t="str">
        <f>IFERROR(__xludf.DUMMYFUNCTION("GOOGLEFINANCE(A23,""name"")"),"Sherwin-Williams Co")</f>
        <v>Sherwin-Williams Co</v>
      </c>
      <c r="C23" s="47">
        <f>IFERROR(__xludf.DUMMYFUNCTION("GOOGLEFINANCE(A23,""Marketcap"")"),7.8139092598E10)</f>
        <v>78139092598</v>
      </c>
      <c r="D23" s="16">
        <v>85.0</v>
      </c>
      <c r="E23" s="16" t="s">
        <v>5728</v>
      </c>
    </row>
    <row r="24">
      <c r="A24" s="16" t="s">
        <v>1443</v>
      </c>
      <c r="B24" s="16" t="str">
        <f>IFERROR(__xludf.DUMMYFUNCTION("GOOGLEFINANCE(A24,""name"")"),"Skyworks Solutions Inc")</f>
        <v>Skyworks Solutions Inc</v>
      </c>
      <c r="C24" s="47">
        <f>IFERROR(__xludf.DUMMYFUNCTION("GOOGLEFINANCE(A24,""Marketcap"")"),1.004411E10)</f>
        <v>10044110000</v>
      </c>
      <c r="D24" s="16">
        <v>85.0</v>
      </c>
      <c r="E24" s="16" t="s">
        <v>5729</v>
      </c>
    </row>
    <row r="25">
      <c r="A25" s="16" t="s">
        <v>14</v>
      </c>
      <c r="B25" s="16" t="str">
        <f>IFERROR(__xludf.DUMMYFUNCTION("GOOGLEFINANCE(A25,""name"")"),"Regeneron Pharmaceuticals Inc")</f>
        <v>Regeneron Pharmaceuticals Inc</v>
      </c>
      <c r="C25" s="47">
        <f>IFERROR(__xludf.DUMMYFUNCTION("GOOGLEFINANCE(A25,""Marketcap"")"),7.494838E10)</f>
        <v>74948380000</v>
      </c>
      <c r="D25" s="16">
        <v>85.0</v>
      </c>
      <c r="E25" s="16" t="s">
        <v>5730</v>
      </c>
    </row>
    <row r="26">
      <c r="A26" s="16" t="s">
        <v>1173</v>
      </c>
      <c r="B26" s="16" t="str">
        <f>IFERROR(__xludf.DUMMYFUNCTION("GOOGLEFINANCE(A26,""name"")"),"Republic Services Inc")</f>
        <v>Republic Services Inc</v>
      </c>
      <c r="C26" s="47">
        <f>IFERROR(__xludf.DUMMYFUNCTION("GOOGLEFINANCE(A26,""Marketcap"")"),6.1797400442E10)</f>
        <v>61797400442</v>
      </c>
      <c r="D26" s="16">
        <v>85.0</v>
      </c>
      <c r="E26" s="16" t="s">
        <v>5731</v>
      </c>
    </row>
    <row r="27">
      <c r="A27" s="16" t="s">
        <v>4970</v>
      </c>
      <c r="B27" s="16" t="str">
        <f>IFERROR(__xludf.DUMMYFUNCTION("GOOGLEFINANCE(A27,""name"")"),"Etsy Inc")</f>
        <v>Etsy Inc</v>
      </c>
      <c r="C27" s="47">
        <f>IFERROR(__xludf.DUMMYFUNCTION("GOOGLEFINANCE(A27,""Marketcap"")"),6.109419026E9)</f>
        <v>6109419026</v>
      </c>
      <c r="D27" s="16">
        <v>85.0</v>
      </c>
      <c r="E27" s="16" t="s">
        <v>5732</v>
      </c>
    </row>
    <row r="28">
      <c r="A28" s="16" t="s">
        <v>915</v>
      </c>
      <c r="B28" s="16" t="str">
        <f>IFERROR(__xludf.DUMMYFUNCTION("GOOGLEFINANCE(A28,""name"")"),"Eaton Corporation PLC")</f>
        <v>Eaton Corporation PLC</v>
      </c>
      <c r="C28" s="47">
        <f>IFERROR(__xludf.DUMMYFUNCTION("GOOGLEFINANCE(A28,""Marketcap"")"),1.55906256489E11)</f>
        <v>155906256489</v>
      </c>
      <c r="D28" s="16">
        <v>85.0</v>
      </c>
      <c r="E28" s="16" t="s">
        <v>5733</v>
      </c>
    </row>
    <row r="29">
      <c r="A29" s="16" t="s">
        <v>866</v>
      </c>
      <c r="B29" s="16" t="str">
        <f>IFERROR(__xludf.DUMMYFUNCTION("GOOGLEFINANCE(A29,""name"")"),"Insulet Corp")</f>
        <v>Insulet Corp</v>
      </c>
      <c r="C29" s="47">
        <f>IFERROR(__xludf.DUMMYFUNCTION("GOOGLEFINANCE(A29,""Marketcap"")"),1.067784E10)</f>
        <v>10677840000</v>
      </c>
      <c r="D29" s="16">
        <v>85.0</v>
      </c>
      <c r="E29" s="16" t="s">
        <v>5734</v>
      </c>
    </row>
    <row r="30">
      <c r="A30" s="16" t="s">
        <v>38</v>
      </c>
      <c r="B30" s="16" t="str">
        <f>IFERROR(__xludf.DUMMYFUNCTION("GOOGLEFINANCE(A30,""name"")"),"Extra Space Storage Inc")</f>
        <v>Extra Space Storage Inc</v>
      </c>
      <c r="C30" s="47">
        <f>IFERROR(__xludf.DUMMYFUNCTION("GOOGLEFINANCE(A30,""Marketcap"")"),3.0273687614E10)</f>
        <v>30273687614</v>
      </c>
      <c r="D30" s="16">
        <v>85.0</v>
      </c>
      <c r="E30" s="16" t="s">
        <v>5735</v>
      </c>
    </row>
    <row r="31">
      <c r="A31" s="16" t="s">
        <v>1113</v>
      </c>
      <c r="B31" s="16" t="str">
        <f>IFERROR(__xludf.DUMMYFUNCTION("GOOGLEFINANCE(A31,""name"")"),"Factset Research Systems Inc")</f>
        <v>Factset Research Systems Inc</v>
      </c>
      <c r="C31" s="47">
        <f>IFERROR(__xludf.DUMMYFUNCTION("GOOGLEFINANCE(A31,""Marketcap"")"),8.146362765E9)</f>
        <v>8146362765</v>
      </c>
      <c r="D31" s="16">
        <v>85.0</v>
      </c>
      <c r="E31" s="16" t="s">
        <v>5736</v>
      </c>
    </row>
    <row r="32">
      <c r="A32" s="16" t="s">
        <v>1043</v>
      </c>
      <c r="B32" s="16" t="str">
        <f>IFERROR(__xludf.DUMMYFUNCTION("GOOGLEFINANCE(A32,""name"")"),"EPAM Systems Inc")</f>
        <v>EPAM Systems Inc</v>
      </c>
      <c r="C32" s="47">
        <f>IFERROR(__xludf.DUMMYFUNCTION("GOOGLEFINANCE(A32,""Marketcap"")"),5.23506141E9)</f>
        <v>5235061410</v>
      </c>
      <c r="D32" s="16">
        <v>85.0</v>
      </c>
      <c r="E32" s="16" t="s">
        <v>5737</v>
      </c>
    </row>
    <row r="33">
      <c r="A33" s="16" t="s">
        <v>991</v>
      </c>
      <c r="B33" s="16" t="str">
        <f>IFERROR(__xludf.DUMMYFUNCTION("GOOGLEFINANCE(A33,""name"")"),"Fair Isaac Corp")</f>
        <v>Fair Isaac Corp</v>
      </c>
      <c r="C33" s="47">
        <f>IFERROR(__xludf.DUMMYFUNCTION("GOOGLEFINANCE(A33,""Marketcap"")"),2.61129534E10)</f>
        <v>26112953400</v>
      </c>
      <c r="D33" s="16">
        <v>85.0</v>
      </c>
      <c r="E33" s="16" t="s">
        <v>5738</v>
      </c>
    </row>
    <row r="34">
      <c r="A34" s="16" t="s">
        <v>1287</v>
      </c>
      <c r="B34" s="16" t="str">
        <f>IFERROR(__xludf.DUMMYFUNCTION("GOOGLEFINANCE(A34,""name"")"),"Corning Inc")</f>
        <v>Corning Inc</v>
      </c>
      <c r="C34" s="47">
        <f>IFERROR(__xludf.DUMMYFUNCTION("GOOGLEFINANCE(A34,""Marketcap"")"),1.60887595045E11)</f>
        <v>160887595045</v>
      </c>
      <c r="D34" s="16">
        <v>85.0</v>
      </c>
      <c r="E34" s="16" t="s">
        <v>5739</v>
      </c>
    </row>
    <row r="35">
      <c r="A35" s="16" t="s">
        <v>57</v>
      </c>
      <c r="B35" s="16" t="str">
        <f>IFERROR(__xludf.DUMMYFUNCTION("GOOGLEFINANCE(A35,""name"")"),"Costco Wholesale Corp")</f>
        <v>Costco Wholesale Corp</v>
      </c>
      <c r="C35" s="47">
        <f>IFERROR(__xludf.DUMMYFUNCTION("GOOGLEFINANCE(A35,""Marketcap"")"),4.47552195726E11)</f>
        <v>447552195726</v>
      </c>
      <c r="D35" s="16">
        <v>85.0</v>
      </c>
      <c r="E35" s="16" t="s">
        <v>5740</v>
      </c>
    </row>
    <row r="36">
      <c r="A36" s="16" t="s">
        <v>1464</v>
      </c>
      <c r="B36" s="16" t="str">
        <f>IFERROR(__xludf.DUMMYFUNCTION("GOOGLEFINANCE(A36,""name"")"),"Crown Castle Inc")</f>
        <v>Crown Castle Inc</v>
      </c>
      <c r="C36" s="47">
        <f>IFERROR(__xludf.DUMMYFUNCTION("GOOGLEFINANCE(A36,""Marketcap"")"),3.9488519866E10)</f>
        <v>39488519866</v>
      </c>
      <c r="D36" s="16">
        <v>85.0</v>
      </c>
      <c r="E36" s="16" t="s">
        <v>5741</v>
      </c>
    </row>
    <row r="37">
      <c r="A37" s="16" t="s">
        <v>20</v>
      </c>
      <c r="B37" s="16" t="str">
        <f>IFERROR(__xludf.DUMMYFUNCTION("GOOGLEFINANCE(A37,""name"")"),"CME Group Inc")</f>
        <v>CME Group Inc</v>
      </c>
      <c r="C37" s="47">
        <f>IFERROR(__xludf.DUMMYFUNCTION("GOOGLEFINANCE(A37,""Marketcap"")"),1.0191268125E11)</f>
        <v>101912681250</v>
      </c>
      <c r="D37" s="16">
        <v>85.0</v>
      </c>
      <c r="E37" s="16" t="s">
        <v>5742</v>
      </c>
    </row>
    <row r="38">
      <c r="A38" s="16" t="s">
        <v>1319</v>
      </c>
      <c r="B38" s="16" t="str">
        <f>IFERROR(__xludf.DUMMYFUNCTION("GOOGLEFINANCE(A38,""name"")"),"FMC Corp")</f>
        <v>FMC Corp</v>
      </c>
      <c r="C38" s="47">
        <f>IFERROR(__xludf.DUMMYFUNCTION("GOOGLEFINANCE(A38,""Marketcap"")"),1.675606972E9)</f>
        <v>1675606972</v>
      </c>
      <c r="D38" s="16">
        <v>85.0</v>
      </c>
      <c r="E38" s="16" t="s">
        <v>5743</v>
      </c>
    </row>
    <row r="39">
      <c r="A39" s="16" t="s">
        <v>1317</v>
      </c>
      <c r="B39" s="16" t="str">
        <f>IFERROR(__xludf.DUMMYFUNCTION("GOOGLEFINANCE(A39,""name"")"),"Expeditors International of Washngtn Inc")</f>
        <v>Expeditors International of Washngtn Inc</v>
      </c>
      <c r="C39" s="47">
        <f>IFERROR(__xludf.DUMMYFUNCTION("GOOGLEFINANCE(A39,""Marketcap"")"),2.0493657778E10)</f>
        <v>20493657778</v>
      </c>
      <c r="D39" s="16">
        <v>85.0</v>
      </c>
      <c r="E39" s="16" t="s">
        <v>5744</v>
      </c>
    </row>
    <row r="40">
      <c r="A40" s="16" t="s">
        <v>1487</v>
      </c>
      <c r="B40" s="16" t="str">
        <f>IFERROR(__xludf.DUMMYFUNCTION("GOOGLEFINANCE(A40,""name"")"),"Aon PLC")</f>
        <v>Aon PLC</v>
      </c>
      <c r="C40" s="47">
        <f>IFERROR(__xludf.DUMMYFUNCTION("GOOGLEFINANCE(A40,""Marketcap"")"),6.6804720375E10)</f>
        <v>66804720375</v>
      </c>
      <c r="D40" s="16">
        <v>85.0</v>
      </c>
      <c r="E40" s="16" t="s">
        <v>5745</v>
      </c>
    </row>
    <row r="41">
      <c r="A41" s="16" t="s">
        <v>1404</v>
      </c>
      <c r="B41" s="16" t="str">
        <f>IFERROR(__xludf.DUMMYFUNCTION("GOOGLEFINANCE(A41,""name"")"),"APA Corp (US)")</f>
        <v>APA Corp (US)</v>
      </c>
      <c r="C41" s="47">
        <f>IFERROR(__xludf.DUMMYFUNCTION("GOOGLEFINANCE(A41,""Marketcap"")"),1.2552680484E10)</f>
        <v>12552680484</v>
      </c>
      <c r="D41" s="16">
        <v>85.0</v>
      </c>
      <c r="E41" s="16" t="s">
        <v>5746</v>
      </c>
    </row>
    <row r="42">
      <c r="A42" s="16" t="s">
        <v>35</v>
      </c>
      <c r="B42" s="16" t="str">
        <f>IFERROR(__xludf.DUMMYFUNCTION("GOOGLEFINANCE(A42,""name"")"),"Apple Inc")</f>
        <v>Apple Inc</v>
      </c>
      <c r="C42" s="47">
        <f>IFERROR(__xludf.DUMMYFUNCTION("GOOGLEFINANCE(A42,""Marketcap"")"),4.308093609573E12)</f>
        <v>4308093609573</v>
      </c>
      <c r="D42" s="16">
        <v>85.0</v>
      </c>
      <c r="E42" s="16" t="s">
        <v>5747</v>
      </c>
    </row>
    <row r="43">
      <c r="A43" s="16" t="s">
        <v>4609</v>
      </c>
      <c r="B43" s="16" t="str">
        <f>IFERROR(__xludf.DUMMYFUNCTION("GOOGLEFINANCE(A43,""name"")"),"American Airlines Group Inc")</f>
        <v>American Airlines Group Inc</v>
      </c>
      <c r="C43" s="47">
        <f>IFERROR(__xludf.DUMMYFUNCTION("GOOGLEFINANCE(A43,""Marketcap"")"),8.829491337E9)</f>
        <v>8829491337</v>
      </c>
      <c r="D43" s="16">
        <v>85.0</v>
      </c>
      <c r="E43" s="16" t="s">
        <v>5748</v>
      </c>
    </row>
    <row r="44">
      <c r="A44" s="16" t="s">
        <v>419</v>
      </c>
      <c r="B44" s="16" t="str">
        <f>IFERROR(__xludf.DUMMYFUNCTION("GOOGLEFINANCE(A44,""name"")"),"Alexandria Real Estate Equities, Inc")</f>
        <v>Alexandria Real Estate Equities, Inc</v>
      </c>
      <c r="C44" s="47">
        <f>IFERROR(__xludf.DUMMYFUNCTION("GOOGLEFINANCE(A44,""Marketcap"")"),8.061702151E9)</f>
        <v>8061702151</v>
      </c>
      <c r="D44" s="16">
        <v>85.0</v>
      </c>
      <c r="E44" s="16" t="s">
        <v>5749</v>
      </c>
    </row>
    <row r="45">
      <c r="A45" s="16" t="s">
        <v>1481</v>
      </c>
      <c r="B45" s="16" t="str">
        <f>IFERROR(__xludf.DUMMYFUNCTION("GOOGLEFINANCE(A45,""name"")"),"Albemarle Corp")</f>
        <v>Albemarle Corp</v>
      </c>
      <c r="C45" s="47">
        <f>IFERROR(__xludf.DUMMYFUNCTION("GOOGLEFINANCE(A45,""Marketcap"")"),2.4002050295E10)</f>
        <v>24002050295</v>
      </c>
      <c r="D45" s="16">
        <v>85.0</v>
      </c>
      <c r="E45" s="16" t="s">
        <v>5750</v>
      </c>
    </row>
    <row r="46">
      <c r="A46" s="16" t="s">
        <v>1065</v>
      </c>
      <c r="B46" s="16" t="str">
        <f>IFERROR(__xludf.DUMMYFUNCTION("GOOGLEFINANCE(A46,""name"")"),"Akamai Technologies Inc")</f>
        <v>Akamai Technologies Inc</v>
      </c>
      <c r="C46" s="47">
        <f>IFERROR(__xludf.DUMMYFUNCTION("GOOGLEFINANCE(A46,""Marketcap"")"),2.156566E10)</f>
        <v>21565660000</v>
      </c>
      <c r="D46" s="16">
        <v>85.0</v>
      </c>
      <c r="E46" s="16" t="s">
        <v>5751</v>
      </c>
    </row>
    <row r="47">
      <c r="A47" s="16" t="s">
        <v>771</v>
      </c>
      <c r="B47" s="16" t="str">
        <f>IFERROR(__xludf.DUMMYFUNCTION("GOOGLEFINANCE(A47,""name"")"),"Abbott Laboratories")</f>
        <v>Abbott Laboratories</v>
      </c>
      <c r="C47" s="47">
        <f>IFERROR(__xludf.DUMMYFUNCTION("GOOGLEFINANCE(A47,""Marketcap"")"),1.46869587308E11)</f>
        <v>146869587308</v>
      </c>
      <c r="D47" s="16">
        <v>85.0</v>
      </c>
      <c r="E47" s="16" t="s">
        <v>5752</v>
      </c>
    </row>
    <row r="48">
      <c r="A48" s="16" t="s">
        <v>1000</v>
      </c>
      <c r="B48" s="16" t="str">
        <f>IFERROR(__xludf.DUMMYFUNCTION("GOOGLEFINANCE(A48,""name"")"),"Fortinet Inc")</f>
        <v>Fortinet Inc</v>
      </c>
      <c r="C48" s="47">
        <f>IFERROR(__xludf.DUMMYFUNCTION("GOOGLEFINANCE(A48,""Marketcap"")"),8.3510863509E10)</f>
        <v>83510863509</v>
      </c>
      <c r="D48" s="16">
        <v>85.0</v>
      </c>
      <c r="E48" s="16" t="s">
        <v>5753</v>
      </c>
    </row>
    <row r="49">
      <c r="A49" s="16" t="s">
        <v>18</v>
      </c>
      <c r="B49" s="16" t="str">
        <f>IFERROR(__xludf.DUMMYFUNCTION("GOOGLEFINANCE(A49,""name"")"),"Adobe Inc")</f>
        <v>Adobe Inc</v>
      </c>
      <c r="C49" s="47">
        <f>IFERROR(__xludf.DUMMYFUNCTION("GOOGLEFINANCE(A49,""Marketcap"")"),1.02278714678E11)</f>
        <v>102278714678</v>
      </c>
      <c r="D49" s="16">
        <v>85.0</v>
      </c>
      <c r="E49" s="16" t="s">
        <v>5754</v>
      </c>
    </row>
    <row r="50">
      <c r="A50" s="16" t="s">
        <v>1445</v>
      </c>
      <c r="B50" s="16" t="str">
        <f>IFERROR(__xludf.DUMMYFUNCTION("GOOGLEFINANCE(A50,""name"")"),"Teleflex Inc")</f>
        <v>Teleflex Inc</v>
      </c>
      <c r="C50" s="47">
        <f>IFERROR(__xludf.DUMMYFUNCTION("GOOGLEFINANCE(A50,""Marketcap"")"),5.889951354E9)</f>
        <v>5889951354</v>
      </c>
      <c r="D50" s="16">
        <v>85.0</v>
      </c>
      <c r="E50" s="16" t="s">
        <v>5755</v>
      </c>
    </row>
    <row r="51">
      <c r="A51" s="16" t="s">
        <v>1061</v>
      </c>
      <c r="B51" s="16" t="str">
        <f>IFERROR(__xludf.DUMMYFUNCTION("GOOGLEFINANCE(A51,""name"")"),"American Electric Power Company Inc")</f>
        <v>American Electric Power Company Inc</v>
      </c>
      <c r="C51" s="47">
        <f>IFERROR(__xludf.DUMMYFUNCTION("GOOGLEFINANCE(A51,""Marketcap"")"),7.0820695776E10)</f>
        <v>70820695776</v>
      </c>
      <c r="D51" s="16">
        <v>85.0</v>
      </c>
      <c r="E51" s="16" t="s">
        <v>5756</v>
      </c>
    </row>
    <row r="52">
      <c r="A52" s="16" t="s">
        <v>12</v>
      </c>
      <c r="B52" s="16" t="str">
        <f>IFERROR(__xludf.DUMMYFUNCTION("GOOGLEFINANCE(A52,""name"")"),"UnitedHealth Group Inc")</f>
        <v>UnitedHealth Group Inc</v>
      </c>
      <c r="C52" s="47">
        <f>IFERROR(__xludf.DUMMYFUNCTION("GOOGLEFINANCE(A52,""Marketcap"")"),3.45076681091E11)</f>
        <v>345076681091</v>
      </c>
      <c r="D52" s="16">
        <v>85.0</v>
      </c>
      <c r="E52" s="16" t="s">
        <v>5757</v>
      </c>
    </row>
    <row r="53">
      <c r="A53" s="16" t="s">
        <v>274</v>
      </c>
      <c r="B53" s="16" t="str">
        <f>IFERROR(__xludf.DUMMYFUNCTION("GOOGLEFINANCE(A53,""name"")"),"Blackstone Inc")</f>
        <v>Blackstone Inc</v>
      </c>
      <c r="C53" s="47">
        <f>IFERROR(__xludf.DUMMYFUNCTION("GOOGLEFINANCE(A53,""Marketcap"")"),1.48167662151E11)</f>
        <v>148167662151</v>
      </c>
      <c r="D53" s="16">
        <v>85.0</v>
      </c>
      <c r="E53" s="16" t="s">
        <v>5758</v>
      </c>
    </row>
    <row r="54">
      <c r="A54" s="16" t="s">
        <v>264</v>
      </c>
      <c r="B54" s="16" t="str">
        <f>IFERROR(__xludf.DUMMYFUNCTION("GOOGLEFINANCE(A54,""name"")"),"Booking Holdings Inc")</f>
        <v>Booking Holdings Inc</v>
      </c>
      <c r="C54" s="47">
        <f>IFERROR(__xludf.DUMMYFUNCTION("GOOGLEFINANCE(A54,""Marketcap"")"),1.28575583829E11)</f>
        <v>128575583829</v>
      </c>
      <c r="D54" s="16">
        <v>85.0</v>
      </c>
      <c r="E54" s="16" t="s">
        <v>5759</v>
      </c>
    </row>
    <row r="55">
      <c r="A55" s="16" t="s">
        <v>1181</v>
      </c>
      <c r="B55" s="16" t="str">
        <f>IFERROR(__xludf.DUMMYFUNCTION("GOOGLEFINANCE(A55,""name"")"),"BorgWarner Inc")</f>
        <v>BorgWarner Inc</v>
      </c>
      <c r="C55" s="47">
        <f>IFERROR(__xludf.DUMMYFUNCTION("GOOGLEFINANCE(A55,""Marketcap"")"),1.2577645605E10)</f>
        <v>12577645605</v>
      </c>
      <c r="D55" s="16">
        <v>85.0</v>
      </c>
      <c r="E55" s="16" t="s">
        <v>5760</v>
      </c>
    </row>
    <row r="56">
      <c r="A56" s="16" t="s">
        <v>1025</v>
      </c>
      <c r="B56" s="16" t="str">
        <f>IFERROR(__xludf.DUMMYFUNCTION("GOOGLEFINANCE(A56,""name"")"),"T Rowe Price Group Inc")</f>
        <v>T Rowe Price Group Inc</v>
      </c>
      <c r="C56" s="47">
        <f>IFERROR(__xludf.DUMMYFUNCTION("GOOGLEFINANCE(A56,""Marketcap"")"),2.25687E10)</f>
        <v>22568700000</v>
      </c>
      <c r="D56" s="16">
        <v>85.0</v>
      </c>
      <c r="E56" s="16" t="s">
        <v>5761</v>
      </c>
    </row>
    <row r="57">
      <c r="A57" s="16" t="s">
        <v>1183</v>
      </c>
      <c r="B57" s="16" t="str">
        <f>IFERROR(__xludf.DUMMYFUNCTION("GOOGLEFINANCE(A57,""name"")"),"Snap-On Inc")</f>
        <v>Snap-On Inc</v>
      </c>
      <c r="C57" s="47">
        <f>IFERROR(__xludf.DUMMYFUNCTION("GOOGLEFINANCE(A57,""Marketcap"")"),1.937391808E10)</f>
        <v>19373918080</v>
      </c>
      <c r="D57" s="16">
        <v>85.0</v>
      </c>
      <c r="E57" s="16" t="s">
        <v>5762</v>
      </c>
    </row>
    <row r="58">
      <c r="A58" s="16" t="s">
        <v>198</v>
      </c>
      <c r="B58" s="16" t="str">
        <f>IFERROR(__xludf.DUMMYFUNCTION("GOOGLEFINANCE(A58,""name"")"),"AbbVie Common Stock")</f>
        <v>AbbVie Common Stock</v>
      </c>
      <c r="C58" s="47">
        <f>IFERROR(__xludf.DUMMYFUNCTION("GOOGLEFINANCE(A58,""Marketcap"")"),3.56493986497E11)</f>
        <v>356493986497</v>
      </c>
      <c r="D58" s="16">
        <v>85.0</v>
      </c>
      <c r="E58" s="16" t="s">
        <v>5763</v>
      </c>
    </row>
    <row r="59">
      <c r="A59" s="16" t="s">
        <v>870</v>
      </c>
      <c r="B59" s="16" t="str">
        <f>IFERROR(__xludf.DUMMYFUNCTION("GOOGLEFINANCE(A59,""name"")"),"State Street Corp")</f>
        <v>State Street Corp</v>
      </c>
      <c r="C59" s="47">
        <f>IFERROR(__xludf.DUMMYFUNCTION("GOOGLEFINANCE(A59,""Marketcap"")"),4.137390035E10)</f>
        <v>41373900350</v>
      </c>
      <c r="D59" s="16">
        <v>85.0</v>
      </c>
      <c r="E59" s="16" t="s">
        <v>5764</v>
      </c>
    </row>
    <row r="60">
      <c r="A60" s="16" t="s">
        <v>982</v>
      </c>
      <c r="B60" s="16" t="str">
        <f>IFERROR(__xludf.DUMMYFUNCTION("GOOGLEFINANCE(A60,""name"")"),"Hartford Insurance Group Inc")</f>
        <v>Hartford Insurance Group Inc</v>
      </c>
      <c r="C60" s="47">
        <f>IFERROR(__xludf.DUMMYFUNCTION("GOOGLEFINANCE(A60,""Marketcap"")"),3.6190749387E10)</f>
        <v>36190749387</v>
      </c>
      <c r="D60" s="16">
        <v>85.0</v>
      </c>
      <c r="E60" s="16" t="s">
        <v>5765</v>
      </c>
    </row>
    <row r="61">
      <c r="A61" s="16" t="s">
        <v>1279</v>
      </c>
      <c r="B61" s="16" t="str">
        <f>IFERROR(__xludf.DUMMYFUNCTION("GOOGLEFINANCE(A61,""name"")"),"Hilton Hotels Corporation Common Stock")</f>
        <v>Hilton Hotels Corporation Common Stock</v>
      </c>
      <c r="C61" s="47">
        <f>IFERROR(__xludf.DUMMYFUNCTION("GOOGLEFINANCE(A61,""Marketcap"")"),7.2114428196E10)</f>
        <v>72114428196</v>
      </c>
      <c r="D61" s="16">
        <v>85.0</v>
      </c>
      <c r="E61" s="16" t="s">
        <v>5766</v>
      </c>
    </row>
    <row r="62">
      <c r="A62" s="16" t="s">
        <v>1123</v>
      </c>
      <c r="B62" s="16" t="str">
        <f>IFERROR(__xludf.DUMMYFUNCTION("GOOGLEFINANCE(A62,""name"")"),"Generac Holdings Inc")</f>
        <v>Generac Holdings Inc</v>
      </c>
      <c r="C62" s="47">
        <f>IFERROR(__xludf.DUMMYFUNCTION("GOOGLEFINANCE(A62,""Marketcap"")"),1.58598086E10)</f>
        <v>15859808600</v>
      </c>
      <c r="D62" s="16">
        <v>85.0</v>
      </c>
      <c r="E62" s="16" t="s">
        <v>5767</v>
      </c>
    </row>
    <row r="63">
      <c r="A63" s="16" t="s">
        <v>93</v>
      </c>
      <c r="B63" s="16" t="str">
        <f>IFERROR(__xludf.DUMMYFUNCTION("GOOGLEFINANCE(A63,""name"")"),"Honeywell International Inc")</f>
        <v>Honeywell International Inc</v>
      </c>
      <c r="C63" s="47">
        <f>IFERROR(__xludf.DUMMYFUNCTION("GOOGLEFINANCE(A63,""Marketcap"")"),1.35044102953E11)</f>
        <v>135044102953</v>
      </c>
      <c r="D63" s="16">
        <v>85.0</v>
      </c>
      <c r="E63" s="16" t="s">
        <v>5768</v>
      </c>
    </row>
    <row r="64">
      <c r="A64" s="16" t="s">
        <v>847</v>
      </c>
      <c r="B64" s="16" t="str">
        <f>IFERROR(__xludf.DUMMYFUNCTION("GOOGLEFINANCE(A64,""name"")"),"IDEX Corp")</f>
        <v>IDEX Corp</v>
      </c>
      <c r="C64" s="47">
        <f>IFERROR(__xludf.DUMMYFUNCTION("GOOGLEFINANCE(A64,""Marketcap"")"),1.6055340172E10)</f>
        <v>16055340172</v>
      </c>
      <c r="D64" s="16">
        <v>85.0</v>
      </c>
      <c r="E64" s="16" t="s">
        <v>5769</v>
      </c>
    </row>
    <row r="65">
      <c r="A65" s="16" t="s">
        <v>1109</v>
      </c>
      <c r="B65" s="16" t="str">
        <f>IFERROR(__xludf.DUMMYFUNCTION("GOOGLEFINANCE(A65,""name"")"),"Goldman Sachs Group Inc")</f>
        <v>Goldman Sachs Group Inc</v>
      </c>
      <c r="C65" s="47">
        <f>IFERROR(__xludf.DUMMYFUNCTION("GOOGLEFINANCE(A65,""Marketcap"")"),2.76268430542E11)</f>
        <v>276268430542</v>
      </c>
      <c r="D65" s="16">
        <v>85.0</v>
      </c>
      <c r="E65" s="16" t="s">
        <v>5770</v>
      </c>
    </row>
    <row r="66">
      <c r="A66" s="16" t="s">
        <v>1262</v>
      </c>
      <c r="B66" s="16" t="str">
        <f>IFERROR(__xludf.DUMMYFUNCTION("GOOGLEFINANCE(A66,""name"")"),"Enphase Energy Inc")</f>
        <v>Enphase Energy Inc</v>
      </c>
      <c r="C66" s="47">
        <f>IFERROR(__xludf.DUMMYFUNCTION("GOOGLEFINANCE(A66,""Marketcap"")"),4.80404449E9)</f>
        <v>4804044490</v>
      </c>
      <c r="D66" s="16">
        <v>85.0</v>
      </c>
      <c r="E66" s="16" t="s">
        <v>5771</v>
      </c>
    </row>
    <row r="67">
      <c r="A67" s="16" t="s">
        <v>1059</v>
      </c>
      <c r="B67" s="16" t="str">
        <f>IFERROR(__xludf.DUMMYFUNCTION("GOOGLEFINANCE(A67,""name"")"),"#N/A")</f>
        <v>#N/A</v>
      </c>
      <c r="C67" s="47" t="str">
        <f>IFERROR(__xludf.DUMMYFUNCTION("GOOGLEFINANCE(A67,""Marketcap"")"),"#N/A")</f>
        <v>#N/A</v>
      </c>
      <c r="D67" s="16">
        <v>85.0</v>
      </c>
      <c r="E67" s="16" t="s">
        <v>5772</v>
      </c>
    </row>
    <row r="68">
      <c r="A68" s="16" t="s">
        <v>184</v>
      </c>
      <c r="B68" s="16" t="str">
        <f>IFERROR(__xludf.DUMMYFUNCTION("GOOGLEFINANCE(A68,""name"")"),"Alphabet Inc Class A")</f>
        <v>Alphabet Inc Class A</v>
      </c>
      <c r="C68" s="47">
        <f>IFERROR(__xludf.DUMMYFUNCTION("GOOGLEFINANCE(A68,""Marketcap"")"),4.841311148549E12)</f>
        <v>4841311148549</v>
      </c>
      <c r="D68" s="16">
        <v>85.0</v>
      </c>
      <c r="E68" s="16" t="s">
        <v>5773</v>
      </c>
    </row>
    <row r="69">
      <c r="A69" s="16" t="s">
        <v>229</v>
      </c>
      <c r="B69" s="16" t="str">
        <f>IFERROR(__xludf.DUMMYFUNCTION("GOOGLEFINANCE(A69,""name"")"),"Alphabet Inc Class C")</f>
        <v>Alphabet Inc Class C</v>
      </c>
      <c r="C69" s="47">
        <f>IFERROR(__xludf.DUMMYFUNCTION("GOOGLEFINANCE(A69,""Marketcap"")"),4.840260565908E12)</f>
        <v>4840260565908</v>
      </c>
      <c r="D69" s="16">
        <v>85.0</v>
      </c>
      <c r="E69" s="16" t="s">
        <v>5774</v>
      </c>
    </row>
    <row r="70">
      <c r="A70" s="16" t="s">
        <v>53</v>
      </c>
      <c r="B70" s="16" t="str">
        <f>IFERROR(__xludf.DUMMYFUNCTION("GOOGLEFINANCE(A70,""name"")"),"Amazon.com Inc")</f>
        <v>Amazon.com Inc</v>
      </c>
      <c r="C70" s="47">
        <f>IFERROR(__xludf.DUMMYFUNCTION("GOOGLEFINANCE(A70,""Marketcap"")"),2.933245949212E12)</f>
        <v>2933245949212</v>
      </c>
      <c r="D70" s="16">
        <v>85.0</v>
      </c>
      <c r="E70" s="16" t="s">
        <v>5775</v>
      </c>
    </row>
    <row r="71">
      <c r="A71" s="16" t="s">
        <v>1483</v>
      </c>
      <c r="B71" s="16" t="str">
        <f>IFERROR(__xludf.DUMMYFUNCTION("GOOGLEFINANCE(A71,""name"")"),"Amcor PLC")</f>
        <v>Amcor PLC</v>
      </c>
      <c r="C71" s="47">
        <f>IFERROR(__xludf.DUMMYFUNCTION("GOOGLEFINANCE(A71,""Marketcap"")"),1.8449476956E10)</f>
        <v>18449476956</v>
      </c>
      <c r="D71" s="16">
        <v>85.0</v>
      </c>
      <c r="E71" s="16" t="s">
        <v>5776</v>
      </c>
    </row>
    <row r="72">
      <c r="A72" s="16" t="s">
        <v>951</v>
      </c>
      <c r="B72" s="16" t="str">
        <f>IFERROR(__xludf.DUMMYFUNCTION("GOOGLEFINANCE(A72,""name"")"),"Ameren Corp")</f>
        <v>Ameren Corp</v>
      </c>
      <c r="C72" s="47">
        <f>IFERROR(__xludf.DUMMYFUNCTION("GOOGLEFINANCE(A72,""Marketcap"")"),3.0179668915E10)</f>
        <v>30179668915</v>
      </c>
      <c r="D72" s="16">
        <v>85.0</v>
      </c>
      <c r="E72" s="16" t="s">
        <v>5777</v>
      </c>
    </row>
    <row r="73">
      <c r="A73" s="16" t="s">
        <v>243</v>
      </c>
      <c r="B73" s="16" t="str">
        <f>IFERROR(__xludf.DUMMYFUNCTION("GOOGLEFINANCE(A73,""name"")"),"American Tower Corp")</f>
        <v>American Tower Corp</v>
      </c>
      <c r="C73" s="47">
        <f>IFERROR(__xludf.DUMMYFUNCTION("GOOGLEFINANCE(A73,""Marketcap"")"),8.2244090721E10)</f>
        <v>82244090721</v>
      </c>
      <c r="D73" s="16">
        <v>85.0</v>
      </c>
      <c r="E73" s="16" t="s">
        <v>5778</v>
      </c>
    </row>
    <row r="74">
      <c r="A74" s="16" t="s">
        <v>837</v>
      </c>
      <c r="B74" s="16" t="str">
        <f>IFERROR(__xludf.DUMMYFUNCTION("GOOGLEFINANCE(A74,""name"")"),"Ametek Inc")</f>
        <v>Ametek Inc</v>
      </c>
      <c r="C74" s="47">
        <f>IFERROR(__xludf.DUMMYFUNCTION("GOOGLEFINANCE(A74,""Marketcap"")"),5.3266752561E10)</f>
        <v>53266752561</v>
      </c>
      <c r="D74" s="16">
        <v>85.0</v>
      </c>
      <c r="E74" s="16" t="s">
        <v>5779</v>
      </c>
    </row>
    <row r="75">
      <c r="A75" s="16" t="s">
        <v>542</v>
      </c>
      <c r="B75" s="16" t="str">
        <f>IFERROR(__xludf.DUMMYFUNCTION("GOOGLEFINANCE(A75,""name"")"),"Allstate Corp")</f>
        <v>Allstate Corp</v>
      </c>
      <c r="C75" s="47">
        <f>IFERROR(__xludf.DUMMYFUNCTION("GOOGLEFINANCE(A75,""Marketcap"")"),5.4869263263E10)</f>
        <v>54869263263</v>
      </c>
      <c r="D75" s="16">
        <v>85.0</v>
      </c>
      <c r="E75" s="16" t="s">
        <v>5780</v>
      </c>
    </row>
    <row r="76">
      <c r="A76" s="16" t="s">
        <v>1153</v>
      </c>
      <c r="B76" s="16" t="str">
        <f>IFERROR(__xludf.DUMMYFUNCTION("GOOGLEFINANCE(A76,""name"")"),"Analog Devices Inc")</f>
        <v>Analog Devices Inc</v>
      </c>
      <c r="C76" s="47">
        <f>IFERROR(__xludf.DUMMYFUNCTION("GOOGLEFINANCE(A76,""Marketcap"")"),2.0334680802E11)</f>
        <v>203346808020</v>
      </c>
      <c r="D76" s="16">
        <v>85.0</v>
      </c>
      <c r="E76" s="16" t="s">
        <v>5781</v>
      </c>
    </row>
    <row r="77">
      <c r="A77" s="16" t="s">
        <v>61</v>
      </c>
      <c r="B77" s="16" t="str">
        <f>IFERROR(__xludf.DUMMYFUNCTION("GOOGLEFINANCE(A77,""name"")"),"Hologic Ord Shs")</f>
        <v>Hologic Ord Shs</v>
      </c>
      <c r="C77" s="47">
        <f>IFERROR(__xludf.DUMMYFUNCTION("GOOGLEFINANCE(A77,""Marketcap"")"),1.6968845325E10)</f>
        <v>16968845325</v>
      </c>
      <c r="D77" s="16">
        <v>85.0</v>
      </c>
      <c r="E77" s="16" t="s">
        <v>5782</v>
      </c>
    </row>
    <row r="78">
      <c r="A78" s="16" t="s">
        <v>925</v>
      </c>
      <c r="B78" s="16" t="str">
        <f>IFERROR(__xludf.DUMMYFUNCTION("GOOGLEFINANCE(A78,""name"")"),"Moody's Corp")</f>
        <v>Moody's Corp</v>
      </c>
      <c r="C78" s="47">
        <f>IFERROR(__xludf.DUMMYFUNCTION("GOOGLEFINANCE(A78,""Marketcap"")"),7.8845605279E10)</f>
        <v>78845605279</v>
      </c>
      <c r="D78" s="16">
        <v>85.0</v>
      </c>
      <c r="E78" s="16" t="s">
        <v>5783</v>
      </c>
    </row>
    <row r="79">
      <c r="A79" s="16" t="s">
        <v>1586</v>
      </c>
      <c r="B79" s="16" t="str">
        <f>IFERROR(__xludf.DUMMYFUNCTION("GOOGLEFINANCE(A79,""name"")"),"Morgan Stanley")</f>
        <v>Morgan Stanley</v>
      </c>
      <c r="C79" s="47">
        <f>IFERROR(__xludf.DUMMYFUNCTION("GOOGLEFINANCE(A79,""Marketcap"")"),3.04557954873E11)</f>
        <v>304557954873</v>
      </c>
      <c r="D79" s="16">
        <v>85.0</v>
      </c>
      <c r="E79" s="16" t="s">
        <v>5784</v>
      </c>
    </row>
    <row r="80">
      <c r="A80" s="16" t="s">
        <v>275</v>
      </c>
      <c r="B80" s="16" t="str">
        <f>IFERROR(__xludf.DUMMYFUNCTION("GOOGLEFINANCE(A80,""name"")"),"Cintas Corp")</f>
        <v>Cintas Corp</v>
      </c>
      <c r="C80" s="47">
        <f>IFERROR(__xludf.DUMMYFUNCTION("GOOGLEFINANCE(A80,""Marketcap"")"),6.6802526878E10)</f>
        <v>66802526878</v>
      </c>
      <c r="D80" s="16">
        <v>85.0</v>
      </c>
      <c r="E80" s="16" t="s">
        <v>5785</v>
      </c>
    </row>
    <row r="81">
      <c r="A81" s="16" t="s">
        <v>1161</v>
      </c>
      <c r="B81" s="16" t="str">
        <f>IFERROR(__xludf.DUMMYFUNCTION("GOOGLEFINANCE(A81,""name"")"),"CBRE Group Inc")</f>
        <v>CBRE Group Inc</v>
      </c>
      <c r="C81" s="47">
        <f>IFERROR(__xludf.DUMMYFUNCTION("GOOGLEFINANCE(A81,""Marketcap"")"),4.2847838981E10)</f>
        <v>42847838981</v>
      </c>
      <c r="D81" s="16">
        <v>85.0</v>
      </c>
      <c r="E81" s="16" t="s">
        <v>5786</v>
      </c>
    </row>
    <row r="82">
      <c r="A82" s="16" t="s">
        <v>1365</v>
      </c>
      <c r="B82" s="16" t="str">
        <f>IFERROR(__xludf.DUMMYFUNCTION("GOOGLEFINANCE(A82,""name"")"),"CDW common stock")</f>
        <v>CDW common stock</v>
      </c>
      <c r="C82" s="47">
        <f>IFERROR(__xludf.DUMMYFUNCTION("GOOGLEFINANCE(A82,""Marketcap"")"),1.3387278902E10)</f>
        <v>13387278902</v>
      </c>
      <c r="D82" s="16">
        <v>85.0</v>
      </c>
      <c r="E82" s="16" t="s">
        <v>5787</v>
      </c>
    </row>
    <row r="83">
      <c r="A83" s="16" t="s">
        <v>1237</v>
      </c>
      <c r="B83" s="16" t="str">
        <f>IFERROR(__xludf.DUMMYFUNCTION("GOOGLEFINANCE(A83,""name"")"),"Archer-Daniels-Midland Co")</f>
        <v>Archer-Daniels-Midland Co</v>
      </c>
      <c r="C83" s="47">
        <f>IFERROR(__xludf.DUMMYFUNCTION("GOOGLEFINANCE(A83,""Marketcap"")"),3.7428743554E10)</f>
        <v>37428743554</v>
      </c>
      <c r="D83" s="16">
        <v>85.0</v>
      </c>
      <c r="E83" s="16" t="s">
        <v>5788</v>
      </c>
    </row>
    <row r="84">
      <c r="A84" s="16" t="s">
        <v>816</v>
      </c>
      <c r="B84" s="16" t="str">
        <f>IFERROR(__xludf.DUMMYFUNCTION("GOOGLEFINANCE(A84,""name"")"),"Assurant Inc")</f>
        <v>Assurant Inc</v>
      </c>
      <c r="C84" s="47">
        <f>IFERROR(__xludf.DUMMYFUNCTION("GOOGLEFINANCE(A84,""Marketcap"")"),1.1932447802E10)</f>
        <v>11932447802</v>
      </c>
      <c r="D84" s="16">
        <v>85.0</v>
      </c>
      <c r="E84" s="16" t="s">
        <v>5789</v>
      </c>
    </row>
    <row r="85">
      <c r="A85" s="16" t="s">
        <v>953</v>
      </c>
      <c r="B85" s="16" t="str">
        <f>IFERROR(__xludf.DUMMYFUNCTION("GOOGLEFINANCE(A85,""name"")"),"Atmos Energy Corp")</f>
        <v>Atmos Energy Corp</v>
      </c>
      <c r="C85" s="47">
        <f>IFERROR(__xludf.DUMMYFUNCTION("GOOGLEFINANCE(A85,""Marketcap"")"),3.019078341E10)</f>
        <v>30190783410</v>
      </c>
      <c r="D85" s="16">
        <v>85.0</v>
      </c>
      <c r="E85" s="16" t="s">
        <v>5790</v>
      </c>
    </row>
    <row r="86">
      <c r="A86" s="16" t="s">
        <v>142</v>
      </c>
      <c r="B86" s="16" t="str">
        <f>IFERROR(__xludf.DUMMYFUNCTION("GOOGLEFINANCE(A86,""name"")"),"Pultegroup Inc")</f>
        <v>Pultegroup Inc</v>
      </c>
      <c r="C86" s="47">
        <f>IFERROR(__xludf.DUMMYFUNCTION("GOOGLEFINANCE(A86,""Marketcap"")"),2.2391665146E10)</f>
        <v>22391665146</v>
      </c>
      <c r="D86" s="16">
        <v>85.0</v>
      </c>
      <c r="E86" s="16" t="s">
        <v>5791</v>
      </c>
    </row>
    <row r="87">
      <c r="A87" s="16" t="s">
        <v>59</v>
      </c>
      <c r="B87" s="16" t="str">
        <f>IFERROR(__xludf.DUMMYFUNCTION("GOOGLEFINANCE(A87,""name"")"),"AutoZone Inc")</f>
        <v>AutoZone Inc</v>
      </c>
      <c r="C87" s="47">
        <f>IFERROR(__xludf.DUMMYFUNCTION("GOOGLEFINANCE(A87,""Marketcap"")"),5.760609235E10)</f>
        <v>57606092350</v>
      </c>
      <c r="D87" s="16">
        <v>85.0</v>
      </c>
      <c r="E87" s="16" t="s">
        <v>5792</v>
      </c>
    </row>
    <row r="88">
      <c r="A88" s="16" t="s">
        <v>1493</v>
      </c>
      <c r="B88" s="16" t="str">
        <f>IFERROR(__xludf.DUMMYFUNCTION("GOOGLEFINANCE(A88,""name"")"),"Avery Dennison Corp")</f>
        <v>Avery Dennison Corp</v>
      </c>
      <c r="C88" s="47">
        <f>IFERROR(__xludf.DUMMYFUNCTION("GOOGLEFINANCE(A88,""Marketcap"")"),1.2506938343E10)</f>
        <v>12506938343</v>
      </c>
      <c r="D88" s="16">
        <v>85.0</v>
      </c>
      <c r="E88" s="16" t="s">
        <v>5793</v>
      </c>
    </row>
    <row r="89">
      <c r="A89" s="16" t="s">
        <v>1503</v>
      </c>
      <c r="B89" s="16" t="str">
        <f>IFERROR(__xludf.DUMMYFUNCTION("GOOGLEFINANCE(A89,""name"")"),"Baker Hughes Co")</f>
        <v>Baker Hughes Co</v>
      </c>
      <c r="C89" s="47">
        <f>IFERROR(__xludf.DUMMYFUNCTION("GOOGLEFINANCE(A89,""Marketcap"")"),6.3393191443E10)</f>
        <v>63393191443</v>
      </c>
      <c r="D89" s="16">
        <v>85.0</v>
      </c>
      <c r="E89" s="16" t="s">
        <v>5794</v>
      </c>
    </row>
    <row r="90">
      <c r="A90" s="16" t="s">
        <v>1229</v>
      </c>
      <c r="B90" s="16" t="str">
        <f>IFERROR(__xludf.DUMMYFUNCTION("GOOGLEFINANCE(A90,""name"")"),"Ball Corp")</f>
        <v>Ball Corp</v>
      </c>
      <c r="C90" s="47">
        <f>IFERROR(__xludf.DUMMYFUNCTION("GOOGLEFINANCE(A90,""Marketcap"")"),1.5580745301E10)</f>
        <v>15580745301</v>
      </c>
      <c r="D90" s="16">
        <v>85.0</v>
      </c>
      <c r="E90" s="16" t="s">
        <v>5795</v>
      </c>
    </row>
    <row r="91">
      <c r="A91" s="16" t="s">
        <v>1490</v>
      </c>
      <c r="B91" s="16" t="str">
        <f>IFERROR(__xludf.DUMMYFUNCTION("GOOGLEFINANCE(A91,""name"")"),"Aptiv PLC")</f>
        <v>Aptiv PLC</v>
      </c>
      <c r="C91" s="47">
        <f>IFERROR(__xludf.DUMMYFUNCTION("GOOGLEFINANCE(A91,""Marketcap"")"),1.2261291479E10)</f>
        <v>12261291479</v>
      </c>
      <c r="D91" s="16">
        <v>85.0</v>
      </c>
      <c r="E91" s="16" t="s">
        <v>5796</v>
      </c>
    </row>
    <row r="92">
      <c r="A92" s="16" t="s">
        <v>1474</v>
      </c>
      <c r="B92" s="16" t="str">
        <f>IFERROR(__xludf.DUMMYFUNCTION("GOOGLEFINANCE(A92,""name"")"),"Arch Capital Group Ltd")</f>
        <v>Arch Capital Group Ltd</v>
      </c>
      <c r="C92" s="47">
        <f>IFERROR(__xludf.DUMMYFUNCTION("GOOGLEFINANCE(A92,""Marketcap"")"),3.2772736166E10)</f>
        <v>32772736166</v>
      </c>
      <c r="D92" s="16">
        <v>85.0</v>
      </c>
      <c r="E92" s="16" t="s">
        <v>5797</v>
      </c>
    </row>
    <row r="93">
      <c r="A93" s="16" t="s">
        <v>1500</v>
      </c>
      <c r="B93" s="16" t="str">
        <f>IFERROR(__xludf.DUMMYFUNCTION("GOOGLEFINANCE(A93,""name"")"),"Bank of New York Mellon Corp")</f>
        <v>Bank of New York Mellon Corp</v>
      </c>
      <c r="C93" s="47">
        <f>IFERROR(__xludf.DUMMYFUNCTION("GOOGLEFINANCE(A93,""Marketcap"")"),8.95724595E10)</f>
        <v>89572459500</v>
      </c>
      <c r="D93" s="16">
        <v>85.0</v>
      </c>
      <c r="E93" s="16" t="s">
        <v>5798</v>
      </c>
    </row>
    <row r="94">
      <c r="A94" s="16" t="s">
        <v>4612</v>
      </c>
      <c r="B94" s="16" t="str">
        <f>IFERROR(__xludf.DUMMYFUNCTION("GOOGLEFINANCE(A94,""name"")"),"Bath &amp; Body Works Inc")</f>
        <v>Bath &amp; Body Works Inc</v>
      </c>
      <c r="C94" s="47">
        <f>IFERROR(__xludf.DUMMYFUNCTION("GOOGLEFINANCE(A94,""Marketcap"")"),3.973276632E9)</f>
        <v>3973276632</v>
      </c>
      <c r="D94" s="16">
        <v>85.0</v>
      </c>
      <c r="E94" s="16" t="s">
        <v>5799</v>
      </c>
    </row>
    <row r="95">
      <c r="A95" s="16" t="s">
        <v>1389</v>
      </c>
      <c r="B95" s="16" t="str">
        <f>IFERROR(__xludf.DUMMYFUNCTION("GOOGLEFINANCE(A95,""name"")"),"Baxter International Inc")</f>
        <v>Baxter International Inc</v>
      </c>
      <c r="C95" s="47">
        <f>IFERROR(__xludf.DUMMYFUNCTION("GOOGLEFINANCE(A95,""Marketcap"")"),9.291277191E9)</f>
        <v>9291277191</v>
      </c>
      <c r="D95" s="16">
        <v>85.0</v>
      </c>
      <c r="E95" s="16" t="s">
        <v>5800</v>
      </c>
    </row>
    <row r="96">
      <c r="A96" s="16" t="s">
        <v>878</v>
      </c>
      <c r="B96" s="16" t="str">
        <f>IFERROR(__xludf.DUMMYFUNCTION("GOOGLEFINANCE(A96,""name"")"),"Chipotle Mexican Grill Inc")</f>
        <v>Chipotle Mexican Grill Inc</v>
      </c>
      <c r="C96" s="47">
        <f>IFERROR(__xludf.DUMMYFUNCTION("GOOGLEFINANCE(A96,""Marketcap"")"),4.1675997323E10)</f>
        <v>41675997323</v>
      </c>
      <c r="D96" s="16">
        <v>85.0</v>
      </c>
      <c r="E96" s="16" t="s">
        <v>5801</v>
      </c>
    </row>
    <row r="97">
      <c r="A97" s="16" t="s">
        <v>956</v>
      </c>
      <c r="B97" s="16" t="str">
        <f>IFERROR(__xludf.DUMMYFUNCTION("GOOGLEFINANCE(A97,""name"")"),"Air Products and Chemicals Inc")</f>
        <v>Air Products and Chemicals Inc</v>
      </c>
      <c r="C97" s="47">
        <f>IFERROR(__xludf.DUMMYFUNCTION("GOOGLEFINANCE(A97,""Marketcap"")"),6.5782106402E10)</f>
        <v>65782106402</v>
      </c>
      <c r="D97" s="16">
        <v>85.0</v>
      </c>
      <c r="E97" s="16" t="s">
        <v>5802</v>
      </c>
    </row>
    <row r="98">
      <c r="A98" s="16" t="s">
        <v>126</v>
      </c>
      <c r="B98" s="16" t="str">
        <f>IFERROR(__xludf.DUMMYFUNCTION("GOOGLEFINANCE(A98,""name"")"),"Thermo Fisher Scientific Inc")</f>
        <v>Thermo Fisher Scientific Inc</v>
      </c>
      <c r="C98" s="47">
        <f>IFERROR(__xludf.DUMMYFUNCTION("GOOGLEFINANCE(A98,""Marketcap"")"),1.72803951E11)</f>
        <v>172803951000</v>
      </c>
      <c r="D98" s="16">
        <v>85.0</v>
      </c>
      <c r="E98" s="16" t="s">
        <v>5803</v>
      </c>
    </row>
    <row r="99">
      <c r="A99" s="16" t="s">
        <v>898</v>
      </c>
      <c r="B99" s="16" t="str">
        <f>IFERROR(__xludf.DUMMYFUNCTION("GOOGLEFINANCE(A99,""name"")"),"TJX Companies Inc")</f>
        <v>TJX Companies Inc</v>
      </c>
      <c r="C99" s="47">
        <f>IFERROR(__xludf.DUMMYFUNCTION("GOOGLEFINANCE(A99,""Marketcap"")"),1.69587635714E11)</f>
        <v>169587635714</v>
      </c>
      <c r="D99" s="16">
        <v>85.0</v>
      </c>
      <c r="E99" s="16" t="s">
        <v>5804</v>
      </c>
    </row>
    <row r="100">
      <c r="A100" s="16" t="s">
        <v>486</v>
      </c>
      <c r="B100" s="16" t="str">
        <f>IFERROR(__xludf.DUMMYFUNCTION("GOOGLEFINANCE(A100,""name"")"),"Synchrony Financial")</f>
        <v>Synchrony Financial</v>
      </c>
      <c r="C100" s="47">
        <f>IFERROR(__xludf.DUMMYFUNCTION("GOOGLEFINANCE(A100,""Marketcap"")"),2.4602116222E10)</f>
        <v>24602116222</v>
      </c>
      <c r="D100" s="16">
        <v>85.0</v>
      </c>
      <c r="E100" s="16" t="s">
        <v>5805</v>
      </c>
    </row>
    <row r="101">
      <c r="A101" s="16" t="s">
        <v>857</v>
      </c>
      <c r="B101" s="16" t="str">
        <f>IFERROR(__xludf.DUMMYFUNCTION("GOOGLEFINANCE(A101,""name"")"),"Synopsys Inc")</f>
        <v>Synopsys Inc</v>
      </c>
      <c r="C101" s="47">
        <f>IFERROR(__xludf.DUMMYFUNCTION("GOOGLEFINANCE(A101,""Marketcap"")"),9.8937938018E10)</f>
        <v>98937938018</v>
      </c>
      <c r="D101" s="16">
        <v>85.0</v>
      </c>
      <c r="E101" s="16" t="s">
        <v>5806</v>
      </c>
    </row>
    <row r="102">
      <c r="A102" s="16" t="s">
        <v>825</v>
      </c>
      <c r="B102" s="16" t="str">
        <f>IFERROR(__xludf.DUMMYFUNCTION("GOOGLEFINANCE(A102,""name"")"),"TransDigm Group Inc")</f>
        <v>TransDigm Group Inc</v>
      </c>
      <c r="C102" s="47">
        <f>IFERROR(__xludf.DUMMYFUNCTION("GOOGLEFINANCE(A102,""Marketcap"")"),6.7963771928E10)</f>
        <v>67963771928</v>
      </c>
      <c r="D102" s="16">
        <v>85.0</v>
      </c>
      <c r="E102" s="16" t="s">
        <v>5807</v>
      </c>
    </row>
    <row r="103">
      <c r="A103" s="16" t="s">
        <v>1210</v>
      </c>
      <c r="B103" s="16" t="str">
        <f>IFERROR(__xludf.DUMMYFUNCTION("GOOGLEFINANCE(A103,""name"")"),"Trimble Inc")</f>
        <v>Trimble Inc</v>
      </c>
      <c r="C103" s="47">
        <f>IFERROR(__xludf.DUMMYFUNCTION("GOOGLEFINANCE(A103,""Marketcap"")"),1.4173179022E10)</f>
        <v>14173179022</v>
      </c>
      <c r="D103" s="16">
        <v>85.0</v>
      </c>
      <c r="E103" s="16" t="s">
        <v>5808</v>
      </c>
    </row>
    <row r="104">
      <c r="A104" s="16" t="s">
        <v>1387</v>
      </c>
      <c r="B104" s="16" t="str">
        <f>IFERROR(__xludf.DUMMYFUNCTION("GOOGLEFINANCE(A104,""name"")"),"UDR Inc")</f>
        <v>UDR Inc</v>
      </c>
      <c r="C104" s="47">
        <f>IFERROR(__xludf.DUMMYFUNCTION("GOOGLEFINANCE(A104,""Marketcap"")"),1.1992631055E10)</f>
        <v>11992631055</v>
      </c>
      <c r="D104" s="16">
        <v>85.0</v>
      </c>
      <c r="E104" s="16" t="s">
        <v>5809</v>
      </c>
    </row>
    <row r="105">
      <c r="A105" s="16" t="s">
        <v>1383</v>
      </c>
      <c r="B105" s="16" t="str">
        <f>IFERROR(__xludf.DUMMYFUNCTION("GOOGLEFINANCE(A105,""name"")"),"Nordson Corp")</f>
        <v>Nordson Corp</v>
      </c>
      <c r="C105" s="47">
        <f>IFERROR(__xludf.DUMMYFUNCTION("GOOGLEFINANCE(A105,""Marketcap"")"),1.581632E10)</f>
        <v>15816320000</v>
      </c>
      <c r="D105" s="16">
        <v>85.0</v>
      </c>
      <c r="E105" s="16" t="s">
        <v>5810</v>
      </c>
    </row>
    <row r="106">
      <c r="A106" s="16" t="s">
        <v>1200</v>
      </c>
      <c r="B106" s="16" t="str">
        <f>IFERROR(__xludf.DUMMYFUNCTION("GOOGLEFINANCE(A106,""name"")"),"Walt Disney Co")</f>
        <v>Walt Disney Co</v>
      </c>
      <c r="C106" s="47">
        <f>IFERROR(__xludf.DUMMYFUNCTION("GOOGLEFINANCE(A106,""Marketcap"")"),1.8757791239E11)</f>
        <v>187577912390</v>
      </c>
      <c r="D106" s="16">
        <v>85.0</v>
      </c>
      <c r="E106" s="16" t="s">
        <v>5811</v>
      </c>
    </row>
    <row r="107">
      <c r="A107" s="16" t="s">
        <v>1010</v>
      </c>
      <c r="B107" s="16" t="str">
        <f>IFERROR(__xludf.DUMMYFUNCTION("GOOGLEFINANCE(A107,""name"")"),"Verisk Analytics, Inc.")</f>
        <v>Verisk Analytics, Inc.</v>
      </c>
      <c r="C107" s="47">
        <f>IFERROR(__xludf.DUMMYFUNCTION("GOOGLEFINANCE(A107,""Marketcap"")"),2.251872E10)</f>
        <v>22518720000</v>
      </c>
      <c r="D107" s="16">
        <v>85.0</v>
      </c>
      <c r="E107" s="16" t="s">
        <v>5812</v>
      </c>
    </row>
    <row r="108">
      <c r="A108" s="16" t="s">
        <v>537</v>
      </c>
      <c r="B108" s="16" t="str">
        <f>IFERROR(__xludf.DUMMYFUNCTION("GOOGLEFINANCE(A108,""name"")"),"VICI Properties Inc")</f>
        <v>VICI Properties Inc</v>
      </c>
      <c r="C108" s="47">
        <f>IFERROR(__xludf.DUMMYFUNCTION("GOOGLEFINANCE(A108,""Marketcap"")"),3.1517534606E10)</f>
        <v>31517534606</v>
      </c>
      <c r="D108" s="16">
        <v>85.0</v>
      </c>
      <c r="E108" s="16" t="s">
        <v>5813</v>
      </c>
    </row>
    <row r="109">
      <c r="A109" s="16" t="s">
        <v>1638</v>
      </c>
      <c r="B109" s="16" t="str">
        <f>IFERROR(__xludf.DUMMYFUNCTION("GOOGLEFINANCE(A109,""name"")"),"Xcel Energy Inc")</f>
        <v>Xcel Energy Inc</v>
      </c>
      <c r="C109" s="47">
        <f>IFERROR(__xludf.DUMMYFUNCTION("GOOGLEFINANCE(A109,""Marketcap"")"),4.9560755223E10)</f>
        <v>49560755223</v>
      </c>
      <c r="D109" s="16">
        <v>85.0</v>
      </c>
      <c r="E109" s="16" t="s">
        <v>5814</v>
      </c>
    </row>
    <row r="110">
      <c r="A110" s="16" t="s">
        <v>1641</v>
      </c>
      <c r="B110" s="16" t="str">
        <f>IFERROR(__xludf.DUMMYFUNCTION("GOOGLEFINANCE(A110,""name"")"),"Xylem Inc")</f>
        <v>Xylem Inc</v>
      </c>
      <c r="C110" s="47">
        <f>IFERROR(__xludf.DUMMYFUNCTION("GOOGLEFINANCE(A110,""Marketcap"")"),2.7032882552E10)</f>
        <v>27032882552</v>
      </c>
      <c r="D110" s="16">
        <v>85.0</v>
      </c>
      <c r="E110" s="16" t="s">
        <v>5815</v>
      </c>
    </row>
    <row r="111">
      <c r="A111" s="16" t="s">
        <v>1590</v>
      </c>
      <c r="B111" s="16" t="str">
        <f>IFERROR(__xludf.DUMMYFUNCTION("GOOGLEFINANCE(A111,""name"")"),"Nasdaq Inc")</f>
        <v>Nasdaq Inc</v>
      </c>
      <c r="C111" s="47">
        <f>IFERROR(__xludf.DUMMYFUNCTION("GOOGLEFINANCE(A111,""Marketcap"")"),5.028223E10)</f>
        <v>50282230000</v>
      </c>
      <c r="D111" s="16">
        <v>85.0</v>
      </c>
      <c r="E111" s="16" t="s">
        <v>5816</v>
      </c>
    </row>
    <row r="112">
      <c r="A112" s="16" t="s">
        <v>71</v>
      </c>
      <c r="B112" s="16" t="str">
        <f>IFERROR(__xludf.DUMMYFUNCTION("GOOGLEFINANCE(A112,""name"")"),"Welltower Inc")</f>
        <v>Welltower Inc</v>
      </c>
      <c r="C112" s="47">
        <f>IFERROR(__xludf.DUMMYFUNCTION("GOOGLEFINANCE(A112,""Marketcap"")"),1.51510432581E11)</f>
        <v>151510432581</v>
      </c>
      <c r="D112" s="16">
        <v>85.0</v>
      </c>
      <c r="E112" s="16" t="s">
        <v>5817</v>
      </c>
    </row>
    <row r="113">
      <c r="A113" s="16" t="s">
        <v>1412</v>
      </c>
      <c r="B113" s="16" t="str">
        <f>IFERROR(__xludf.DUMMYFUNCTION("GOOGLEFINANCE(A113,""name"")"),"Weyerhaeuser Co")</f>
        <v>Weyerhaeuser Co</v>
      </c>
      <c r="C113" s="47">
        <f>IFERROR(__xludf.DUMMYFUNCTION("GOOGLEFINANCE(A113,""Marketcap"")"),1.6966142285E10)</f>
        <v>16966142285</v>
      </c>
      <c r="D113" s="16">
        <v>85.0</v>
      </c>
      <c r="E113" s="16" t="s">
        <v>5818</v>
      </c>
    </row>
    <row r="114">
      <c r="A114" s="16" t="s">
        <v>1592</v>
      </c>
      <c r="B114" s="16" t="str">
        <f>IFERROR(__xludf.DUMMYFUNCTION("GOOGLEFINANCE(A114,""name"")"),"NextEra Energy Inc")</f>
        <v>NextEra Energy Inc</v>
      </c>
      <c r="C114" s="47">
        <f>IFERROR(__xludf.DUMMYFUNCTION("GOOGLEFINANCE(A114,""Marketcap"")"),1.94145243918E11)</f>
        <v>194145243918</v>
      </c>
      <c r="D114" s="16">
        <v>85.0</v>
      </c>
      <c r="E114" s="16" t="s">
        <v>5819</v>
      </c>
    </row>
    <row r="115">
      <c r="A115" s="16" t="s">
        <v>1321</v>
      </c>
      <c r="B115" s="16" t="str">
        <f>IFERROR(__xludf.DUMMYFUNCTION("GOOGLEFINANCE(A115,""name"")"),"Align Technology Inc")</f>
        <v>Align Technology Inc</v>
      </c>
      <c r="C115" s="47">
        <f>IFERROR(__xludf.DUMMYFUNCTION("GOOGLEFINANCE(A115,""Marketcap"")"),1.2087709581E10)</f>
        <v>12087709581</v>
      </c>
      <c r="D115" s="16">
        <v>85.0</v>
      </c>
      <c r="E115" s="16" t="s">
        <v>5820</v>
      </c>
    </row>
    <row r="116">
      <c r="A116" s="16" t="s">
        <v>1187</v>
      </c>
      <c r="B116" s="16" t="str">
        <f>IFERROR(__xludf.DUMMYFUNCTION("GOOGLEFINANCE(A116,""name"")"),"DexCom Inc")</f>
        <v>DexCom Inc</v>
      </c>
      <c r="C116" s="47">
        <f>IFERROR(__xludf.DUMMYFUNCTION("GOOGLEFINANCE(A116,""Marketcap"")"),2.3387756704E10)</f>
        <v>23387756704</v>
      </c>
      <c r="D116" s="16">
        <v>85.0</v>
      </c>
      <c r="E116" s="16" t="s">
        <v>5821</v>
      </c>
    </row>
    <row r="117">
      <c r="A117" s="16" t="s">
        <v>819</v>
      </c>
      <c r="B117" s="16" t="str">
        <f>IFERROR(__xludf.DUMMYFUNCTION("GOOGLEFINANCE(A117,""name"")"),"Copart Inc")</f>
        <v>Copart Inc</v>
      </c>
      <c r="C117" s="47">
        <f>IFERROR(__xludf.DUMMYFUNCTION("GOOGLEFINANCE(A117,""Marketcap"")"),3.2694685773E10)</f>
        <v>32694685773</v>
      </c>
      <c r="D117" s="16">
        <v>85.0</v>
      </c>
      <c r="E117" s="16" t="s">
        <v>5822</v>
      </c>
    </row>
    <row r="118">
      <c r="A118" s="16" t="s">
        <v>1400</v>
      </c>
      <c r="B118" s="16" t="str">
        <f>IFERROR(__xludf.DUMMYFUNCTION("GOOGLEFINANCE(A118,""name"")"),"Camden Property Trust")</f>
        <v>Camden Property Trust</v>
      </c>
      <c r="C118" s="47">
        <f>IFERROR(__xludf.DUMMYFUNCTION("GOOGLEFINANCE(A118,""Marketcap"")"),1.0430928931E10)</f>
        <v>10430928931</v>
      </c>
      <c r="D118" s="16">
        <v>85.0</v>
      </c>
      <c r="E118" s="16" t="s">
        <v>5823</v>
      </c>
    </row>
    <row r="119">
      <c r="A119" s="16" t="s">
        <v>1526</v>
      </c>
      <c r="B119" s="16" t="str">
        <f>IFERROR(__xludf.DUMMYFUNCTION("GOOGLEFINANCE(A119,""name"")"),"Digital Realty Trust Inc")</f>
        <v>Digital Realty Trust Inc</v>
      </c>
      <c r="C119" s="47">
        <f>IFERROR(__xludf.DUMMYFUNCTION("GOOGLEFINANCE(A119,""Marketcap"")"),6.8633105002E10)</f>
        <v>68633105002</v>
      </c>
      <c r="D119" s="16">
        <v>85.0</v>
      </c>
      <c r="E119" s="16" t="s">
        <v>5824</v>
      </c>
    </row>
    <row r="120">
      <c r="A120" s="16" t="s">
        <v>3236</v>
      </c>
      <c r="B120" s="16" t="str">
        <f>IFERROR(__xludf.DUMMYFUNCTION("GOOGLEFINANCE(A120,""name"")"),"#N/A")</f>
        <v>#N/A</v>
      </c>
      <c r="C120" s="47" t="str">
        <f>IFERROR(__xludf.DUMMYFUNCTION("GOOGLEFINANCE(A120,""Marketcap"")"),"#N/A")</f>
        <v>#N/A</v>
      </c>
      <c r="D120" s="16">
        <v>85.0</v>
      </c>
      <c r="E120" s="16" t="s">
        <v>5825</v>
      </c>
    </row>
    <row r="121">
      <c r="A121" s="16" t="s">
        <v>41</v>
      </c>
      <c r="B121" s="16" t="str">
        <f>IFERROR(__xludf.DUMMYFUNCTION("GOOGLEFINANCE(A121,""name"")"),"Caterpillar Inc")</f>
        <v>Caterpillar Inc</v>
      </c>
      <c r="C121" s="47">
        <f>IFERROR(__xludf.DUMMYFUNCTION("GOOGLEFINANCE(A121,""Marketcap"")"),4.13358206277E11)</f>
        <v>413358206277</v>
      </c>
      <c r="D121" s="16">
        <v>85.0</v>
      </c>
      <c r="E121" s="16" t="s">
        <v>5826</v>
      </c>
    </row>
    <row r="122">
      <c r="A122" s="16" t="s">
        <v>1367</v>
      </c>
      <c r="B122" s="16" t="str">
        <f>IFERROR(__xludf.DUMMYFUNCTION("GOOGLEFINANCE(A122,""name"")"),"Cboe Global Markets Inc")</f>
        <v>Cboe Global Markets Inc</v>
      </c>
      <c r="C122" s="47">
        <f>IFERROR(__xludf.DUMMYFUNCTION("GOOGLEFINANCE(A122,""Marketcap"")"),3.6478093416E10)</f>
        <v>36478093416</v>
      </c>
      <c r="D122" s="16">
        <v>85.0</v>
      </c>
      <c r="E122" s="16" t="s">
        <v>5827</v>
      </c>
    </row>
    <row r="123">
      <c r="A123" s="16" t="s">
        <v>51</v>
      </c>
      <c r="B123" s="16" t="str">
        <f>IFERROR(__xludf.DUMMYFUNCTION("GOOGLEFINANCE(A123,""name"")"),"Centene Corp")</f>
        <v>Centene Corp</v>
      </c>
      <c r="C123" s="47">
        <f>IFERROR(__xludf.DUMMYFUNCTION("GOOGLEFINANCE(A123,""Marketcap"")"),2.7632879667E10)</f>
        <v>27632879667</v>
      </c>
      <c r="D123" s="16">
        <v>85.0</v>
      </c>
      <c r="E123" s="16" t="s">
        <v>5828</v>
      </c>
    </row>
    <row r="124">
      <c r="A124" s="16" t="s">
        <v>1498</v>
      </c>
      <c r="B124" s="16" t="str">
        <f>IFERROR(__xludf.DUMMYFUNCTION("GOOGLEFINANCE(A124,""name"")"),"Becton Dickinson and Co")</f>
        <v>Becton Dickinson and Co</v>
      </c>
      <c r="C124" s="47">
        <f>IFERROR(__xludf.DUMMYFUNCTION("GOOGLEFINANCE(A124,""Marketcap"")"),4.2548965088E10)</f>
        <v>42548965088</v>
      </c>
      <c r="D124" s="16">
        <v>85.0</v>
      </c>
      <c r="E124" s="16" t="s">
        <v>5829</v>
      </c>
    </row>
    <row r="125">
      <c r="A125" s="16" t="s">
        <v>1393</v>
      </c>
      <c r="B125" s="16" t="str">
        <f>IFERROR(__xludf.DUMMYFUNCTION("GOOGLEFINANCE(A125,""name"")"),"Charles River Lbrtrs ntrntl Inc")</f>
        <v>Charles River Lbrtrs ntrntl Inc</v>
      </c>
      <c r="C125" s="47">
        <f>IFERROR(__xludf.DUMMYFUNCTION("GOOGLEFINANCE(A125,""Marketcap"")"),8.764116918E9)</f>
        <v>8764116918</v>
      </c>
      <c r="D125" s="16">
        <v>85.0</v>
      </c>
      <c r="E125" s="16" t="s">
        <v>5830</v>
      </c>
    </row>
    <row r="126">
      <c r="A126" s="16" t="s">
        <v>183</v>
      </c>
      <c r="B126" s="16" t="str">
        <f>IFERROR(__xludf.DUMMYFUNCTION("GOOGLEFINANCE(A126,""name"")"),"Microsoft Corp")</f>
        <v>Microsoft Corp</v>
      </c>
      <c r="C126" s="47">
        <f>IFERROR(__xludf.DUMMYFUNCTION("GOOGLEFINANCE(A126,""Marketcap"")"),3.083691900928E12)</f>
        <v>3083691900928</v>
      </c>
      <c r="D126" s="16">
        <v>85.0</v>
      </c>
      <c r="E126" s="16" t="s">
        <v>5831</v>
      </c>
    </row>
    <row r="127">
      <c r="A127" s="16" t="s">
        <v>976</v>
      </c>
      <c r="B127" s="16" t="str">
        <f>IFERROR(__xludf.DUMMYFUNCTION("GOOGLEFINANCE(A127,""name"")"),"MONDELEZ INTERNATIONAL INC Common Stock")</f>
        <v>MONDELEZ INTERNATIONAL INC Common Stock</v>
      </c>
      <c r="C127" s="47">
        <f>IFERROR(__xludf.DUMMYFUNCTION("GOOGLEFINANCE(A127,""Marketcap"")"),7.900859497E10)</f>
        <v>79008594970</v>
      </c>
      <c r="D127" s="16">
        <v>85.0</v>
      </c>
      <c r="E127" s="16" t="s">
        <v>5832</v>
      </c>
    </row>
    <row r="128">
      <c r="A128" s="16" t="s">
        <v>787</v>
      </c>
      <c r="B128" s="16" t="str">
        <f>IFERROR(__xludf.DUMMYFUNCTION("GOOGLEFINANCE(A128,""name"")"),"Monolithic Power Systems Inc")</f>
        <v>Monolithic Power Systems Inc</v>
      </c>
      <c r="C128" s="47">
        <f>IFERROR(__xludf.DUMMYFUNCTION("GOOGLEFINANCE(A128,""Marketcap"")"),7.8649251512E10)</f>
        <v>78649251512</v>
      </c>
      <c r="D128" s="16">
        <v>85.0</v>
      </c>
      <c r="E128" s="16" t="s">
        <v>5833</v>
      </c>
    </row>
    <row r="129">
      <c r="A129" s="16" t="s">
        <v>1449</v>
      </c>
      <c r="B129" s="16" t="str">
        <f>IFERROR(__xludf.DUMMYFUNCTION("GOOGLEFINANCE(A129,""name"")"),"Pool Corp")</f>
        <v>Pool Corp</v>
      </c>
      <c r="C129" s="47">
        <f>IFERROR(__xludf.DUMMYFUNCTION("GOOGLEFINANCE(A129,""Marketcap"")"),6.842902265E9)</f>
        <v>6842902265</v>
      </c>
      <c r="D129" s="16">
        <v>85.0</v>
      </c>
      <c r="E129" s="16" t="s">
        <v>5834</v>
      </c>
    </row>
    <row r="130">
      <c r="A130" s="16" t="s">
        <v>1250</v>
      </c>
      <c r="B130" s="16" t="str">
        <f>IFERROR(__xludf.DUMMYFUNCTION("GOOGLEFINANCE(A130,""name"")"),"PPG Industries Inc")</f>
        <v>PPG Industries Inc</v>
      </c>
      <c r="C130" s="47">
        <f>IFERROR(__xludf.DUMMYFUNCTION("GOOGLEFINANCE(A130,""Marketcap"")"),2.4432069136E10)</f>
        <v>24432069136</v>
      </c>
      <c r="D130" s="16">
        <v>85.0</v>
      </c>
      <c r="E130" s="16" t="s">
        <v>5835</v>
      </c>
    </row>
    <row r="131">
      <c r="A131" s="16" t="s">
        <v>151</v>
      </c>
      <c r="B131" s="16" t="str">
        <f>IFERROR(__xludf.DUMMYFUNCTION("GOOGLEFINANCE(A131,""name"")"),"Prologis Inc")</f>
        <v>Prologis Inc</v>
      </c>
      <c r="C131" s="47">
        <f>IFERROR(__xludf.DUMMYFUNCTION("GOOGLEFINANCE(A131,""Marketcap"")"),1.34340593414E11)</f>
        <v>134340593414</v>
      </c>
      <c r="D131" s="16">
        <v>85.0</v>
      </c>
      <c r="E131" s="16" t="s">
        <v>5836</v>
      </c>
    </row>
    <row r="132">
      <c r="A132" s="16" t="s">
        <v>1613</v>
      </c>
      <c r="B132" s="16" t="str">
        <f>IFERROR(__xludf.DUMMYFUNCTION("GOOGLEFINANCE(A132,""name"")"),"Roper Technologies Inc")</f>
        <v>Roper Technologies Inc</v>
      </c>
      <c r="C132" s="47">
        <f>IFERROR(__xludf.DUMMYFUNCTION("GOOGLEFINANCE(A132,""Marketcap"")"),3.4646928175E10)</f>
        <v>34646928175</v>
      </c>
      <c r="D132" s="16">
        <v>85.0</v>
      </c>
      <c r="E132" s="16" t="s">
        <v>5837</v>
      </c>
    </row>
    <row r="133">
      <c r="A133" s="16" t="s">
        <v>426</v>
      </c>
      <c r="B133" s="16" t="str">
        <f>IFERROR(__xludf.DUMMYFUNCTION("GOOGLEFINANCE(A133,""name"")"),"S&amp;P Global Inc")</f>
        <v>S&amp;P Global Inc</v>
      </c>
      <c r="C133" s="47">
        <f>IFERROR(__xludf.DUMMYFUNCTION("GOOGLEFINANCE(A133,""Marketcap"")"),1.243555E11)</f>
        <v>124355500000</v>
      </c>
      <c r="D133" s="16">
        <v>85.0</v>
      </c>
      <c r="E133" s="16" t="s">
        <v>5838</v>
      </c>
    </row>
    <row r="134">
      <c r="A134" s="16" t="s">
        <v>1354</v>
      </c>
      <c r="B134" s="16" t="str">
        <f>IFERROR(__xludf.DUMMYFUNCTION("GOOGLEFINANCE(A134,""name"")"),"CH Robinson Worldwide Inc")</f>
        <v>CH Robinson Worldwide Inc</v>
      </c>
      <c r="C134" s="47">
        <f>IFERROR(__xludf.DUMMYFUNCTION("GOOGLEFINANCE(A134,""Marketcap"")"),2.0202253398E10)</f>
        <v>20202253398</v>
      </c>
      <c r="D134" s="16">
        <v>85.0</v>
      </c>
      <c r="E134" s="16" t="s">
        <v>5839</v>
      </c>
    </row>
    <row r="135">
      <c r="A135" s="16" t="s">
        <v>180</v>
      </c>
      <c r="B135" s="16" t="str">
        <f>IFERROR(__xludf.DUMMYFUNCTION("GOOGLEFINANCE(A135,""name"")"),"Berkshire Hathaway Inc Class B")</f>
        <v>Berkshire Hathaway Inc Class B</v>
      </c>
      <c r="C135" s="47">
        <f>IFERROR(__xludf.DUMMYFUNCTION("GOOGLEFINANCE(A135,""Marketcap"")"),1.028142997165E12)</f>
        <v>1028142997165</v>
      </c>
      <c r="D135" s="16">
        <v>85.0</v>
      </c>
      <c r="E135" s="16" t="s">
        <v>5840</v>
      </c>
    </row>
    <row r="136">
      <c r="A136" s="16" t="s">
        <v>896</v>
      </c>
      <c r="B136" s="16" t="str">
        <f>IFERROR(__xludf.DUMMYFUNCTION("GOOGLEFINANCE(A136,""name"")"),"BIO-TECHNE Corp")</f>
        <v>BIO-TECHNE Corp</v>
      </c>
      <c r="C136" s="47">
        <f>IFERROR(__xludf.DUMMYFUNCTION("GOOGLEFINANCE(A136,""Marketcap"")"),7.571665E9)</f>
        <v>7571665000</v>
      </c>
      <c r="D136" s="16">
        <v>85.0</v>
      </c>
      <c r="E136" s="16" t="s">
        <v>5841</v>
      </c>
    </row>
    <row r="137">
      <c r="A137" s="16" t="s">
        <v>182</v>
      </c>
      <c r="B137" s="16" t="str">
        <f>IFERROR(__xludf.DUMMYFUNCTION("GOOGLEFINANCE(A137,""name"")"),"NVIDIA Corp")</f>
        <v>NVIDIA Corp</v>
      </c>
      <c r="C137" s="47">
        <f>IFERROR(__xludf.DUMMYFUNCTION("GOOGLEFINANCE(A137,""Marketcap"")"),5.229772984313E12)</f>
        <v>5229772984313</v>
      </c>
      <c r="D137" s="16">
        <v>85.0</v>
      </c>
      <c r="E137" s="16" t="s">
        <v>5842</v>
      </c>
    </row>
    <row r="138">
      <c r="A138" s="16" t="s">
        <v>1145</v>
      </c>
      <c r="B138" s="16" t="str">
        <f>IFERROR(__xludf.DUMMYFUNCTION("GOOGLEFINANCE(A138,""name"")"),"NXP Semiconductors NV")</f>
        <v>NXP Semiconductors NV</v>
      </c>
      <c r="C138" s="47">
        <f>IFERROR(__xludf.DUMMYFUNCTION("GOOGLEFINANCE(A138,""Marketcap"")"),7.441585E10)</f>
        <v>74415850000</v>
      </c>
      <c r="D138" s="16">
        <v>85.0</v>
      </c>
      <c r="E138" s="16" t="s">
        <v>5843</v>
      </c>
    </row>
    <row r="139">
      <c r="A139" s="16" t="s">
        <v>300</v>
      </c>
      <c r="B139" s="16" t="str">
        <f>IFERROR(__xludf.DUMMYFUNCTION("GOOGLEFINANCE(A139,""name"")"),"O'Reilly Automotive Inc")</f>
        <v>O'Reilly Automotive Inc</v>
      </c>
      <c r="C139" s="47">
        <f>IFERROR(__xludf.DUMMYFUNCTION("GOOGLEFINANCE(A139,""Marketcap"")"),7.7369919334E10)</f>
        <v>77369919334</v>
      </c>
      <c r="D139" s="16">
        <v>85.0</v>
      </c>
      <c r="E139" s="16" t="s">
        <v>5844</v>
      </c>
    </row>
    <row r="140">
      <c r="A140" s="16" t="s">
        <v>129</v>
      </c>
      <c r="B140" s="16" t="str">
        <f>IFERROR(__xludf.DUMMYFUNCTION("GOOGLEFINANCE(A140,""name"")"),"ON Semiconductor Corp")</f>
        <v>ON Semiconductor Corp</v>
      </c>
      <c r="C140" s="47">
        <f>IFERROR(__xludf.DUMMYFUNCTION("GOOGLEFINANCE(A140,""Marketcap"")"),4.0444398724E10)</f>
        <v>40444398724</v>
      </c>
      <c r="D140" s="16">
        <v>85.0</v>
      </c>
      <c r="E140" s="16" t="s">
        <v>5845</v>
      </c>
    </row>
    <row r="141">
      <c r="A141" s="16" t="s">
        <v>1139</v>
      </c>
      <c r="B141" s="16" t="str">
        <f>IFERROR(__xludf.DUMMYFUNCTION("GOOGLEFINANCE(A141,""name"")"),"Otis Worldwide Corp")</f>
        <v>Otis Worldwide Corp</v>
      </c>
      <c r="C141" s="47">
        <f>IFERROR(__xludf.DUMMYFUNCTION("GOOGLEFINANCE(A141,""Marketcap"")"),2.8709631002E10)</f>
        <v>28709631002</v>
      </c>
      <c r="D141" s="16">
        <v>85.0</v>
      </c>
      <c r="E141" s="16" t="s">
        <v>5846</v>
      </c>
    </row>
    <row r="142">
      <c r="A142" s="16" t="s">
        <v>298</v>
      </c>
      <c r="B142" s="16" t="str">
        <f>IFERROR(__xludf.DUMMYFUNCTION("GOOGLEFINANCE(A142,""name"")"),"Palo Alto Networks Inc")</f>
        <v>Palo Alto Networks Inc</v>
      </c>
      <c r="C142" s="47">
        <f>IFERROR(__xludf.DUMMYFUNCTION("GOOGLEFINANCE(A142,""Marketcap"")"),1.68590642383E11)</f>
        <v>168590642383</v>
      </c>
      <c r="D142" s="16">
        <v>85.0</v>
      </c>
      <c r="E142" s="16" t="s">
        <v>5847</v>
      </c>
    </row>
    <row r="143">
      <c r="A143" s="16" t="s">
        <v>1575</v>
      </c>
      <c r="B143" s="16" t="str">
        <f>IFERROR(__xludf.DUMMYFUNCTION("GOOGLEFINANCE(A143,""name"")"),"LyondellBasell Industries NV")</f>
        <v>LyondellBasell Industries NV</v>
      </c>
      <c r="C143" s="47">
        <f>IFERROR(__xludf.DUMMYFUNCTION("GOOGLEFINANCE(A143,""Marketcap"")"),2.3163030761E10)</f>
        <v>23163030761</v>
      </c>
      <c r="D143" s="16">
        <v>85.0</v>
      </c>
      <c r="E143" s="16" t="s">
        <v>5848</v>
      </c>
    </row>
    <row r="144">
      <c r="A144" s="16" t="s">
        <v>945</v>
      </c>
      <c r="B144" s="16" t="str">
        <f>IFERROR(__xludf.DUMMYFUNCTION("GOOGLEFINANCE(A144,""name"")"),"Deckers Outdoor Corp")</f>
        <v>Deckers Outdoor Corp</v>
      </c>
      <c r="C144" s="47">
        <f>IFERROR(__xludf.DUMMYFUNCTION("GOOGLEFINANCE(A144,""Marketcap"")"),1.4254608698E10)</f>
        <v>14254608698</v>
      </c>
      <c r="D144" s="16">
        <v>85.0</v>
      </c>
      <c r="E144" s="16" t="s">
        <v>5849</v>
      </c>
    </row>
    <row r="145">
      <c r="A145" s="16" t="s">
        <v>862</v>
      </c>
      <c r="B145" s="16" t="str">
        <f>IFERROR(__xludf.DUMMYFUNCTION("GOOGLEFINANCE(A145,""name"")"),"PayPal Holdings Inc")</f>
        <v>PayPal Holdings Inc</v>
      </c>
      <c r="C145" s="47">
        <f>IFERROR(__xludf.DUMMYFUNCTION("GOOGLEFINANCE(A145,""Marketcap"")"),4.002113E10)</f>
        <v>40021130000</v>
      </c>
      <c r="D145" s="16">
        <v>85.0</v>
      </c>
      <c r="E145" s="16" t="s">
        <v>5850</v>
      </c>
    </row>
    <row r="146">
      <c r="A146" s="16" t="s">
        <v>795</v>
      </c>
      <c r="B146" s="16" t="str">
        <f>IFERROR(__xludf.DUMMYFUNCTION("GOOGLEFINANCE(A146,""name"")"),"PepsiCo Inc")</f>
        <v>PepsiCo Inc</v>
      </c>
      <c r="C146" s="47">
        <f>IFERROR(__xludf.DUMMYFUNCTION("GOOGLEFINANCE(A146,""Marketcap"")"),2.113297E11)</f>
        <v>211329700000</v>
      </c>
      <c r="D146" s="16">
        <v>85.0</v>
      </c>
      <c r="E146" s="16" t="s">
        <v>5851</v>
      </c>
    </row>
    <row r="147">
      <c r="A147" s="16" t="s">
        <v>1202</v>
      </c>
      <c r="B147" s="16" t="str">
        <f>IFERROR(__xludf.DUMMYFUNCTION("GOOGLEFINANCE(A147,""name"")"),"Pfizer Inc")</f>
        <v>Pfizer Inc</v>
      </c>
      <c r="C147" s="47">
        <f>IFERROR(__xludf.DUMMYFUNCTION("GOOGLEFINANCE(A147,""Marketcap"")"),1.46361723659E11)</f>
        <v>146361723659</v>
      </c>
      <c r="D147" s="16">
        <v>85.0</v>
      </c>
      <c r="E147" s="16" t="s">
        <v>5852</v>
      </c>
    </row>
    <row r="148">
      <c r="A148" s="16" t="s">
        <v>1361</v>
      </c>
      <c r="B148" s="16" t="str">
        <f>IFERROR(__xludf.DUMMYFUNCTION("GOOGLEFINANCE(A148,""name"")"),"Marketaxess Holdings Inc")</f>
        <v>Marketaxess Holdings Inc</v>
      </c>
      <c r="C148" s="47">
        <f>IFERROR(__xludf.DUMMYFUNCTION("GOOGLEFINANCE(A148,""Marketcap"")"),5.190227806E9)</f>
        <v>5190227806</v>
      </c>
      <c r="D148" s="16">
        <v>85.0</v>
      </c>
      <c r="E148" s="16" t="s">
        <v>5853</v>
      </c>
    </row>
    <row r="149">
      <c r="A149" s="16" t="s">
        <v>1045</v>
      </c>
      <c r="B149" s="16" t="str">
        <f>IFERROR(__xludf.DUMMYFUNCTION("GOOGLEFINANCE(A149,""name"")"),"#N/A")</f>
        <v>#N/A</v>
      </c>
      <c r="C149" s="47" t="str">
        <f>IFERROR(__xludf.DUMMYFUNCTION("GOOGLEFINANCE(A149,""Marketcap"")"),"#N/A")</f>
        <v>#N/A</v>
      </c>
      <c r="D149" s="16">
        <v>85.0</v>
      </c>
      <c r="E149" s="16" t="s">
        <v>5854</v>
      </c>
    </row>
    <row r="150">
      <c r="A150" s="16" t="s">
        <v>40</v>
      </c>
      <c r="B150" s="16" t="str">
        <f>IFERROR(__xludf.DUMMYFUNCTION("GOOGLEFINANCE(A150,""name"")"),"Lockheed Martin Corp")</f>
        <v>Lockheed Martin Corp</v>
      </c>
      <c r="C150" s="47">
        <f>IFERROR(__xludf.DUMMYFUNCTION("GOOGLEFINANCE(A150,""Marketcap"")"),1.16782771287E11)</f>
        <v>116782771287</v>
      </c>
      <c r="D150" s="16">
        <v>85.0</v>
      </c>
      <c r="E150" s="16" t="s">
        <v>5855</v>
      </c>
    </row>
    <row r="151">
      <c r="A151" s="16" t="s">
        <v>122</v>
      </c>
      <c r="B151" s="16" t="str">
        <f>IFERROR(__xludf.DUMMYFUNCTION("GOOGLEFINANCE(A151,""name"")"),"Medtronic PLC")</f>
        <v>Medtronic PLC</v>
      </c>
      <c r="C151" s="47">
        <f>IFERROR(__xludf.DUMMYFUNCTION("GOOGLEFINANCE(A151,""Marketcap"")"),9.7767844709E10)</f>
        <v>97767844709</v>
      </c>
      <c r="D151" s="16">
        <v>85.0</v>
      </c>
      <c r="E151" s="16" t="s">
        <v>5856</v>
      </c>
    </row>
    <row r="152">
      <c r="A152" s="16" t="s">
        <v>125</v>
      </c>
      <c r="B152" s="16" t="str">
        <f>IFERROR(__xludf.DUMMYFUNCTION("GOOGLEFINANCE(A152,""name"")"),"Merck &amp; Co Inc")</f>
        <v>Merck &amp; Co Inc</v>
      </c>
      <c r="C152" s="47">
        <f>IFERROR(__xludf.DUMMYFUNCTION("GOOGLEFINANCE(A152,""Marketcap"")"),2.75088990336E11)</f>
        <v>275088990336</v>
      </c>
      <c r="D152" s="16">
        <v>85.0</v>
      </c>
      <c r="E152" s="16" t="s">
        <v>5857</v>
      </c>
    </row>
    <row r="153">
      <c r="A153" s="16" t="s">
        <v>906</v>
      </c>
      <c r="B153" s="16" t="str">
        <f>IFERROR(__xludf.DUMMYFUNCTION("GOOGLEFINANCE(A153,""name"")"),"Mettler-Toledo International Inc")</f>
        <v>Mettler-Toledo International Inc</v>
      </c>
      <c r="C153" s="47">
        <f>IFERROR(__xludf.DUMMYFUNCTION("GOOGLEFINANCE(A153,""Marketcap"")"),2.2768627519E10)</f>
        <v>22768627519</v>
      </c>
      <c r="D153" s="16">
        <v>85.0</v>
      </c>
      <c r="E153" s="16" t="s">
        <v>5858</v>
      </c>
    </row>
    <row r="154">
      <c r="A154" s="16" t="s">
        <v>144</v>
      </c>
      <c r="B154" s="16" t="str">
        <f>IFERROR(__xludf.DUMMYFUNCTION("GOOGLEFINANCE(A154,""name"")"),"Parker-Hannifin Corp")</f>
        <v>Parker-Hannifin Corp</v>
      </c>
      <c r="C154" s="47">
        <f>IFERROR(__xludf.DUMMYFUNCTION("GOOGLEFINANCE(A154,""Marketcap"")"),1.10808425183E11)</f>
        <v>110808425183</v>
      </c>
      <c r="D154" s="16">
        <v>85.0</v>
      </c>
      <c r="E154" s="16" t="s">
        <v>5859</v>
      </c>
    </row>
    <row r="155">
      <c r="A155" s="16" t="s">
        <v>1067</v>
      </c>
      <c r="B155" s="16" t="str">
        <f>IFERROR(__xludf.DUMMYFUNCTION("GOOGLEFINANCE(A155,""name"")"),"Allegion PLC")</f>
        <v>Allegion PLC</v>
      </c>
      <c r="C155" s="47">
        <f>IFERROR(__xludf.DUMMYFUNCTION("GOOGLEFINANCE(A155,""Marketcap"")"),1.1547195713E10)</f>
        <v>11547195713</v>
      </c>
      <c r="D155" s="16">
        <v>80.0</v>
      </c>
      <c r="E155" s="16" t="s">
        <v>5860</v>
      </c>
    </row>
    <row r="156">
      <c r="A156" s="16" t="s">
        <v>1081</v>
      </c>
      <c r="B156" s="16" t="str">
        <f>IFERROR(__xludf.DUMMYFUNCTION("GOOGLEFINANCE(A156,""name"")"),"Trane Technologies PLC")</f>
        <v>Trane Technologies PLC</v>
      </c>
      <c r="C156" s="47">
        <f>IFERROR(__xludf.DUMMYFUNCTION("GOOGLEFINANCE(A156,""Marketcap"")"),1.03049445403E11)</f>
        <v>103049445403</v>
      </c>
      <c r="D156" s="16">
        <v>80.0</v>
      </c>
      <c r="E156" s="16" t="s">
        <v>5861</v>
      </c>
    </row>
    <row r="157">
      <c r="A157" s="16" t="s">
        <v>908</v>
      </c>
      <c r="B157" s="16" t="str">
        <f>IFERROR(__xludf.DUMMYFUNCTION("GOOGLEFINANCE(A157,""name"")"),"Msci Inc")</f>
        <v>Msci Inc</v>
      </c>
      <c r="C157" s="47">
        <f>IFERROR(__xludf.DUMMYFUNCTION("GOOGLEFINANCE(A157,""Marketcap"")"),4.2618574755E10)</f>
        <v>42618574755</v>
      </c>
      <c r="D157" s="16">
        <v>80.0</v>
      </c>
      <c r="E157" s="16" t="s">
        <v>5862</v>
      </c>
    </row>
    <row r="158">
      <c r="A158" s="16" t="s">
        <v>85</v>
      </c>
      <c r="B158" s="16" t="str">
        <f>IFERROR(__xludf.DUMMYFUNCTION("GOOGLEFINANCE(A158,""name"")"),"Newmont Corporation")</f>
        <v>Newmont Corporation</v>
      </c>
      <c r="C158" s="47">
        <f>IFERROR(__xludf.DUMMYFUNCTION("GOOGLEFINANCE(A158,""Marketcap"")"),1.2438060231E11)</f>
        <v>124380602310</v>
      </c>
      <c r="D158" s="16">
        <v>80.0</v>
      </c>
      <c r="E158" s="16" t="s">
        <v>5863</v>
      </c>
    </row>
    <row r="159">
      <c r="A159" s="16" t="s">
        <v>1021</v>
      </c>
      <c r="B159" s="16" t="str">
        <f>IFERROR(__xludf.DUMMYFUNCTION("GOOGLEFINANCE(A159,""name"")"),"Willis Towers Watson PLC")</f>
        <v>Willis Towers Watson PLC</v>
      </c>
      <c r="C159" s="47">
        <f>IFERROR(__xludf.DUMMYFUNCTION("GOOGLEFINANCE(A159,""Marketcap"")"),1.7252434822E10)</f>
        <v>17252434822</v>
      </c>
      <c r="D159" s="16">
        <v>80.0</v>
      </c>
      <c r="E159" s="16" t="s">
        <v>5864</v>
      </c>
    </row>
    <row r="160">
      <c r="A160" s="16" t="s">
        <v>1479</v>
      </c>
      <c r="B160" s="16" t="str">
        <f>IFERROR(__xludf.DUMMYFUNCTION("GOOGLEFINANCE(A160,""name"")"),"Aflac Inc")</f>
        <v>Aflac Inc</v>
      </c>
      <c r="C160" s="47">
        <f>IFERROR(__xludf.DUMMYFUNCTION("GOOGLEFINANCE(A160,""Marketcap"")"),5.7566180103E10)</f>
        <v>57566180103</v>
      </c>
      <c r="D160" s="16">
        <v>80.0</v>
      </c>
      <c r="E160" s="16" t="s">
        <v>5865</v>
      </c>
    </row>
    <row r="161">
      <c r="A161" s="16" t="s">
        <v>961</v>
      </c>
      <c r="B161" s="16" t="str">
        <f>IFERROR(__xludf.DUMMYFUNCTION("GOOGLEFINANCE(A161,""name"")"),"Vistra Corp")</f>
        <v>Vistra Corp</v>
      </c>
      <c r="C161" s="47">
        <f>IFERROR(__xludf.DUMMYFUNCTION("GOOGLEFINANCE(A161,""Marketcap"")"),5.0010488237E10)</f>
        <v>50010488237</v>
      </c>
      <c r="D161" s="16">
        <v>80.0</v>
      </c>
      <c r="E161" s="16" t="s">
        <v>5866</v>
      </c>
    </row>
    <row r="162">
      <c r="A162" s="16" t="s">
        <v>1456</v>
      </c>
      <c r="B162" s="16" t="str">
        <f>IFERROR(__xludf.DUMMYFUNCTION("GOOGLEFINANCE(A162,""name"")"),"Southwest Airlines Co")</f>
        <v>Southwest Airlines Co</v>
      </c>
      <c r="C162" s="47">
        <f>IFERROR(__xludf.DUMMYFUNCTION("GOOGLEFINANCE(A162,""Marketcap"")"),2.0191238087E10)</f>
        <v>20191238087</v>
      </c>
      <c r="D162" s="16">
        <v>80.0</v>
      </c>
      <c r="E162" s="16" t="s">
        <v>5867</v>
      </c>
    </row>
    <row r="163">
      <c r="A163" s="16" t="s">
        <v>1447</v>
      </c>
      <c r="B163" s="16" t="str">
        <f>IFERROR(__xludf.DUMMYFUNCTION("GOOGLEFINANCE(A163,""name"")"),"Stanley Black &amp; Decker Inc")</f>
        <v>Stanley Black &amp; Decker Inc</v>
      </c>
      <c r="C163" s="47">
        <f>IFERROR(__xludf.DUMMYFUNCTION("GOOGLEFINANCE(A163,""Marketcap"")"),1.2602785444E10)</f>
        <v>12602785444</v>
      </c>
      <c r="D163" s="16">
        <v>80.0</v>
      </c>
      <c r="E163" s="16" t="s">
        <v>5868</v>
      </c>
    </row>
    <row r="164">
      <c r="A164" s="16" t="s">
        <v>881</v>
      </c>
      <c r="B164" s="16" t="str">
        <f>IFERROR(__xludf.DUMMYFUNCTION("GOOGLEFINANCE(A164,""name"")"),"Steris PLC")</f>
        <v>Steris PLC</v>
      </c>
      <c r="C164" s="47">
        <f>IFERROR(__xludf.DUMMYFUNCTION("GOOGLEFINANCE(A164,""Marketcap"")"),2.0345660525E10)</f>
        <v>20345660525</v>
      </c>
      <c r="D164" s="16">
        <v>80.0</v>
      </c>
      <c r="E164" s="16" t="s">
        <v>5869</v>
      </c>
    </row>
    <row r="165">
      <c r="A165" s="16" t="s">
        <v>265</v>
      </c>
      <c r="B165" s="16" t="str">
        <f>IFERROR(__xludf.DUMMYFUNCTION("GOOGLEFINANCE(A165,""name"")"),"BlackRock Inc")</f>
        <v>BlackRock Inc</v>
      </c>
      <c r="C165" s="47">
        <f>IFERROR(__xludf.DUMMYFUNCTION("GOOGLEFINANCE(A165,""Marketcap"")"),5.03495983E8)</f>
        <v>503495983</v>
      </c>
      <c r="D165" s="16">
        <v>80.0</v>
      </c>
      <c r="E165" s="16" t="s">
        <v>5870</v>
      </c>
    </row>
    <row r="166">
      <c r="A166" s="16" t="s">
        <v>1006</v>
      </c>
      <c r="B166" s="16" t="str">
        <f>IFERROR(__xludf.DUMMYFUNCTION("GOOGLEFINANCE(A166,""name"")"),"Union Pacific Corp")</f>
        <v>Union Pacific Corp</v>
      </c>
      <c r="C166" s="47">
        <f>IFERROR(__xludf.DUMMYFUNCTION("GOOGLEFINANCE(A166,""Marketcap"")"),1.57126194756E11)</f>
        <v>157126194756</v>
      </c>
      <c r="D166" s="16">
        <v>80.0</v>
      </c>
      <c r="E166" s="16" t="s">
        <v>5871</v>
      </c>
    </row>
    <row r="167">
      <c r="A167" s="16" t="s">
        <v>1517</v>
      </c>
      <c r="B167" s="16" t="str">
        <f>IFERROR(__xludf.DUMMYFUNCTION("GOOGLEFINANCE(A167,""name"")"),"Clorox Co")</f>
        <v>Clorox Co</v>
      </c>
      <c r="C167" s="47">
        <f>IFERROR(__xludf.DUMMYFUNCTION("GOOGLEFINANCE(A167,""Marketcap"")"),1.114410745E10)</f>
        <v>11144107450</v>
      </c>
      <c r="D167" s="16">
        <v>80.0</v>
      </c>
      <c r="E167" s="16" t="s">
        <v>5872</v>
      </c>
    </row>
    <row r="168">
      <c r="A168" s="16" t="s">
        <v>1141</v>
      </c>
      <c r="B168" s="16" t="str">
        <f>IFERROR(__xludf.DUMMYFUNCTION("GOOGLEFINANCE(A168,""name"")"),"Nike Inc")</f>
        <v>Nike Inc</v>
      </c>
      <c r="C168" s="47">
        <f>IFERROR(__xludf.DUMMYFUNCTION("GOOGLEFINANCE(A168,""Marketcap"")"),6.5366351276E10)</f>
        <v>65366351276</v>
      </c>
      <c r="D168" s="16">
        <v>80.0</v>
      </c>
      <c r="E168" s="16" t="s">
        <v>5873</v>
      </c>
    </row>
    <row r="169">
      <c r="A169" s="16" t="s">
        <v>244</v>
      </c>
      <c r="B169" s="16" t="str">
        <f>IFERROR(__xludf.DUMMYFUNCTION("GOOGLEFINANCE(A169,""name"")"),"Arthur J. Gallagher &amp; Co.")</f>
        <v>Arthur J. Gallagher &amp; Co.</v>
      </c>
      <c r="C169" s="47">
        <f>IFERROR(__xludf.DUMMYFUNCTION("GOOGLEFINANCE(A169,""Marketcap"")"),5.1109588745E10)</f>
        <v>51109588745</v>
      </c>
      <c r="D169" s="16">
        <v>80.0</v>
      </c>
      <c r="E169" s="16" t="s">
        <v>5874</v>
      </c>
    </row>
    <row r="170">
      <c r="A170" s="16" t="s">
        <v>1051</v>
      </c>
      <c r="B170" s="16" t="str">
        <f>IFERROR(__xludf.DUMMYFUNCTION("GOOGLEFINANCE(A170,""name"")"),"Lowe's Companies Inc")</f>
        <v>Lowe's Companies Inc</v>
      </c>
      <c r="C170" s="47">
        <f>IFERROR(__xludf.DUMMYFUNCTION("GOOGLEFINANCE(A170,""Marketcap"")"),1.2836639205E11)</f>
        <v>128366392050</v>
      </c>
      <c r="D170" s="16">
        <v>80.0</v>
      </c>
      <c r="E170" s="16" t="s">
        <v>5875</v>
      </c>
    </row>
    <row r="171">
      <c r="A171" s="16" t="s">
        <v>170</v>
      </c>
      <c r="B171" s="16" t="str">
        <f>IFERROR(__xludf.DUMMYFUNCTION("GOOGLEFINANCE(A171,""name"")"),"Lululemon Athletica Inc")</f>
        <v>Lululemon Athletica Inc</v>
      </c>
      <c r="C171" s="47">
        <f>IFERROR(__xludf.DUMMYFUNCTION("GOOGLEFINANCE(A171,""Marketcap"")"),1.5164223501E10)</f>
        <v>15164223501</v>
      </c>
      <c r="D171" s="16">
        <v>80.0</v>
      </c>
      <c r="E171" s="16" t="s">
        <v>5876</v>
      </c>
    </row>
    <row r="172">
      <c r="A172" s="16" t="s">
        <v>1135</v>
      </c>
      <c r="B172" s="16" t="str">
        <f>IFERROR(__xludf.DUMMYFUNCTION("GOOGLEFINANCE(A172,""name"")"),"Paychex Inc")</f>
        <v>Paychex Inc</v>
      </c>
      <c r="C172" s="47">
        <f>IFERROR(__xludf.DUMMYFUNCTION("GOOGLEFINANCE(A172,""Marketcap"")"),3.365426E10)</f>
        <v>33654260000</v>
      </c>
      <c r="D172" s="16">
        <v>80.0</v>
      </c>
      <c r="E172" s="16" t="s">
        <v>5877</v>
      </c>
    </row>
    <row r="173">
      <c r="A173" s="16" t="s">
        <v>1427</v>
      </c>
      <c r="B173" s="16" t="str">
        <f>IFERROR(__xludf.DUMMYFUNCTION("GOOGLEFINANCE(A173,""name"")"),"Best Buy Co Inc")</f>
        <v>Best Buy Co Inc</v>
      </c>
      <c r="C173" s="47">
        <f>IFERROR(__xludf.DUMMYFUNCTION("GOOGLEFINANCE(A173,""Marketcap"")"),1.2515295201E10)</f>
        <v>12515295201</v>
      </c>
      <c r="D173" s="16">
        <v>80.0</v>
      </c>
      <c r="E173" s="16" t="s">
        <v>5878</v>
      </c>
    </row>
    <row r="174">
      <c r="A174" s="16" t="s">
        <v>963</v>
      </c>
      <c r="B174" s="16" t="str">
        <f>IFERROR(__xludf.DUMMYFUNCTION("GOOGLEFINANCE(A174,""name"")"),"American Express Co")</f>
        <v>American Express Co</v>
      </c>
      <c r="C174" s="47">
        <f>IFERROR(__xludf.DUMMYFUNCTION("GOOGLEFINANCE(A174,""Marketcap"")"),2.15635579756E11)</f>
        <v>215635579756</v>
      </c>
      <c r="D174" s="16">
        <v>80.0</v>
      </c>
      <c r="E174" s="16" t="s">
        <v>5879</v>
      </c>
    </row>
    <row r="175">
      <c r="A175" s="16" t="s">
        <v>1063</v>
      </c>
      <c r="B175" s="16" t="str">
        <f>IFERROR(__xludf.DUMMYFUNCTION("GOOGLEFINANCE(A175,""name"")"),"American International Group Inc")</f>
        <v>American International Group Inc</v>
      </c>
      <c r="C175" s="47">
        <f>IFERROR(__xludf.DUMMYFUNCTION("GOOGLEFINANCE(A175,""Marketcap"")"),4.0486545755E10)</f>
        <v>40486545755</v>
      </c>
      <c r="D175" s="16">
        <v>80.0</v>
      </c>
      <c r="E175" s="16" t="s">
        <v>5880</v>
      </c>
    </row>
    <row r="176">
      <c r="A176" s="16" t="s">
        <v>1057</v>
      </c>
      <c r="B176" s="16" t="str">
        <f>IFERROR(__xludf.DUMMYFUNCTION("GOOGLEFINANCE(A176,""name"")"),"American Water Works Co Inc")</f>
        <v>American Water Works Co Inc</v>
      </c>
      <c r="C176" s="47">
        <f>IFERROR(__xludf.DUMMYFUNCTION("GOOGLEFINANCE(A176,""Marketcap"")"),2.441982712E10)</f>
        <v>24419827120</v>
      </c>
      <c r="D176" s="16">
        <v>80.0</v>
      </c>
      <c r="E176" s="16" t="s">
        <v>5881</v>
      </c>
    </row>
    <row r="177">
      <c r="A177" s="16" t="s">
        <v>1485</v>
      </c>
      <c r="B177" s="16" t="str">
        <f>IFERROR(__xludf.DUMMYFUNCTION("GOOGLEFINANCE(A177,""name"")"),"Ameriprise Financial, Inc.")</f>
        <v>Ameriprise Financial, Inc.</v>
      </c>
      <c r="C177" s="47">
        <f>IFERROR(__xludf.DUMMYFUNCTION("GOOGLEFINANCE(A177,""Marketcap"")"),4.1946951124E10)</f>
        <v>41946951124</v>
      </c>
      <c r="D177" s="16">
        <v>80.0</v>
      </c>
      <c r="E177" s="16" t="s">
        <v>5882</v>
      </c>
    </row>
    <row r="178">
      <c r="A178" s="16" t="s">
        <v>974</v>
      </c>
      <c r="B178" s="16" t="str">
        <f>IFERROR(__xludf.DUMMYFUNCTION("GOOGLEFINANCE(A178,""name"")"),"Martin Marietta Materials Inc")</f>
        <v>Martin Marietta Materials Inc</v>
      </c>
      <c r="C178" s="47">
        <f>IFERROR(__xludf.DUMMYFUNCTION("GOOGLEFINANCE(A178,""Marketcap"")"),3.5449892831E10)</f>
        <v>35449892831</v>
      </c>
      <c r="D178" s="16">
        <v>80.0</v>
      </c>
      <c r="E178" s="16" t="s">
        <v>5883</v>
      </c>
    </row>
    <row r="179">
      <c r="A179" s="16" t="s">
        <v>939</v>
      </c>
      <c r="B179" s="16" t="str">
        <f>IFERROR(__xludf.DUMMYFUNCTION("GOOGLEFINANCE(A179,""name"")"),"Cooper Companies Inc")</f>
        <v>Cooper Companies Inc</v>
      </c>
      <c r="C179" s="47">
        <f>IFERROR(__xludf.DUMMYFUNCTION("GOOGLEFINANCE(A179,""Marketcap"")"),1.1706858E10)</f>
        <v>11706858000</v>
      </c>
      <c r="D179" s="16">
        <v>80.0</v>
      </c>
      <c r="E179" s="16" t="s">
        <v>5884</v>
      </c>
    </row>
    <row r="180">
      <c r="A180" s="16" t="s">
        <v>876</v>
      </c>
      <c r="B180" s="16" t="str">
        <f>IFERROR(__xludf.DUMMYFUNCTION("GOOGLEFINANCE(A180,""name"")"),"Brown &amp; Brown Inc")</f>
        <v>Brown &amp; Brown Inc</v>
      </c>
      <c r="C180" s="47">
        <f>IFERROR(__xludf.DUMMYFUNCTION("GOOGLEFINANCE(A180,""Marketcap"")"),1.9133603568E10)</f>
        <v>19133603568</v>
      </c>
      <c r="D180" s="16">
        <v>80.0</v>
      </c>
      <c r="E180" s="16" t="s">
        <v>5885</v>
      </c>
    </row>
    <row r="181">
      <c r="A181" s="16" t="s">
        <v>250</v>
      </c>
      <c r="B181" s="16" t="str">
        <f>IFERROR(__xludf.DUMMYFUNCTION("GOOGLEFINANCE(A181,""name"")"),"Cadence Design Systems Inc")</f>
        <v>Cadence Design Systems Inc</v>
      </c>
      <c r="C181" s="47">
        <f>IFERROR(__xludf.DUMMYFUNCTION("GOOGLEFINANCE(A181,""Marketcap"")"),1.00038430296E11)</f>
        <v>100038430296</v>
      </c>
      <c r="D181" s="16">
        <v>80.0</v>
      </c>
      <c r="E181" s="16" t="s">
        <v>5886</v>
      </c>
    </row>
    <row r="182">
      <c r="A182" s="16" t="s">
        <v>949</v>
      </c>
      <c r="B182" s="16" t="str">
        <f>IFERROR(__xludf.DUMMYFUNCTION("GOOGLEFINANCE(A182,""name"")"),"DFS Furniture PLC")</f>
        <v>DFS Furniture PLC</v>
      </c>
      <c r="C182" s="47">
        <f>IFERROR(__xludf.DUMMYFUNCTION("GOOGLEFINANCE(A182,""Marketcap"")"),3.0798E8)</f>
        <v>307980000</v>
      </c>
      <c r="D182" s="16">
        <v>80.0</v>
      </c>
      <c r="E182" s="16" t="s">
        <v>5887</v>
      </c>
    </row>
    <row r="183">
      <c r="A183" s="16" t="s">
        <v>1313</v>
      </c>
      <c r="B183" s="16" t="str">
        <f>IFERROR(__xludf.DUMMYFUNCTION("GOOGLEFINANCE(A183,""name"")"),"Edwards Lifesciences Corp")</f>
        <v>Edwards Lifesciences Corp</v>
      </c>
      <c r="C183" s="47">
        <f>IFERROR(__xludf.DUMMYFUNCTION("GOOGLEFINANCE(A183,""Marketcap"")"),4.6040967472E10)</f>
        <v>46040967472</v>
      </c>
      <c r="D183" s="16">
        <v>80.0</v>
      </c>
      <c r="E183" s="16" t="s">
        <v>5888</v>
      </c>
    </row>
    <row r="184">
      <c r="A184" s="16" t="s">
        <v>252</v>
      </c>
      <c r="B184" s="16" t="str">
        <f>IFERROR(__xludf.DUMMYFUNCTION("GOOGLEFINANCE(A184,""name"")"),"Eli Lilly And Co")</f>
        <v>Eli Lilly And Co</v>
      </c>
      <c r="C184" s="47">
        <f>IFERROR(__xludf.DUMMYFUNCTION("GOOGLEFINANCE(A184,""Marketcap"")"),8.93194642325E11)</f>
        <v>893194642325</v>
      </c>
      <c r="D184" s="16">
        <v>80.0</v>
      </c>
      <c r="E184" s="16" t="s">
        <v>5889</v>
      </c>
    </row>
    <row r="185">
      <c r="A185" s="16" t="s">
        <v>1433</v>
      </c>
      <c r="B185" s="16" t="str">
        <f>IFERROR(__xludf.DUMMYFUNCTION("GOOGLEFINANCE(A185,""name"")"),"Hormel Foods Corp")</f>
        <v>Hormel Foods Corp</v>
      </c>
      <c r="C185" s="47">
        <f>IFERROR(__xludf.DUMMYFUNCTION("GOOGLEFINANCE(A185,""Marketcap"")"),1.1247811385E10)</f>
        <v>11247811385</v>
      </c>
      <c r="D185" s="16">
        <v>80.0</v>
      </c>
      <c r="E185" s="16" t="s">
        <v>5890</v>
      </c>
    </row>
    <row r="186">
      <c r="A186" s="16" t="s">
        <v>868</v>
      </c>
      <c r="B186" s="16" t="str">
        <f>IFERROR(__xludf.DUMMYFUNCTION("GOOGLEFINANCE(A186,""name"")"),"Charter Communications Inc")</f>
        <v>Charter Communications Inc</v>
      </c>
      <c r="C186" s="47">
        <f>IFERROR(__xludf.DUMMYFUNCTION("GOOGLEFINANCE(A186,""Marketcap"")"),1.9045379745E10)</f>
        <v>19045379745</v>
      </c>
      <c r="D186" s="16">
        <v>80.0</v>
      </c>
      <c r="E186" s="16" t="s">
        <v>5891</v>
      </c>
    </row>
    <row r="187">
      <c r="A187" s="16" t="s">
        <v>929</v>
      </c>
      <c r="B187" s="16" t="str">
        <f>IFERROR(__xludf.DUMMYFUNCTION("GOOGLEFINANCE(A187,""name"")"),"Capital One Financial Corp")</f>
        <v>Capital One Financial Corp</v>
      </c>
      <c r="C187" s="47">
        <f>IFERROR(__xludf.DUMMYFUNCTION("GOOGLEFINANCE(A187,""Marketcap"")"),1.20167436422E11)</f>
        <v>120167436422</v>
      </c>
      <c r="D187" s="16">
        <v>80.0</v>
      </c>
      <c r="E187" s="16" t="s">
        <v>5892</v>
      </c>
    </row>
    <row r="188">
      <c r="A188" s="16" t="s">
        <v>1508</v>
      </c>
      <c r="B188" s="16" t="str">
        <f>IFERROR(__xludf.DUMMYFUNCTION("GOOGLEFINANCE(A188,""name"")"),"Carrier Global Corp")</f>
        <v>Carrier Global Corp</v>
      </c>
      <c r="C188" s="47">
        <f>IFERROR(__xludf.DUMMYFUNCTION("GOOGLEFINANCE(A188,""Marketcap"")"),5.5507689652E10)</f>
        <v>55507689652</v>
      </c>
      <c r="D188" s="16">
        <v>80.0</v>
      </c>
      <c r="E188" s="16" t="s">
        <v>5893</v>
      </c>
    </row>
    <row r="189">
      <c r="A189" s="16" t="s">
        <v>185</v>
      </c>
      <c r="B189" s="16" t="str">
        <f>IFERROR(__xludf.DUMMYFUNCTION("GOOGLEFINANCE(A189,""name"")"),"Broadcom Inc")</f>
        <v>Broadcom Inc</v>
      </c>
      <c r="C189" s="47">
        <f>IFERROR(__xludf.DUMMYFUNCTION("GOOGLEFINANCE(A189,""Marketcap"")"),2.03590724E12)</f>
        <v>2035907240000</v>
      </c>
      <c r="D189" s="16">
        <v>80.0</v>
      </c>
      <c r="E189" s="16" t="s">
        <v>5894</v>
      </c>
    </row>
    <row r="190">
      <c r="A190" s="16" t="s">
        <v>1547</v>
      </c>
      <c r="B190" s="16" t="str">
        <f>IFERROR(__xludf.DUMMYFUNCTION("GOOGLEFINANCE(A190,""name"")"),"Globe Life Inc")</f>
        <v>Globe Life Inc</v>
      </c>
      <c r="C190" s="47">
        <f>IFERROR(__xludf.DUMMYFUNCTION("GOOGLEFINANCE(A190,""Marketcap"")"),1.185195571E10)</f>
        <v>11851955710</v>
      </c>
      <c r="D190" s="16">
        <v>80.0</v>
      </c>
      <c r="E190" s="16" t="s">
        <v>5895</v>
      </c>
    </row>
    <row r="191">
      <c r="A191" s="16" t="s">
        <v>851</v>
      </c>
      <c r="B191" s="16" t="str">
        <f>IFERROR(__xludf.DUMMYFUNCTION("GOOGLEFINANCE(A191,""name"")"),"HCA Healthcare Inc")</f>
        <v>HCA Healthcare Inc</v>
      </c>
      <c r="C191" s="47">
        <f>IFERROR(__xludf.DUMMYFUNCTION("GOOGLEFINANCE(A191,""Marketcap"")"),9.6542419584E10)</f>
        <v>96542419584</v>
      </c>
      <c r="D191" s="16">
        <v>80.0</v>
      </c>
      <c r="E191" s="16" t="s">
        <v>5896</v>
      </c>
    </row>
    <row r="192">
      <c r="A192" s="16" t="s">
        <v>1549</v>
      </c>
      <c r="B192" s="16" t="str">
        <f>IFERROR(__xludf.DUMMYFUNCTION("GOOGLEFINANCE(A192,""name"")"),"General Motors Co")</f>
        <v>General Motors Co</v>
      </c>
      <c r="C192" s="47">
        <f>IFERROR(__xludf.DUMMYFUNCTION("GOOGLEFINANCE(A192,""Marketcap"")"),7.1051220511E10)</f>
        <v>71051220511</v>
      </c>
      <c r="D192" s="16">
        <v>80.0</v>
      </c>
      <c r="E192" s="16" t="s">
        <v>5897</v>
      </c>
    </row>
    <row r="193">
      <c r="A193" s="16" t="s">
        <v>1041</v>
      </c>
      <c r="B193" s="16" t="str">
        <f>IFERROR(__xludf.DUMMYFUNCTION("GOOGLEFINANCE(A193,""name"")"),"Realty Income Corp")</f>
        <v>Realty Income Corp</v>
      </c>
      <c r="C193" s="47">
        <f>IFERROR(__xludf.DUMMYFUNCTION("GOOGLEFINANCE(A193,""Marketcap"")"),5.7738788372E10)</f>
        <v>57738788372</v>
      </c>
      <c r="D193" s="16">
        <v>80.0</v>
      </c>
      <c r="E193" s="16" t="s">
        <v>5898</v>
      </c>
    </row>
    <row r="194">
      <c r="A194" s="16" t="s">
        <v>1147</v>
      </c>
      <c r="B194" s="16" t="str">
        <f>IFERROR(__xludf.DUMMYFUNCTION("GOOGLEFINANCE(A194,""name"")"),"Principal Financial Group Inc")</f>
        <v>Principal Financial Group Inc</v>
      </c>
      <c r="C194" s="47">
        <f>IFERROR(__xludf.DUMMYFUNCTION("GOOGLEFINANCE(A194,""Marketcap"")"),2.170924E10)</f>
        <v>21709240000</v>
      </c>
      <c r="D194" s="16">
        <v>80.0</v>
      </c>
      <c r="E194" s="16" t="s">
        <v>5899</v>
      </c>
    </row>
    <row r="195">
      <c r="A195" s="16" t="s">
        <v>1175</v>
      </c>
      <c r="B195" s="16" t="str">
        <f>IFERROR(__xludf.DUMMYFUNCTION("GOOGLEFINANCE(A195,""name"")"),"PTC Inc")</f>
        <v>PTC Inc</v>
      </c>
      <c r="C195" s="47">
        <f>IFERROR(__xludf.DUMMYFUNCTION("GOOGLEFINANCE(A195,""Marketcap"")"),1.693892E10)</f>
        <v>16938920000</v>
      </c>
      <c r="D195" s="16">
        <v>80.0</v>
      </c>
      <c r="E195" s="16" t="s">
        <v>5900</v>
      </c>
    </row>
    <row r="196">
      <c r="A196" s="16" t="s">
        <v>253</v>
      </c>
      <c r="B196" s="16" t="str">
        <f>IFERROR(__xludf.DUMMYFUNCTION("GOOGLEFINANCE(A196,""name"")"),"Micron Technology Inc")</f>
        <v>Micron Technology Inc</v>
      </c>
      <c r="C196" s="47">
        <f>IFERROR(__xludf.DUMMYFUNCTION("GOOGLEFINANCE(A196,""Marketcap"")"),8.4218044908E11)</f>
        <v>842180449080</v>
      </c>
      <c r="D196" s="16">
        <v>80.0</v>
      </c>
      <c r="E196" s="16" t="s">
        <v>5901</v>
      </c>
    </row>
    <row r="197">
      <c r="A197" s="16" t="s">
        <v>1352</v>
      </c>
      <c r="B197" s="16" t="str">
        <f>IFERROR(__xludf.DUMMYFUNCTION("GOOGLEFINANCE(A197,""name"")"),"Simon Property Group Inc")</f>
        <v>Simon Property Group Inc</v>
      </c>
      <c r="C197" s="47">
        <f>IFERROR(__xludf.DUMMYFUNCTION("GOOGLEFINANCE(A197,""Marketcap"")"),6.5658316597E10)</f>
        <v>65658316597</v>
      </c>
      <c r="D197" s="16">
        <v>80.0</v>
      </c>
      <c r="E197" s="16" t="s">
        <v>5902</v>
      </c>
    </row>
    <row r="198">
      <c r="A198" s="16" t="s">
        <v>855</v>
      </c>
      <c r="B198" s="16" t="str">
        <f>IFERROR(__xludf.DUMMYFUNCTION("GOOGLEFINANCE(A198,""name"")"),"Ross Stores Inc")</f>
        <v>Ross Stores Inc</v>
      </c>
      <c r="C198" s="47">
        <f>IFERROR(__xludf.DUMMYFUNCTION("GOOGLEFINANCE(A198,""Marketcap"")"),7.2744261674E10)</f>
        <v>72744261674</v>
      </c>
      <c r="D198" s="16">
        <v>80.0</v>
      </c>
      <c r="E198" s="16" t="s">
        <v>5903</v>
      </c>
    </row>
    <row r="199">
      <c r="A199" s="16" t="s">
        <v>254</v>
      </c>
      <c r="B199" s="16" t="str">
        <f>IFERROR(__xludf.DUMMYFUNCTION("GOOGLEFINANCE(A199,""name"")"),"Freeport-McMoRan Inc")</f>
        <v>Freeport-McMoRan Inc</v>
      </c>
      <c r="C199" s="47">
        <f>IFERROR(__xludf.DUMMYFUNCTION("GOOGLEFINANCE(A199,""Marketcap"")"),8.8623726693E10)</f>
        <v>88623726693</v>
      </c>
      <c r="D199" s="16">
        <v>80.0</v>
      </c>
      <c r="E199" s="16" t="s">
        <v>5904</v>
      </c>
    </row>
    <row r="200">
      <c r="A200" s="16" t="s">
        <v>1096</v>
      </c>
      <c r="B200" s="16" t="str">
        <f>IFERROR(__xludf.DUMMYFUNCTION("GOOGLEFINANCE(A200,""name"")"),"Gartner Inc")</f>
        <v>Gartner Inc</v>
      </c>
      <c r="C200" s="47">
        <f>IFERROR(__xludf.DUMMYFUNCTION("GOOGLEFINANCE(A200,""Marketcap"")"),1.0621916939E10)</f>
        <v>10621916939</v>
      </c>
      <c r="D200" s="16">
        <v>80.0</v>
      </c>
      <c r="E200" s="16" t="s">
        <v>5905</v>
      </c>
    </row>
    <row r="201">
      <c r="A201" s="16" t="s">
        <v>1049</v>
      </c>
      <c r="B201" s="16" t="str">
        <f>IFERROR(__xludf.DUMMYFUNCTION("GOOGLEFINANCE(A201,""name"")"),"F5 Inc")</f>
        <v>F5 Inc</v>
      </c>
      <c r="C201" s="47">
        <f>IFERROR(__xludf.DUMMYFUNCTION("GOOGLEFINANCE(A201,""Marketcap"")"),1.9974107008E10)</f>
        <v>19974107008</v>
      </c>
      <c r="D201" s="16">
        <v>80.0</v>
      </c>
      <c r="E201" s="16" t="s">
        <v>5906</v>
      </c>
    </row>
    <row r="202">
      <c r="A202" s="16" t="s">
        <v>923</v>
      </c>
      <c r="B202" s="16" t="str">
        <f>IFERROR(__xludf.DUMMYFUNCTION("GOOGLEFINANCE(A202,""name"")"),"Equinix Inc")</f>
        <v>Equinix Inc</v>
      </c>
      <c r="C202" s="47">
        <f>IFERROR(__xludf.DUMMYFUNCTION("GOOGLEFINANCE(A202,""Marketcap"")"),1.05733070885E11)</f>
        <v>105733070885</v>
      </c>
      <c r="D202" s="16">
        <v>80.0</v>
      </c>
      <c r="E202" s="16" t="s">
        <v>5907</v>
      </c>
    </row>
    <row r="203">
      <c r="A203" s="16" t="s">
        <v>1206</v>
      </c>
      <c r="B203" s="16" t="str">
        <f>IFERROR(__xludf.DUMMYFUNCTION("GOOGLEFINANCE(A203,""name"")"),"Essex Property Trust Inc")</f>
        <v>Essex Property Trust Inc</v>
      </c>
      <c r="C203" s="47">
        <f>IFERROR(__xludf.DUMMYFUNCTION("GOOGLEFINANCE(A203,""Marketcap"")"),1.6936473333E10)</f>
        <v>16936473333</v>
      </c>
      <c r="D203" s="16">
        <v>80.0</v>
      </c>
      <c r="E203" s="16" t="s">
        <v>5908</v>
      </c>
    </row>
    <row r="204">
      <c r="A204" s="16" t="s">
        <v>1193</v>
      </c>
      <c r="B204" s="16" t="str">
        <f>IFERROR(__xludf.DUMMYFUNCTION("GOOGLEFINANCE(A204,""name"")"),"Consolidated Edison Inc")</f>
        <v>Consolidated Edison Inc</v>
      </c>
      <c r="C204" s="47">
        <f>IFERROR(__xludf.DUMMYFUNCTION("GOOGLEFINANCE(A204,""Marketcap"")"),3.9166856872E10)</f>
        <v>39166856872</v>
      </c>
      <c r="D204" s="16">
        <v>80.0</v>
      </c>
      <c r="E204" s="16" t="s">
        <v>5909</v>
      </c>
    </row>
    <row r="205">
      <c r="A205" s="16" t="s">
        <v>1315</v>
      </c>
      <c r="B205" s="16" t="str">
        <f>IFERROR(__xludf.DUMMYFUNCTION("GOOGLEFINANCE(A205,""name"")"),"Fastenal Co")</f>
        <v>Fastenal Co</v>
      </c>
      <c r="C205" s="47">
        <f>IFERROR(__xludf.DUMMYFUNCTION("GOOGLEFINANCE(A205,""Marketcap"")"),5.0708703847E10)</f>
        <v>50708703847</v>
      </c>
      <c r="D205" s="16">
        <v>80.0</v>
      </c>
      <c r="E205" s="16" t="s">
        <v>5910</v>
      </c>
    </row>
    <row r="206">
      <c r="A206" s="16" t="s">
        <v>1125</v>
      </c>
      <c r="B206" s="16" t="str">
        <f>IFERROR(__xludf.DUMMYFUNCTION("GOOGLEFINANCE(A206,""name"")"),"Fidelity National Information Servcs Inc")</f>
        <v>Fidelity National Information Servcs Inc</v>
      </c>
      <c r="C206" s="47">
        <f>IFERROR(__xludf.DUMMYFUNCTION("GOOGLEFINANCE(A206,""Marketcap"")"),2.2478642375E10)</f>
        <v>22478642375</v>
      </c>
      <c r="D206" s="16">
        <v>80.0</v>
      </c>
      <c r="E206" s="16" t="s">
        <v>5911</v>
      </c>
    </row>
    <row r="207">
      <c r="A207" s="16" t="s">
        <v>1119</v>
      </c>
      <c r="B207" s="16" t="str">
        <f>IFERROR(__xludf.DUMMYFUNCTION("GOOGLEFINANCE(A207,""name"")"),"First Solar Inc")</f>
        <v>First Solar Inc</v>
      </c>
      <c r="C207" s="47">
        <f>IFERROR(__xludf.DUMMYFUNCTION("GOOGLEFINANCE(A207,""Marketcap"")"),2.3634353007E10)</f>
        <v>23634353007</v>
      </c>
      <c r="D207" s="16">
        <v>80.0</v>
      </c>
      <c r="E207" s="16" t="s">
        <v>5912</v>
      </c>
    </row>
    <row r="208">
      <c r="A208" s="16" t="s">
        <v>1264</v>
      </c>
      <c r="B208" s="16" t="str">
        <f>IFERROR(__xludf.DUMMYFUNCTION("GOOGLEFINANCE(A208,""name"")"),"Eversource Energy")</f>
        <v>Eversource Energy</v>
      </c>
      <c r="C208" s="47">
        <f>IFERROR(__xludf.DUMMYFUNCTION("GOOGLEFINANCE(A208,""Marketcap"")"),2.4997471705E10)</f>
        <v>24997471705</v>
      </c>
      <c r="D208" s="16">
        <v>80.0</v>
      </c>
      <c r="E208" s="16" t="s">
        <v>5913</v>
      </c>
    </row>
    <row r="209">
      <c r="A209" s="16" t="s">
        <v>232</v>
      </c>
      <c r="B209" s="16" t="str">
        <f>IFERROR(__xludf.DUMMYFUNCTION("GOOGLEFINANCE(A209,""name"")"),"Linde PLC")</f>
        <v>Linde PLC</v>
      </c>
      <c r="C209" s="47">
        <f>IFERROR(__xludf.DUMMYFUNCTION("GOOGLEFINANCE(A209,""Marketcap"")"),2.28011146845E11)</f>
        <v>228011146845</v>
      </c>
      <c r="D209" s="16">
        <v>80.0</v>
      </c>
      <c r="E209" s="16" t="s">
        <v>5914</v>
      </c>
    </row>
    <row r="210">
      <c r="A210" s="16" t="s">
        <v>1299</v>
      </c>
      <c r="B210" s="16" t="str">
        <f>IFERROR(__xludf.DUMMYFUNCTION("GOOGLEFINANCE(A210,""name"")"),"Illinois Tool Works Inc")</f>
        <v>Illinois Tool Works Inc</v>
      </c>
      <c r="C210" s="47">
        <f>IFERROR(__xludf.DUMMYFUNCTION("GOOGLEFINANCE(A210,""Marketcap"")"),7.3390749697E10)</f>
        <v>73390749697</v>
      </c>
      <c r="D210" s="16">
        <v>80.0</v>
      </c>
      <c r="E210" s="16" t="s">
        <v>5915</v>
      </c>
    </row>
    <row r="211">
      <c r="A211" s="16" t="s">
        <v>1329</v>
      </c>
      <c r="B211" s="16" t="str">
        <f>IFERROR(__xludf.DUMMYFUNCTION("GOOGLEFINANCE(A211,""name"")"),"Costar Group Inc")</f>
        <v>Costar Group Inc</v>
      </c>
      <c r="C211" s="47">
        <f>IFERROR(__xludf.DUMMYFUNCTION("GOOGLEFINANCE(A211,""Marketcap"")"),1.3381813198E10)</f>
        <v>13381813198</v>
      </c>
      <c r="D211" s="16">
        <v>80.0</v>
      </c>
      <c r="E211" s="16" t="s">
        <v>5916</v>
      </c>
    </row>
    <row r="212">
      <c r="A212" s="16" t="s">
        <v>1338</v>
      </c>
      <c r="B212" s="16" t="str">
        <f>IFERROR(__xludf.DUMMYFUNCTION("GOOGLEFINANCE(A212,""name"")"),"CMS Energy Corp")</f>
        <v>CMS Energy Corp</v>
      </c>
      <c r="C212" s="47">
        <f>IFERROR(__xludf.DUMMYFUNCTION("GOOGLEFINANCE(A212,""Marketcap"")"),2.2430645083E10)</f>
        <v>22430645083</v>
      </c>
      <c r="D212" s="16">
        <v>80.0</v>
      </c>
      <c r="E212" s="16" t="s">
        <v>5917</v>
      </c>
    </row>
    <row r="213">
      <c r="A213" s="16" t="s">
        <v>82</v>
      </c>
      <c r="B213" s="16" t="str">
        <f>IFERROR(__xludf.DUMMYFUNCTION("GOOGLEFINANCE(A213,""name"")"),"Comcast Corp")</f>
        <v>Comcast Corp</v>
      </c>
      <c r="C213" s="47">
        <f>IFERROR(__xludf.DUMMYFUNCTION("GOOGLEFINANCE(A213,""Marketcap"")"),9.0716731695E10)</f>
        <v>90716731695</v>
      </c>
      <c r="D213" s="16">
        <v>80.0</v>
      </c>
      <c r="E213" s="16" t="s">
        <v>5918</v>
      </c>
    </row>
    <row r="214">
      <c r="A214" s="16" t="s">
        <v>1410</v>
      </c>
      <c r="B214" s="16" t="str">
        <f>IFERROR(__xludf.DUMMYFUNCTION("GOOGLEFINANCE(A214,""name"")"),"Conagra Brands Inc")</f>
        <v>Conagra Brands Inc</v>
      </c>
      <c r="C214" s="47">
        <f>IFERROR(__xludf.DUMMYFUNCTION("GOOGLEFINANCE(A214,""Marketcap"")"),6.760316277E9)</f>
        <v>6760316277</v>
      </c>
      <c r="D214" s="16">
        <v>80.0</v>
      </c>
      <c r="E214" s="16" t="s">
        <v>5919</v>
      </c>
    </row>
    <row r="215">
      <c r="A215" s="16" t="s">
        <v>241</v>
      </c>
      <c r="B215" s="16" t="str">
        <f>IFERROR(__xludf.DUMMYFUNCTION("GOOGLEFINANCE(A215,""name"")"),"Verizon Communications Inc")</f>
        <v>Verizon Communications Inc</v>
      </c>
      <c r="C215" s="47">
        <f>IFERROR(__xludf.DUMMYFUNCTION("GOOGLEFINANCE(A215,""Marketcap"")"),1.97169901077E11)</f>
        <v>197169901077</v>
      </c>
      <c r="D215" s="16">
        <v>80.0</v>
      </c>
      <c r="E215" s="16" t="s">
        <v>5920</v>
      </c>
    </row>
    <row r="216">
      <c r="A216" s="16" t="s">
        <v>239</v>
      </c>
      <c r="B216" s="16" t="str">
        <f>IFERROR(__xludf.DUMMYFUNCTION("GOOGLEFINANCE(A216,""name"")"),"Advanced Micro Devices Inc")</f>
        <v>Advanced Micro Devices Inc</v>
      </c>
      <c r="C216" s="47">
        <f>IFERROR(__xludf.DUMMYFUNCTION("GOOGLEFINANCE(A216,""Marketcap"")"),7.422331E11)</f>
        <v>742233100000</v>
      </c>
      <c r="D216" s="16">
        <v>80.0</v>
      </c>
      <c r="E216" s="16" t="s">
        <v>5921</v>
      </c>
    </row>
    <row r="217">
      <c r="A217" s="16" t="s">
        <v>230</v>
      </c>
      <c r="B217" s="16" t="str">
        <f>IFERROR(__xludf.DUMMYFUNCTION("GOOGLEFINANCE(A217,""name"")"),"Tesla Inc")</f>
        <v>Tesla Inc</v>
      </c>
      <c r="C217" s="47">
        <f>IFERROR(__xludf.DUMMYFUNCTION("GOOGLEFINANCE(A217,""Marketcap"")"),1.342221893625E12)</f>
        <v>1342221893625</v>
      </c>
      <c r="D217" s="16">
        <v>80.0</v>
      </c>
      <c r="E217" s="16" t="s">
        <v>5922</v>
      </c>
    </row>
    <row r="218">
      <c r="A218" s="16" t="s">
        <v>1402</v>
      </c>
      <c r="B218" s="16" t="str">
        <f>IFERROR(__xludf.DUMMYFUNCTION("GOOGLEFINANCE(A218,""name"")"),"Tractor Supply Co")</f>
        <v>Tractor Supply Co</v>
      </c>
      <c r="C218" s="47">
        <f>IFERROR(__xludf.DUMMYFUNCTION("GOOGLEFINANCE(A218,""Marketcap"")"),1.607438E10)</f>
        <v>16074380000</v>
      </c>
      <c r="D218" s="16">
        <v>80.0</v>
      </c>
      <c r="E218" s="16" t="s">
        <v>5923</v>
      </c>
    </row>
    <row r="219">
      <c r="A219" s="16" t="s">
        <v>39</v>
      </c>
      <c r="B219" s="16" t="str">
        <f>IFERROR(__xludf.DUMMYFUNCTION("GOOGLEFINANCE(A219,""name"")"),"T-Mobile Us Inc")</f>
        <v>T-Mobile Us Inc</v>
      </c>
      <c r="C219" s="47">
        <f>IFERROR(__xludf.DUMMYFUNCTION("GOOGLEFINANCE(A219,""Marketcap"")"),2.09547165804E11)</f>
        <v>209547165804</v>
      </c>
      <c r="D219" s="16">
        <v>80.0</v>
      </c>
      <c r="E219" s="16" t="s">
        <v>5924</v>
      </c>
    </row>
    <row r="220">
      <c r="A220" s="16" t="s">
        <v>958</v>
      </c>
      <c r="B220" s="16" t="str">
        <f>IFERROR(__xludf.DUMMYFUNCTION("GOOGLEFINANCE(A220,""name"")"),"US Bancorp")</f>
        <v>US Bancorp</v>
      </c>
      <c r="C220" s="47">
        <f>IFERROR(__xludf.DUMMYFUNCTION("GOOGLEFINANCE(A220,""Marketcap"")"),8.6199161575E10)</f>
        <v>86199161575</v>
      </c>
      <c r="D220" s="16">
        <v>75.0</v>
      </c>
      <c r="E220" s="16" t="s">
        <v>5925</v>
      </c>
    </row>
    <row r="221">
      <c r="A221" s="16" t="s">
        <v>1628</v>
      </c>
      <c r="B221" s="16" t="str">
        <f>IFERROR(__xludf.DUMMYFUNCTION("GOOGLEFINANCE(A221,""name"")"),"Uber Technologies Inc")</f>
        <v>Uber Technologies Inc</v>
      </c>
      <c r="C221" s="47">
        <f>IFERROR(__xludf.DUMMYFUNCTION("GOOGLEFINANCE(A221,""Marketcap"")"),1.53585862887E11)</f>
        <v>153585862887</v>
      </c>
      <c r="D221" s="16">
        <v>75.0</v>
      </c>
      <c r="E221" s="16" t="s">
        <v>5926</v>
      </c>
    </row>
    <row r="222">
      <c r="A222" s="16" t="s">
        <v>1151</v>
      </c>
      <c r="B222" s="16" t="str">
        <f>IFERROR(__xludf.DUMMYFUNCTION("GOOGLEFINANCE(A222,""name"")"),"Tapestry Inc")</f>
        <v>Tapestry Inc</v>
      </c>
      <c r="C222" s="47">
        <f>IFERROR(__xludf.DUMMYFUNCTION("GOOGLEFINANCE(A222,""Marketcap"")"),2.702492055E10)</f>
        <v>27024920550</v>
      </c>
      <c r="D222" s="16">
        <v>75.0</v>
      </c>
      <c r="E222" s="16" t="s">
        <v>5927</v>
      </c>
    </row>
    <row r="223">
      <c r="A223" s="16" t="s">
        <v>1325</v>
      </c>
      <c r="B223" s="16" t="str">
        <f>IFERROR(__xludf.DUMMYFUNCTION("GOOGLEFINANCE(A223,""name"")"),"Texas Instruments Inc")</f>
        <v>Texas Instruments Inc</v>
      </c>
      <c r="C223" s="47">
        <f>IFERROR(__xludf.DUMMYFUNCTION("GOOGLEFINANCE(A223,""Marketcap"")"),2.619247E11)</f>
        <v>261924700000</v>
      </c>
      <c r="D223" s="16">
        <v>75.0</v>
      </c>
      <c r="E223" s="16" t="s">
        <v>5928</v>
      </c>
    </row>
    <row r="224">
      <c r="A224" s="16" t="s">
        <v>1327</v>
      </c>
      <c r="B224" s="16" t="str">
        <f>IFERROR(__xludf.DUMMYFUNCTION("GOOGLEFINANCE(A224,""name"")"),"United Parcel Service Inc")</f>
        <v>United Parcel Service Inc</v>
      </c>
      <c r="C224" s="47">
        <f>IFERROR(__xludf.DUMMYFUNCTION("GOOGLEFINANCE(A224,""Marketcap"")"),8.5663623798E10)</f>
        <v>85663623798</v>
      </c>
      <c r="D224" s="16">
        <v>75.0</v>
      </c>
      <c r="E224" s="16" t="s">
        <v>5929</v>
      </c>
    </row>
    <row r="225">
      <c r="A225" s="16" t="s">
        <v>476</v>
      </c>
      <c r="B225" s="16" t="str">
        <f>IFERROR(__xludf.DUMMYFUNCTION("GOOGLEFINANCE(A225,""name"")"),"Universal Health Services Inc")</f>
        <v>Universal Health Services Inc</v>
      </c>
      <c r="C225" s="47">
        <f>IFERROR(__xludf.DUMMYFUNCTION("GOOGLEFINANCE(A225,""Marketcap"")"),1.037261162E10)</f>
        <v>10372611620</v>
      </c>
      <c r="D225" s="16">
        <v>75.0</v>
      </c>
      <c r="E225" s="16" t="s">
        <v>5930</v>
      </c>
    </row>
    <row r="226">
      <c r="A226" s="16" t="s">
        <v>1305</v>
      </c>
      <c r="B226" s="16" t="str">
        <f>IFERROR(__xludf.DUMMYFUNCTION("GOOGLEFINANCE(A226,""name"")"),"Valero Energy Corp")</f>
        <v>Valero Energy Corp</v>
      </c>
      <c r="C226" s="47">
        <f>IFERROR(__xludf.DUMMYFUNCTION("GOOGLEFINANCE(A226,""Marketcap"")"),7.1578595937E10)</f>
        <v>71578595937</v>
      </c>
      <c r="D226" s="16">
        <v>75.0</v>
      </c>
      <c r="E226" s="16" t="s">
        <v>5931</v>
      </c>
    </row>
    <row r="227">
      <c r="A227" s="16" t="s">
        <v>294</v>
      </c>
      <c r="B227" s="16" t="str">
        <f>IFERROR(__xludf.DUMMYFUNCTION("GOOGLEFINANCE(A227,""name"")"),"Amgen Inc")</f>
        <v>Amgen Inc</v>
      </c>
      <c r="C227" s="47">
        <f>IFERROR(__xludf.DUMMYFUNCTION("GOOGLEFINANCE(A227,""Marketcap"")"),1.79021216528E11)</f>
        <v>179021216528</v>
      </c>
      <c r="D227" s="16">
        <v>75.0</v>
      </c>
      <c r="E227" s="16" t="s">
        <v>5932</v>
      </c>
    </row>
    <row r="228">
      <c r="A228" s="16" t="s">
        <v>287</v>
      </c>
      <c r="B228" s="16" t="str">
        <f>IFERROR(__xludf.DUMMYFUNCTION("GOOGLEFINANCE(A228,""name"")"),"Amphenol Corp")</f>
        <v>Amphenol Corp</v>
      </c>
      <c r="C228" s="47">
        <f>IFERROR(__xludf.DUMMYFUNCTION("GOOGLEFINANCE(A228,""Marketcap"")"),1.57506857518E11)</f>
        <v>157506857518</v>
      </c>
      <c r="D228" s="16">
        <v>75.0</v>
      </c>
      <c r="E228" s="16" t="s">
        <v>5933</v>
      </c>
    </row>
    <row r="229">
      <c r="A229" s="16" t="s">
        <v>451</v>
      </c>
      <c r="B229" s="16" t="str">
        <f>IFERROR(__xludf.DUMMYFUNCTION("GOOGLEFINANCE(A229,""name"")"),"Applied Materials Inc")</f>
        <v>Applied Materials Inc</v>
      </c>
      <c r="C229" s="47">
        <f>IFERROR(__xludf.DUMMYFUNCTION("GOOGLEFINANCE(A229,""Marketcap"")"),3.45569496793E11)</f>
        <v>345569496793</v>
      </c>
      <c r="D229" s="16">
        <v>75.0</v>
      </c>
      <c r="E229" s="16" t="s">
        <v>5934</v>
      </c>
    </row>
    <row r="230">
      <c r="A230" s="16" t="s">
        <v>1357</v>
      </c>
      <c r="B230" s="16" t="str">
        <f>IFERROR(__xludf.DUMMYFUNCTION("GOOGLEFINANCE(A230,""name"")"),"Steel Dynamics Inc")</f>
        <v>Steel Dynamics Inc</v>
      </c>
      <c r="C230" s="47">
        <f>IFERROR(__xludf.DUMMYFUNCTION("GOOGLEFINANCE(A230,""Marketcap"")"),3.390443E10)</f>
        <v>33904430000</v>
      </c>
      <c r="D230" s="16">
        <v>75.0</v>
      </c>
      <c r="E230" s="16" t="s">
        <v>5935</v>
      </c>
    </row>
    <row r="231">
      <c r="A231" s="16" t="s">
        <v>890</v>
      </c>
      <c r="B231" s="16" t="str">
        <f>IFERROR(__xludf.DUMMYFUNCTION("GOOGLEFINANCE(A231,""name"")"),"Biogen Inc")</f>
        <v>Biogen Inc</v>
      </c>
      <c r="C231" s="47">
        <f>IFERROR(__xludf.DUMMYFUNCTION("GOOGLEFINANCE(A231,""Marketcap"")"),2.8560396544E10)</f>
        <v>28560396544</v>
      </c>
      <c r="D231" s="16">
        <v>75.0</v>
      </c>
      <c r="E231" s="16" t="s">
        <v>5936</v>
      </c>
    </row>
    <row r="232">
      <c r="A232" s="16" t="s">
        <v>97</v>
      </c>
      <c r="B232" s="16" t="str">
        <f>IFERROR(__xludf.DUMMYFUNCTION("GOOGLEFINANCE(A232,""name"")"),"Incyte Corp")</f>
        <v>Incyte Corp</v>
      </c>
      <c r="C232" s="47">
        <f>IFERROR(__xludf.DUMMYFUNCTION("GOOGLEFINANCE(A232,""Marketcap"")"),1.9690523288E10)</f>
        <v>19690523288</v>
      </c>
      <c r="D232" s="16">
        <v>75.0</v>
      </c>
      <c r="E232" s="16" t="s">
        <v>5937</v>
      </c>
    </row>
    <row r="233">
      <c r="A233" s="16" t="s">
        <v>1522</v>
      </c>
      <c r="B233" s="16" t="str">
        <f>IFERROR(__xludf.DUMMYFUNCTION("GOOGLEFINANCE(A233,""name"")"),"Corteva Inc")</f>
        <v>Corteva Inc</v>
      </c>
      <c r="C233" s="47">
        <f>IFERROR(__xludf.DUMMYFUNCTION("GOOGLEFINANCE(A233,""Marketcap"")"),5.4261364763E10)</f>
        <v>54261364763</v>
      </c>
      <c r="D233" s="16">
        <v>75.0</v>
      </c>
      <c r="E233" s="16" t="s">
        <v>5938</v>
      </c>
    </row>
    <row r="234">
      <c r="A234" s="16" t="s">
        <v>811</v>
      </c>
      <c r="B234" s="16" t="str">
        <f>IFERROR(__xludf.DUMMYFUNCTION("GOOGLEFINANCE(A234,""name"")"),"Labcorp Holdings Inc")</f>
        <v>Labcorp Holdings Inc</v>
      </c>
      <c r="C234" s="47">
        <f>IFERROR(__xludf.DUMMYFUNCTION("GOOGLEFINANCE(A234,""Marketcap"")"),2.0837839599E10)</f>
        <v>20837839599</v>
      </c>
      <c r="D234" s="16">
        <v>75.0</v>
      </c>
      <c r="E234" s="16" t="s">
        <v>5939</v>
      </c>
    </row>
    <row r="235">
      <c r="A235" s="16" t="s">
        <v>167</v>
      </c>
      <c r="B235" s="16" t="str">
        <f>IFERROR(__xludf.DUMMYFUNCTION("GOOGLEFINANCE(A235,""name"")"),"Las Vegas Sands Corp.")</f>
        <v>Las Vegas Sands Corp.</v>
      </c>
      <c r="C235" s="47">
        <f>IFERROR(__xludf.DUMMYFUNCTION("GOOGLEFINANCE(A235,""Marketcap"")"),3.5192672718E10)</f>
        <v>35192672718</v>
      </c>
      <c r="D235" s="16">
        <v>75.0</v>
      </c>
      <c r="E235" s="16" t="s">
        <v>5940</v>
      </c>
    </row>
    <row r="236">
      <c r="A236" s="16" t="s">
        <v>1089</v>
      </c>
      <c r="B236" s="16" t="str">
        <f>IFERROR(__xludf.DUMMYFUNCTION("GOOGLEFINANCE(A236,""name"")"),"Lennar Corp Class A")</f>
        <v>Lennar Corp Class A</v>
      </c>
      <c r="C236" s="47">
        <f>IFERROR(__xludf.DUMMYFUNCTION("GOOGLEFINANCE(A236,""Marketcap"")"),2.1672118702E10)</f>
        <v>21672118702</v>
      </c>
      <c r="D236" s="16">
        <v>75.0</v>
      </c>
      <c r="E236" s="16" t="s">
        <v>5941</v>
      </c>
    </row>
    <row r="237">
      <c r="A237" s="16" t="s">
        <v>1091</v>
      </c>
      <c r="B237" s="16" t="str">
        <f>IFERROR(__xludf.DUMMYFUNCTION("GOOGLEFINANCE(A237,""name"")"),"Johnson Controls International PLC")</f>
        <v>Johnson Controls International PLC</v>
      </c>
      <c r="C237" s="47">
        <f>IFERROR(__xludf.DUMMYFUNCTION("GOOGLEFINANCE(A237,""Marketcap"")"),8.5123331118E10)</f>
        <v>85123331118</v>
      </c>
      <c r="D237" s="16">
        <v>75.0</v>
      </c>
      <c r="E237" s="16" t="s">
        <v>5942</v>
      </c>
    </row>
    <row r="238">
      <c r="A238" s="16" t="s">
        <v>165</v>
      </c>
      <c r="B238" s="16" t="str">
        <f>IFERROR(__xludf.DUMMYFUNCTION("GOOGLEFINANCE(A238,""name"")"),"Keurig Dr Pepper Inc")</f>
        <v>Keurig Dr Pepper Inc</v>
      </c>
      <c r="C238" s="47">
        <f>IFERROR(__xludf.DUMMYFUNCTION("GOOGLEFINANCE(A238,""Marketcap"")"),3.9224915866E10)</f>
        <v>39224915866</v>
      </c>
      <c r="D238" s="16">
        <v>75.0</v>
      </c>
      <c r="E238" s="16" t="s">
        <v>5943</v>
      </c>
    </row>
    <row r="239">
      <c r="A239" s="16" t="s">
        <v>1462</v>
      </c>
      <c r="B239" s="16" t="str">
        <f>IFERROR(__xludf.DUMMYFUNCTION("GOOGLEFINANCE(A239,""name"")"),"KeyCorp")</f>
        <v>KeyCorp</v>
      </c>
      <c r="C239" s="47">
        <f>IFERROR(__xludf.DUMMYFUNCTION("GOOGLEFINANCE(A239,""Marketcap"")"),2.3419260413E10)</f>
        <v>23419260413</v>
      </c>
      <c r="D239" s="16">
        <v>75.0</v>
      </c>
      <c r="E239" s="16" t="s">
        <v>5944</v>
      </c>
    </row>
    <row r="240">
      <c r="A240" s="16" t="s">
        <v>1273</v>
      </c>
      <c r="B240" s="16" t="str">
        <f>IFERROR(__xludf.DUMMYFUNCTION("GOOGLEFINANCE(A240,""name"")"),"IPD Group Ltd")</f>
        <v>IPD Group Ltd</v>
      </c>
      <c r="C240" s="47">
        <f>IFERROR(__xludf.DUMMYFUNCTION("GOOGLEFINANCE(A240,""Marketcap"")"),6.52995049E8)</f>
        <v>652995049</v>
      </c>
      <c r="D240" s="16">
        <v>75.0</v>
      </c>
      <c r="E240" s="16" t="s">
        <v>5945</v>
      </c>
    </row>
    <row r="241">
      <c r="A241" s="16" t="s">
        <v>1545</v>
      </c>
      <c r="B241" s="16" t="str">
        <f>IFERROR(__xludf.DUMMYFUNCTION("GOOGLEFINANCE(A241,""name"")"),"Federal Realty Investment Trust")</f>
        <v>Federal Realty Investment Trust</v>
      </c>
      <c r="C241" s="47">
        <f>IFERROR(__xludf.DUMMYFUNCTION("GOOGLEFINANCE(A241,""Marketcap"")"),9.993502682E9)</f>
        <v>9993502682</v>
      </c>
      <c r="D241" s="16">
        <v>75.0</v>
      </c>
      <c r="E241" s="16" t="s">
        <v>5946</v>
      </c>
    </row>
    <row r="242">
      <c r="A242" s="16" t="s">
        <v>1083</v>
      </c>
      <c r="B242" s="16" t="str">
        <f>IFERROR(__xludf.DUMMYFUNCTION("GOOGLEFINANCE(A242,""name"")"),"FedEx Corp")</f>
        <v>FedEx Corp</v>
      </c>
      <c r="C242" s="47">
        <f>IFERROR(__xludf.DUMMYFUNCTION("GOOGLEFINANCE(A242,""Marketcap"")"),9.0331721282E10)</f>
        <v>90331721282</v>
      </c>
      <c r="D242" s="16">
        <v>75.0</v>
      </c>
      <c r="E242" s="16" t="s">
        <v>5947</v>
      </c>
    </row>
    <row r="243">
      <c r="A243" s="16" t="s">
        <v>1543</v>
      </c>
      <c r="B243" s="16" t="str">
        <f>IFERROR(__xludf.DUMMYFUNCTION("GOOGLEFINANCE(A243,""name"")"),"FirstEnergy Corp")</f>
        <v>FirstEnergy Corp</v>
      </c>
      <c r="C243" s="47">
        <f>IFERROR(__xludf.DUMMYFUNCTION("GOOGLEFINANCE(A243,""Marketcap"")"),2.5641856155E10)</f>
        <v>25641856155</v>
      </c>
      <c r="D243" s="16">
        <v>75.0</v>
      </c>
      <c r="E243" s="16" t="s">
        <v>5948</v>
      </c>
    </row>
    <row r="244">
      <c r="A244" s="16" t="s">
        <v>1115</v>
      </c>
      <c r="B244" s="16" t="str">
        <f>IFERROR(__xludf.DUMMYFUNCTION("GOOGLEFINANCE(A244,""name"")"),"Exelon Corp")</f>
        <v>Exelon Corp</v>
      </c>
      <c r="C244" s="47">
        <f>IFERROR(__xludf.DUMMYFUNCTION("GOOGLEFINANCE(A244,""Marketcap"")"),4.4929063123E10)</f>
        <v>44929063123</v>
      </c>
      <c r="D244" s="16">
        <v>75.0</v>
      </c>
      <c r="E244" s="16" t="s">
        <v>5949</v>
      </c>
    </row>
    <row r="245">
      <c r="A245" s="16" t="s">
        <v>1208</v>
      </c>
      <c r="B245" s="16" t="str">
        <f>IFERROR(__xludf.DUMMYFUNCTION("GOOGLEFINANCE(A245,""name"")"),"EQT Corp")</f>
        <v>EQT Corp</v>
      </c>
      <c r="C245" s="47">
        <f>IFERROR(__xludf.DUMMYFUNCTION("GOOGLEFINANCE(A245,""Marketcap"")"),3.5001753903E10)</f>
        <v>35001753903</v>
      </c>
      <c r="D245" s="16">
        <v>75.0</v>
      </c>
      <c r="E245" s="16" t="s">
        <v>5950</v>
      </c>
    </row>
    <row r="246">
      <c r="A246" s="16" t="s">
        <v>980</v>
      </c>
      <c r="B246" s="16" t="str">
        <f>IFERROR(__xludf.DUMMYFUNCTION("GOOGLEFINANCE(A246,""name"")"),"Equifax Inc")</f>
        <v>Equifax Inc</v>
      </c>
      <c r="C246" s="47">
        <f>IFERROR(__xludf.DUMMYFUNCTION("GOOGLEFINANCE(A246,""Marketcap"")"),2.093650031E10)</f>
        <v>20936500310</v>
      </c>
      <c r="D246" s="16">
        <v>75.0</v>
      </c>
      <c r="E246" s="16" t="s">
        <v>5951</v>
      </c>
    </row>
    <row r="247">
      <c r="A247" s="16" t="s">
        <v>1204</v>
      </c>
      <c r="B247" s="16" t="str">
        <f>IFERROR(__xludf.DUMMYFUNCTION("GOOGLEFINANCE(A247,""name"")"),"Equity Residential")</f>
        <v>Equity Residential</v>
      </c>
      <c r="C247" s="47">
        <f>IFERROR(__xludf.DUMMYFUNCTION("GOOGLEFINANCE(A247,""Marketcap"")"),2.4555983561E10)</f>
        <v>24555983561</v>
      </c>
      <c r="D247" s="16">
        <v>75.0</v>
      </c>
      <c r="E247" s="16" t="s">
        <v>5952</v>
      </c>
    </row>
    <row r="248">
      <c r="A248" s="16" t="s">
        <v>1535</v>
      </c>
      <c r="B248" s="16" t="str">
        <f>IFERROR(__xludf.DUMMYFUNCTION("GOOGLEFINANCE(A248,""name"")"),"Evergy Inc")</f>
        <v>Evergy Inc</v>
      </c>
      <c r="C248" s="47">
        <f>IFERROR(__xludf.DUMMYFUNCTION("GOOGLEFINANCE(A248,""Marketcap"")"),1.8832633416E10)</f>
        <v>18832633416</v>
      </c>
      <c r="D248" s="16">
        <v>75.0</v>
      </c>
      <c r="E248" s="16" t="s">
        <v>5953</v>
      </c>
    </row>
    <row r="249">
      <c r="A249" s="16" t="s">
        <v>1285</v>
      </c>
      <c r="B249" s="16" t="str">
        <f>IFERROR(__xludf.DUMMYFUNCTION("GOOGLEFINANCE(A249,""name"")"),"Genuine Parts Co")</f>
        <v>Genuine Parts Co</v>
      </c>
      <c r="C249" s="47">
        <f>IFERROR(__xludf.DUMMYFUNCTION("GOOGLEFINANCE(A249,""Marketcap"")"),1.4412037807E10)</f>
        <v>14412037807</v>
      </c>
      <c r="D249" s="16">
        <v>75.0</v>
      </c>
      <c r="E249" s="16" t="s">
        <v>5954</v>
      </c>
    </row>
    <row r="250">
      <c r="A250" s="16" t="s">
        <v>130</v>
      </c>
      <c r="B250" s="16" t="str">
        <f>IFERROR(__xludf.DUMMYFUNCTION("GOOGLEFINANCE(A250,""name"")"),"Gilead Sciences, Inc")</f>
        <v>Gilead Sciences, Inc</v>
      </c>
      <c r="C250" s="47">
        <f>IFERROR(__xludf.DUMMYFUNCTION("GOOGLEFINANCE(A250,""Marketcap"")"),1.63009556202E11)</f>
        <v>163009556202</v>
      </c>
      <c r="D250" s="16">
        <v>75.0</v>
      </c>
      <c r="E250" s="16" t="s">
        <v>5955</v>
      </c>
    </row>
    <row r="251">
      <c r="A251" s="16" t="s">
        <v>1221</v>
      </c>
      <c r="B251" s="16" t="str">
        <f>IFERROR(__xludf.DUMMYFUNCTION("GOOGLEFINANCE(A251,""name"")"),"Fortive Corp")</f>
        <v>Fortive Corp</v>
      </c>
      <c r="C251" s="47">
        <f>IFERROR(__xludf.DUMMYFUNCTION("GOOGLEFINANCE(A251,""Marketcap"")"),1.8422750323E10)</f>
        <v>18422750323</v>
      </c>
      <c r="D251" s="16">
        <v>75.0</v>
      </c>
      <c r="E251" s="16" t="s">
        <v>5956</v>
      </c>
    </row>
    <row r="252">
      <c r="A252" s="16" t="s">
        <v>1117</v>
      </c>
      <c r="B252" s="16" t="str">
        <f>IFERROR(__xludf.DUMMYFUNCTION("GOOGLEFINANCE(A252,""name"")"),"Fox Corp Class B")</f>
        <v>Fox Corp Class B</v>
      </c>
      <c r="C252" s="47">
        <f>IFERROR(__xludf.DUMMYFUNCTION("GOOGLEFINANCE(A252,""Marketcap"")"),2.5377967612E10)</f>
        <v>25377967612</v>
      </c>
      <c r="D252" s="16">
        <v>75.0</v>
      </c>
      <c r="E252" s="16" t="s">
        <v>5957</v>
      </c>
    </row>
    <row r="253">
      <c r="A253" s="16" t="s">
        <v>1385</v>
      </c>
      <c r="B253" s="16" t="str">
        <f>IFERROR(__xludf.DUMMYFUNCTION("GOOGLEFINANCE(A253,""name"")"),"Kimco Realty Corp")</f>
        <v>Kimco Realty Corp</v>
      </c>
      <c r="C253" s="47">
        <f>IFERROR(__xludf.DUMMYFUNCTION("GOOGLEFINANCE(A253,""Marketcap"")"),1.5834669847E10)</f>
        <v>15834669847</v>
      </c>
      <c r="D253" s="16">
        <v>75.0</v>
      </c>
      <c r="E253" s="16" t="s">
        <v>5958</v>
      </c>
    </row>
    <row r="254">
      <c r="A254" s="16" t="s">
        <v>169</v>
      </c>
      <c r="B254" s="16" t="str">
        <f>IFERROR(__xludf.DUMMYFUNCTION("GOOGLEFINANCE(A254,""name"")"),"Kroger Co")</f>
        <v>Kroger Co</v>
      </c>
      <c r="C254" s="47">
        <f>IFERROR(__xludf.DUMMYFUNCTION("GOOGLEFINANCE(A254,""Marketcap"")"),4.0209455446E10)</f>
        <v>40209455446</v>
      </c>
      <c r="D254" s="16">
        <v>75.0</v>
      </c>
      <c r="E254" s="16" t="s">
        <v>5959</v>
      </c>
    </row>
    <row r="255">
      <c r="A255" s="16" t="s">
        <v>1468</v>
      </c>
      <c r="B255" s="16" t="str">
        <f>IFERROR(__xludf.DUMMYFUNCTION("GOOGLEFINANCE(A255,""name"")"),"Sempra")</f>
        <v>Sempra</v>
      </c>
      <c r="C255" s="47">
        <f>IFERROR(__xludf.DUMMYFUNCTION("GOOGLEFINANCE(A255,""Marketcap"")"),5.9800593828E10)</f>
        <v>59800593828</v>
      </c>
      <c r="D255" s="16">
        <v>75.0</v>
      </c>
      <c r="E255" s="16" t="s">
        <v>5960</v>
      </c>
    </row>
    <row r="256">
      <c r="A256" s="16" t="s">
        <v>1030</v>
      </c>
      <c r="B256" s="16" t="str">
        <f>IFERROR(__xludf.DUMMYFUNCTION("GOOGLEFINANCE(A256,""name"")"),"Regions Financial Corp")</f>
        <v>Regions Financial Corp</v>
      </c>
      <c r="C256" s="47">
        <f>IFERROR(__xludf.DUMMYFUNCTION("GOOGLEFINANCE(A256,""Marketcap"")"),2.3604755889E10)</f>
        <v>23604755889</v>
      </c>
      <c r="D256" s="16">
        <v>75.0</v>
      </c>
      <c r="E256" s="16" t="s">
        <v>5961</v>
      </c>
    </row>
    <row r="257">
      <c r="A257" s="16" t="s">
        <v>277</v>
      </c>
      <c r="B257" s="16" t="str">
        <f>IFERROR(__xludf.DUMMYFUNCTION("GOOGLEFINANCE(A257,""name"")"),"Royal Caribbean Cruises Ltd")</f>
        <v>Royal Caribbean Cruises Ltd</v>
      </c>
      <c r="C257" s="47">
        <f>IFERROR(__xludf.DUMMYFUNCTION("GOOGLEFINANCE(A257,""Marketcap"")"),7.3817961656E10)</f>
        <v>73817961656</v>
      </c>
      <c r="D257" s="16">
        <v>75.0</v>
      </c>
      <c r="E257" s="16" t="s">
        <v>5962</v>
      </c>
    </row>
    <row r="258">
      <c r="A258" s="16" t="s">
        <v>359</v>
      </c>
      <c r="B258" s="16" t="str">
        <f>IFERROR(__xludf.DUMMYFUNCTION("GOOGLEFINANCE(A258,""name"")"),"Quanta Services Inc")</f>
        <v>Quanta Services Inc</v>
      </c>
      <c r="C258" s="47">
        <f>IFERROR(__xludf.DUMMYFUNCTION("GOOGLEFINANCE(A258,""Marketcap"")"),1.11794849E11)</f>
        <v>111794849000</v>
      </c>
      <c r="D258" s="16">
        <v>75.0</v>
      </c>
      <c r="E258" s="16" t="s">
        <v>5963</v>
      </c>
    </row>
    <row r="259">
      <c r="A259" s="16" t="s">
        <v>1611</v>
      </c>
      <c r="B259" s="16" t="str">
        <f>IFERROR(__xludf.DUMMYFUNCTION("GOOGLEFINANCE(A259,""name"")"),"Ralph Lauren Corp")</f>
        <v>Ralph Lauren Corp</v>
      </c>
      <c r="C259" s="47">
        <f>IFERROR(__xludf.DUMMYFUNCTION("GOOGLEFINANCE(A259,""Marketcap"")"),2.1699276903E10)</f>
        <v>21699276903</v>
      </c>
      <c r="D259" s="16">
        <v>75.0</v>
      </c>
      <c r="E259" s="16" t="s">
        <v>5964</v>
      </c>
    </row>
    <row r="260">
      <c r="A260" s="16" t="s">
        <v>1177</v>
      </c>
      <c r="B260" s="16" t="str">
        <f>IFERROR(__xludf.DUMMYFUNCTION("GOOGLEFINANCE(A260,""name"")"),"Raymond James Financial Inc")</f>
        <v>Raymond James Financial Inc</v>
      </c>
      <c r="C260" s="47">
        <f>IFERROR(__xludf.DUMMYFUNCTION("GOOGLEFINANCE(A260,""Marketcap"")"),3.0076293746E10)</f>
        <v>30076293746</v>
      </c>
      <c r="D260" s="16">
        <v>75.0</v>
      </c>
      <c r="E260" s="16" t="s">
        <v>5965</v>
      </c>
    </row>
    <row r="261">
      <c r="A261" s="16" t="s">
        <v>1608</v>
      </c>
      <c r="B261" s="16" t="str">
        <f>IFERROR(__xludf.DUMMYFUNCTION("GOOGLEFINANCE(A261,""name"")"),"Regency Centers Corp")</f>
        <v>Regency Centers Corp</v>
      </c>
      <c r="C261" s="47">
        <f>IFERROR(__xludf.DUMMYFUNCTION("GOOGLEFINANCE(A261,""Marketcap"")"),1.4206480041E10)</f>
        <v>14206480041</v>
      </c>
      <c r="D261" s="16">
        <v>75.0</v>
      </c>
      <c r="E261" s="16" t="s">
        <v>5966</v>
      </c>
    </row>
    <row r="262">
      <c r="A262" s="16" t="s">
        <v>1248</v>
      </c>
      <c r="B262" s="16" t="str">
        <f>IFERROR(__xludf.DUMMYFUNCTION("GOOGLEFINANCE(A262,""name"")"),"PPL Corp")</f>
        <v>PPL Corp</v>
      </c>
      <c r="C262" s="47">
        <f>IFERROR(__xludf.DUMMYFUNCTION("GOOGLEFINANCE(A262,""Marketcap"")"),2.7010245035E10)</f>
        <v>27010245035</v>
      </c>
      <c r="D262" s="16">
        <v>75.0</v>
      </c>
      <c r="E262" s="16" t="s">
        <v>5967</v>
      </c>
    </row>
    <row r="263">
      <c r="A263" s="16" t="s">
        <v>1605</v>
      </c>
      <c r="B263" s="16" t="str">
        <f>IFERROR(__xludf.DUMMYFUNCTION("GOOGLEFINANCE(A263,""name"")"),"Prudential Financial Inc")</f>
        <v>Prudential Financial Inc</v>
      </c>
      <c r="C263" s="47">
        <f>IFERROR(__xludf.DUMMYFUNCTION("GOOGLEFINANCE(A263,""Marketcap"")"),3.4981069152E10)</f>
        <v>34981069152</v>
      </c>
      <c r="D263" s="16">
        <v>75.0</v>
      </c>
      <c r="E263" s="16" t="s">
        <v>5968</v>
      </c>
    </row>
    <row r="264">
      <c r="A264" s="16" t="s">
        <v>1601</v>
      </c>
      <c r="B264" s="16" t="str">
        <f>IFERROR(__xludf.DUMMYFUNCTION("GOOGLEFINANCE(A264,""name"")"),"Public Service Enterprise Group Inc")</f>
        <v>Public Service Enterprise Group Inc</v>
      </c>
      <c r="C264" s="47">
        <f>IFERROR(__xludf.DUMMYFUNCTION("GOOGLEFINANCE(A264,""Marketcap"")"),3.8435528213E10)</f>
        <v>38435528213</v>
      </c>
      <c r="D264" s="16">
        <v>75.0</v>
      </c>
      <c r="E264" s="16" t="s">
        <v>5969</v>
      </c>
    </row>
    <row r="265">
      <c r="A265" s="16" t="s">
        <v>1107</v>
      </c>
      <c r="B265" s="16" t="str">
        <f>IFERROR(__xludf.DUMMYFUNCTION("GOOGLEFINANCE(A265,""name"")"),"Huntington Bancshares Inc")</f>
        <v>Huntington Bancshares Inc</v>
      </c>
      <c r="C265" s="47">
        <f>IFERROR(__xludf.DUMMYFUNCTION("GOOGLEFINANCE(A265,""Marketcap"")"),3.2677337301E10)</f>
        <v>32677337301</v>
      </c>
      <c r="D265" s="16">
        <v>75.0</v>
      </c>
      <c r="E265" s="16" t="s">
        <v>5970</v>
      </c>
    </row>
    <row r="266">
      <c r="A266" s="16" t="s">
        <v>101</v>
      </c>
      <c r="B266" s="16" t="str">
        <f>IFERROR(__xludf.DUMMYFUNCTION("GOOGLEFINANCE(A266,""name"")"),"Huntington Ingalls Industries Inc")</f>
        <v>Huntington Ingalls Industries Inc</v>
      </c>
      <c r="C266" s="47">
        <f>IFERROR(__xludf.DUMMYFUNCTION("GOOGLEFINANCE(A266,""Marketcap"")"),1.2462709723E10)</f>
        <v>12462709723</v>
      </c>
      <c r="D266" s="16">
        <v>75.0</v>
      </c>
      <c r="E266" s="16" t="s">
        <v>5971</v>
      </c>
    </row>
    <row r="267">
      <c r="A267" s="16" t="s">
        <v>1435</v>
      </c>
      <c r="B267" s="16" t="str">
        <f>IFERROR(__xludf.DUMMYFUNCTION("GOOGLEFINANCE(A267,""name"")"),"Healthpeak Properties Inc")</f>
        <v>Healthpeak Properties Inc</v>
      </c>
      <c r="C267" s="47">
        <f>IFERROR(__xludf.DUMMYFUNCTION("GOOGLEFINANCE(A267,""Marketcap"")"),1.3540200523E10)</f>
        <v>13540200523</v>
      </c>
      <c r="D267" s="16">
        <v>75.0</v>
      </c>
      <c r="E267" s="16" t="s">
        <v>5972</v>
      </c>
    </row>
    <row r="268">
      <c r="A268" s="16" t="s">
        <v>997</v>
      </c>
      <c r="B268" s="16" t="str">
        <f>IFERROR(__xludf.DUMMYFUNCTION("GOOGLEFINANCE(A268,""name"")"),"GE HealthCare Technologies Inc")</f>
        <v>GE HealthCare Technologies Inc</v>
      </c>
      <c r="C268" s="47">
        <f>IFERROR(__xludf.DUMMYFUNCTION("GOOGLEFINANCE(A268,""Marketcap"")"),2.8871976754E10)</f>
        <v>28871976754</v>
      </c>
      <c r="D268" s="16">
        <v>75.0</v>
      </c>
      <c r="E268" s="16" t="s">
        <v>5973</v>
      </c>
    </row>
    <row r="269">
      <c r="A269" s="16" t="s">
        <v>22</v>
      </c>
      <c r="B269" s="16" t="str">
        <f>IFERROR(__xludf.DUMMYFUNCTION("GOOGLEFINANCE(A269,""name"")"),"General Dynamics Corp")</f>
        <v>General Dynamics Corp</v>
      </c>
      <c r="C269" s="47">
        <f>IFERROR(__xludf.DUMMYFUNCTION("GOOGLEFINANCE(A269,""Marketcap"")"),9.3712142222E10)</f>
        <v>93712142222</v>
      </c>
      <c r="D269" s="16">
        <v>75.0</v>
      </c>
      <c r="E269" s="16" t="s">
        <v>5974</v>
      </c>
    </row>
    <row r="270">
      <c r="A270" s="16" t="s">
        <v>972</v>
      </c>
      <c r="B270" s="16" t="str">
        <f>IFERROR(__xludf.DUMMYFUNCTION("GOOGLEFINANCE(A270,""name"")"),"Molina Healthcare Inc")</f>
        <v>Molina Healthcare Inc</v>
      </c>
      <c r="C270" s="47">
        <f>IFERROR(__xludf.DUMMYFUNCTION("GOOGLEFINANCE(A270,""Marketcap"")"),9.687474127E9)</f>
        <v>9687474127</v>
      </c>
      <c r="D270" s="16">
        <v>75.0</v>
      </c>
      <c r="E270" s="16" t="s">
        <v>5975</v>
      </c>
    </row>
    <row r="271">
      <c r="A271" s="16" t="s">
        <v>1258</v>
      </c>
      <c r="B271" s="16" t="str">
        <f>IFERROR(__xludf.DUMMYFUNCTION("GOOGLEFINANCE(A271,""name"")"),"CenterPoint Energy Inc")</f>
        <v>CenterPoint Energy Inc</v>
      </c>
      <c r="C271" s="47">
        <f>IFERROR(__xludf.DUMMYFUNCTION("GOOGLEFINANCE(A271,""Marketcap"")"),2.7291952338E10)</f>
        <v>27291952338</v>
      </c>
      <c r="D271" s="16">
        <v>75.0</v>
      </c>
      <c r="E271" s="16" t="s">
        <v>5976</v>
      </c>
    </row>
    <row r="272">
      <c r="A272" s="16" t="s">
        <v>1032</v>
      </c>
      <c r="B272" s="16" t="str">
        <f>IFERROR(__xludf.DUMMYFUNCTION("GOOGLEFINANCE(A272,""name"")"),"Cardinal Health Inc")</f>
        <v>Cardinal Health Inc</v>
      </c>
      <c r="C272" s="47">
        <f>IFERROR(__xludf.DUMMYFUNCTION("GOOGLEFINANCE(A272,""Marketcap"")"),4.301189374E10)</f>
        <v>43011893740</v>
      </c>
      <c r="D272" s="16">
        <v>75.0</v>
      </c>
      <c r="E272" s="16" t="s">
        <v>5977</v>
      </c>
    </row>
    <row r="273">
      <c r="A273" s="16" t="s">
        <v>1505</v>
      </c>
      <c r="B273" s="16" t="str">
        <f>IFERROR(__xludf.DUMMYFUNCTION("GOOGLEFINANCE(A273,""name"")"),"Broadridge Financial Solutions Inc")</f>
        <v>Broadridge Financial Solutions Inc</v>
      </c>
      <c r="C273" s="47">
        <f>IFERROR(__xludf.DUMMYFUNCTION("GOOGLEFINANCE(A273,""Marketcap"")"),1.729091585E10)</f>
        <v>17290915850</v>
      </c>
      <c r="D273" s="16">
        <v>75.0</v>
      </c>
      <c r="E273" s="16" t="s">
        <v>5978</v>
      </c>
    </row>
    <row r="274">
      <c r="A274" s="16" t="s">
        <v>968</v>
      </c>
      <c r="B274" s="16" t="str">
        <f>IFERROR(__xludf.DUMMYFUNCTION("GOOGLEFINANCE(A274,""name"")"),"Ecolab Inc")</f>
        <v>Ecolab Inc</v>
      </c>
      <c r="C274" s="47">
        <f>IFERROR(__xludf.DUMMYFUNCTION("GOOGLEFINANCE(A274,""Marketcap"")"),7.1797753358E10)</f>
        <v>71797753358</v>
      </c>
      <c r="D274" s="16">
        <v>75.0</v>
      </c>
      <c r="E274" s="16" t="s">
        <v>5979</v>
      </c>
    </row>
    <row r="275">
      <c r="A275" s="16" t="s">
        <v>1439</v>
      </c>
      <c r="B275" s="16" t="str">
        <f>IFERROR(__xludf.DUMMYFUNCTION("GOOGLEFINANCE(A275,""name"")"),"Edison International")</f>
        <v>Edison International</v>
      </c>
      <c r="C275" s="47">
        <f>IFERROR(__xludf.DUMMYFUNCTION("GOOGLEFINANCE(A275,""Marketcap"")"),2.653153823E10)</f>
        <v>26531538230</v>
      </c>
      <c r="D275" s="16">
        <v>75.0</v>
      </c>
      <c r="E275" s="16" t="s">
        <v>5980</v>
      </c>
    </row>
    <row r="276">
      <c r="A276" s="16" t="s">
        <v>1533</v>
      </c>
      <c r="B276" s="16" t="str">
        <f>IFERROR(__xludf.DUMMYFUNCTION("GOOGLEFINANCE(A276,""name"")"),"Entergy Corp")</f>
        <v>Entergy Corp</v>
      </c>
      <c r="C276" s="47">
        <f>IFERROR(__xludf.DUMMYFUNCTION("GOOGLEFINANCE(A276,""Marketcap"")"),5.1095586335E10)</f>
        <v>51095586335</v>
      </c>
      <c r="D276" s="16">
        <v>75.0</v>
      </c>
      <c r="E276" s="16" t="s">
        <v>5981</v>
      </c>
    </row>
    <row r="277">
      <c r="A277" s="16" t="s">
        <v>919</v>
      </c>
      <c r="B277" s="16" t="str">
        <f>IFERROR(__xludf.DUMMYFUNCTION("GOOGLEFINANCE(A277,""name"")"),"EOG Resources Inc")</f>
        <v>EOG Resources Inc</v>
      </c>
      <c r="C277" s="47">
        <f>IFERROR(__xludf.DUMMYFUNCTION("GOOGLEFINANCE(A277,""Marketcap"")"),6.9257683204E10)</f>
        <v>69257683204</v>
      </c>
      <c r="D277" s="16">
        <v>75.0</v>
      </c>
      <c r="E277" s="16" t="s">
        <v>5982</v>
      </c>
    </row>
    <row r="278">
      <c r="A278" s="16" t="s">
        <v>1555</v>
      </c>
      <c r="B278" s="16" t="str">
        <f>IFERROR(__xludf.DUMMYFUNCTION("GOOGLEFINANCE(A278,""name"")"),"Howmet Aerospace Inc")</f>
        <v>Howmet Aerospace Inc</v>
      </c>
      <c r="C278" s="47">
        <f>IFERROR(__xludf.DUMMYFUNCTION("GOOGLEFINANCE(A278,""Marketcap"")"),1.08417070637E11)</f>
        <v>108417070637</v>
      </c>
      <c r="D278" s="16">
        <v>75.0</v>
      </c>
      <c r="E278" s="16" t="s">
        <v>5983</v>
      </c>
    </row>
    <row r="279">
      <c r="A279" s="16" t="s">
        <v>1157</v>
      </c>
      <c r="B279" s="16" t="str">
        <f>IFERROR(__xludf.DUMMYFUNCTION("GOOGLEFINANCE(A279,""name"")"),"Builders FirstSource, Inc.")</f>
        <v>Builders FirstSource, Inc.</v>
      </c>
      <c r="C279" s="47">
        <f>IFERROR(__xludf.DUMMYFUNCTION("GOOGLEFINANCE(A279,""Marketcap"")"),8.325128684E9)</f>
        <v>8325128684</v>
      </c>
      <c r="D279" s="16">
        <v>75.0</v>
      </c>
      <c r="E279" s="16" t="s">
        <v>5984</v>
      </c>
    </row>
    <row r="280">
      <c r="A280" s="16" t="s">
        <v>1406</v>
      </c>
      <c r="B280" s="16" t="str">
        <f>IFERROR(__xludf.DUMMYFUNCTION("GOOGLEFINANCE(A280,""name"")"),"Caesars Entertainment Inc")</f>
        <v>Caesars Entertainment Inc</v>
      </c>
      <c r="C280" s="47">
        <f>IFERROR(__xludf.DUMMYFUNCTION("GOOGLEFINANCE(A280,""Marketcap"")"),5.711100462E9)</f>
        <v>5711100462</v>
      </c>
      <c r="D280" s="16">
        <v>75.0</v>
      </c>
      <c r="E280" s="16" t="s">
        <v>5985</v>
      </c>
    </row>
    <row r="281">
      <c r="A281" s="16" t="s">
        <v>1391</v>
      </c>
      <c r="B281" s="16" t="str">
        <f>IFERROR(__xludf.DUMMYFUNCTION("GOOGLEFINANCE(A281,""name"")"),"Dollar Tree Inc")</f>
        <v>Dollar Tree Inc</v>
      </c>
      <c r="C281" s="47">
        <f>IFERROR(__xludf.DUMMYFUNCTION("GOOGLEFINANCE(A281,""Marketcap"")"),1.835092128E10)</f>
        <v>18350921280</v>
      </c>
      <c r="D281" s="16">
        <v>75.0</v>
      </c>
      <c r="E281" s="16" t="s">
        <v>5986</v>
      </c>
    </row>
    <row r="282">
      <c r="A282" s="16" t="s">
        <v>217</v>
      </c>
      <c r="B282" s="16" t="str">
        <f>IFERROR(__xludf.DUMMYFUNCTION("GOOGLEFINANCE(A282,""name"")"),"Dominion Energy Inc")</f>
        <v>Dominion Energy Inc</v>
      </c>
      <c r="C282" s="47">
        <f>IFERROR(__xludf.DUMMYFUNCTION("GOOGLEFINANCE(A282,""Marketcap"")"),5.4429494169E10)</f>
        <v>54429494169</v>
      </c>
      <c r="D282" s="16">
        <v>75.0</v>
      </c>
      <c r="E282" s="16" t="s">
        <v>5987</v>
      </c>
    </row>
    <row r="283">
      <c r="A283" s="16" t="s">
        <v>1336</v>
      </c>
      <c r="B283" s="16" t="str">
        <f>IFERROR(__xludf.DUMMYFUNCTION("GOOGLEFINANCE(A283,""name"")"),"Dover Corp")</f>
        <v>Dover Corp</v>
      </c>
      <c r="C283" s="47">
        <f>IFERROR(__xludf.DUMMYFUNCTION("GOOGLEFINANCE(A283,""Marketcap"")"),2.9602615808E10)</f>
        <v>29602615808</v>
      </c>
      <c r="D283" s="16">
        <v>75.0</v>
      </c>
      <c r="E283" s="16" t="s">
        <v>5988</v>
      </c>
    </row>
    <row r="284">
      <c r="A284" s="16" t="s">
        <v>1191</v>
      </c>
      <c r="B284" s="16" t="str">
        <f>IFERROR(__xludf.DUMMYFUNCTION("GOOGLEFINANCE(A284,""name"")"),"DTE Energy Co")</f>
        <v>DTE Energy Co</v>
      </c>
      <c r="C284" s="47">
        <f>IFERROR(__xludf.DUMMYFUNCTION("GOOGLEFINANCE(A284,""Marketcap"")"),2.9248780249E10)</f>
        <v>29248780249</v>
      </c>
      <c r="D284" s="16">
        <v>75.0</v>
      </c>
      <c r="E284" s="16" t="s">
        <v>5989</v>
      </c>
    </row>
    <row r="285">
      <c r="A285" s="16" t="s">
        <v>917</v>
      </c>
      <c r="B285" s="16" t="str">
        <f>IFERROR(__xludf.DUMMYFUNCTION("GOOGLEFINANCE(A285,""name"")"),"Eastman Chemical Co")</f>
        <v>Eastman Chemical Co</v>
      </c>
      <c r="C285" s="47">
        <f>IFERROR(__xludf.DUMMYFUNCTION("GOOGLEFINANCE(A285,""Marketcap"")"),8.421870309E9)</f>
        <v>8421870309</v>
      </c>
      <c r="D285" s="16">
        <v>75.0</v>
      </c>
      <c r="E285" s="16" t="s">
        <v>5990</v>
      </c>
    </row>
    <row r="286">
      <c r="A286" s="16" t="s">
        <v>342</v>
      </c>
      <c r="B286" s="16" t="str">
        <f>IFERROR(__xludf.DUMMYFUNCTION("GOOGLEFINANCE(A286,""name"")"),"CVS Health Corp")</f>
        <v>CVS Health Corp</v>
      </c>
      <c r="C286" s="47">
        <f>IFERROR(__xludf.DUMMYFUNCTION("GOOGLEFINANCE(A286,""Marketcap"")"),1.15535193743E11)</f>
        <v>115535193743</v>
      </c>
      <c r="D286" s="16">
        <v>75.0</v>
      </c>
      <c r="E286" s="16" t="s">
        <v>5991</v>
      </c>
    </row>
    <row r="287">
      <c r="A287" s="16" t="s">
        <v>197</v>
      </c>
      <c r="B287" s="16" t="str">
        <f>IFERROR(__xludf.DUMMYFUNCTION("GOOGLEFINANCE(A287,""name"")"),"Danaher Corp")</f>
        <v>Danaher Corp</v>
      </c>
      <c r="C287" s="47">
        <f>IFERROR(__xludf.DUMMYFUNCTION("GOOGLEFINANCE(A287,""Marketcap"")"),1.21142018487E11)</f>
        <v>121142018487</v>
      </c>
      <c r="D287" s="16">
        <v>75.0</v>
      </c>
      <c r="E287" s="16" t="s">
        <v>5992</v>
      </c>
    </row>
    <row r="288">
      <c r="A288" s="16" t="s">
        <v>902</v>
      </c>
      <c r="B288" s="16" t="str">
        <f>IFERROR(__xludf.DUMMYFUNCTION("GOOGLEFINANCE(A288,""name"")"),"Devon Energy Corp")</f>
        <v>Devon Energy Corp</v>
      </c>
      <c r="C288" s="47">
        <f>IFERROR(__xludf.DUMMYFUNCTION("GOOGLEFINANCE(A288,""Marketcap"")"),2.8342049818E10)</f>
        <v>28342049818</v>
      </c>
      <c r="D288" s="16">
        <v>75.0</v>
      </c>
      <c r="E288" s="16" t="s">
        <v>5993</v>
      </c>
    </row>
    <row r="289">
      <c r="A289" s="16" t="s">
        <v>1580</v>
      </c>
      <c r="B289" s="16" t="str">
        <f>IFERROR(__xludf.DUMMYFUNCTION("GOOGLEFINANCE(A289,""name"")"),"McDonald's Corp")</f>
        <v>McDonald's Corp</v>
      </c>
      <c r="C289" s="47">
        <f>IFERROR(__xludf.DUMMYFUNCTION("GOOGLEFINANCE(A289,""Marketcap"")"),1.960107107E11)</f>
        <v>196010710700</v>
      </c>
      <c r="D289" s="16">
        <v>75.0</v>
      </c>
      <c r="E289" s="16" t="s">
        <v>5994</v>
      </c>
    </row>
    <row r="290">
      <c r="A290" s="16" t="s">
        <v>46</v>
      </c>
      <c r="B290" s="16" t="str">
        <f>IFERROR(__xludf.DUMMYFUNCTION("GOOGLEFINANCE(A290,""name"")"),"Meta Platforms Inc")</f>
        <v>Meta Platforms Inc</v>
      </c>
      <c r="C290" s="47">
        <f>IFERROR(__xludf.DUMMYFUNCTION("GOOGLEFINANCE(A290,""Marketcap"")"),1.547498825884E12)</f>
        <v>1547498825884</v>
      </c>
      <c r="D290" s="16">
        <v>75.0</v>
      </c>
      <c r="E290" s="16" t="s">
        <v>5995</v>
      </c>
    </row>
    <row r="291">
      <c r="A291" s="16" t="s">
        <v>900</v>
      </c>
      <c r="B291" s="16" t="str">
        <f>IFERROR(__xludf.DUMMYFUNCTION("GOOGLEFINANCE(A291,""name"")"),"Metlife Inc")</f>
        <v>Metlife Inc</v>
      </c>
      <c r="C291" s="47">
        <f>IFERROR(__xludf.DUMMYFUNCTION("GOOGLEFINANCE(A291,""Marketcap"")"),5.0376053789E10)</f>
        <v>50376053789</v>
      </c>
      <c r="D291" s="16">
        <v>75.0</v>
      </c>
      <c r="E291" s="16" t="s">
        <v>5996</v>
      </c>
    </row>
    <row r="292">
      <c r="A292" s="16" t="s">
        <v>1345</v>
      </c>
      <c r="B292" s="16" t="str">
        <f>IFERROR(__xludf.DUMMYFUNCTION("GOOGLEFINANCE(A292,""name"")"),"MGM Resorts International")</f>
        <v>MGM Resorts International</v>
      </c>
      <c r="C292" s="47">
        <f>IFERROR(__xludf.DUMMYFUNCTION("GOOGLEFINANCE(A292,""Marketcap"")"),9.924468282E9)</f>
        <v>9924468282</v>
      </c>
      <c r="D292" s="16">
        <v>75.0</v>
      </c>
      <c r="E292" s="16" t="s">
        <v>5997</v>
      </c>
    </row>
    <row r="293">
      <c r="A293" s="16" t="s">
        <v>3782</v>
      </c>
      <c r="B293" s="16" t="str">
        <f>IFERROR(__xludf.DUMMYFUNCTION("GOOGLEFINANCE(A293,""name"")"),"Melrose Industries PLC")</f>
        <v>Melrose Industries PLC</v>
      </c>
      <c r="C293" s="47">
        <f>IFERROR(__xludf.DUMMYFUNCTION("GOOGLEFINANCE(A293,""Marketcap"")"),6.3389022E9)</f>
        <v>6338902200</v>
      </c>
      <c r="D293" s="16">
        <v>75.0</v>
      </c>
      <c r="E293" s="16" t="s">
        <v>5998</v>
      </c>
    </row>
    <row r="294">
      <c r="A294" s="16" t="s">
        <v>1266</v>
      </c>
      <c r="B294" s="16" t="str">
        <f>IFERROR(__xludf.DUMMYFUNCTION("GOOGLEFINANCE(A294,""name"")"),"Masco Corp")</f>
        <v>Masco Corp</v>
      </c>
      <c r="C294" s="47">
        <f>IFERROR(__xludf.DUMMYFUNCTION("GOOGLEFINANCE(A294,""Marketcap"")"),1.4472425425E10)</f>
        <v>14472425425</v>
      </c>
      <c r="D294" s="16">
        <v>75.0</v>
      </c>
      <c r="E294" s="16" t="s">
        <v>5999</v>
      </c>
    </row>
    <row r="295">
      <c r="A295" s="16" t="s">
        <v>163</v>
      </c>
      <c r="B295" s="16" t="str">
        <f>IFERROR(__xludf.DUMMYFUNCTION("GOOGLEFINANCE(A295,""name"")"),"Live Nation Entertainment Inc")</f>
        <v>Live Nation Entertainment Inc</v>
      </c>
      <c r="C295" s="47">
        <f>IFERROR(__xludf.DUMMYFUNCTION("GOOGLEFINANCE(A295,""Marketcap"")"),3.7997329371E10)</f>
        <v>37997329371</v>
      </c>
      <c r="D295" s="16">
        <v>75.0</v>
      </c>
      <c r="E295" s="16" t="s">
        <v>6000</v>
      </c>
    </row>
    <row r="296">
      <c r="A296" s="16" t="s">
        <v>168</v>
      </c>
      <c r="B296" s="16" t="str">
        <f>IFERROR(__xludf.DUMMYFUNCTION("GOOGLEFINANCE(A296,""name"")"),"LKQ Corp")</f>
        <v>LKQ Corp</v>
      </c>
      <c r="C296" s="47">
        <f>IFERROR(__xludf.DUMMYFUNCTION("GOOGLEFINANCE(A296,""Marketcap"")"),7.360906056E9)</f>
        <v>7360906056</v>
      </c>
      <c r="D296" s="16">
        <v>75.0</v>
      </c>
      <c r="E296" s="16" t="s">
        <v>6001</v>
      </c>
    </row>
    <row r="297">
      <c r="A297" s="16" t="s">
        <v>1311</v>
      </c>
      <c r="B297" s="16" t="str">
        <f>IFERROR(__xludf.DUMMYFUNCTION("GOOGLEFINANCE(A297,""name"")"),"Loews Corp")</f>
        <v>Loews Corp</v>
      </c>
      <c r="C297" s="47">
        <f>IFERROR(__xludf.DUMMYFUNCTION("GOOGLEFINANCE(A297,""Marketcap"")"),2.15028396E10)</f>
        <v>21502839600</v>
      </c>
      <c r="D297" s="16">
        <v>75.0</v>
      </c>
      <c r="E297" s="16" t="s">
        <v>6002</v>
      </c>
    </row>
    <row r="298">
      <c r="A298" s="16" t="s">
        <v>1307</v>
      </c>
      <c r="B298" s="16" t="str">
        <f>IFERROR(__xludf.DUMMYFUNCTION("GOOGLEFINANCE(A298,""name"")"),"Alliant Energy Corp")</f>
        <v>Alliant Energy Corp</v>
      </c>
      <c r="C298" s="47">
        <f>IFERROR(__xludf.DUMMYFUNCTION("GOOGLEFINANCE(A298,""Marketcap"")"),1.8533958071E10)</f>
        <v>18533958071</v>
      </c>
      <c r="D298" s="16">
        <v>75.0</v>
      </c>
      <c r="E298" s="16" t="s">
        <v>6003</v>
      </c>
    </row>
    <row r="299">
      <c r="A299" s="16" t="s">
        <v>1582</v>
      </c>
      <c r="B299" s="16" t="str">
        <f>IFERROR(__xludf.DUMMYFUNCTION("GOOGLEFINANCE(A299,""name"")"),"Altria Group Inc")</f>
        <v>Altria Group Inc</v>
      </c>
      <c r="C299" s="47">
        <f>IFERROR(__xludf.DUMMYFUNCTION("GOOGLEFINANCE(A299,""Marketcap"")"),1.13752979506E11)</f>
        <v>113752979506</v>
      </c>
      <c r="D299" s="16">
        <v>75.0</v>
      </c>
      <c r="E299" s="16" t="s">
        <v>6004</v>
      </c>
    </row>
    <row r="300">
      <c r="A300" s="16" t="s">
        <v>1231</v>
      </c>
      <c r="B300" s="16" t="str">
        <f>IFERROR(__xludf.DUMMYFUNCTION("GOOGLEFINANCE(A300,""name"")"),"Agilent Technologies Inc")</f>
        <v>Agilent Technologies Inc</v>
      </c>
      <c r="C300" s="47">
        <f>IFERROR(__xludf.DUMMYFUNCTION("GOOGLEFINANCE(A300,""Marketcap"")"),3.2674478702E10)</f>
        <v>32674478702</v>
      </c>
      <c r="D300" s="16">
        <v>75.0</v>
      </c>
      <c r="E300" s="16" t="s">
        <v>6005</v>
      </c>
    </row>
    <row r="301">
      <c r="A301" s="16" t="s">
        <v>1477</v>
      </c>
      <c r="B301" s="16" t="str">
        <f>IFERROR(__xludf.DUMMYFUNCTION("GOOGLEFINANCE(A301,""name"")"),"AES Corp")</f>
        <v>AES Corp</v>
      </c>
      <c r="C301" s="47">
        <f>IFERROR(__xludf.DUMMYFUNCTION("GOOGLEFINANCE(A301,""Marketcap"")"),1.0219545487E10)</f>
        <v>10219545487</v>
      </c>
      <c r="D301" s="16">
        <v>75.0</v>
      </c>
      <c r="E301" s="16" t="s">
        <v>6006</v>
      </c>
    </row>
    <row r="302">
      <c r="A302" s="16" t="s">
        <v>792</v>
      </c>
      <c r="B302" s="16" t="str">
        <f>IFERROR(__xludf.DUMMYFUNCTION("GOOGLEFINANCE(A302,""name"")"),"Omnicom Group Inc")</f>
        <v>Omnicom Group Inc</v>
      </c>
      <c r="C302" s="47">
        <f>IFERROR(__xludf.DUMMYFUNCTION("GOOGLEFINANCE(A302,""Marketcap"")"),2.1962577076E10)</f>
        <v>21962577076</v>
      </c>
      <c r="D302" s="16">
        <v>75.0</v>
      </c>
      <c r="E302" s="16" t="s">
        <v>6007</v>
      </c>
    </row>
    <row r="303">
      <c r="A303" s="16" t="s">
        <v>893</v>
      </c>
      <c r="B303" s="16" t="str">
        <f>IFERROR(__xludf.DUMMYFUNCTION("GOOGLEFINANCE(A303,""name"")"),"Packaging Corp Of America")</f>
        <v>Packaging Corp Of America</v>
      </c>
      <c r="C303" s="47">
        <f>IFERROR(__xludf.DUMMYFUNCTION("GOOGLEFINANCE(A303,""Marketcap"")"),1.9994791456E10)</f>
        <v>19994791456</v>
      </c>
      <c r="D303" s="16">
        <v>75.0</v>
      </c>
      <c r="E303" s="16" t="s">
        <v>6008</v>
      </c>
    </row>
    <row r="304">
      <c r="A304" s="16" t="s">
        <v>231</v>
      </c>
      <c r="B304" s="16" t="str">
        <f>IFERROR(__xludf.DUMMYFUNCTION("GOOGLEFINANCE(A304,""name"")"),"Bank of America Corp")</f>
        <v>Bank of America Corp</v>
      </c>
      <c r="C304" s="47">
        <f>IFERROR(__xludf.DUMMYFUNCTION("GOOGLEFINANCE(A304,""Marketcap"")"),3.64126093955E11)</f>
        <v>364126093955</v>
      </c>
      <c r="D304" s="16">
        <v>75.0</v>
      </c>
      <c r="E304" s="16" t="s">
        <v>6009</v>
      </c>
    </row>
    <row r="305">
      <c r="A305" s="16" t="s">
        <v>242</v>
      </c>
      <c r="B305" s="16" t="str">
        <f>IFERROR(__xludf.DUMMYFUNCTION("GOOGLEFINANCE(A305,""name"")"),"Automatic Data Processing Inc")</f>
        <v>Automatic Data Processing Inc</v>
      </c>
      <c r="C305" s="47">
        <f>IFERROR(__xludf.DUMMYFUNCTION("GOOGLEFINANCE(A305,""Marketcap"")"),8.5141383977E10)</f>
        <v>85141383977</v>
      </c>
      <c r="D305" s="16">
        <v>75.0</v>
      </c>
      <c r="E305" s="16" t="s">
        <v>6010</v>
      </c>
    </row>
    <row r="306">
      <c r="A306" s="16" t="s">
        <v>1495</v>
      </c>
      <c r="B306" s="16" t="str">
        <f>IFERROR(__xludf.DUMMYFUNCTION("GOOGLEFINANCE(A306,""name"")"),"Axon Enterprise Inc")</f>
        <v>Axon Enterprise Inc</v>
      </c>
      <c r="C306" s="47">
        <f>IFERROR(__xludf.DUMMYFUNCTION("GOOGLEFINANCE(A306,""Marketcap"")"),3.252616E10)</f>
        <v>32526160000</v>
      </c>
      <c r="D306" s="16">
        <v>75.0</v>
      </c>
      <c r="E306" s="16" t="s">
        <v>6011</v>
      </c>
    </row>
    <row r="307">
      <c r="A307" s="16" t="s">
        <v>394</v>
      </c>
      <c r="B307" s="16" t="str">
        <f>IFERROR(__xludf.DUMMYFUNCTION("GOOGLEFINANCE(A307,""name"")"),"Arista Networks Inc")</f>
        <v>Arista Networks Inc</v>
      </c>
      <c r="C307" s="47">
        <f>IFERROR(__xludf.DUMMYFUNCTION("GOOGLEFINANCE(A307,""Marketcap"")"),1.78517072919E11)</f>
        <v>178517072919</v>
      </c>
      <c r="D307" s="16">
        <v>75.0</v>
      </c>
      <c r="E307" s="16" t="s">
        <v>6012</v>
      </c>
    </row>
    <row r="308">
      <c r="A308" s="16" t="s">
        <v>831</v>
      </c>
      <c r="B308" s="16" t="str">
        <f>IFERROR(__xludf.DUMMYFUNCTION("GOOGLEFINANCE(A308,""name"")"),"AT&amp;T Inc")</f>
        <v>AT&amp;T Inc</v>
      </c>
      <c r="C308" s="47">
        <f>IFERROR(__xludf.DUMMYFUNCTION("GOOGLEFINANCE(A308,""Marketcap"")"),1.74820157859E11)</f>
        <v>174820157859</v>
      </c>
      <c r="D308" s="16">
        <v>75.0</v>
      </c>
      <c r="E308" s="16" t="s">
        <v>6013</v>
      </c>
    </row>
    <row r="309">
      <c r="A309" s="16" t="s">
        <v>941</v>
      </c>
      <c r="B309" s="16" t="str">
        <f>IFERROR(__xludf.DUMMYFUNCTION("GOOGLEFINANCE(A309,""name"")"),"Chevron Corp")</f>
        <v>Chevron Corp</v>
      </c>
      <c r="C309" s="47">
        <f>IFERROR(__xludf.DUMMYFUNCTION("GOOGLEFINANCE(A309,""Marketcap"")"),3.59062730346E11)</f>
        <v>359062730346</v>
      </c>
      <c r="D309" s="16">
        <v>75.0</v>
      </c>
      <c r="E309" s="16" t="s">
        <v>6014</v>
      </c>
    </row>
    <row r="310">
      <c r="A310" s="16" t="s">
        <v>1169</v>
      </c>
      <c r="B310" s="16" t="str">
        <f>IFERROR(__xludf.DUMMYFUNCTION("GOOGLEFINANCE(A310,""name"")"),"Church &amp; Dwight Co Inc")</f>
        <v>Church &amp; Dwight Co Inc</v>
      </c>
      <c r="C310" s="47">
        <f>IFERROR(__xludf.DUMMYFUNCTION("GOOGLEFINANCE(A310,""Marketcap"")"),2.2140010562E10)</f>
        <v>22140010562</v>
      </c>
      <c r="D310" s="16">
        <v>75.0</v>
      </c>
      <c r="E310" s="16" t="s">
        <v>6015</v>
      </c>
    </row>
    <row r="311">
      <c r="A311" s="16" t="s">
        <v>1212</v>
      </c>
      <c r="B311" s="16" t="str">
        <f>IFERROR(__xludf.DUMMYFUNCTION("GOOGLEFINANCE(A311,""name"")"),"Cincinnati Financial Corp")</f>
        <v>Cincinnati Financial Corp</v>
      </c>
      <c r="C311" s="47">
        <f>IFERROR(__xludf.DUMMYFUNCTION("GOOGLEFINANCE(A311,""Marketcap"")"),2.498190205E10)</f>
        <v>24981902050</v>
      </c>
      <c r="D311" s="16">
        <v>75.0</v>
      </c>
      <c r="E311" s="16" t="s">
        <v>6016</v>
      </c>
    </row>
    <row r="312">
      <c r="A312" s="16" t="s">
        <v>1513</v>
      </c>
      <c r="B312" s="16" t="str">
        <f>IFERROR(__xludf.DUMMYFUNCTION("GOOGLEFINANCE(A312,""name"")"),"Citizens Financial Group Inc")</f>
        <v>Citizens Financial Group Inc</v>
      </c>
      <c r="C312" s="47">
        <f>IFERROR(__xludf.DUMMYFUNCTION("GOOGLEFINANCE(A312,""Marketcap"")"),2.6950263293E10)</f>
        <v>26950263293</v>
      </c>
      <c r="D312" s="16">
        <v>75.0</v>
      </c>
      <c r="E312" s="16" t="s">
        <v>6017</v>
      </c>
    </row>
    <row r="313">
      <c r="A313" s="16" t="s">
        <v>1458</v>
      </c>
      <c r="B313" s="16" t="str">
        <f>IFERROR(__xludf.DUMMYFUNCTION("GOOGLEFINANCE(A313,""name"")"),"Celanese Corp")</f>
        <v>Celanese Corp</v>
      </c>
      <c r="C313" s="47">
        <f>IFERROR(__xludf.DUMMYFUNCTION("GOOGLEFINANCE(A313,""Marketcap"")"),6.269404924E9)</f>
        <v>6269404924</v>
      </c>
      <c r="D313" s="16">
        <v>75.0</v>
      </c>
      <c r="E313" s="16" t="s">
        <v>6018</v>
      </c>
    </row>
    <row r="314">
      <c r="A314" s="16" t="s">
        <v>1331</v>
      </c>
      <c r="B314" s="16" t="str">
        <f>IFERROR(__xludf.DUMMYFUNCTION("GOOGLEFINANCE(A314,""name"")"),"News Corp Class B")</f>
        <v>News Corp Class B</v>
      </c>
      <c r="C314" s="47">
        <f>IFERROR(__xludf.DUMMYFUNCTION("GOOGLEFINANCE(A314,""Marketcap"")"),1.580062E10)</f>
        <v>15800620000</v>
      </c>
      <c r="D314" s="16">
        <v>75.0</v>
      </c>
      <c r="E314" s="16" t="s">
        <v>6019</v>
      </c>
    </row>
    <row r="315">
      <c r="A315" s="16" t="s">
        <v>904</v>
      </c>
      <c r="B315" s="16" t="str">
        <f>IFERROR(__xludf.DUMMYFUNCTION("GOOGLEFINANCE(A315,""name"")"),"Northrop Grumman Corp")</f>
        <v>Northrop Grumman Corp</v>
      </c>
      <c r="C315" s="47">
        <f>IFERROR(__xludf.DUMMYFUNCTION("GOOGLEFINANCE(A315,""Marketcap"")"),7.8050196742E10)</f>
        <v>78050196742</v>
      </c>
      <c r="D315" s="16">
        <v>75.0</v>
      </c>
      <c r="E315" s="16" t="s">
        <v>6020</v>
      </c>
    </row>
    <row r="316">
      <c r="A316" s="16" t="s">
        <v>1223</v>
      </c>
      <c r="B316" s="16" t="str">
        <f>IFERROR(__xludf.DUMMYFUNCTION("GOOGLEFINANCE(A316,""name"")"),"Norwegian Cruise Line Holdings Ltd")</f>
        <v>Norwegian Cruise Line Holdings Ltd</v>
      </c>
      <c r="C316" s="47">
        <f>IFERROR(__xludf.DUMMYFUNCTION("GOOGLEFINANCE(A316,""Marketcap"")"),7.841600472E9)</f>
        <v>7841600472</v>
      </c>
      <c r="D316" s="16">
        <v>75.0</v>
      </c>
      <c r="E316" s="16" t="s">
        <v>6021</v>
      </c>
    </row>
    <row r="317">
      <c r="A317" s="16" t="s">
        <v>1416</v>
      </c>
      <c r="B317" s="16" t="str">
        <f>IFERROR(__xludf.DUMMYFUNCTION("GOOGLEFINANCE(A317,""name"")"),"Mosaic Co")</f>
        <v>Mosaic Co</v>
      </c>
      <c r="C317" s="47">
        <f>IFERROR(__xludf.DUMMYFUNCTION("GOOGLEFINANCE(A317,""Marketcap"")"),7.053016223E9)</f>
        <v>7053016223</v>
      </c>
      <c r="D317" s="16">
        <v>75.0</v>
      </c>
      <c r="E317" s="16" t="s">
        <v>6022</v>
      </c>
    </row>
    <row r="318">
      <c r="A318" s="16" t="s">
        <v>33</v>
      </c>
      <c r="B318" s="16" t="str">
        <f>IFERROR(__xludf.DUMMYFUNCTION("GOOGLEFINANCE(A318,""name"")"),"Motorola Solutions Inc")</f>
        <v>Motorola Solutions Inc</v>
      </c>
      <c r="C318" s="47">
        <f>IFERROR(__xludf.DUMMYFUNCTION("GOOGLEFINANCE(A318,""Marketcap"")"),6.382051874E10)</f>
        <v>63820518740</v>
      </c>
      <c r="D318" s="16">
        <v>75.0</v>
      </c>
      <c r="E318" s="16" t="s">
        <v>6023</v>
      </c>
    </row>
    <row r="319">
      <c r="A319" s="16" t="s">
        <v>124</v>
      </c>
      <c r="B319" s="16" t="str">
        <f>IFERROR(__xludf.DUMMYFUNCTION("GOOGLEFINANCE(A319,""name"")"),"United Airlines Holdings Inc")</f>
        <v>United Airlines Holdings Inc</v>
      </c>
      <c r="C319" s="47">
        <f>IFERROR(__xludf.DUMMYFUNCTION("GOOGLEFINANCE(A319,""Marketcap"")"),3.232065132E10)</f>
        <v>32320651320</v>
      </c>
      <c r="D319" s="16">
        <v>75.0</v>
      </c>
      <c r="E319" s="16" t="s">
        <v>6024</v>
      </c>
    </row>
    <row r="320">
      <c r="A320" s="16" t="s">
        <v>1429</v>
      </c>
      <c r="B320" s="16" t="str">
        <f>IFERROR(__xludf.DUMMYFUNCTION("GOOGLEFINANCE(A320,""name"")"),"Boeing Co")</f>
        <v>Boeing Co</v>
      </c>
      <c r="C320" s="47">
        <f>IFERROR(__xludf.DUMMYFUNCTION("GOOGLEFINANCE(A320,""Marketcap"")"),1.87111434409E11)</f>
        <v>187111434409</v>
      </c>
      <c r="D320" s="16">
        <v>75.0</v>
      </c>
      <c r="E320" s="16" t="s">
        <v>6025</v>
      </c>
    </row>
    <row r="321">
      <c r="A321" s="16" t="s">
        <v>614</v>
      </c>
      <c r="B321" s="16" t="str">
        <f>IFERROR(__xludf.DUMMYFUNCTION("GOOGLEFINANCE(A321,""name"")"),"Boston Scientific Corp")</f>
        <v>Boston Scientific Corp</v>
      </c>
      <c r="C321" s="47">
        <f>IFERROR(__xludf.DUMMYFUNCTION("GOOGLEFINANCE(A321,""Marketcap"")"),8.0159125603E10)</f>
        <v>80159125603</v>
      </c>
      <c r="D321" s="16">
        <v>75.0</v>
      </c>
      <c r="E321" s="16" t="s">
        <v>6026</v>
      </c>
    </row>
    <row r="322">
      <c r="A322" s="16" t="s">
        <v>1343</v>
      </c>
      <c r="B322" s="16" t="str">
        <f>IFERROR(__xludf.DUMMYFUNCTION("GOOGLEFINANCE(A322,""name"")"),"News Corp Class A")</f>
        <v>News Corp Class A</v>
      </c>
      <c r="C322" s="47">
        <f>IFERROR(__xludf.DUMMYFUNCTION("GOOGLEFINANCE(A322,""Marketcap"")"),1.580062E10)</f>
        <v>15800620000</v>
      </c>
      <c r="D322" s="16">
        <v>75.0</v>
      </c>
      <c r="E322" s="16" t="s">
        <v>6027</v>
      </c>
    </row>
    <row r="323">
      <c r="A323" s="16" t="s">
        <v>1636</v>
      </c>
      <c r="B323" s="16" t="str">
        <f>IFERROR(__xludf.DUMMYFUNCTION("GOOGLEFINANCE(A323,""name"")"),"Williams Companies Inc")</f>
        <v>Williams Companies Inc</v>
      </c>
      <c r="C323" s="47">
        <f>IFERROR(__xludf.DUMMYFUNCTION("GOOGLEFINANCE(A323,""Marketcap"")"),8.800693496E10)</f>
        <v>88006934960</v>
      </c>
      <c r="D323" s="16">
        <v>75.0</v>
      </c>
      <c r="E323" s="16" t="s">
        <v>6028</v>
      </c>
    </row>
    <row r="324">
      <c r="A324" s="16" t="s">
        <v>1214</v>
      </c>
      <c r="B324" s="16" t="str">
        <f>IFERROR(__xludf.DUMMYFUNCTION("GOOGLEFINANCE(A324,""name"")"),"Wynn Resorts Ltd")</f>
        <v>Wynn Resorts Ltd</v>
      </c>
      <c r="C324" s="47">
        <f>IFERROR(__xludf.DUMMYFUNCTION("GOOGLEFINANCE(A324,""Marketcap"")"),1.0656124837E10)</f>
        <v>10656124837</v>
      </c>
      <c r="D324" s="16">
        <v>75.0</v>
      </c>
      <c r="E324" s="16" t="s">
        <v>6029</v>
      </c>
    </row>
    <row r="325">
      <c r="A325" s="16" t="s">
        <v>1233</v>
      </c>
      <c r="B325" s="16" t="str">
        <f>IFERROR(__xludf.DUMMYFUNCTION("GOOGLEFINANCE(A325,""name"")"),"Yum! Brands Inc")</f>
        <v>Yum! Brands Inc</v>
      </c>
      <c r="C325" s="47">
        <f>IFERROR(__xludf.DUMMYFUNCTION("GOOGLEFINANCE(A325,""Marketcap"")"),4.1880625303E10)</f>
        <v>41880625303</v>
      </c>
      <c r="D325" s="16">
        <v>75.0</v>
      </c>
      <c r="E325" s="16" t="s">
        <v>6030</v>
      </c>
    </row>
    <row r="326">
      <c r="A326" s="16" t="s">
        <v>1163</v>
      </c>
      <c r="B326" s="16" t="str">
        <f>IFERROR(__xludf.DUMMYFUNCTION("GOOGLEFINANCE(A326,""name"")"),"Zimmer Biomet Holdings, Inc")</f>
        <v>Zimmer Biomet Holdings, Inc</v>
      </c>
      <c r="C326" s="47">
        <f>IFERROR(__xludf.DUMMYFUNCTION("GOOGLEFINANCE(A326,""Marketcap"")"),1.5927767979E10)</f>
        <v>15927767979</v>
      </c>
      <c r="D326" s="16">
        <v>75.0</v>
      </c>
      <c r="E326" s="16" t="s">
        <v>6031</v>
      </c>
    </row>
    <row r="327">
      <c r="A327" s="16" t="s">
        <v>833</v>
      </c>
      <c r="B327" s="16" t="str">
        <f>IFERROR(__xludf.DUMMYFUNCTION("GOOGLEFINANCE(A327,""name"")"),"Sysco Corp")</f>
        <v>Sysco Corp</v>
      </c>
      <c r="C327" s="47">
        <f>IFERROR(__xludf.DUMMYFUNCTION("GOOGLEFINANCE(A327,""Marketcap"")"),3.4639548711E10)</f>
        <v>34639548711</v>
      </c>
      <c r="D327" s="16">
        <v>75.0</v>
      </c>
      <c r="E327" s="16" t="s">
        <v>6032</v>
      </c>
    </row>
    <row r="328">
      <c r="A328" s="16" t="s">
        <v>146</v>
      </c>
      <c r="B328" s="16" t="str">
        <f>IFERROR(__xludf.DUMMYFUNCTION("GOOGLEFINANCE(A328,""name"")"),"Southern Co")</f>
        <v>Southern Co</v>
      </c>
      <c r="C328" s="47">
        <f>IFERROR(__xludf.DUMMYFUNCTION("GOOGLEFINANCE(A328,""Marketcap"")"),1.0348614344E11)</f>
        <v>103486143440</v>
      </c>
      <c r="D328" s="16">
        <v>75.0</v>
      </c>
      <c r="E328" s="16" t="s">
        <v>6033</v>
      </c>
    </row>
    <row r="329">
      <c r="A329" s="16" t="s">
        <v>1072</v>
      </c>
      <c r="B329" s="16" t="str">
        <f>IFERROR(__xludf.DUMMYFUNCTION("GOOGLEFINANCE(A329,""name"")"),"Vulcan Materials Co")</f>
        <v>Vulcan Materials Co</v>
      </c>
      <c r="C329" s="47">
        <f>IFERROR(__xludf.DUMMYFUNCTION("GOOGLEFINANCE(A329,""Marketcap"")"),3.6814032014E10)</f>
        <v>36814032014</v>
      </c>
      <c r="D329" s="16">
        <v>75.0</v>
      </c>
      <c r="E329" s="16" t="s">
        <v>6034</v>
      </c>
    </row>
    <row r="330">
      <c r="A330" s="16" t="s">
        <v>1015</v>
      </c>
      <c r="B330" s="16" t="str">
        <f>IFERROR(__xludf.DUMMYFUNCTION("GOOGLEFINANCE(A330,""name"")"),"WEC Energy Group Inc")</f>
        <v>WEC Energy Group Inc</v>
      </c>
      <c r="C330" s="47">
        <f>IFERROR(__xludf.DUMMYFUNCTION("GOOGLEFINANCE(A330,""Marketcap"")"),3.6370521688E10)</f>
        <v>36370521688</v>
      </c>
      <c r="D330" s="16">
        <v>75.0</v>
      </c>
      <c r="E330" s="16" t="s">
        <v>6035</v>
      </c>
    </row>
    <row r="331">
      <c r="A331" s="16" t="s">
        <v>1634</v>
      </c>
      <c r="B331" s="16" t="str">
        <f>IFERROR(__xludf.DUMMYFUNCTION("GOOGLEFINANCE(A331,""name"")"),"Wells Fargo &amp; Co")</f>
        <v>Wells Fargo &amp; Co</v>
      </c>
      <c r="C331" s="47">
        <f>IFERROR(__xludf.DUMMYFUNCTION("GOOGLEFINANCE(A331,""Marketcap"")"),2.31472694092E11)</f>
        <v>231472694092</v>
      </c>
      <c r="D331" s="16">
        <v>75.0</v>
      </c>
      <c r="E331" s="16" t="s">
        <v>6036</v>
      </c>
    </row>
    <row r="332">
      <c r="A332" s="16" t="s">
        <v>1323</v>
      </c>
      <c r="B332" s="16" t="str">
        <f>IFERROR(__xludf.DUMMYFUNCTION("GOOGLEFINANCE(A332,""name"")"),"Ventas Inc")</f>
        <v>Ventas Inc</v>
      </c>
      <c r="C332" s="47">
        <f>IFERROR(__xludf.DUMMYFUNCTION("GOOGLEFINANCE(A332,""Marketcap"")"),4.242316906E10)</f>
        <v>42423169060</v>
      </c>
      <c r="D332" s="16">
        <v>75.0</v>
      </c>
      <c r="E332" s="16" t="s">
        <v>6037</v>
      </c>
    </row>
    <row r="333">
      <c r="A333" s="16" t="s">
        <v>1630</v>
      </c>
      <c r="B333" s="16" t="str">
        <f>IFERROR(__xludf.DUMMYFUNCTION("GOOGLEFINANCE(A333,""name"")"),"Ulta Beauty Inc")</f>
        <v>Ulta Beauty Inc</v>
      </c>
      <c r="C333" s="47">
        <f>IFERROR(__xludf.DUMMYFUNCTION("GOOGLEFINANCE(A333,""Marketcap"")"),2.2720244608E10)</f>
        <v>22720244608</v>
      </c>
      <c r="D333" s="16">
        <v>75.0</v>
      </c>
      <c r="E333" s="16" t="s">
        <v>6038</v>
      </c>
    </row>
    <row r="334">
      <c r="A334" s="16" t="s">
        <v>1301</v>
      </c>
      <c r="B334" s="16" t="str">
        <f>IFERROR(__xludf.DUMMYFUNCTION("GOOGLEFINANCE(A334,""name"")"),"A O Smith Corp")</f>
        <v>A O Smith Corp</v>
      </c>
      <c r="C334" s="47">
        <f>IFERROR(__xludf.DUMMYFUNCTION("GOOGLEFINANCE(A334,""Marketcap"")"),8.076755749E9)</f>
        <v>8076755749</v>
      </c>
      <c r="D334" s="16">
        <v>75.0</v>
      </c>
      <c r="E334" s="16" t="s">
        <v>6039</v>
      </c>
    </row>
    <row r="335">
      <c r="A335" s="16" t="s">
        <v>1396</v>
      </c>
      <c r="B335" s="16" t="str">
        <f>IFERROR(__xludf.DUMMYFUNCTION("GOOGLEFINANCE(A335,""name"")"),"Invesco Ltd")</f>
        <v>Invesco Ltd</v>
      </c>
      <c r="C335" s="47">
        <f>IFERROR(__xludf.DUMMYFUNCTION("GOOGLEFINANCE(A335,""Marketcap"")"),1.2230553261E10)</f>
        <v>12230553261</v>
      </c>
      <c r="D335" s="16">
        <v>75.0</v>
      </c>
      <c r="E335" s="16" t="s">
        <v>6040</v>
      </c>
    </row>
    <row r="336">
      <c r="A336" s="16" t="s">
        <v>1155</v>
      </c>
      <c r="B336" s="16" t="str">
        <f>IFERROR(__xludf.DUMMYFUNCTION("GOOGLEFINANCE(A336,""name"")"),"Airbnb Inc")</f>
        <v>Airbnb Inc</v>
      </c>
      <c r="C336" s="47">
        <f>IFERROR(__xludf.DUMMYFUNCTION("GOOGLEFINANCE(A336,""Marketcap"")"),8.4119373813E10)</f>
        <v>84119373813</v>
      </c>
      <c r="D336" s="16">
        <v>70.0</v>
      </c>
      <c r="E336" s="16" t="s">
        <v>6041</v>
      </c>
    </row>
    <row r="337">
      <c r="A337" s="16" t="s">
        <v>1074</v>
      </c>
      <c r="B337" s="16" t="str">
        <f>IFERROR(__xludf.DUMMYFUNCTION("GOOGLEFINANCE(A337,""name"")"),"VeriSign, Inc")</f>
        <v>VeriSign, Inc</v>
      </c>
      <c r="C337" s="47">
        <f>IFERROR(__xludf.DUMMYFUNCTION("GOOGLEFINANCE(A337,""Marketcap"")"),2.622711E10)</f>
        <v>26227110000</v>
      </c>
      <c r="D337" s="16">
        <v>70.0</v>
      </c>
      <c r="E337" s="16" t="s">
        <v>6042</v>
      </c>
    </row>
    <row r="338">
      <c r="A338" s="16" t="s">
        <v>21</v>
      </c>
      <c r="B338" s="16" t="str">
        <f>IFERROR(__xludf.DUMMYFUNCTION("GOOGLEFINANCE(A338,""name"")"),"Visa Inc")</f>
        <v>Visa Inc</v>
      </c>
      <c r="C338" s="47">
        <f>IFERROR(__xludf.DUMMYFUNCTION("GOOGLEFINANCE(A338,""Marketcap"")"),6.00640224849E11)</f>
        <v>600640224849</v>
      </c>
      <c r="D338" s="16">
        <v>70.0</v>
      </c>
      <c r="E338" s="16" t="s">
        <v>6043</v>
      </c>
    </row>
    <row r="339">
      <c r="A339" s="16" t="s">
        <v>1470</v>
      </c>
      <c r="B339" s="16" t="str">
        <f>IFERROR(__xludf.DUMMYFUNCTION("GOOGLEFINANCE(A339,""name"")"),"Viatris Inc")</f>
        <v>Viatris Inc</v>
      </c>
      <c r="C339" s="47">
        <f>IFERROR(__xludf.DUMMYFUNCTION("GOOGLEFINANCE(A339,""Marketcap"")"),1.9993057148E10)</f>
        <v>19993057148</v>
      </c>
      <c r="D339" s="16">
        <v>70.0</v>
      </c>
      <c r="E339" s="16" t="s">
        <v>6044</v>
      </c>
    </row>
    <row r="340">
      <c r="A340" s="16" t="s">
        <v>263</v>
      </c>
      <c r="B340" s="16" t="str">
        <f>IFERROR(__xludf.DUMMYFUNCTION("GOOGLEFINANCE(A340,""name"")"),"Walmart Inc")</f>
        <v>Walmart Inc</v>
      </c>
      <c r="C340" s="47">
        <f>IFERROR(__xludf.DUMMYFUNCTION("GOOGLEFINANCE(A340,""Marketcap"")"),1.039656167318E12)</f>
        <v>1039656167318</v>
      </c>
      <c r="D340" s="16">
        <v>70.0</v>
      </c>
      <c r="E340" s="16" t="s">
        <v>6045</v>
      </c>
    </row>
    <row r="341">
      <c r="A341" s="16" t="s">
        <v>790</v>
      </c>
      <c r="B341" s="16" t="str">
        <f>IFERROR(__xludf.DUMMYFUNCTION("GOOGLEFINANCE(A341,""name"")"),"Norfolk Southern Corp")</f>
        <v>Norfolk Southern Corp</v>
      </c>
      <c r="C341" s="47">
        <f>IFERROR(__xludf.DUMMYFUNCTION("GOOGLEFINANCE(A341,""Marketcap"")"),7.0075576133E10)</f>
        <v>70075576133</v>
      </c>
      <c r="D341" s="16">
        <v>70.0</v>
      </c>
      <c r="E341" s="16" t="s">
        <v>6046</v>
      </c>
    </row>
    <row r="342">
      <c r="A342" s="16" t="s">
        <v>849</v>
      </c>
      <c r="B342" s="16" t="str">
        <f>IFERROR(__xludf.DUMMYFUNCTION("GOOGLEFINANCE(A342,""name"")"),"WW Grainger Inc")</f>
        <v>WW Grainger Inc</v>
      </c>
      <c r="C342" s="47">
        <f>IFERROR(__xludf.DUMMYFUNCTION("GOOGLEFINANCE(A342,""Marketcap"")"),5.8391467776E10)</f>
        <v>58391467776</v>
      </c>
      <c r="D342" s="16">
        <v>70.0</v>
      </c>
      <c r="E342" s="16" t="s">
        <v>6047</v>
      </c>
    </row>
    <row r="343">
      <c r="A343" s="16" t="s">
        <v>1454</v>
      </c>
      <c r="B343" s="16" t="str">
        <f>IFERROR(__xludf.DUMMYFUNCTION("GOOGLEFINANCE(A343,""name"")"),"Walgreen Boots Alliance Ord Shs")</f>
        <v>Walgreen Boots Alliance Ord Shs</v>
      </c>
      <c r="C343" s="47">
        <f>IFERROR(__xludf.DUMMYFUNCTION("GOOGLEFINANCE(A343,""Marketcap"")"),1.0369413195E10)</f>
        <v>10369413195</v>
      </c>
      <c r="D343" s="16">
        <v>70.0</v>
      </c>
      <c r="E343" s="16" t="s">
        <v>6048</v>
      </c>
    </row>
    <row r="344">
      <c r="A344" s="16" t="s">
        <v>36</v>
      </c>
      <c r="B344" s="16" t="str">
        <f>IFERROR(__xludf.DUMMYFUNCTION("GOOGLEFINANCE(A344,""name"")"),"Mastercard Inc")</f>
        <v>Mastercard Inc</v>
      </c>
      <c r="C344" s="47">
        <f>IFERROR(__xludf.DUMMYFUNCTION("GOOGLEFINANCE(A344,""Marketcap"")"),4.37798110931E11)</f>
        <v>437798110931</v>
      </c>
      <c r="D344" s="16">
        <v>70.0</v>
      </c>
      <c r="E344" s="16" t="s">
        <v>6049</v>
      </c>
    </row>
    <row r="345">
      <c r="A345" s="16" t="s">
        <v>1197</v>
      </c>
      <c r="B345" s="16" t="str">
        <f>IFERROR(__xludf.DUMMYFUNCTION("GOOGLEFINANCE(A345,""name"")"),"Marathon Petroleum Corp")</f>
        <v>Marathon Petroleum Corp</v>
      </c>
      <c r="C345" s="47">
        <f>IFERROR(__xludf.DUMMYFUNCTION("GOOGLEFINANCE(A345,""Marketcap"")"),7.1486513816E10)</f>
        <v>71486513816</v>
      </c>
      <c r="D345" s="16">
        <v>70.0</v>
      </c>
      <c r="E345" s="16" t="s">
        <v>6050</v>
      </c>
    </row>
    <row r="346">
      <c r="A346" s="16" t="s">
        <v>823</v>
      </c>
      <c r="B346" s="16" t="str">
        <f>IFERROR(__xludf.DUMMYFUNCTION("GOOGLEFINANCE(A346,""name"")"),"M&amp;t Bank Corp")</f>
        <v>M&amp;t Bank Corp</v>
      </c>
      <c r="C346" s="47">
        <f>IFERROR(__xludf.DUMMYFUNCTION("GOOGLEFINANCE(A346,""Marketcap"")"),3.106684221E10)</f>
        <v>31066842210</v>
      </c>
      <c r="D346" s="16">
        <v>70.0</v>
      </c>
      <c r="E346" s="16" t="s">
        <v>6051</v>
      </c>
    </row>
    <row r="347">
      <c r="A347" s="16" t="s">
        <v>1171</v>
      </c>
      <c r="B347" s="16" t="str">
        <f>IFERROR(__xludf.DUMMYFUNCTION("GOOGLEFINANCE(A347,""name"")"),"Philip Morris International Inc.")</f>
        <v>Philip Morris International Inc.</v>
      </c>
      <c r="C347" s="47">
        <f>IFERROR(__xludf.DUMMYFUNCTION("GOOGLEFINANCE(A347,""Marketcap"")"),2.66497840981E11)</f>
        <v>266497840981</v>
      </c>
      <c r="D347" s="16">
        <v>70.0</v>
      </c>
      <c r="E347" s="16" t="s">
        <v>6052</v>
      </c>
    </row>
    <row r="348">
      <c r="A348" s="16" t="s">
        <v>1562</v>
      </c>
      <c r="B348" s="16" t="str">
        <f>IFERROR(__xludf.DUMMYFUNCTION("GOOGLEFINANCE(A348,""name"")"),"Jacobs Solutions Inc")</f>
        <v>Jacobs Solutions Inc</v>
      </c>
      <c r="C348" s="47">
        <f>IFERROR(__xludf.DUMMYFUNCTION("GOOGLEFINANCE(A348,""Marketcap"")"),1.398430918E10)</f>
        <v>13984309180</v>
      </c>
      <c r="D348" s="16">
        <v>70.0</v>
      </c>
      <c r="E348" s="16" t="s">
        <v>6053</v>
      </c>
    </row>
    <row r="349">
      <c r="A349" s="16" t="s">
        <v>1297</v>
      </c>
      <c r="B349" s="16" t="str">
        <f>IFERROR(__xludf.DUMMYFUNCTION("GOOGLEFINANCE(A349,""name"")"),"Kinross Gold Corp")</f>
        <v>Kinross Gold Corp</v>
      </c>
      <c r="C349" s="47">
        <f>IFERROR(__xludf.DUMMYFUNCTION("GOOGLEFINANCE(A349,""Marketcap"")"),3.7763789974E10)</f>
        <v>37763789974</v>
      </c>
      <c r="D349" s="16">
        <v>70.0</v>
      </c>
      <c r="E349" s="16" t="s">
        <v>6054</v>
      </c>
    </row>
    <row r="350">
      <c r="A350" s="16" t="s">
        <v>164</v>
      </c>
      <c r="B350" s="16" t="str">
        <f>IFERROR(__xludf.DUMMYFUNCTION("GOOGLEFINANCE(A350,""name"")"),"Kimberly-Clark Corp")</f>
        <v>Kimberly-Clark Corp</v>
      </c>
      <c r="C350" s="47">
        <f>IFERROR(__xludf.DUMMYFUNCTION("GOOGLEFINANCE(A350,""Marketcap"")"),3.2633050082E10)</f>
        <v>32633050082</v>
      </c>
      <c r="D350" s="16">
        <v>70.0</v>
      </c>
      <c r="E350" s="16" t="s">
        <v>6055</v>
      </c>
    </row>
    <row r="351">
      <c r="A351" s="16" t="s">
        <v>821</v>
      </c>
      <c r="B351" s="16" t="str">
        <f>IFERROR(__xludf.DUMMYFUNCTION("GOOGLEFINANCE(A351,""name"")"),"Quest Diagnostics Inc")</f>
        <v>Quest Diagnostics Inc</v>
      </c>
      <c r="C351" s="47">
        <f>IFERROR(__xludf.DUMMYFUNCTION("GOOGLEFINANCE(A351,""Marketcap"")"),2.0743398328E10)</f>
        <v>20743398328</v>
      </c>
      <c r="D351" s="16">
        <v>70.0</v>
      </c>
      <c r="E351" s="16" t="s">
        <v>6056</v>
      </c>
    </row>
    <row r="352">
      <c r="A352" s="16" t="s">
        <v>1225</v>
      </c>
      <c r="B352" s="16" t="str">
        <f>IFERROR(__xludf.DUMMYFUNCTION("GOOGLEFINANCE(A352,""name"")"),"Match Group Inc")</f>
        <v>Match Group Inc</v>
      </c>
      <c r="C352" s="47">
        <f>IFERROR(__xludf.DUMMYFUNCTION("GOOGLEFINANCE(A352,""Marketcap"")"),8.621531E9)</f>
        <v>8621531000</v>
      </c>
      <c r="D352" s="16">
        <v>70.0</v>
      </c>
      <c r="E352" s="16" t="s">
        <v>6057</v>
      </c>
    </row>
    <row r="353">
      <c r="A353" s="16" t="s">
        <v>1069</v>
      </c>
      <c r="B353" s="16" t="str">
        <f>IFERROR(__xludf.DUMMYFUNCTION("GOOGLEFINANCE(A353,""name"")"),"TAKE-TWO INTERACTIVE SOFTWARE, INC Common Stock")</f>
        <v>TAKE-TWO INTERACTIVE SOFTWARE, INC Common Stock</v>
      </c>
      <c r="C353" s="47">
        <f>IFERROR(__xludf.DUMMYFUNCTION("GOOGLEFINANCE(A353,""Marketcap"")"),4.082193E10)</f>
        <v>40821930000</v>
      </c>
      <c r="D353" s="16">
        <v>70.0</v>
      </c>
      <c r="E353" s="16" t="s">
        <v>6058</v>
      </c>
    </row>
    <row r="354">
      <c r="A354" s="16" t="s">
        <v>1165</v>
      </c>
      <c r="B354" s="16" t="str">
        <f>IFERROR(__xludf.DUMMYFUNCTION("GOOGLEFINANCE(A354,""name"")"),"Stryker Corp")</f>
        <v>Stryker Corp</v>
      </c>
      <c r="C354" s="47">
        <f>IFERROR(__xludf.DUMMYFUNCTION("GOOGLEFINANCE(A354,""Marketcap"")"),1.09330528588E11)</f>
        <v>109330528588</v>
      </c>
      <c r="D354" s="16">
        <v>70.0</v>
      </c>
      <c r="E354" s="16" t="s">
        <v>6059</v>
      </c>
    </row>
    <row r="355">
      <c r="A355" s="16" t="s">
        <v>1371</v>
      </c>
      <c r="B355" s="16" t="str">
        <f>IFERROR(__xludf.DUMMYFUNCTION("GOOGLEFINANCE(A355,""name"")"),"Starbucks Corp")</f>
        <v>Starbucks Corp</v>
      </c>
      <c r="C355" s="47">
        <f>IFERROR(__xludf.DUMMYFUNCTION("GOOGLEFINANCE(A355,""Marketcap"")"),1.195887E11)</f>
        <v>119588700000</v>
      </c>
      <c r="D355" s="16">
        <v>70.0</v>
      </c>
      <c r="E355" s="16" t="s">
        <v>6060</v>
      </c>
    </row>
    <row r="356">
      <c r="A356" s="16" t="s">
        <v>468</v>
      </c>
      <c r="B356" s="16" t="str">
        <f>IFERROR(__xludf.DUMMYFUNCTION("GOOGLEFINANCE(A356,""name"")"),"ConocoPhillips")</f>
        <v>ConocoPhillips</v>
      </c>
      <c r="C356" s="47">
        <f>IFERROR(__xludf.DUMMYFUNCTION("GOOGLEFINANCE(A356,""Marketcap"")"),1.38727027256E11)</f>
        <v>138727027256</v>
      </c>
      <c r="D356" s="16">
        <v>70.0</v>
      </c>
      <c r="E356" s="16" t="s">
        <v>6061</v>
      </c>
    </row>
    <row r="357">
      <c r="A357" s="16" t="s">
        <v>1131</v>
      </c>
      <c r="B357" s="16" t="str">
        <f>IFERROR(__xludf.DUMMYFUNCTION("GOOGLEFINANCE(A357,""name"")"),"Delta Air Lines Inc")</f>
        <v>Delta Air Lines Inc</v>
      </c>
      <c r="C357" s="47">
        <f>IFERROR(__xludf.DUMMYFUNCTION("GOOGLEFINANCE(A357,""Marketcap"")"),4.8177393221E10)</f>
        <v>48177393221</v>
      </c>
      <c r="D357" s="16">
        <v>70.0</v>
      </c>
      <c r="E357" s="16" t="s">
        <v>6062</v>
      </c>
    </row>
    <row r="358">
      <c r="A358" s="16" t="s">
        <v>1528</v>
      </c>
      <c r="B358" s="16" t="str">
        <f>IFERROR(__xludf.DUMMYFUNCTION("GOOGLEFINANCE(A358,""name"")"),"Davita Inc")</f>
        <v>Davita Inc</v>
      </c>
      <c r="C358" s="47">
        <f>IFERROR(__xludf.DUMMYFUNCTION("GOOGLEFINANCE(A358,""Marketcap"")"),1.2753325635E10)</f>
        <v>12753325635</v>
      </c>
      <c r="D358" s="16">
        <v>70.0</v>
      </c>
      <c r="E358" s="16" t="s">
        <v>6063</v>
      </c>
    </row>
    <row r="359">
      <c r="A359" s="16" t="s">
        <v>947</v>
      </c>
      <c r="B359" s="16" t="str">
        <f>IFERROR(__xludf.DUMMYFUNCTION("GOOGLEFINANCE(A359,""name"")"),"Coterra Energy Inc")</f>
        <v>Coterra Energy Inc</v>
      </c>
      <c r="C359" s="47">
        <f>IFERROR(__xludf.DUMMYFUNCTION("GOOGLEFINANCE(A359,""Marketcap"")"),5.93050795E8)</f>
        <v>593050795</v>
      </c>
      <c r="D359" s="16">
        <v>70.0</v>
      </c>
      <c r="E359" s="16" t="s">
        <v>6064</v>
      </c>
    </row>
    <row r="360">
      <c r="A360" s="16" t="s">
        <v>1053</v>
      </c>
      <c r="B360" s="16" t="str">
        <f>IFERROR(__xludf.DUMMYFUNCTION("GOOGLEFINANCE(A360,""name"")"),"Home Depot Inc")</f>
        <v>Home Depot Inc</v>
      </c>
      <c r="C360" s="47">
        <f>IFERROR(__xludf.DUMMYFUNCTION("GOOGLEFINANCE(A360,""Marketcap"")"),3.16189005523E11)</f>
        <v>316189005523</v>
      </c>
      <c r="D360" s="16">
        <v>70.0</v>
      </c>
      <c r="E360" s="16" t="s">
        <v>6065</v>
      </c>
    </row>
    <row r="361">
      <c r="A361" s="16" t="s">
        <v>1537</v>
      </c>
      <c r="B361" s="16" t="str">
        <f>IFERROR(__xludf.DUMMYFUNCTION("GOOGLEFINANCE(A361,""name"")"),"Expedia Group Inc")</f>
        <v>Expedia Group Inc</v>
      </c>
      <c r="C361" s="47">
        <f>IFERROR(__xludf.DUMMYFUNCTION("GOOGLEFINANCE(A361,""Marketcap"")"),2.760268E10)</f>
        <v>27602680000</v>
      </c>
      <c r="D361" s="16">
        <v>70.0</v>
      </c>
      <c r="E361" s="16" t="s">
        <v>6066</v>
      </c>
    </row>
    <row r="362">
      <c r="A362" s="16" t="s">
        <v>1008</v>
      </c>
      <c r="B362" s="16" t="str">
        <f>IFERROR(__xludf.DUMMYFUNCTION("GOOGLEFINANCE(A362,""name"")"),"#N/A")</f>
        <v>#N/A</v>
      </c>
      <c r="C362" s="47" t="str">
        <f>IFERROR(__xludf.DUMMYFUNCTION("GOOGLEFINANCE(A362,""Marketcap"")"),"#N/A")</f>
        <v>#N/A</v>
      </c>
      <c r="D362" s="16">
        <v>70.0</v>
      </c>
      <c r="E362" s="16" t="s">
        <v>6067</v>
      </c>
    </row>
    <row r="363">
      <c r="A363" s="16" t="s">
        <v>1540</v>
      </c>
      <c r="B363" s="16" t="str">
        <f>IFERROR(__xludf.DUMMYFUNCTION("GOOGLEFINANCE(A363,""name"")"),"Ford Motor Co")</f>
        <v>Ford Motor Co</v>
      </c>
      <c r="C363" s="47">
        <f>IFERROR(__xludf.DUMMYFUNCTION("GOOGLEFINANCE(A363,""Marketcap"")"),4.9091404223E10)</f>
        <v>49091404223</v>
      </c>
      <c r="D363" s="16">
        <v>70.0</v>
      </c>
      <c r="E363" s="16" t="s">
        <v>6068</v>
      </c>
    </row>
    <row r="364">
      <c r="A364" s="16" t="s">
        <v>278</v>
      </c>
      <c r="B364" s="16" t="str">
        <f>IFERROR(__xludf.DUMMYFUNCTION("GOOGLEFINANCE(A364,""name"")"),"Autodesk Inc")</f>
        <v>Autodesk Inc</v>
      </c>
      <c r="C364" s="47">
        <f>IFERROR(__xludf.DUMMYFUNCTION("GOOGLEFINANCE(A364,""Marketcap"")"),5.16250014E10)</f>
        <v>51625001400</v>
      </c>
      <c r="D364" s="16">
        <v>70.0</v>
      </c>
      <c r="E364" s="16" t="s">
        <v>6069</v>
      </c>
    </row>
    <row r="365">
      <c r="A365" s="16" t="s">
        <v>296</v>
      </c>
      <c r="B365" s="16" t="str">
        <f>IFERROR(__xludf.DUMMYFUNCTION("GOOGLEFINANCE(A365,""name"")"),"Bristol-Myers Squibb Co")</f>
        <v>Bristol-Myers Squibb Co</v>
      </c>
      <c r="C365" s="47">
        <f>IFERROR(__xludf.DUMMYFUNCTION("GOOGLEFINANCE(A365,""Marketcap"")"),1.14682707048E11)</f>
        <v>114682707048</v>
      </c>
      <c r="D365" s="16">
        <v>70.0</v>
      </c>
      <c r="E365" s="16" t="s">
        <v>6070</v>
      </c>
    </row>
    <row r="366">
      <c r="A366" s="16" t="s">
        <v>829</v>
      </c>
      <c r="B366" s="16" t="str">
        <f>IFERROR(__xludf.DUMMYFUNCTION("GOOGLEFINANCE(A366,""name"")"),"Targa Resources Corp")</f>
        <v>Targa Resources Corp</v>
      </c>
      <c r="C366" s="47">
        <f>IFERROR(__xludf.DUMMYFUNCTION("GOOGLEFINANCE(A366,""Marketcap"")"),5.3296646379E10)</f>
        <v>53296646379</v>
      </c>
      <c r="D366" s="16">
        <v>70.0</v>
      </c>
      <c r="E366" s="16" t="s">
        <v>6071</v>
      </c>
    </row>
    <row r="367">
      <c r="A367" s="16" t="s">
        <v>1195</v>
      </c>
      <c r="B367" s="16" t="str">
        <f>IFERROR(__xludf.DUMMYFUNCTION("GOOGLEFINANCE(A367,""name"")"),"3M Co")</f>
        <v>3M Co</v>
      </c>
      <c r="C367" s="47">
        <f>IFERROR(__xludf.DUMMYFUNCTION("GOOGLEFINANCE(A367,""Marketcap"")"),7.4735374915E10)</f>
        <v>74735374915</v>
      </c>
      <c r="D367" s="16">
        <v>65.0</v>
      </c>
      <c r="E367" s="16" t="s">
        <v>6072</v>
      </c>
    </row>
    <row r="368">
      <c r="A368" s="16" t="s">
        <v>1243</v>
      </c>
      <c r="B368" s="16" t="str">
        <f>IFERROR(__xludf.DUMMYFUNCTION("GOOGLEFINANCE(A368,""name"")"),"BXP Inc")</f>
        <v>BXP Inc</v>
      </c>
      <c r="C368" s="47">
        <f>IFERROR(__xludf.DUMMYFUNCTION("GOOGLEFINANCE(A368,""Marketcap"")"),9.430108785E9)</f>
        <v>9430108785</v>
      </c>
      <c r="D368" s="16">
        <v>65.0</v>
      </c>
      <c r="E368" s="16" t="s">
        <v>6073</v>
      </c>
    </row>
    <row r="369">
      <c r="A369" s="16" t="s">
        <v>1553</v>
      </c>
      <c r="B369" s="16" t="str">
        <f>IFERROR(__xludf.DUMMYFUNCTION("GOOGLEFINANCE(A369,""name"")"),"Hewlett Packard Enterprise Co")</f>
        <v>Hewlett Packard Enterprise Co</v>
      </c>
      <c r="C369" s="47">
        <f>IFERROR(__xludf.DUMMYFUNCTION("GOOGLEFINANCE(A369,""Marketcap"")"),4.1596873406E10)</f>
        <v>41596873406</v>
      </c>
      <c r="D369" s="16">
        <v>65.0</v>
      </c>
      <c r="E369" s="16" t="s">
        <v>6074</v>
      </c>
    </row>
    <row r="370">
      <c r="A370" s="16" t="s">
        <v>1431</v>
      </c>
      <c r="B370" s="16" t="str">
        <f>IFERROR(__xludf.DUMMYFUNCTION("GOOGLEFINANCE(A370,""name"")"),"Iron Mountain Inc")</f>
        <v>Iron Mountain Inc</v>
      </c>
      <c r="C370" s="47">
        <f>IFERROR(__xludf.DUMMYFUNCTION("GOOGLEFINANCE(A370,""Marketcap"")"),3.8333081258E10)</f>
        <v>38333081258</v>
      </c>
      <c r="D370" s="16">
        <v>65.0</v>
      </c>
      <c r="E370" s="16" t="s">
        <v>6075</v>
      </c>
    </row>
    <row r="371">
      <c r="A371" s="16" t="s">
        <v>1028</v>
      </c>
      <c r="B371" s="16" t="str">
        <f>IFERROR(__xludf.DUMMYFUNCTION("GOOGLEFINANCE(A371,""name"")"),"Molson Coors Beverage Co Class B")</f>
        <v>Molson Coors Beverage Co Class B</v>
      </c>
      <c r="C371" s="47">
        <f>IFERROR(__xludf.DUMMYFUNCTION("GOOGLEFINANCE(A371,""Marketcap"")"),7.544145232E9)</f>
        <v>7544145232</v>
      </c>
      <c r="D371" s="16">
        <v>65.0</v>
      </c>
      <c r="E371" s="16" t="s">
        <v>6076</v>
      </c>
    </row>
    <row r="372">
      <c r="A372" s="16" t="s">
        <v>609</v>
      </c>
      <c r="B372" s="16" t="str">
        <f>IFERROR(__xludf.DUMMYFUNCTION("GOOGLEFINANCE(A372,""name"")"),"PG&amp;E Corp")</f>
        <v>PG&amp;E Corp</v>
      </c>
      <c r="C372" s="47">
        <f>IFERROR(__xludf.DUMMYFUNCTION("GOOGLEFINANCE(A372,""Marketcap"")"),3.5389739007E10)</f>
        <v>35389739007</v>
      </c>
      <c r="D372" s="16">
        <v>65.0</v>
      </c>
      <c r="E372" s="16" t="s">
        <v>6077</v>
      </c>
    </row>
    <row r="373">
      <c r="A373" s="16" t="s">
        <v>49</v>
      </c>
      <c r="B373" s="16" t="str">
        <f>IFERROR(__xludf.DUMMYFUNCTION("GOOGLEFINANCE(A373,""name"")"),"United Rentals Inc")</f>
        <v>United Rentals Inc</v>
      </c>
      <c r="C373" s="47">
        <f>IFERROR(__xludf.DUMMYFUNCTION("GOOGLEFINANCE(A373,""Marketcap"")"),5.869981735E10)</f>
        <v>58699817350</v>
      </c>
      <c r="D373" s="16">
        <v>65.0</v>
      </c>
      <c r="E373" s="16" t="s">
        <v>6078</v>
      </c>
    </row>
    <row r="374">
      <c r="A374" s="16" t="s">
        <v>1578</v>
      </c>
      <c r="B374" s="16" t="str">
        <f>IFERROR(__xludf.DUMMYFUNCTION("GOOGLEFINANCE(A374,""name"")"),"Mid-America Apartment Communities Inc")</f>
        <v>Mid-America Apartment Communities Inc</v>
      </c>
      <c r="C374" s="47">
        <f>IFERROR(__xludf.DUMMYFUNCTION("GOOGLEFINANCE(A374,""Marketcap"")"),1.5049705272E10)</f>
        <v>15049705272</v>
      </c>
      <c r="D374" s="16">
        <v>65.0</v>
      </c>
      <c r="E374" s="16" t="s">
        <v>6079</v>
      </c>
    </row>
    <row r="375">
      <c r="A375" s="16" t="s">
        <v>1047</v>
      </c>
      <c r="B375" s="16" t="str">
        <f>IFERROR(__xludf.DUMMYFUNCTION("GOOGLEFINANCE(A375,""name"")"),"Darden Restaurants Inc")</f>
        <v>Darden Restaurants Inc</v>
      </c>
      <c r="C375" s="47">
        <f>IFERROR(__xludf.DUMMYFUNCTION("GOOGLEFINANCE(A375,""Marketcap"")"),2.247520256E10)</f>
        <v>22475202560</v>
      </c>
      <c r="D375" s="16">
        <v>65.0</v>
      </c>
      <c r="E375" s="16" t="s">
        <v>6080</v>
      </c>
    </row>
    <row r="376">
      <c r="A376" s="16" t="s">
        <v>1348</v>
      </c>
      <c r="B376" s="16" t="str">
        <f>IFERROR(__xludf.DUMMYFUNCTION("GOOGLEFINANCE(A376,""name"")"),"Marriott International Inc")</f>
        <v>Marriott International Inc</v>
      </c>
      <c r="C376" s="47">
        <f>IFERROR(__xludf.DUMMYFUNCTION("GOOGLEFINANCE(A376,""Marketcap"")"),9.3129537816E10)</f>
        <v>93129537816</v>
      </c>
      <c r="D376" s="16">
        <v>65.0</v>
      </c>
      <c r="E376" s="16" t="s">
        <v>6081</v>
      </c>
    </row>
    <row r="377">
      <c r="A377" s="16" t="s">
        <v>864</v>
      </c>
      <c r="B377" s="16" t="str">
        <f>IFERROR(__xludf.DUMMYFUNCTION("GOOGLEFINANCE(A377,""name"")"),"PNC Financial Services Group Inc")</f>
        <v>PNC Financial Services Group Inc</v>
      </c>
      <c r="C377" s="47">
        <f>IFERROR(__xludf.DUMMYFUNCTION("GOOGLEFINANCE(A377,""Marketcap"")"),8.707928596E10)</f>
        <v>87079285960</v>
      </c>
      <c r="D377" s="16">
        <v>65.0</v>
      </c>
      <c r="E377" s="16" t="s">
        <v>6082</v>
      </c>
    </row>
    <row r="378">
      <c r="A378" s="16" t="s">
        <v>6083</v>
      </c>
      <c r="B378" s="16" t="str">
        <f>IFERROR(__xludf.DUMMYFUNCTION("GOOGLEFINANCE(A378,""name"")"),"Carma Ltd")</f>
        <v>Carma Ltd</v>
      </c>
      <c r="C378" s="47">
        <f>IFERROR(__xludf.DUMMYFUNCTION("GOOGLEFINANCE(A378,""Marketcap"")"),9.8243643E7)</f>
        <v>98243643</v>
      </c>
      <c r="D378" s="16">
        <v>65.0</v>
      </c>
      <c r="E378" s="16" t="s">
        <v>6084</v>
      </c>
    </row>
    <row r="379">
      <c r="A379" s="16" t="s">
        <v>1414</v>
      </c>
      <c r="B379" s="16" t="str">
        <f>IFERROR(__xludf.DUMMYFUNCTION("GOOGLEFINANCE(A379,""name"")"),"Campbell's Co")</f>
        <v>Campbell's Co</v>
      </c>
      <c r="C379" s="47">
        <f>IFERROR(__xludf.DUMMYFUNCTION("GOOGLEFINANCE(A379,""Marketcap"")"),6.213371021E9)</f>
        <v>6213371021</v>
      </c>
      <c r="D379" s="16">
        <v>60.0</v>
      </c>
      <c r="E379" s="16" t="s">
        <v>6085</v>
      </c>
    </row>
    <row r="380">
      <c r="A380" s="16" t="s">
        <v>766</v>
      </c>
      <c r="B380" s="16" t="str">
        <f>IFERROR(__xludf.DUMMYFUNCTION("GOOGLEFINANCE(A380,""name"")"),"Travelers Companies Inc")</f>
        <v>Travelers Companies Inc</v>
      </c>
      <c r="C380" s="47">
        <f>IFERROR(__xludf.DUMMYFUNCTION("GOOGLEFINANCE(A380,""Marketcap"")"),6.3376598401E10)</f>
        <v>63376598401</v>
      </c>
      <c r="D380" s="16">
        <v>60.0</v>
      </c>
      <c r="E380" s="16" t="s">
        <v>6086</v>
      </c>
    </row>
    <row r="381">
      <c r="A381" s="16" t="s">
        <v>1252</v>
      </c>
      <c r="B381" s="16" t="str">
        <f>IFERROR(__xludf.DUMMYFUNCTION("GOOGLEFINANCE(A381,""name"")"),"Truist Financial Corp")</f>
        <v>Truist Financial Corp</v>
      </c>
      <c r="C381" s="47">
        <f>IFERROR(__xludf.DUMMYFUNCTION("GOOGLEFINANCE(A381,""Marketcap"")"),6.118511845E10)</f>
        <v>61185118450</v>
      </c>
      <c r="D381" s="16">
        <v>60.0</v>
      </c>
      <c r="E381" s="16" t="s">
        <v>6087</v>
      </c>
    </row>
    <row r="382">
      <c r="A382" s="16" t="s">
        <v>423</v>
      </c>
      <c r="B382" s="16" t="str">
        <f>IFERROR(__xludf.DUMMYFUNCTION("GOOGLEFINANCE(A382,""name"")"),"Carnival Corp")</f>
        <v>Carnival Corp</v>
      </c>
      <c r="C382" s="47">
        <f>IFERROR(__xludf.DUMMYFUNCTION("GOOGLEFINANCE(A382,""Marketcap"")"),3.268481896E10)</f>
        <v>32684818960</v>
      </c>
      <c r="D382" s="16">
        <v>60.0</v>
      </c>
      <c r="E382" s="16" t="s">
        <v>6088</v>
      </c>
    </row>
    <row r="383">
      <c r="A383" s="16" t="s">
        <v>839</v>
      </c>
      <c r="B383" s="16" t="str">
        <f>IFERROR(__xludf.DUMMYFUNCTION("GOOGLEFINANCE(A383,""name"")"),"AvalonBay Communities Inc")</f>
        <v>AvalonBay Communities Inc</v>
      </c>
      <c r="C383" s="47">
        <f>IFERROR(__xludf.DUMMYFUNCTION("GOOGLEFINANCE(A383,""Marketcap"")"),2.560758995E10)</f>
        <v>25607589950</v>
      </c>
      <c r="D383" s="16">
        <v>60.0</v>
      </c>
      <c r="E383" s="16" t="s">
        <v>6089</v>
      </c>
    </row>
    <row r="384">
      <c r="A384" s="16" t="s">
        <v>17</v>
      </c>
      <c r="B384" s="16" t="str">
        <f>IFERROR(__xludf.DUMMYFUNCTION("GOOGLEFINANCE(A384,""name"")"),"Exxon Mobil Corp")</f>
        <v>Exxon Mobil Corp</v>
      </c>
      <c r="C384" s="47">
        <f>IFERROR(__xludf.DUMMYFUNCTION("GOOGLEFINANCE(A384,""Marketcap"")"),5.99235018148E11)</f>
        <v>599235018148</v>
      </c>
      <c r="D384" s="16">
        <v>60.0</v>
      </c>
      <c r="E384" s="16" t="s">
        <v>6090</v>
      </c>
    </row>
    <row r="385">
      <c r="A385" s="16" t="s">
        <v>1617</v>
      </c>
      <c r="B385" s="16" t="str">
        <f>IFERROR(__xludf.DUMMYFUNCTION("GOOGLEFINANCE(A385,""name"")"),"Super Micro Computer Inc")</f>
        <v>Super Micro Computer Inc</v>
      </c>
      <c r="C385" s="47">
        <f>IFERROR(__xludf.DUMMYFUNCTION("GOOGLEFINANCE(A385,""Marketcap"")"),2.123905E10)</f>
        <v>21239050000</v>
      </c>
      <c r="D385" s="16">
        <v>60.0</v>
      </c>
      <c r="E385" s="16" t="s">
        <v>6091</v>
      </c>
    </row>
    <row r="386">
      <c r="A386" s="16" t="s">
        <v>459</v>
      </c>
      <c r="B386" s="16" t="str">
        <f>IFERROR(__xludf.DUMMYFUNCTION("GOOGLEFINANCE(A386,""name"")"),"Vertex Pharmaceuticals Inc")</f>
        <v>Vertex Pharmaceuticals Inc</v>
      </c>
      <c r="C386" s="47">
        <f>IFERROR(__xludf.DUMMYFUNCTION("GOOGLEFINANCE(A386,""Marketcap"")"),1.090906E11)</f>
        <v>109090600000</v>
      </c>
      <c r="D386" s="16">
        <v>50.0</v>
      </c>
      <c r="E386" s="16" t="s">
        <v>6092</v>
      </c>
    </row>
    <row r="387">
      <c r="A387" s="16" t="s">
        <v>1254</v>
      </c>
      <c r="B387" s="16" t="str">
        <f>IFERROR(__xludf.DUMMYFUNCTION("GOOGLEFINANCE(A387,""name"")"),"NiSource Inc")</f>
        <v>NiSource Inc</v>
      </c>
      <c r="C387" s="47">
        <f>IFERROR(__xludf.DUMMYFUNCTION("GOOGLEFINANCE(A387,""Marketcap"")"),2.2399395337E10)</f>
        <v>22399395337</v>
      </c>
      <c r="D387" s="16">
        <v>50.0</v>
      </c>
      <c r="E387" s="16" t="s">
        <v>6093</v>
      </c>
    </row>
    <row r="388">
      <c r="A388" s="16" t="s">
        <v>1359</v>
      </c>
      <c r="B388" s="16" t="str">
        <f>IFERROR(__xludf.DUMMYFUNCTION("GOOGLEFINANCE(A388,""name"")"),"Mohawk Industries Inc")</f>
        <v>Mohawk Industries Inc</v>
      </c>
      <c r="C388" s="47">
        <f>IFERROR(__xludf.DUMMYFUNCTION("GOOGLEFINANCE(A388,""Marketcap"")"),6.328764637E9)</f>
        <v>6328764637</v>
      </c>
      <c r="D388" s="16">
        <v>50.0</v>
      </c>
      <c r="E388" s="16" t="s">
        <v>6094</v>
      </c>
    </row>
    <row r="389">
      <c r="A389" s="16" t="s">
        <v>780</v>
      </c>
      <c r="B389" s="16" t="str">
        <f>IFERROR(__xludf.DUMMYFUNCTION("GOOGLEFINANCE(A389,""name"")"),"Resmed Inc")</f>
        <v>Resmed Inc</v>
      </c>
      <c r="C389" s="47">
        <f>IFERROR(__xludf.DUMMYFUNCTION("GOOGLEFINANCE(A389,""Marketcap"")"),2.9991839791E10)</f>
        <v>29991839791</v>
      </c>
      <c r="D389" s="16">
        <v>50.0</v>
      </c>
      <c r="E389" s="16" t="s">
        <v>6095</v>
      </c>
    </row>
    <row r="390">
      <c r="A390" s="16" t="s">
        <v>1121</v>
      </c>
      <c r="B390" s="16" t="str">
        <f>IFERROR(__xludf.DUMMYFUNCTION("GOOGLEFINANCE(A390,""name"")"),"General Mills Inc")</f>
        <v>General Mills Inc</v>
      </c>
      <c r="C390" s="47">
        <f>IFERROR(__xludf.DUMMYFUNCTION("GOOGLEFINANCE(A390,""Marketcap"")"),1.8508067646E10)</f>
        <v>18508067646</v>
      </c>
      <c r="D390" s="16">
        <v>50.0</v>
      </c>
      <c r="E390" s="16" t="s">
        <v>6096</v>
      </c>
    </row>
    <row r="391">
      <c r="A391" s="16" t="s">
        <v>245</v>
      </c>
      <c r="B391" s="16" t="str">
        <f>IFERROR(__xludf.DUMMYFUNCTION("GOOGLEFINANCE(A391,""name"")"),"GE Vernova Inc")</f>
        <v>GE Vernova Inc</v>
      </c>
      <c r="C391" s="47">
        <f>IFERROR(__xludf.DUMMYFUNCTION("GOOGLEFINANCE(A391,""Marketcap"")"),2.7950911456E11)</f>
        <v>279509114560</v>
      </c>
      <c r="D391" s="16">
        <v>50.0</v>
      </c>
      <c r="E391" s="16" t="s">
        <v>6097</v>
      </c>
    </row>
    <row r="392">
      <c r="A392" s="16" t="s">
        <v>1515</v>
      </c>
      <c r="B392" s="16" t="str">
        <f>IFERROR(__xludf.DUMMYFUNCTION("GOOGLEFINANCE(A392,""name"")"),"Colgate-Palmolive Co")</f>
        <v>Colgate-Palmolive Co</v>
      </c>
      <c r="C392" s="47">
        <f>IFERROR(__xludf.DUMMYFUNCTION("GOOGLEFINANCE(A392,""Marketcap"")"),7.0056575656E10)</f>
        <v>70056575656</v>
      </c>
      <c r="D392" s="16">
        <v>50.0</v>
      </c>
      <c r="E392" s="16" t="s">
        <v>6098</v>
      </c>
    </row>
    <row r="393">
      <c r="A393" s="16" t="s">
        <v>995</v>
      </c>
      <c r="B393" s="16" t="str">
        <f>IFERROR(__xludf.DUMMYFUNCTION("GOOGLEFINANCE(A393,""name"")"),"Fifth Third Bancorp")</f>
        <v>Fifth Third Bancorp</v>
      </c>
      <c r="C393" s="47">
        <f>IFERROR(__xludf.DUMMYFUNCTION("GOOGLEFINANCE(A393,""Marketcap"")"),4.4708352887E10)</f>
        <v>44708352887</v>
      </c>
      <c r="D393" s="16">
        <v>50.0</v>
      </c>
      <c r="E393" s="16" t="s">
        <v>6099</v>
      </c>
    </row>
    <row r="394">
      <c r="A394" s="16" t="s">
        <v>1133</v>
      </c>
      <c r="B394" s="16" t="str">
        <f>IFERROR(__xludf.DUMMYFUNCTION("GOOGLEFINANCE(A394,""name"")"),"Cisco Systems Inc")</f>
        <v>Cisco Systems Inc</v>
      </c>
      <c r="C394" s="47">
        <f>IFERROR(__xludf.DUMMYFUNCTION("GOOGLEFINANCE(A394,""Marketcap"")"),3.81441165804E11)</f>
        <v>381441165804</v>
      </c>
      <c r="D394" s="16">
        <v>50.0</v>
      </c>
      <c r="E394" s="16" t="s">
        <v>6100</v>
      </c>
    </row>
    <row r="395">
      <c r="A395" s="16" t="s">
        <v>1437</v>
      </c>
      <c r="B395" s="16" t="str">
        <f>IFERROR(__xludf.DUMMYFUNCTION("GOOGLEFINANCE(A395,""name"")"),"Dow Inc")</f>
        <v>Dow Inc</v>
      </c>
      <c r="C395" s="47">
        <f>IFERROR(__xludf.DUMMYFUNCTION("GOOGLEFINANCE(A395,""Marketcap"")"),2.6573734648E10)</f>
        <v>26573734648</v>
      </c>
      <c r="D395" s="16">
        <v>50.0</v>
      </c>
      <c r="E395" s="16" t="s">
        <v>6101</v>
      </c>
    </row>
    <row r="396">
      <c r="A396" s="16" t="s">
        <v>4860</v>
      </c>
      <c r="B396" s="16" t="str">
        <f>IFERROR(__xludf.DUMMYFUNCTION("GOOGLEFINANCE(A396,""name"")"),"Bio-Rad Laboratories, Inc. Class A Common Stock")</f>
        <v>Bio-Rad Laboratories, Inc. Class A Common Stock</v>
      </c>
      <c r="C396" s="47">
        <f>IFERROR(__xludf.DUMMYFUNCTION("GOOGLEFINANCE(A396,""Marketcap"")"),6.82574554E9)</f>
        <v>6825745540</v>
      </c>
      <c r="D396" s="48"/>
      <c r="E396" s="16" t="s">
        <v>6102</v>
      </c>
    </row>
    <row r="397">
      <c r="A397" s="16" t="s">
        <v>1452</v>
      </c>
      <c r="B397" s="16" t="str">
        <f>IFERROR(__xludf.DUMMYFUNCTION("GOOGLEFINANCE(A397,""name"")"),"Brown-Forman Corp Class B")</f>
        <v>Brown-Forman Corp Class B</v>
      </c>
      <c r="C397" s="47">
        <f>IFERROR(__xludf.DUMMYFUNCTION("GOOGLEFINANCE(A397,""Marketcap"")"),1.2836553085E10)</f>
        <v>12836553085</v>
      </c>
      <c r="D397" s="48"/>
      <c r="E397" s="16" t="s">
        <v>6103</v>
      </c>
    </row>
    <row r="398">
      <c r="A398" s="16" t="s">
        <v>1019</v>
      </c>
      <c r="B398" s="16" t="str">
        <f>IFERROR(__xludf.DUMMYFUNCTION("GOOGLEFINANCE(A398,""name"")"),"Bunge Global SA")</f>
        <v>Bunge Global SA</v>
      </c>
      <c r="C398" s="47">
        <f>IFERROR(__xludf.DUMMYFUNCTION("GOOGLEFINANCE(A398,""Marketcap"")"),2.4240621887E10)</f>
        <v>24240621887</v>
      </c>
      <c r="D398" s="48"/>
      <c r="E398" s="16" t="s">
        <v>6104</v>
      </c>
    </row>
    <row r="399">
      <c r="A399" s="16" t="s">
        <v>1309</v>
      </c>
      <c r="B399" s="16" t="str">
        <f>IFERROR(__xludf.DUMMYFUNCTION("GOOGLEFINANCE(A399,""name"")"),"Carmax Inc")</f>
        <v>Carmax Inc</v>
      </c>
      <c r="C399" s="47">
        <f>IFERROR(__xludf.DUMMYFUNCTION("GOOGLEFINANCE(A399,""Marketcap"")"),5.721047059E9)</f>
        <v>5721047059</v>
      </c>
      <c r="D399" s="48"/>
      <c r="E399" s="16" t="s">
        <v>6105</v>
      </c>
    </row>
    <row r="400">
      <c r="A400" s="16" t="s">
        <v>147</v>
      </c>
      <c r="B400" s="16" t="str">
        <f>IFERROR(__xludf.DUMMYFUNCTION("GOOGLEFINANCE(A400,""name"")"),"Cencora Inc")</f>
        <v>Cencora Inc</v>
      </c>
      <c r="C400" s="47">
        <f>IFERROR(__xludf.DUMMYFUNCTION("GOOGLEFINANCE(A400,""Marketcap"")"),1.1539140144E10)</f>
        <v>11539140144</v>
      </c>
      <c r="D400" s="48"/>
      <c r="E400" s="16" t="s">
        <v>6106</v>
      </c>
    </row>
    <row r="401">
      <c r="A401" s="16" t="s">
        <v>472</v>
      </c>
      <c r="B401" s="16" t="str">
        <f>IFERROR(__xludf.DUMMYFUNCTION("GOOGLEFINANCE(A401,""name"")"),"CF Industries Holdings, Inc.")</f>
        <v>CF Industries Holdings, Inc.</v>
      </c>
      <c r="C401" s="47">
        <f>IFERROR(__xludf.DUMMYFUNCTION("GOOGLEFINANCE(A401,""Marketcap"")"),1.7668957812E10)</f>
        <v>17668957812</v>
      </c>
      <c r="D401" s="48"/>
      <c r="E401" s="16" t="s">
        <v>6107</v>
      </c>
    </row>
    <row r="402">
      <c r="A402" s="16" t="s">
        <v>888</v>
      </c>
      <c r="B402" s="16" t="str">
        <f>IFERROR(__xludf.DUMMYFUNCTION("GOOGLEFINANCE(A402,""name"")"),"Charles Schwab Corporation Common Stock")</f>
        <v>Charles Schwab Corporation Common Stock</v>
      </c>
      <c r="C402" s="47">
        <f>IFERROR(__xludf.DUMMYFUNCTION("GOOGLEFINANCE(A402,""Marketcap"")"),1.5401295345E11)</f>
        <v>154012953450</v>
      </c>
      <c r="D402" s="48"/>
      <c r="E402" s="16" t="s">
        <v>6108</v>
      </c>
    </row>
    <row r="403">
      <c r="A403" s="16" t="s">
        <v>55</v>
      </c>
      <c r="B403" s="16" t="str">
        <f>IFERROR(__xludf.DUMMYFUNCTION("GOOGLEFINANCE(A403,""name"")"),"Chubb Limited")</f>
        <v>Chubb Limited</v>
      </c>
      <c r="C403" s="47">
        <f>IFERROR(__xludf.DUMMYFUNCTION("GOOGLEFINANCE(A403,""Marketcap"")"),1.23975608045E11)</f>
        <v>123975608045</v>
      </c>
      <c r="D403" s="48"/>
      <c r="E403" s="16" t="s">
        <v>6109</v>
      </c>
    </row>
    <row r="404">
      <c r="A404" s="16" t="s">
        <v>785</v>
      </c>
      <c r="B404" s="16" t="str">
        <f>IFERROR(__xludf.DUMMYFUNCTION("GOOGLEFINANCE(A404,""name"")"),"Cigna Group")</f>
        <v>Cigna Group</v>
      </c>
      <c r="C404" s="47">
        <f>IFERROR(__xludf.DUMMYFUNCTION("GOOGLEFINANCE(A404,""Marketcap"")"),7.6201173692E10)</f>
        <v>76201173692</v>
      </c>
      <c r="D404" s="48"/>
      <c r="E404" s="16" t="s">
        <v>6110</v>
      </c>
    </row>
    <row r="405">
      <c r="A405" s="16" t="s">
        <v>873</v>
      </c>
      <c r="B405" s="16" t="str">
        <f>IFERROR(__xludf.DUMMYFUNCTION("GOOGLEFINANCE(A405,""name"")"),"Citigroup Inc")</f>
        <v>Citigroup Inc</v>
      </c>
      <c r="C405" s="47">
        <f>IFERROR(__xludf.DUMMYFUNCTION("GOOGLEFINANCE(A405,""Marketcap"")"),2.14137959655E11)</f>
        <v>214137959655</v>
      </c>
      <c r="D405" s="48"/>
      <c r="E405" s="16" t="s">
        <v>6111</v>
      </c>
    </row>
    <row r="406">
      <c r="A406" s="16" t="s">
        <v>404</v>
      </c>
      <c r="B406" s="16" t="str">
        <f>IFERROR(__xludf.DUMMYFUNCTION("GOOGLEFINANCE(A406,""name"")"),"Coca-Cola Co")</f>
        <v>Coca-Cola Co</v>
      </c>
      <c r="C406" s="47">
        <f>IFERROR(__xludf.DUMMYFUNCTION("GOOGLEFINANCE(A406,""Marketcap"")"),3.37400630561E11)</f>
        <v>337400630561</v>
      </c>
      <c r="D406" s="48"/>
      <c r="E406" s="16" t="s">
        <v>6112</v>
      </c>
    </row>
    <row r="407">
      <c r="A407" s="16" t="s">
        <v>1128</v>
      </c>
      <c r="B407" s="16" t="str">
        <f>IFERROR(__xludf.DUMMYFUNCTION("GOOGLEFINANCE(A407,""name"")"),"Cognizant Technology Solutions Corp")</f>
        <v>Cognizant Technology Solutions Corp</v>
      </c>
      <c r="C407" s="47">
        <f>IFERROR(__xludf.DUMMYFUNCTION("GOOGLEFINANCE(A407,""Marketcap"")"),2.4489570736E10)</f>
        <v>24489570736</v>
      </c>
      <c r="D407" s="48"/>
      <c r="E407" s="16" t="s">
        <v>6113</v>
      </c>
    </row>
    <row r="408">
      <c r="A408" s="16" t="s">
        <v>1239</v>
      </c>
      <c r="B408" s="16" t="str">
        <f>IFERROR(__xludf.DUMMYFUNCTION("GOOGLEFINANCE(A408,""name"")"),"Constellation Brands Inc")</f>
        <v>Constellation Brands Inc</v>
      </c>
      <c r="C408" s="47">
        <f>IFERROR(__xludf.DUMMYFUNCTION("GOOGLEFINANCE(A408,""Marketcap"")"),2.552152602E10)</f>
        <v>25521526020</v>
      </c>
      <c r="D408" s="48"/>
      <c r="E408" s="16" t="s">
        <v>6114</v>
      </c>
    </row>
    <row r="409">
      <c r="A409" s="16" t="s">
        <v>1511</v>
      </c>
      <c r="B409" s="16" t="str">
        <f>IFERROR(__xludf.DUMMYFUNCTION("GOOGLEFINANCE(A409,""name"")"),"Constellation Energy Corp")</f>
        <v>Constellation Energy Corp</v>
      </c>
      <c r="C409" s="47">
        <f>IFERROR(__xludf.DUMMYFUNCTION("GOOGLEFINANCE(A409,""Marketcap"")"),1.1000354153E11)</f>
        <v>110003541530</v>
      </c>
      <c r="D409" s="48"/>
      <c r="E409" s="16" t="s">
        <v>6115</v>
      </c>
    </row>
    <row r="410">
      <c r="A410" s="16" t="s">
        <v>1520</v>
      </c>
      <c r="B410" s="16" t="str">
        <f>IFERROR(__xludf.DUMMYFUNCTION("GOOGLEFINANCE(A410,""name"")"),"Corpay Inc")</f>
        <v>Corpay Inc</v>
      </c>
      <c r="C410" s="47">
        <f>IFERROR(__xludf.DUMMYFUNCTION("GOOGLEFINANCE(A410,""Marketcap"")"),2.2748746034E10)</f>
        <v>22748746034</v>
      </c>
      <c r="D410" s="48"/>
      <c r="E410" s="16" t="s">
        <v>6116</v>
      </c>
    </row>
    <row r="411">
      <c r="A411" s="16" t="s">
        <v>1256</v>
      </c>
      <c r="B411" s="16" t="str">
        <f>IFERROR(__xludf.DUMMYFUNCTION("GOOGLEFINANCE(A411,""name"")"),"CSX Corp")</f>
        <v>CSX Corp</v>
      </c>
      <c r="C411" s="47">
        <f>IFERROR(__xludf.DUMMYFUNCTION("GOOGLEFINANCE(A411,""Marketcap"")"),8.330037E10)</f>
        <v>83300370000</v>
      </c>
      <c r="D411" s="48"/>
      <c r="E411" s="16" t="s">
        <v>6117</v>
      </c>
    </row>
    <row r="412">
      <c r="A412" s="16" t="s">
        <v>143</v>
      </c>
      <c r="B412" s="16" t="str">
        <f>IFERROR(__xludf.DUMMYFUNCTION("GOOGLEFINANCE(A412,""name"")"),"Cummins Inc")</f>
        <v>Cummins Inc</v>
      </c>
      <c r="C412" s="47">
        <f>IFERROR(__xludf.DUMMYFUNCTION("GOOGLEFINANCE(A412,""Marketcap"")"),9.3770423265E10)</f>
        <v>93770423265</v>
      </c>
      <c r="D412" s="48"/>
      <c r="E412" s="16" t="s">
        <v>6118</v>
      </c>
    </row>
    <row r="413">
      <c r="A413" s="16" t="s">
        <v>1260</v>
      </c>
      <c r="B413" s="16" t="str">
        <f>IFERROR(__xludf.DUMMYFUNCTION("GOOGLEFINANCE(A413,""name"")"),"NASDAQ US Dividend Achievers 50 Index")</f>
        <v>NASDAQ US Dividend Achievers 50 Index</v>
      </c>
      <c r="C413" s="47" t="str">
        <f>IFERROR(__xludf.DUMMYFUNCTION("GOOGLEFINANCE(A413,""Marketcap"")"),"#N/A")</f>
        <v>#N/A</v>
      </c>
      <c r="D413" s="48"/>
      <c r="E413" s="16" t="s">
        <v>6119</v>
      </c>
    </row>
    <row r="414">
      <c r="A414" s="16" t="s">
        <v>295</v>
      </c>
      <c r="B414" s="16" t="str">
        <f>IFERROR(__xludf.DUMMYFUNCTION("GOOGLEFINANCE(A414,""name"")"),"Deere &amp; Co")</f>
        <v>Deere &amp; Co</v>
      </c>
      <c r="C414" s="47">
        <f>IFERROR(__xludf.DUMMYFUNCTION("GOOGLEFINANCE(A414,""Marketcap"")"),1.55268487585E11)</f>
        <v>155268487585</v>
      </c>
      <c r="D414" s="48"/>
      <c r="E414" s="16" t="s">
        <v>6120</v>
      </c>
    </row>
    <row r="415">
      <c r="A415" s="16" t="s">
        <v>127</v>
      </c>
      <c r="B415" s="16" t="str">
        <f>IFERROR(__xludf.DUMMYFUNCTION("GOOGLEFINANCE(A415,""name"")"),"Diamondback Energy Inc")</f>
        <v>Diamondback Energy Inc</v>
      </c>
      <c r="C415" s="47">
        <f>IFERROR(__xludf.DUMMYFUNCTION("GOOGLEFINANCE(A415,""Marketcap"")"),5.3083818851E10)</f>
        <v>53083818851</v>
      </c>
      <c r="D415" s="48"/>
      <c r="E415" s="16" t="s">
        <v>6121</v>
      </c>
    </row>
    <row r="416">
      <c r="A416" s="16" t="s">
        <v>1375</v>
      </c>
      <c r="B416" s="16" t="str">
        <f>IFERROR(__xludf.DUMMYFUNCTION("GOOGLEFINANCE(A416,""name"")"),"Dollar General Corp")</f>
        <v>Dollar General Corp</v>
      </c>
      <c r="C416" s="47">
        <f>IFERROR(__xludf.DUMMYFUNCTION("GOOGLEFINANCE(A416,""Marketcap"")"),2.4949437728E10)</f>
        <v>24949437728</v>
      </c>
      <c r="D416" s="48"/>
      <c r="E416" s="16" t="s">
        <v>6122</v>
      </c>
    </row>
    <row r="417">
      <c r="A417" s="16" t="s">
        <v>911</v>
      </c>
      <c r="B417" s="16" t="str">
        <f>IFERROR(__xludf.DUMMYFUNCTION("GOOGLEFINANCE(A417,""name"")"),"Domino's Pizza Inc")</f>
        <v>Domino's Pizza Inc</v>
      </c>
      <c r="C417" s="47">
        <f>IFERROR(__xludf.DUMMYFUNCTION("GOOGLEFINANCE(A417,""Marketcap"")"),1.0759550073E10)</f>
        <v>10759550073</v>
      </c>
      <c r="D417" s="48"/>
      <c r="E417" s="16" t="s">
        <v>6123</v>
      </c>
    </row>
    <row r="418">
      <c r="A418" s="16" t="s">
        <v>1524</v>
      </c>
      <c r="B418" s="16" t="str">
        <f>IFERROR(__xludf.DUMMYFUNCTION("GOOGLEFINANCE(A418,""name"")"),"D.R. Horton Inc")</f>
        <v>D.R. Horton Inc</v>
      </c>
      <c r="C418" s="47">
        <f>IFERROR(__xludf.DUMMYFUNCTION("GOOGLEFINANCE(A418,""Marketcap"")"),4.1864857732E10)</f>
        <v>41864857732</v>
      </c>
      <c r="D418" s="48"/>
      <c r="E418" s="16" t="s">
        <v>6124</v>
      </c>
    </row>
    <row r="419">
      <c r="A419" s="16" t="s">
        <v>1034</v>
      </c>
      <c r="B419" s="16" t="str">
        <f>IFERROR(__xludf.DUMMYFUNCTION("GOOGLEFINANCE(A419,""name"")"),"Duke Energy Corp")</f>
        <v>Duke Energy Corp</v>
      </c>
      <c r="C419" s="47">
        <f>IFERROR(__xludf.DUMMYFUNCTION("GOOGLEFINANCE(A419,""Marketcap"")"),9.6802458726E10)</f>
        <v>96802458726</v>
      </c>
      <c r="D419" s="48"/>
      <c r="E419" s="16" t="s">
        <v>6125</v>
      </c>
    </row>
    <row r="420">
      <c r="A420" s="16" t="s">
        <v>859</v>
      </c>
      <c r="B420" s="16" t="str">
        <f>IFERROR(__xludf.DUMMYFUNCTION("GOOGLEFINANCE(A420,""name"")"),"DuPont de Nemours Inc")</f>
        <v>DuPont de Nemours Inc</v>
      </c>
      <c r="C420" s="47">
        <f>IFERROR(__xludf.DUMMYFUNCTION("GOOGLEFINANCE(A420,""Marketcap"")"),2.0397678223E10)</f>
        <v>20397678223</v>
      </c>
      <c r="D420" s="48"/>
      <c r="E420" s="16" t="s">
        <v>6126</v>
      </c>
    </row>
    <row r="421">
      <c r="A421" s="16" t="s">
        <v>1334</v>
      </c>
      <c r="B421" s="16" t="str">
        <f>IFERROR(__xludf.DUMMYFUNCTION("GOOGLEFINANCE(A421,""name"")"),"eBay Inc")</f>
        <v>eBay Inc</v>
      </c>
      <c r="C421" s="47">
        <f>IFERROR(__xludf.DUMMYFUNCTION("GOOGLEFINANCE(A421,""Marketcap"")"),4.7814361083E10)</f>
        <v>47814361083</v>
      </c>
      <c r="D421" s="48"/>
      <c r="E421" s="16" t="s">
        <v>6127</v>
      </c>
    </row>
    <row r="422">
      <c r="A422" s="16" t="s">
        <v>1189</v>
      </c>
      <c r="B422" s="16" t="str">
        <f>IFERROR(__xludf.DUMMYFUNCTION("GOOGLEFINANCE(A422,""name"")"),"Electronic Arts Inc")</f>
        <v>Electronic Arts Inc</v>
      </c>
      <c r="C422" s="47">
        <f>IFERROR(__xludf.DUMMYFUNCTION("GOOGLEFINANCE(A422,""Marketcap"")"),5.0160852238E10)</f>
        <v>50160852238</v>
      </c>
      <c r="D422" s="48"/>
      <c r="E422" s="16" t="s">
        <v>6128</v>
      </c>
    </row>
    <row r="423">
      <c r="A423" s="16" t="s">
        <v>1530</v>
      </c>
      <c r="B423" s="16" t="str">
        <f>IFERROR(__xludf.DUMMYFUNCTION("GOOGLEFINANCE(A423,""name"")"),"Elevance Health Inc")</f>
        <v>Elevance Health Inc</v>
      </c>
      <c r="C423" s="47">
        <f>IFERROR(__xludf.DUMMYFUNCTION("GOOGLEFINANCE(A423,""Marketcap"")"),8.210258E10)</f>
        <v>82102580000</v>
      </c>
      <c r="D423" s="48"/>
      <c r="E423" s="16" t="s">
        <v>6129</v>
      </c>
    </row>
    <row r="424">
      <c r="A424" s="16" t="s">
        <v>139</v>
      </c>
      <c r="B424" s="16" t="str">
        <f>IFERROR(__xludf.DUMMYFUNCTION("GOOGLEFINANCE(A424,""name"")"),"Emerson Electric Co")</f>
        <v>Emerson Electric Co</v>
      </c>
      <c r="C424" s="47">
        <f>IFERROR(__xludf.DUMMYFUNCTION("GOOGLEFINANCE(A424,""Marketcap"")"),7.9147729632E10)</f>
        <v>79147729632</v>
      </c>
      <c r="D424" s="48"/>
      <c r="E424" s="16" t="s">
        <v>6130</v>
      </c>
    </row>
    <row r="425">
      <c r="A425" s="16" t="s">
        <v>1472</v>
      </c>
      <c r="B425" s="16" t="str">
        <f>IFERROR(__xludf.DUMMYFUNCTION("GOOGLEFINANCE(A425,""name"")"),"Estee Lauder Companies Inc")</f>
        <v>Estee Lauder Companies Inc</v>
      </c>
      <c r="C425" s="47">
        <f>IFERROR(__xludf.DUMMYFUNCTION("GOOGLEFINANCE(A425,""Marketcap"")"),3.1186719275E10)</f>
        <v>31186719275</v>
      </c>
      <c r="D425" s="48"/>
      <c r="E425" s="16" t="s">
        <v>6131</v>
      </c>
    </row>
    <row r="426">
      <c r="A426" s="16" t="s">
        <v>978</v>
      </c>
      <c r="B426" s="16" t="str">
        <f>IFERROR(__xludf.DUMMYFUNCTION("GOOGLEFINANCE(A426,""name"")"),"Everest Group Ltd")</f>
        <v>Everest Group Ltd</v>
      </c>
      <c r="C426" s="47">
        <f>IFERROR(__xludf.DUMMYFUNCTION("GOOGLEFINANCE(A426,""Marketcap"")"),1.3910208397E10)</f>
        <v>13910208397</v>
      </c>
      <c r="D426" s="48"/>
      <c r="E426" s="16" t="s">
        <v>6132</v>
      </c>
    </row>
    <row r="427">
      <c r="A427" s="16" t="s">
        <v>91</v>
      </c>
      <c r="B427" s="16" t="str">
        <f>IFERROR(__xludf.DUMMYFUNCTION("GOOGLEFINANCE(A427,""name"")"),"Fox Corp Class A")</f>
        <v>Fox Corp Class A</v>
      </c>
      <c r="C427" s="47">
        <f>IFERROR(__xludf.DUMMYFUNCTION("GOOGLEFINANCE(A427,""Marketcap"")"),2.5377967612E10)</f>
        <v>25377967612</v>
      </c>
      <c r="D427" s="48"/>
      <c r="E427" s="16" t="s">
        <v>6133</v>
      </c>
    </row>
    <row r="428">
      <c r="A428" s="16" t="s">
        <v>145</v>
      </c>
      <c r="B428" s="16" t="str">
        <f>IFERROR(__xludf.DUMMYFUNCTION("GOOGLEFINANCE(A428,""name"")"),"Franklin Resources Inc")</f>
        <v>Franklin Resources Inc</v>
      </c>
      <c r="C428" s="47">
        <f>IFERROR(__xludf.DUMMYFUNCTION("GOOGLEFINANCE(A428,""Marketcap"")"),1.6134734663E10)</f>
        <v>16134734663</v>
      </c>
      <c r="D428" s="48"/>
      <c r="E428" s="16" t="s">
        <v>6134</v>
      </c>
    </row>
    <row r="429">
      <c r="A429" s="16" t="s">
        <v>66</v>
      </c>
      <c r="B429" s="16" t="str">
        <f>IFERROR(__xludf.DUMMYFUNCTION("GOOGLEFINANCE(A429,""name"")"),"Garmin Ltd")</f>
        <v>Garmin Ltd</v>
      </c>
      <c r="C429" s="47">
        <f>IFERROR(__xludf.DUMMYFUNCTION("GOOGLEFINANCE(A429,""Marketcap"")"),4.6302844351E10)</f>
        <v>46302844351</v>
      </c>
      <c r="D429" s="48"/>
      <c r="E429" s="16" t="s">
        <v>6135</v>
      </c>
    </row>
    <row r="430">
      <c r="A430" s="16" t="s">
        <v>1002</v>
      </c>
      <c r="B430" s="16" t="str">
        <f>IFERROR(__xludf.DUMMYFUNCTION("GOOGLEFINANCE(A430,""name"")"),"General Electric Co")</f>
        <v>General Electric Co</v>
      </c>
      <c r="C430" s="47">
        <f>IFERROR(__xludf.DUMMYFUNCTION("GOOGLEFINANCE(A430,""Marketcap"")"),3.10027583181E11)</f>
        <v>310027583181</v>
      </c>
      <c r="D430" s="48"/>
      <c r="E430" s="16" t="s">
        <v>6136</v>
      </c>
    </row>
    <row r="431">
      <c r="A431" s="16" t="s">
        <v>1289</v>
      </c>
      <c r="B431" s="16" t="str">
        <f>IFERROR(__xludf.DUMMYFUNCTION("GOOGLEFINANCE(A431,""name"")"),"Gen Digital Inc")</f>
        <v>Gen Digital Inc</v>
      </c>
      <c r="C431" s="47">
        <f>IFERROR(__xludf.DUMMYFUNCTION("GOOGLEFINANCE(A431,""Marketcap"")"),1.3736450632E10)</f>
        <v>13736450632</v>
      </c>
      <c r="D431" s="48"/>
      <c r="E431" s="16" t="s">
        <v>6137</v>
      </c>
    </row>
    <row r="432">
      <c r="A432" s="16" t="s">
        <v>128</v>
      </c>
      <c r="B432" s="16" t="str">
        <f>IFERROR(__xludf.DUMMYFUNCTION("GOOGLEFINANCE(A432,""name"")"),"Global Payments Inc")</f>
        <v>Global Payments Inc</v>
      </c>
      <c r="C432" s="47">
        <f>IFERROR(__xludf.DUMMYFUNCTION("GOOGLEFINANCE(A432,""Marketcap"")"),1.8916325259E10)</f>
        <v>18916325259</v>
      </c>
      <c r="D432" s="48"/>
      <c r="E432" s="16" t="s">
        <v>6138</v>
      </c>
    </row>
    <row r="433">
      <c r="A433" s="16" t="s">
        <v>1551</v>
      </c>
      <c r="B433" s="16" t="str">
        <f>IFERROR(__xludf.DUMMYFUNCTION("GOOGLEFINANCE(A433,""name"")"),"Halliburton Co")</f>
        <v>Halliburton Co</v>
      </c>
      <c r="C433" s="47">
        <f>IFERROR(__xludf.DUMMYFUNCTION("GOOGLEFINANCE(A433,""Marketcap"")"),3.327389192E10)</f>
        <v>33273891920</v>
      </c>
      <c r="D433" s="48"/>
      <c r="E433" s="16" t="s">
        <v>6139</v>
      </c>
    </row>
    <row r="434">
      <c r="A434" s="16" t="s">
        <v>1295</v>
      </c>
      <c r="B434" s="16" t="str">
        <f>IFERROR(__xludf.DUMMYFUNCTION("GOOGLEFINANCE(A434,""name"")"),"Hasbro Inc")</f>
        <v>Hasbro Inc</v>
      </c>
      <c r="C434" s="47">
        <f>IFERROR(__xludf.DUMMYFUNCTION("GOOGLEFINANCE(A434,""Marketcap"")"),1.3837972097E10)</f>
        <v>13837972097</v>
      </c>
      <c r="D434" s="48"/>
      <c r="E434" s="16" t="s">
        <v>6140</v>
      </c>
    </row>
    <row r="435">
      <c r="A435" s="16" t="s">
        <v>1281</v>
      </c>
      <c r="B435" s="16" t="str">
        <f>IFERROR(__xludf.DUMMYFUNCTION("GOOGLEFINANCE(A435,""name"")"),"Henry Schein Inc")</f>
        <v>Henry Schein Inc</v>
      </c>
      <c r="C435" s="47">
        <f>IFERROR(__xludf.DUMMYFUNCTION("GOOGLEFINANCE(A435,""Marketcap"")"),8.067580659E9)</f>
        <v>8067580659</v>
      </c>
      <c r="D435" s="48"/>
      <c r="E435" s="16" t="s">
        <v>6141</v>
      </c>
    </row>
    <row r="436">
      <c r="A436" s="16" t="s">
        <v>1102</v>
      </c>
      <c r="B436" s="16" t="str">
        <f>IFERROR(__xludf.DUMMYFUNCTION("GOOGLEFINANCE(A436,""name"")"),"Hershey Co")</f>
        <v>Hershey Co</v>
      </c>
      <c r="C436" s="47">
        <f>IFERROR(__xludf.DUMMYFUNCTION("GOOGLEFINANCE(A436,""Marketcap"")"),3.7716683697E10)</f>
        <v>37716683697</v>
      </c>
      <c r="D436" s="48"/>
      <c r="E436" s="16" t="s">
        <v>6142</v>
      </c>
    </row>
    <row r="437">
      <c r="A437" s="16" t="s">
        <v>1293</v>
      </c>
      <c r="B437" s="16" t="str">
        <f>IFERROR(__xludf.DUMMYFUNCTION("GOOGLEFINANCE(A437,""name"")"),"Host Hotels and Resorts, Inc")</f>
        <v>Host Hotels and Resorts, Inc</v>
      </c>
      <c r="C437" s="47">
        <f>IFERROR(__xludf.DUMMYFUNCTION("GOOGLEFINANCE(A437,""Marketcap"")"),1.5252718859E10)</f>
        <v>15252718859</v>
      </c>
      <c r="D437" s="48"/>
      <c r="E437" s="16" t="s">
        <v>6143</v>
      </c>
    </row>
    <row r="438">
      <c r="A438" s="16" t="s">
        <v>1100</v>
      </c>
      <c r="B438" s="16" t="str">
        <f>IFERROR(__xludf.DUMMYFUNCTION("GOOGLEFINANCE(A438,""name"")"),"HP Inc")</f>
        <v>HP Inc</v>
      </c>
      <c r="C438" s="47">
        <f>IFERROR(__xludf.DUMMYFUNCTION("GOOGLEFINANCE(A438,""Marketcap"")"),2.0741998815E10)</f>
        <v>20741998815</v>
      </c>
      <c r="D438" s="48"/>
      <c r="E438" s="16" t="s">
        <v>6144</v>
      </c>
    </row>
    <row r="439">
      <c r="A439" s="16" t="s">
        <v>1104</v>
      </c>
      <c r="B439" s="16" t="str">
        <f>IFERROR(__xludf.DUMMYFUNCTION("GOOGLEFINANCE(A439,""name"")"),"Hubbell Inc")</f>
        <v>Hubbell Inc</v>
      </c>
      <c r="C439" s="47">
        <f>IFERROR(__xludf.DUMMYFUNCTION("GOOGLEFINANCE(A439,""Marketcap"")"),2.6028798357E10)</f>
        <v>26028798357</v>
      </c>
      <c r="D439" s="48"/>
      <c r="E439" s="16" t="s">
        <v>6145</v>
      </c>
    </row>
    <row r="440">
      <c r="A440" s="16" t="s">
        <v>1098</v>
      </c>
      <c r="B440" s="16" t="str">
        <f>IFERROR(__xludf.DUMMYFUNCTION("GOOGLEFINANCE(A440,""name"")"),"Humana Inc")</f>
        <v>Humana Inc</v>
      </c>
      <c r="C440" s="47">
        <f>IFERROR(__xludf.DUMMYFUNCTION("GOOGLEFINANCE(A440,""Marketcap"")"),3.3012109014E10)</f>
        <v>33012109014</v>
      </c>
      <c r="D440" s="48"/>
      <c r="E440" s="16" t="s">
        <v>6146</v>
      </c>
    </row>
    <row r="441">
      <c r="A441" s="16" t="s">
        <v>99</v>
      </c>
      <c r="B441" s="16" t="str">
        <f>IFERROR(__xludf.DUMMYFUNCTION("GOOGLEFINANCE(A441,""name"")"),"IBM Common Stock")</f>
        <v>IBM Common Stock</v>
      </c>
      <c r="C441" s="47">
        <f>IFERROR(__xludf.DUMMYFUNCTION("GOOGLEFINANCE(A441,""Marketcap"")"),2.15948064341E11)</f>
        <v>215948064341</v>
      </c>
      <c r="D441" s="48"/>
      <c r="E441" s="16" t="s">
        <v>6147</v>
      </c>
    </row>
    <row r="442">
      <c r="A442" s="16" t="s">
        <v>95</v>
      </c>
      <c r="B442" s="16" t="str">
        <f>IFERROR(__xludf.DUMMYFUNCTION("GOOGLEFINANCE(A442,""name"")"),"Ingersoll Rand Inc")</f>
        <v>Ingersoll Rand Inc</v>
      </c>
      <c r="C442" s="47">
        <f>IFERROR(__xludf.DUMMYFUNCTION("GOOGLEFINANCE(A442,""Marketcap"")"),2.9643770175E10)</f>
        <v>29643770175</v>
      </c>
      <c r="D442" s="48"/>
      <c r="E442" s="16" t="s">
        <v>6148</v>
      </c>
    </row>
    <row r="443">
      <c r="A443" s="16" t="s">
        <v>1398</v>
      </c>
      <c r="B443" s="16" t="str">
        <f>IFERROR(__xludf.DUMMYFUNCTION("GOOGLEFINANCE(A443,""name"")"),"International Paper Co")</f>
        <v>International Paper Co</v>
      </c>
      <c r="C443" s="47">
        <f>IFERROR(__xludf.DUMMYFUNCTION("GOOGLEFINANCE(A443,""Marketcap"")"),1.748994256E10)</f>
        <v>17489942560</v>
      </c>
      <c r="D443" s="48"/>
      <c r="E443" s="16" t="s">
        <v>6149</v>
      </c>
    </row>
    <row r="444">
      <c r="A444" s="16" t="s">
        <v>1558</v>
      </c>
      <c r="B444" s="16" t="str">
        <f>IFERROR(__xludf.DUMMYFUNCTION("GOOGLEFINANCE(A444,""name"")"),"Invitation Homes Inc")</f>
        <v>Invitation Homes Inc</v>
      </c>
      <c r="C444" s="47">
        <f>IFERROR(__xludf.DUMMYFUNCTION("GOOGLEFINANCE(A444,""Marketcap"")"),1.7066817769E10)</f>
        <v>17066817769</v>
      </c>
      <c r="D444" s="48"/>
      <c r="E444" s="16" t="s">
        <v>6150</v>
      </c>
    </row>
    <row r="445">
      <c r="A445" s="16" t="s">
        <v>1219</v>
      </c>
      <c r="B445" s="16" t="str">
        <f>IFERROR(__xludf.DUMMYFUNCTION("GOOGLEFINANCE(A445,""name"")"),"Jabil Inc")</f>
        <v>Jabil Inc</v>
      </c>
      <c r="C445" s="47">
        <f>IFERROR(__xludf.DUMMYFUNCTION("GOOGLEFINANCE(A445,""Marketcap"")"),3.7469247746E10)</f>
        <v>37469247746</v>
      </c>
      <c r="D445" s="48"/>
      <c r="E445" s="16" t="s">
        <v>6151</v>
      </c>
    </row>
    <row r="446">
      <c r="A446" s="16" t="s">
        <v>186</v>
      </c>
      <c r="B446" s="16" t="str">
        <f>IFERROR(__xludf.DUMMYFUNCTION("GOOGLEFINANCE(A446,""name"")"),"JPMorgan Chase &amp; Co")</f>
        <v>JPMorgan Chase &amp; Co</v>
      </c>
      <c r="C446" s="47">
        <f>IFERROR(__xludf.DUMMYFUNCTION("GOOGLEFINANCE(A446,""Marketcap"")"),8.09480289454E11)</f>
        <v>809480289454</v>
      </c>
      <c r="D446" s="48"/>
      <c r="E446" s="16" t="s">
        <v>6152</v>
      </c>
    </row>
    <row r="447">
      <c r="A447" s="16" t="s">
        <v>1566</v>
      </c>
      <c r="B447" s="16" t="str">
        <f>IFERROR(__xludf.DUMMYFUNCTION("GOOGLEFINANCE(A447,""name"")"),"#N/A")</f>
        <v>#N/A</v>
      </c>
      <c r="C447" s="47" t="str">
        <f>IFERROR(__xludf.DUMMYFUNCTION("GOOGLEFINANCE(A447,""Marketcap"")"),"#N/A")</f>
        <v>#N/A</v>
      </c>
      <c r="D447" s="48"/>
      <c r="E447" s="16" t="s">
        <v>6153</v>
      </c>
    </row>
    <row r="448">
      <c r="A448" s="16" t="s">
        <v>1425</v>
      </c>
      <c r="B448" s="16" t="str">
        <f>IFERROR(__xludf.DUMMYFUNCTION("GOOGLEFINANCE(A448,""name"")"),"Kenvue Inc")</f>
        <v>Kenvue Inc</v>
      </c>
      <c r="C448" s="47">
        <f>IFERROR(__xludf.DUMMYFUNCTION("GOOGLEFINANCE(A448,""Marketcap"")"),3.3771322732E10)</f>
        <v>33771322732</v>
      </c>
      <c r="D448" s="48"/>
      <c r="E448" s="16" t="s">
        <v>6154</v>
      </c>
    </row>
    <row r="449">
      <c r="A449" s="16" t="s">
        <v>985</v>
      </c>
      <c r="B449" s="16" t="str">
        <f>IFERROR(__xludf.DUMMYFUNCTION("GOOGLEFINANCE(A449,""name"")"),"Kinder Morgan Inc")</f>
        <v>Kinder Morgan Inc</v>
      </c>
      <c r="C449" s="47">
        <f>IFERROR(__xludf.DUMMYFUNCTION("GOOGLEFINANCE(A449,""Marketcap"")"),6.988175291E10)</f>
        <v>69881752910</v>
      </c>
      <c r="D449" s="48"/>
      <c r="E449" s="16" t="s">
        <v>6155</v>
      </c>
    </row>
    <row r="450">
      <c r="A450" s="16" t="s">
        <v>987</v>
      </c>
      <c r="B450" s="16" t="str">
        <f>IFERROR(__xludf.DUMMYFUNCTION("GOOGLEFINANCE(A450,""name"")"),"KLA Corp")</f>
        <v>KLA Corp</v>
      </c>
      <c r="C450" s="47">
        <f>IFERROR(__xludf.DUMMYFUNCTION("GOOGLEFINANCE(A450,""Marketcap"")"),2.44167609071E11)</f>
        <v>244167609071</v>
      </c>
      <c r="D450" s="48"/>
      <c r="E450" s="16" t="s">
        <v>6156</v>
      </c>
    </row>
    <row r="451">
      <c r="A451" s="16" t="s">
        <v>1569</v>
      </c>
      <c r="B451" s="16" t="str">
        <f>IFERROR(__xludf.DUMMYFUNCTION("GOOGLEFINANCE(A451,""name"")"),"Kraft Heinz Co")</f>
        <v>Kraft Heinz Co</v>
      </c>
      <c r="C451" s="47">
        <f>IFERROR(__xludf.DUMMYFUNCTION("GOOGLEFINANCE(A451,""Marketcap"")"),2.8407660457E10)</f>
        <v>28407660457</v>
      </c>
      <c r="D451" s="48"/>
      <c r="E451" s="16" t="s">
        <v>6157</v>
      </c>
    </row>
    <row r="452">
      <c r="A452" s="16" t="s">
        <v>1460</v>
      </c>
      <c r="B452" s="16" t="str">
        <f>IFERROR(__xludf.DUMMYFUNCTION("GOOGLEFINANCE(A452,""name"")"),"Lamb Weston Holdings Inc")</f>
        <v>Lamb Weston Holdings Inc</v>
      </c>
      <c r="C452" s="47">
        <f>IFERROR(__xludf.DUMMYFUNCTION("GOOGLEFINANCE(A452,""Marketcap"")"),5.800438096E9)</f>
        <v>5800438096</v>
      </c>
      <c r="D452" s="48"/>
      <c r="E452" s="16" t="s">
        <v>6158</v>
      </c>
    </row>
    <row r="453">
      <c r="A453" s="16" t="s">
        <v>166</v>
      </c>
      <c r="B453" s="16" t="str">
        <f>IFERROR(__xludf.DUMMYFUNCTION("GOOGLEFINANCE(A453,""name"")"),"Leidos Holdings Inc")</f>
        <v>Leidos Holdings Inc</v>
      </c>
      <c r="C453" s="47">
        <f>IFERROR(__xludf.DUMMYFUNCTION("GOOGLEFINANCE(A453,""Marketcap"")"),1.636593847E10)</f>
        <v>16365938470</v>
      </c>
      <c r="D453" s="48"/>
      <c r="E453" s="16" t="s">
        <v>6159</v>
      </c>
    </row>
    <row r="454">
      <c r="A454" s="16" t="s">
        <v>1381</v>
      </c>
      <c r="B454" s="16" t="str">
        <f>IFERROR(__xludf.DUMMYFUNCTION("GOOGLEFINANCE(A454,""name"")"),"McCormick &amp; Company Inc")</f>
        <v>McCormick &amp; Company Inc</v>
      </c>
      <c r="C454" s="47">
        <f>IFERROR(__xludf.DUMMYFUNCTION("GOOGLEFINANCE(A454,""Marketcap"")"),1.2985700333E10)</f>
        <v>12985700333</v>
      </c>
      <c r="D454" s="48"/>
      <c r="E454" s="16" t="s">
        <v>6160</v>
      </c>
    </row>
    <row r="455">
      <c r="A455" s="16" t="s">
        <v>592</v>
      </c>
      <c r="B455" s="16" t="str">
        <f>IFERROR(__xludf.DUMMYFUNCTION("GOOGLEFINANCE(A455,""name"")"),"McKesson Corp")</f>
        <v>McKesson Corp</v>
      </c>
      <c r="C455" s="47">
        <f>IFERROR(__xludf.DUMMYFUNCTION("GOOGLEFINANCE(A455,""Marketcap"")"),9.0161753555E10)</f>
        <v>90161753555</v>
      </c>
      <c r="D455" s="48"/>
      <c r="E455" s="16" t="s">
        <v>6161</v>
      </c>
    </row>
    <row r="456">
      <c r="A456" s="16" t="s">
        <v>1441</v>
      </c>
      <c r="B456" s="16" t="str">
        <f>IFERROR(__xludf.DUMMYFUNCTION("GOOGLEFINANCE(A456,""name"")"),"Microchip Technology Inc")</f>
        <v>Microchip Technology Inc</v>
      </c>
      <c r="C456" s="47">
        <f>IFERROR(__xludf.DUMMYFUNCTION("GOOGLEFINANCE(A456,""Marketcap"")"),5.3621104804E10)</f>
        <v>53621104804</v>
      </c>
      <c r="D456" s="48"/>
      <c r="E456" s="16" t="s">
        <v>6162</v>
      </c>
    </row>
    <row r="457">
      <c r="A457" s="16" t="s">
        <v>1584</v>
      </c>
      <c r="B457" s="16" t="str">
        <f>IFERROR(__xludf.DUMMYFUNCTION("GOOGLEFINANCE(A457,""name"")"),"Moderna Inc")</f>
        <v>Moderna Inc</v>
      </c>
      <c r="C457" s="47">
        <f>IFERROR(__xludf.DUMMYFUNCTION("GOOGLEFINANCE(A457,""Marketcap"")"),2.1565334799E10)</f>
        <v>21565334799</v>
      </c>
      <c r="D457" s="48"/>
      <c r="E457" s="16" t="s">
        <v>6163</v>
      </c>
    </row>
    <row r="458">
      <c r="A458" s="16" t="s">
        <v>965</v>
      </c>
      <c r="B458" s="16" t="str">
        <f>IFERROR(__xludf.DUMMYFUNCTION("GOOGLEFINANCE(A458,""name"")"),"Monster Beverage Corp")</f>
        <v>Monster Beverage Corp</v>
      </c>
      <c r="C458" s="47">
        <f>IFERROR(__xludf.DUMMYFUNCTION("GOOGLEFINANCE(A458,""Marketcap"")"),8.4383509635E10)</f>
        <v>84383509635</v>
      </c>
      <c r="D458" s="48"/>
      <c r="E458" s="16" t="s">
        <v>6164</v>
      </c>
    </row>
    <row r="459">
      <c r="A459" s="16" t="s">
        <v>1418</v>
      </c>
      <c r="B459" s="16" t="str">
        <f>IFERROR(__xludf.DUMMYFUNCTION("GOOGLEFINANCE(A459,""name"")"),"NetApp Inc")</f>
        <v>NetApp Inc</v>
      </c>
      <c r="C459" s="47">
        <f>IFERROR(__xludf.DUMMYFUNCTION("GOOGLEFINANCE(A459,""Marketcap"")"),2.32849872E10)</f>
        <v>23284987200</v>
      </c>
      <c r="D459" s="48"/>
      <c r="E459" s="16" t="s">
        <v>6165</v>
      </c>
    </row>
    <row r="460">
      <c r="A460" s="16" t="s">
        <v>37</v>
      </c>
      <c r="B460" s="16" t="str">
        <f>IFERROR(__xludf.DUMMYFUNCTION("GOOGLEFINANCE(A460,""name"")"),"Netflix Inc")</f>
        <v>Netflix Inc</v>
      </c>
      <c r="C460" s="47">
        <f>IFERROR(__xludf.DUMMYFUNCTION("GOOGLEFINANCE(A460,""Marketcap"")"),3.68347965594E11)</f>
        <v>368347965594</v>
      </c>
      <c r="D460" s="48"/>
      <c r="E460" s="16" t="s">
        <v>6166</v>
      </c>
    </row>
    <row r="461">
      <c r="A461" s="16" t="s">
        <v>927</v>
      </c>
      <c r="B461" s="16" t="str">
        <f>IFERROR(__xludf.DUMMYFUNCTION("GOOGLEFINANCE(A461,""name"")"),"Northern Trust Corp")</f>
        <v>Northern Trust Corp</v>
      </c>
      <c r="C461" s="47">
        <f>IFERROR(__xludf.DUMMYFUNCTION("GOOGLEFINANCE(A461,""Marketcap"")"),2.968343E10)</f>
        <v>29683430000</v>
      </c>
      <c r="D461" s="48"/>
      <c r="E461" s="16" t="s">
        <v>6167</v>
      </c>
    </row>
    <row r="462">
      <c r="A462" s="16" t="s">
        <v>937</v>
      </c>
      <c r="B462" s="16" t="str">
        <f>IFERROR(__xludf.DUMMYFUNCTION("GOOGLEFINANCE(A462,""name"")"),"NRG Energy Inc")</f>
        <v>NRG Energy Inc</v>
      </c>
      <c r="C462" s="47">
        <f>IFERROR(__xludf.DUMMYFUNCTION("GOOGLEFINANCE(A462,""Marketcap"")"),2.9139331832E10)</f>
        <v>29139331832</v>
      </c>
      <c r="D462" s="48"/>
      <c r="E462" s="16" t="s">
        <v>6168</v>
      </c>
    </row>
    <row r="463">
      <c r="A463" s="16" t="s">
        <v>1143</v>
      </c>
      <c r="B463" s="16" t="str">
        <f>IFERROR(__xludf.DUMMYFUNCTION("GOOGLEFINANCE(A463,""name"")"),"Nucor Corp")</f>
        <v>Nucor Corp</v>
      </c>
      <c r="C463" s="47">
        <f>IFERROR(__xludf.DUMMYFUNCTION("GOOGLEFINANCE(A463,""Marketcap"")"),5.1809849E10)</f>
        <v>51809849000</v>
      </c>
      <c r="D463" s="48"/>
      <c r="E463" s="16" t="s">
        <v>6169</v>
      </c>
    </row>
    <row r="464">
      <c r="A464" s="16" t="s">
        <v>933</v>
      </c>
      <c r="B464" s="16" t="str">
        <f>IFERROR(__xludf.DUMMYFUNCTION("GOOGLEFINANCE(A464,""name"")"),"NVR Inc")</f>
        <v>NVR Inc</v>
      </c>
      <c r="C464" s="47">
        <f>IFERROR(__xludf.DUMMYFUNCTION("GOOGLEFINANCE(A464,""Marketcap"")"),1.6125752909E10)</f>
        <v>16125752909</v>
      </c>
      <c r="D464" s="48"/>
      <c r="E464" s="16" t="s">
        <v>6170</v>
      </c>
    </row>
    <row r="465">
      <c r="A465" s="16" t="s">
        <v>63</v>
      </c>
      <c r="B465" s="16" t="str">
        <f>IFERROR(__xludf.DUMMYFUNCTION("GOOGLEFINANCE(A465,""name"")"),"Occidental Petroleum Corp")</f>
        <v>Occidental Petroleum Corp</v>
      </c>
      <c r="C465" s="47">
        <f>IFERROR(__xludf.DUMMYFUNCTION("GOOGLEFINANCE(A465,""Marketcap"")"),5.2745476926E10)</f>
        <v>52745476926</v>
      </c>
      <c r="D465" s="48"/>
      <c r="E465" s="16" t="s">
        <v>6171</v>
      </c>
    </row>
    <row r="466">
      <c r="A466" s="16" t="s">
        <v>1596</v>
      </c>
      <c r="B466" s="16" t="str">
        <f>IFERROR(__xludf.DUMMYFUNCTION("GOOGLEFINANCE(A466,""name"")"),"Old Dominion Freight Line Inc")</f>
        <v>Old Dominion Freight Line Inc</v>
      </c>
      <c r="C466" s="47">
        <f>IFERROR(__xludf.DUMMYFUNCTION("GOOGLEFINANCE(A466,""Marketcap"")"),4.124635E10)</f>
        <v>41246350000</v>
      </c>
      <c r="D466" s="48"/>
      <c r="E466" s="16" t="s">
        <v>6172</v>
      </c>
    </row>
    <row r="467">
      <c r="A467" s="16" t="s">
        <v>921</v>
      </c>
      <c r="B467" s="16" t="str">
        <f>IFERROR(__xludf.DUMMYFUNCTION("GOOGLEFINANCE(A467,""name"")"),"ONEOK Inc")</f>
        <v>ONEOK Inc</v>
      </c>
      <c r="C467" s="47">
        <f>IFERROR(__xludf.DUMMYFUNCTION("GOOGLEFINANCE(A467,""Marketcap"")"),5.3653595555E10)</f>
        <v>53653595555</v>
      </c>
      <c r="D467" s="48"/>
      <c r="E467" s="16" t="s">
        <v>6173</v>
      </c>
    </row>
    <row r="468">
      <c r="A468" s="16" t="s">
        <v>19</v>
      </c>
      <c r="B468" s="16" t="str">
        <f>IFERROR(__xludf.DUMMYFUNCTION("GOOGLEFINANCE(A468,""name"")"),"Oracle Corp")</f>
        <v>Oracle Corp</v>
      </c>
      <c r="C468" s="47">
        <f>IFERROR(__xludf.DUMMYFUNCTION("GOOGLEFINANCE(A468,""Marketcap"")"),5.63561204923E11)</f>
        <v>563561204923</v>
      </c>
      <c r="D468" s="48"/>
      <c r="E468" s="16" t="s">
        <v>6174</v>
      </c>
    </row>
    <row r="469">
      <c r="A469" s="16" t="s">
        <v>1340</v>
      </c>
      <c r="B469" s="16" t="str">
        <f>IFERROR(__xludf.DUMMYFUNCTION("GOOGLEFINANCE(A469,""name"")"),"PACCAR Inc")</f>
        <v>PACCAR Inc</v>
      </c>
      <c r="C469" s="47">
        <f>IFERROR(__xludf.DUMMYFUNCTION("GOOGLEFINANCE(A469,""Marketcap"")"),6.015978E10)</f>
        <v>60159780000</v>
      </c>
      <c r="D469" s="48"/>
      <c r="E469" s="16" t="s">
        <v>6175</v>
      </c>
    </row>
    <row r="470">
      <c r="A470" s="16" t="s">
        <v>1599</v>
      </c>
      <c r="B470" s="16" t="str">
        <f>IFERROR(__xludf.DUMMYFUNCTION("GOOGLEFINANCE(A470,""name"")"),"#N/A")</f>
        <v>#N/A</v>
      </c>
      <c r="C470" s="47" t="str">
        <f>IFERROR(__xludf.DUMMYFUNCTION("GOOGLEFINANCE(A470,""Marketcap"")"),"#N/A")</f>
        <v>#N/A</v>
      </c>
      <c r="D470" s="48"/>
      <c r="E470" s="16" t="s">
        <v>6176</v>
      </c>
    </row>
    <row r="471">
      <c r="A471" s="16" t="s">
        <v>1137</v>
      </c>
      <c r="B471" s="16" t="str">
        <f>IFERROR(__xludf.DUMMYFUNCTION("GOOGLEFINANCE(A471,""name"")"),"Paycom Software Inc")</f>
        <v>Paycom Software Inc</v>
      </c>
      <c r="C471" s="47">
        <f>IFERROR(__xludf.DUMMYFUNCTION("GOOGLEFINANCE(A471,""Marketcap"")"),6.378141772E9)</f>
        <v>6378141772</v>
      </c>
      <c r="D471" s="48"/>
      <c r="E471" s="16" t="s">
        <v>6177</v>
      </c>
    </row>
    <row r="472">
      <c r="A472" s="16" t="s">
        <v>1379</v>
      </c>
      <c r="B472" s="16" t="str">
        <f>IFERROR(__xludf.DUMMYFUNCTION("GOOGLEFINANCE(A472,""name"")"),"Pentair PLC")</f>
        <v>Pentair PLC</v>
      </c>
      <c r="C472" s="47">
        <f>IFERROR(__xludf.DUMMYFUNCTION("GOOGLEFINANCE(A472,""Marketcap"")"),1.2414526778E10)</f>
        <v>12414526778</v>
      </c>
      <c r="D472" s="48"/>
      <c r="E472" s="16" t="s">
        <v>6178</v>
      </c>
    </row>
    <row r="473">
      <c r="A473" s="16" t="s">
        <v>1369</v>
      </c>
      <c r="B473" s="16" t="str">
        <f>IFERROR(__xludf.DUMMYFUNCTION("GOOGLEFINANCE(A473,""name"")"),"Phillips 66")</f>
        <v>Phillips 66</v>
      </c>
      <c r="C473" s="47">
        <f>IFERROR(__xludf.DUMMYFUNCTION("GOOGLEFINANCE(A473,""Marketcap"")"),6.8784407621E10)</f>
        <v>68784407621</v>
      </c>
      <c r="D473" s="48"/>
      <c r="E473" s="16" t="s">
        <v>6179</v>
      </c>
    </row>
    <row r="474">
      <c r="A474" s="16" t="s">
        <v>1363</v>
      </c>
      <c r="B474" s="16" t="str">
        <f>IFERROR(__xludf.DUMMYFUNCTION("GOOGLEFINANCE(A474,""name"")"),"Pinnacle West Capital Corp")</f>
        <v>Pinnacle West Capital Corp</v>
      </c>
      <c r="C474" s="47">
        <f>IFERROR(__xludf.DUMMYFUNCTION("GOOGLEFINANCE(A474,""Marketcap"")"),1.2027819675E10)</f>
        <v>12027819675</v>
      </c>
      <c r="D474" s="48"/>
      <c r="E474" s="16" t="s">
        <v>6180</v>
      </c>
    </row>
    <row r="475">
      <c r="A475" s="16" t="s">
        <v>1038</v>
      </c>
      <c r="B475" s="16" t="str">
        <f>IFERROR(__xludf.DUMMYFUNCTION("GOOGLEFINANCE(A475,""name"")"),"Procter &amp; Gamble Co")</f>
        <v>Procter &amp; Gamble Co</v>
      </c>
      <c r="C475" s="47">
        <f>IFERROR(__xludf.DUMMYFUNCTION("GOOGLEFINANCE(A475,""Marketcap"")"),3.40953461316E11)</f>
        <v>340953461316</v>
      </c>
      <c r="D475" s="48"/>
      <c r="E475" s="16" t="s">
        <v>6181</v>
      </c>
    </row>
    <row r="476">
      <c r="A476" s="16" t="s">
        <v>141</v>
      </c>
      <c r="B476" s="16" t="str">
        <f>IFERROR(__xludf.DUMMYFUNCTION("GOOGLEFINANCE(A476,""name"")"),"Progressive Corp")</f>
        <v>Progressive Corp</v>
      </c>
      <c r="C476" s="47">
        <f>IFERROR(__xludf.DUMMYFUNCTION("GOOGLEFINANCE(A476,""Marketcap"")"),1.133613004E11)</f>
        <v>113361300400</v>
      </c>
      <c r="D476" s="48"/>
      <c r="E476" s="16" t="s">
        <v>6182</v>
      </c>
    </row>
    <row r="477">
      <c r="A477" s="16" t="s">
        <v>1373</v>
      </c>
      <c r="B477" s="16" t="str">
        <f>IFERROR(__xludf.DUMMYFUNCTION("GOOGLEFINANCE(A477,""name"")"),"Public Storage")</f>
        <v>Public Storage</v>
      </c>
      <c r="C477" s="47">
        <f>IFERROR(__xludf.DUMMYFUNCTION("GOOGLEFINANCE(A477,""Marketcap"")"),5.4601736028E10)</f>
        <v>54601736028</v>
      </c>
      <c r="D477" s="48"/>
      <c r="E477" s="16" t="s">
        <v>6183</v>
      </c>
    </row>
    <row r="478">
      <c r="A478" s="16" t="s">
        <v>15</v>
      </c>
      <c r="B478" s="16" t="str">
        <f>IFERROR(__xludf.DUMMYFUNCTION("GOOGLEFINANCE(A478,""name"")"),"Qualcomm Inc")</f>
        <v>Qualcomm Inc</v>
      </c>
      <c r="C478" s="47">
        <f>IFERROR(__xludf.DUMMYFUNCTION("GOOGLEFINANCE(A478,""Marketcap"")"),2.309209E11)</f>
        <v>230920900000</v>
      </c>
      <c r="D478" s="48"/>
      <c r="E478" s="16" t="s">
        <v>6184</v>
      </c>
    </row>
    <row r="479">
      <c r="A479" s="16" t="s">
        <v>777</v>
      </c>
      <c r="B479" s="16" t="str">
        <f>IFERROR(__xludf.DUMMYFUNCTION("GOOGLEFINANCE(A479,""name"")"),"Rtx Corp")</f>
        <v>Rtx Corp</v>
      </c>
      <c r="C479" s="47">
        <f>IFERROR(__xludf.DUMMYFUNCTION("GOOGLEFINANCE(A479,""Marketcap"")"),2.37137404538E11)</f>
        <v>237137404538</v>
      </c>
      <c r="D479" s="48"/>
      <c r="E479" s="16" t="s">
        <v>6185</v>
      </c>
    </row>
    <row r="480">
      <c r="A480" s="16" t="s">
        <v>853</v>
      </c>
      <c r="B480" s="16" t="str">
        <f>IFERROR(__xludf.DUMMYFUNCTION("GOOGLEFINANCE(A480,""name"")"),"Revvity Inc")</f>
        <v>Revvity Inc</v>
      </c>
      <c r="C480" s="47">
        <f>IFERROR(__xludf.DUMMYFUNCTION("GOOGLEFINANCE(A480,""Marketcap"")"),1.129214E10)</f>
        <v>11292140000</v>
      </c>
      <c r="D480" s="48"/>
      <c r="E480" s="16" t="s">
        <v>6186</v>
      </c>
    </row>
    <row r="481">
      <c r="A481" s="16" t="s">
        <v>6187</v>
      </c>
      <c r="B481" s="16" t="str">
        <f>IFERROR(__xludf.DUMMYFUNCTION("GOOGLEFINANCE(A481,""name"")"),"Robert Half Inc")</f>
        <v>Robert Half Inc</v>
      </c>
      <c r="C481" s="47">
        <f>IFERROR(__xludf.DUMMYFUNCTION("GOOGLEFINANCE(A481,""Marketcap"")"),2.764993375E9)</f>
        <v>2764993375</v>
      </c>
      <c r="D481" s="48"/>
      <c r="E481" s="16" t="s">
        <v>6188</v>
      </c>
    </row>
    <row r="482">
      <c r="A482" s="16" t="s">
        <v>1408</v>
      </c>
      <c r="B482" s="16" t="str">
        <f>IFERROR(__xludf.DUMMYFUNCTION("GOOGLEFINANCE(A482,""name"")"),"Rockwell Automation Inc")</f>
        <v>Rockwell Automation Inc</v>
      </c>
      <c r="C482" s="47">
        <f>IFERROR(__xludf.DUMMYFUNCTION("GOOGLEFINANCE(A482,""Marketcap"")"),5.05061121E10)</f>
        <v>50506112100</v>
      </c>
      <c r="D482" s="48"/>
      <c r="E482" s="16" t="s">
        <v>6189</v>
      </c>
    </row>
    <row r="483">
      <c r="A483" s="16" t="s">
        <v>1179</v>
      </c>
      <c r="B483" s="16" t="str">
        <f>IFERROR(__xludf.DUMMYFUNCTION("GOOGLEFINANCE(A483,""name"")"),"Rollins Inc")</f>
        <v>Rollins Inc</v>
      </c>
      <c r="C483" s="47">
        <f>IFERROR(__xludf.DUMMYFUNCTION("GOOGLEFINANCE(A483,""Marketcap"")"),2.5917186469E10)</f>
        <v>25917186469</v>
      </c>
      <c r="D483" s="48"/>
      <c r="E483" s="16" t="s">
        <v>6190</v>
      </c>
    </row>
    <row r="484">
      <c r="A484" s="16" t="s">
        <v>886</v>
      </c>
      <c r="B484" s="16" t="str">
        <f>IFERROR(__xludf.DUMMYFUNCTION("GOOGLEFINANCE(A484,""name"")"),"Slb NV")</f>
        <v>Slb NV</v>
      </c>
      <c r="C484" s="47">
        <f>IFERROR(__xludf.DUMMYFUNCTION("GOOGLEFINANCE(A484,""Marketcap"")"),7.9641687074E10)</f>
        <v>79641687074</v>
      </c>
      <c r="D484" s="48"/>
      <c r="E484" s="16" t="s">
        <v>6191</v>
      </c>
    </row>
    <row r="485">
      <c r="A485" s="16" t="s">
        <v>1245</v>
      </c>
      <c r="B485" s="16" t="str">
        <f>IFERROR(__xludf.DUMMYFUNCTION("GOOGLEFINANCE(A485,""name"")"),"J.M. Smucker Co")</f>
        <v>J.M. Smucker Co</v>
      </c>
      <c r="C485" s="47">
        <f>IFERROR(__xludf.DUMMYFUNCTION("GOOGLEFINANCE(A485,""Marketcap"")"),1.0584843775E10)</f>
        <v>10584843775</v>
      </c>
      <c r="D485" s="48"/>
      <c r="E485" s="16" t="s">
        <v>6192</v>
      </c>
    </row>
    <row r="486">
      <c r="A486" s="16" t="s">
        <v>1619</v>
      </c>
      <c r="B486" s="16" t="str">
        <f>IFERROR(__xludf.DUMMYFUNCTION("GOOGLEFINANCE(A486,""name"")"),"Solventum Corp")</f>
        <v>Solventum Corp</v>
      </c>
      <c r="C486" s="47">
        <f>IFERROR(__xludf.DUMMYFUNCTION("GOOGLEFINANCE(A486,""Marketcap"")"),1.270755901E10)</f>
        <v>12707559010</v>
      </c>
      <c r="D486" s="48"/>
      <c r="E486" s="16" t="s">
        <v>6193</v>
      </c>
    </row>
    <row r="487">
      <c r="A487" s="16" t="s">
        <v>1149</v>
      </c>
      <c r="B487" s="16" t="str">
        <f>IFERROR(__xludf.DUMMYFUNCTION("GOOGLEFINANCE(A487,""name"")"),"Target Corp")</f>
        <v>Target Corp</v>
      </c>
      <c r="C487" s="47">
        <f>IFERROR(__xludf.DUMMYFUNCTION("GOOGLEFINANCE(A487,""Marketcap"")"),5.688556905E10)</f>
        <v>56885569050</v>
      </c>
      <c r="D487" s="48"/>
      <c r="E487" s="16" t="s">
        <v>6194</v>
      </c>
    </row>
    <row r="488">
      <c r="A488" s="16" t="s">
        <v>1350</v>
      </c>
      <c r="B488" s="16" t="str">
        <f>IFERROR(__xludf.DUMMYFUNCTION("GOOGLEFINANCE(A488,""name"")"),"TE Connectivity PLC")</f>
        <v>TE Connectivity PLC</v>
      </c>
      <c r="C488" s="47">
        <f>IFERROR(__xludf.DUMMYFUNCTION("GOOGLEFINANCE(A488,""Marketcap"")"),6.0188892449E10)</f>
        <v>60188892449</v>
      </c>
      <c r="D488" s="48"/>
      <c r="E488" s="16" t="s">
        <v>6195</v>
      </c>
    </row>
    <row r="489">
      <c r="A489" s="16" t="s">
        <v>355</v>
      </c>
      <c r="B489" s="16" t="str">
        <f>IFERROR(__xludf.DUMMYFUNCTION("GOOGLEFINANCE(A489,""name"")"),"Teledyne Technologies Inc")</f>
        <v>Teledyne Technologies Inc</v>
      </c>
      <c r="C489" s="47">
        <f>IFERROR(__xludf.DUMMYFUNCTION("GOOGLEFINANCE(A489,""Marketcap"")"),2.8787995025E10)</f>
        <v>28787995025</v>
      </c>
      <c r="D489" s="48"/>
      <c r="E489" s="16" t="s">
        <v>6196</v>
      </c>
    </row>
    <row r="490">
      <c r="A490" s="16" t="s">
        <v>1624</v>
      </c>
      <c r="B490" s="16" t="str">
        <f>IFERROR(__xludf.DUMMYFUNCTION("GOOGLEFINANCE(A490,""name"")"),"Teradyne Inc")</f>
        <v>Teradyne Inc</v>
      </c>
      <c r="C490" s="47">
        <f>IFERROR(__xludf.DUMMYFUNCTION("GOOGLEFINANCE(A490,""Marketcap"")"),5.6319149597E10)</f>
        <v>56319149597</v>
      </c>
      <c r="D490" s="48"/>
      <c r="E490" s="16" t="s">
        <v>6197</v>
      </c>
    </row>
    <row r="491">
      <c r="A491" s="16" t="s">
        <v>89</v>
      </c>
      <c r="B491" s="16" t="str">
        <f>IFERROR(__xludf.DUMMYFUNCTION("GOOGLEFINANCE(A491,""name"")"),"Textron Inc")</f>
        <v>Textron Inc</v>
      </c>
      <c r="C491" s="47">
        <f>IFERROR(__xludf.DUMMYFUNCTION("GOOGLEFINANCE(A491,""Marketcap"")"),1.582562916E10)</f>
        <v>15825629160</v>
      </c>
      <c r="D491" s="48"/>
      <c r="E491" s="16" t="s">
        <v>6198</v>
      </c>
    </row>
    <row r="492">
      <c r="A492" s="16" t="s">
        <v>841</v>
      </c>
      <c r="B492" s="16" t="str">
        <f>IFERROR(__xludf.DUMMYFUNCTION("GOOGLEFINANCE(A492,""name"")"),"Tyler Technologies Inc")</f>
        <v>Tyler Technologies Inc</v>
      </c>
      <c r="C492" s="47">
        <f>IFERROR(__xludf.DUMMYFUNCTION("GOOGLEFINANCE(A492,""Marketcap"")"),1.3686710354E10)</f>
        <v>13686710354</v>
      </c>
      <c r="D492" s="48"/>
      <c r="E492" s="16" t="s">
        <v>6199</v>
      </c>
    </row>
    <row r="493">
      <c r="A493" s="16" t="s">
        <v>1023</v>
      </c>
      <c r="B493" s="16" t="str">
        <f>IFERROR(__xludf.DUMMYFUNCTION("GOOGLEFINANCE(A493,""name"")"),"Tyson Foods Inc")</f>
        <v>Tyson Foods Inc</v>
      </c>
      <c r="C493" s="47">
        <f>IFERROR(__xludf.DUMMYFUNCTION("GOOGLEFINANCE(A493,""Marketcap"")"),2.4078600566E10)</f>
        <v>24078600566</v>
      </c>
      <c r="D493" s="48"/>
      <c r="E493" s="16" t="s">
        <v>6200</v>
      </c>
    </row>
    <row r="494">
      <c r="A494" s="16" t="s">
        <v>843</v>
      </c>
      <c r="B494" s="16" t="str">
        <f>IFERROR(__xludf.DUMMYFUNCTION("GOOGLEFINANCE(A494,""name"")"),"Veralto Corp")</f>
        <v>Veralto Corp</v>
      </c>
      <c r="C494" s="47">
        <f>IFERROR(__xludf.DUMMYFUNCTION("GOOGLEFINANCE(A494,""Marketcap"")"),2.1327833628E10)</f>
        <v>21327833628</v>
      </c>
      <c r="D494" s="48"/>
      <c r="E494" s="16" t="s">
        <v>6201</v>
      </c>
    </row>
    <row r="495">
      <c r="A495" s="16" t="s">
        <v>835</v>
      </c>
      <c r="B495" s="16" t="str">
        <f>IFERROR(__xludf.DUMMYFUNCTION("GOOGLEFINANCE(A495,""name"")"),"W. R. Berkley Corp")</f>
        <v>W. R. Berkley Corp</v>
      </c>
      <c r="C495" s="47">
        <f>IFERROR(__xludf.DUMMYFUNCTION("GOOGLEFINANCE(A495,""Marketcap"")"),2.4451133769E10)</f>
        <v>24451133769</v>
      </c>
      <c r="D495" s="48"/>
      <c r="E495" s="16" t="s">
        <v>6202</v>
      </c>
    </row>
    <row r="496">
      <c r="A496" s="16" t="s">
        <v>1632</v>
      </c>
      <c r="B496" s="16" t="str">
        <f>IFERROR(__xludf.DUMMYFUNCTION("GOOGLEFINANCE(A496,""name"")"),"Westinghouse Air Brake Technologies Corp")</f>
        <v>Westinghouse Air Brake Technologies Corp</v>
      </c>
      <c r="C496" s="47">
        <f>IFERROR(__xludf.DUMMYFUNCTION("GOOGLEFINANCE(A496,""Marketcap"")"),4.5084953933E10)</f>
        <v>45084953933</v>
      </c>
      <c r="D496" s="48"/>
      <c r="E496" s="16" t="s">
        <v>6203</v>
      </c>
    </row>
    <row r="497">
      <c r="A497" s="16" t="s">
        <v>1291</v>
      </c>
      <c r="B497" s="16" t="str">
        <f>IFERROR(__xludf.DUMMYFUNCTION("GOOGLEFINANCE(A497,""name"")"),"Warner Bros Discovery Inc")</f>
        <v>Warner Bros Discovery Inc</v>
      </c>
      <c r="C497" s="47">
        <f>IFERROR(__xludf.DUMMYFUNCTION("GOOGLEFINANCE(A497,""Marketcap"")"),6.796845849E10)</f>
        <v>67968458490</v>
      </c>
      <c r="D497" s="48"/>
      <c r="E497" s="16" t="s">
        <v>6204</v>
      </c>
    </row>
    <row r="498">
      <c r="A498" s="16" t="s">
        <v>809</v>
      </c>
      <c r="B498" s="16" t="str">
        <f>IFERROR(__xludf.DUMMYFUNCTION("GOOGLEFINANCE(A498,""name"")"),"Waste Management Inc")</f>
        <v>Waste Management Inc</v>
      </c>
      <c r="C498" s="47">
        <f>IFERROR(__xludf.DUMMYFUNCTION("GOOGLEFINANCE(A498,""Marketcap"")"),8.6487356548E10)</f>
        <v>86487356548</v>
      </c>
      <c r="D498" s="48"/>
      <c r="E498" s="16" t="s">
        <v>6205</v>
      </c>
    </row>
    <row r="499">
      <c r="A499" s="16" t="s">
        <v>1076</v>
      </c>
      <c r="B499" s="16" t="str">
        <f>IFERROR(__xludf.DUMMYFUNCTION("GOOGLEFINANCE(A499,""name"")"),"Waters Corp")</f>
        <v>Waters Corp</v>
      </c>
      <c r="C499" s="47">
        <f>IFERROR(__xludf.DUMMYFUNCTION("GOOGLEFINANCE(A499,""Marketcap"")"),3.4861507391E10)</f>
        <v>34861507391</v>
      </c>
      <c r="D499" s="48"/>
      <c r="E499" s="16" t="s">
        <v>6206</v>
      </c>
    </row>
    <row r="500">
      <c r="A500" s="16" t="s">
        <v>1235</v>
      </c>
      <c r="B500" s="16" t="str">
        <f>IFERROR(__xludf.DUMMYFUNCTION("GOOGLEFINANCE(A500,""name"")"),"West Pharmaceutical Services Inc")</f>
        <v>West Pharmaceutical Services Inc</v>
      </c>
      <c r="C500" s="47">
        <f>IFERROR(__xludf.DUMMYFUNCTION("GOOGLEFINANCE(A500,""Marketcap"")"),2.3025460222E10)</f>
        <v>23025460222</v>
      </c>
      <c r="D500" s="48"/>
      <c r="E500" s="16" t="s">
        <v>6207</v>
      </c>
    </row>
    <row r="501">
      <c r="A501" s="16" t="s">
        <v>1271</v>
      </c>
      <c r="B501" s="16" t="str">
        <f>IFERROR(__xludf.DUMMYFUNCTION("GOOGLEFINANCE(A501,""name"")"),"Western Digital Corp")</f>
        <v>Western Digital Corp</v>
      </c>
      <c r="C501" s="47">
        <f>IFERROR(__xludf.DUMMYFUNCTION("GOOGLEFINANCE(A501,""Marketcap"")"),1.65447408E11)</f>
        <v>165447408000</v>
      </c>
      <c r="D501" s="48"/>
      <c r="E501" s="16" t="s">
        <v>6208</v>
      </c>
    </row>
    <row r="502">
      <c r="A502" s="16" t="s">
        <v>6209</v>
      </c>
      <c r="B502" s="16" t="str">
        <f>IFERROR(__xludf.DUMMYFUNCTION("GOOGLEFINANCE(A502,""name"")"),"WRKR Ltd")</f>
        <v>WRKR Ltd</v>
      </c>
      <c r="C502" s="47">
        <f>IFERROR(__xludf.DUMMYFUNCTION("GOOGLEFINANCE(A502,""Marketcap"")"),2.18268968E8)</f>
        <v>218268968</v>
      </c>
      <c r="D502" s="48"/>
      <c r="E502" s="16" t="s">
        <v>6210</v>
      </c>
    </row>
    <row r="503">
      <c r="A503" s="16" t="s">
        <v>1466</v>
      </c>
      <c r="B503" s="16" t="str">
        <f>IFERROR(__xludf.DUMMYFUNCTION("GOOGLEFINANCE(A503,""name"")"),"Zebra Technologies Corp")</f>
        <v>Zebra Technologies Corp</v>
      </c>
      <c r="C503" s="47">
        <f>IFERROR(__xludf.DUMMYFUNCTION("GOOGLEFINANCE(A503,""Marketcap"")"),1.09314E10)</f>
        <v>10931400000</v>
      </c>
      <c r="D503" s="48"/>
      <c r="E503" s="16" t="s">
        <v>6211</v>
      </c>
    </row>
    <row r="504">
      <c r="A504" s="16" t="s">
        <v>276</v>
      </c>
      <c r="B504" s="16" t="str">
        <f>IFERROR(__xludf.DUMMYFUNCTION("GOOGLEFINANCE(A504,""name"")"),"Zoetis Inc")</f>
        <v>Zoetis Inc</v>
      </c>
      <c r="C504" s="47">
        <f>IFERROR(__xludf.DUMMYFUNCTION("GOOGLEFINANCE(A504,""Marketcap"")"),3.4831440445E10)</f>
        <v>34831440445</v>
      </c>
      <c r="D504" s="48"/>
      <c r="E504" s="16" t="s">
        <v>6212</v>
      </c>
    </row>
    <row r="505">
      <c r="C505" s="49"/>
    </row>
    <row r="506">
      <c r="C506" s="49"/>
    </row>
    <row r="507">
      <c r="C507" s="49"/>
    </row>
    <row r="508">
      <c r="C508" s="49"/>
    </row>
    <row r="509">
      <c r="C509" s="49"/>
    </row>
    <row r="510">
      <c r="C510" s="49"/>
    </row>
    <row r="511">
      <c r="C511" s="49"/>
    </row>
    <row r="512">
      <c r="C512" s="49"/>
    </row>
    <row r="513">
      <c r="C513" s="49"/>
    </row>
    <row r="514">
      <c r="C514" s="49"/>
    </row>
    <row r="515">
      <c r="C515" s="49"/>
    </row>
    <row r="516">
      <c r="C516" s="49"/>
    </row>
    <row r="517">
      <c r="C517" s="49"/>
    </row>
    <row r="518">
      <c r="C518" s="49"/>
    </row>
    <row r="519">
      <c r="C519" s="49"/>
    </row>
    <row r="520">
      <c r="C520" s="49"/>
    </row>
    <row r="521">
      <c r="C521" s="49"/>
    </row>
    <row r="522">
      <c r="C522" s="49"/>
    </row>
    <row r="523">
      <c r="C523" s="49"/>
    </row>
    <row r="524">
      <c r="C524" s="49"/>
    </row>
    <row r="525">
      <c r="C525" s="49"/>
    </row>
    <row r="526">
      <c r="C526" s="49"/>
    </row>
    <row r="527">
      <c r="C527" s="49"/>
    </row>
    <row r="528">
      <c r="C528" s="49"/>
    </row>
    <row r="529">
      <c r="C529" s="49"/>
    </row>
    <row r="530">
      <c r="C530" s="49"/>
    </row>
    <row r="531">
      <c r="C531" s="49"/>
    </row>
    <row r="532">
      <c r="C532" s="49"/>
    </row>
    <row r="533">
      <c r="C533" s="49"/>
    </row>
    <row r="534">
      <c r="C534" s="49"/>
    </row>
    <row r="535">
      <c r="C535" s="49"/>
    </row>
    <row r="536">
      <c r="C536" s="49"/>
    </row>
    <row r="537">
      <c r="C537" s="49"/>
    </row>
    <row r="538">
      <c r="C538" s="49"/>
    </row>
    <row r="539">
      <c r="C539" s="49"/>
    </row>
    <row r="540">
      <c r="C540" s="49"/>
    </row>
    <row r="541">
      <c r="C541" s="49"/>
    </row>
    <row r="542">
      <c r="C542" s="49"/>
    </row>
    <row r="543">
      <c r="C543" s="49"/>
    </row>
    <row r="544">
      <c r="C544" s="49"/>
    </row>
    <row r="545">
      <c r="C545" s="49"/>
    </row>
    <row r="546">
      <c r="C546" s="49"/>
    </row>
    <row r="547">
      <c r="C547" s="49"/>
    </row>
    <row r="548">
      <c r="C548" s="49"/>
    </row>
    <row r="549">
      <c r="C549" s="49"/>
    </row>
    <row r="550">
      <c r="C550" s="49"/>
    </row>
    <row r="551">
      <c r="C551" s="49"/>
    </row>
    <row r="552">
      <c r="C552" s="49"/>
    </row>
    <row r="553">
      <c r="C553" s="49"/>
    </row>
    <row r="554">
      <c r="C554" s="49"/>
    </row>
    <row r="555">
      <c r="C555" s="49"/>
    </row>
    <row r="556">
      <c r="C556" s="49"/>
    </row>
    <row r="557">
      <c r="C557" s="49"/>
    </row>
    <row r="558">
      <c r="C558" s="49"/>
    </row>
    <row r="559">
      <c r="C559" s="49"/>
    </row>
    <row r="560">
      <c r="C560" s="49"/>
    </row>
    <row r="561">
      <c r="C561" s="49"/>
    </row>
    <row r="562">
      <c r="C562" s="49"/>
    </row>
    <row r="563">
      <c r="C563" s="49"/>
    </row>
    <row r="564">
      <c r="C564" s="49"/>
    </row>
    <row r="565">
      <c r="C565" s="49"/>
    </row>
    <row r="566">
      <c r="C566" s="49"/>
    </row>
    <row r="567">
      <c r="C567" s="49"/>
    </row>
    <row r="568">
      <c r="C568" s="49"/>
    </row>
    <row r="569">
      <c r="C569" s="49"/>
    </row>
    <row r="570">
      <c r="C570" s="49"/>
    </row>
    <row r="571">
      <c r="C571" s="49"/>
    </row>
    <row r="572">
      <c r="C572" s="49"/>
    </row>
    <row r="573">
      <c r="C573" s="49"/>
    </row>
    <row r="574">
      <c r="C574" s="49"/>
    </row>
    <row r="575">
      <c r="C575" s="49"/>
    </row>
    <row r="576">
      <c r="C576" s="49"/>
    </row>
    <row r="577">
      <c r="C577" s="49"/>
    </row>
    <row r="578">
      <c r="C578" s="49"/>
    </row>
    <row r="579">
      <c r="C579" s="49"/>
    </row>
    <row r="580">
      <c r="C580" s="49"/>
    </row>
    <row r="581">
      <c r="C581" s="49"/>
    </row>
    <row r="582">
      <c r="C582" s="49"/>
    </row>
    <row r="583">
      <c r="C583" s="49"/>
    </row>
    <row r="584">
      <c r="C584" s="49"/>
    </row>
    <row r="585">
      <c r="C585" s="49"/>
    </row>
    <row r="586">
      <c r="C586" s="49"/>
    </row>
    <row r="587">
      <c r="C587" s="49"/>
    </row>
    <row r="588">
      <c r="C588" s="49"/>
    </row>
    <row r="589">
      <c r="C589" s="49"/>
    </row>
    <row r="590">
      <c r="C590" s="49"/>
    </row>
    <row r="591">
      <c r="C591" s="49"/>
    </row>
    <row r="592">
      <c r="C592" s="49"/>
    </row>
    <row r="593">
      <c r="C593" s="49"/>
    </row>
    <row r="594">
      <c r="C594" s="49"/>
    </row>
    <row r="595">
      <c r="C595" s="49"/>
    </row>
    <row r="596">
      <c r="C596" s="49"/>
    </row>
    <row r="597">
      <c r="C597" s="49"/>
    </row>
    <row r="598">
      <c r="C598" s="49"/>
    </row>
    <row r="599">
      <c r="C599" s="49"/>
    </row>
    <row r="600">
      <c r="C600" s="49"/>
    </row>
    <row r="601">
      <c r="C601" s="49"/>
    </row>
    <row r="602">
      <c r="C602" s="49"/>
    </row>
    <row r="603">
      <c r="C603" s="49"/>
    </row>
    <row r="604">
      <c r="C604" s="49"/>
    </row>
    <row r="605">
      <c r="C605" s="49"/>
    </row>
    <row r="606">
      <c r="C606" s="49"/>
    </row>
    <row r="607">
      <c r="C607" s="49"/>
    </row>
    <row r="608">
      <c r="C608" s="49"/>
    </row>
    <row r="609">
      <c r="C609" s="49"/>
    </row>
    <row r="610">
      <c r="C610" s="49"/>
    </row>
    <row r="611">
      <c r="C611" s="49"/>
    </row>
    <row r="612">
      <c r="C612" s="49"/>
    </row>
    <row r="613">
      <c r="C613" s="49"/>
    </row>
    <row r="614">
      <c r="C614" s="49"/>
    </row>
    <row r="615">
      <c r="C615" s="49"/>
    </row>
    <row r="616">
      <c r="C616" s="49"/>
    </row>
    <row r="617">
      <c r="C617" s="49"/>
    </row>
    <row r="618">
      <c r="C618" s="49"/>
    </row>
    <row r="619">
      <c r="C619" s="49"/>
    </row>
    <row r="620">
      <c r="C620" s="49"/>
    </row>
    <row r="621">
      <c r="C621" s="49"/>
    </row>
    <row r="622">
      <c r="C622" s="49"/>
    </row>
    <row r="623">
      <c r="C623" s="49"/>
    </row>
    <row r="624">
      <c r="C624" s="49"/>
    </row>
    <row r="625">
      <c r="C625" s="49"/>
    </row>
    <row r="626">
      <c r="C626" s="49"/>
    </row>
    <row r="627">
      <c r="C627" s="49"/>
    </row>
    <row r="628">
      <c r="C628" s="49"/>
    </row>
    <row r="629">
      <c r="C629" s="49"/>
    </row>
    <row r="630">
      <c r="C630" s="49"/>
    </row>
    <row r="631">
      <c r="C631" s="49"/>
    </row>
    <row r="632">
      <c r="C632" s="49"/>
    </row>
    <row r="633">
      <c r="C633" s="49"/>
    </row>
    <row r="634">
      <c r="C634" s="49"/>
    </row>
    <row r="635">
      <c r="C635" s="49"/>
    </row>
    <row r="636">
      <c r="C636" s="49"/>
    </row>
    <row r="637">
      <c r="C637" s="49"/>
    </row>
    <row r="638">
      <c r="C638" s="49"/>
    </row>
    <row r="639">
      <c r="C639" s="49"/>
    </row>
    <row r="640">
      <c r="C640" s="49"/>
    </row>
    <row r="641">
      <c r="C641" s="49"/>
    </row>
    <row r="642">
      <c r="C642" s="49"/>
    </row>
    <row r="643">
      <c r="C643" s="49"/>
    </row>
    <row r="644">
      <c r="C644" s="49"/>
    </row>
    <row r="645">
      <c r="C645" s="49"/>
    </row>
    <row r="646">
      <c r="C646" s="49"/>
    </row>
    <row r="647">
      <c r="C647" s="49"/>
    </row>
    <row r="648">
      <c r="C648" s="49"/>
    </row>
    <row r="649">
      <c r="C649" s="49"/>
    </row>
    <row r="650">
      <c r="C650" s="49"/>
    </row>
    <row r="651">
      <c r="C651" s="49"/>
    </row>
    <row r="652">
      <c r="C652" s="49"/>
    </row>
    <row r="653">
      <c r="C653" s="49"/>
    </row>
    <row r="654">
      <c r="C654" s="49"/>
    </row>
    <row r="655">
      <c r="C655" s="49"/>
    </row>
    <row r="656">
      <c r="C656" s="49"/>
    </row>
    <row r="657">
      <c r="C657" s="49"/>
    </row>
    <row r="658">
      <c r="C658" s="49"/>
    </row>
    <row r="659">
      <c r="C659" s="49"/>
    </row>
    <row r="660">
      <c r="C660" s="49"/>
    </row>
    <row r="661">
      <c r="C661" s="49"/>
    </row>
    <row r="662">
      <c r="C662" s="49"/>
    </row>
    <row r="663">
      <c r="C663" s="49"/>
    </row>
    <row r="664">
      <c r="C664" s="49"/>
    </row>
    <row r="665">
      <c r="C665" s="49"/>
    </row>
    <row r="666">
      <c r="C666" s="49"/>
    </row>
    <row r="667">
      <c r="C667" s="49"/>
    </row>
    <row r="668">
      <c r="C668" s="49"/>
    </row>
    <row r="669">
      <c r="C669" s="49"/>
    </row>
    <row r="670">
      <c r="C670" s="49"/>
    </row>
    <row r="671">
      <c r="C671" s="49"/>
    </row>
    <row r="672">
      <c r="C672" s="49"/>
    </row>
    <row r="673">
      <c r="C673" s="49"/>
    </row>
    <row r="674">
      <c r="C674" s="49"/>
    </row>
    <row r="675">
      <c r="C675" s="49"/>
    </row>
    <row r="676">
      <c r="C676" s="49"/>
    </row>
    <row r="677">
      <c r="C677" s="49"/>
    </row>
    <row r="678">
      <c r="C678" s="49"/>
    </row>
    <row r="679">
      <c r="C679" s="49"/>
    </row>
    <row r="680">
      <c r="C680" s="49"/>
    </row>
    <row r="681">
      <c r="C681" s="49"/>
    </row>
    <row r="682">
      <c r="C682" s="49"/>
    </row>
    <row r="683">
      <c r="C683" s="49"/>
    </row>
    <row r="684">
      <c r="C684" s="49"/>
    </row>
    <row r="685">
      <c r="C685" s="49"/>
    </row>
    <row r="686">
      <c r="C686" s="49"/>
    </row>
    <row r="687">
      <c r="C687" s="49"/>
    </row>
    <row r="688">
      <c r="C688" s="49"/>
    </row>
    <row r="689">
      <c r="C689" s="49"/>
    </row>
    <row r="690">
      <c r="C690" s="49"/>
    </row>
    <row r="691">
      <c r="C691" s="49"/>
    </row>
    <row r="692">
      <c r="C692" s="49"/>
    </row>
    <row r="693">
      <c r="C693" s="49"/>
    </row>
    <row r="694">
      <c r="C694" s="49"/>
    </row>
    <row r="695">
      <c r="C695" s="49"/>
    </row>
    <row r="696">
      <c r="C696" s="49"/>
    </row>
    <row r="697">
      <c r="C697" s="49"/>
    </row>
    <row r="698">
      <c r="C698" s="49"/>
    </row>
    <row r="699">
      <c r="C699" s="49"/>
    </row>
    <row r="700">
      <c r="C700" s="49"/>
    </row>
    <row r="701">
      <c r="C701" s="49"/>
    </row>
    <row r="702">
      <c r="C702" s="49"/>
    </row>
    <row r="703">
      <c r="C703" s="49"/>
    </row>
    <row r="704">
      <c r="C704" s="49"/>
    </row>
    <row r="705">
      <c r="C705" s="49"/>
    </row>
    <row r="706">
      <c r="C706" s="49"/>
    </row>
    <row r="707">
      <c r="C707" s="49"/>
    </row>
    <row r="708">
      <c r="C708" s="49"/>
    </row>
    <row r="709">
      <c r="C709" s="49"/>
    </row>
    <row r="710">
      <c r="C710" s="49"/>
    </row>
    <row r="711">
      <c r="C711" s="49"/>
    </row>
    <row r="712">
      <c r="C712" s="49"/>
    </row>
    <row r="713">
      <c r="C713" s="49"/>
    </row>
    <row r="714">
      <c r="C714" s="49"/>
    </row>
    <row r="715">
      <c r="C715" s="49"/>
    </row>
    <row r="716">
      <c r="C716" s="49"/>
    </row>
    <row r="717">
      <c r="C717" s="49"/>
    </row>
    <row r="718">
      <c r="C718" s="49"/>
    </row>
    <row r="719">
      <c r="C719" s="49"/>
    </row>
    <row r="720">
      <c r="C720" s="49"/>
    </row>
    <row r="721">
      <c r="C721" s="49"/>
    </row>
    <row r="722">
      <c r="C722" s="49"/>
    </row>
    <row r="723">
      <c r="C723" s="49"/>
    </row>
    <row r="724">
      <c r="C724" s="49"/>
    </row>
    <row r="725">
      <c r="C725" s="49"/>
    </row>
    <row r="726">
      <c r="C726" s="49"/>
    </row>
    <row r="727">
      <c r="C727" s="49"/>
    </row>
    <row r="728">
      <c r="C728" s="49"/>
    </row>
    <row r="729">
      <c r="C729" s="49"/>
    </row>
    <row r="730">
      <c r="C730" s="49"/>
    </row>
    <row r="731">
      <c r="C731" s="49"/>
    </row>
    <row r="732">
      <c r="C732" s="49"/>
    </row>
    <row r="733">
      <c r="C733" s="49"/>
    </row>
    <row r="734">
      <c r="C734" s="49"/>
    </row>
    <row r="735">
      <c r="C735" s="49"/>
    </row>
    <row r="736">
      <c r="C736" s="49"/>
    </row>
    <row r="737">
      <c r="C737" s="49"/>
    </row>
    <row r="738">
      <c r="C738" s="49"/>
    </row>
    <row r="739">
      <c r="C739" s="49"/>
    </row>
    <row r="740">
      <c r="C740" s="49"/>
    </row>
    <row r="741">
      <c r="C741" s="49"/>
    </row>
    <row r="742">
      <c r="C742" s="49"/>
    </row>
    <row r="743">
      <c r="C743" s="49"/>
    </row>
    <row r="744">
      <c r="C744" s="49"/>
    </row>
    <row r="745">
      <c r="C745" s="49"/>
    </row>
    <row r="746">
      <c r="C746" s="49"/>
    </row>
    <row r="747">
      <c r="C747" s="49"/>
    </row>
    <row r="748">
      <c r="C748" s="49"/>
    </row>
    <row r="749">
      <c r="C749" s="49"/>
    </row>
    <row r="750">
      <c r="C750" s="49"/>
    </row>
    <row r="751">
      <c r="C751" s="49"/>
    </row>
    <row r="752">
      <c r="C752" s="49"/>
    </row>
    <row r="753">
      <c r="C753" s="49"/>
    </row>
    <row r="754">
      <c r="C754" s="49"/>
    </row>
    <row r="755">
      <c r="C755" s="49"/>
    </row>
    <row r="756">
      <c r="C756" s="49"/>
    </row>
    <row r="757">
      <c r="C757" s="49"/>
    </row>
    <row r="758">
      <c r="C758" s="49"/>
    </row>
    <row r="759">
      <c r="C759" s="49"/>
    </row>
    <row r="760">
      <c r="C760" s="49"/>
    </row>
    <row r="761">
      <c r="C761" s="49"/>
    </row>
    <row r="762">
      <c r="C762" s="49"/>
    </row>
    <row r="763">
      <c r="C763" s="49"/>
    </row>
    <row r="764">
      <c r="C764" s="49"/>
    </row>
    <row r="765">
      <c r="C765" s="49"/>
    </row>
    <row r="766">
      <c r="C766" s="49"/>
    </row>
    <row r="767">
      <c r="C767" s="49"/>
    </row>
    <row r="768">
      <c r="C768" s="49"/>
    </row>
    <row r="769">
      <c r="C769" s="49"/>
    </row>
    <row r="770">
      <c r="C770" s="49"/>
    </row>
    <row r="771">
      <c r="C771" s="49"/>
    </row>
    <row r="772">
      <c r="C772" s="49"/>
    </row>
    <row r="773">
      <c r="C773" s="49"/>
    </row>
    <row r="774">
      <c r="C774" s="49"/>
    </row>
    <row r="775">
      <c r="C775" s="49"/>
    </row>
    <row r="776">
      <c r="C776" s="49"/>
    </row>
    <row r="777">
      <c r="C777" s="49"/>
    </row>
    <row r="778">
      <c r="C778" s="49"/>
    </row>
    <row r="779">
      <c r="C779" s="49"/>
    </row>
    <row r="780">
      <c r="C780" s="49"/>
    </row>
    <row r="781">
      <c r="C781" s="49"/>
    </row>
    <row r="782">
      <c r="C782" s="49"/>
    </row>
    <row r="783">
      <c r="C783" s="49"/>
    </row>
    <row r="784">
      <c r="C784" s="49"/>
    </row>
    <row r="785">
      <c r="C785" s="49"/>
    </row>
    <row r="786">
      <c r="C786" s="49"/>
    </row>
    <row r="787">
      <c r="C787" s="49"/>
    </row>
    <row r="788">
      <c r="C788" s="49"/>
    </row>
    <row r="789">
      <c r="C789" s="49"/>
    </row>
    <row r="790">
      <c r="C790" s="49"/>
    </row>
    <row r="791">
      <c r="C791" s="49"/>
    </row>
    <row r="792">
      <c r="C792" s="49"/>
    </row>
    <row r="793">
      <c r="C793" s="49"/>
    </row>
    <row r="794">
      <c r="C794" s="49"/>
    </row>
    <row r="795">
      <c r="C795" s="49"/>
    </row>
    <row r="796">
      <c r="C796" s="49"/>
    </row>
    <row r="797">
      <c r="C797" s="49"/>
    </row>
    <row r="798">
      <c r="C798" s="49"/>
    </row>
    <row r="799">
      <c r="C799" s="49"/>
    </row>
    <row r="800">
      <c r="C800" s="49"/>
    </row>
    <row r="801">
      <c r="C801" s="49"/>
    </row>
    <row r="802">
      <c r="C802" s="49"/>
    </row>
    <row r="803">
      <c r="C803" s="49"/>
    </row>
    <row r="804">
      <c r="C804" s="49"/>
    </row>
    <row r="805">
      <c r="C805" s="49"/>
    </row>
    <row r="806">
      <c r="C806" s="49"/>
    </row>
    <row r="807">
      <c r="C807" s="49"/>
    </row>
    <row r="808">
      <c r="C808" s="49"/>
    </row>
    <row r="809">
      <c r="C809" s="49"/>
    </row>
    <row r="810">
      <c r="C810" s="49"/>
    </row>
    <row r="811">
      <c r="C811" s="49"/>
    </row>
    <row r="812">
      <c r="C812" s="49"/>
    </row>
    <row r="813">
      <c r="C813" s="49"/>
    </row>
    <row r="814">
      <c r="C814" s="49"/>
    </row>
    <row r="815">
      <c r="C815" s="49"/>
    </row>
    <row r="816">
      <c r="C816" s="49"/>
    </row>
    <row r="817">
      <c r="C817" s="49"/>
    </row>
    <row r="818">
      <c r="C818" s="49"/>
    </row>
    <row r="819">
      <c r="C819" s="49"/>
    </row>
    <row r="820">
      <c r="C820" s="49"/>
    </row>
    <row r="821">
      <c r="C821" s="49"/>
    </row>
    <row r="822">
      <c r="C822" s="49"/>
    </row>
    <row r="823">
      <c r="C823" s="49"/>
    </row>
    <row r="824">
      <c r="C824" s="49"/>
    </row>
    <row r="825">
      <c r="C825" s="49"/>
    </row>
    <row r="826">
      <c r="C826" s="49"/>
    </row>
    <row r="827">
      <c r="C827" s="49"/>
    </row>
    <row r="828">
      <c r="C828" s="49"/>
    </row>
    <row r="829">
      <c r="C829" s="49"/>
    </row>
    <row r="830">
      <c r="C830" s="49"/>
    </row>
    <row r="831">
      <c r="C831" s="49"/>
    </row>
    <row r="832">
      <c r="C832" s="49"/>
    </row>
    <row r="833">
      <c r="C833" s="49"/>
    </row>
    <row r="834">
      <c r="C834" s="49"/>
    </row>
    <row r="835">
      <c r="C835" s="49"/>
    </row>
    <row r="836">
      <c r="C836" s="49"/>
    </row>
    <row r="837">
      <c r="C837" s="49"/>
    </row>
    <row r="838">
      <c r="C838" s="49"/>
    </row>
    <row r="839">
      <c r="C839" s="49"/>
    </row>
    <row r="840">
      <c r="C840" s="49"/>
    </row>
    <row r="841">
      <c r="C841" s="49"/>
    </row>
    <row r="842">
      <c r="C842" s="49"/>
    </row>
    <row r="843">
      <c r="C843" s="49"/>
    </row>
    <row r="844">
      <c r="C844" s="49"/>
    </row>
    <row r="845">
      <c r="C845" s="49"/>
    </row>
    <row r="846">
      <c r="C846" s="49"/>
    </row>
    <row r="847">
      <c r="C847" s="49"/>
    </row>
    <row r="848">
      <c r="C848" s="49"/>
    </row>
    <row r="849">
      <c r="C849" s="49"/>
    </row>
    <row r="850">
      <c r="C850" s="49"/>
    </row>
    <row r="851">
      <c r="C851" s="49"/>
    </row>
    <row r="852">
      <c r="C852" s="49"/>
    </row>
    <row r="853">
      <c r="C853" s="49"/>
    </row>
    <row r="854">
      <c r="C854" s="49"/>
    </row>
    <row r="855">
      <c r="C855" s="49"/>
    </row>
    <row r="856">
      <c r="C856" s="49"/>
    </row>
    <row r="857">
      <c r="C857" s="49"/>
    </row>
    <row r="858">
      <c r="C858" s="49"/>
    </row>
    <row r="859">
      <c r="C859" s="49"/>
    </row>
    <row r="860">
      <c r="C860" s="49"/>
    </row>
    <row r="861">
      <c r="C861" s="49"/>
    </row>
    <row r="862">
      <c r="C862" s="49"/>
    </row>
    <row r="863">
      <c r="C863" s="49"/>
    </row>
    <row r="864">
      <c r="C864" s="49"/>
    </row>
    <row r="865">
      <c r="C865" s="49"/>
    </row>
    <row r="866">
      <c r="C866" s="49"/>
    </row>
    <row r="867">
      <c r="C867" s="49"/>
    </row>
    <row r="868">
      <c r="C868" s="49"/>
    </row>
    <row r="869">
      <c r="C869" s="49"/>
    </row>
    <row r="870">
      <c r="C870" s="49"/>
    </row>
    <row r="871">
      <c r="C871" s="49"/>
    </row>
    <row r="872">
      <c r="C872" s="49"/>
    </row>
    <row r="873">
      <c r="C873" s="49"/>
    </row>
    <row r="874">
      <c r="C874" s="49"/>
    </row>
    <row r="875">
      <c r="C875" s="49"/>
    </row>
    <row r="876">
      <c r="C876" s="49"/>
    </row>
    <row r="877">
      <c r="C877" s="49"/>
    </row>
    <row r="878">
      <c r="C878" s="49"/>
    </row>
    <row r="879">
      <c r="C879" s="49"/>
    </row>
    <row r="880">
      <c r="C880" s="49"/>
    </row>
    <row r="881">
      <c r="C881" s="49"/>
    </row>
    <row r="882">
      <c r="C882" s="49"/>
    </row>
    <row r="883">
      <c r="C883" s="49"/>
    </row>
    <row r="884">
      <c r="C884" s="49"/>
    </row>
    <row r="885">
      <c r="C885" s="49"/>
    </row>
    <row r="886">
      <c r="C886" s="49"/>
    </row>
    <row r="887">
      <c r="C887" s="49"/>
    </row>
    <row r="888">
      <c r="C888" s="49"/>
    </row>
    <row r="889">
      <c r="C889" s="49"/>
    </row>
    <row r="890">
      <c r="C890" s="49"/>
    </row>
    <row r="891">
      <c r="C891" s="49"/>
    </row>
    <row r="892">
      <c r="C892" s="49"/>
    </row>
    <row r="893">
      <c r="C893" s="49"/>
    </row>
    <row r="894">
      <c r="C894" s="49"/>
    </row>
    <row r="895">
      <c r="C895" s="49"/>
    </row>
    <row r="896">
      <c r="C896" s="49"/>
    </row>
    <row r="897">
      <c r="C897" s="49"/>
    </row>
    <row r="898">
      <c r="C898" s="49"/>
    </row>
    <row r="899">
      <c r="C899" s="49"/>
    </row>
    <row r="900">
      <c r="C900" s="49"/>
    </row>
    <row r="901">
      <c r="C901" s="49"/>
    </row>
    <row r="902">
      <c r="C902" s="49"/>
    </row>
    <row r="903">
      <c r="C903" s="49"/>
    </row>
    <row r="904">
      <c r="C904" s="49"/>
    </row>
    <row r="905">
      <c r="C905" s="49"/>
    </row>
    <row r="906">
      <c r="C906" s="49"/>
    </row>
    <row r="907">
      <c r="C907" s="49"/>
    </row>
    <row r="908">
      <c r="C908" s="49"/>
    </row>
    <row r="909">
      <c r="C909" s="49"/>
    </row>
    <row r="910">
      <c r="C910" s="49"/>
    </row>
    <row r="911">
      <c r="C911" s="49"/>
    </row>
    <row r="912">
      <c r="C912" s="49"/>
    </row>
    <row r="913">
      <c r="C913" s="49"/>
    </row>
    <row r="914">
      <c r="C914" s="49"/>
    </row>
    <row r="915">
      <c r="C915" s="49"/>
    </row>
    <row r="916">
      <c r="C916" s="49"/>
    </row>
    <row r="917">
      <c r="C917" s="49"/>
    </row>
    <row r="918">
      <c r="C918" s="49"/>
    </row>
    <row r="919">
      <c r="C919" s="49"/>
    </row>
    <row r="920">
      <c r="C920" s="49"/>
    </row>
    <row r="921">
      <c r="C921" s="49"/>
    </row>
    <row r="922">
      <c r="C922" s="49"/>
    </row>
    <row r="923">
      <c r="C923" s="49"/>
    </row>
    <row r="924">
      <c r="C924" s="49"/>
    </row>
    <row r="925">
      <c r="C925" s="49"/>
    </row>
    <row r="926">
      <c r="C926" s="49"/>
    </row>
    <row r="927">
      <c r="C927" s="49"/>
    </row>
    <row r="928">
      <c r="C928" s="49"/>
    </row>
    <row r="929">
      <c r="C929" s="49"/>
    </row>
    <row r="930">
      <c r="C930" s="49"/>
    </row>
    <row r="931">
      <c r="C931" s="49"/>
    </row>
    <row r="932">
      <c r="C932" s="49"/>
    </row>
    <row r="933">
      <c r="C933" s="49"/>
    </row>
    <row r="934">
      <c r="C934" s="49"/>
    </row>
    <row r="935">
      <c r="C935" s="49"/>
    </row>
    <row r="936">
      <c r="C936" s="49"/>
    </row>
    <row r="937">
      <c r="C937" s="49"/>
    </row>
    <row r="938">
      <c r="C938" s="49"/>
    </row>
    <row r="939">
      <c r="C939" s="49"/>
    </row>
    <row r="940">
      <c r="C940" s="49"/>
    </row>
    <row r="941">
      <c r="C941" s="49"/>
    </row>
    <row r="942">
      <c r="C942" s="49"/>
    </row>
    <row r="943">
      <c r="C943" s="49"/>
    </row>
    <row r="944">
      <c r="C944" s="49"/>
    </row>
    <row r="945">
      <c r="C945" s="49"/>
    </row>
    <row r="946">
      <c r="C946" s="49"/>
    </row>
    <row r="947">
      <c r="C947" s="49"/>
    </row>
    <row r="948">
      <c r="C948" s="49"/>
    </row>
    <row r="949">
      <c r="C949" s="49"/>
    </row>
    <row r="950">
      <c r="C950" s="49"/>
    </row>
    <row r="951">
      <c r="C951" s="49"/>
    </row>
    <row r="952">
      <c r="C952" s="49"/>
    </row>
    <row r="953">
      <c r="C953" s="49"/>
    </row>
    <row r="954">
      <c r="C954" s="49"/>
    </row>
    <row r="955">
      <c r="C955" s="49"/>
    </row>
    <row r="956">
      <c r="C956" s="49"/>
    </row>
    <row r="957">
      <c r="C957" s="49"/>
    </row>
    <row r="958">
      <c r="C958" s="49"/>
    </row>
    <row r="959">
      <c r="C959" s="49"/>
    </row>
    <row r="960">
      <c r="C960" s="49"/>
    </row>
    <row r="961">
      <c r="C961" s="49"/>
    </row>
    <row r="962">
      <c r="C962" s="49"/>
    </row>
    <row r="963">
      <c r="C963" s="49"/>
    </row>
    <row r="964">
      <c r="C964" s="49"/>
    </row>
    <row r="965">
      <c r="C965" s="49"/>
    </row>
    <row r="966">
      <c r="C966" s="49"/>
    </row>
    <row r="967">
      <c r="C967" s="49"/>
    </row>
    <row r="968">
      <c r="C968" s="49"/>
    </row>
    <row r="969">
      <c r="C969" s="49"/>
    </row>
    <row r="970">
      <c r="C970" s="49"/>
    </row>
    <row r="971">
      <c r="C971" s="49"/>
    </row>
    <row r="972">
      <c r="C972" s="49"/>
    </row>
    <row r="973">
      <c r="C973" s="49"/>
    </row>
    <row r="974">
      <c r="C974" s="49"/>
    </row>
    <row r="975">
      <c r="C975" s="49"/>
    </row>
    <row r="976">
      <c r="C976" s="49"/>
    </row>
    <row r="977">
      <c r="C977" s="49"/>
    </row>
    <row r="978">
      <c r="C978" s="49"/>
    </row>
    <row r="979">
      <c r="C979" s="49"/>
    </row>
    <row r="980">
      <c r="C980" s="49"/>
    </row>
    <row r="981">
      <c r="C981" s="49"/>
    </row>
    <row r="982">
      <c r="C982" s="49"/>
    </row>
    <row r="983">
      <c r="C983" s="49"/>
    </row>
    <row r="984">
      <c r="C984" s="49"/>
    </row>
    <row r="985">
      <c r="C985" s="49"/>
    </row>
    <row r="986">
      <c r="C986" s="49"/>
    </row>
    <row r="987">
      <c r="C987" s="49"/>
    </row>
    <row r="988">
      <c r="C988" s="49"/>
    </row>
    <row r="989">
      <c r="C989" s="49"/>
    </row>
    <row r="990">
      <c r="C990" s="49"/>
    </row>
    <row r="991">
      <c r="C991" s="49"/>
    </row>
    <row r="992">
      <c r="C992" s="49"/>
    </row>
    <row r="993">
      <c r="C993" s="49"/>
    </row>
    <row r="994">
      <c r="C994" s="49"/>
    </row>
    <row r="995">
      <c r="C995" s="49"/>
    </row>
    <row r="996">
      <c r="C996" s="49"/>
    </row>
    <row r="997">
      <c r="C997" s="49"/>
    </row>
    <row r="998">
      <c r="C998" s="49"/>
    </row>
    <row r="999">
      <c r="C999" s="49"/>
    </row>
    <row r="1000">
      <c r="C1000" s="49"/>
    </row>
  </sheetData>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25"/>
  </cols>
  <sheetData>
    <row r="1">
      <c r="A1" s="40" t="s">
        <v>623</v>
      </c>
      <c r="B1" s="40" t="s">
        <v>624</v>
      </c>
      <c r="C1" s="40" t="s">
        <v>625</v>
      </c>
      <c r="D1" s="40" t="s">
        <v>626</v>
      </c>
    </row>
    <row r="2">
      <c r="A2" s="19" t="s">
        <v>636</v>
      </c>
      <c r="B2" s="20" t="s">
        <v>6213</v>
      </c>
      <c r="C2" s="20">
        <v>85.0</v>
      </c>
      <c r="D2" s="41">
        <v>45449.0</v>
      </c>
    </row>
    <row r="3">
      <c r="A3" s="19" t="s">
        <v>119</v>
      </c>
      <c r="B3" s="20" t="s">
        <v>6214</v>
      </c>
      <c r="C3" s="20">
        <v>85.0</v>
      </c>
      <c r="D3" s="41">
        <v>45449.0</v>
      </c>
    </row>
    <row r="4">
      <c r="A4" s="19" t="s">
        <v>731</v>
      </c>
      <c r="B4" s="20" t="s">
        <v>6215</v>
      </c>
      <c r="C4" s="20">
        <v>85.0</v>
      </c>
      <c r="D4" s="41">
        <v>45449.0</v>
      </c>
    </row>
    <row r="5">
      <c r="A5" s="19" t="s">
        <v>740</v>
      </c>
      <c r="B5" s="20" t="s">
        <v>6216</v>
      </c>
      <c r="C5" s="20">
        <v>85.0</v>
      </c>
      <c r="D5" s="41">
        <v>45449.0</v>
      </c>
    </row>
    <row r="6">
      <c r="A6" s="19" t="s">
        <v>742</v>
      </c>
      <c r="B6" s="20" t="s">
        <v>6217</v>
      </c>
      <c r="C6" s="20">
        <v>80.0</v>
      </c>
      <c r="D6" s="41">
        <v>45449.0</v>
      </c>
    </row>
    <row r="7">
      <c r="A7" s="19" t="s">
        <v>115</v>
      </c>
      <c r="B7" s="20" t="s">
        <v>6218</v>
      </c>
      <c r="C7" s="20">
        <v>80.0</v>
      </c>
      <c r="D7" s="41">
        <v>45449.0</v>
      </c>
    </row>
    <row r="8">
      <c r="A8" s="19" t="s">
        <v>173</v>
      </c>
      <c r="B8" s="20" t="s">
        <v>6219</v>
      </c>
      <c r="C8" s="20">
        <v>80.0</v>
      </c>
      <c r="D8" s="41">
        <v>45449.0</v>
      </c>
    </row>
    <row r="9">
      <c r="A9" s="19" t="s">
        <v>745</v>
      </c>
      <c r="B9" s="20" t="s">
        <v>6220</v>
      </c>
      <c r="C9" s="20">
        <v>80.0</v>
      </c>
      <c r="D9" s="41">
        <v>45449.0</v>
      </c>
    </row>
    <row r="10">
      <c r="A10" s="19" t="s">
        <v>194</v>
      </c>
      <c r="B10" s="20" t="s">
        <v>6221</v>
      </c>
      <c r="C10" s="20">
        <v>80.0</v>
      </c>
      <c r="D10" s="41">
        <v>45449.0</v>
      </c>
    </row>
    <row r="11">
      <c r="A11" s="19" t="s">
        <v>640</v>
      </c>
      <c r="B11" s="20" t="s">
        <v>6222</v>
      </c>
      <c r="C11" s="20">
        <v>75.0</v>
      </c>
      <c r="D11" s="41">
        <v>45449.0</v>
      </c>
    </row>
    <row r="12">
      <c r="A12" s="19" t="s">
        <v>153</v>
      </c>
      <c r="B12" s="20" t="s">
        <v>6223</v>
      </c>
      <c r="C12" s="20">
        <v>75.0</v>
      </c>
      <c r="D12" s="41">
        <v>45449.0</v>
      </c>
    </row>
    <row r="13">
      <c r="A13" s="19" t="s">
        <v>717</v>
      </c>
      <c r="B13" s="20" t="s">
        <v>6224</v>
      </c>
      <c r="C13" s="20">
        <v>75.0</v>
      </c>
      <c r="D13" s="41">
        <v>45449.0</v>
      </c>
    </row>
    <row r="14">
      <c r="A14" s="19" t="s">
        <v>148</v>
      </c>
      <c r="B14" s="20" t="s">
        <v>6225</v>
      </c>
      <c r="C14" s="20">
        <v>75.0</v>
      </c>
      <c r="D14" s="41">
        <v>45449.0</v>
      </c>
    </row>
    <row r="15">
      <c r="A15" s="19" t="s">
        <v>686</v>
      </c>
      <c r="B15" s="20" t="s">
        <v>6226</v>
      </c>
      <c r="C15" s="20">
        <v>75.0</v>
      </c>
      <c r="D15" s="41">
        <v>45449.0</v>
      </c>
    </row>
    <row r="16">
      <c r="A16" s="19" t="s">
        <v>662</v>
      </c>
      <c r="B16" s="20" t="s">
        <v>6227</v>
      </c>
      <c r="C16" s="20">
        <v>75.0</v>
      </c>
      <c r="D16" s="41">
        <v>45449.0</v>
      </c>
    </row>
    <row r="17">
      <c r="A17" s="19" t="s">
        <v>654</v>
      </c>
      <c r="B17" s="20" t="s">
        <v>6228</v>
      </c>
      <c r="C17" s="20">
        <v>75.0</v>
      </c>
      <c r="D17" s="41">
        <v>45449.0</v>
      </c>
    </row>
    <row r="18">
      <c r="A18" s="19" t="s">
        <v>103</v>
      </c>
      <c r="B18" s="20" t="s">
        <v>6229</v>
      </c>
      <c r="C18" s="20">
        <v>75.0</v>
      </c>
      <c r="D18" s="41">
        <v>45449.0</v>
      </c>
    </row>
    <row r="19">
      <c r="A19" s="19" t="s">
        <v>690</v>
      </c>
      <c r="B19" s="20" t="s">
        <v>6230</v>
      </c>
      <c r="C19" s="20">
        <v>75.0</v>
      </c>
      <c r="D19" s="41">
        <v>45449.0</v>
      </c>
    </row>
    <row r="20">
      <c r="A20" s="19" t="s">
        <v>111</v>
      </c>
      <c r="B20" s="20" t="s">
        <v>6231</v>
      </c>
      <c r="C20" s="20">
        <v>75.0</v>
      </c>
      <c r="D20" s="41">
        <v>45449.0</v>
      </c>
    </row>
    <row r="21">
      <c r="A21" s="19" t="s">
        <v>694</v>
      </c>
      <c r="B21" s="20" t="s">
        <v>6232</v>
      </c>
      <c r="C21" s="20">
        <v>75.0</v>
      </c>
      <c r="D21" s="41">
        <v>45449.0</v>
      </c>
    </row>
    <row r="22">
      <c r="A22" s="19" t="s">
        <v>652</v>
      </c>
      <c r="B22" s="20" t="s">
        <v>6233</v>
      </c>
      <c r="C22" s="20">
        <v>75.0</v>
      </c>
      <c r="D22" s="41">
        <v>45449.0</v>
      </c>
    </row>
    <row r="23">
      <c r="A23" s="19" t="s">
        <v>757</v>
      </c>
      <c r="B23" s="20" t="s">
        <v>6234</v>
      </c>
      <c r="C23" s="20">
        <v>75.0</v>
      </c>
      <c r="D23" s="41">
        <v>45449.0</v>
      </c>
    </row>
    <row r="24">
      <c r="A24" s="19" t="s">
        <v>751</v>
      </c>
      <c r="B24" s="20" t="s">
        <v>6235</v>
      </c>
      <c r="C24" s="20">
        <v>75.0</v>
      </c>
      <c r="D24" s="41">
        <v>45449.0</v>
      </c>
    </row>
    <row r="25">
      <c r="A25" s="19" t="s">
        <v>150</v>
      </c>
      <c r="B25" s="20" t="s">
        <v>6236</v>
      </c>
      <c r="C25" s="20">
        <v>75.0</v>
      </c>
      <c r="D25" s="41">
        <v>45449.0</v>
      </c>
    </row>
    <row r="26">
      <c r="A26" s="19" t="s">
        <v>638</v>
      </c>
      <c r="B26" s="20" t="s">
        <v>6237</v>
      </c>
      <c r="C26" s="20">
        <v>75.0</v>
      </c>
      <c r="D26" s="41">
        <v>45449.0</v>
      </c>
    </row>
    <row r="27">
      <c r="A27" s="19" t="s">
        <v>107</v>
      </c>
      <c r="B27" s="20" t="s">
        <v>6238</v>
      </c>
      <c r="C27" s="20">
        <v>75.0</v>
      </c>
      <c r="D27" s="41">
        <v>45449.0</v>
      </c>
    </row>
    <row r="28">
      <c r="A28" s="19" t="s">
        <v>309</v>
      </c>
      <c r="B28" s="20" t="s">
        <v>6239</v>
      </c>
      <c r="C28" s="20">
        <v>75.0</v>
      </c>
      <c r="D28" s="41">
        <v>45449.0</v>
      </c>
    </row>
    <row r="29">
      <c r="A29" s="19" t="s">
        <v>649</v>
      </c>
      <c r="B29" s="20" t="s">
        <v>6240</v>
      </c>
      <c r="C29" s="20">
        <v>75.0</v>
      </c>
      <c r="D29" s="41">
        <v>45449.0</v>
      </c>
    </row>
    <row r="30">
      <c r="A30" s="19" t="s">
        <v>658</v>
      </c>
      <c r="B30" s="20" t="s">
        <v>6241</v>
      </c>
      <c r="C30" s="20">
        <v>75.0</v>
      </c>
      <c r="D30" s="41">
        <v>45449.0</v>
      </c>
    </row>
    <row r="31">
      <c r="A31" s="19" t="s">
        <v>314</v>
      </c>
      <c r="B31" s="20" t="s">
        <v>6242</v>
      </c>
      <c r="C31" s="20">
        <v>75.0</v>
      </c>
      <c r="D31" s="41">
        <v>45449.0</v>
      </c>
    </row>
    <row r="32">
      <c r="A32" s="19" t="s">
        <v>660</v>
      </c>
      <c r="B32" s="20" t="s">
        <v>6243</v>
      </c>
      <c r="C32" s="20">
        <v>75.0</v>
      </c>
      <c r="D32" s="41">
        <v>45449.0</v>
      </c>
    </row>
    <row r="33">
      <c r="A33" s="19" t="s">
        <v>188</v>
      </c>
      <c r="B33" s="20" t="s">
        <v>6244</v>
      </c>
      <c r="C33" s="20">
        <v>75.0</v>
      </c>
      <c r="D33" s="41">
        <v>45449.0</v>
      </c>
    </row>
    <row r="34">
      <c r="A34" s="19" t="s">
        <v>684</v>
      </c>
      <c r="B34" s="20" t="s">
        <v>6245</v>
      </c>
      <c r="C34" s="20">
        <v>75.0</v>
      </c>
      <c r="D34" s="41">
        <v>45449.0</v>
      </c>
    </row>
    <row r="35">
      <c r="A35" s="19" t="s">
        <v>634</v>
      </c>
      <c r="B35" s="20" t="s">
        <v>6246</v>
      </c>
      <c r="C35" s="20">
        <v>75.0</v>
      </c>
      <c r="D35" s="41">
        <v>45449.0</v>
      </c>
    </row>
    <row r="36">
      <c r="A36" s="19" t="s">
        <v>702</v>
      </c>
      <c r="B36" s="20" t="s">
        <v>6247</v>
      </c>
      <c r="C36" s="20">
        <v>75.0</v>
      </c>
      <c r="D36" s="41">
        <v>45449.0</v>
      </c>
    </row>
    <row r="37">
      <c r="A37" s="19" t="s">
        <v>156</v>
      </c>
      <c r="B37" s="20" t="s">
        <v>6248</v>
      </c>
      <c r="C37" s="20">
        <v>75.0</v>
      </c>
      <c r="D37" s="41">
        <v>45449.0</v>
      </c>
    </row>
    <row r="38">
      <c r="A38" s="19" t="s">
        <v>312</v>
      </c>
      <c r="B38" s="20" t="s">
        <v>6249</v>
      </c>
      <c r="C38" s="20">
        <v>75.0</v>
      </c>
      <c r="D38" s="41">
        <v>45449.0</v>
      </c>
    </row>
    <row r="39">
      <c r="A39" s="19" t="s">
        <v>708</v>
      </c>
      <c r="B39" s="20" t="s">
        <v>6250</v>
      </c>
      <c r="C39" s="20">
        <v>75.0</v>
      </c>
      <c r="D39" s="41">
        <v>45449.0</v>
      </c>
    </row>
    <row r="40">
      <c r="A40" s="19" t="s">
        <v>755</v>
      </c>
      <c r="B40" s="20" t="s">
        <v>6251</v>
      </c>
      <c r="C40" s="20">
        <v>75.0</v>
      </c>
      <c r="D40" s="41">
        <v>45449.0</v>
      </c>
    </row>
    <row r="41">
      <c r="A41" s="19" t="s">
        <v>753</v>
      </c>
      <c r="B41" s="20" t="s">
        <v>6252</v>
      </c>
      <c r="C41" s="20">
        <v>75.0</v>
      </c>
      <c r="D41" s="41">
        <v>45449.0</v>
      </c>
    </row>
    <row r="42">
      <c r="A42" s="19" t="s">
        <v>159</v>
      </c>
      <c r="B42" s="20" t="s">
        <v>6253</v>
      </c>
      <c r="C42" s="20">
        <v>70.0</v>
      </c>
      <c r="D42" s="41">
        <v>45449.0</v>
      </c>
    </row>
    <row r="43">
      <c r="A43" s="19" t="s">
        <v>645</v>
      </c>
      <c r="B43" s="20" t="s">
        <v>6254</v>
      </c>
      <c r="C43" s="20">
        <v>70.0</v>
      </c>
      <c r="D43" s="41">
        <v>45449.0</v>
      </c>
    </row>
    <row r="44">
      <c r="A44" s="19" t="s">
        <v>656</v>
      </c>
      <c r="B44" s="20" t="s">
        <v>6255</v>
      </c>
      <c r="C44" s="20">
        <v>70.0</v>
      </c>
      <c r="D44" s="41">
        <v>45449.0</v>
      </c>
    </row>
    <row r="45">
      <c r="A45" s="19" t="s">
        <v>647</v>
      </c>
      <c r="B45" s="20" t="s">
        <v>6256</v>
      </c>
      <c r="C45" s="20">
        <v>70.0</v>
      </c>
      <c r="D45" s="41">
        <v>45449.0</v>
      </c>
    </row>
    <row r="46">
      <c r="A46" s="19" t="s">
        <v>688</v>
      </c>
      <c r="B46" s="20" t="s">
        <v>6257</v>
      </c>
      <c r="C46" s="20">
        <v>70.0</v>
      </c>
      <c r="D46" s="41">
        <v>45449.0</v>
      </c>
    </row>
    <row r="47">
      <c r="A47" s="19" t="s">
        <v>692</v>
      </c>
      <c r="B47" s="20" t="s">
        <v>6258</v>
      </c>
      <c r="C47" s="20">
        <v>70.0</v>
      </c>
      <c r="D47" s="41">
        <v>45449.0</v>
      </c>
    </row>
    <row r="48">
      <c r="A48" s="19" t="s">
        <v>721</v>
      </c>
      <c r="B48" s="20" t="s">
        <v>6259</v>
      </c>
      <c r="C48" s="20">
        <v>70.0</v>
      </c>
      <c r="D48" s="41">
        <v>45449.0</v>
      </c>
    </row>
    <row r="49">
      <c r="A49" s="19" t="s">
        <v>672</v>
      </c>
      <c r="B49" s="20" t="s">
        <v>6260</v>
      </c>
      <c r="C49" s="20">
        <v>70.0</v>
      </c>
      <c r="D49" s="41">
        <v>45449.0</v>
      </c>
    </row>
    <row r="50">
      <c r="A50" s="19" t="s">
        <v>666</v>
      </c>
      <c r="B50" s="20" t="s">
        <v>6261</v>
      </c>
      <c r="C50" s="20">
        <v>70.0</v>
      </c>
      <c r="D50" s="41">
        <v>45449.0</v>
      </c>
    </row>
    <row r="51">
      <c r="A51" s="19" t="s">
        <v>664</v>
      </c>
      <c r="B51" s="20" t="s">
        <v>6262</v>
      </c>
      <c r="C51" s="20">
        <v>70.0</v>
      </c>
      <c r="D51" s="41">
        <v>45449.0</v>
      </c>
    </row>
    <row r="52">
      <c r="A52" s="19" t="s">
        <v>668</v>
      </c>
      <c r="B52" s="20" t="s">
        <v>6263</v>
      </c>
      <c r="C52" s="20">
        <v>70.0</v>
      </c>
      <c r="D52" s="41">
        <v>45449.0</v>
      </c>
    </row>
    <row r="53">
      <c r="A53" s="19" t="s">
        <v>727</v>
      </c>
      <c r="B53" s="20" t="s">
        <v>6264</v>
      </c>
      <c r="C53" s="20">
        <v>70.0</v>
      </c>
      <c r="D53" s="41">
        <v>45449.0</v>
      </c>
    </row>
    <row r="54">
      <c r="A54" s="19" t="s">
        <v>678</v>
      </c>
      <c r="B54" s="20" t="s">
        <v>6265</v>
      </c>
      <c r="C54" s="20">
        <v>70.0</v>
      </c>
      <c r="D54" s="41">
        <v>45449.0</v>
      </c>
    </row>
    <row r="55">
      <c r="A55" s="19" t="s">
        <v>706</v>
      </c>
      <c r="B55" s="20" t="s">
        <v>6266</v>
      </c>
      <c r="C55" s="20">
        <v>70.0</v>
      </c>
      <c r="D55" s="41">
        <v>45449.0</v>
      </c>
    </row>
    <row r="56">
      <c r="A56" s="19" t="s">
        <v>710</v>
      </c>
      <c r="B56" s="20" t="s">
        <v>6267</v>
      </c>
      <c r="C56" s="20">
        <v>70.0</v>
      </c>
      <c r="D56" s="41">
        <v>45449.0</v>
      </c>
    </row>
    <row r="57">
      <c r="A57" s="19" t="s">
        <v>700</v>
      </c>
      <c r="B57" s="20" t="s">
        <v>6268</v>
      </c>
      <c r="C57" s="20">
        <v>70.0</v>
      </c>
      <c r="D57" s="41">
        <v>45449.0</v>
      </c>
    </row>
    <row r="58">
      <c r="A58" s="19" t="s">
        <v>736</v>
      </c>
      <c r="B58" s="20" t="s">
        <v>6269</v>
      </c>
      <c r="C58" s="20">
        <v>70.0</v>
      </c>
      <c r="D58" s="41">
        <v>45449.0</v>
      </c>
    </row>
    <row r="59">
      <c r="A59" s="19" t="s">
        <v>719</v>
      </c>
      <c r="B59" s="20" t="s">
        <v>6270</v>
      </c>
      <c r="C59" s="20">
        <v>70.0</v>
      </c>
      <c r="D59" s="41">
        <v>45449.0</v>
      </c>
    </row>
    <row r="60">
      <c r="A60" s="42"/>
      <c r="B60" s="20" t="s">
        <v>6271</v>
      </c>
      <c r="C60" s="20">
        <v>70.0</v>
      </c>
      <c r="D60" s="41">
        <v>45449.0</v>
      </c>
    </row>
    <row r="61">
      <c r="A61" s="19" t="s">
        <v>177</v>
      </c>
      <c r="B61" s="20" t="s">
        <v>6272</v>
      </c>
      <c r="C61" s="20">
        <v>70.0</v>
      </c>
      <c r="D61" s="41">
        <v>45449.0</v>
      </c>
    </row>
    <row r="62">
      <c r="A62" s="19" t="s">
        <v>698</v>
      </c>
      <c r="B62" s="20" t="s">
        <v>6273</v>
      </c>
      <c r="C62" s="20">
        <v>70.0</v>
      </c>
      <c r="D62" s="41">
        <v>45449.0</v>
      </c>
    </row>
    <row r="63">
      <c r="A63" s="19" t="s">
        <v>642</v>
      </c>
      <c r="B63" s="20" t="s">
        <v>6274</v>
      </c>
      <c r="C63" s="20">
        <v>70.0</v>
      </c>
      <c r="D63" s="41">
        <v>45449.0</v>
      </c>
    </row>
    <row r="64">
      <c r="A64" s="19" t="s">
        <v>747</v>
      </c>
      <c r="B64" s="20" t="s">
        <v>6275</v>
      </c>
      <c r="C64" s="20">
        <v>70.0</v>
      </c>
      <c r="D64" s="41">
        <v>45449.0</v>
      </c>
    </row>
    <row r="65">
      <c r="A65" s="19" t="s">
        <v>749</v>
      </c>
      <c r="B65" s="20" t="s">
        <v>6276</v>
      </c>
      <c r="C65" s="20">
        <v>70.0</v>
      </c>
      <c r="D65" s="41">
        <v>45449.0</v>
      </c>
    </row>
    <row r="66">
      <c r="A66" s="19" t="s">
        <v>725</v>
      </c>
      <c r="B66" s="20" t="s">
        <v>6277</v>
      </c>
      <c r="C66" s="20">
        <v>70.0</v>
      </c>
      <c r="D66" s="41">
        <v>45449.0</v>
      </c>
    </row>
    <row r="67">
      <c r="A67" s="19" t="s">
        <v>723</v>
      </c>
      <c r="B67" s="20" t="s">
        <v>6278</v>
      </c>
      <c r="C67" s="20">
        <v>70.0</v>
      </c>
      <c r="D67" s="41">
        <v>45449.0</v>
      </c>
    </row>
    <row r="68">
      <c r="A68" s="19" t="s">
        <v>675</v>
      </c>
      <c r="B68" s="20" t="s">
        <v>6279</v>
      </c>
      <c r="C68" s="20">
        <v>70.0</v>
      </c>
      <c r="D68" s="41">
        <v>45449.0</v>
      </c>
    </row>
    <row r="69">
      <c r="A69" s="19" t="s">
        <v>729</v>
      </c>
      <c r="B69" s="20" t="s">
        <v>6280</v>
      </c>
      <c r="C69" s="20">
        <v>70.0</v>
      </c>
      <c r="D69" s="41">
        <v>45449.0</v>
      </c>
    </row>
    <row r="70">
      <c r="A70" s="19" t="s">
        <v>682</v>
      </c>
      <c r="B70" s="20" t="s">
        <v>6281</v>
      </c>
      <c r="C70" s="20">
        <v>70.0</v>
      </c>
      <c r="D70" s="41">
        <v>45449.0</v>
      </c>
    </row>
    <row r="71">
      <c r="A71" s="19" t="s">
        <v>704</v>
      </c>
      <c r="B71" s="20" t="s">
        <v>6282</v>
      </c>
      <c r="C71" s="20">
        <v>65.0</v>
      </c>
      <c r="D71" s="41">
        <v>45449.0</v>
      </c>
    </row>
    <row r="72">
      <c r="A72" s="19" t="s">
        <v>670</v>
      </c>
      <c r="B72" s="20" t="s">
        <v>6283</v>
      </c>
      <c r="C72" s="20">
        <v>65.0</v>
      </c>
      <c r="D72" s="41">
        <v>45449.0</v>
      </c>
    </row>
    <row r="73">
      <c r="A73" s="19" t="s">
        <v>734</v>
      </c>
      <c r="B73" s="20" t="s">
        <v>6284</v>
      </c>
      <c r="C73" s="20">
        <v>65.0</v>
      </c>
      <c r="D73" s="41">
        <v>45449.0</v>
      </c>
    </row>
    <row r="74">
      <c r="A74" s="19" t="s">
        <v>712</v>
      </c>
      <c r="B74" s="20" t="s">
        <v>6285</v>
      </c>
      <c r="C74" s="20">
        <v>65.0</v>
      </c>
      <c r="D74" s="41">
        <v>45449.0</v>
      </c>
    </row>
    <row r="75">
      <c r="A75" s="19" t="s">
        <v>738</v>
      </c>
      <c r="B75" s="20" t="s">
        <v>6286</v>
      </c>
      <c r="C75" s="20">
        <v>65.0</v>
      </c>
      <c r="D75" s="41">
        <v>45449.0</v>
      </c>
    </row>
    <row r="76">
      <c r="A76" s="19" t="s">
        <v>714</v>
      </c>
      <c r="B76" s="20" t="s">
        <v>6287</v>
      </c>
      <c r="C76" s="20">
        <v>60.0</v>
      </c>
      <c r="D76" s="41">
        <v>45449.0</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40" t="s">
        <v>623</v>
      </c>
      <c r="B1" s="40" t="s">
        <v>624</v>
      </c>
      <c r="C1" s="40" t="s">
        <v>625</v>
      </c>
      <c r="D1" s="40" t="s">
        <v>626</v>
      </c>
    </row>
    <row r="2">
      <c r="A2" s="19" t="s">
        <v>173</v>
      </c>
      <c r="B2" s="20" t="s">
        <v>627</v>
      </c>
      <c r="C2" s="20">
        <v>75.0</v>
      </c>
      <c r="D2" s="41">
        <v>45693.0</v>
      </c>
      <c r="E2" s="2" t="s">
        <v>174</v>
      </c>
    </row>
    <row r="3">
      <c r="A3" s="19" t="s">
        <v>309</v>
      </c>
      <c r="B3" s="20" t="s">
        <v>628</v>
      </c>
      <c r="C3" s="20">
        <v>75.0</v>
      </c>
      <c r="D3" s="41">
        <v>45693.0</v>
      </c>
    </row>
    <row r="4">
      <c r="A4" s="19" t="s">
        <v>107</v>
      </c>
      <c r="B4" s="20" t="s">
        <v>629</v>
      </c>
      <c r="C4" s="20">
        <v>75.0</v>
      </c>
      <c r="D4" s="41">
        <v>45693.0</v>
      </c>
    </row>
    <row r="5">
      <c r="A5" s="19" t="s">
        <v>312</v>
      </c>
      <c r="B5" s="20" t="s">
        <v>630</v>
      </c>
      <c r="C5" s="20">
        <v>75.0</v>
      </c>
      <c r="D5" s="41">
        <v>45693.0</v>
      </c>
    </row>
    <row r="6">
      <c r="A6" s="19" t="s">
        <v>314</v>
      </c>
      <c r="B6" s="20" t="s">
        <v>631</v>
      </c>
      <c r="C6" s="20">
        <v>75.0</v>
      </c>
      <c r="D6" s="41">
        <v>45693.0</v>
      </c>
    </row>
    <row r="7">
      <c r="A7" s="19" t="s">
        <v>119</v>
      </c>
      <c r="B7" s="20" t="s">
        <v>632</v>
      </c>
      <c r="C7" s="20">
        <v>75.0</v>
      </c>
      <c r="D7" s="41">
        <v>45693.0</v>
      </c>
    </row>
    <row r="8">
      <c r="A8" s="19" t="s">
        <v>115</v>
      </c>
      <c r="B8" s="20" t="s">
        <v>633</v>
      </c>
      <c r="C8" s="20">
        <v>75.0</v>
      </c>
      <c r="D8" s="41">
        <v>45693.0</v>
      </c>
    </row>
    <row r="9">
      <c r="A9" s="19" t="s">
        <v>634</v>
      </c>
      <c r="B9" s="20" t="s">
        <v>635</v>
      </c>
      <c r="C9" s="20">
        <v>75.0</v>
      </c>
      <c r="D9" s="41">
        <v>45693.0</v>
      </c>
    </row>
    <row r="10">
      <c r="A10" s="19" t="s">
        <v>636</v>
      </c>
      <c r="B10" s="20" t="s">
        <v>637</v>
      </c>
      <c r="C10" s="20">
        <v>70.0</v>
      </c>
      <c r="D10" s="41">
        <v>45693.0</v>
      </c>
    </row>
    <row r="11">
      <c r="A11" s="19" t="s">
        <v>638</v>
      </c>
      <c r="B11" s="20" t="s">
        <v>639</v>
      </c>
      <c r="C11" s="20">
        <v>65.0</v>
      </c>
      <c r="D11" s="41">
        <v>45693.0</v>
      </c>
    </row>
    <row r="12">
      <c r="A12" s="19" t="s">
        <v>640</v>
      </c>
      <c r="B12" s="20" t="s">
        <v>641</v>
      </c>
      <c r="C12" s="20">
        <v>65.0</v>
      </c>
      <c r="D12" s="41">
        <v>45693.0</v>
      </c>
    </row>
    <row r="13">
      <c r="A13" s="19" t="s">
        <v>642</v>
      </c>
      <c r="B13" s="20" t="s">
        <v>643</v>
      </c>
      <c r="C13" s="20">
        <v>65.0</v>
      </c>
      <c r="D13" s="41">
        <v>45693.0</v>
      </c>
    </row>
    <row r="14">
      <c r="A14" s="19" t="s">
        <v>159</v>
      </c>
      <c r="B14" s="20" t="s">
        <v>644</v>
      </c>
      <c r="C14" s="20">
        <v>65.0</v>
      </c>
      <c r="D14" s="41">
        <v>45693.0</v>
      </c>
    </row>
    <row r="15">
      <c r="A15" s="19" t="s">
        <v>645</v>
      </c>
      <c r="B15" s="20" t="s">
        <v>646</v>
      </c>
      <c r="C15" s="20">
        <v>65.0</v>
      </c>
      <c r="D15" s="41">
        <v>45693.0</v>
      </c>
    </row>
    <row r="16">
      <c r="A16" s="19" t="s">
        <v>647</v>
      </c>
      <c r="B16" s="20" t="s">
        <v>648</v>
      </c>
      <c r="C16" s="20">
        <v>65.0</v>
      </c>
      <c r="D16" s="41">
        <v>45693.0</v>
      </c>
    </row>
    <row r="17">
      <c r="A17" s="19" t="s">
        <v>649</v>
      </c>
      <c r="B17" s="20" t="s">
        <v>650</v>
      </c>
      <c r="C17" s="20">
        <v>65.0</v>
      </c>
      <c r="D17" s="41">
        <v>45693.0</v>
      </c>
    </row>
    <row r="18">
      <c r="A18" s="19" t="s">
        <v>188</v>
      </c>
      <c r="B18" s="20" t="s">
        <v>651</v>
      </c>
      <c r="C18" s="20">
        <v>65.0</v>
      </c>
      <c r="D18" s="41">
        <v>45693.0</v>
      </c>
    </row>
    <row r="19">
      <c r="A19" s="19" t="s">
        <v>652</v>
      </c>
      <c r="B19" s="20" t="s">
        <v>653</v>
      </c>
      <c r="C19" s="20">
        <v>65.0</v>
      </c>
      <c r="D19" s="41">
        <v>45693.0</v>
      </c>
    </row>
    <row r="20">
      <c r="A20" s="19" t="s">
        <v>654</v>
      </c>
      <c r="B20" s="20" t="s">
        <v>655</v>
      </c>
      <c r="C20" s="20">
        <v>65.0</v>
      </c>
      <c r="D20" s="41">
        <v>45693.0</v>
      </c>
    </row>
    <row r="21">
      <c r="A21" s="19" t="s">
        <v>656</v>
      </c>
      <c r="B21" s="20" t="s">
        <v>657</v>
      </c>
      <c r="C21" s="20">
        <v>65.0</v>
      </c>
      <c r="D21" s="41">
        <v>45693.0</v>
      </c>
    </row>
    <row r="22">
      <c r="A22" s="19" t="s">
        <v>658</v>
      </c>
      <c r="B22" s="20" t="s">
        <v>659</v>
      </c>
      <c r="C22" s="20">
        <v>65.0</v>
      </c>
      <c r="D22" s="41">
        <v>45693.0</v>
      </c>
    </row>
    <row r="23">
      <c r="A23" s="19" t="s">
        <v>660</v>
      </c>
      <c r="B23" s="20" t="s">
        <v>661</v>
      </c>
      <c r="C23" s="20">
        <v>65.0</v>
      </c>
      <c r="D23" s="41">
        <v>45693.0</v>
      </c>
    </row>
    <row r="24">
      <c r="A24" s="19" t="s">
        <v>662</v>
      </c>
      <c r="B24" s="20" t="s">
        <v>663</v>
      </c>
      <c r="C24" s="20">
        <v>55.0</v>
      </c>
      <c r="D24" s="41">
        <v>45693.0</v>
      </c>
    </row>
    <row r="25">
      <c r="A25" s="19" t="s">
        <v>664</v>
      </c>
      <c r="B25" s="20" t="s">
        <v>665</v>
      </c>
      <c r="C25" s="20">
        <v>55.0</v>
      </c>
      <c r="D25" s="41">
        <v>45693.0</v>
      </c>
    </row>
    <row r="26">
      <c r="A26" s="19" t="s">
        <v>666</v>
      </c>
      <c r="B26" s="20" t="s">
        <v>667</v>
      </c>
      <c r="C26" s="20">
        <v>55.0</v>
      </c>
      <c r="D26" s="41">
        <v>45693.0</v>
      </c>
    </row>
    <row r="27">
      <c r="A27" s="19" t="s">
        <v>668</v>
      </c>
      <c r="B27" s="20" t="s">
        <v>669</v>
      </c>
      <c r="C27" s="20">
        <v>55.0</v>
      </c>
      <c r="D27" s="41">
        <v>45693.0</v>
      </c>
    </row>
    <row r="28">
      <c r="A28" s="19" t="s">
        <v>670</v>
      </c>
      <c r="B28" s="20" t="s">
        <v>671</v>
      </c>
      <c r="C28" s="20">
        <v>55.0</v>
      </c>
      <c r="D28" s="41">
        <v>45693.0</v>
      </c>
    </row>
    <row r="29">
      <c r="A29" s="19" t="s">
        <v>672</v>
      </c>
      <c r="B29" s="20" t="s">
        <v>673</v>
      </c>
      <c r="C29" s="20">
        <v>55.0</v>
      </c>
      <c r="D29" s="41">
        <v>45693.0</v>
      </c>
    </row>
    <row r="30">
      <c r="A30" s="19" t="s">
        <v>153</v>
      </c>
      <c r="B30" s="20" t="s">
        <v>674</v>
      </c>
      <c r="C30" s="20">
        <v>55.0</v>
      </c>
      <c r="D30" s="41">
        <v>45693.0</v>
      </c>
    </row>
    <row r="31">
      <c r="A31" s="19" t="s">
        <v>675</v>
      </c>
      <c r="B31" s="20" t="s">
        <v>676</v>
      </c>
      <c r="C31" s="20">
        <v>55.0</v>
      </c>
      <c r="D31" s="41">
        <v>45693.0</v>
      </c>
    </row>
    <row r="32">
      <c r="A32" s="19" t="s">
        <v>177</v>
      </c>
      <c r="B32" s="20" t="s">
        <v>677</v>
      </c>
      <c r="C32" s="20">
        <v>55.0</v>
      </c>
      <c r="D32" s="41">
        <v>45693.0</v>
      </c>
    </row>
    <row r="33">
      <c r="A33" s="19" t="s">
        <v>678</v>
      </c>
      <c r="B33" s="20" t="s">
        <v>679</v>
      </c>
      <c r="C33" s="20">
        <v>55.0</v>
      </c>
      <c r="D33" s="41">
        <v>45693.0</v>
      </c>
    </row>
    <row r="34">
      <c r="A34" s="19" t="s">
        <v>194</v>
      </c>
      <c r="B34" s="20" t="s">
        <v>680</v>
      </c>
      <c r="C34" s="20">
        <v>55.0</v>
      </c>
      <c r="D34" s="41">
        <v>45693.0</v>
      </c>
    </row>
    <row r="35">
      <c r="A35" s="19" t="s">
        <v>148</v>
      </c>
      <c r="B35" s="20" t="s">
        <v>681</v>
      </c>
      <c r="C35" s="20">
        <v>55.0</v>
      </c>
      <c r="D35" s="41">
        <v>45693.0</v>
      </c>
    </row>
    <row r="36">
      <c r="A36" s="19" t="s">
        <v>682</v>
      </c>
      <c r="B36" s="20" t="s">
        <v>683</v>
      </c>
      <c r="C36" s="20">
        <v>55.0</v>
      </c>
      <c r="D36" s="41">
        <v>45693.0</v>
      </c>
    </row>
    <row r="37">
      <c r="A37" s="19" t="s">
        <v>684</v>
      </c>
      <c r="B37" s="20" t="s">
        <v>685</v>
      </c>
      <c r="C37" s="20">
        <v>55.0</v>
      </c>
      <c r="D37" s="41">
        <v>45693.0</v>
      </c>
    </row>
    <row r="38">
      <c r="A38" s="19" t="s">
        <v>686</v>
      </c>
      <c r="B38" s="20" t="s">
        <v>687</v>
      </c>
      <c r="C38" s="20">
        <v>55.0</v>
      </c>
      <c r="D38" s="41">
        <v>45693.0</v>
      </c>
    </row>
    <row r="39">
      <c r="A39" s="19" t="s">
        <v>688</v>
      </c>
      <c r="B39" s="20" t="s">
        <v>689</v>
      </c>
      <c r="C39" s="20">
        <v>55.0</v>
      </c>
      <c r="D39" s="41">
        <v>45693.0</v>
      </c>
    </row>
    <row r="40">
      <c r="A40" s="19" t="s">
        <v>690</v>
      </c>
      <c r="B40" s="20" t="s">
        <v>691</v>
      </c>
      <c r="C40" s="20">
        <v>55.0</v>
      </c>
      <c r="D40" s="41">
        <v>45693.0</v>
      </c>
    </row>
    <row r="41">
      <c r="A41" s="19" t="s">
        <v>692</v>
      </c>
      <c r="B41" s="20" t="s">
        <v>693</v>
      </c>
      <c r="C41" s="20">
        <v>55.0</v>
      </c>
      <c r="D41" s="41">
        <v>45693.0</v>
      </c>
    </row>
    <row r="42">
      <c r="A42" s="19" t="s">
        <v>694</v>
      </c>
      <c r="B42" s="20" t="s">
        <v>695</v>
      </c>
      <c r="C42" s="20">
        <v>55.0</v>
      </c>
      <c r="D42" s="41">
        <v>45693.0</v>
      </c>
    </row>
    <row r="43">
      <c r="A43" s="19" t="s">
        <v>103</v>
      </c>
      <c r="B43" s="20" t="s">
        <v>696</v>
      </c>
      <c r="C43" s="20">
        <v>55.0</v>
      </c>
      <c r="D43" s="41">
        <v>45693.0</v>
      </c>
    </row>
    <row r="44">
      <c r="A44" s="19" t="s">
        <v>150</v>
      </c>
      <c r="B44" s="20" t="s">
        <v>697</v>
      </c>
      <c r="C44" s="20">
        <v>55.0</v>
      </c>
      <c r="D44" s="41">
        <v>45693.0</v>
      </c>
    </row>
    <row r="45">
      <c r="A45" s="19" t="s">
        <v>698</v>
      </c>
      <c r="B45" s="20" t="s">
        <v>699</v>
      </c>
      <c r="C45" s="20">
        <v>55.0</v>
      </c>
      <c r="D45" s="41">
        <v>45693.0</v>
      </c>
    </row>
    <row r="46">
      <c r="A46" s="19" t="s">
        <v>700</v>
      </c>
      <c r="B46" s="20" t="s">
        <v>701</v>
      </c>
      <c r="C46" s="20">
        <v>55.0</v>
      </c>
      <c r="D46" s="41">
        <v>45693.0</v>
      </c>
    </row>
    <row r="47">
      <c r="A47" s="19" t="s">
        <v>702</v>
      </c>
      <c r="B47" s="20" t="s">
        <v>703</v>
      </c>
      <c r="C47" s="20">
        <v>55.0</v>
      </c>
      <c r="D47" s="41">
        <v>45693.0</v>
      </c>
    </row>
    <row r="48">
      <c r="A48" s="19" t="s">
        <v>704</v>
      </c>
      <c r="B48" s="20" t="s">
        <v>705</v>
      </c>
      <c r="C48" s="20">
        <v>55.0</v>
      </c>
      <c r="D48" s="41">
        <v>45693.0</v>
      </c>
    </row>
    <row r="49">
      <c r="A49" s="19" t="s">
        <v>706</v>
      </c>
      <c r="B49" s="20" t="s">
        <v>707</v>
      </c>
      <c r="C49" s="20">
        <v>55.0</v>
      </c>
      <c r="D49" s="41">
        <v>45693.0</v>
      </c>
    </row>
    <row r="50">
      <c r="A50" s="19" t="s">
        <v>708</v>
      </c>
      <c r="B50" s="20" t="s">
        <v>709</v>
      </c>
      <c r="C50" s="20">
        <v>55.0</v>
      </c>
      <c r="D50" s="41">
        <v>45693.0</v>
      </c>
    </row>
    <row r="51">
      <c r="A51" s="19" t="s">
        <v>710</v>
      </c>
      <c r="B51" s="20" t="s">
        <v>711</v>
      </c>
      <c r="C51" s="20">
        <v>55.0</v>
      </c>
      <c r="D51" s="41">
        <v>45693.0</v>
      </c>
    </row>
    <row r="52">
      <c r="A52" s="19" t="s">
        <v>712</v>
      </c>
      <c r="B52" s="20" t="s">
        <v>713</v>
      </c>
      <c r="C52" s="20">
        <v>55.0</v>
      </c>
      <c r="D52" s="41">
        <v>45693.0</v>
      </c>
    </row>
    <row r="53">
      <c r="A53" s="19" t="s">
        <v>714</v>
      </c>
      <c r="B53" s="20" t="s">
        <v>715</v>
      </c>
      <c r="C53" s="20">
        <v>55.0</v>
      </c>
      <c r="D53" s="41">
        <v>45693.0</v>
      </c>
    </row>
    <row r="54">
      <c r="A54" s="19" t="s">
        <v>156</v>
      </c>
      <c r="B54" s="20" t="s">
        <v>716</v>
      </c>
      <c r="C54" s="20">
        <v>55.0</v>
      </c>
      <c r="D54" s="41">
        <v>45693.0</v>
      </c>
    </row>
    <row r="55">
      <c r="A55" s="19" t="s">
        <v>717</v>
      </c>
      <c r="B55" s="20" t="s">
        <v>718</v>
      </c>
      <c r="C55" s="20">
        <v>55.0</v>
      </c>
      <c r="D55" s="41">
        <v>45693.0</v>
      </c>
    </row>
    <row r="56">
      <c r="A56" s="19" t="s">
        <v>719</v>
      </c>
      <c r="B56" s="20" t="s">
        <v>720</v>
      </c>
      <c r="C56" s="20">
        <v>55.0</v>
      </c>
      <c r="D56" s="41">
        <v>45693.0</v>
      </c>
    </row>
    <row r="57">
      <c r="A57" s="19" t="s">
        <v>721</v>
      </c>
      <c r="B57" s="20" t="s">
        <v>722</v>
      </c>
      <c r="C57" s="20">
        <v>55.0</v>
      </c>
      <c r="D57" s="41">
        <v>45693.0</v>
      </c>
    </row>
    <row r="58">
      <c r="A58" s="19" t="s">
        <v>723</v>
      </c>
      <c r="B58" s="20" t="s">
        <v>724</v>
      </c>
      <c r="C58" s="20">
        <v>55.0</v>
      </c>
      <c r="D58" s="41">
        <v>45693.0</v>
      </c>
    </row>
    <row r="59">
      <c r="A59" s="19" t="s">
        <v>725</v>
      </c>
      <c r="B59" s="20" t="s">
        <v>726</v>
      </c>
      <c r="C59" s="20">
        <v>55.0</v>
      </c>
      <c r="D59" s="41">
        <v>45693.0</v>
      </c>
    </row>
    <row r="60">
      <c r="A60" s="19" t="s">
        <v>727</v>
      </c>
      <c r="B60" s="20" t="s">
        <v>728</v>
      </c>
      <c r="C60" s="20">
        <v>45.0</v>
      </c>
      <c r="D60" s="41">
        <v>45693.0</v>
      </c>
    </row>
    <row r="61">
      <c r="A61" s="19" t="s">
        <v>729</v>
      </c>
      <c r="B61" s="20" t="s">
        <v>730</v>
      </c>
      <c r="C61" s="20">
        <v>45.0</v>
      </c>
      <c r="D61" s="41">
        <v>45693.0</v>
      </c>
    </row>
    <row r="62">
      <c r="A62" s="19" t="s">
        <v>731</v>
      </c>
      <c r="B62" s="20" t="s">
        <v>732</v>
      </c>
      <c r="C62" s="20">
        <v>45.0</v>
      </c>
      <c r="D62" s="41">
        <v>45693.0</v>
      </c>
    </row>
    <row r="63">
      <c r="A63" s="19" t="s">
        <v>111</v>
      </c>
      <c r="B63" s="20" t="s">
        <v>733</v>
      </c>
      <c r="C63" s="20">
        <v>45.0</v>
      </c>
      <c r="D63" s="41">
        <v>45693.0</v>
      </c>
    </row>
    <row r="64">
      <c r="A64" s="19" t="s">
        <v>734</v>
      </c>
      <c r="B64" s="20" t="s">
        <v>735</v>
      </c>
      <c r="C64" s="20">
        <v>45.0</v>
      </c>
      <c r="D64" s="41">
        <v>45693.0</v>
      </c>
    </row>
    <row r="65">
      <c r="A65" s="19" t="s">
        <v>736</v>
      </c>
      <c r="B65" s="20" t="s">
        <v>737</v>
      </c>
      <c r="C65" s="20">
        <v>45.0</v>
      </c>
      <c r="D65" s="41">
        <v>45693.0</v>
      </c>
    </row>
    <row r="66">
      <c r="A66" s="19" t="s">
        <v>738</v>
      </c>
      <c r="B66" s="20" t="s">
        <v>739</v>
      </c>
      <c r="C66" s="20">
        <v>45.0</v>
      </c>
      <c r="D66" s="41">
        <v>45693.0</v>
      </c>
    </row>
    <row r="67">
      <c r="A67" s="19" t="s">
        <v>740</v>
      </c>
      <c r="B67" s="20" t="s">
        <v>741</v>
      </c>
      <c r="C67" s="20">
        <v>45.0</v>
      </c>
      <c r="D67" s="41">
        <v>45693.0</v>
      </c>
    </row>
    <row r="68">
      <c r="A68" s="19" t="s">
        <v>742</v>
      </c>
      <c r="B68" s="20" t="s">
        <v>743</v>
      </c>
      <c r="C68" s="20">
        <v>45.0</v>
      </c>
      <c r="D68" s="41">
        <v>45693.0</v>
      </c>
    </row>
    <row r="69">
      <c r="A69" s="42"/>
      <c r="B69" s="20" t="s">
        <v>744</v>
      </c>
      <c r="C69" s="20">
        <v>45.0</v>
      </c>
      <c r="D69" s="41">
        <v>45693.0</v>
      </c>
    </row>
    <row r="70">
      <c r="A70" s="19" t="s">
        <v>745</v>
      </c>
      <c r="B70" s="20" t="s">
        <v>746</v>
      </c>
      <c r="C70" s="20">
        <v>45.0</v>
      </c>
      <c r="D70" s="41">
        <v>45693.0</v>
      </c>
    </row>
    <row r="71">
      <c r="A71" s="19" t="s">
        <v>747</v>
      </c>
      <c r="B71" s="20" t="s">
        <v>748</v>
      </c>
      <c r="C71" s="20">
        <v>45.0</v>
      </c>
      <c r="D71" s="41">
        <v>45693.0</v>
      </c>
    </row>
    <row r="72">
      <c r="A72" s="19" t="s">
        <v>749</v>
      </c>
      <c r="B72" s="20" t="s">
        <v>750</v>
      </c>
      <c r="C72" s="20">
        <v>45.0</v>
      </c>
      <c r="D72" s="41">
        <v>45693.0</v>
      </c>
    </row>
    <row r="73">
      <c r="A73" s="19" t="s">
        <v>751</v>
      </c>
      <c r="B73" s="20" t="s">
        <v>752</v>
      </c>
      <c r="C73" s="20">
        <v>45.0</v>
      </c>
      <c r="D73" s="41">
        <v>45693.0</v>
      </c>
    </row>
    <row r="74">
      <c r="A74" s="19" t="s">
        <v>753</v>
      </c>
      <c r="B74" s="20" t="s">
        <v>754</v>
      </c>
      <c r="C74" s="20">
        <v>45.0</v>
      </c>
      <c r="D74" s="41">
        <v>45693.0</v>
      </c>
    </row>
    <row r="75">
      <c r="A75" s="19" t="s">
        <v>755</v>
      </c>
      <c r="B75" s="20" t="s">
        <v>756</v>
      </c>
      <c r="C75" s="20">
        <v>45.0</v>
      </c>
      <c r="D75" s="41">
        <v>45693.0</v>
      </c>
    </row>
    <row r="76">
      <c r="A76" s="19" t="s">
        <v>757</v>
      </c>
      <c r="B76" s="20" t="s">
        <v>758</v>
      </c>
      <c r="C76" s="20">
        <v>45.0</v>
      </c>
      <c r="D76" s="41">
        <v>45693.0</v>
      </c>
    </row>
  </sheetData>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6288</v>
      </c>
    </row>
    <row r="2">
      <c r="A2" s="2" t="s">
        <v>6289</v>
      </c>
    </row>
    <row r="3">
      <c r="A3" s="2" t="s">
        <v>6290</v>
      </c>
    </row>
    <row r="4">
      <c r="A4" s="2" t="s">
        <v>6291</v>
      </c>
    </row>
    <row r="5">
      <c r="A5" s="2" t="s">
        <v>6292</v>
      </c>
    </row>
    <row r="6">
      <c r="A6" s="2" t="s">
        <v>6293</v>
      </c>
    </row>
    <row r="7">
      <c r="A7" s="2" t="s">
        <v>6294</v>
      </c>
    </row>
    <row r="8">
      <c r="A8" s="2" t="s">
        <v>6295</v>
      </c>
    </row>
    <row r="9">
      <c r="A9" s="2" t="s">
        <v>6296</v>
      </c>
    </row>
    <row r="10">
      <c r="A10" s="2" t="s">
        <v>6297</v>
      </c>
    </row>
    <row r="11">
      <c r="A11" s="2" t="s">
        <v>6298</v>
      </c>
    </row>
    <row r="12">
      <c r="A12" s="2" t="s">
        <v>6299</v>
      </c>
    </row>
    <row r="13">
      <c r="A13" s="2" t="s">
        <v>6300</v>
      </c>
    </row>
    <row r="14">
      <c r="A14" s="2" t="s">
        <v>6301</v>
      </c>
    </row>
    <row r="15">
      <c r="A15" s="2" t="s">
        <v>6302</v>
      </c>
    </row>
    <row r="16">
      <c r="A16" s="2" t="s">
        <v>6303</v>
      </c>
    </row>
    <row r="17">
      <c r="A17" s="2" t="s">
        <v>6304</v>
      </c>
    </row>
    <row r="18">
      <c r="A18" s="2" t="s">
        <v>6305</v>
      </c>
    </row>
    <row r="19">
      <c r="A19" s="2" t="s">
        <v>6306</v>
      </c>
    </row>
    <row r="20">
      <c r="A20" s="2" t="s">
        <v>6307</v>
      </c>
    </row>
    <row r="21">
      <c r="A21" s="2" t="s">
        <v>6308</v>
      </c>
    </row>
    <row r="22">
      <c r="A22" s="2" t="s">
        <v>6309</v>
      </c>
    </row>
    <row r="23">
      <c r="A23" s="2" t="s">
        <v>6310</v>
      </c>
    </row>
    <row r="24">
      <c r="A24" s="2" t="s">
        <v>6311</v>
      </c>
    </row>
    <row r="25">
      <c r="A25" s="2" t="s">
        <v>6312</v>
      </c>
    </row>
    <row r="26">
      <c r="A26" s="2" t="s">
        <v>6313</v>
      </c>
    </row>
    <row r="27">
      <c r="A27" s="2" t="s">
        <v>6314</v>
      </c>
    </row>
    <row r="28">
      <c r="A28" s="2" t="s">
        <v>6315</v>
      </c>
    </row>
    <row r="29">
      <c r="A29" s="2" t="s">
        <v>6316</v>
      </c>
    </row>
    <row r="30">
      <c r="A30" s="2" t="s">
        <v>6317</v>
      </c>
    </row>
    <row r="31">
      <c r="A31" s="2" t="s">
        <v>6318</v>
      </c>
    </row>
    <row r="32">
      <c r="A32" s="2" t="s">
        <v>6319</v>
      </c>
    </row>
    <row r="33">
      <c r="A33" s="2" t="s">
        <v>6320</v>
      </c>
    </row>
    <row r="34">
      <c r="A34" s="2" t="s">
        <v>6321</v>
      </c>
    </row>
    <row r="35">
      <c r="A35" s="2" t="s">
        <v>6322</v>
      </c>
    </row>
    <row r="36">
      <c r="A36" s="2" t="s">
        <v>6323</v>
      </c>
    </row>
    <row r="37">
      <c r="A37" s="2" t="s">
        <v>6324</v>
      </c>
    </row>
    <row r="38">
      <c r="A38" s="2" t="s">
        <v>6325</v>
      </c>
    </row>
    <row r="39">
      <c r="A39" s="2" t="s">
        <v>6326</v>
      </c>
    </row>
    <row r="40">
      <c r="A40" s="2" t="s">
        <v>6327</v>
      </c>
    </row>
    <row r="41">
      <c r="A41" s="2" t="s">
        <v>6328</v>
      </c>
    </row>
    <row r="42">
      <c r="A42" s="2" t="s">
        <v>6329</v>
      </c>
    </row>
    <row r="43">
      <c r="A43" s="2" t="s">
        <v>6330</v>
      </c>
    </row>
    <row r="44">
      <c r="A44" s="2" t="s">
        <v>6331</v>
      </c>
    </row>
    <row r="45">
      <c r="A45" s="2" t="s">
        <v>6332</v>
      </c>
    </row>
    <row r="46">
      <c r="A46" s="2" t="s">
        <v>6333</v>
      </c>
    </row>
    <row r="47">
      <c r="A47" s="2" t="s">
        <v>6334</v>
      </c>
    </row>
    <row r="48">
      <c r="A48" s="2" t="s">
        <v>6335</v>
      </c>
    </row>
    <row r="49">
      <c r="A49" s="2" t="s">
        <v>6336</v>
      </c>
    </row>
    <row r="50">
      <c r="A50" s="2" t="s">
        <v>6337</v>
      </c>
    </row>
    <row r="51">
      <c r="A51" s="2" t="s">
        <v>6338</v>
      </c>
    </row>
    <row r="52">
      <c r="A52" s="2" t="s">
        <v>6339</v>
      </c>
    </row>
    <row r="53">
      <c r="A53" s="2" t="s">
        <v>6340</v>
      </c>
    </row>
    <row r="54">
      <c r="A54" s="2" t="s">
        <v>6341</v>
      </c>
    </row>
    <row r="55">
      <c r="A55" s="2" t="s">
        <v>6342</v>
      </c>
    </row>
    <row r="56">
      <c r="A56" s="2" t="s">
        <v>6343</v>
      </c>
    </row>
    <row r="57">
      <c r="A57" s="2" t="s">
        <v>6344</v>
      </c>
    </row>
    <row r="58">
      <c r="A58" s="2" t="s">
        <v>6345</v>
      </c>
    </row>
    <row r="59">
      <c r="A59" s="2" t="s">
        <v>6346</v>
      </c>
    </row>
    <row r="60">
      <c r="A60" s="2" t="s">
        <v>6347</v>
      </c>
    </row>
    <row r="61">
      <c r="A61" s="2" t="s">
        <v>6348</v>
      </c>
    </row>
    <row r="62">
      <c r="A62" s="2" t="s">
        <v>6349</v>
      </c>
    </row>
    <row r="63">
      <c r="A63" s="2" t="s">
        <v>6350</v>
      </c>
    </row>
    <row r="64">
      <c r="A64" s="2" t="s">
        <v>6351</v>
      </c>
    </row>
    <row r="65">
      <c r="A65" s="2" t="s">
        <v>6352</v>
      </c>
    </row>
    <row r="66">
      <c r="A66" s="2" t="s">
        <v>6353</v>
      </c>
    </row>
    <row r="67">
      <c r="A67" s="2" t="s">
        <v>6354</v>
      </c>
    </row>
    <row r="68">
      <c r="A68" s="2" t="s">
        <v>6355</v>
      </c>
    </row>
    <row r="69">
      <c r="A69" s="2" t="s">
        <v>6356</v>
      </c>
    </row>
    <row r="70">
      <c r="A70" s="2" t="s">
        <v>6357</v>
      </c>
    </row>
    <row r="71">
      <c r="A71" s="2" t="s">
        <v>6358</v>
      </c>
    </row>
    <row r="72">
      <c r="A72" s="2" t="s">
        <v>6359</v>
      </c>
    </row>
    <row r="73">
      <c r="A73" s="2" t="s">
        <v>6360</v>
      </c>
    </row>
    <row r="74">
      <c r="A74" s="2" t="s">
        <v>6361</v>
      </c>
    </row>
    <row r="75">
      <c r="A75" s="2" t="s">
        <v>6362</v>
      </c>
    </row>
    <row r="76">
      <c r="A76" s="2" t="s">
        <v>6363</v>
      </c>
    </row>
  </sheetData>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7" width="25.38"/>
  </cols>
  <sheetData>
    <row r="1" ht="21.0" customHeight="1">
      <c r="A1" s="50"/>
      <c r="B1" s="51"/>
      <c r="C1" s="20" t="s">
        <v>1643</v>
      </c>
      <c r="D1" s="51"/>
    </row>
    <row r="2" ht="21.0" customHeight="1">
      <c r="A2" s="19" t="s">
        <v>183</v>
      </c>
      <c r="B2" s="20">
        <v>85.0</v>
      </c>
      <c r="C2" s="7">
        <f>IFERROR(__xludf.DUMMYFUNCTION("GOOGLEFINANCE(A2,""marketcap"")"),3.083691900928E12)</f>
        <v>3083691900928</v>
      </c>
      <c r="D2" s="20" t="s">
        <v>6364</v>
      </c>
    </row>
    <row r="3" ht="21.0" customHeight="1">
      <c r="A3" s="19" t="s">
        <v>35</v>
      </c>
      <c r="B3" s="20">
        <v>85.0</v>
      </c>
      <c r="C3" s="7">
        <f>IFERROR(__xludf.DUMMYFUNCTION("GOOGLEFINANCE(A3,""marketcap"")"),4.308093609573E12)</f>
        <v>4308093609573</v>
      </c>
      <c r="D3" s="20" t="s">
        <v>6365</v>
      </c>
    </row>
    <row r="4" ht="21.0" customHeight="1">
      <c r="A4" s="19" t="s">
        <v>182</v>
      </c>
      <c r="B4" s="20">
        <v>85.0</v>
      </c>
      <c r="C4" s="7">
        <f>IFERROR(__xludf.DUMMYFUNCTION("GOOGLEFINANCE(A4,""marketcap"")"),5.229772984313E12)</f>
        <v>5229772984313</v>
      </c>
      <c r="D4" s="20" t="s">
        <v>6366</v>
      </c>
    </row>
    <row r="5" ht="21.0" customHeight="1">
      <c r="A5" s="19" t="s">
        <v>229</v>
      </c>
      <c r="B5" s="20">
        <v>85.0</v>
      </c>
      <c r="C5" s="7">
        <f>IFERROR(__xludf.DUMMYFUNCTION("GOOGLEFINANCE(A5,""marketcap"")"),4.840260565908E12)</f>
        <v>4840260565908</v>
      </c>
      <c r="D5" s="20" t="s">
        <v>6367</v>
      </c>
    </row>
    <row r="6" ht="21.0" customHeight="1">
      <c r="A6" s="19" t="s">
        <v>184</v>
      </c>
      <c r="B6" s="20">
        <v>85.0</v>
      </c>
      <c r="C6" s="7">
        <f>IFERROR(__xludf.DUMMYFUNCTION("GOOGLEFINANCE(A6,""marketcap"")"),4.841311148549E12)</f>
        <v>4841311148549</v>
      </c>
      <c r="D6" s="20" t="s">
        <v>6368</v>
      </c>
    </row>
    <row r="7" ht="21.0" customHeight="1">
      <c r="A7" s="19" t="s">
        <v>53</v>
      </c>
      <c r="B7" s="20">
        <v>85.0</v>
      </c>
      <c r="C7" s="7">
        <f>IFERROR(__xludf.DUMMYFUNCTION("GOOGLEFINANCE(A7,""marketcap"")"),2.933245949212E12)</f>
        <v>2933245949212</v>
      </c>
      <c r="D7" s="20" t="s">
        <v>6369</v>
      </c>
    </row>
    <row r="8" ht="21.0" customHeight="1">
      <c r="A8" s="19" t="s">
        <v>46</v>
      </c>
      <c r="B8" s="20">
        <v>75.0</v>
      </c>
      <c r="C8" s="7">
        <f>IFERROR(__xludf.DUMMYFUNCTION("GOOGLEFINANCE(A8,""marketcap"")"),1.547498825884E12)</f>
        <v>1547498825884</v>
      </c>
      <c r="D8" s="20" t="s">
        <v>6370</v>
      </c>
    </row>
    <row r="9" ht="21.0" customHeight="1">
      <c r="A9" s="19" t="s">
        <v>180</v>
      </c>
      <c r="B9" s="20">
        <v>85.0</v>
      </c>
      <c r="C9" s="7">
        <f>IFERROR(__xludf.DUMMYFUNCTION("GOOGLEFINANCE(A9,""marketcap"")"),1.028142997165E12)</f>
        <v>1028142997165</v>
      </c>
      <c r="D9" s="20" t="s">
        <v>6371</v>
      </c>
    </row>
    <row r="10" ht="21.0" customHeight="1">
      <c r="A10" s="19" t="s">
        <v>252</v>
      </c>
      <c r="B10" s="20">
        <v>80.0</v>
      </c>
      <c r="C10" s="7">
        <f>IFERROR(__xludf.DUMMYFUNCTION("GOOGLEFINANCE(A10,""marketcap"")"),8.93194642325E11)</f>
        <v>893194642325</v>
      </c>
      <c r="D10" s="20" t="s">
        <v>6372</v>
      </c>
    </row>
    <row r="11" ht="21.0" customHeight="1">
      <c r="A11" s="19" t="s">
        <v>185</v>
      </c>
      <c r="B11" s="20">
        <v>80.0</v>
      </c>
      <c r="C11" s="7">
        <f>IFERROR(__xludf.DUMMYFUNCTION("GOOGLEFINANCE(A11,""marketcap"")"),2.03590724E12)</f>
        <v>2035907240000</v>
      </c>
      <c r="D11" s="20" t="s">
        <v>6373</v>
      </c>
    </row>
    <row r="12" ht="21.0" customHeight="1">
      <c r="A12" s="19" t="s">
        <v>186</v>
      </c>
      <c r="B12" s="44"/>
      <c r="C12" s="7">
        <f>IFERROR(__xludf.DUMMYFUNCTION("GOOGLEFINANCE(A12,""marketcap"")"),8.09480289454E11)</f>
        <v>809480289454</v>
      </c>
      <c r="D12" s="20" t="s">
        <v>6374</v>
      </c>
    </row>
    <row r="13" ht="21.0" customHeight="1">
      <c r="A13" s="19" t="s">
        <v>21</v>
      </c>
      <c r="B13" s="20">
        <v>70.0</v>
      </c>
      <c r="C13" s="7">
        <f>IFERROR(__xludf.DUMMYFUNCTION("GOOGLEFINANCE(A13,""marketcap"")"),6.00640224849E11)</f>
        <v>600640224849</v>
      </c>
      <c r="D13" s="20" t="s">
        <v>6375</v>
      </c>
    </row>
    <row r="14" ht="21.0" customHeight="1">
      <c r="A14" s="19" t="s">
        <v>230</v>
      </c>
      <c r="B14" s="20">
        <v>80.0</v>
      </c>
      <c r="C14" s="7">
        <f>IFERROR(__xludf.DUMMYFUNCTION("GOOGLEFINANCE(A14,""marketcap"")"),1.342221893625E12)</f>
        <v>1342221893625</v>
      </c>
      <c r="D14" s="20" t="s">
        <v>6376</v>
      </c>
    </row>
    <row r="15" ht="21.0" customHeight="1">
      <c r="A15" s="19" t="s">
        <v>263</v>
      </c>
      <c r="B15" s="20">
        <v>70.0</v>
      </c>
      <c r="C15" s="7">
        <f>IFERROR(__xludf.DUMMYFUNCTION("GOOGLEFINANCE(A15,""marketcap"")"),1.039656167318E12)</f>
        <v>1039656167318</v>
      </c>
      <c r="D15" s="20" t="s">
        <v>6377</v>
      </c>
    </row>
    <row r="16" ht="21.0" customHeight="1">
      <c r="A16" s="19" t="s">
        <v>17</v>
      </c>
      <c r="B16" s="20">
        <v>60.0</v>
      </c>
      <c r="C16" s="7">
        <f>IFERROR(__xludf.DUMMYFUNCTION("GOOGLEFINANCE(A16,""marketcap"")"),5.99235018148E11)</f>
        <v>599235018148</v>
      </c>
      <c r="D16" s="20" t="s">
        <v>6378</v>
      </c>
    </row>
    <row r="17" ht="21.0" customHeight="1">
      <c r="A17" s="19" t="s">
        <v>12</v>
      </c>
      <c r="B17" s="20">
        <v>85.0</v>
      </c>
      <c r="C17" s="7">
        <f>IFERROR(__xludf.DUMMYFUNCTION("GOOGLEFINANCE(A17,""marketcap"")"),3.45076681091E11)</f>
        <v>345076681091</v>
      </c>
      <c r="D17" s="20" t="s">
        <v>6379</v>
      </c>
    </row>
    <row r="18" ht="21.0" customHeight="1">
      <c r="A18" s="19" t="s">
        <v>36</v>
      </c>
      <c r="B18" s="20">
        <v>70.0</v>
      </c>
      <c r="C18" s="7">
        <f>IFERROR(__xludf.DUMMYFUNCTION("GOOGLEFINANCE(A18,""marketcap"")"),4.37798110931E11)</f>
        <v>437798110931</v>
      </c>
      <c r="D18" s="20" t="s">
        <v>6380</v>
      </c>
    </row>
    <row r="19" ht="21.0" customHeight="1">
      <c r="A19" s="19" t="s">
        <v>1038</v>
      </c>
      <c r="B19" s="44"/>
      <c r="C19" s="7">
        <f>IFERROR(__xludf.DUMMYFUNCTION("GOOGLEFINANCE(A19,""marketcap"")"),3.40953461316E11)</f>
        <v>340953461316</v>
      </c>
      <c r="D19" s="20" t="s">
        <v>6381</v>
      </c>
    </row>
    <row r="20" ht="21.0" customHeight="1">
      <c r="A20" s="19" t="s">
        <v>57</v>
      </c>
      <c r="B20" s="20">
        <v>85.0</v>
      </c>
      <c r="C20" s="7">
        <f>IFERROR(__xludf.DUMMYFUNCTION("GOOGLEFINANCE(A20,""marketcap"")"),4.47552195726E11)</f>
        <v>447552195726</v>
      </c>
      <c r="D20" s="20" t="s">
        <v>6382</v>
      </c>
    </row>
    <row r="21" ht="21.0" customHeight="1">
      <c r="A21" s="19" t="s">
        <v>187</v>
      </c>
      <c r="B21" s="20">
        <v>85.0</v>
      </c>
      <c r="C21" s="7">
        <f>IFERROR(__xludf.DUMMYFUNCTION("GOOGLEFINANCE(A21,""marketcap"")"),5.3276528407E11)</f>
        <v>532765284070</v>
      </c>
      <c r="D21" s="20" t="s">
        <v>6383</v>
      </c>
    </row>
    <row r="22" ht="21.0" customHeight="1">
      <c r="A22" s="19" t="s">
        <v>19</v>
      </c>
      <c r="B22" s="44"/>
      <c r="C22" s="7">
        <f>IFERROR(__xludf.DUMMYFUNCTION("GOOGLEFINANCE(A22,""marketcap"")"),5.63561204923E11)</f>
        <v>563561204923</v>
      </c>
      <c r="D22" s="20" t="s">
        <v>6384</v>
      </c>
    </row>
    <row r="23" ht="21.0" customHeight="1">
      <c r="A23" s="19" t="s">
        <v>125</v>
      </c>
      <c r="B23" s="20">
        <v>85.0</v>
      </c>
      <c r="C23" s="7">
        <f>IFERROR(__xludf.DUMMYFUNCTION("GOOGLEFINANCE(A23,""marketcap"")"),2.75088990336E11)</f>
        <v>275088990336</v>
      </c>
      <c r="D23" s="20" t="s">
        <v>6385</v>
      </c>
    </row>
    <row r="24" ht="21.0" customHeight="1">
      <c r="A24" s="19" t="s">
        <v>1053</v>
      </c>
      <c r="B24" s="20">
        <v>70.0</v>
      </c>
      <c r="C24" s="7">
        <f>IFERROR(__xludf.DUMMYFUNCTION("GOOGLEFINANCE(A24,""marketcap"")"),3.16189005523E11)</f>
        <v>316189005523</v>
      </c>
      <c r="D24" s="20" t="s">
        <v>6386</v>
      </c>
    </row>
    <row r="25" ht="21.0" customHeight="1">
      <c r="A25" s="19" t="s">
        <v>231</v>
      </c>
      <c r="B25" s="20">
        <v>75.0</v>
      </c>
      <c r="C25" s="7">
        <f>IFERROR(__xludf.DUMMYFUNCTION("GOOGLEFINANCE(A25,""marketcap"")"),3.64126093955E11)</f>
        <v>364126093955</v>
      </c>
      <c r="D25" s="20" t="s">
        <v>6387</v>
      </c>
    </row>
    <row r="26" ht="21.0" customHeight="1">
      <c r="A26" s="19" t="s">
        <v>198</v>
      </c>
      <c r="B26" s="20">
        <v>85.0</v>
      </c>
      <c r="C26" s="7">
        <f>IFERROR(__xludf.DUMMYFUNCTION("GOOGLEFINANCE(A26,""marketcap"")"),3.56493986497E11)</f>
        <v>356493986497</v>
      </c>
      <c r="D26" s="20" t="s">
        <v>6388</v>
      </c>
    </row>
    <row r="27" ht="21.0" customHeight="1">
      <c r="A27" s="19" t="s">
        <v>941</v>
      </c>
      <c r="B27" s="20">
        <v>75.0</v>
      </c>
      <c r="C27" s="7">
        <f>IFERROR(__xludf.DUMMYFUNCTION("GOOGLEFINANCE(A27,""marketcap"")"),3.59062730346E11)</f>
        <v>359062730346</v>
      </c>
      <c r="D27" s="20" t="s">
        <v>6389</v>
      </c>
    </row>
    <row r="28" ht="21.0" customHeight="1">
      <c r="A28" s="19" t="s">
        <v>37</v>
      </c>
      <c r="B28" s="44"/>
      <c r="C28" s="7">
        <f>IFERROR(__xludf.DUMMYFUNCTION("GOOGLEFINANCE(A28,""marketcap"")"),3.68347965594E11)</f>
        <v>368347965594</v>
      </c>
      <c r="D28" s="20" t="s">
        <v>6390</v>
      </c>
    </row>
    <row r="29" ht="21.0" customHeight="1">
      <c r="A29" s="19" t="s">
        <v>404</v>
      </c>
      <c r="B29" s="44"/>
      <c r="C29" s="7">
        <f>IFERROR(__xludf.DUMMYFUNCTION("GOOGLEFINANCE(A29,""marketcap"")"),3.37400630561E11)</f>
        <v>337400630561</v>
      </c>
      <c r="D29" s="20" t="s">
        <v>6391</v>
      </c>
    </row>
    <row r="30" ht="21.0" customHeight="1">
      <c r="A30" s="19" t="s">
        <v>239</v>
      </c>
      <c r="B30" s="20">
        <v>80.0</v>
      </c>
      <c r="C30" s="7">
        <f>IFERROR(__xludf.DUMMYFUNCTION("GOOGLEFINANCE(A30,""marketcap"")"),7.422331E11)</f>
        <v>742233100000</v>
      </c>
      <c r="D30" s="20" t="s">
        <v>6392</v>
      </c>
    </row>
    <row r="31" ht="21.0" customHeight="1">
      <c r="A31" s="19" t="s">
        <v>795</v>
      </c>
      <c r="B31" s="20">
        <v>85.0</v>
      </c>
      <c r="C31" s="7">
        <f>IFERROR(__xludf.DUMMYFUNCTION("GOOGLEFINANCE(A31,""marketcap"")"),2.113297E11)</f>
        <v>211329700000</v>
      </c>
      <c r="D31" s="20" t="s">
        <v>6393</v>
      </c>
    </row>
    <row r="32" ht="21.0" customHeight="1">
      <c r="A32" s="19" t="s">
        <v>16</v>
      </c>
      <c r="B32" s="20">
        <v>85.0</v>
      </c>
      <c r="C32" s="7">
        <f>IFERROR(__xludf.DUMMYFUNCTION("GOOGLEFINANCE(A32,""marketcap"")"),1.48738493361E11)</f>
        <v>148738493361</v>
      </c>
      <c r="D32" s="20" t="s">
        <v>6394</v>
      </c>
    </row>
    <row r="33" ht="21.0" customHeight="1">
      <c r="A33" s="19" t="s">
        <v>15</v>
      </c>
      <c r="B33" s="44"/>
      <c r="C33" s="7">
        <f>IFERROR(__xludf.DUMMYFUNCTION("GOOGLEFINANCE(A33,""marketcap"")"),2.309209E11)</f>
        <v>230920900000</v>
      </c>
      <c r="D33" s="20" t="s">
        <v>6395</v>
      </c>
    </row>
    <row r="34" ht="21.0" customHeight="1">
      <c r="A34" s="19" t="s">
        <v>126</v>
      </c>
      <c r="B34" s="20">
        <v>85.0</v>
      </c>
      <c r="C34" s="7">
        <f>IFERROR(__xludf.DUMMYFUNCTION("GOOGLEFINANCE(A34,""marketcap"")"),1.72803951E11)</f>
        <v>172803951000</v>
      </c>
      <c r="D34" s="20" t="s">
        <v>6396</v>
      </c>
    </row>
    <row r="35" ht="21.0" customHeight="1">
      <c r="A35" s="19" t="s">
        <v>39</v>
      </c>
      <c r="B35" s="20">
        <v>80.0</v>
      </c>
      <c r="C35" s="7">
        <f>IFERROR(__xludf.DUMMYFUNCTION("GOOGLEFINANCE(A35,""marketcap"")"),2.09547165804E11)</f>
        <v>209547165804</v>
      </c>
      <c r="D35" s="20" t="s">
        <v>6397</v>
      </c>
    </row>
    <row r="36" ht="21.0" customHeight="1">
      <c r="A36" s="19" t="s">
        <v>232</v>
      </c>
      <c r="B36" s="20">
        <v>80.0</v>
      </c>
      <c r="C36" s="7">
        <f>IFERROR(__xludf.DUMMYFUNCTION("GOOGLEFINANCE(A36,""marketcap"")"),2.28011146845E11)</f>
        <v>228011146845</v>
      </c>
      <c r="D36" s="20" t="s">
        <v>6398</v>
      </c>
    </row>
    <row r="37" ht="21.0" customHeight="1">
      <c r="A37" s="19" t="s">
        <v>18</v>
      </c>
      <c r="B37" s="20">
        <v>85.0</v>
      </c>
      <c r="C37" s="7">
        <f>IFERROR(__xludf.DUMMYFUNCTION("GOOGLEFINANCE(A37,""marketcap"")"),1.02278714678E11)</f>
        <v>102278714678</v>
      </c>
      <c r="D37" s="20" t="s">
        <v>6399</v>
      </c>
    </row>
    <row r="38" ht="21.0" customHeight="1">
      <c r="A38" s="19" t="s">
        <v>1634</v>
      </c>
      <c r="B38" s="20">
        <v>75.0</v>
      </c>
      <c r="C38" s="7">
        <f>IFERROR(__xludf.DUMMYFUNCTION("GOOGLEFINANCE(A38,""marketcap"")"),2.31472694092E11)</f>
        <v>231472694092</v>
      </c>
      <c r="D38" s="20" t="s">
        <v>6400</v>
      </c>
    </row>
    <row r="39" ht="21.0" customHeight="1">
      <c r="A39" s="19" t="s">
        <v>197</v>
      </c>
      <c r="B39" s="20">
        <v>75.0</v>
      </c>
      <c r="C39" s="7">
        <f>IFERROR(__xludf.DUMMYFUNCTION("GOOGLEFINANCE(A39,""marketcap"")"),1.21142018487E11)</f>
        <v>121142018487</v>
      </c>
      <c r="D39" s="20" t="s">
        <v>6401</v>
      </c>
    </row>
    <row r="40" ht="21.0" customHeight="1">
      <c r="A40" s="19" t="s">
        <v>206</v>
      </c>
      <c r="B40" s="20">
        <v>90.0</v>
      </c>
      <c r="C40" s="7">
        <f>IFERROR(__xludf.DUMMYFUNCTION("GOOGLEFINANCE(A40,""marketcap"")"),1.10766891297E11)</f>
        <v>110766891297</v>
      </c>
      <c r="D40" s="20" t="s">
        <v>6402</v>
      </c>
    </row>
    <row r="41" ht="21.0" customHeight="1">
      <c r="A41" s="19" t="s">
        <v>1580</v>
      </c>
      <c r="B41" s="20">
        <v>75.0</v>
      </c>
      <c r="C41" s="7">
        <f>IFERROR(__xludf.DUMMYFUNCTION("GOOGLEFINANCE(A41,""marketcap"")"),1.960107107E11)</f>
        <v>196010710700</v>
      </c>
      <c r="D41" s="20" t="s">
        <v>6403</v>
      </c>
    </row>
    <row r="42" ht="21.0" customHeight="1">
      <c r="A42" s="19" t="s">
        <v>1133</v>
      </c>
      <c r="B42" s="20">
        <v>50.0</v>
      </c>
      <c r="C42" s="7">
        <f>IFERROR(__xludf.DUMMYFUNCTION("GOOGLEFINANCE(A42,""marketcap"")"),3.81441165804E11)</f>
        <v>381441165804</v>
      </c>
      <c r="D42" s="20" t="s">
        <v>6404</v>
      </c>
    </row>
    <row r="43" ht="21.0" customHeight="1">
      <c r="A43" s="19" t="s">
        <v>771</v>
      </c>
      <c r="B43" s="20">
        <v>85.0</v>
      </c>
      <c r="C43" s="7">
        <f>IFERROR(__xludf.DUMMYFUNCTION("GOOGLEFINANCE(A43,""marketcap"")"),1.46869587308E11)</f>
        <v>146869587308</v>
      </c>
      <c r="D43" s="20" t="s">
        <v>6405</v>
      </c>
    </row>
    <row r="44" ht="21.0" customHeight="1">
      <c r="A44" s="19" t="s">
        <v>1200</v>
      </c>
      <c r="B44" s="20">
        <v>85.0</v>
      </c>
      <c r="C44" s="7">
        <f>IFERROR(__xludf.DUMMYFUNCTION("GOOGLEFINANCE(A44,""marketcap"")"),1.8757791239E11)</f>
        <v>187577912390</v>
      </c>
      <c r="D44" s="20" t="s">
        <v>6406</v>
      </c>
    </row>
    <row r="45" ht="21.0" customHeight="1">
      <c r="A45" s="19" t="s">
        <v>451</v>
      </c>
      <c r="B45" s="20">
        <v>75.0</v>
      </c>
      <c r="C45" s="7">
        <f>IFERROR(__xludf.DUMMYFUNCTION("GOOGLEFINANCE(A45,""marketcap"")"),3.45569496793E11)</f>
        <v>345569496793</v>
      </c>
      <c r="D45" s="20" t="s">
        <v>6407</v>
      </c>
    </row>
    <row r="46" ht="21.0" customHeight="1">
      <c r="A46" s="19" t="s">
        <v>1325</v>
      </c>
      <c r="B46" s="20">
        <v>75.0</v>
      </c>
      <c r="C46" s="7">
        <f>IFERROR(__xludf.DUMMYFUNCTION("GOOGLEFINANCE(A46,""marketcap"")"),2.619247E11)</f>
        <v>261924700000</v>
      </c>
      <c r="D46" s="20" t="s">
        <v>6408</v>
      </c>
    </row>
    <row r="47" ht="21.0" customHeight="1">
      <c r="A47" s="19" t="s">
        <v>1002</v>
      </c>
      <c r="B47" s="44"/>
      <c r="C47" s="7">
        <f>IFERROR(__xludf.DUMMYFUNCTION("GOOGLEFINANCE(A47,""marketcap"")"),3.10027583181E11)</f>
        <v>310027583181</v>
      </c>
      <c r="D47" s="20" t="s">
        <v>6409</v>
      </c>
    </row>
    <row r="48" ht="21.0" customHeight="1">
      <c r="A48" s="19" t="s">
        <v>241</v>
      </c>
      <c r="B48" s="20">
        <v>80.0</v>
      </c>
      <c r="C48" s="7">
        <f>IFERROR(__xludf.DUMMYFUNCTION("GOOGLEFINANCE(A48,""marketcap"")"),1.97169901077E11)</f>
        <v>197169901077</v>
      </c>
      <c r="D48" s="20" t="s">
        <v>6410</v>
      </c>
    </row>
    <row r="49" ht="21.0" customHeight="1">
      <c r="A49" s="19" t="s">
        <v>963</v>
      </c>
      <c r="B49" s="20">
        <v>80.0</v>
      </c>
      <c r="C49" s="7">
        <f>IFERROR(__xludf.DUMMYFUNCTION("GOOGLEFINANCE(A49,""marketcap"")"),2.15635579756E11)</f>
        <v>215635579756</v>
      </c>
      <c r="D49" s="20" t="s">
        <v>6411</v>
      </c>
    </row>
    <row r="50" ht="21.0" customHeight="1">
      <c r="A50" s="19" t="s">
        <v>294</v>
      </c>
      <c r="B50" s="20">
        <v>75.0</v>
      </c>
      <c r="C50" s="7">
        <f>IFERROR(__xludf.DUMMYFUNCTION("GOOGLEFINANCE(A50,""marketcap"")"),1.79021216528E11)</f>
        <v>179021216528</v>
      </c>
      <c r="D50" s="20" t="s">
        <v>6412</v>
      </c>
    </row>
    <row r="51" ht="21.0" customHeight="1">
      <c r="A51" s="19" t="s">
        <v>1202</v>
      </c>
      <c r="B51" s="20">
        <v>85.0</v>
      </c>
      <c r="C51" s="7">
        <f>IFERROR(__xludf.DUMMYFUNCTION("GOOGLEFINANCE(A51,""marketcap"")"),1.46361723659E11)</f>
        <v>146361723659</v>
      </c>
      <c r="D51" s="20" t="s">
        <v>6413</v>
      </c>
    </row>
    <row r="52" ht="21.0" customHeight="1">
      <c r="A52" s="19" t="s">
        <v>1171</v>
      </c>
      <c r="B52" s="20">
        <v>70.0</v>
      </c>
      <c r="C52" s="7">
        <f>IFERROR(__xludf.DUMMYFUNCTION("GOOGLEFINANCE(A52,""marketcap"")"),2.66497840981E11)</f>
        <v>266497840981</v>
      </c>
      <c r="D52" s="20" t="s">
        <v>6414</v>
      </c>
    </row>
    <row r="53" ht="21.0" customHeight="1">
      <c r="A53" s="19" t="s">
        <v>41</v>
      </c>
      <c r="B53" s="20">
        <v>85.0</v>
      </c>
      <c r="C53" s="7">
        <f>IFERROR(__xludf.DUMMYFUNCTION("GOOGLEFINANCE(A53,""marketcap"")"),4.13358206277E11)</f>
        <v>413358206277</v>
      </c>
      <c r="D53" s="20" t="s">
        <v>6415</v>
      </c>
    </row>
    <row r="54" ht="21.0" customHeight="1">
      <c r="A54" s="19" t="s">
        <v>798</v>
      </c>
      <c r="B54" s="20">
        <v>85.0</v>
      </c>
      <c r="C54" s="7">
        <f>IFERROR(__xludf.DUMMYFUNCTION("GOOGLEFINANCE(A54,""marketcap"")"),1.09599490193E11)</f>
        <v>109599490193</v>
      </c>
      <c r="D54" s="20" t="s">
        <v>6416</v>
      </c>
    </row>
    <row r="55" ht="21.0" customHeight="1">
      <c r="A55" s="19" t="s">
        <v>1586</v>
      </c>
      <c r="B55" s="20">
        <v>85.0</v>
      </c>
      <c r="C55" s="7">
        <f>IFERROR(__xludf.DUMMYFUNCTION("GOOGLEFINANCE(A55,""marketcap"")"),3.04557954873E11)</f>
        <v>304557954873</v>
      </c>
      <c r="D55" s="20" t="s">
        <v>6417</v>
      </c>
    </row>
    <row r="56" ht="21.0" customHeight="1">
      <c r="A56" s="19" t="s">
        <v>1592</v>
      </c>
      <c r="B56" s="20">
        <v>85.0</v>
      </c>
      <c r="C56" s="7">
        <f>IFERROR(__xludf.DUMMYFUNCTION("GOOGLEFINANCE(A56,""marketcap"")"),1.94145243918E11)</f>
        <v>194145243918</v>
      </c>
      <c r="D56" s="20" t="s">
        <v>6418</v>
      </c>
    </row>
    <row r="57" ht="21.0" customHeight="1">
      <c r="A57" s="19" t="s">
        <v>99</v>
      </c>
      <c r="B57" s="44"/>
      <c r="C57" s="7">
        <f>IFERROR(__xludf.DUMMYFUNCTION("GOOGLEFINANCE(A57,""marketcap"")"),2.15948064341E11)</f>
        <v>215948064341</v>
      </c>
      <c r="D57" s="20" t="s">
        <v>6419</v>
      </c>
    </row>
    <row r="58" ht="21.0" customHeight="1">
      <c r="A58" s="19" t="s">
        <v>82</v>
      </c>
      <c r="B58" s="20">
        <v>80.0</v>
      </c>
      <c r="C58" s="7">
        <f>IFERROR(__xludf.DUMMYFUNCTION("GOOGLEFINANCE(A58,""marketcap"")"),9.0716731695E10)</f>
        <v>90716731695</v>
      </c>
      <c r="D58" s="20" t="s">
        <v>6420</v>
      </c>
    </row>
    <row r="59" ht="21.0" customHeight="1">
      <c r="A59" s="19" t="s">
        <v>1560</v>
      </c>
      <c r="B59" s="20">
        <v>85.0</v>
      </c>
      <c r="C59" s="7">
        <f>IFERROR(__xludf.DUMMYFUNCTION("GOOGLEFINANCE(A59,""marketcap"")"),1.59394508903E11)</f>
        <v>159394508903</v>
      </c>
      <c r="D59" s="20" t="s">
        <v>6421</v>
      </c>
    </row>
    <row r="60" ht="21.0" customHeight="1">
      <c r="A60" s="19" t="s">
        <v>1109</v>
      </c>
      <c r="B60" s="20">
        <v>85.0</v>
      </c>
      <c r="C60" s="7">
        <f>IFERROR(__xludf.DUMMYFUNCTION("GOOGLEFINANCE(A60,""marketcap"")"),2.76268430542E11)</f>
        <v>276268430542</v>
      </c>
      <c r="D60" s="20" t="s">
        <v>6422</v>
      </c>
    </row>
    <row r="61" ht="21.0" customHeight="1">
      <c r="A61" s="19" t="s">
        <v>1141</v>
      </c>
      <c r="B61" s="20">
        <v>80.0</v>
      </c>
      <c r="C61" s="7">
        <f>IFERROR(__xludf.DUMMYFUNCTION("GOOGLEFINANCE(A61,""marketcap"")"),6.5366351276E10)</f>
        <v>65366351276</v>
      </c>
      <c r="D61" s="20" t="s">
        <v>6423</v>
      </c>
    </row>
    <row r="62" ht="21.0" customHeight="1">
      <c r="A62" s="19" t="s">
        <v>253</v>
      </c>
      <c r="B62" s="20">
        <v>80.0</v>
      </c>
      <c r="C62" s="7">
        <f>IFERROR(__xludf.DUMMYFUNCTION("GOOGLEFINANCE(A62,""marketcap"")"),8.4218044908E11)</f>
        <v>842180449080</v>
      </c>
      <c r="D62" s="20" t="s">
        <v>6424</v>
      </c>
    </row>
    <row r="63" ht="21.0" customHeight="1">
      <c r="A63" s="19" t="s">
        <v>777</v>
      </c>
      <c r="B63" s="44"/>
      <c r="C63" s="7">
        <f>IFERROR(__xludf.DUMMYFUNCTION("GOOGLEFINANCE(A63,""marketcap"")"),2.37137404538E11)</f>
        <v>237137404538</v>
      </c>
      <c r="D63" s="20" t="s">
        <v>6425</v>
      </c>
    </row>
    <row r="64" ht="21.0" customHeight="1">
      <c r="A64" s="19" t="s">
        <v>1628</v>
      </c>
      <c r="B64" s="20">
        <v>75.0</v>
      </c>
      <c r="C64" s="7">
        <f>IFERROR(__xludf.DUMMYFUNCTION("GOOGLEFINANCE(A64,""marketcap"")"),1.53585862887E11)</f>
        <v>153585862887</v>
      </c>
      <c r="D64" s="20" t="s">
        <v>6426</v>
      </c>
    </row>
    <row r="65" ht="21.0" customHeight="1">
      <c r="A65" s="19" t="s">
        <v>1594</v>
      </c>
      <c r="B65" s="20">
        <v>85.0</v>
      </c>
      <c r="C65" s="7">
        <f>IFERROR(__xludf.DUMMYFUNCTION("GOOGLEFINANCE(A65,""marketcap"")"),9.4006580314E10)</f>
        <v>94006580314</v>
      </c>
      <c r="D65" s="20" t="s">
        <v>6427</v>
      </c>
    </row>
    <row r="66" ht="21.0" customHeight="1">
      <c r="A66" s="19" t="s">
        <v>274</v>
      </c>
      <c r="B66" s="20">
        <v>85.0</v>
      </c>
      <c r="C66" s="7">
        <f>IFERROR(__xludf.DUMMYFUNCTION("GOOGLEFINANCE(A66,""marketcap"")"),1.48167662151E11)</f>
        <v>148167662151</v>
      </c>
      <c r="D66" s="20" t="s">
        <v>6428</v>
      </c>
    </row>
    <row r="67" ht="21.0" customHeight="1">
      <c r="A67" s="19" t="s">
        <v>1006</v>
      </c>
      <c r="B67" s="20">
        <v>80.0</v>
      </c>
      <c r="C67" s="7">
        <f>IFERROR(__xludf.DUMMYFUNCTION("GOOGLEFINANCE(A67,""marketcap"")"),1.57126194756E11)</f>
        <v>157126194756</v>
      </c>
      <c r="D67" s="20" t="s">
        <v>6429</v>
      </c>
    </row>
    <row r="68" ht="21.0" customHeight="1">
      <c r="A68" s="19" t="s">
        <v>93</v>
      </c>
      <c r="B68" s="20">
        <v>85.0</v>
      </c>
      <c r="C68" s="7">
        <f>IFERROR(__xludf.DUMMYFUNCTION("GOOGLEFINANCE(A68,""marketcap"")"),1.35044102953E11)</f>
        <v>135044102953</v>
      </c>
      <c r="D68" s="20" t="s">
        <v>6430</v>
      </c>
    </row>
    <row r="69" ht="21.0" customHeight="1">
      <c r="A69" s="19" t="s">
        <v>888</v>
      </c>
      <c r="B69" s="44"/>
      <c r="C69" s="7">
        <f>IFERROR(__xludf.DUMMYFUNCTION("GOOGLEFINANCE(A69,""marketcap"")"),1.5401295345E11)</f>
        <v>154012953450</v>
      </c>
      <c r="D69" s="20" t="s">
        <v>6431</v>
      </c>
    </row>
    <row r="70" ht="21.0" customHeight="1">
      <c r="A70" s="19" t="s">
        <v>426</v>
      </c>
      <c r="B70" s="20">
        <v>85.0</v>
      </c>
      <c r="C70" s="7">
        <f>IFERROR(__xludf.DUMMYFUNCTION("GOOGLEFINANCE(A70,""marketcap"")"),1.243555E11)</f>
        <v>124355500000</v>
      </c>
      <c r="D70" s="20" t="s">
        <v>6432</v>
      </c>
    </row>
    <row r="71" ht="21.0" customHeight="1">
      <c r="A71" s="19" t="s">
        <v>1165</v>
      </c>
      <c r="B71" s="20">
        <v>70.0</v>
      </c>
      <c r="C71" s="7">
        <f>IFERROR(__xludf.DUMMYFUNCTION("GOOGLEFINANCE(A71,""marketcap"")"),1.09330528588E11)</f>
        <v>109330528588</v>
      </c>
      <c r="D71" s="20" t="s">
        <v>6433</v>
      </c>
    </row>
    <row r="72" ht="21.0" customHeight="1">
      <c r="A72" s="19" t="s">
        <v>468</v>
      </c>
      <c r="B72" s="20">
        <v>70.0</v>
      </c>
      <c r="C72" s="7">
        <f>IFERROR(__xludf.DUMMYFUNCTION("GOOGLEFINANCE(A72,""marketcap"")"),1.38727027256E11)</f>
        <v>138727027256</v>
      </c>
      <c r="D72" s="20" t="s">
        <v>6434</v>
      </c>
    </row>
    <row r="73" ht="21.0" customHeight="1">
      <c r="A73" s="19" t="s">
        <v>831</v>
      </c>
      <c r="B73" s="20">
        <v>75.0</v>
      </c>
      <c r="C73" s="7">
        <f>IFERROR(__xludf.DUMMYFUNCTION("GOOGLEFINANCE(A73,""marketcap"")"),1.74820157859E11)</f>
        <v>174820157859</v>
      </c>
      <c r="D73" s="20" t="s">
        <v>6435</v>
      </c>
    </row>
    <row r="74" ht="21.0" customHeight="1">
      <c r="A74" s="19" t="s">
        <v>1421</v>
      </c>
      <c r="B74" s="20">
        <v>85.0</v>
      </c>
      <c r="C74" s="7">
        <f>IFERROR(__xludf.DUMMYFUNCTION("GOOGLEFINANCE(A74,""marketcap"")"),6.27722128233E11)</f>
        <v>627722128233</v>
      </c>
      <c r="D74" s="20" t="s">
        <v>6436</v>
      </c>
    </row>
    <row r="75" ht="21.0" customHeight="1">
      <c r="A75" s="19" t="s">
        <v>264</v>
      </c>
      <c r="B75" s="20">
        <v>85.0</v>
      </c>
      <c r="C75" s="7">
        <f>IFERROR(__xludf.DUMMYFUNCTION("GOOGLEFINANCE(A75,""marketcap"")"),1.28575583829E11)</f>
        <v>128575583829</v>
      </c>
      <c r="D75" s="52" t="s">
        <v>6437</v>
      </c>
    </row>
    <row r="76" ht="21.0" customHeight="1">
      <c r="A76" s="19" t="s">
        <v>455</v>
      </c>
      <c r="B76" s="20">
        <v>85.0</v>
      </c>
      <c r="C76" s="7">
        <f>IFERROR(__xludf.DUMMYFUNCTION("GOOGLEFINANCE(A76,""marketcap"")"),3.677304E11)</f>
        <v>367730400000</v>
      </c>
      <c r="D76" s="20" t="s">
        <v>6438</v>
      </c>
    </row>
    <row r="77" ht="21.0" customHeight="1">
      <c r="A77" s="19" t="s">
        <v>1530</v>
      </c>
      <c r="B77" s="44"/>
      <c r="C77" s="7">
        <f>IFERROR(__xludf.DUMMYFUNCTION("GOOGLEFINANCE(A77,""marketcap"")"),8.210258E10)</f>
        <v>82102580000</v>
      </c>
      <c r="D77" s="20" t="s">
        <v>6439</v>
      </c>
    </row>
    <row r="78" ht="21.0" customHeight="1">
      <c r="A78" s="19" t="s">
        <v>141</v>
      </c>
      <c r="B78" s="44"/>
      <c r="C78" s="7">
        <f>IFERROR(__xludf.DUMMYFUNCTION("GOOGLEFINANCE(A78,""marketcap"")"),1.133613004E11)</f>
        <v>113361300400</v>
      </c>
      <c r="D78" s="20" t="s">
        <v>6440</v>
      </c>
    </row>
    <row r="79" ht="21.0" customHeight="1">
      <c r="A79" s="19" t="s">
        <v>915</v>
      </c>
      <c r="B79" s="20">
        <v>85.0</v>
      </c>
      <c r="C79" s="7">
        <f>IFERROR(__xludf.DUMMYFUNCTION("GOOGLEFINANCE(A79,""marketcap"")"),1.55906256489E11)</f>
        <v>155906256489</v>
      </c>
      <c r="D79" s="20" t="s">
        <v>6441</v>
      </c>
    </row>
    <row r="80" ht="21.0" customHeight="1">
      <c r="A80" s="19" t="s">
        <v>459</v>
      </c>
      <c r="B80" s="20">
        <v>50.0</v>
      </c>
      <c r="C80" s="7">
        <f>IFERROR(__xludf.DUMMYFUNCTION("GOOGLEFINANCE(A80,""marketcap"")"),1.090906E11)</f>
        <v>109090600000</v>
      </c>
      <c r="D80" s="20" t="s">
        <v>6442</v>
      </c>
    </row>
    <row r="81" ht="21.0" customHeight="1">
      <c r="A81" s="19" t="s">
        <v>1051</v>
      </c>
      <c r="B81" s="20">
        <v>80.0</v>
      </c>
      <c r="C81" s="7">
        <f>IFERROR(__xludf.DUMMYFUNCTION("GOOGLEFINANCE(A81,""marketcap"")"),1.2836639205E11)</f>
        <v>128366392050</v>
      </c>
      <c r="D81" s="20" t="s">
        <v>6443</v>
      </c>
    </row>
    <row r="82" ht="21.0" customHeight="1">
      <c r="A82" s="19" t="s">
        <v>898</v>
      </c>
      <c r="B82" s="20">
        <v>85.0</v>
      </c>
      <c r="C82" s="7">
        <f>IFERROR(__xludf.DUMMYFUNCTION("GOOGLEFINANCE(A82,""marketcap"")"),1.69587635714E11)</f>
        <v>169587635714</v>
      </c>
      <c r="D82" s="20" t="s">
        <v>6444</v>
      </c>
    </row>
    <row r="83" ht="21.0" customHeight="1">
      <c r="A83" s="19" t="s">
        <v>873</v>
      </c>
      <c r="B83" s="44"/>
      <c r="C83" s="7">
        <f>IFERROR(__xludf.DUMMYFUNCTION("GOOGLEFINANCE(A83,""marketcap"")"),2.14137959655E11)</f>
        <v>214137959655</v>
      </c>
      <c r="D83" s="20" t="s">
        <v>6445</v>
      </c>
    </row>
    <row r="84" ht="21.0" customHeight="1">
      <c r="A84" s="19" t="s">
        <v>1327</v>
      </c>
      <c r="B84" s="20">
        <v>75.0</v>
      </c>
      <c r="C84" s="7">
        <f>IFERROR(__xludf.DUMMYFUNCTION("GOOGLEFINANCE(A84,""marketcap"")"),8.5663623798E10)</f>
        <v>85663623798</v>
      </c>
      <c r="D84" s="20" t="s">
        <v>6446</v>
      </c>
    </row>
    <row r="85" ht="21.0" customHeight="1">
      <c r="A85" s="19" t="s">
        <v>1429</v>
      </c>
      <c r="B85" s="20">
        <v>75.0</v>
      </c>
      <c r="C85" s="7">
        <f>IFERROR(__xludf.DUMMYFUNCTION("GOOGLEFINANCE(A85,""marketcap"")"),1.87111434409E11)</f>
        <v>187111434409</v>
      </c>
      <c r="D85" s="20" t="s">
        <v>6447</v>
      </c>
    </row>
    <row r="86" ht="21.0" customHeight="1">
      <c r="A86" s="19" t="s">
        <v>1153</v>
      </c>
      <c r="B86" s="20">
        <v>85.0</v>
      </c>
      <c r="C86" s="7">
        <f>IFERROR(__xludf.DUMMYFUNCTION("GOOGLEFINANCE(A86,""marketcap"")"),2.0334680802E11)</f>
        <v>203346808020</v>
      </c>
      <c r="D86" s="20" t="s">
        <v>6448</v>
      </c>
    </row>
    <row r="87" ht="21.0" customHeight="1">
      <c r="A87" s="19" t="s">
        <v>265</v>
      </c>
      <c r="B87" s="20">
        <v>80.0</v>
      </c>
      <c r="C87" s="7">
        <f>IFERROR(__xludf.DUMMYFUNCTION("GOOGLEFINANCE(A87,""marketcap"")"),5.03495983E8)</f>
        <v>503495983</v>
      </c>
      <c r="D87" s="20" t="s">
        <v>6449</v>
      </c>
    </row>
    <row r="88" ht="21.0" customHeight="1">
      <c r="A88" s="19" t="s">
        <v>40</v>
      </c>
      <c r="B88" s="20">
        <v>85.0</v>
      </c>
      <c r="C88" s="7">
        <f>IFERROR(__xludf.DUMMYFUNCTION("GOOGLEFINANCE(A88,""marketcap"")"),1.16782771287E11)</f>
        <v>116782771287</v>
      </c>
      <c r="D88" s="20" t="s">
        <v>6450</v>
      </c>
    </row>
    <row r="89" ht="21.0" customHeight="1">
      <c r="A89" s="19" t="s">
        <v>614</v>
      </c>
      <c r="B89" s="20">
        <v>75.0</v>
      </c>
      <c r="C89" s="7">
        <f>IFERROR(__xludf.DUMMYFUNCTION("GOOGLEFINANCE(A89,""marketcap"")"),8.0159125603E10)</f>
        <v>80159125603</v>
      </c>
      <c r="D89" s="20" t="s">
        <v>6451</v>
      </c>
    </row>
    <row r="90" ht="21.0" customHeight="1">
      <c r="A90" s="19" t="s">
        <v>14</v>
      </c>
      <c r="B90" s="20">
        <v>85.0</v>
      </c>
      <c r="C90" s="7">
        <f>IFERROR(__xludf.DUMMYFUNCTION("GOOGLEFINANCE(A90,""marketcap"")"),7.494838E10)</f>
        <v>74948380000</v>
      </c>
      <c r="D90" s="20" t="s">
        <v>6452</v>
      </c>
    </row>
    <row r="91" ht="21.0" customHeight="1">
      <c r="A91" s="19" t="s">
        <v>122</v>
      </c>
      <c r="B91" s="20">
        <v>85.0</v>
      </c>
      <c r="C91" s="7">
        <f>IFERROR(__xludf.DUMMYFUNCTION("GOOGLEFINANCE(A91,""marketcap"")"),9.7767844709E10)</f>
        <v>97767844709</v>
      </c>
      <c r="D91" s="20" t="s">
        <v>6453</v>
      </c>
    </row>
    <row r="92" ht="21.0" customHeight="1">
      <c r="A92" s="19" t="s">
        <v>55</v>
      </c>
      <c r="B92" s="44"/>
      <c r="C92" s="7">
        <f>IFERROR(__xludf.DUMMYFUNCTION("GOOGLEFINANCE(A92,""marketcap"")"),1.23975608045E11)</f>
        <v>123975608045</v>
      </c>
      <c r="D92" s="20" t="s">
        <v>6454</v>
      </c>
    </row>
    <row r="93" ht="21.0" customHeight="1">
      <c r="A93" s="19" t="s">
        <v>987</v>
      </c>
      <c r="B93" s="44"/>
      <c r="C93" s="7">
        <f>IFERROR(__xludf.DUMMYFUNCTION("GOOGLEFINANCE(A93,""marketcap"")"),2.44167609071E11)</f>
        <v>244167609071</v>
      </c>
      <c r="D93" s="20" t="s">
        <v>6455</v>
      </c>
    </row>
    <row r="94" ht="21.0" customHeight="1">
      <c r="A94" s="19" t="s">
        <v>1045</v>
      </c>
      <c r="B94" s="20">
        <v>85.0</v>
      </c>
      <c r="C94" s="7" t="str">
        <f>IFERROR(__xludf.DUMMYFUNCTION("GOOGLEFINANCE(A94,""marketcap"")"),"#N/A")</f>
        <v>#N/A</v>
      </c>
      <c r="D94" s="20" t="s">
        <v>6456</v>
      </c>
    </row>
    <row r="95" ht="21.0" customHeight="1">
      <c r="A95" s="19" t="s">
        <v>242</v>
      </c>
      <c r="B95" s="20">
        <v>75.0</v>
      </c>
      <c r="C95" s="7">
        <f>IFERROR(__xludf.DUMMYFUNCTION("GOOGLEFINANCE(A95,""marketcap"")"),8.5141383977E10)</f>
        <v>85141383977</v>
      </c>
      <c r="D95" s="20" t="s">
        <v>6457</v>
      </c>
    </row>
    <row r="96" ht="21.0" customHeight="1">
      <c r="A96" s="19" t="s">
        <v>295</v>
      </c>
      <c r="B96" s="44"/>
      <c r="C96" s="7">
        <f>IFERROR(__xludf.DUMMYFUNCTION("GOOGLEFINANCE(A96,""marketcap"")"),1.55268487585E11)</f>
        <v>155268487585</v>
      </c>
      <c r="D96" s="20" t="s">
        <v>6458</v>
      </c>
    </row>
    <row r="97" ht="21.0" customHeight="1">
      <c r="A97" s="19" t="s">
        <v>151</v>
      </c>
      <c r="B97" s="20">
        <v>85.0</v>
      </c>
      <c r="C97" s="7">
        <f>IFERROR(__xludf.DUMMYFUNCTION("GOOGLEFINANCE(A97,""marketcap"")"),1.34340593414E11)</f>
        <v>134340593414</v>
      </c>
      <c r="D97" s="20" t="s">
        <v>6459</v>
      </c>
    </row>
    <row r="98" ht="21.0" customHeight="1">
      <c r="A98" s="19" t="s">
        <v>298</v>
      </c>
      <c r="B98" s="20">
        <v>85.0</v>
      </c>
      <c r="C98" s="7">
        <f>IFERROR(__xludf.DUMMYFUNCTION("GOOGLEFINANCE(A98,""marketcap"")"),1.68590642383E11)</f>
        <v>168590642383</v>
      </c>
      <c r="D98" s="20" t="s">
        <v>6460</v>
      </c>
    </row>
    <row r="99" ht="21.0" customHeight="1">
      <c r="A99" s="19" t="s">
        <v>785</v>
      </c>
      <c r="B99" s="44"/>
      <c r="C99" s="7">
        <f>IFERROR(__xludf.DUMMYFUNCTION("GOOGLEFINANCE(A99,""marketcap"")"),7.6201173692E10)</f>
        <v>76201173692</v>
      </c>
      <c r="D99" s="20" t="s">
        <v>6461</v>
      </c>
    </row>
    <row r="100" ht="21.0" customHeight="1">
      <c r="A100" s="19" t="s">
        <v>394</v>
      </c>
      <c r="B100" s="20">
        <v>75.0</v>
      </c>
      <c r="C100" s="7">
        <f>IFERROR(__xludf.DUMMYFUNCTION("GOOGLEFINANCE(A100,""marketcap"")"),1.78517072919E11)</f>
        <v>178517072919</v>
      </c>
      <c r="D100" s="20" t="s">
        <v>6462</v>
      </c>
    </row>
    <row r="101" ht="21.0" customHeight="1">
      <c r="A101" s="19" t="s">
        <v>1371</v>
      </c>
      <c r="B101" s="20">
        <v>70.0</v>
      </c>
      <c r="C101" s="7">
        <f>IFERROR(__xludf.DUMMYFUNCTION("GOOGLEFINANCE(A101,""marketcap"")"),1.195887E11)</f>
        <v>119588700000</v>
      </c>
      <c r="D101" s="20" t="s">
        <v>6463</v>
      </c>
    </row>
    <row r="102" ht="21.0" customHeight="1">
      <c r="A102" s="19" t="s">
        <v>1155</v>
      </c>
      <c r="B102" s="20">
        <v>70.0</v>
      </c>
      <c r="C102" s="7">
        <f>IFERROR(__xludf.DUMMYFUNCTION("GOOGLEFINANCE(A102,""marketcap"")"),8.4119373813E10)</f>
        <v>84119373813</v>
      </c>
      <c r="D102" s="20" t="s">
        <v>6464</v>
      </c>
    </row>
    <row r="103" ht="21.0" customHeight="1">
      <c r="A103" s="19" t="s">
        <v>976</v>
      </c>
      <c r="B103" s="20">
        <v>85.0</v>
      </c>
      <c r="C103" s="7">
        <f>IFERROR(__xludf.DUMMYFUNCTION("GOOGLEFINANCE(A103,""marketcap"")"),7.900859497E10)</f>
        <v>79008594970</v>
      </c>
      <c r="D103" s="20" t="s">
        <v>6465</v>
      </c>
    </row>
    <row r="104" ht="21.0" customHeight="1">
      <c r="A104" s="19" t="s">
        <v>243</v>
      </c>
      <c r="B104" s="20">
        <v>85.0</v>
      </c>
      <c r="C104" s="7">
        <f>IFERROR(__xludf.DUMMYFUNCTION("GOOGLEFINANCE(A104,""marketcap"")"),8.2244090721E10)</f>
        <v>82244090721</v>
      </c>
      <c r="D104" s="20" t="s">
        <v>6466</v>
      </c>
    </row>
    <row r="105" ht="21.0" customHeight="1">
      <c r="A105" s="19" t="s">
        <v>87</v>
      </c>
      <c r="B105" s="20">
        <v>85.0</v>
      </c>
      <c r="C105" s="7" t="str">
        <f>IFERROR(__xludf.DUMMYFUNCTION("GOOGLEFINANCE(A105,""marketcap"")"),"#N/A")</f>
        <v>#N/A</v>
      </c>
      <c r="D105" s="20" t="s">
        <v>6467</v>
      </c>
    </row>
    <row r="106" ht="21.0" customHeight="1">
      <c r="A106" s="19" t="s">
        <v>878</v>
      </c>
      <c r="B106" s="20">
        <v>85.0</v>
      </c>
      <c r="C106" s="7">
        <f>IFERROR(__xludf.DUMMYFUNCTION("GOOGLEFINANCE(A106,""marketcap"")"),4.1675997323E10)</f>
        <v>41675997323</v>
      </c>
      <c r="D106" s="20" t="s">
        <v>6468</v>
      </c>
    </row>
    <row r="107" ht="21.0" customHeight="1">
      <c r="A107" s="19" t="s">
        <v>857</v>
      </c>
      <c r="B107" s="20">
        <v>85.0</v>
      </c>
      <c r="C107" s="7">
        <f>IFERROR(__xludf.DUMMYFUNCTION("GOOGLEFINANCE(A107,""marketcap"")"),9.8937938018E10)</f>
        <v>98937938018</v>
      </c>
      <c r="D107" s="20" t="s">
        <v>6469</v>
      </c>
    </row>
    <row r="108" ht="21.0" customHeight="1">
      <c r="A108" s="19" t="s">
        <v>851</v>
      </c>
      <c r="B108" s="20">
        <v>80.0</v>
      </c>
      <c r="C108" s="7">
        <f>IFERROR(__xludf.DUMMYFUNCTION("GOOGLEFINANCE(A108,""marketcap"")"),9.6542419584E10)</f>
        <v>96542419584</v>
      </c>
      <c r="D108" s="20" t="s">
        <v>6470</v>
      </c>
    </row>
    <row r="109" ht="21.0" customHeight="1">
      <c r="A109" s="19" t="s">
        <v>146</v>
      </c>
      <c r="B109" s="20">
        <v>75.0</v>
      </c>
      <c r="C109" s="7">
        <f>IFERROR(__xludf.DUMMYFUNCTION("GOOGLEFINANCE(A109,""marketcap"")"),1.0348614344E11)</f>
        <v>103486143440</v>
      </c>
      <c r="D109" s="20" t="s">
        <v>6471</v>
      </c>
    </row>
    <row r="110" ht="21.0" customHeight="1">
      <c r="A110" s="19" t="s">
        <v>296</v>
      </c>
      <c r="B110" s="20">
        <v>70.0</v>
      </c>
      <c r="C110" s="7">
        <f>IFERROR(__xludf.DUMMYFUNCTION("GOOGLEFINANCE(A110,""marketcap"")"),1.14682707048E11)</f>
        <v>114682707048</v>
      </c>
      <c r="D110" s="20" t="s">
        <v>6070</v>
      </c>
    </row>
    <row r="111" ht="21.0" customHeight="1">
      <c r="A111" s="19" t="s">
        <v>22</v>
      </c>
      <c r="B111" s="20">
        <v>75.0</v>
      </c>
      <c r="C111" s="7">
        <f>IFERROR(__xludf.DUMMYFUNCTION("GOOGLEFINANCE(A111,""marketcap"")"),9.3712142222E10)</f>
        <v>93712142222</v>
      </c>
      <c r="D111" s="20" t="s">
        <v>6472</v>
      </c>
    </row>
    <row r="112" ht="21.0" customHeight="1">
      <c r="A112" s="19" t="s">
        <v>250</v>
      </c>
      <c r="B112" s="20">
        <v>80.0</v>
      </c>
      <c r="C112" s="7">
        <f>IFERROR(__xludf.DUMMYFUNCTION("GOOGLEFINANCE(A112,""marketcap"")"),1.00038430296E11)</f>
        <v>100038430296</v>
      </c>
      <c r="D112" s="20" t="s">
        <v>6473</v>
      </c>
    </row>
    <row r="113" ht="21.0" customHeight="1">
      <c r="A113" s="19" t="s">
        <v>809</v>
      </c>
      <c r="B113" s="44"/>
      <c r="C113" s="7">
        <f>IFERROR(__xludf.DUMMYFUNCTION("GOOGLEFINANCE(A113,""marketcap"")"),8.6487356548E10)</f>
        <v>86487356548</v>
      </c>
      <c r="D113" s="20" t="s">
        <v>6474</v>
      </c>
    </row>
    <row r="114" ht="21.0" customHeight="1">
      <c r="A114" s="19" t="s">
        <v>276</v>
      </c>
      <c r="B114" s="44"/>
      <c r="C114" s="7">
        <f>IFERROR(__xludf.DUMMYFUNCTION("GOOGLEFINANCE(A114,""marketcap"")"),3.4831440445E10)</f>
        <v>34831440445</v>
      </c>
      <c r="D114" s="20" t="s">
        <v>6475</v>
      </c>
    </row>
    <row r="115" ht="21.0" customHeight="1">
      <c r="A115" s="19" t="s">
        <v>1582</v>
      </c>
      <c r="B115" s="20">
        <v>75.0</v>
      </c>
      <c r="C115" s="7">
        <f>IFERROR(__xludf.DUMMYFUNCTION("GOOGLEFINANCE(A115,""marketcap"")"),1.13752979506E11)</f>
        <v>113752979506</v>
      </c>
      <c r="D115" s="20" t="s">
        <v>6476</v>
      </c>
    </row>
    <row r="116" ht="21.0" customHeight="1">
      <c r="A116" s="19" t="s">
        <v>130</v>
      </c>
      <c r="B116" s="20">
        <v>75.0</v>
      </c>
      <c r="C116" s="7">
        <f>IFERROR(__xludf.DUMMYFUNCTION("GOOGLEFINANCE(A116,""marketcap"")"),1.63009556202E11)</f>
        <v>163009556202</v>
      </c>
      <c r="D116" s="20" t="s">
        <v>6477</v>
      </c>
    </row>
    <row r="117" ht="21.0" customHeight="1">
      <c r="A117" s="19" t="s">
        <v>1034</v>
      </c>
      <c r="B117" s="44"/>
      <c r="C117" s="7">
        <f>IFERROR(__xludf.DUMMYFUNCTION("GOOGLEFINANCE(A117,""marketcap"")"),9.6802458726E10)</f>
        <v>96802458726</v>
      </c>
      <c r="D117" s="20" t="s">
        <v>6478</v>
      </c>
    </row>
    <row r="118" ht="21.0" customHeight="1">
      <c r="A118" s="19" t="s">
        <v>287</v>
      </c>
      <c r="B118" s="20">
        <v>75.0</v>
      </c>
      <c r="C118" s="7">
        <f>IFERROR(__xludf.DUMMYFUNCTION("GOOGLEFINANCE(A118,""marketcap"")"),1.57506857518E11)</f>
        <v>157506857518</v>
      </c>
      <c r="D118" s="20" t="s">
        <v>6479</v>
      </c>
    </row>
    <row r="119" ht="21.0" customHeight="1">
      <c r="A119" s="19" t="s">
        <v>1515</v>
      </c>
      <c r="B119" s="20">
        <v>50.0</v>
      </c>
      <c r="C119" s="7">
        <f>IFERROR(__xludf.DUMMYFUNCTION("GOOGLEFINANCE(A119,""marketcap"")"),7.0056575656E10)</f>
        <v>70056575656</v>
      </c>
      <c r="D119" s="20" t="s">
        <v>6480</v>
      </c>
    </row>
    <row r="120" ht="21.0" customHeight="1">
      <c r="A120" s="19" t="s">
        <v>551</v>
      </c>
      <c r="B120" s="20">
        <v>85.0</v>
      </c>
      <c r="C120" s="7">
        <f>IFERROR(__xludf.DUMMYFUNCTION("GOOGLEFINANCE(A120,""marketcap"")"),8.8118161891E10)</f>
        <v>88118161891</v>
      </c>
      <c r="D120" s="20" t="s">
        <v>6481</v>
      </c>
    </row>
    <row r="121" ht="21.0" customHeight="1">
      <c r="A121" s="19" t="s">
        <v>342</v>
      </c>
      <c r="B121" s="20">
        <v>75.0</v>
      </c>
      <c r="C121" s="7">
        <f>IFERROR(__xludf.DUMMYFUNCTION("GOOGLEFINANCE(A121,""marketcap"")"),1.15535193743E11)</f>
        <v>115535193743</v>
      </c>
      <c r="D121" s="20" t="s">
        <v>6482</v>
      </c>
    </row>
    <row r="122" ht="21.0" customHeight="1">
      <c r="A122" s="19" t="s">
        <v>592</v>
      </c>
      <c r="B122" s="44"/>
      <c r="C122" s="7">
        <f>IFERROR(__xludf.DUMMYFUNCTION("GOOGLEFINANCE(A122,""marketcap"")"),9.0161753555E10)</f>
        <v>90161753555</v>
      </c>
      <c r="D122" s="20" t="s">
        <v>6483</v>
      </c>
    </row>
    <row r="123" ht="21.0" customHeight="1">
      <c r="A123" s="19" t="s">
        <v>825</v>
      </c>
      <c r="B123" s="20">
        <v>85.0</v>
      </c>
      <c r="C123" s="7">
        <f>IFERROR(__xludf.DUMMYFUNCTION("GOOGLEFINANCE(A123,""marketcap"")"),6.7963771928E10)</f>
        <v>67963771928</v>
      </c>
      <c r="D123" s="20" t="s">
        <v>6484</v>
      </c>
    </row>
    <row r="124" ht="21.0" customHeight="1">
      <c r="A124" s="19" t="s">
        <v>925</v>
      </c>
      <c r="B124" s="20">
        <v>85.0</v>
      </c>
      <c r="C124" s="7">
        <f>IFERROR(__xludf.DUMMYFUNCTION("GOOGLEFINANCE(A124,""marketcap"")"),7.8845605279E10)</f>
        <v>78845605279</v>
      </c>
      <c r="D124" s="20" t="s">
        <v>6485</v>
      </c>
    </row>
    <row r="125" ht="21.0" customHeight="1">
      <c r="A125" s="19" t="s">
        <v>1185</v>
      </c>
      <c r="B125" s="20">
        <v>85.0</v>
      </c>
      <c r="C125" s="7">
        <f>IFERROR(__xludf.DUMMYFUNCTION("GOOGLEFINANCE(A125,""marketcap"")"),7.8139092598E10)</f>
        <v>78139092598</v>
      </c>
      <c r="D125" s="20" t="s">
        <v>6486</v>
      </c>
    </row>
    <row r="126" ht="21.0" customHeight="1">
      <c r="A126" s="19" t="s">
        <v>1081</v>
      </c>
      <c r="B126" s="20">
        <v>80.0</v>
      </c>
      <c r="C126" s="7">
        <f>IFERROR(__xludf.DUMMYFUNCTION("GOOGLEFINANCE(A126,""marketcap"")"),1.03049445403E11)</f>
        <v>103049445403</v>
      </c>
      <c r="D126" s="20" t="s">
        <v>6487</v>
      </c>
    </row>
    <row r="127" ht="21.0" customHeight="1">
      <c r="A127" s="19" t="s">
        <v>20</v>
      </c>
      <c r="B127" s="20">
        <v>85.0</v>
      </c>
      <c r="C127" s="7">
        <f>IFERROR(__xludf.DUMMYFUNCTION("GOOGLEFINANCE(A127,""marketcap"")"),1.0191268125E11)</f>
        <v>101912681250</v>
      </c>
      <c r="D127" s="20" t="s">
        <v>6488</v>
      </c>
    </row>
    <row r="128" ht="21.0" customHeight="1">
      <c r="A128" s="19" t="s">
        <v>1299</v>
      </c>
      <c r="B128" s="20">
        <v>80.0</v>
      </c>
      <c r="C128" s="7">
        <f>IFERROR(__xludf.DUMMYFUNCTION("GOOGLEFINANCE(A128,""marketcap"")"),7.3390749697E10)</f>
        <v>73390749697</v>
      </c>
      <c r="D128" s="20" t="s">
        <v>6489</v>
      </c>
    </row>
    <row r="129" ht="21.0" customHeight="1">
      <c r="A129" s="19" t="s">
        <v>923</v>
      </c>
      <c r="B129" s="20">
        <v>80.0</v>
      </c>
      <c r="C129" s="7">
        <f>IFERROR(__xludf.DUMMYFUNCTION("GOOGLEFINANCE(A129,""marketcap"")"),1.05733070885E11)</f>
        <v>105733070885</v>
      </c>
      <c r="D129" s="20" t="s">
        <v>6490</v>
      </c>
    </row>
    <row r="130" ht="21.0" customHeight="1">
      <c r="A130" s="19" t="s">
        <v>254</v>
      </c>
      <c r="B130" s="20">
        <v>80.0</v>
      </c>
      <c r="C130" s="7">
        <f>IFERROR(__xludf.DUMMYFUNCTION("GOOGLEFINANCE(A130,""marketcap"")"),8.8623726693E10)</f>
        <v>88623726693</v>
      </c>
      <c r="D130" s="20" t="s">
        <v>6491</v>
      </c>
    </row>
    <row r="131" ht="21.0" customHeight="1">
      <c r="A131" s="19" t="s">
        <v>862</v>
      </c>
      <c r="B131" s="20">
        <v>85.0</v>
      </c>
      <c r="C131" s="7">
        <f>IFERROR(__xludf.DUMMYFUNCTION("GOOGLEFINANCE(A131,""marketcap"")"),4.002113E10)</f>
        <v>40021130000</v>
      </c>
      <c r="D131" s="20" t="s">
        <v>6492</v>
      </c>
    </row>
    <row r="132" ht="21.0" customHeight="1">
      <c r="A132" s="19" t="s">
        <v>1145</v>
      </c>
      <c r="B132" s="20">
        <v>85.0</v>
      </c>
      <c r="C132" s="7">
        <f>IFERROR(__xludf.DUMMYFUNCTION("GOOGLEFINANCE(A132,""marketcap"")"),7.441585E10)</f>
        <v>74415850000</v>
      </c>
      <c r="D132" s="20" t="s">
        <v>6493</v>
      </c>
    </row>
    <row r="133" ht="21.0" customHeight="1">
      <c r="A133" s="19" t="s">
        <v>1498</v>
      </c>
      <c r="B133" s="20">
        <v>85.0</v>
      </c>
      <c r="C133" s="7">
        <f>IFERROR(__xludf.DUMMYFUNCTION("GOOGLEFINANCE(A133,""marketcap"")"),4.2548965088E10)</f>
        <v>42548965088</v>
      </c>
      <c r="D133" s="20" t="s">
        <v>6494</v>
      </c>
    </row>
    <row r="134" ht="21.0" customHeight="1">
      <c r="A134" s="19" t="s">
        <v>919</v>
      </c>
      <c r="B134" s="20">
        <v>75.0</v>
      </c>
      <c r="C134" s="7">
        <f>IFERROR(__xludf.DUMMYFUNCTION("GOOGLEFINANCE(A134,""marketcap"")"),6.9257683204E10)</f>
        <v>69257683204</v>
      </c>
      <c r="D134" s="20" t="s">
        <v>6495</v>
      </c>
    </row>
    <row r="135" ht="21.0" customHeight="1">
      <c r="A135" s="19" t="s">
        <v>275</v>
      </c>
      <c r="B135" s="20">
        <v>85.0</v>
      </c>
      <c r="C135" s="7">
        <f>IFERROR(__xludf.DUMMYFUNCTION("GOOGLEFINANCE(A135,""marketcap"")"),6.6802526878E10)</f>
        <v>66802526878</v>
      </c>
      <c r="D135" s="20" t="s">
        <v>6496</v>
      </c>
    </row>
    <row r="136" ht="21.0" customHeight="1">
      <c r="A136" s="19" t="s">
        <v>968</v>
      </c>
      <c r="B136" s="20">
        <v>75.0</v>
      </c>
      <c r="C136" s="7">
        <f>IFERROR(__xludf.DUMMYFUNCTION("GOOGLEFINANCE(A136,""marketcap"")"),7.1797753358E10)</f>
        <v>71797753358</v>
      </c>
      <c r="D136" s="20" t="s">
        <v>6497</v>
      </c>
    </row>
    <row r="137" ht="21.0" customHeight="1">
      <c r="A137" s="19" t="s">
        <v>1149</v>
      </c>
      <c r="B137" s="44"/>
      <c r="C137" s="7">
        <f>IFERROR(__xludf.DUMMYFUNCTION("GOOGLEFINANCE(A137,""marketcap"")"),5.688556905E10)</f>
        <v>56885569050</v>
      </c>
      <c r="D137" s="20" t="s">
        <v>6498</v>
      </c>
    </row>
    <row r="138" ht="21.0" customHeight="1">
      <c r="A138" s="19" t="s">
        <v>144</v>
      </c>
      <c r="B138" s="20">
        <v>85.0</v>
      </c>
      <c r="C138" s="7">
        <f>IFERROR(__xludf.DUMMYFUNCTION("GOOGLEFINANCE(A138,""marketcap"")"),1.10808425183E11)</f>
        <v>110808425183</v>
      </c>
      <c r="D138" s="20" t="s">
        <v>6499</v>
      </c>
    </row>
    <row r="139" ht="21.0" customHeight="1">
      <c r="A139" s="19" t="s">
        <v>1348</v>
      </c>
      <c r="B139" s="20">
        <v>65.0</v>
      </c>
      <c r="C139" s="7">
        <f>IFERROR(__xludf.DUMMYFUNCTION("GOOGLEFINANCE(A139,""marketcap"")"),9.3129537816E10)</f>
        <v>93129537816</v>
      </c>
      <c r="D139" s="20" t="s">
        <v>6500</v>
      </c>
    </row>
    <row r="140" ht="21.0" customHeight="1">
      <c r="A140" s="19" t="s">
        <v>904</v>
      </c>
      <c r="B140" s="20">
        <v>75.0</v>
      </c>
      <c r="C140" s="7">
        <f>IFERROR(__xludf.DUMMYFUNCTION("GOOGLEFINANCE(A140,""marketcap"")"),7.8050196742E10)</f>
        <v>78050196742</v>
      </c>
      <c r="D140" s="20" t="s">
        <v>6501</v>
      </c>
    </row>
    <row r="141" ht="21.0" customHeight="1">
      <c r="A141" s="19" t="s">
        <v>1256</v>
      </c>
      <c r="B141" s="44"/>
      <c r="C141" s="7">
        <f>IFERROR(__xludf.DUMMYFUNCTION("GOOGLEFINANCE(A141,""marketcap"")"),8.330037E10)</f>
        <v>83300370000</v>
      </c>
      <c r="D141" s="20" t="s">
        <v>6502</v>
      </c>
    </row>
    <row r="142" ht="21.0" customHeight="1">
      <c r="A142" s="19" t="s">
        <v>1511</v>
      </c>
      <c r="B142" s="44"/>
      <c r="C142" s="7">
        <f>IFERROR(__xludf.DUMMYFUNCTION("GOOGLEFINANCE(A142,""marketcap"")"),1.1000354153E11)</f>
        <v>110003541530</v>
      </c>
      <c r="D142" s="20" t="s">
        <v>6503</v>
      </c>
    </row>
    <row r="143" ht="21.0" customHeight="1">
      <c r="A143" s="19" t="s">
        <v>886</v>
      </c>
      <c r="B143" s="44"/>
      <c r="C143" s="7">
        <f>IFERROR(__xludf.DUMMYFUNCTION("GOOGLEFINANCE(A143,""marketcap"")"),7.9641687074E10)</f>
        <v>79641687074</v>
      </c>
      <c r="D143" s="20" t="s">
        <v>6504</v>
      </c>
    </row>
    <row r="144" ht="21.0" customHeight="1">
      <c r="A144" s="19" t="s">
        <v>1197</v>
      </c>
      <c r="B144" s="20">
        <v>70.0</v>
      </c>
      <c r="C144" s="7">
        <f>IFERROR(__xludf.DUMMYFUNCTION("GOOGLEFINANCE(A144,""marketcap"")"),7.1486513816E10)</f>
        <v>71486513816</v>
      </c>
      <c r="D144" s="20" t="s">
        <v>6505</v>
      </c>
    </row>
    <row r="145" ht="21.0" customHeight="1">
      <c r="A145" s="19" t="s">
        <v>33</v>
      </c>
      <c r="B145" s="20">
        <v>75.0</v>
      </c>
      <c r="C145" s="7">
        <f>IFERROR(__xludf.DUMMYFUNCTION("GOOGLEFINANCE(A145,""marketcap"")"),6.382051874E10)</f>
        <v>63820518740</v>
      </c>
      <c r="D145" s="20" t="s">
        <v>6506</v>
      </c>
    </row>
    <row r="146" ht="21.0" customHeight="1">
      <c r="A146" s="19" t="s">
        <v>956</v>
      </c>
      <c r="B146" s="20">
        <v>85.0</v>
      </c>
      <c r="C146" s="7">
        <f>IFERROR(__xludf.DUMMYFUNCTION("GOOGLEFINANCE(A146,""marketcap"")"),6.5782106402E10)</f>
        <v>65782106402</v>
      </c>
      <c r="D146" s="20" t="s">
        <v>6507</v>
      </c>
    </row>
    <row r="147" ht="21.0" customHeight="1">
      <c r="A147" s="19" t="s">
        <v>864</v>
      </c>
      <c r="B147" s="20">
        <v>65.0</v>
      </c>
      <c r="C147" s="7">
        <f>IFERROR(__xludf.DUMMYFUNCTION("GOOGLEFINANCE(A147,""marketcap"")"),8.707928596E10)</f>
        <v>87079285960</v>
      </c>
      <c r="D147" s="20" t="s">
        <v>6508</v>
      </c>
    </row>
    <row r="148" ht="21.0" customHeight="1">
      <c r="A148" s="19" t="s">
        <v>71</v>
      </c>
      <c r="B148" s="20">
        <v>85.0</v>
      </c>
      <c r="C148" s="7">
        <f>IFERROR(__xludf.DUMMYFUNCTION("GOOGLEFINANCE(A148,""marketcap"")"),1.51510432581E11)</f>
        <v>151510432581</v>
      </c>
      <c r="D148" s="20" t="s">
        <v>6509</v>
      </c>
    </row>
    <row r="149" ht="21.0" customHeight="1">
      <c r="A149" s="19" t="s">
        <v>1487</v>
      </c>
      <c r="B149" s="20">
        <v>85.0</v>
      </c>
      <c r="C149" s="7">
        <f>IFERROR(__xludf.DUMMYFUNCTION("GOOGLEFINANCE(A149,""marketcap"")"),6.6804720375E10)</f>
        <v>66804720375</v>
      </c>
      <c r="D149" s="20" t="s">
        <v>6510</v>
      </c>
    </row>
    <row r="150" ht="21.0" customHeight="1">
      <c r="A150" s="19" t="s">
        <v>1083</v>
      </c>
      <c r="B150" s="20">
        <v>75.0</v>
      </c>
      <c r="C150" s="7">
        <f>IFERROR(__xludf.DUMMYFUNCTION("GOOGLEFINANCE(A150,""marketcap"")"),9.0331721282E10)</f>
        <v>90331721282</v>
      </c>
      <c r="D150" s="20" t="s">
        <v>6511</v>
      </c>
    </row>
    <row r="151" ht="21.0" customHeight="1">
      <c r="A151" s="19" t="s">
        <v>958</v>
      </c>
      <c r="B151" s="20">
        <v>75.0</v>
      </c>
      <c r="C151" s="7">
        <f>IFERROR(__xludf.DUMMYFUNCTION("GOOGLEFINANCE(A151,""marketcap"")"),8.6199161575E10)</f>
        <v>86199161575</v>
      </c>
      <c r="D151" s="20" t="s">
        <v>6512</v>
      </c>
    </row>
    <row r="152" ht="21.0" customHeight="1">
      <c r="A152" s="19" t="s">
        <v>139</v>
      </c>
      <c r="B152" s="44"/>
      <c r="C152" s="7">
        <f>IFERROR(__xludf.DUMMYFUNCTION("GOOGLEFINANCE(A152,""marketcap"")"),7.9147729632E10)</f>
        <v>79147729632</v>
      </c>
      <c r="D152" s="20" t="s">
        <v>6513</v>
      </c>
    </row>
    <row r="153" ht="21.0" customHeight="1">
      <c r="A153" s="19" t="s">
        <v>1613</v>
      </c>
      <c r="B153" s="20">
        <v>85.0</v>
      </c>
      <c r="C153" s="7">
        <f>IFERROR(__xludf.DUMMYFUNCTION("GOOGLEFINANCE(A153,""marketcap"")"),3.4646928175E10)</f>
        <v>34646928175</v>
      </c>
      <c r="D153" s="20" t="s">
        <v>6514</v>
      </c>
    </row>
    <row r="154" ht="21.0" customHeight="1">
      <c r="A154" s="19" t="s">
        <v>1173</v>
      </c>
      <c r="B154" s="20">
        <v>85.0</v>
      </c>
      <c r="C154" s="7">
        <f>IFERROR(__xludf.DUMMYFUNCTION("GOOGLEFINANCE(A154,""marketcap"")"),6.1797400442E10)</f>
        <v>61797400442</v>
      </c>
      <c r="D154" s="20" t="s">
        <v>6515</v>
      </c>
    </row>
    <row r="155" ht="21.0" customHeight="1">
      <c r="A155" s="19" t="s">
        <v>1369</v>
      </c>
      <c r="B155" s="44"/>
      <c r="C155" s="7">
        <f>IFERROR(__xludf.DUMMYFUNCTION("GOOGLEFINANCE(A155,""marketcap"")"),6.8784407621E10)</f>
        <v>68784407621</v>
      </c>
      <c r="D155" s="20" t="s">
        <v>6516</v>
      </c>
    </row>
    <row r="156" ht="21.0" customHeight="1">
      <c r="A156" s="19" t="s">
        <v>1584</v>
      </c>
      <c r="B156" s="44"/>
      <c r="C156" s="7">
        <f>IFERROR(__xludf.DUMMYFUNCTION("GOOGLEFINANCE(A156,""marketcap"")"),2.1565334799E10)</f>
        <v>21565334799</v>
      </c>
      <c r="D156" s="20" t="s">
        <v>6517</v>
      </c>
    </row>
    <row r="157" ht="21.0" customHeight="1">
      <c r="A157" s="19" t="s">
        <v>300</v>
      </c>
      <c r="B157" s="20">
        <v>85.0</v>
      </c>
      <c r="C157" s="7">
        <f>IFERROR(__xludf.DUMMYFUNCTION("GOOGLEFINANCE(A157,""marketcap"")"),7.7369919334E10)</f>
        <v>77369919334</v>
      </c>
      <c r="D157" s="20" t="s">
        <v>6518</v>
      </c>
    </row>
    <row r="158" ht="21.0" customHeight="1">
      <c r="A158" s="19" t="s">
        <v>1340</v>
      </c>
      <c r="B158" s="44"/>
      <c r="C158" s="7">
        <f>IFERROR(__xludf.DUMMYFUNCTION("GOOGLEFINANCE(A158,""marketcap"")"),6.015978E10)</f>
        <v>60159780000</v>
      </c>
      <c r="D158" s="20" t="s">
        <v>6519</v>
      </c>
    </row>
    <row r="159" ht="21.0" customHeight="1">
      <c r="A159" s="19" t="s">
        <v>1508</v>
      </c>
      <c r="B159" s="20">
        <v>80.0</v>
      </c>
      <c r="C159" s="7">
        <f>IFERROR(__xludf.DUMMYFUNCTION("GOOGLEFINANCE(A159,""marketcap"")"),5.5507689652E10)</f>
        <v>55507689652</v>
      </c>
      <c r="D159" s="20" t="s">
        <v>6520</v>
      </c>
    </row>
    <row r="160" ht="21.0" customHeight="1">
      <c r="A160" s="19" t="s">
        <v>244</v>
      </c>
      <c r="B160" s="20">
        <v>80.0</v>
      </c>
      <c r="C160" s="7">
        <f>IFERROR(__xludf.DUMMYFUNCTION("GOOGLEFINANCE(A160,""marketcap"")"),5.1109588745E10)</f>
        <v>51109588745</v>
      </c>
      <c r="D160" s="20" t="s">
        <v>6521</v>
      </c>
    </row>
    <row r="161" ht="21.0" customHeight="1">
      <c r="A161" s="19" t="s">
        <v>1195</v>
      </c>
      <c r="B161" s="20">
        <v>65.0</v>
      </c>
      <c r="C161" s="7">
        <f>IFERROR(__xludf.DUMMYFUNCTION("GOOGLEFINANCE(A161,""marketcap"")"),7.4735374915E10)</f>
        <v>74735374915</v>
      </c>
      <c r="D161" s="20" t="s">
        <v>6522</v>
      </c>
    </row>
    <row r="162" ht="21.0" customHeight="1">
      <c r="A162" s="19" t="s">
        <v>965</v>
      </c>
      <c r="B162" s="44"/>
      <c r="C162" s="7">
        <f>IFERROR(__xludf.DUMMYFUNCTION("GOOGLEFINANCE(A162,""marketcap"")"),8.4383509635E10)</f>
        <v>84383509635</v>
      </c>
      <c r="D162" s="20" t="s">
        <v>6523</v>
      </c>
    </row>
    <row r="163" ht="21.0" customHeight="1">
      <c r="A163" s="19" t="s">
        <v>63</v>
      </c>
      <c r="B163" s="44"/>
      <c r="C163" s="7">
        <f>IFERROR(__xludf.DUMMYFUNCTION("GOOGLEFINANCE(A163,""marketcap"")"),5.2745476926E10)</f>
        <v>52745476926</v>
      </c>
      <c r="D163" s="20" t="s">
        <v>6524</v>
      </c>
    </row>
    <row r="164" ht="21.0" customHeight="1">
      <c r="A164" s="19" t="s">
        <v>1313</v>
      </c>
      <c r="B164" s="20">
        <v>80.0</v>
      </c>
      <c r="C164" s="7">
        <f>IFERROR(__xludf.DUMMYFUNCTION("GOOGLEFINANCE(A164,""marketcap"")"),4.6040967472E10)</f>
        <v>46040967472</v>
      </c>
      <c r="D164" s="20" t="s">
        <v>6525</v>
      </c>
    </row>
    <row r="165" ht="21.0" customHeight="1">
      <c r="A165" s="19" t="s">
        <v>929</v>
      </c>
      <c r="B165" s="20">
        <v>80.0</v>
      </c>
      <c r="C165" s="7">
        <f>IFERROR(__xludf.DUMMYFUNCTION("GOOGLEFINANCE(A165,""marketcap"")"),1.20167436422E11)</f>
        <v>120167436422</v>
      </c>
      <c r="D165" s="20" t="s">
        <v>6526</v>
      </c>
    </row>
    <row r="166" ht="21.0" customHeight="1">
      <c r="A166" s="19" t="s">
        <v>1549</v>
      </c>
      <c r="B166" s="20">
        <v>80.0</v>
      </c>
      <c r="C166" s="7">
        <f>IFERROR(__xludf.DUMMYFUNCTION("GOOGLEFINANCE(A166,""marketcap"")"),7.1051220511E10)</f>
        <v>71051220511</v>
      </c>
      <c r="D166" s="20" t="s">
        <v>6527</v>
      </c>
    </row>
    <row r="167" ht="21.0" customHeight="1">
      <c r="A167" s="19" t="s">
        <v>819</v>
      </c>
      <c r="B167" s="20">
        <v>85.0</v>
      </c>
      <c r="C167" s="7">
        <f>IFERROR(__xludf.DUMMYFUNCTION("GOOGLEFINANCE(A167,""marketcap"")"),3.2694685773E10)</f>
        <v>32694685773</v>
      </c>
      <c r="D167" s="20" t="s">
        <v>6528</v>
      </c>
    </row>
    <row r="168" ht="21.0" customHeight="1">
      <c r="A168" s="19" t="s">
        <v>790</v>
      </c>
      <c r="B168" s="20">
        <v>70.0</v>
      </c>
      <c r="C168" s="7">
        <f>IFERROR(__xludf.DUMMYFUNCTION("GOOGLEFINANCE(A168,""marketcap"")"),7.0075576133E10)</f>
        <v>70075576133</v>
      </c>
      <c r="D168" s="20" t="s">
        <v>6529</v>
      </c>
    </row>
    <row r="169" ht="21.0" customHeight="1">
      <c r="A169" s="19" t="s">
        <v>1305</v>
      </c>
      <c r="B169" s="20">
        <v>75.0</v>
      </c>
      <c r="C169" s="7">
        <f>IFERROR(__xludf.DUMMYFUNCTION("GOOGLEFINANCE(A169,""marketcap"")"),7.1578595937E10)</f>
        <v>71578595937</v>
      </c>
      <c r="D169" s="20" t="s">
        <v>6530</v>
      </c>
    </row>
    <row r="170" ht="21.0" customHeight="1">
      <c r="A170" s="19" t="s">
        <v>1063</v>
      </c>
      <c r="B170" s="20">
        <v>80.0</v>
      </c>
      <c r="C170" s="7">
        <f>IFERROR(__xludf.DUMMYFUNCTION("GOOGLEFINANCE(A170,""marketcap"")"),4.0486545755E10)</f>
        <v>40486545755</v>
      </c>
      <c r="D170" s="20" t="s">
        <v>6531</v>
      </c>
    </row>
    <row r="171" ht="21.0" customHeight="1">
      <c r="A171" s="19" t="s">
        <v>1479</v>
      </c>
      <c r="B171" s="20">
        <v>80.0</v>
      </c>
      <c r="C171" s="7">
        <f>IFERROR(__xludf.DUMMYFUNCTION("GOOGLEFINANCE(A171,""marketcap"")"),5.7566180103E10)</f>
        <v>57566180103</v>
      </c>
      <c r="D171" s="20" t="s">
        <v>6532</v>
      </c>
    </row>
    <row r="172" ht="21.0" customHeight="1">
      <c r="A172" s="19" t="s">
        <v>1279</v>
      </c>
      <c r="B172" s="20">
        <v>85.0</v>
      </c>
      <c r="C172" s="7">
        <f>IFERROR(__xludf.DUMMYFUNCTION("GOOGLEFINANCE(A172,""marketcap"")"),7.2114428196E10)</f>
        <v>72114428196</v>
      </c>
      <c r="D172" s="20" t="s">
        <v>6533</v>
      </c>
    </row>
    <row r="173" ht="21.0" customHeight="1">
      <c r="A173" s="19" t="s">
        <v>900</v>
      </c>
      <c r="B173" s="20">
        <v>75.0</v>
      </c>
      <c r="C173" s="7">
        <f>IFERROR(__xludf.DUMMYFUNCTION("GOOGLEFINANCE(A173,""marketcap"")"),5.0376053789E10)</f>
        <v>50376053789</v>
      </c>
      <c r="D173" s="20" t="s">
        <v>6534</v>
      </c>
    </row>
    <row r="174" ht="21.0" customHeight="1">
      <c r="A174" s="19" t="s">
        <v>1441</v>
      </c>
      <c r="B174" s="44"/>
      <c r="C174" s="7">
        <f>IFERROR(__xludf.DUMMYFUNCTION("GOOGLEFINANCE(A174,""marketcap"")"),5.3621104804E10)</f>
        <v>53621104804</v>
      </c>
      <c r="D174" s="20" t="s">
        <v>6535</v>
      </c>
    </row>
    <row r="175" ht="21.0" customHeight="1">
      <c r="A175" s="19" t="s">
        <v>1636</v>
      </c>
      <c r="B175" s="20">
        <v>75.0</v>
      </c>
      <c r="C175" s="7">
        <f>IFERROR(__xludf.DUMMYFUNCTION("GOOGLEFINANCE(A175,""marketcap"")"),8.800693496E10)</f>
        <v>88006934960</v>
      </c>
      <c r="D175" s="20" t="s">
        <v>6536</v>
      </c>
    </row>
    <row r="176" ht="21.0" customHeight="1">
      <c r="A176" s="19" t="s">
        <v>1352</v>
      </c>
      <c r="B176" s="20">
        <v>80.0</v>
      </c>
      <c r="C176" s="7">
        <f>IFERROR(__xludf.DUMMYFUNCTION("GOOGLEFINANCE(A176,""marketcap"")"),6.5658316597E10)</f>
        <v>65658316597</v>
      </c>
      <c r="D176" s="20" t="s">
        <v>6537</v>
      </c>
    </row>
    <row r="177" ht="21.0" customHeight="1">
      <c r="A177" s="19" t="s">
        <v>766</v>
      </c>
      <c r="B177" s="20">
        <v>60.0</v>
      </c>
      <c r="C177" s="7">
        <f>IFERROR(__xludf.DUMMYFUNCTION("GOOGLEFINANCE(A177,""marketcap"")"),6.3376598401E10)</f>
        <v>63376598401</v>
      </c>
      <c r="D177" s="20" t="s">
        <v>6538</v>
      </c>
    </row>
    <row r="178" ht="21.0" customHeight="1">
      <c r="A178" s="19" t="s">
        <v>1252</v>
      </c>
      <c r="B178" s="20">
        <v>60.0</v>
      </c>
      <c r="C178" s="7">
        <f>IFERROR(__xludf.DUMMYFUNCTION("GOOGLEFINANCE(A178,""marketcap"")"),6.118511845E10)</f>
        <v>61185118450</v>
      </c>
      <c r="D178" s="20" t="s">
        <v>6539</v>
      </c>
    </row>
    <row r="179" ht="21.0" customHeight="1">
      <c r="A179" s="19" t="s">
        <v>855</v>
      </c>
      <c r="B179" s="20">
        <v>80.0</v>
      </c>
      <c r="C179" s="7">
        <f>IFERROR(__xludf.DUMMYFUNCTION("GOOGLEFINANCE(A179,""marketcap"")"),7.2744261674E10)</f>
        <v>72744261674</v>
      </c>
      <c r="D179" s="20" t="s">
        <v>6540</v>
      </c>
    </row>
    <row r="180" ht="21.0" customHeight="1">
      <c r="A180" s="19" t="s">
        <v>1373</v>
      </c>
      <c r="B180" s="44"/>
      <c r="C180" s="7">
        <f>IFERROR(__xludf.DUMMYFUNCTION("GOOGLEFINANCE(A180,""marketcap"")"),5.4601736028E10)</f>
        <v>54601736028</v>
      </c>
      <c r="D180" s="20" t="s">
        <v>6541</v>
      </c>
    </row>
    <row r="181" ht="21.0" customHeight="1">
      <c r="A181" s="19" t="s">
        <v>1540</v>
      </c>
      <c r="B181" s="20">
        <v>70.0</v>
      </c>
      <c r="C181" s="7">
        <f>IFERROR(__xludf.DUMMYFUNCTION("GOOGLEFINANCE(A181,""marketcap"")"),4.9091404223E10)</f>
        <v>49091404223</v>
      </c>
      <c r="D181" s="20" t="s">
        <v>6542</v>
      </c>
    </row>
    <row r="182" ht="21.0" customHeight="1">
      <c r="A182" s="19" t="s">
        <v>59</v>
      </c>
      <c r="B182" s="20">
        <v>85.0</v>
      </c>
      <c r="C182" s="7">
        <f>IFERROR(__xludf.DUMMYFUNCTION("GOOGLEFINANCE(A182,""marketcap"")"),5.760609235E10)</f>
        <v>57606092350</v>
      </c>
      <c r="D182" s="20" t="s">
        <v>6543</v>
      </c>
    </row>
    <row r="183" ht="21.0" customHeight="1">
      <c r="A183" s="19" t="s">
        <v>1468</v>
      </c>
      <c r="B183" s="20">
        <v>75.0</v>
      </c>
      <c r="C183" s="7">
        <f>IFERROR(__xludf.DUMMYFUNCTION("GOOGLEFINANCE(A183,""marketcap"")"),5.9800593828E10)</f>
        <v>59800593828</v>
      </c>
      <c r="D183" s="20" t="s">
        <v>6544</v>
      </c>
    </row>
    <row r="184" ht="21.0" customHeight="1">
      <c r="A184" s="19" t="s">
        <v>1526</v>
      </c>
      <c r="B184" s="20">
        <v>85.0</v>
      </c>
      <c r="C184" s="7">
        <f>IFERROR(__xludf.DUMMYFUNCTION("GOOGLEFINANCE(A184,""marketcap"")"),6.8633105002E10)</f>
        <v>68633105002</v>
      </c>
      <c r="D184" s="20" t="s">
        <v>6545</v>
      </c>
    </row>
    <row r="185" ht="21.0" customHeight="1">
      <c r="A185" s="19" t="s">
        <v>1091</v>
      </c>
      <c r="B185" s="20">
        <v>75.0</v>
      </c>
      <c r="C185" s="7">
        <f>IFERROR(__xludf.DUMMYFUNCTION("GOOGLEFINANCE(A185,""marketcap"")"),8.5123331118E10)</f>
        <v>85123331118</v>
      </c>
      <c r="D185" s="20" t="s">
        <v>6546</v>
      </c>
    </row>
    <row r="186" ht="21.0" customHeight="1">
      <c r="A186" s="19" t="s">
        <v>85</v>
      </c>
      <c r="B186" s="20">
        <v>80.0</v>
      </c>
      <c r="C186" s="7">
        <f>IFERROR(__xludf.DUMMYFUNCTION("GOOGLEFINANCE(A186,""marketcap"")"),1.2438060231E11)</f>
        <v>124380602310</v>
      </c>
      <c r="D186" s="20" t="s">
        <v>6547</v>
      </c>
    </row>
    <row r="187" ht="21.0" customHeight="1">
      <c r="A187" s="19" t="s">
        <v>165</v>
      </c>
      <c r="B187" s="20">
        <v>75.0</v>
      </c>
      <c r="C187" s="7">
        <f>IFERROR(__xludf.DUMMYFUNCTION("GOOGLEFINANCE(A187,""marketcap"")"),3.9224915866E10)</f>
        <v>39224915866</v>
      </c>
      <c r="D187" s="20" t="s">
        <v>6548</v>
      </c>
    </row>
    <row r="188" ht="21.0" customHeight="1">
      <c r="A188" s="19" t="s">
        <v>1041</v>
      </c>
      <c r="B188" s="20">
        <v>80.0</v>
      </c>
      <c r="C188" s="7">
        <f>IFERROR(__xludf.DUMMYFUNCTION("GOOGLEFINANCE(A188,""marketcap"")"),5.7738788372E10)</f>
        <v>57738788372</v>
      </c>
      <c r="D188" s="20" t="s">
        <v>6549</v>
      </c>
    </row>
    <row r="189" ht="21.0" customHeight="1">
      <c r="A189" s="19" t="s">
        <v>1061</v>
      </c>
      <c r="B189" s="20">
        <v>85.0</v>
      </c>
      <c r="C189" s="7">
        <f>IFERROR(__xludf.DUMMYFUNCTION("GOOGLEFINANCE(A189,""marketcap"")"),7.0820695776E10)</f>
        <v>70820695776</v>
      </c>
      <c r="D189" s="20" t="s">
        <v>6550</v>
      </c>
    </row>
    <row r="190" ht="21.0" customHeight="1">
      <c r="A190" s="19" t="s">
        <v>1524</v>
      </c>
      <c r="B190" s="44"/>
      <c r="C190" s="7">
        <f>IFERROR(__xludf.DUMMYFUNCTION("GOOGLEFINANCE(A190,""marketcap"")"),4.1864857732E10)</f>
        <v>41864857732</v>
      </c>
      <c r="D190" s="20" t="s">
        <v>6551</v>
      </c>
    </row>
    <row r="191" ht="21.0" customHeight="1">
      <c r="A191" s="19" t="s">
        <v>278</v>
      </c>
      <c r="B191" s="20">
        <v>70.0</v>
      </c>
      <c r="C191" s="7">
        <f>IFERROR(__xludf.DUMMYFUNCTION("GOOGLEFINANCE(A191,""marketcap"")"),5.16250014E10)</f>
        <v>51625001400</v>
      </c>
      <c r="D191" s="20" t="s">
        <v>6552</v>
      </c>
    </row>
    <row r="192" ht="21.0" customHeight="1">
      <c r="A192" s="19" t="s">
        <v>921</v>
      </c>
      <c r="B192" s="44"/>
      <c r="C192" s="7">
        <f>IFERROR(__xludf.DUMMYFUNCTION("GOOGLEFINANCE(A192,""marketcap"")"),5.3653595555E10)</f>
        <v>53653595555</v>
      </c>
      <c r="D192" s="20" t="s">
        <v>6553</v>
      </c>
    </row>
    <row r="193" ht="21.0" customHeight="1">
      <c r="A193" s="19" t="s">
        <v>1239</v>
      </c>
      <c r="B193" s="44"/>
      <c r="C193" s="7">
        <f>IFERROR(__xludf.DUMMYFUNCTION("GOOGLEFINANCE(A193,""marketcap"")"),2.552152602E10)</f>
        <v>25521526020</v>
      </c>
      <c r="D193" s="20" t="s">
        <v>6554</v>
      </c>
    </row>
    <row r="194" ht="21.0" customHeight="1">
      <c r="A194" s="19" t="s">
        <v>164</v>
      </c>
      <c r="B194" s="20">
        <v>70.0</v>
      </c>
      <c r="C194" s="7">
        <f>IFERROR(__xludf.DUMMYFUNCTION("GOOGLEFINANCE(A194,""marketcap"")"),3.2633050082E10)</f>
        <v>32633050082</v>
      </c>
      <c r="D194" s="20" t="s">
        <v>6555</v>
      </c>
    </row>
    <row r="195" ht="21.0" customHeight="1">
      <c r="A195" s="19" t="s">
        <v>1187</v>
      </c>
      <c r="B195" s="20">
        <v>85.0</v>
      </c>
      <c r="C195" s="7">
        <f>IFERROR(__xludf.DUMMYFUNCTION("GOOGLEFINANCE(A195,""marketcap"")"),2.3387756704E10)</f>
        <v>23387756704</v>
      </c>
      <c r="D195" s="20" t="s">
        <v>6556</v>
      </c>
    </row>
    <row r="196" ht="21.0" customHeight="1">
      <c r="A196" s="19" t="s">
        <v>1000</v>
      </c>
      <c r="B196" s="20">
        <v>85.0</v>
      </c>
      <c r="C196" s="7">
        <f>IFERROR(__xludf.DUMMYFUNCTION("GOOGLEFINANCE(A196,""marketcap"")"),8.3510863509E10)</f>
        <v>83510863509</v>
      </c>
      <c r="D196" s="20" t="s">
        <v>6557</v>
      </c>
    </row>
    <row r="197" ht="21.0" customHeight="1">
      <c r="A197" s="19" t="s">
        <v>1350</v>
      </c>
      <c r="B197" s="44"/>
      <c r="C197" s="7">
        <f>IFERROR(__xludf.DUMMYFUNCTION("GOOGLEFINANCE(A197,""marketcap"")"),6.0188892449E10)</f>
        <v>60188892449</v>
      </c>
      <c r="D197" s="20" t="s">
        <v>6558</v>
      </c>
    </row>
    <row r="198" ht="21.0" customHeight="1">
      <c r="A198" s="19" t="s">
        <v>1008</v>
      </c>
      <c r="B198" s="20">
        <v>70.0</v>
      </c>
      <c r="C198" s="7" t="str">
        <f>IFERROR(__xludf.DUMMYFUNCTION("GOOGLEFINANCE(A198,""marketcap"")"),"#N/A")</f>
        <v>#N/A</v>
      </c>
      <c r="D198" s="20" t="s">
        <v>6559</v>
      </c>
    </row>
    <row r="199" ht="21.0" customHeight="1">
      <c r="A199" s="19" t="s">
        <v>1617</v>
      </c>
      <c r="B199" s="20">
        <v>60.0</v>
      </c>
      <c r="C199" s="7">
        <f>IFERROR(__xludf.DUMMYFUNCTION("GOOGLEFINANCE(A199,""marketcap"")"),2.123905E10)</f>
        <v>21239050000</v>
      </c>
      <c r="D199" s="20" t="s">
        <v>6560</v>
      </c>
    </row>
    <row r="200" ht="21.0" customHeight="1">
      <c r="A200" s="19" t="s">
        <v>1500</v>
      </c>
      <c r="B200" s="20">
        <v>85.0</v>
      </c>
      <c r="C200" s="7">
        <f>IFERROR(__xludf.DUMMYFUNCTION("GOOGLEFINANCE(A200,""marketcap"")"),8.95724595E10)</f>
        <v>89572459500</v>
      </c>
      <c r="D200" s="20" t="s">
        <v>6561</v>
      </c>
    </row>
    <row r="201" ht="21.0" customHeight="1">
      <c r="A201" s="19" t="s">
        <v>245</v>
      </c>
      <c r="B201" s="20">
        <v>50.0</v>
      </c>
      <c r="C201" s="7">
        <f>IFERROR(__xludf.DUMMYFUNCTION("GOOGLEFINANCE(A201,""marketcap"")"),2.7950911456E11)</f>
        <v>279509114560</v>
      </c>
      <c r="D201" s="20" t="s">
        <v>6562</v>
      </c>
    </row>
    <row r="202" ht="21.0" customHeight="1">
      <c r="A202" s="19" t="s">
        <v>1135</v>
      </c>
      <c r="B202" s="20">
        <v>80.0</v>
      </c>
      <c r="C202" s="7">
        <f>IFERROR(__xludf.DUMMYFUNCTION("GOOGLEFINANCE(A202,""marketcap"")"),3.365426E10)</f>
        <v>33654260000</v>
      </c>
      <c r="D202" s="20" t="s">
        <v>6563</v>
      </c>
    </row>
    <row r="203" ht="21.0" customHeight="1">
      <c r="A203" s="19" t="s">
        <v>985</v>
      </c>
      <c r="B203" s="44"/>
      <c r="C203" s="7">
        <f>IFERROR(__xludf.DUMMYFUNCTION("GOOGLEFINANCE(A203,""marketcap"")"),6.988175291E10)</f>
        <v>69881752910</v>
      </c>
      <c r="D203" s="20" t="s">
        <v>6564</v>
      </c>
    </row>
    <row r="204" ht="21.0" customHeight="1">
      <c r="A204" s="19" t="s">
        <v>1472</v>
      </c>
      <c r="B204" s="44"/>
      <c r="C204" s="7">
        <f>IFERROR(__xludf.DUMMYFUNCTION("GOOGLEFINANCE(A204,""marketcap"")"),3.1186719275E10)</f>
        <v>31186719275</v>
      </c>
      <c r="D204" s="20" t="s">
        <v>6565</v>
      </c>
    </row>
    <row r="205" ht="21.0" customHeight="1">
      <c r="A205" s="19" t="s">
        <v>849</v>
      </c>
      <c r="B205" s="20">
        <v>70.0</v>
      </c>
      <c r="C205" s="7">
        <f>IFERROR(__xludf.DUMMYFUNCTION("GOOGLEFINANCE(A205,""marketcap"")"),5.8391467776E10)</f>
        <v>58391467776</v>
      </c>
      <c r="D205" s="20" t="s">
        <v>6566</v>
      </c>
    </row>
    <row r="206" ht="21.0" customHeight="1">
      <c r="A206" s="19" t="s">
        <v>1464</v>
      </c>
      <c r="B206" s="20">
        <v>85.0</v>
      </c>
      <c r="C206" s="7">
        <f>IFERROR(__xludf.DUMMYFUNCTION("GOOGLEFINANCE(A206,""marketcap"")"),3.9488519866E10)</f>
        <v>39488519866</v>
      </c>
      <c r="D206" s="20" t="s">
        <v>6567</v>
      </c>
    </row>
    <row r="207" ht="21.0" customHeight="1">
      <c r="A207" s="19" t="s">
        <v>542</v>
      </c>
      <c r="B207" s="20">
        <v>85.0</v>
      </c>
      <c r="C207" s="7">
        <f>IFERROR(__xludf.DUMMYFUNCTION("GOOGLEFINANCE(A207,""marketcap"")"),5.4869263263E10)</f>
        <v>54869263263</v>
      </c>
      <c r="D207" s="20" t="s">
        <v>6568</v>
      </c>
    </row>
    <row r="208" ht="21.0" customHeight="1">
      <c r="A208" s="19" t="s">
        <v>217</v>
      </c>
      <c r="B208" s="20">
        <v>75.0</v>
      </c>
      <c r="C208" s="7">
        <f>IFERROR(__xludf.DUMMYFUNCTION("GOOGLEFINANCE(A208,""marketcap"")"),5.4429494169E10)</f>
        <v>54429494169</v>
      </c>
      <c r="D208" s="20" t="s">
        <v>6569</v>
      </c>
    </row>
    <row r="209" ht="21.0" customHeight="1">
      <c r="A209" s="19" t="s">
        <v>49</v>
      </c>
      <c r="B209" s="20">
        <v>65.0</v>
      </c>
      <c r="C209" s="7">
        <f>IFERROR(__xludf.DUMMYFUNCTION("GOOGLEFINANCE(A209,""marketcap"")"),5.869981735E10)</f>
        <v>58699817350</v>
      </c>
      <c r="D209" s="20" t="s">
        <v>6570</v>
      </c>
    </row>
    <row r="210" ht="21.0" customHeight="1">
      <c r="A210" s="19" t="s">
        <v>1125</v>
      </c>
      <c r="B210" s="20">
        <v>80.0</v>
      </c>
      <c r="C210" s="7">
        <f>IFERROR(__xludf.DUMMYFUNCTION("GOOGLEFINANCE(A210,""marketcap"")"),2.2478642375E10)</f>
        <v>22478642375</v>
      </c>
      <c r="D210" s="20" t="s">
        <v>6571</v>
      </c>
    </row>
    <row r="211" ht="21.0" customHeight="1">
      <c r="A211" s="19" t="s">
        <v>1485</v>
      </c>
      <c r="B211" s="20">
        <v>80.0</v>
      </c>
      <c r="C211" s="7">
        <f>IFERROR(__xludf.DUMMYFUNCTION("GOOGLEFINANCE(A211,""marketcap"")"),4.1946951124E10)</f>
        <v>41946951124</v>
      </c>
      <c r="D211" s="20" t="s">
        <v>6572</v>
      </c>
    </row>
    <row r="212" ht="21.0" customHeight="1">
      <c r="A212" s="19" t="s">
        <v>1605</v>
      </c>
      <c r="B212" s="20">
        <v>75.0</v>
      </c>
      <c r="C212" s="7">
        <f>IFERROR(__xludf.DUMMYFUNCTION("GOOGLEFINANCE(A212,""marketcap"")"),3.4981069152E10)</f>
        <v>34981069152</v>
      </c>
      <c r="D212" s="20" t="s">
        <v>6573</v>
      </c>
    </row>
    <row r="213" ht="21.0" customHeight="1">
      <c r="A213" s="19" t="s">
        <v>805</v>
      </c>
      <c r="B213" s="20">
        <v>85.0</v>
      </c>
      <c r="C213" s="7">
        <f>IFERROR(__xludf.DUMMYFUNCTION("GOOGLEFINANCE(A213,""marketcap"")"),5.5821406564E10)</f>
        <v>55821406564</v>
      </c>
      <c r="D213" s="20" t="s">
        <v>6574</v>
      </c>
    </row>
    <row r="214" ht="21.0" customHeight="1">
      <c r="A214" s="19" t="s">
        <v>1098</v>
      </c>
      <c r="B214" s="44"/>
      <c r="C214" s="7">
        <f>IFERROR(__xludf.DUMMYFUNCTION("GOOGLEFINANCE(A214,""marketcap"")"),3.3012109014E10)</f>
        <v>33012109014</v>
      </c>
      <c r="D214" s="20" t="s">
        <v>6575</v>
      </c>
    </row>
    <row r="215" ht="21.0" customHeight="1">
      <c r="A215" s="19" t="s">
        <v>1089</v>
      </c>
      <c r="B215" s="20">
        <v>75.0</v>
      </c>
      <c r="C215" s="7">
        <f>IFERROR(__xludf.DUMMYFUNCTION("GOOGLEFINANCE(A215,""marketcap"")"),2.1672118702E10)</f>
        <v>21672118702</v>
      </c>
      <c r="D215" s="20" t="s">
        <v>5941</v>
      </c>
    </row>
    <row r="216" ht="21.0" customHeight="1">
      <c r="A216" s="19" t="s">
        <v>1569</v>
      </c>
      <c r="B216" s="44"/>
      <c r="C216" s="7">
        <f>IFERROR(__xludf.DUMMYFUNCTION("GOOGLEFINANCE(A216,""marketcap"")"),2.8407660457E10)</f>
        <v>28407660457</v>
      </c>
      <c r="D216" s="20" t="s">
        <v>6576</v>
      </c>
    </row>
    <row r="217" ht="21.0" customHeight="1">
      <c r="A217" s="19" t="s">
        <v>845</v>
      </c>
      <c r="B217" s="20">
        <v>85.0</v>
      </c>
      <c r="C217" s="7">
        <f>IFERROR(__xludf.DUMMYFUNCTION("GOOGLEFINANCE(A217,""marketcap"")"),4.4183150373E10)</f>
        <v>44183150373</v>
      </c>
      <c r="D217" s="20" t="s">
        <v>6577</v>
      </c>
    </row>
    <row r="218" ht="21.0" customHeight="1">
      <c r="A218" s="19" t="s">
        <v>1139</v>
      </c>
      <c r="B218" s="20">
        <v>85.0</v>
      </c>
      <c r="C218" s="7">
        <f>IFERROR(__xludf.DUMMYFUNCTION("GOOGLEFINANCE(A218,""marketcap"")"),2.8709631002E10)</f>
        <v>28709631002</v>
      </c>
      <c r="D218" s="20" t="s">
        <v>6578</v>
      </c>
    </row>
    <row r="219" ht="21.0" customHeight="1">
      <c r="A219" s="19" t="s">
        <v>868</v>
      </c>
      <c r="B219" s="20">
        <v>80.0</v>
      </c>
      <c r="C219" s="7">
        <f>IFERROR(__xludf.DUMMYFUNCTION("GOOGLEFINANCE(A219,""marketcap"")"),1.9045379745E10)</f>
        <v>19045379745</v>
      </c>
      <c r="D219" s="20" t="s">
        <v>6579</v>
      </c>
    </row>
    <row r="220" ht="21.0" customHeight="1">
      <c r="A220" s="19" t="s">
        <v>1102</v>
      </c>
      <c r="B220" s="44"/>
      <c r="C220" s="7">
        <f>IFERROR(__xludf.DUMMYFUNCTION("GOOGLEFINANCE(A220,""marketcap"")"),3.7716683697E10)</f>
        <v>37716683697</v>
      </c>
      <c r="D220" s="20" t="s">
        <v>6580</v>
      </c>
    </row>
    <row r="221" ht="21.0" customHeight="1">
      <c r="A221" s="19" t="s">
        <v>1094</v>
      </c>
      <c r="B221" s="20">
        <v>85.0</v>
      </c>
      <c r="C221" s="7">
        <f>IFERROR(__xludf.DUMMYFUNCTION("GOOGLEFINANCE(A221,""marketcap"")"),2.982670012E10)</f>
        <v>29826700120</v>
      </c>
      <c r="D221" s="20" t="s">
        <v>6581</v>
      </c>
    </row>
    <row r="222" ht="21.0" customHeight="1">
      <c r="A222" s="19" t="s">
        <v>1233</v>
      </c>
      <c r="B222" s="20">
        <v>75.0</v>
      </c>
      <c r="C222" s="7">
        <f>IFERROR(__xludf.DUMMYFUNCTION("GOOGLEFINANCE(A222,""marketcap"")"),4.1880625303E10)</f>
        <v>41880625303</v>
      </c>
      <c r="D222" s="20" t="s">
        <v>6582</v>
      </c>
    </row>
    <row r="223" ht="21.0" customHeight="1">
      <c r="A223" s="19" t="s">
        <v>277</v>
      </c>
      <c r="B223" s="20">
        <v>75.0</v>
      </c>
      <c r="C223" s="7">
        <f>IFERROR(__xludf.DUMMYFUNCTION("GOOGLEFINANCE(A223,""marketcap"")"),7.3817961656E10)</f>
        <v>73817961656</v>
      </c>
      <c r="D223" s="20" t="s">
        <v>6583</v>
      </c>
    </row>
    <row r="224" ht="21.0" customHeight="1">
      <c r="A224" s="19" t="s">
        <v>170</v>
      </c>
      <c r="B224" s="20">
        <v>80.0</v>
      </c>
      <c r="C224" s="7">
        <f>IFERROR(__xludf.DUMMYFUNCTION("GOOGLEFINANCE(A224,""marketcap"")"),1.5164223501E10)</f>
        <v>15164223501</v>
      </c>
      <c r="D224" s="20" t="s">
        <v>6584</v>
      </c>
    </row>
    <row r="225" ht="21.0" customHeight="1">
      <c r="A225" s="19" t="s">
        <v>359</v>
      </c>
      <c r="B225" s="20">
        <v>75.0</v>
      </c>
      <c r="C225" s="7">
        <f>IFERROR(__xludf.DUMMYFUNCTION("GOOGLEFINANCE(A225,""marketcap"")"),1.11794849E11)</f>
        <v>111794849000</v>
      </c>
      <c r="D225" s="20" t="s">
        <v>6585</v>
      </c>
    </row>
    <row r="226" ht="21.0" customHeight="1">
      <c r="A226" s="19" t="s">
        <v>1437</v>
      </c>
      <c r="B226" s="20">
        <v>50.0</v>
      </c>
      <c r="C226" s="7">
        <f>IFERROR(__xludf.DUMMYFUNCTION("GOOGLEFINANCE(A226,""marketcap"")"),2.6573734648E10)</f>
        <v>26573734648</v>
      </c>
      <c r="D226" s="20" t="s">
        <v>6586</v>
      </c>
    </row>
    <row r="227" ht="21.0" customHeight="1">
      <c r="A227" s="19" t="s">
        <v>837</v>
      </c>
      <c r="B227" s="20">
        <v>85.0</v>
      </c>
      <c r="C227" s="7">
        <f>IFERROR(__xludf.DUMMYFUNCTION("GOOGLEFINANCE(A227,""marketcap"")"),5.3266752561E10)</f>
        <v>53266752561</v>
      </c>
      <c r="D227" s="20" t="s">
        <v>6587</v>
      </c>
    </row>
    <row r="228" ht="21.0" customHeight="1">
      <c r="A228" s="19" t="s">
        <v>908</v>
      </c>
      <c r="B228" s="20">
        <v>80.0</v>
      </c>
      <c r="C228" s="7">
        <f>IFERROR(__xludf.DUMMYFUNCTION("GOOGLEFINANCE(A228,""marketcap"")"),4.2618574755E10)</f>
        <v>42618574755</v>
      </c>
      <c r="D228" s="20" t="s">
        <v>6588</v>
      </c>
    </row>
    <row r="229" ht="21.0" customHeight="1">
      <c r="A229" s="19" t="s">
        <v>609</v>
      </c>
      <c r="B229" s="20">
        <v>65.0</v>
      </c>
      <c r="C229" s="7">
        <f>IFERROR(__xludf.DUMMYFUNCTION("GOOGLEFINANCE(A229,""marketcap"")"),3.5389739007E10)</f>
        <v>35389739007</v>
      </c>
      <c r="D229" s="20" t="s">
        <v>6589</v>
      </c>
    </row>
    <row r="230" ht="21.0" customHeight="1">
      <c r="A230" s="19" t="s">
        <v>1143</v>
      </c>
      <c r="B230" s="44"/>
      <c r="C230" s="7">
        <f>IFERROR(__xludf.DUMMYFUNCTION("GOOGLEFINANCE(A230,""marketcap"")"),5.1809849E10)</f>
        <v>51809849000</v>
      </c>
      <c r="D230" s="20" t="s">
        <v>6590</v>
      </c>
    </row>
    <row r="231" ht="21.0" customHeight="1">
      <c r="A231" s="19" t="s">
        <v>1231</v>
      </c>
      <c r="B231" s="20">
        <v>75.0</v>
      </c>
      <c r="C231" s="7">
        <f>IFERROR(__xludf.DUMMYFUNCTION("GOOGLEFINANCE(A231,""marketcap"")"),3.2674478702E10)</f>
        <v>32674478702</v>
      </c>
      <c r="D231" s="20" t="s">
        <v>6591</v>
      </c>
    </row>
    <row r="232" ht="21.0" customHeight="1">
      <c r="A232" s="19" t="s">
        <v>1522</v>
      </c>
      <c r="B232" s="20">
        <v>75.0</v>
      </c>
      <c r="C232" s="7">
        <f>IFERROR(__xludf.DUMMYFUNCTION("GOOGLEFINANCE(A232,""marketcap"")"),5.4261364763E10)</f>
        <v>54261364763</v>
      </c>
      <c r="D232" s="20" t="s">
        <v>6592</v>
      </c>
    </row>
    <row r="233" ht="21.0" customHeight="1">
      <c r="A233" s="19" t="s">
        <v>1121</v>
      </c>
      <c r="B233" s="20">
        <v>50.0</v>
      </c>
      <c r="C233" s="7">
        <f>IFERROR(__xludf.DUMMYFUNCTION("GOOGLEFINANCE(A233,""marketcap"")"),1.8508067646E10)</f>
        <v>18508067646</v>
      </c>
      <c r="D233" s="20" t="s">
        <v>6096</v>
      </c>
    </row>
    <row r="234" ht="21.0" customHeight="1">
      <c r="A234" s="19" t="s">
        <v>1474</v>
      </c>
      <c r="B234" s="20">
        <v>85.0</v>
      </c>
      <c r="C234" s="7">
        <f>IFERROR(__xludf.DUMMYFUNCTION("GOOGLEFINANCE(A234,""marketcap"")"),3.2772736166E10)</f>
        <v>32772736166</v>
      </c>
      <c r="D234" s="20" t="s">
        <v>6593</v>
      </c>
    </row>
    <row r="235" ht="21.0" customHeight="1">
      <c r="A235" s="19" t="s">
        <v>169</v>
      </c>
      <c r="B235" s="20">
        <v>75.0</v>
      </c>
      <c r="C235" s="7">
        <f>IFERROR(__xludf.DUMMYFUNCTION("GOOGLEFINANCE(A235,""marketcap"")"),4.0209455446E10)</f>
        <v>40209455446</v>
      </c>
      <c r="D235" s="20" t="s">
        <v>6594</v>
      </c>
    </row>
    <row r="236" ht="21.0" customHeight="1">
      <c r="A236" s="19" t="s">
        <v>1010</v>
      </c>
      <c r="B236" s="20">
        <v>85.0</v>
      </c>
      <c r="C236" s="7">
        <f>IFERROR(__xludf.DUMMYFUNCTION("GOOGLEFINANCE(A236,""marketcap"")"),2.251872E10)</f>
        <v>22518720000</v>
      </c>
      <c r="D236" s="20" t="s">
        <v>6595</v>
      </c>
    </row>
    <row r="237" ht="21.0" customHeight="1">
      <c r="A237" s="19" t="s">
        <v>143</v>
      </c>
      <c r="B237" s="44"/>
      <c r="C237" s="7">
        <f>IFERROR(__xludf.DUMMYFUNCTION("GOOGLEFINANCE(A237,""marketcap"")"),9.3770423265E10)</f>
        <v>93770423265</v>
      </c>
      <c r="D237" s="20" t="s">
        <v>6596</v>
      </c>
    </row>
    <row r="238" ht="21.0" customHeight="1">
      <c r="A238" s="19" t="s">
        <v>51</v>
      </c>
      <c r="B238" s="20">
        <v>85.0</v>
      </c>
      <c r="C238" s="7">
        <f>IFERROR(__xludf.DUMMYFUNCTION("GOOGLEFINANCE(A238,""marketcap"")"),2.7632879667E10)</f>
        <v>27632879667</v>
      </c>
      <c r="D238" s="20" t="s">
        <v>6597</v>
      </c>
    </row>
    <row r="239" ht="21.0" customHeight="1">
      <c r="A239" s="19" t="s">
        <v>1189</v>
      </c>
      <c r="B239" s="44"/>
      <c r="C239" s="7">
        <f>IFERROR(__xludf.DUMMYFUNCTION("GOOGLEFINANCE(A239,""marketcap"")"),5.0160852238E10)</f>
        <v>50160852238</v>
      </c>
      <c r="D239" s="20" t="s">
        <v>6598</v>
      </c>
    </row>
    <row r="240" ht="21.0" customHeight="1">
      <c r="A240" s="19" t="s">
        <v>1315</v>
      </c>
      <c r="B240" s="20">
        <v>80.0</v>
      </c>
      <c r="C240" s="7">
        <f>IFERROR(__xludf.DUMMYFUNCTION("GOOGLEFINANCE(A240,""marketcap"")"),5.0708703847E10)</f>
        <v>50708703847</v>
      </c>
      <c r="D240" s="20" t="s">
        <v>6599</v>
      </c>
    </row>
    <row r="241" ht="21.0" customHeight="1">
      <c r="A241" s="19" t="s">
        <v>1596</v>
      </c>
      <c r="B241" s="44"/>
      <c r="C241" s="7">
        <f>IFERROR(__xludf.DUMMYFUNCTION("GOOGLEFINANCE(A241,""marketcap"")"),4.124635E10)</f>
        <v>41246350000</v>
      </c>
      <c r="D241" s="20" t="s">
        <v>6600</v>
      </c>
    </row>
    <row r="242" ht="21.0" customHeight="1">
      <c r="A242" s="19" t="s">
        <v>787</v>
      </c>
      <c r="B242" s="20">
        <v>85.0</v>
      </c>
      <c r="C242" s="7">
        <f>IFERROR(__xludf.DUMMYFUNCTION("GOOGLEFINANCE(A242,""marketcap"")"),7.8649251512E10)</f>
        <v>78649251512</v>
      </c>
      <c r="D242" s="20" t="s">
        <v>6601</v>
      </c>
    </row>
    <row r="243" ht="21.0" customHeight="1">
      <c r="A243" s="19" t="s">
        <v>1601</v>
      </c>
      <c r="B243" s="20">
        <v>75.0</v>
      </c>
      <c r="C243" s="7">
        <f>IFERROR(__xludf.DUMMYFUNCTION("GOOGLEFINANCE(A243,""marketcap"")"),3.8435528213E10)</f>
        <v>38435528213</v>
      </c>
      <c r="D243" s="20" t="s">
        <v>6602</v>
      </c>
    </row>
    <row r="244" ht="21.0" customHeight="1">
      <c r="A244" s="19" t="s">
        <v>1115</v>
      </c>
      <c r="B244" s="20">
        <v>75.0</v>
      </c>
      <c r="C244" s="7">
        <f>IFERROR(__xludf.DUMMYFUNCTION("GOOGLEFINANCE(A244,""marketcap"")"),4.4929063123E10)</f>
        <v>44929063123</v>
      </c>
      <c r="D244" s="20" t="s">
        <v>6603</v>
      </c>
    </row>
    <row r="245" ht="21.0" customHeight="1">
      <c r="A245" s="19" t="s">
        <v>833</v>
      </c>
      <c r="B245" s="20">
        <v>75.0</v>
      </c>
      <c r="C245" s="7">
        <f>IFERROR(__xludf.DUMMYFUNCTION("GOOGLEFINANCE(A245,""marketcap"")"),3.4639548711E10)</f>
        <v>34639548711</v>
      </c>
      <c r="D245" s="20" t="s">
        <v>6604</v>
      </c>
    </row>
    <row r="246" ht="21.0" customHeight="1">
      <c r="A246" s="19" t="s">
        <v>95</v>
      </c>
      <c r="B246" s="44"/>
      <c r="C246" s="7">
        <f>IFERROR(__xludf.DUMMYFUNCTION("GOOGLEFINANCE(A246,""marketcap"")"),2.9643770175E10)</f>
        <v>29643770175</v>
      </c>
      <c r="D246" s="20" t="s">
        <v>6605</v>
      </c>
    </row>
    <row r="247" ht="21.0" customHeight="1">
      <c r="A247" s="19" t="s">
        <v>1425</v>
      </c>
      <c r="B247" s="44"/>
      <c r="C247" s="7">
        <f>IFERROR(__xludf.DUMMYFUNCTION("GOOGLEFINANCE(A247,""marketcap"")"),3.3771322732E10)</f>
        <v>33771322732</v>
      </c>
      <c r="D247" s="20" t="s">
        <v>6606</v>
      </c>
    </row>
    <row r="248" ht="21.0" customHeight="1">
      <c r="A248" s="19" t="s">
        <v>1100</v>
      </c>
      <c r="B248" s="44"/>
      <c r="C248" s="7">
        <f>IFERROR(__xludf.DUMMYFUNCTION("GOOGLEFINANCE(A248,""marketcap"")"),2.0741998815E10)</f>
        <v>20741998815</v>
      </c>
      <c r="D248" s="20" t="s">
        <v>6607</v>
      </c>
    </row>
    <row r="249" ht="21.0" customHeight="1">
      <c r="A249" s="19" t="s">
        <v>997</v>
      </c>
      <c r="B249" s="20">
        <v>75.0</v>
      </c>
      <c r="C249" s="7">
        <f>IFERROR(__xludf.DUMMYFUNCTION("GOOGLEFINANCE(A249,""marketcap"")"),2.8871976754E10)</f>
        <v>28871976754</v>
      </c>
      <c r="D249" s="20" t="s">
        <v>6608</v>
      </c>
    </row>
    <row r="250" ht="21.0" customHeight="1">
      <c r="A250" s="19" t="s">
        <v>1555</v>
      </c>
      <c r="B250" s="20">
        <v>75.0</v>
      </c>
      <c r="C250" s="7">
        <f>IFERROR(__xludf.DUMMYFUNCTION("GOOGLEFINANCE(A250,""marketcap"")"),1.08417070637E11)</f>
        <v>108417070637</v>
      </c>
      <c r="D250" s="20" t="s">
        <v>6609</v>
      </c>
    </row>
    <row r="251" ht="21.0" customHeight="1">
      <c r="A251" s="19" t="s">
        <v>1590</v>
      </c>
      <c r="B251" s="20">
        <v>85.0</v>
      </c>
      <c r="C251" s="7">
        <f>IFERROR(__xludf.DUMMYFUNCTION("GOOGLEFINANCE(A251,""marketcap"")"),5.028223E10)</f>
        <v>50282230000</v>
      </c>
      <c r="D251" s="20" t="s">
        <v>6610</v>
      </c>
    </row>
    <row r="252" ht="21.0" customHeight="1">
      <c r="A252" s="19" t="s">
        <v>127</v>
      </c>
      <c r="B252" s="44"/>
      <c r="C252" s="7">
        <f>IFERROR(__xludf.DUMMYFUNCTION("GOOGLEFINANCE(A252,""marketcap"")"),5.3083818851E10)</f>
        <v>53083818851</v>
      </c>
      <c r="D252" s="20" t="s">
        <v>6611</v>
      </c>
    </row>
    <row r="253" ht="21.0" customHeight="1">
      <c r="A253" s="19" t="s">
        <v>974</v>
      </c>
      <c r="B253" s="20">
        <v>80.0</v>
      </c>
      <c r="C253" s="7">
        <f>IFERROR(__xludf.DUMMYFUNCTION("GOOGLEFINANCE(A253,""marketcap"")"),3.5449892831E10)</f>
        <v>35449892831</v>
      </c>
      <c r="D253" s="20" t="s">
        <v>6612</v>
      </c>
    </row>
    <row r="254" ht="21.0" customHeight="1">
      <c r="A254" s="19" t="s">
        <v>1096</v>
      </c>
      <c r="B254" s="20">
        <v>80.0</v>
      </c>
      <c r="C254" s="7">
        <f>IFERROR(__xludf.DUMMYFUNCTION("GOOGLEFINANCE(A254,""marketcap"")"),1.0621916939E10)</f>
        <v>10621916939</v>
      </c>
      <c r="D254" s="20" t="s">
        <v>6613</v>
      </c>
    </row>
    <row r="255" ht="21.0" customHeight="1">
      <c r="A255" s="19" t="s">
        <v>167</v>
      </c>
      <c r="B255" s="20">
        <v>75.0</v>
      </c>
      <c r="C255" s="7">
        <f>IFERROR(__xludf.DUMMYFUNCTION("GOOGLEFINANCE(A255,""marketcap"")"),3.5192672718E10)</f>
        <v>35192672718</v>
      </c>
      <c r="D255" s="20" t="s">
        <v>6614</v>
      </c>
    </row>
    <row r="256" ht="21.0" customHeight="1">
      <c r="A256" s="19" t="s">
        <v>859</v>
      </c>
      <c r="B256" s="44"/>
      <c r="C256" s="7">
        <f>IFERROR(__xludf.DUMMYFUNCTION("GOOGLEFINANCE(A256,""marketcap"")"),2.0397678223E10)</f>
        <v>20397678223</v>
      </c>
      <c r="D256" s="20" t="s">
        <v>6615</v>
      </c>
    </row>
    <row r="257" ht="21.0" customHeight="1">
      <c r="A257" s="19" t="s">
        <v>1641</v>
      </c>
      <c r="B257" s="20">
        <v>85.0</v>
      </c>
      <c r="C257" s="7">
        <f>IFERROR(__xludf.DUMMYFUNCTION("GOOGLEFINANCE(A257,""marketcap"")"),2.7032882552E10)</f>
        <v>27032882552</v>
      </c>
      <c r="D257" s="20" t="s">
        <v>6616</v>
      </c>
    </row>
    <row r="258" ht="21.0" customHeight="1">
      <c r="A258" s="19" t="s">
        <v>890</v>
      </c>
      <c r="B258" s="20">
        <v>75.0</v>
      </c>
      <c r="C258" s="7">
        <f>IFERROR(__xludf.DUMMYFUNCTION("GOOGLEFINANCE(A258,""marketcap"")"),2.8560396544E10)</f>
        <v>28560396544</v>
      </c>
      <c r="D258" s="20" t="s">
        <v>6617</v>
      </c>
    </row>
    <row r="259" ht="21.0" customHeight="1">
      <c r="A259" s="19" t="s">
        <v>1128</v>
      </c>
      <c r="B259" s="44"/>
      <c r="C259" s="7">
        <f>IFERROR(__xludf.DUMMYFUNCTION("GOOGLEFINANCE(A259,""marketcap"")"),2.4489570736E10)</f>
        <v>24489570736</v>
      </c>
      <c r="D259" s="20" t="s">
        <v>6618</v>
      </c>
    </row>
    <row r="260" ht="21.0" customHeight="1">
      <c r="A260" s="19" t="s">
        <v>1072</v>
      </c>
      <c r="B260" s="20">
        <v>75.0</v>
      </c>
      <c r="C260" s="7">
        <f>IFERROR(__xludf.DUMMYFUNCTION("GOOGLEFINANCE(A260,""marketcap"")"),3.6814032014E10)</f>
        <v>36814032014</v>
      </c>
      <c r="D260" s="20" t="s">
        <v>6619</v>
      </c>
    </row>
    <row r="261" ht="21.0" customHeight="1">
      <c r="A261" s="19" t="s">
        <v>1131</v>
      </c>
      <c r="B261" s="20">
        <v>70.0</v>
      </c>
      <c r="C261" s="7">
        <f>IFERROR(__xludf.DUMMYFUNCTION("GOOGLEFINANCE(A261,""marketcap"")"),4.8177393221E10)</f>
        <v>48177393221</v>
      </c>
      <c r="D261" s="20" t="s">
        <v>6620</v>
      </c>
    </row>
    <row r="262" ht="21.0" customHeight="1">
      <c r="A262" s="19" t="s">
        <v>991</v>
      </c>
      <c r="B262" s="20">
        <v>85.0</v>
      </c>
      <c r="C262" s="7">
        <f>IFERROR(__xludf.DUMMYFUNCTION("GOOGLEFINANCE(A262,""marketcap"")"),2.61129534E10)</f>
        <v>26112953400</v>
      </c>
      <c r="D262" s="20" t="s">
        <v>6621</v>
      </c>
    </row>
    <row r="263" ht="21.0" customHeight="1">
      <c r="A263" s="19" t="s">
        <v>1193</v>
      </c>
      <c r="B263" s="20">
        <v>80.0</v>
      </c>
      <c r="C263" s="7">
        <f>IFERROR(__xludf.DUMMYFUNCTION("GOOGLEFINANCE(A263,""marketcap"")"),3.9166856872E10)</f>
        <v>39166856872</v>
      </c>
      <c r="D263" s="20" t="s">
        <v>6622</v>
      </c>
    </row>
    <row r="264" ht="21.0" customHeight="1">
      <c r="A264" s="19" t="s">
        <v>1287</v>
      </c>
      <c r="B264" s="20">
        <v>85.0</v>
      </c>
      <c r="C264" s="7">
        <f>IFERROR(__xludf.DUMMYFUNCTION("GOOGLEFINANCE(A264,""marketcap"")"),1.60887595045E11)</f>
        <v>160887595045</v>
      </c>
      <c r="D264" s="20" t="s">
        <v>6623</v>
      </c>
    </row>
    <row r="265" ht="21.0" customHeight="1">
      <c r="A265" s="19" t="s">
        <v>1503</v>
      </c>
      <c r="B265" s="20">
        <v>85.0</v>
      </c>
      <c r="C265" s="7">
        <f>IFERROR(__xludf.DUMMYFUNCTION("GOOGLEFINANCE(A265,""marketcap"")"),6.3393191443E10)</f>
        <v>63393191443</v>
      </c>
      <c r="D265" s="20" t="s">
        <v>6624</v>
      </c>
    </row>
    <row r="266" ht="21.0" customHeight="1">
      <c r="A266" s="19" t="s">
        <v>66</v>
      </c>
      <c r="B266" s="44"/>
      <c r="C266" s="7">
        <f>IFERROR(__xludf.DUMMYFUNCTION("GOOGLEFINANCE(A266,""marketcap"")"),4.6302844351E10)</f>
        <v>46302844351</v>
      </c>
      <c r="D266" s="20" t="s">
        <v>6625</v>
      </c>
    </row>
    <row r="267" ht="21.0" customHeight="1">
      <c r="A267" s="19" t="s">
        <v>38</v>
      </c>
      <c r="B267" s="20">
        <v>85.0</v>
      </c>
      <c r="C267" s="7">
        <f>IFERROR(__xludf.DUMMYFUNCTION("GOOGLEFINANCE(A267,""marketcap"")"),3.0273687614E10)</f>
        <v>30273687614</v>
      </c>
      <c r="D267" s="20" t="s">
        <v>6626</v>
      </c>
    </row>
    <row r="268" ht="21.0" customHeight="1">
      <c r="A268" s="19" t="s">
        <v>1575</v>
      </c>
      <c r="B268" s="20">
        <v>85.0</v>
      </c>
      <c r="C268" s="7">
        <f>IFERROR(__xludf.DUMMYFUNCTION("GOOGLEFINANCE(A268,""marketcap"")"),2.3163030761E10)</f>
        <v>23163030761</v>
      </c>
      <c r="D268" s="20" t="s">
        <v>6627</v>
      </c>
    </row>
    <row r="269" ht="21.0" customHeight="1">
      <c r="A269" s="19" t="s">
        <v>780</v>
      </c>
      <c r="B269" s="20">
        <v>50.0</v>
      </c>
      <c r="C269" s="7">
        <f>IFERROR(__xludf.DUMMYFUNCTION("GOOGLEFINANCE(A269,""marketcap"")"),2.9991839791E10)</f>
        <v>29991839791</v>
      </c>
      <c r="D269" s="20" t="s">
        <v>6628</v>
      </c>
    </row>
    <row r="270" ht="21.0" customHeight="1">
      <c r="A270" s="19" t="s">
        <v>1329</v>
      </c>
      <c r="B270" s="20">
        <v>80.0</v>
      </c>
      <c r="C270" s="7">
        <f>IFERROR(__xludf.DUMMYFUNCTION("GOOGLEFINANCE(A270,""marketcap"")"),1.3381813198E10)</f>
        <v>13381813198</v>
      </c>
      <c r="D270" s="52" t="s">
        <v>6629</v>
      </c>
    </row>
    <row r="271" ht="21.0" customHeight="1">
      <c r="A271" s="19" t="s">
        <v>949</v>
      </c>
      <c r="B271" s="20">
        <v>80.0</v>
      </c>
      <c r="C271" s="7">
        <f>IFERROR(__xludf.DUMMYFUNCTION("GOOGLEFINANCE(A271,""marketcap"")"),3.0798E8)</f>
        <v>307980000</v>
      </c>
      <c r="D271" s="20" t="s">
        <v>6630</v>
      </c>
    </row>
    <row r="272" ht="21.0" customHeight="1">
      <c r="A272" s="19" t="s">
        <v>129</v>
      </c>
      <c r="B272" s="20">
        <v>85.0</v>
      </c>
      <c r="C272" s="7">
        <f>IFERROR(__xludf.DUMMYFUNCTION("GOOGLEFINANCE(A272,""marketcap"")"),4.0444398724E10)</f>
        <v>40444398724</v>
      </c>
      <c r="D272" s="20" t="s">
        <v>6631</v>
      </c>
    </row>
    <row r="273" ht="21.0" customHeight="1">
      <c r="A273" s="19" t="s">
        <v>906</v>
      </c>
      <c r="B273" s="20">
        <v>85.0</v>
      </c>
      <c r="C273" s="7">
        <f>IFERROR(__xludf.DUMMYFUNCTION("GOOGLEFINANCE(A273,""marketcap"")"),2.2768627519E10)</f>
        <v>22768627519</v>
      </c>
      <c r="D273" s="20" t="s">
        <v>6632</v>
      </c>
    </row>
    <row r="274" ht="21.0" customHeight="1">
      <c r="A274" s="19" t="s">
        <v>1638</v>
      </c>
      <c r="B274" s="20">
        <v>85.0</v>
      </c>
      <c r="C274" s="7">
        <f>IFERROR(__xludf.DUMMYFUNCTION("GOOGLEFINANCE(A274,""marketcap"")"),4.9560755223E10)</f>
        <v>49560755223</v>
      </c>
      <c r="D274" s="20" t="s">
        <v>6633</v>
      </c>
    </row>
    <row r="275" ht="21.0" customHeight="1">
      <c r="A275" s="19" t="s">
        <v>1250</v>
      </c>
      <c r="B275" s="20">
        <v>85.0</v>
      </c>
      <c r="C275" s="7">
        <f>IFERROR(__xludf.DUMMYFUNCTION("GOOGLEFINANCE(A275,""marketcap"")"),2.4432069136E10)</f>
        <v>24432069136</v>
      </c>
      <c r="D275" s="20" t="s">
        <v>6634</v>
      </c>
    </row>
    <row r="276" ht="21.0" customHeight="1">
      <c r="A276" s="19" t="s">
        <v>1551</v>
      </c>
      <c r="B276" s="44"/>
      <c r="C276" s="7">
        <f>IFERROR(__xludf.DUMMYFUNCTION("GOOGLEFINANCE(A276,""marketcap"")"),3.327389192E10)</f>
        <v>33273891920</v>
      </c>
      <c r="D276" s="20" t="s">
        <v>6635</v>
      </c>
    </row>
    <row r="277" ht="21.0" customHeight="1">
      <c r="A277" s="19" t="s">
        <v>1237</v>
      </c>
      <c r="B277" s="20">
        <v>85.0</v>
      </c>
      <c r="C277" s="7">
        <f>IFERROR(__xludf.DUMMYFUNCTION("GOOGLEFINANCE(A277,""marketcap"")"),3.7428743554E10)</f>
        <v>37428743554</v>
      </c>
      <c r="D277" s="20" t="s">
        <v>6636</v>
      </c>
    </row>
    <row r="278" ht="21.0" customHeight="1">
      <c r="A278" s="19" t="s">
        <v>1365</v>
      </c>
      <c r="B278" s="20">
        <v>85.0</v>
      </c>
      <c r="C278" s="7">
        <f>IFERROR(__xludf.DUMMYFUNCTION("GOOGLEFINANCE(A278,""marketcap"")"),1.3387278902E10)</f>
        <v>13387278902</v>
      </c>
      <c r="D278" s="20" t="s">
        <v>6637</v>
      </c>
    </row>
    <row r="279" ht="21.0" customHeight="1">
      <c r="A279" s="19" t="s">
        <v>982</v>
      </c>
      <c r="B279" s="20">
        <v>85.0</v>
      </c>
      <c r="C279" s="7">
        <f>IFERROR(__xludf.DUMMYFUNCTION("GOOGLEFINANCE(A279,""marketcap"")"),3.6190749387E10)</f>
        <v>36190749387</v>
      </c>
      <c r="D279" s="20" t="s">
        <v>6638</v>
      </c>
    </row>
    <row r="280" ht="21.0" customHeight="1">
      <c r="A280" s="19" t="s">
        <v>537</v>
      </c>
      <c r="B280" s="20">
        <v>85.0</v>
      </c>
      <c r="C280" s="7">
        <f>IFERROR(__xludf.DUMMYFUNCTION("GOOGLEFINANCE(A280,""marketcap"")"),3.1517534606E10)</f>
        <v>31517534606</v>
      </c>
      <c r="D280" s="20" t="s">
        <v>6639</v>
      </c>
    </row>
    <row r="281" ht="21.0" customHeight="1">
      <c r="A281" s="19" t="s">
        <v>902</v>
      </c>
      <c r="B281" s="20">
        <v>75.0</v>
      </c>
      <c r="C281" s="7">
        <f>IFERROR(__xludf.DUMMYFUNCTION("GOOGLEFINANCE(A281,""marketcap"")"),2.8342049818E10)</f>
        <v>28342049818</v>
      </c>
      <c r="D281" s="20" t="s">
        <v>6640</v>
      </c>
    </row>
    <row r="282" ht="21.0" customHeight="1">
      <c r="A282" s="19" t="s">
        <v>1624</v>
      </c>
      <c r="B282" s="44"/>
      <c r="C282" s="7">
        <f>IFERROR(__xludf.DUMMYFUNCTION("GOOGLEFINANCE(A282,""marketcap"")"),5.6319149597E10)</f>
        <v>56319149597</v>
      </c>
      <c r="D282" s="20" t="s">
        <v>6641</v>
      </c>
    </row>
    <row r="283" ht="21.0" customHeight="1">
      <c r="A283" s="19" t="s">
        <v>1402</v>
      </c>
      <c r="B283" s="20">
        <v>80.0</v>
      </c>
      <c r="C283" s="7">
        <f>IFERROR(__xludf.DUMMYFUNCTION("GOOGLEFINANCE(A283,""marketcap"")"),1.607438E10)</f>
        <v>16074380000</v>
      </c>
      <c r="D283" s="20" t="s">
        <v>6642</v>
      </c>
    </row>
    <row r="284" ht="21.0" customHeight="1">
      <c r="A284" s="19" t="s">
        <v>961</v>
      </c>
      <c r="B284" s="20">
        <v>80.0</v>
      </c>
      <c r="C284" s="7">
        <f>IFERROR(__xludf.DUMMYFUNCTION("GOOGLEFINANCE(A284,""marketcap"")"),5.0010488237E10)</f>
        <v>50010488237</v>
      </c>
      <c r="D284" s="20" t="s">
        <v>6643</v>
      </c>
    </row>
    <row r="285" ht="21.0" customHeight="1">
      <c r="A285" s="19" t="s">
        <v>1408</v>
      </c>
      <c r="B285" s="44"/>
      <c r="C285" s="7">
        <f>IFERROR(__xludf.DUMMYFUNCTION("GOOGLEFINANCE(A285,""marketcap"")"),5.05061121E10)</f>
        <v>50506112100</v>
      </c>
      <c r="D285" s="20" t="s">
        <v>6644</v>
      </c>
    </row>
    <row r="286" ht="21.0" customHeight="1">
      <c r="A286" s="19" t="s">
        <v>1119</v>
      </c>
      <c r="B286" s="20">
        <v>80.0</v>
      </c>
      <c r="C286" s="7">
        <f>IFERROR(__xludf.DUMMYFUNCTION("GOOGLEFINANCE(A286,""marketcap"")"),2.3634353007E10)</f>
        <v>23634353007</v>
      </c>
      <c r="D286" s="20" t="s">
        <v>6645</v>
      </c>
    </row>
    <row r="287" ht="21.0" customHeight="1">
      <c r="A287" s="19" t="s">
        <v>1632</v>
      </c>
      <c r="B287" s="44"/>
      <c r="C287" s="7">
        <f>IFERROR(__xludf.DUMMYFUNCTION("GOOGLEFINANCE(A287,""marketcap"")"),4.5084953933E10)</f>
        <v>45084953933</v>
      </c>
      <c r="D287" s="20" t="s">
        <v>6646</v>
      </c>
    </row>
    <row r="288" ht="21.0" customHeight="1">
      <c r="A288" s="19" t="s">
        <v>980</v>
      </c>
      <c r="B288" s="20">
        <v>75.0</v>
      </c>
      <c r="C288" s="7">
        <f>IFERROR(__xludf.DUMMYFUNCTION("GOOGLEFINANCE(A288,""marketcap"")"),2.093650031E10)</f>
        <v>20936500310</v>
      </c>
      <c r="D288" s="20" t="s">
        <v>6647</v>
      </c>
    </row>
    <row r="289" ht="21.0" customHeight="1">
      <c r="A289" s="19" t="s">
        <v>1439</v>
      </c>
      <c r="B289" s="20">
        <v>75.0</v>
      </c>
      <c r="C289" s="7">
        <f>IFERROR(__xludf.DUMMYFUNCTION("GOOGLEFINANCE(A289,""marketcap"")"),2.653153823E10)</f>
        <v>26531538230</v>
      </c>
      <c r="D289" s="20" t="s">
        <v>6648</v>
      </c>
    </row>
    <row r="290" ht="21.0" customHeight="1">
      <c r="A290" s="19" t="s">
        <v>1059</v>
      </c>
      <c r="B290" s="20">
        <v>85.0</v>
      </c>
      <c r="C290" s="7" t="str">
        <f>IFERROR(__xludf.DUMMYFUNCTION("GOOGLEFINANCE(A290,""marketcap"")"),"#N/A")</f>
        <v>#N/A</v>
      </c>
      <c r="D290" s="20" t="s">
        <v>6649</v>
      </c>
    </row>
    <row r="291" ht="21.0" customHeight="1">
      <c r="A291" s="19" t="s">
        <v>1069</v>
      </c>
      <c r="B291" s="20">
        <v>70.0</v>
      </c>
      <c r="C291" s="7">
        <f>IFERROR(__xludf.DUMMYFUNCTION("GOOGLEFINANCE(A291,""marketcap"")"),4.082193E10)</f>
        <v>40821930000</v>
      </c>
      <c r="D291" s="20" t="s">
        <v>6650</v>
      </c>
    </row>
    <row r="292" ht="21.0" customHeight="1">
      <c r="A292" s="19" t="s">
        <v>1375</v>
      </c>
      <c r="B292" s="44"/>
      <c r="C292" s="7">
        <f>IFERROR(__xludf.DUMMYFUNCTION("GOOGLEFINANCE(A292,""marketcap"")"),2.4949437728E10)</f>
        <v>24949437728</v>
      </c>
      <c r="D292" s="20" t="s">
        <v>6651</v>
      </c>
    </row>
    <row r="293" ht="21.0" customHeight="1">
      <c r="A293" s="19" t="s">
        <v>839</v>
      </c>
      <c r="B293" s="20">
        <v>60.0</v>
      </c>
      <c r="C293" s="7">
        <f>IFERROR(__xludf.DUMMYFUNCTION("GOOGLEFINANCE(A293,""marketcap"")"),2.560758995E10)</f>
        <v>25607589950</v>
      </c>
      <c r="D293" s="20" t="s">
        <v>6652</v>
      </c>
    </row>
    <row r="294" ht="21.0" customHeight="1">
      <c r="A294" s="19" t="s">
        <v>1334</v>
      </c>
      <c r="B294" s="44"/>
      <c r="C294" s="7">
        <f>IFERROR(__xludf.DUMMYFUNCTION("GOOGLEFINANCE(A294,""marketcap"")"),4.7814361083E10)</f>
        <v>47814361083</v>
      </c>
      <c r="D294" s="20" t="s">
        <v>6653</v>
      </c>
    </row>
    <row r="295" ht="21.0" customHeight="1">
      <c r="A295" s="19" t="s">
        <v>945</v>
      </c>
      <c r="B295" s="20">
        <v>85.0</v>
      </c>
      <c r="C295" s="7">
        <f>IFERROR(__xludf.DUMMYFUNCTION("GOOGLEFINANCE(A295,""marketcap"")"),1.4254608698E10)</f>
        <v>14254608698</v>
      </c>
      <c r="D295" s="20" t="s">
        <v>6654</v>
      </c>
    </row>
    <row r="296" ht="21.0" customHeight="1">
      <c r="A296" s="19" t="s">
        <v>1169</v>
      </c>
      <c r="B296" s="20">
        <v>75.0</v>
      </c>
      <c r="C296" s="7">
        <f>IFERROR(__xludf.DUMMYFUNCTION("GOOGLEFINANCE(A296,""marketcap"")"),2.2140010562E10)</f>
        <v>22140010562</v>
      </c>
      <c r="D296" s="20" t="s">
        <v>6655</v>
      </c>
    </row>
    <row r="297" ht="21.0" customHeight="1">
      <c r="A297" s="19" t="s">
        <v>829</v>
      </c>
      <c r="B297" s="20">
        <v>70.0</v>
      </c>
      <c r="C297" s="7">
        <f>IFERROR(__xludf.DUMMYFUNCTION("GOOGLEFINANCE(A297,""marketcap"")"),5.3296646379E10)</f>
        <v>53296646379</v>
      </c>
      <c r="D297" s="20" t="s">
        <v>6656</v>
      </c>
    </row>
    <row r="298" ht="21.0" customHeight="1">
      <c r="A298" s="19" t="s">
        <v>1161</v>
      </c>
      <c r="B298" s="20">
        <v>85.0</v>
      </c>
      <c r="C298" s="7">
        <f>IFERROR(__xludf.DUMMYFUNCTION("GOOGLEFINANCE(A298,""marketcap"")"),4.2847838981E10)</f>
        <v>42847838981</v>
      </c>
      <c r="D298" s="20" t="s">
        <v>6657</v>
      </c>
    </row>
    <row r="299" ht="21.0" customHeight="1">
      <c r="A299" s="19" t="s">
        <v>876</v>
      </c>
      <c r="B299" s="20">
        <v>80.0</v>
      </c>
      <c r="C299" s="7">
        <f>IFERROR(__xludf.DUMMYFUNCTION("GOOGLEFINANCE(A299,""marketcap"")"),1.9133603568E10)</f>
        <v>19133603568</v>
      </c>
      <c r="D299" s="20" t="s">
        <v>6658</v>
      </c>
    </row>
    <row r="300" ht="21.0" customHeight="1">
      <c r="A300" s="19" t="s">
        <v>1553</v>
      </c>
      <c r="B300" s="20">
        <v>65.0</v>
      </c>
      <c r="C300" s="7">
        <f>IFERROR(__xludf.DUMMYFUNCTION("GOOGLEFINANCE(A300,""marketcap"")"),4.1596873406E10)</f>
        <v>41596873406</v>
      </c>
      <c r="D300" s="20" t="s">
        <v>6659</v>
      </c>
    </row>
    <row r="301" ht="21.0" customHeight="1">
      <c r="A301" s="19" t="s">
        <v>1025</v>
      </c>
      <c r="B301" s="20">
        <v>85.0</v>
      </c>
      <c r="C301" s="7">
        <f>IFERROR(__xludf.DUMMYFUNCTION("GOOGLEFINANCE(A301,""marketcap"")"),2.25687E10)</f>
        <v>22568700000</v>
      </c>
      <c r="D301" s="20" t="s">
        <v>6660</v>
      </c>
    </row>
    <row r="302" ht="21.0" customHeight="1">
      <c r="A302" s="19" t="s">
        <v>1221</v>
      </c>
      <c r="B302" s="20">
        <v>75.0</v>
      </c>
      <c r="C302" s="7">
        <f>IFERROR(__xludf.DUMMYFUNCTION("GOOGLEFINANCE(A302,""marketcap"")"),1.8422750323E10)</f>
        <v>18422750323</v>
      </c>
      <c r="D302" s="20" t="s">
        <v>6661</v>
      </c>
    </row>
    <row r="303" ht="21.0" customHeight="1">
      <c r="A303" s="19" t="s">
        <v>128</v>
      </c>
      <c r="B303" s="44"/>
      <c r="C303" s="7">
        <f>IFERROR(__xludf.DUMMYFUNCTION("GOOGLEFINANCE(A303,""marketcap"")"),1.8916325259E10)</f>
        <v>18916325259</v>
      </c>
      <c r="D303" s="20" t="s">
        <v>6662</v>
      </c>
    </row>
    <row r="304" ht="21.0" customHeight="1">
      <c r="A304" s="19" t="s">
        <v>1015</v>
      </c>
      <c r="B304" s="20">
        <v>75.0</v>
      </c>
      <c r="C304" s="7">
        <f>IFERROR(__xludf.DUMMYFUNCTION("GOOGLEFINANCE(A304,""marketcap"")"),3.6370521688E10)</f>
        <v>36370521688</v>
      </c>
      <c r="D304" s="20" t="s">
        <v>6663</v>
      </c>
    </row>
    <row r="305" ht="21.0" customHeight="1">
      <c r="A305" s="19" t="s">
        <v>1057</v>
      </c>
      <c r="B305" s="20">
        <v>80.0</v>
      </c>
      <c r="C305" s="7">
        <f>IFERROR(__xludf.DUMMYFUNCTION("GOOGLEFINANCE(A305,""marketcap"")"),2.441982712E10)</f>
        <v>24419827120</v>
      </c>
      <c r="D305" s="20" t="s">
        <v>6664</v>
      </c>
    </row>
    <row r="306" ht="21.0" customHeight="1">
      <c r="A306" s="19" t="s">
        <v>1177</v>
      </c>
      <c r="B306" s="20">
        <v>75.0</v>
      </c>
      <c r="C306" s="7">
        <f>IFERROR(__xludf.DUMMYFUNCTION("GOOGLEFINANCE(A306,""marketcap"")"),3.0076293746E10)</f>
        <v>30076293746</v>
      </c>
      <c r="D306" s="20" t="s">
        <v>6665</v>
      </c>
    </row>
    <row r="307" ht="21.0" customHeight="1">
      <c r="A307" s="19" t="s">
        <v>1423</v>
      </c>
      <c r="B307" s="20">
        <v>85.0</v>
      </c>
      <c r="C307" s="7">
        <f>IFERROR(__xludf.DUMMYFUNCTION("GOOGLEFINANCE(A307,""marketcap"")"),2.0692341349E10)</f>
        <v>20692341349</v>
      </c>
      <c r="D307" s="20" t="s">
        <v>6666</v>
      </c>
    </row>
    <row r="308" ht="21.0" customHeight="1">
      <c r="A308" s="19" t="s">
        <v>1431</v>
      </c>
      <c r="B308" s="20">
        <v>65.0</v>
      </c>
      <c r="C308" s="7">
        <f>IFERROR(__xludf.DUMMYFUNCTION("GOOGLEFINANCE(A308,""marketcap"")"),3.8333081258E10)</f>
        <v>38333081258</v>
      </c>
      <c r="D308" s="20" t="s">
        <v>6667</v>
      </c>
    </row>
    <row r="309" ht="21.0" customHeight="1">
      <c r="A309" s="19" t="s">
        <v>1418</v>
      </c>
      <c r="B309" s="44"/>
      <c r="C309" s="7">
        <f>IFERROR(__xludf.DUMMYFUNCTION("GOOGLEFINANCE(A309,""marketcap"")"),2.32849872E10)</f>
        <v>23284987200</v>
      </c>
      <c r="D309" s="20" t="s">
        <v>6668</v>
      </c>
    </row>
    <row r="310" ht="21.0" customHeight="1">
      <c r="A310" s="19" t="s">
        <v>995</v>
      </c>
      <c r="B310" s="20">
        <v>50.0</v>
      </c>
      <c r="C310" s="7">
        <f>IFERROR(__xludf.DUMMYFUNCTION("GOOGLEFINANCE(A310,""marketcap"")"),4.4708352887E10)</f>
        <v>44708352887</v>
      </c>
      <c r="D310" s="20" t="s">
        <v>6099</v>
      </c>
    </row>
    <row r="311" ht="21.0" customHeight="1">
      <c r="A311" s="19" t="s">
        <v>1204</v>
      </c>
      <c r="B311" s="20">
        <v>75.0</v>
      </c>
      <c r="C311" s="7">
        <f>IFERROR(__xludf.DUMMYFUNCTION("GOOGLEFINANCE(A311,""marketcap"")"),2.4555983561E10)</f>
        <v>24555983561</v>
      </c>
      <c r="D311" s="20" t="s">
        <v>6669</v>
      </c>
    </row>
    <row r="312" ht="21.0" customHeight="1">
      <c r="A312" s="19" t="s">
        <v>843</v>
      </c>
      <c r="B312" s="44"/>
      <c r="C312" s="7">
        <f>IFERROR(__xludf.DUMMYFUNCTION("GOOGLEFINANCE(A312,""marketcap"")"),2.1327833628E10)</f>
        <v>21327833628</v>
      </c>
      <c r="D312" s="20" t="s">
        <v>6670</v>
      </c>
    </row>
    <row r="313" ht="21.0" customHeight="1">
      <c r="A313" s="19" t="s">
        <v>1391</v>
      </c>
      <c r="B313" s="20">
        <v>75.0</v>
      </c>
      <c r="C313" s="7">
        <f>IFERROR(__xludf.DUMMYFUNCTION("GOOGLEFINANCE(A313,""marketcap"")"),1.835092128E10)</f>
        <v>18350921280</v>
      </c>
      <c r="D313" s="20" t="s">
        <v>6671</v>
      </c>
    </row>
    <row r="314" ht="21.0" customHeight="1">
      <c r="A314" s="19" t="s">
        <v>1271</v>
      </c>
      <c r="B314" s="44"/>
      <c r="C314" s="7">
        <f>IFERROR(__xludf.DUMMYFUNCTION("GOOGLEFINANCE(A314,""marketcap"")"),1.65447408E11)</f>
        <v>165447408000</v>
      </c>
      <c r="D314" s="20" t="s">
        <v>6672</v>
      </c>
    </row>
    <row r="315" ht="21.0" customHeight="1">
      <c r="A315" s="19" t="s">
        <v>823</v>
      </c>
      <c r="B315" s="20">
        <v>70.0</v>
      </c>
      <c r="C315" s="7">
        <f>IFERROR(__xludf.DUMMYFUNCTION("GOOGLEFINANCE(A315,""marketcap"")"),3.106684221E10)</f>
        <v>31066842210</v>
      </c>
      <c r="D315" s="20" t="s">
        <v>6673</v>
      </c>
    </row>
    <row r="316" ht="21.0" customHeight="1">
      <c r="A316" s="19" t="s">
        <v>1336</v>
      </c>
      <c r="B316" s="20">
        <v>75.0</v>
      </c>
      <c r="C316" s="7">
        <f>IFERROR(__xludf.DUMMYFUNCTION("GOOGLEFINANCE(A316,""marketcap"")"),2.9602615808E10)</f>
        <v>29602615808</v>
      </c>
      <c r="D316" s="20" t="s">
        <v>6674</v>
      </c>
    </row>
    <row r="317" ht="21.0" customHeight="1">
      <c r="A317" s="19" t="s">
        <v>1032</v>
      </c>
      <c r="B317" s="20">
        <v>75.0</v>
      </c>
      <c r="C317" s="7">
        <f>IFERROR(__xludf.DUMMYFUNCTION("GOOGLEFINANCE(A317,""marketcap"")"),4.301189374E10)</f>
        <v>43011893740</v>
      </c>
      <c r="D317" s="20" t="s">
        <v>6675</v>
      </c>
    </row>
    <row r="318" ht="21.0" customHeight="1">
      <c r="A318" s="19" t="s">
        <v>1268</v>
      </c>
      <c r="B318" s="20">
        <v>85.0</v>
      </c>
      <c r="C318" s="7">
        <f>IFERROR(__xludf.DUMMYFUNCTION("GOOGLEFINANCE(A318,""marketcap"")"),6.1792348656E10)</f>
        <v>61792348656</v>
      </c>
      <c r="D318" s="20" t="s">
        <v>6676</v>
      </c>
    </row>
    <row r="319" ht="21.0" customHeight="1">
      <c r="A319" s="19" t="s">
        <v>933</v>
      </c>
      <c r="B319" s="44"/>
      <c r="C319" s="7">
        <f>IFERROR(__xludf.DUMMYFUNCTION("GOOGLEFINANCE(A319,""marketcap"")"),1.6125752909E10)</f>
        <v>16125752909</v>
      </c>
      <c r="D319" s="20" t="s">
        <v>6677</v>
      </c>
    </row>
    <row r="320" ht="21.0" customHeight="1">
      <c r="A320" s="19" t="s">
        <v>1505</v>
      </c>
      <c r="B320" s="20">
        <v>75.0</v>
      </c>
      <c r="C320" s="7">
        <f>IFERROR(__xludf.DUMMYFUNCTION("GOOGLEFINANCE(A320,""marketcap"")"),1.729091585E10)</f>
        <v>17290915850</v>
      </c>
      <c r="D320" s="20" t="s">
        <v>6678</v>
      </c>
    </row>
    <row r="321" ht="21.0" customHeight="1">
      <c r="A321" s="19" t="s">
        <v>142</v>
      </c>
      <c r="B321" s="20">
        <v>85.0</v>
      </c>
      <c r="C321" s="7">
        <f>IFERROR(__xludf.DUMMYFUNCTION("GOOGLEFINANCE(A321,""marketcap"")"),2.2391665146E10)</f>
        <v>22391665146</v>
      </c>
      <c r="D321" s="20" t="s">
        <v>6679</v>
      </c>
    </row>
    <row r="322" ht="21.0" customHeight="1">
      <c r="A322" s="19" t="s">
        <v>1163</v>
      </c>
      <c r="B322" s="20">
        <v>75.0</v>
      </c>
      <c r="C322" s="7">
        <f>IFERROR(__xludf.DUMMYFUNCTION("GOOGLEFINANCE(A322,""marketcap"")"),1.5927767979E10)</f>
        <v>15927767979</v>
      </c>
      <c r="D322" s="20" t="s">
        <v>6680</v>
      </c>
    </row>
    <row r="323" ht="21.0" customHeight="1">
      <c r="A323" s="19" t="s">
        <v>1533</v>
      </c>
      <c r="B323" s="20">
        <v>75.0</v>
      </c>
      <c r="C323" s="7">
        <f>IFERROR(__xludf.DUMMYFUNCTION("GOOGLEFINANCE(A323,""marketcap"")"),5.1095586335E10)</f>
        <v>51095586335</v>
      </c>
      <c r="D323" s="20" t="s">
        <v>6681</v>
      </c>
    </row>
    <row r="324" ht="21.0" customHeight="1">
      <c r="A324" s="19" t="s">
        <v>1191</v>
      </c>
      <c r="B324" s="20">
        <v>75.0</v>
      </c>
      <c r="C324" s="7">
        <f>IFERROR(__xludf.DUMMYFUNCTION("GOOGLEFINANCE(A324,""marketcap"")"),2.9248780249E10)</f>
        <v>29248780249</v>
      </c>
      <c r="D324" s="20" t="s">
        <v>6682</v>
      </c>
    </row>
    <row r="325" ht="21.0" customHeight="1">
      <c r="A325" s="19" t="s">
        <v>1235</v>
      </c>
      <c r="B325" s="44"/>
      <c r="C325" s="7">
        <f>IFERROR(__xludf.DUMMYFUNCTION("GOOGLEFINANCE(A325,""marketcap"")"),2.3025460222E10)</f>
        <v>23025460222</v>
      </c>
      <c r="D325" s="20" t="s">
        <v>6683</v>
      </c>
    </row>
    <row r="326" ht="21.0" customHeight="1">
      <c r="A326" s="19" t="s">
        <v>1179</v>
      </c>
      <c r="B326" s="44"/>
      <c r="C326" s="7">
        <f>IFERROR(__xludf.DUMMYFUNCTION("GOOGLEFINANCE(A326,""marketcap"")"),2.5917186469E10)</f>
        <v>25917186469</v>
      </c>
      <c r="D326" s="20" t="s">
        <v>6684</v>
      </c>
    </row>
    <row r="327" ht="21.0" customHeight="1">
      <c r="A327" s="19" t="s">
        <v>870</v>
      </c>
      <c r="B327" s="20">
        <v>85.0</v>
      </c>
      <c r="C327" s="7">
        <f>IFERROR(__xludf.DUMMYFUNCTION("GOOGLEFINANCE(A327,""marketcap"")"),4.137390035E10)</f>
        <v>41373900350</v>
      </c>
      <c r="D327" s="20" t="s">
        <v>6685</v>
      </c>
    </row>
    <row r="328" ht="21.0" customHeight="1">
      <c r="A328" s="19" t="s">
        <v>881</v>
      </c>
      <c r="B328" s="20">
        <v>80.0</v>
      </c>
      <c r="C328" s="7">
        <f>IFERROR(__xludf.DUMMYFUNCTION("GOOGLEFINANCE(A328,""marketcap"")"),2.0345660525E10)</f>
        <v>20345660525</v>
      </c>
      <c r="D328" s="20" t="s">
        <v>6686</v>
      </c>
    </row>
    <row r="329" ht="21.0" customHeight="1">
      <c r="A329" s="19" t="s">
        <v>1543</v>
      </c>
      <c r="B329" s="20">
        <v>75.0</v>
      </c>
      <c r="C329" s="7">
        <f>IFERROR(__xludf.DUMMYFUNCTION("GOOGLEFINANCE(A329,""marketcap"")"),2.5641856155E10)</f>
        <v>25641856155</v>
      </c>
      <c r="D329" s="20" t="s">
        <v>6687</v>
      </c>
    </row>
    <row r="330" ht="21.0" customHeight="1">
      <c r="A330" s="19" t="s">
        <v>1490</v>
      </c>
      <c r="B330" s="20">
        <v>85.0</v>
      </c>
      <c r="C330" s="7">
        <f>IFERROR(__xludf.DUMMYFUNCTION("GOOGLEFINANCE(A330,""marketcap"")"),1.2261291479E10)</f>
        <v>12261291479</v>
      </c>
      <c r="D330" s="20" t="s">
        <v>6688</v>
      </c>
    </row>
    <row r="331" ht="21.0" customHeight="1">
      <c r="A331" s="19" t="s">
        <v>1558</v>
      </c>
      <c r="B331" s="44"/>
      <c r="C331" s="7">
        <f>IFERROR(__xludf.DUMMYFUNCTION("GOOGLEFINANCE(A331,""marketcap"")"),1.7066817769E10)</f>
        <v>17066817769</v>
      </c>
      <c r="D331" s="20" t="s">
        <v>6689</v>
      </c>
    </row>
    <row r="332" ht="21.0" customHeight="1">
      <c r="A332" s="19" t="s">
        <v>1412</v>
      </c>
      <c r="B332" s="20">
        <v>85.0</v>
      </c>
      <c r="C332" s="7">
        <f>IFERROR(__xludf.DUMMYFUNCTION("GOOGLEFINANCE(A332,""marketcap"")"),1.6966142285E10)</f>
        <v>16966142285</v>
      </c>
      <c r="D332" s="20" t="s">
        <v>6690</v>
      </c>
    </row>
    <row r="333" ht="21.0" customHeight="1">
      <c r="A333" s="19" t="s">
        <v>1229</v>
      </c>
      <c r="B333" s="20">
        <v>85.0</v>
      </c>
      <c r="C333" s="7">
        <f>IFERROR(__xludf.DUMMYFUNCTION("GOOGLEFINANCE(A333,""marketcap"")"),1.5580745301E10)</f>
        <v>15580745301</v>
      </c>
      <c r="D333" s="20" t="s">
        <v>6691</v>
      </c>
    </row>
    <row r="334" ht="21.0" customHeight="1">
      <c r="A334" s="19" t="s">
        <v>163</v>
      </c>
      <c r="B334" s="20">
        <v>75.0</v>
      </c>
      <c r="C334" s="7">
        <f>IFERROR(__xludf.DUMMYFUNCTION("GOOGLEFINANCE(A334,""marketcap"")"),3.7997329371E10)</f>
        <v>37997329371</v>
      </c>
      <c r="D334" s="20" t="s">
        <v>6692</v>
      </c>
    </row>
    <row r="335" ht="21.0" customHeight="1">
      <c r="A335" s="19" t="s">
        <v>1495</v>
      </c>
      <c r="B335" s="20">
        <v>75.0</v>
      </c>
      <c r="C335" s="7">
        <f>IFERROR(__xludf.DUMMYFUNCTION("GOOGLEFINANCE(A335,""marketcap"")"),3.252616E10)</f>
        <v>32526160000</v>
      </c>
      <c r="D335" s="20" t="s">
        <v>6693</v>
      </c>
    </row>
    <row r="336" ht="21.0" customHeight="1">
      <c r="A336" s="19" t="s">
        <v>1248</v>
      </c>
      <c r="B336" s="20">
        <v>75.0</v>
      </c>
      <c r="C336" s="7">
        <f>IFERROR(__xludf.DUMMYFUNCTION("GOOGLEFINANCE(A336,""marketcap"")"),2.7010245035E10)</f>
        <v>27010245035</v>
      </c>
      <c r="D336" s="20" t="s">
        <v>6694</v>
      </c>
    </row>
    <row r="337" ht="21.0" customHeight="1">
      <c r="A337" s="19" t="s">
        <v>1452</v>
      </c>
      <c r="B337" s="44"/>
      <c r="C337" s="7">
        <f>IFERROR(__xludf.DUMMYFUNCTION("GOOGLEFINANCE(A337,""marketcap"")"),1.2836553085E10)</f>
        <v>12836553085</v>
      </c>
      <c r="D337" s="20" t="s">
        <v>6695</v>
      </c>
    </row>
    <row r="338" ht="21.0" customHeight="1">
      <c r="A338" s="19" t="s">
        <v>1175</v>
      </c>
      <c r="B338" s="20">
        <v>80.0</v>
      </c>
      <c r="C338" s="7">
        <f>IFERROR(__xludf.DUMMYFUNCTION("GOOGLEFINANCE(A338,""marketcap"")"),1.693892E10)</f>
        <v>16938920000</v>
      </c>
      <c r="D338" s="20" t="s">
        <v>6696</v>
      </c>
    </row>
    <row r="339" ht="21.0" customHeight="1">
      <c r="A339" s="19" t="s">
        <v>423</v>
      </c>
      <c r="B339" s="20">
        <v>60.0</v>
      </c>
      <c r="C339" s="7">
        <f>IFERROR(__xludf.DUMMYFUNCTION("GOOGLEFINANCE(A339,""marketcap"")"),3.268481896E10)</f>
        <v>32684818960</v>
      </c>
      <c r="D339" s="20" t="s">
        <v>6697</v>
      </c>
    </row>
    <row r="340" ht="21.0" customHeight="1">
      <c r="A340" s="19" t="s">
        <v>1264</v>
      </c>
      <c r="B340" s="20">
        <v>80.0</v>
      </c>
      <c r="C340" s="7">
        <f>IFERROR(__xludf.DUMMYFUNCTION("GOOGLEFINANCE(A340,""marketcap"")"),2.4997471705E10)</f>
        <v>24997471705</v>
      </c>
      <c r="D340" s="20" t="s">
        <v>6698</v>
      </c>
    </row>
    <row r="341" ht="21.0" customHeight="1">
      <c r="A341" s="19" t="s">
        <v>1615</v>
      </c>
      <c r="B341" s="20">
        <v>85.0</v>
      </c>
      <c r="C341" s="7">
        <f>IFERROR(__xludf.DUMMYFUNCTION("GOOGLEFINANCE(A341,""marketcap"")"),2.3131788304E10)</f>
        <v>23131788304</v>
      </c>
      <c r="D341" s="20" t="s">
        <v>6699</v>
      </c>
    </row>
    <row r="342" ht="21.0" customHeight="1">
      <c r="A342" s="19" t="s">
        <v>1297</v>
      </c>
      <c r="B342" s="20">
        <v>70.0</v>
      </c>
      <c r="C342" s="7">
        <f>IFERROR(__xludf.DUMMYFUNCTION("GOOGLEFINANCE(A342,""marketcap"")"),3.7763789974E10)</f>
        <v>37763789974</v>
      </c>
      <c r="D342" s="20" t="s">
        <v>6700</v>
      </c>
    </row>
    <row r="343" ht="21.0" customHeight="1">
      <c r="A343" s="19" t="s">
        <v>835</v>
      </c>
      <c r="B343" s="44"/>
      <c r="C343" s="7">
        <f>IFERROR(__xludf.DUMMYFUNCTION("GOOGLEFINANCE(A343,""marketcap"")"),2.4451133769E10)</f>
        <v>24451133769</v>
      </c>
      <c r="D343" s="20" t="s">
        <v>6701</v>
      </c>
    </row>
    <row r="344" ht="21.0" customHeight="1">
      <c r="A344" s="19" t="s">
        <v>841</v>
      </c>
      <c r="B344" s="44"/>
      <c r="C344" s="7">
        <f>IFERROR(__xludf.DUMMYFUNCTION("GOOGLEFINANCE(A344,""marketcap"")"),1.3686710354E10)</f>
        <v>13686710354</v>
      </c>
      <c r="D344" s="20" t="s">
        <v>6702</v>
      </c>
    </row>
    <row r="345" ht="21.0" customHeight="1">
      <c r="A345" s="19" t="s">
        <v>1291</v>
      </c>
      <c r="B345" s="44"/>
      <c r="C345" s="7">
        <f>IFERROR(__xludf.DUMMYFUNCTION("GOOGLEFINANCE(A345,""marketcap"")"),6.796845849E10)</f>
        <v>67968458490</v>
      </c>
      <c r="D345" s="20" t="s">
        <v>6703</v>
      </c>
    </row>
    <row r="346" ht="21.0" customHeight="1">
      <c r="A346" s="19" t="s">
        <v>1285</v>
      </c>
      <c r="B346" s="20">
        <v>75.0</v>
      </c>
      <c r="C346" s="7">
        <f>IFERROR(__xludf.DUMMYFUNCTION("GOOGLEFINANCE(A346,""marketcap"")"),1.4412037807E10)</f>
        <v>14412037807</v>
      </c>
      <c r="D346" s="20" t="s">
        <v>6704</v>
      </c>
    </row>
    <row r="347" ht="21.0" customHeight="1">
      <c r="A347" s="19" t="s">
        <v>419</v>
      </c>
      <c r="B347" s="20">
        <v>85.0</v>
      </c>
      <c r="C347" s="7">
        <f>IFERROR(__xludf.DUMMYFUNCTION("GOOGLEFINANCE(A347,""marketcap"")"),8.061702151E9)</f>
        <v>8061702151</v>
      </c>
      <c r="D347" s="20" t="s">
        <v>6705</v>
      </c>
    </row>
    <row r="348" ht="21.0" customHeight="1">
      <c r="A348" s="19" t="s">
        <v>1023</v>
      </c>
      <c r="B348" s="44"/>
      <c r="C348" s="7">
        <f>IFERROR(__xludf.DUMMYFUNCTION("GOOGLEFINANCE(A348,""marketcap"")"),2.4078600566E10)</f>
        <v>24078600566</v>
      </c>
      <c r="D348" s="20" t="s">
        <v>6706</v>
      </c>
    </row>
    <row r="349" ht="21.0" customHeight="1">
      <c r="A349" s="19" t="s">
        <v>1167</v>
      </c>
      <c r="B349" s="20">
        <v>85.0</v>
      </c>
      <c r="C349" s="7">
        <f>IFERROR(__xludf.DUMMYFUNCTION("GOOGLEFINANCE(A349,""marketcap"")"),1.754906E11)</f>
        <v>175490600000</v>
      </c>
      <c r="D349" s="20" t="s">
        <v>6707</v>
      </c>
    </row>
    <row r="350" ht="21.0" customHeight="1">
      <c r="A350" s="19" t="s">
        <v>1323</v>
      </c>
      <c r="B350" s="20">
        <v>75.0</v>
      </c>
      <c r="C350" s="7">
        <f>IFERROR(__xludf.DUMMYFUNCTION("GOOGLEFINANCE(A350,""marketcap"")"),4.242316906E10)</f>
        <v>42423169060</v>
      </c>
      <c r="D350" s="20" t="s">
        <v>6708</v>
      </c>
    </row>
    <row r="351" ht="21.0" customHeight="1">
      <c r="A351" s="19" t="s">
        <v>1357</v>
      </c>
      <c r="B351" s="20">
        <v>75.0</v>
      </c>
      <c r="C351" s="7">
        <f>IFERROR(__xludf.DUMMYFUNCTION("GOOGLEFINANCE(A351,""marketcap"")"),3.390443E10)</f>
        <v>33904430000</v>
      </c>
      <c r="D351" s="20" t="s">
        <v>6709</v>
      </c>
    </row>
    <row r="352" ht="21.0" customHeight="1">
      <c r="A352" s="19" t="s">
        <v>1104</v>
      </c>
      <c r="B352" s="44"/>
      <c r="C352" s="7">
        <f>IFERROR(__xludf.DUMMYFUNCTION("GOOGLEFINANCE(A352,""marketcap"")"),2.6028798357E10)</f>
        <v>26028798357</v>
      </c>
      <c r="D352" s="20" t="s">
        <v>6710</v>
      </c>
    </row>
    <row r="353" ht="21.0" customHeight="1">
      <c r="A353" s="19" t="s">
        <v>166</v>
      </c>
      <c r="B353" s="44"/>
      <c r="C353" s="7">
        <f>IFERROR(__xludf.DUMMYFUNCTION("GOOGLEFINANCE(A353,""marketcap"")"),1.636593847E10)</f>
        <v>16365938470</v>
      </c>
      <c r="D353" s="20" t="s">
        <v>6711</v>
      </c>
    </row>
    <row r="354" ht="21.0" customHeight="1">
      <c r="A354" s="19" t="s">
        <v>1321</v>
      </c>
      <c r="B354" s="20">
        <v>85.0</v>
      </c>
      <c r="C354" s="7">
        <f>IFERROR(__xludf.DUMMYFUNCTION("GOOGLEFINANCE(A354,""marketcap"")"),1.2087709581E10)</f>
        <v>12087709581</v>
      </c>
      <c r="D354" s="20" t="s">
        <v>6712</v>
      </c>
    </row>
    <row r="355" ht="21.0" customHeight="1">
      <c r="A355" s="19" t="s">
        <v>1107</v>
      </c>
      <c r="B355" s="20">
        <v>75.0</v>
      </c>
      <c r="C355" s="7">
        <f>IFERROR(__xludf.DUMMYFUNCTION("GOOGLEFINANCE(A355,""marketcap"")"),3.2677337301E10)</f>
        <v>32677337301</v>
      </c>
      <c r="D355" s="20" t="s">
        <v>6713</v>
      </c>
    </row>
    <row r="356" ht="21.0" customHeight="1">
      <c r="A356" s="19" t="s">
        <v>1258</v>
      </c>
      <c r="B356" s="20">
        <v>75.0</v>
      </c>
      <c r="C356" s="7">
        <f>IFERROR(__xludf.DUMMYFUNCTION("GOOGLEFINANCE(A356,""marketcap"")"),2.7291952338E10)</f>
        <v>27291952338</v>
      </c>
      <c r="D356" s="20" t="s">
        <v>6714</v>
      </c>
    </row>
    <row r="357" ht="21.0" customHeight="1">
      <c r="A357" s="19" t="s">
        <v>951</v>
      </c>
      <c r="B357" s="20">
        <v>85.0</v>
      </c>
      <c r="C357" s="7">
        <f>IFERROR(__xludf.DUMMYFUNCTION("GOOGLEFINANCE(A357,""marketcap"")"),3.0179668915E10)</f>
        <v>30179668915</v>
      </c>
      <c r="D357" s="20" t="s">
        <v>6715</v>
      </c>
    </row>
    <row r="358" ht="21.0" customHeight="1">
      <c r="A358" s="19" t="s">
        <v>1427</v>
      </c>
      <c r="B358" s="20">
        <v>80.0</v>
      </c>
      <c r="C358" s="7">
        <f>IFERROR(__xludf.DUMMYFUNCTION("GOOGLEFINANCE(A358,""marketcap"")"),1.2515295201E10)</f>
        <v>12515295201</v>
      </c>
      <c r="D358" s="20" t="s">
        <v>6716</v>
      </c>
    </row>
    <row r="359" ht="21.0" customHeight="1">
      <c r="A359" s="19" t="s">
        <v>939</v>
      </c>
      <c r="B359" s="20">
        <v>80.0</v>
      </c>
      <c r="C359" s="7">
        <f>IFERROR(__xludf.DUMMYFUNCTION("GOOGLEFINANCE(A359,""marketcap"")"),1.1706858E10)</f>
        <v>11706858000</v>
      </c>
      <c r="D359" s="20" t="s">
        <v>6717</v>
      </c>
    </row>
    <row r="360" ht="21.0" customHeight="1">
      <c r="A360" s="19" t="s">
        <v>1147</v>
      </c>
      <c r="B360" s="20">
        <v>80.0</v>
      </c>
      <c r="C360" s="7">
        <f>IFERROR(__xludf.DUMMYFUNCTION("GOOGLEFINANCE(A360,""marketcap"")"),2.170924E10)</f>
        <v>21709240000</v>
      </c>
      <c r="D360" s="20" t="s">
        <v>6718</v>
      </c>
    </row>
    <row r="361" ht="21.0" customHeight="1">
      <c r="A361" s="19" t="s">
        <v>355</v>
      </c>
      <c r="B361" s="44"/>
      <c r="C361" s="7">
        <f>IFERROR(__xludf.DUMMYFUNCTION("GOOGLEFINANCE(A361,""marketcap"")"),2.8787995025E10)</f>
        <v>28787995025</v>
      </c>
      <c r="D361" s="20" t="s">
        <v>6719</v>
      </c>
    </row>
    <row r="362" ht="21.0" customHeight="1">
      <c r="A362" s="19" t="s">
        <v>1381</v>
      </c>
      <c r="B362" s="44"/>
      <c r="C362" s="7">
        <f>IFERROR(__xludf.DUMMYFUNCTION("GOOGLEFINANCE(A362,""marketcap"")"),1.2985700333E10)</f>
        <v>12985700333</v>
      </c>
      <c r="D362" s="20" t="s">
        <v>6720</v>
      </c>
    </row>
    <row r="363" ht="21.0" customHeight="1">
      <c r="A363" s="19" t="s">
        <v>972</v>
      </c>
      <c r="B363" s="20">
        <v>75.0</v>
      </c>
      <c r="C363" s="7">
        <f>IFERROR(__xludf.DUMMYFUNCTION("GOOGLEFINANCE(A363,""marketcap"")"),9.687474127E9)</f>
        <v>9687474127</v>
      </c>
      <c r="D363" s="20" t="s">
        <v>6721</v>
      </c>
    </row>
    <row r="364" ht="21.0" customHeight="1">
      <c r="A364" s="19" t="s">
        <v>1630</v>
      </c>
      <c r="B364" s="20">
        <v>75.0</v>
      </c>
      <c r="C364" s="7">
        <f>IFERROR(__xludf.DUMMYFUNCTION("GOOGLEFINANCE(A364,""marketcap"")"),2.2720244608E10)</f>
        <v>22720244608</v>
      </c>
      <c r="D364" s="20" t="s">
        <v>6722</v>
      </c>
    </row>
    <row r="365" ht="21.0" customHeight="1">
      <c r="A365" s="19" t="s">
        <v>1367</v>
      </c>
      <c r="B365" s="20">
        <v>85.0</v>
      </c>
      <c r="C365" s="7">
        <f>IFERROR(__xludf.DUMMYFUNCTION("GOOGLEFINANCE(A365,""marketcap"")"),3.6478093416E10)</f>
        <v>36478093416</v>
      </c>
      <c r="D365" s="20" t="s">
        <v>6723</v>
      </c>
    </row>
    <row r="366" ht="21.0" customHeight="1">
      <c r="A366" s="19" t="s">
        <v>1493</v>
      </c>
      <c r="B366" s="20">
        <v>85.0</v>
      </c>
      <c r="C366" s="7">
        <f>IFERROR(__xludf.DUMMYFUNCTION("GOOGLEFINANCE(A366,""marketcap"")"),1.2506938343E10)</f>
        <v>12506938343</v>
      </c>
      <c r="D366" s="20" t="s">
        <v>6724</v>
      </c>
    </row>
    <row r="367" ht="21.0" customHeight="1">
      <c r="A367" s="19" t="s">
        <v>1520</v>
      </c>
      <c r="B367" s="44"/>
      <c r="C367" s="7">
        <f>IFERROR(__xludf.DUMMYFUNCTION("GOOGLEFINANCE(A367,""marketcap"")"),2.2748746034E10)</f>
        <v>22748746034</v>
      </c>
      <c r="D367" s="20" t="s">
        <v>6725</v>
      </c>
    </row>
    <row r="368" ht="21.0" customHeight="1">
      <c r="A368" s="19" t="s">
        <v>1212</v>
      </c>
      <c r="B368" s="20">
        <v>75.0</v>
      </c>
      <c r="C368" s="7">
        <f>IFERROR(__xludf.DUMMYFUNCTION("GOOGLEFINANCE(A368,""marketcap"")"),2.498190205E10)</f>
        <v>24981902050</v>
      </c>
      <c r="D368" s="20" t="s">
        <v>6726</v>
      </c>
    </row>
    <row r="369" ht="21.0" customHeight="1">
      <c r="A369" s="19" t="s">
        <v>1338</v>
      </c>
      <c r="B369" s="20">
        <v>80.0</v>
      </c>
      <c r="C369" s="7">
        <f>IFERROR(__xludf.DUMMYFUNCTION("GOOGLEFINANCE(A369,""marketcap"")"),2.2430645083E10)</f>
        <v>22430645083</v>
      </c>
      <c r="D369" s="20" t="s">
        <v>6727</v>
      </c>
    </row>
    <row r="370" ht="21.0" customHeight="1">
      <c r="A370" s="19" t="s">
        <v>5717</v>
      </c>
      <c r="B370" s="20">
        <v>85.0</v>
      </c>
      <c r="C370" s="7">
        <f>IFERROR(__xludf.DUMMYFUNCTION("GOOGLEFINANCE(A370,""marketcap"")"),2.146643055E10)</f>
        <v>21466430550</v>
      </c>
      <c r="D370" s="20" t="s">
        <v>6728</v>
      </c>
    </row>
    <row r="371" ht="21.0" customHeight="1">
      <c r="A371" s="19" t="s">
        <v>1074</v>
      </c>
      <c r="B371" s="20">
        <v>70.0</v>
      </c>
      <c r="C371" s="7">
        <f>IFERROR(__xludf.DUMMYFUNCTION("GOOGLEFINANCE(A371,""marketcap"")"),2.622711E10)</f>
        <v>26227110000</v>
      </c>
      <c r="D371" s="20" t="s">
        <v>6729</v>
      </c>
    </row>
    <row r="372" ht="21.0" customHeight="1">
      <c r="A372" s="19" t="s">
        <v>911</v>
      </c>
      <c r="B372" s="44"/>
      <c r="C372" s="7">
        <f>IFERROR(__xludf.DUMMYFUNCTION("GOOGLEFINANCE(A372,""marketcap"")"),1.0759550073E10)</f>
        <v>10759550073</v>
      </c>
      <c r="D372" s="20" t="s">
        <v>6730</v>
      </c>
    </row>
    <row r="373" ht="21.0" customHeight="1">
      <c r="A373" s="19" t="s">
        <v>792</v>
      </c>
      <c r="B373" s="20">
        <v>75.0</v>
      </c>
      <c r="C373" s="7">
        <f>IFERROR(__xludf.DUMMYFUNCTION("GOOGLEFINANCE(A373,""marketcap"")"),2.1962577076E10)</f>
        <v>21962577076</v>
      </c>
      <c r="D373" s="20" t="s">
        <v>6731</v>
      </c>
    </row>
    <row r="374" ht="21.0" customHeight="1">
      <c r="A374" s="19" t="s">
        <v>1208</v>
      </c>
      <c r="B374" s="20">
        <v>75.0</v>
      </c>
      <c r="C374" s="7">
        <f>IFERROR(__xludf.DUMMYFUNCTION("GOOGLEFINANCE(A374,""marketcap"")"),3.5001753903E10)</f>
        <v>35001753903</v>
      </c>
      <c r="D374" s="20" t="s">
        <v>6732</v>
      </c>
    </row>
    <row r="375" ht="21.0" customHeight="1">
      <c r="A375" s="19" t="s">
        <v>1076</v>
      </c>
      <c r="B375" s="44"/>
      <c r="C375" s="7">
        <f>IFERROR(__xludf.DUMMYFUNCTION("GOOGLEFINANCE(A375,""marketcap"")"),3.4861507391E10)</f>
        <v>34861507391</v>
      </c>
      <c r="D375" s="20" t="s">
        <v>6733</v>
      </c>
    </row>
    <row r="376" ht="21.0" customHeight="1">
      <c r="A376" s="19" t="s">
        <v>1047</v>
      </c>
      <c r="B376" s="20">
        <v>65.0</v>
      </c>
      <c r="C376" s="7">
        <f>IFERROR(__xludf.DUMMYFUNCTION("GOOGLEFINANCE(A376,""marketcap"")"),2.247520256E10)</f>
        <v>22475202560</v>
      </c>
      <c r="D376" s="20" t="s">
        <v>6734</v>
      </c>
    </row>
    <row r="377" ht="21.0" customHeight="1">
      <c r="A377" s="19" t="s">
        <v>1157</v>
      </c>
      <c r="B377" s="20">
        <v>75.0</v>
      </c>
      <c r="C377" s="7">
        <f>IFERROR(__xludf.DUMMYFUNCTION("GOOGLEFINANCE(A377,""marketcap"")"),8.325128684E9)</f>
        <v>8325128684</v>
      </c>
      <c r="D377" s="20" t="s">
        <v>6735</v>
      </c>
    </row>
    <row r="378" ht="21.0" customHeight="1">
      <c r="A378" s="19" t="s">
        <v>1317</v>
      </c>
      <c r="B378" s="20">
        <v>85.0</v>
      </c>
      <c r="C378" s="7">
        <f>IFERROR(__xludf.DUMMYFUNCTION("GOOGLEFINANCE(A378,""marketcap"")"),2.0493657778E10)</f>
        <v>20493657778</v>
      </c>
      <c r="D378" s="20" t="s">
        <v>6736</v>
      </c>
    </row>
    <row r="379" ht="21.0" customHeight="1">
      <c r="A379" s="19" t="s">
        <v>61</v>
      </c>
      <c r="B379" s="20">
        <v>85.0</v>
      </c>
      <c r="C379" s="7">
        <f>IFERROR(__xludf.DUMMYFUNCTION("GOOGLEFINANCE(A379,""marketcap"")"),1.6968845325E10)</f>
        <v>16968845325</v>
      </c>
      <c r="D379" s="20" t="s">
        <v>6737</v>
      </c>
    </row>
    <row r="380" ht="21.0" customHeight="1">
      <c r="A380" s="19" t="s">
        <v>1562</v>
      </c>
      <c r="B380" s="20">
        <v>70.0</v>
      </c>
      <c r="C380" s="7">
        <f>IFERROR(__xludf.DUMMYFUNCTION("GOOGLEFINANCE(A380,""marketcap"")"),1.398430918E10)</f>
        <v>13984309180</v>
      </c>
      <c r="D380" s="20" t="s">
        <v>6738</v>
      </c>
    </row>
    <row r="381" ht="21.0" customHeight="1">
      <c r="A381" s="19" t="s">
        <v>486</v>
      </c>
      <c r="B381" s="20">
        <v>85.0</v>
      </c>
      <c r="C381" s="7">
        <f>IFERROR(__xludf.DUMMYFUNCTION("GOOGLEFINANCE(A381,""marketcap"")"),2.4602116222E10)</f>
        <v>24602116222</v>
      </c>
      <c r="D381" s="20" t="s">
        <v>6739</v>
      </c>
    </row>
    <row r="382" ht="21.0" customHeight="1">
      <c r="A382" s="19" t="s">
        <v>124</v>
      </c>
      <c r="B382" s="20">
        <v>75.0</v>
      </c>
      <c r="C382" s="7">
        <f>IFERROR(__xludf.DUMMYFUNCTION("GOOGLEFINANCE(A382,""marketcap"")"),3.232065132E10)</f>
        <v>32320651320</v>
      </c>
      <c r="D382" s="20" t="s">
        <v>6740</v>
      </c>
    </row>
    <row r="383" ht="21.0" customHeight="1">
      <c r="A383" s="19" t="s">
        <v>953</v>
      </c>
      <c r="B383" s="20">
        <v>85.0</v>
      </c>
      <c r="C383" s="7">
        <f>IFERROR(__xludf.DUMMYFUNCTION("GOOGLEFINANCE(A383,""marketcap"")"),3.019078341E10)</f>
        <v>30190783410</v>
      </c>
      <c r="D383" s="20" t="s">
        <v>6741</v>
      </c>
    </row>
    <row r="384" ht="21.0" customHeight="1">
      <c r="A384" s="19" t="s">
        <v>1262</v>
      </c>
      <c r="B384" s="20">
        <v>85.0</v>
      </c>
      <c r="C384" s="7">
        <f>IFERROR(__xludf.DUMMYFUNCTION("GOOGLEFINANCE(A384,""marketcap"")"),4.80404449E9)</f>
        <v>4804044490</v>
      </c>
      <c r="D384" s="20" t="s">
        <v>6742</v>
      </c>
    </row>
    <row r="385" ht="21.0" customHeight="1">
      <c r="A385" s="19" t="s">
        <v>1021</v>
      </c>
      <c r="B385" s="20">
        <v>80.0</v>
      </c>
      <c r="C385" s="7">
        <f>IFERROR(__xludf.DUMMYFUNCTION("GOOGLEFINANCE(A385,""marketcap"")"),1.7252434822E10)</f>
        <v>17252434822</v>
      </c>
      <c r="D385" s="20" t="s">
        <v>6743</v>
      </c>
    </row>
    <row r="386" ht="21.0" customHeight="1">
      <c r="A386" s="19" t="s">
        <v>1206</v>
      </c>
      <c r="B386" s="20">
        <v>80.0</v>
      </c>
      <c r="C386" s="7">
        <f>IFERROR(__xludf.DUMMYFUNCTION("GOOGLEFINANCE(A386,""marketcap"")"),1.6936473333E10)</f>
        <v>16936473333</v>
      </c>
      <c r="D386" s="20" t="s">
        <v>6744</v>
      </c>
    </row>
    <row r="387" ht="21.0" customHeight="1">
      <c r="A387" s="19" t="s">
        <v>1389</v>
      </c>
      <c r="B387" s="20">
        <v>85.0</v>
      </c>
      <c r="C387" s="7">
        <f>IFERROR(__xludf.DUMMYFUNCTION("GOOGLEFINANCE(A387,""marketcap"")"),9.291277191E9)</f>
        <v>9291277191</v>
      </c>
      <c r="D387" s="20" t="s">
        <v>6745</v>
      </c>
    </row>
    <row r="388" ht="21.0" customHeight="1">
      <c r="A388" s="19" t="s">
        <v>1030</v>
      </c>
      <c r="B388" s="20">
        <v>75.0</v>
      </c>
      <c r="C388" s="7">
        <f>IFERROR(__xludf.DUMMYFUNCTION("GOOGLEFINANCE(A388,""marketcap"")"),2.3604755889E10)</f>
        <v>23604755889</v>
      </c>
      <c r="D388" s="20" t="s">
        <v>6746</v>
      </c>
    </row>
    <row r="389" ht="21.0" customHeight="1">
      <c r="A389" s="19" t="s">
        <v>1433</v>
      </c>
      <c r="B389" s="20">
        <v>80.0</v>
      </c>
      <c r="C389" s="7">
        <f>IFERROR(__xludf.DUMMYFUNCTION("GOOGLEFINANCE(A389,""marketcap"")"),1.1247811385E10)</f>
        <v>11247811385</v>
      </c>
      <c r="D389" s="20" t="s">
        <v>6747</v>
      </c>
    </row>
    <row r="390" ht="21.0" customHeight="1">
      <c r="A390" s="19" t="s">
        <v>927</v>
      </c>
      <c r="B390" s="44"/>
      <c r="C390" s="7">
        <f>IFERROR(__xludf.DUMMYFUNCTION("GOOGLEFINANCE(A390,""marketcap"")"),2.968343E10)</f>
        <v>29683430000</v>
      </c>
      <c r="D390" s="20" t="s">
        <v>6748</v>
      </c>
    </row>
    <row r="391" ht="21.0" customHeight="1">
      <c r="A391" s="19" t="s">
        <v>811</v>
      </c>
      <c r="B391" s="20">
        <v>75.0</v>
      </c>
      <c r="C391" s="7">
        <f>IFERROR(__xludf.DUMMYFUNCTION("GOOGLEFINANCE(A391,""marketcap"")"),2.0837839599E10)</f>
        <v>20837839599</v>
      </c>
      <c r="D391" s="20" t="s">
        <v>6749</v>
      </c>
    </row>
    <row r="392" ht="21.0" customHeight="1">
      <c r="A392" s="19" t="s">
        <v>978</v>
      </c>
      <c r="B392" s="44"/>
      <c r="C392" s="7">
        <f>IFERROR(__xludf.DUMMYFUNCTION("GOOGLEFINANCE(A392,""marketcap"")"),1.3910208397E10)</f>
        <v>13910208397</v>
      </c>
      <c r="D392" s="20" t="s">
        <v>6750</v>
      </c>
    </row>
    <row r="393" ht="21.0" customHeight="1">
      <c r="A393" s="19" t="s">
        <v>1311</v>
      </c>
      <c r="B393" s="20">
        <v>75.0</v>
      </c>
      <c r="C393" s="7">
        <f>IFERROR(__xludf.DUMMYFUNCTION("GOOGLEFINANCE(A393,""marketcap"")"),2.15028396E10)</f>
        <v>21502839600</v>
      </c>
      <c r="D393" s="20" t="s">
        <v>6751</v>
      </c>
    </row>
    <row r="394" ht="21.0" customHeight="1">
      <c r="A394" s="19" t="s">
        <v>1517</v>
      </c>
      <c r="B394" s="20">
        <v>80.0</v>
      </c>
      <c r="C394" s="7">
        <f>IFERROR(__xludf.DUMMYFUNCTION("GOOGLEFINANCE(A394,""marketcap"")"),1.114410745E10)</f>
        <v>11144107450</v>
      </c>
      <c r="D394" s="20" t="s">
        <v>6752</v>
      </c>
    </row>
    <row r="395" ht="21.0" customHeight="1">
      <c r="A395" s="19" t="s">
        <v>1564</v>
      </c>
      <c r="B395" s="20">
        <v>85.0</v>
      </c>
      <c r="C395" s="7">
        <f>IFERROR(__xludf.DUMMYFUNCTION("GOOGLEFINANCE(A395,""marketcap"")"),2.3141018196E10)</f>
        <v>23141018196</v>
      </c>
      <c r="D395" s="20" t="s">
        <v>6753</v>
      </c>
    </row>
    <row r="396" ht="21.0" customHeight="1">
      <c r="A396" s="19" t="s">
        <v>1456</v>
      </c>
      <c r="B396" s="20">
        <v>80.0</v>
      </c>
      <c r="C396" s="7">
        <f>IFERROR(__xludf.DUMMYFUNCTION("GOOGLEFINANCE(A396,""marketcap"")"),2.0191238087E10)</f>
        <v>20191238087</v>
      </c>
      <c r="D396" s="20" t="s">
        <v>6754</v>
      </c>
    </row>
    <row r="397" ht="21.0" customHeight="1">
      <c r="A397" s="19" t="s">
        <v>893</v>
      </c>
      <c r="B397" s="20">
        <v>75.0</v>
      </c>
      <c r="C397" s="7">
        <f>IFERROR(__xludf.DUMMYFUNCTION("GOOGLEFINANCE(A397,""marketcap"")"),1.9994791456E10)</f>
        <v>19994791456</v>
      </c>
      <c r="D397" s="20" t="s">
        <v>6755</v>
      </c>
    </row>
    <row r="398" ht="21.0" customHeight="1">
      <c r="A398" s="19" t="s">
        <v>89</v>
      </c>
      <c r="B398" s="44"/>
      <c r="C398" s="7">
        <f>IFERROR(__xludf.DUMMYFUNCTION("GOOGLEFINANCE(A398,""marketcap"")"),1.582562916E10)</f>
        <v>15825629160</v>
      </c>
      <c r="D398" s="20" t="s">
        <v>6756</v>
      </c>
    </row>
    <row r="399" ht="21.0" customHeight="1">
      <c r="A399" s="19" t="s">
        <v>937</v>
      </c>
      <c r="B399" s="44"/>
      <c r="C399" s="7">
        <f>IFERROR(__xludf.DUMMYFUNCTION("GOOGLEFINANCE(A399,""marketcap"")"),2.9139331832E10)</f>
        <v>29139331832</v>
      </c>
      <c r="D399" s="20" t="s">
        <v>6757</v>
      </c>
    </row>
    <row r="400" ht="21.0" customHeight="1">
      <c r="A400" s="19" t="s">
        <v>1537</v>
      </c>
      <c r="B400" s="20">
        <v>70.0</v>
      </c>
      <c r="C400" s="7">
        <f>IFERROR(__xludf.DUMMYFUNCTION("GOOGLEFINANCE(A400,""marketcap"")"),2.760268E10)</f>
        <v>27602680000</v>
      </c>
      <c r="D400" s="20" t="s">
        <v>6758</v>
      </c>
    </row>
    <row r="401" ht="21.0" customHeight="1">
      <c r="A401" s="19" t="s">
        <v>1578</v>
      </c>
      <c r="B401" s="20">
        <v>65.0</v>
      </c>
      <c r="C401" s="7">
        <f>IFERROR(__xludf.DUMMYFUNCTION("GOOGLEFINANCE(A401,""marketcap"")"),1.5049705272E10)</f>
        <v>15049705272</v>
      </c>
      <c r="D401" s="20" t="s">
        <v>6759</v>
      </c>
    </row>
    <row r="402" ht="21.0" customHeight="1">
      <c r="A402" s="19" t="s">
        <v>1458</v>
      </c>
      <c r="B402" s="20">
        <v>75.0</v>
      </c>
      <c r="C402" s="7">
        <f>IFERROR(__xludf.DUMMYFUNCTION("GOOGLEFINANCE(A402,""marketcap"")"),6.269404924E9)</f>
        <v>6269404924</v>
      </c>
      <c r="D402" s="20" t="s">
        <v>6018</v>
      </c>
    </row>
    <row r="403" ht="21.0" customHeight="1">
      <c r="A403" s="19" t="s">
        <v>821</v>
      </c>
      <c r="B403" s="20">
        <v>70.0</v>
      </c>
      <c r="C403" s="7">
        <f>IFERROR(__xludf.DUMMYFUNCTION("GOOGLEFINANCE(A403,""marketcap"")"),2.0743398328E10)</f>
        <v>20743398328</v>
      </c>
      <c r="D403" s="20" t="s">
        <v>6760</v>
      </c>
    </row>
    <row r="404" ht="21.0" customHeight="1">
      <c r="A404" s="19" t="s">
        <v>1331</v>
      </c>
      <c r="B404" s="20">
        <v>75.0</v>
      </c>
      <c r="C404" s="7">
        <f>IFERROR(__xludf.DUMMYFUNCTION("GOOGLEFINANCE(A404,""marketcap"")"),1.580062E10)</f>
        <v>15800620000</v>
      </c>
      <c r="D404" s="20" t="s">
        <v>6761</v>
      </c>
    </row>
    <row r="405" ht="21.0" customHeight="1">
      <c r="A405" s="19" t="s">
        <v>1343</v>
      </c>
      <c r="B405" s="20">
        <v>75.0</v>
      </c>
      <c r="C405" s="7">
        <f>IFERROR(__xludf.DUMMYFUNCTION("GOOGLEFINANCE(A405,""marketcap"")"),1.580062E10)</f>
        <v>15800620000</v>
      </c>
      <c r="D405" s="20" t="s">
        <v>6762</v>
      </c>
    </row>
    <row r="406" ht="21.0" customHeight="1">
      <c r="A406" s="19" t="s">
        <v>3782</v>
      </c>
      <c r="B406" s="20">
        <v>75.0</v>
      </c>
      <c r="C406" s="7">
        <f>IFERROR(__xludf.DUMMYFUNCTION("GOOGLEFINANCE(A406,""marketcap"")"),6.3389022E9)</f>
        <v>6338902200</v>
      </c>
      <c r="D406" s="20" t="s">
        <v>6763</v>
      </c>
    </row>
    <row r="407" ht="21.0" customHeight="1">
      <c r="A407" s="19" t="s">
        <v>1466</v>
      </c>
      <c r="B407" s="44"/>
      <c r="C407" s="7">
        <f>IFERROR(__xludf.DUMMYFUNCTION("GOOGLEFINANCE(A407,""marketcap"")"),1.09314E10)</f>
        <v>10931400000</v>
      </c>
      <c r="D407" s="20" t="s">
        <v>6764</v>
      </c>
    </row>
    <row r="408" ht="21.0" customHeight="1">
      <c r="A408" s="19" t="s">
        <v>1113</v>
      </c>
      <c r="B408" s="20">
        <v>85.0</v>
      </c>
      <c r="C408" s="7">
        <f>IFERROR(__xludf.DUMMYFUNCTION("GOOGLEFINANCE(A408,""marketcap"")"),8.146362765E9)</f>
        <v>8146362765</v>
      </c>
      <c r="D408" s="20" t="s">
        <v>6765</v>
      </c>
    </row>
    <row r="409" ht="21.0" customHeight="1">
      <c r="A409" s="19" t="s">
        <v>1117</v>
      </c>
      <c r="B409" s="20">
        <v>75.0</v>
      </c>
      <c r="C409" s="7">
        <f>IFERROR(__xludf.DUMMYFUNCTION("GOOGLEFINANCE(A409,""marketcap"")"),2.5377967612E10)</f>
        <v>25377967612</v>
      </c>
      <c r="D409" s="20" t="s">
        <v>6766</v>
      </c>
    </row>
    <row r="410" ht="21.0" customHeight="1">
      <c r="A410" s="19" t="s">
        <v>91</v>
      </c>
      <c r="B410" s="44"/>
      <c r="C410" s="7">
        <f>IFERROR(__xludf.DUMMYFUNCTION("GOOGLEFINANCE(A410,""marketcap"")"),2.5377967612E10)</f>
        <v>25377967612</v>
      </c>
      <c r="D410" s="20" t="s">
        <v>6767</v>
      </c>
    </row>
    <row r="411" ht="21.0" customHeight="1">
      <c r="A411" s="19" t="s">
        <v>1398</v>
      </c>
      <c r="B411" s="44"/>
      <c r="C411" s="7">
        <f>IFERROR(__xludf.DUMMYFUNCTION("GOOGLEFINANCE(A411,""marketcap"")"),1.748994256E10)</f>
        <v>17489942560</v>
      </c>
      <c r="D411" s="20" t="s">
        <v>6768</v>
      </c>
    </row>
    <row r="412" ht="21.0" customHeight="1">
      <c r="A412" s="19" t="s">
        <v>1513</v>
      </c>
      <c r="B412" s="20">
        <v>75.0</v>
      </c>
      <c r="C412" s="7">
        <f>IFERROR(__xludf.DUMMYFUNCTION("GOOGLEFINANCE(A412,""marketcap"")"),2.6950263293E10)</f>
        <v>26950263293</v>
      </c>
      <c r="D412" s="20" t="s">
        <v>6769</v>
      </c>
    </row>
    <row r="413" ht="21.0" customHeight="1">
      <c r="A413" s="19" t="s">
        <v>847</v>
      </c>
      <c r="B413" s="20">
        <v>85.0</v>
      </c>
      <c r="C413" s="7">
        <f>IFERROR(__xludf.DUMMYFUNCTION("GOOGLEFINANCE(A413,""marketcap"")"),1.6055340172E10)</f>
        <v>16055340172</v>
      </c>
      <c r="D413" s="20" t="s">
        <v>6770</v>
      </c>
    </row>
    <row r="414" ht="21.0" customHeight="1">
      <c r="A414" s="19" t="s">
        <v>1289</v>
      </c>
      <c r="B414" s="44"/>
      <c r="C414" s="7">
        <f>IFERROR(__xludf.DUMMYFUNCTION("GOOGLEFINANCE(A414,""marketcap"")"),1.3736450632E10)</f>
        <v>13736450632</v>
      </c>
      <c r="D414" s="20" t="s">
        <v>6771</v>
      </c>
    </row>
    <row r="415" ht="21.0" customHeight="1">
      <c r="A415" s="19" t="s">
        <v>1019</v>
      </c>
      <c r="B415" s="44"/>
      <c r="C415" s="7">
        <f>IFERROR(__xludf.DUMMYFUNCTION("GOOGLEFINANCE(A415,""marketcap"")"),2.4240621887E10)</f>
        <v>24240621887</v>
      </c>
      <c r="D415" s="20" t="s">
        <v>6772</v>
      </c>
    </row>
    <row r="416" ht="21.0" customHeight="1">
      <c r="A416" s="19" t="s">
        <v>1443</v>
      </c>
      <c r="B416" s="20">
        <v>85.0</v>
      </c>
      <c r="C416" s="7">
        <f>IFERROR(__xludf.DUMMYFUNCTION("GOOGLEFINANCE(A416,""marketcap"")"),1.004411E10)</f>
        <v>10044110000</v>
      </c>
      <c r="D416" s="20" t="s">
        <v>6773</v>
      </c>
    </row>
    <row r="417" ht="21.0" customHeight="1">
      <c r="A417" s="19" t="s">
        <v>1483</v>
      </c>
      <c r="B417" s="20">
        <v>85.0</v>
      </c>
      <c r="C417" s="7">
        <f>IFERROR(__xludf.DUMMYFUNCTION("GOOGLEFINANCE(A417,""marketcap"")"),1.8449476956E10)</f>
        <v>18449476956</v>
      </c>
      <c r="D417" s="20" t="s">
        <v>6774</v>
      </c>
    </row>
    <row r="418" ht="21.0" customHeight="1">
      <c r="A418" s="19" t="s">
        <v>1266</v>
      </c>
      <c r="B418" s="20">
        <v>75.0</v>
      </c>
      <c r="C418" s="7">
        <f>IFERROR(__xludf.DUMMYFUNCTION("GOOGLEFINANCE(A418,""marketcap"")"),1.4472425425E10)</f>
        <v>14472425425</v>
      </c>
      <c r="D418" s="20" t="s">
        <v>6775</v>
      </c>
    </row>
    <row r="419" ht="21.0" customHeight="1">
      <c r="A419" s="19" t="s">
        <v>1477</v>
      </c>
      <c r="B419" s="20">
        <v>75.0</v>
      </c>
      <c r="C419" s="7">
        <f>IFERROR(__xludf.DUMMYFUNCTION("GOOGLEFINANCE(A419,""marketcap"")"),1.0219545487E10)</f>
        <v>10219545487</v>
      </c>
      <c r="D419" s="20" t="s">
        <v>6776</v>
      </c>
    </row>
    <row r="420" ht="21.0" customHeight="1">
      <c r="A420" s="19" t="s">
        <v>472</v>
      </c>
      <c r="B420" s="44"/>
      <c r="C420" s="7">
        <f>IFERROR(__xludf.DUMMYFUNCTION("GOOGLEFINANCE(A420,""marketcap"")"),1.7668957812E10)</f>
        <v>17668957812</v>
      </c>
      <c r="D420" s="20" t="s">
        <v>6777</v>
      </c>
    </row>
    <row r="421" ht="21.0" customHeight="1">
      <c r="A421" s="19" t="s">
        <v>1410</v>
      </c>
      <c r="B421" s="20">
        <v>80.0</v>
      </c>
      <c r="C421" s="7">
        <f>IFERROR(__xludf.DUMMYFUNCTION("GOOGLEFINANCE(A421,""marketcap"")"),6.760316277E9)</f>
        <v>6760316277</v>
      </c>
      <c r="D421" s="20" t="s">
        <v>6778</v>
      </c>
    </row>
    <row r="422" ht="21.0" customHeight="1">
      <c r="A422" s="19" t="s">
        <v>1183</v>
      </c>
      <c r="B422" s="20">
        <v>85.0</v>
      </c>
      <c r="C422" s="7">
        <f>IFERROR(__xludf.DUMMYFUNCTION("GOOGLEFINANCE(A422,""marketcap"")"),1.937391808E10)</f>
        <v>19373918080</v>
      </c>
      <c r="D422" s="20" t="s">
        <v>6779</v>
      </c>
    </row>
    <row r="423" ht="21.0" customHeight="1">
      <c r="A423" s="19" t="s">
        <v>1065</v>
      </c>
      <c r="B423" s="20">
        <v>85.0</v>
      </c>
      <c r="C423" s="7">
        <f>IFERROR(__xludf.DUMMYFUNCTION("GOOGLEFINANCE(A423,""marketcap"")"),2.156566E10)</f>
        <v>21565660000</v>
      </c>
      <c r="D423" s="20" t="s">
        <v>6780</v>
      </c>
    </row>
    <row r="424" ht="21.0" customHeight="1">
      <c r="A424" s="19" t="s">
        <v>1454</v>
      </c>
      <c r="B424" s="20">
        <v>70.0</v>
      </c>
      <c r="C424" s="7">
        <f>IFERROR(__xludf.DUMMYFUNCTION("GOOGLEFINANCE(A424,""marketcap"")"),1.0369413195E10)</f>
        <v>10369413195</v>
      </c>
      <c r="D424" s="20" t="s">
        <v>6781</v>
      </c>
    </row>
    <row r="425" ht="21.0" customHeight="1">
      <c r="A425" s="19" t="s">
        <v>853</v>
      </c>
      <c r="B425" s="44"/>
      <c r="C425" s="7">
        <f>IFERROR(__xludf.DUMMYFUNCTION("GOOGLEFINANCE(A425,""marketcap"")"),1.129214E10)</f>
        <v>11292140000</v>
      </c>
      <c r="D425" s="20" t="s">
        <v>6782</v>
      </c>
    </row>
    <row r="426" ht="21.0" customHeight="1">
      <c r="A426" s="19" t="s">
        <v>1219</v>
      </c>
      <c r="B426" s="44"/>
      <c r="C426" s="7">
        <f>IFERROR(__xludf.DUMMYFUNCTION("GOOGLEFINANCE(A426,""marketcap"")"),3.7469247746E10)</f>
        <v>37469247746</v>
      </c>
      <c r="D426" s="20" t="s">
        <v>6783</v>
      </c>
    </row>
    <row r="427" ht="21.0" customHeight="1">
      <c r="A427" s="19" t="s">
        <v>866</v>
      </c>
      <c r="B427" s="20">
        <v>85.0</v>
      </c>
      <c r="C427" s="7">
        <f>IFERROR(__xludf.DUMMYFUNCTION("GOOGLEFINANCE(A427,""marketcap"")"),1.067784E10)</f>
        <v>10677840000</v>
      </c>
      <c r="D427" s="20" t="s">
        <v>6784</v>
      </c>
    </row>
    <row r="428" ht="21.0" customHeight="1">
      <c r="A428" s="19" t="s">
        <v>1481</v>
      </c>
      <c r="B428" s="20">
        <v>85.0</v>
      </c>
      <c r="C428" s="7">
        <f>IFERROR(__xludf.DUMMYFUNCTION("GOOGLEFINANCE(A428,""marketcap"")"),2.4002050295E10)</f>
        <v>24002050295</v>
      </c>
      <c r="D428" s="20" t="s">
        <v>6785</v>
      </c>
    </row>
    <row r="429" ht="21.0" customHeight="1">
      <c r="A429" s="19" t="s">
        <v>1435</v>
      </c>
      <c r="B429" s="20">
        <v>75.0</v>
      </c>
      <c r="C429" s="7">
        <f>IFERROR(__xludf.DUMMYFUNCTION("GOOGLEFINANCE(A429,""marketcap"")"),1.3540200523E10)</f>
        <v>13540200523</v>
      </c>
      <c r="D429" s="20" t="s">
        <v>6786</v>
      </c>
    </row>
    <row r="430" ht="21.0" customHeight="1">
      <c r="A430" s="19" t="s">
        <v>1210</v>
      </c>
      <c r="B430" s="20">
        <v>85.0</v>
      </c>
      <c r="C430" s="7">
        <f>IFERROR(__xludf.DUMMYFUNCTION("GOOGLEFINANCE(A430,""marketcap"")"),1.4173179022E10)</f>
        <v>14173179022</v>
      </c>
      <c r="D430" s="20" t="s">
        <v>6787</v>
      </c>
    </row>
    <row r="431" ht="21.0" customHeight="1">
      <c r="A431" s="19" t="s">
        <v>6209</v>
      </c>
      <c r="B431" s="44"/>
      <c r="C431" s="7">
        <f>IFERROR(__xludf.DUMMYFUNCTION("GOOGLEFINANCE(A431,""marketcap"")"),2.18268968E8)</f>
        <v>218268968</v>
      </c>
      <c r="D431" s="20" t="s">
        <v>6788</v>
      </c>
    </row>
    <row r="432" ht="21.0" customHeight="1">
      <c r="A432" s="19" t="s">
        <v>97</v>
      </c>
      <c r="B432" s="20">
        <v>75.0</v>
      </c>
      <c r="C432" s="7">
        <f>IFERROR(__xludf.DUMMYFUNCTION("GOOGLEFINANCE(A432,""marketcap"")"),1.9690523288E10)</f>
        <v>19690523288</v>
      </c>
      <c r="D432" s="20" t="s">
        <v>6789</v>
      </c>
    </row>
    <row r="433" ht="21.0" customHeight="1">
      <c r="A433" s="19" t="s">
        <v>1449</v>
      </c>
      <c r="B433" s="20">
        <v>85.0</v>
      </c>
      <c r="C433" s="7">
        <f>IFERROR(__xludf.DUMMYFUNCTION("GOOGLEFINANCE(A433,""marketcap"")"),6.842902265E9)</f>
        <v>6842902265</v>
      </c>
      <c r="D433" s="20" t="s">
        <v>6790</v>
      </c>
    </row>
    <row r="434" ht="21.0" customHeight="1">
      <c r="A434" s="19" t="s">
        <v>1462</v>
      </c>
      <c r="B434" s="20">
        <v>75.0</v>
      </c>
      <c r="C434" s="7">
        <f>IFERROR(__xludf.DUMMYFUNCTION("GOOGLEFINANCE(A434,""marketcap"")"),2.3419260413E10)</f>
        <v>23419260413</v>
      </c>
      <c r="D434" s="20" t="s">
        <v>6791</v>
      </c>
    </row>
    <row r="435" ht="21.0" customHeight="1">
      <c r="A435" s="19" t="s">
        <v>1387</v>
      </c>
      <c r="B435" s="20">
        <v>85.0</v>
      </c>
      <c r="C435" s="7">
        <f>IFERROR(__xludf.DUMMYFUNCTION("GOOGLEFINANCE(A435,""marketcap"")"),1.1992631055E10)</f>
        <v>11992631055</v>
      </c>
      <c r="D435" s="20" t="s">
        <v>6792</v>
      </c>
    </row>
    <row r="436" ht="21.0" customHeight="1">
      <c r="A436" s="19" t="s">
        <v>1414</v>
      </c>
      <c r="B436" s="20">
        <v>60.0</v>
      </c>
      <c r="C436" s="7">
        <f>IFERROR(__xludf.DUMMYFUNCTION("GOOGLEFINANCE(A436,""marketcap"")"),6.213371021E9)</f>
        <v>6213371021</v>
      </c>
      <c r="D436" s="20" t="s">
        <v>6793</v>
      </c>
    </row>
    <row r="437" ht="21.0" customHeight="1">
      <c r="A437" s="19" t="s">
        <v>1379</v>
      </c>
      <c r="B437" s="44"/>
      <c r="C437" s="7">
        <f>IFERROR(__xludf.DUMMYFUNCTION("GOOGLEFINANCE(A437,""marketcap"")"),1.2414526778E10)</f>
        <v>12414526778</v>
      </c>
      <c r="D437" s="20" t="s">
        <v>6794</v>
      </c>
    </row>
    <row r="438" ht="21.0" customHeight="1">
      <c r="A438" s="19" t="s">
        <v>1383</v>
      </c>
      <c r="B438" s="20">
        <v>85.0</v>
      </c>
      <c r="C438" s="7">
        <f>IFERROR(__xludf.DUMMYFUNCTION("GOOGLEFINANCE(A438,""marketcap"")"),1.581632E10)</f>
        <v>15816320000</v>
      </c>
      <c r="D438" s="20" t="s">
        <v>6795</v>
      </c>
    </row>
    <row r="439" ht="21.0" customHeight="1">
      <c r="A439" s="19" t="s">
        <v>1307</v>
      </c>
      <c r="B439" s="20">
        <v>75.0</v>
      </c>
      <c r="C439" s="7">
        <f>IFERROR(__xludf.DUMMYFUNCTION("GOOGLEFINANCE(A439,""marketcap"")"),1.8533958071E10)</f>
        <v>18533958071</v>
      </c>
      <c r="D439" s="20" t="s">
        <v>6796</v>
      </c>
    </row>
    <row r="440" ht="21.0" customHeight="1">
      <c r="A440" s="19" t="s">
        <v>1447</v>
      </c>
      <c r="B440" s="20">
        <v>80.0</v>
      </c>
      <c r="C440" s="7">
        <f>IFERROR(__xludf.DUMMYFUNCTION("GOOGLEFINANCE(A440,""marketcap"")"),1.2602785444E10)</f>
        <v>12602785444</v>
      </c>
      <c r="D440" s="20" t="s">
        <v>6797</v>
      </c>
    </row>
    <row r="441" ht="21.0" customHeight="1">
      <c r="A441" s="19" t="s">
        <v>1385</v>
      </c>
      <c r="B441" s="20">
        <v>75.0</v>
      </c>
      <c r="C441" s="7">
        <f>IFERROR(__xludf.DUMMYFUNCTION("GOOGLEFINANCE(A441,""marketcap"")"),1.5834669847E10)</f>
        <v>15834669847</v>
      </c>
      <c r="D441" s="20" t="s">
        <v>6798</v>
      </c>
    </row>
    <row r="442" ht="21.0" customHeight="1">
      <c r="A442" s="19" t="s">
        <v>1345</v>
      </c>
      <c r="B442" s="20">
        <v>75.0</v>
      </c>
      <c r="C442" s="7">
        <f>IFERROR(__xludf.DUMMYFUNCTION("GOOGLEFINANCE(A442,""marketcap"")"),9.924468282E9)</f>
        <v>9924468282</v>
      </c>
      <c r="D442" s="20" t="s">
        <v>6799</v>
      </c>
    </row>
    <row r="443" ht="21.0" customHeight="1">
      <c r="A443" s="19" t="s">
        <v>1254</v>
      </c>
      <c r="B443" s="20">
        <v>50.0</v>
      </c>
      <c r="C443" s="7">
        <f>IFERROR(__xludf.DUMMYFUNCTION("GOOGLEFINANCE(A443,""marketcap"")"),2.2399395337E10)</f>
        <v>22399395337</v>
      </c>
      <c r="D443" s="20" t="s">
        <v>6800</v>
      </c>
    </row>
    <row r="444" ht="21.0" customHeight="1">
      <c r="A444" s="19" t="s">
        <v>1528</v>
      </c>
      <c r="B444" s="20">
        <v>70.0</v>
      </c>
      <c r="C444" s="7">
        <f>IFERROR(__xludf.DUMMYFUNCTION("GOOGLEFINANCE(A444,""marketcap"")"),1.2753325635E10)</f>
        <v>12753325635</v>
      </c>
      <c r="D444" s="20" t="s">
        <v>6801</v>
      </c>
    </row>
    <row r="445" ht="21.0" customHeight="1">
      <c r="A445" s="19" t="s">
        <v>1293</v>
      </c>
      <c r="B445" s="44"/>
      <c r="C445" s="7">
        <f>IFERROR(__xludf.DUMMYFUNCTION("GOOGLEFINANCE(A445,""marketcap"")"),1.5252718859E10)</f>
        <v>15252718859</v>
      </c>
      <c r="D445" s="20" t="s">
        <v>6802</v>
      </c>
    </row>
    <row r="446" ht="21.0" customHeight="1">
      <c r="A446" s="19" t="s">
        <v>1470</v>
      </c>
      <c r="B446" s="20">
        <v>70.0</v>
      </c>
      <c r="C446" s="7">
        <f>IFERROR(__xludf.DUMMYFUNCTION("GOOGLEFINANCE(A446,""marketcap"")"),1.9993057148E10)</f>
        <v>19993057148</v>
      </c>
      <c r="D446" s="20" t="s">
        <v>6803</v>
      </c>
    </row>
    <row r="447" ht="21.0" customHeight="1">
      <c r="A447" s="19" t="s">
        <v>476</v>
      </c>
      <c r="B447" s="20">
        <v>75.0</v>
      </c>
      <c r="C447" s="7">
        <f>IFERROR(__xludf.DUMMYFUNCTION("GOOGLEFINANCE(A447,""marketcap"")"),1.037261162E10)</f>
        <v>10372611620</v>
      </c>
      <c r="D447" s="20" t="s">
        <v>6804</v>
      </c>
    </row>
    <row r="448" ht="21.0" customHeight="1">
      <c r="A448" s="19" t="s">
        <v>1460</v>
      </c>
      <c r="B448" s="44"/>
      <c r="C448" s="7">
        <f>IFERROR(__xludf.DUMMYFUNCTION("GOOGLEFINANCE(A448,""marketcap"")"),5.800438096E9)</f>
        <v>5800438096</v>
      </c>
      <c r="D448" s="20" t="s">
        <v>6805</v>
      </c>
    </row>
    <row r="449" ht="21.0" customHeight="1">
      <c r="A449" s="19" t="s">
        <v>1245</v>
      </c>
      <c r="B449" s="44"/>
      <c r="C449" s="7">
        <f>IFERROR(__xludf.DUMMYFUNCTION("GOOGLEFINANCE(A449,""marketcap"")"),1.0584843775E10)</f>
        <v>10584843775</v>
      </c>
      <c r="D449" s="20" t="s">
        <v>6806</v>
      </c>
    </row>
    <row r="450" ht="21.0" customHeight="1">
      <c r="A450" s="19" t="s">
        <v>896</v>
      </c>
      <c r="B450" s="20">
        <v>85.0</v>
      </c>
      <c r="C450" s="7">
        <f>IFERROR(__xludf.DUMMYFUNCTION("GOOGLEFINANCE(A450,""marketcap"")"),7.571665E9)</f>
        <v>7571665000</v>
      </c>
      <c r="D450" s="20" t="s">
        <v>6807</v>
      </c>
    </row>
    <row r="451" ht="21.0" customHeight="1">
      <c r="A451" s="19" t="s">
        <v>1535</v>
      </c>
      <c r="B451" s="20">
        <v>75.0</v>
      </c>
      <c r="C451" s="7">
        <f>IFERROR(__xludf.DUMMYFUNCTION("GOOGLEFINANCE(A451,""marketcap"")"),1.8832633416E10)</f>
        <v>18832633416</v>
      </c>
      <c r="D451" s="20" t="s">
        <v>6808</v>
      </c>
    </row>
    <row r="452" ht="21.0" customHeight="1">
      <c r="A452" s="19" t="s">
        <v>145</v>
      </c>
      <c r="B452" s="44"/>
      <c r="C452" s="7">
        <f>IFERROR(__xludf.DUMMYFUNCTION("GOOGLEFINANCE(A452,""marketcap"")"),1.6134734663E10)</f>
        <v>16134734663</v>
      </c>
      <c r="D452" s="20" t="s">
        <v>6809</v>
      </c>
    </row>
    <row r="453" ht="21.0" customHeight="1">
      <c r="A453" s="19" t="s">
        <v>1055</v>
      </c>
      <c r="B453" s="20">
        <v>85.0</v>
      </c>
      <c r="C453" s="7">
        <f>IFERROR(__xludf.DUMMYFUNCTION("GOOGLEFINANCE(A453,""marketcap"")"),1.0524887518E10)</f>
        <v>10524887518</v>
      </c>
      <c r="D453" s="20" t="s">
        <v>6810</v>
      </c>
    </row>
    <row r="454" ht="21.0" customHeight="1">
      <c r="A454" s="19" t="s">
        <v>917</v>
      </c>
      <c r="B454" s="20">
        <v>75.0</v>
      </c>
      <c r="C454" s="7">
        <f>IFERROR(__xludf.DUMMYFUNCTION("GOOGLEFINANCE(A454,""marketcap"")"),8.421870309E9)</f>
        <v>8421870309</v>
      </c>
      <c r="D454" s="20" t="s">
        <v>6811</v>
      </c>
    </row>
    <row r="455" ht="21.0" customHeight="1">
      <c r="A455" s="19" t="s">
        <v>1301</v>
      </c>
      <c r="B455" s="20">
        <v>75.0</v>
      </c>
      <c r="C455" s="7">
        <f>IFERROR(__xludf.DUMMYFUNCTION("GOOGLEFINANCE(A455,""marketcap"")"),8.076755749E9)</f>
        <v>8076755749</v>
      </c>
      <c r="D455" s="20" t="s">
        <v>6812</v>
      </c>
    </row>
    <row r="456" ht="21.0" customHeight="1">
      <c r="A456" s="19" t="s">
        <v>1273</v>
      </c>
      <c r="B456" s="20">
        <v>75.0</v>
      </c>
      <c r="C456" s="7">
        <f>IFERROR(__xludf.DUMMYFUNCTION("GOOGLEFINANCE(A456,""marketcap"")"),6.52995049E8)</f>
        <v>652995049</v>
      </c>
      <c r="D456" s="20" t="s">
        <v>6813</v>
      </c>
    </row>
    <row r="457" ht="21.0" customHeight="1">
      <c r="A457" s="19" t="s">
        <v>1566</v>
      </c>
      <c r="B457" s="44"/>
      <c r="C457" s="7" t="str">
        <f>IFERROR(__xludf.DUMMYFUNCTION("GOOGLEFINANCE(A457,""marketcap"")"),"#N/A")</f>
        <v>#N/A</v>
      </c>
      <c r="D457" s="20" t="s">
        <v>6814</v>
      </c>
    </row>
    <row r="458" ht="21.0" customHeight="1">
      <c r="A458" s="19" t="s">
        <v>1400</v>
      </c>
      <c r="B458" s="20">
        <v>85.0</v>
      </c>
      <c r="C458" s="7">
        <f>IFERROR(__xludf.DUMMYFUNCTION("GOOGLEFINANCE(A458,""marketcap"")"),1.0430928931E10)</f>
        <v>10430928931</v>
      </c>
      <c r="D458" s="20" t="s">
        <v>6815</v>
      </c>
    </row>
    <row r="459" ht="21.0" customHeight="1">
      <c r="A459" s="19" t="s">
        <v>1611</v>
      </c>
      <c r="B459" s="20">
        <v>75.0</v>
      </c>
      <c r="C459" s="7">
        <f>IFERROR(__xludf.DUMMYFUNCTION("GOOGLEFINANCE(A459,""marketcap"")"),2.1699276903E10)</f>
        <v>21699276903</v>
      </c>
      <c r="D459" s="20" t="s">
        <v>6816</v>
      </c>
    </row>
    <row r="460" ht="21.0" customHeight="1">
      <c r="A460" s="19" t="s">
        <v>1608</v>
      </c>
      <c r="B460" s="20">
        <v>75.0</v>
      </c>
      <c r="C460" s="7">
        <f>IFERROR(__xludf.DUMMYFUNCTION("GOOGLEFINANCE(A460,""marketcap"")"),1.4206480041E10)</f>
        <v>14206480041</v>
      </c>
      <c r="D460" s="20" t="s">
        <v>6817</v>
      </c>
    </row>
    <row r="461" ht="21.0" customHeight="1">
      <c r="A461" s="19" t="s">
        <v>168</v>
      </c>
      <c r="B461" s="20">
        <v>75.0</v>
      </c>
      <c r="C461" s="7">
        <f>IFERROR(__xludf.DUMMYFUNCTION("GOOGLEFINANCE(A461,""marketcap"")"),7.360906056E9)</f>
        <v>7360906056</v>
      </c>
      <c r="D461" s="20" t="s">
        <v>6818</v>
      </c>
    </row>
    <row r="462" ht="21.0" customHeight="1">
      <c r="A462" s="19" t="s">
        <v>1393</v>
      </c>
      <c r="B462" s="20">
        <v>85.0</v>
      </c>
      <c r="C462" s="7">
        <f>IFERROR(__xludf.DUMMYFUNCTION("GOOGLEFINANCE(A462,""marketcap"")"),8.764116918E9)</f>
        <v>8764116918</v>
      </c>
      <c r="D462" s="20" t="s">
        <v>6819</v>
      </c>
    </row>
    <row r="463" ht="21.0" customHeight="1">
      <c r="A463" s="19" t="s">
        <v>1309</v>
      </c>
      <c r="B463" s="44"/>
      <c r="C463" s="7">
        <f>IFERROR(__xludf.DUMMYFUNCTION("GOOGLEFINANCE(A463,""marketcap"")"),5.721047059E9)</f>
        <v>5721047059</v>
      </c>
      <c r="D463" s="20" t="s">
        <v>6820</v>
      </c>
    </row>
    <row r="464" ht="21.0" customHeight="1">
      <c r="A464" s="19" t="s">
        <v>1404</v>
      </c>
      <c r="B464" s="20">
        <v>85.0</v>
      </c>
      <c r="C464" s="7">
        <f>IFERROR(__xludf.DUMMYFUNCTION("GOOGLEFINANCE(A464,""marketcap"")"),1.2552680484E10)</f>
        <v>12552680484</v>
      </c>
      <c r="D464" s="20" t="s">
        <v>6821</v>
      </c>
    </row>
    <row r="465" ht="21.0" customHeight="1">
      <c r="A465" s="19" t="s">
        <v>1028</v>
      </c>
      <c r="B465" s="20">
        <v>65.0</v>
      </c>
      <c r="C465" s="7">
        <f>IFERROR(__xludf.DUMMYFUNCTION("GOOGLEFINANCE(A465,""marketcap"")"),7.544145232E9)</f>
        <v>7544145232</v>
      </c>
      <c r="D465" s="20" t="s">
        <v>6822</v>
      </c>
    </row>
    <row r="466" ht="21.0" customHeight="1">
      <c r="A466" s="19" t="s">
        <v>1214</v>
      </c>
      <c r="B466" s="20">
        <v>75.0</v>
      </c>
      <c r="C466" s="7">
        <f>IFERROR(__xludf.DUMMYFUNCTION("GOOGLEFINANCE(A466,""marketcap"")"),1.0656124837E10)</f>
        <v>10656124837</v>
      </c>
      <c r="D466" s="20" t="s">
        <v>6823</v>
      </c>
    </row>
    <row r="467" ht="21.0" customHeight="1">
      <c r="A467" s="19" t="s">
        <v>147</v>
      </c>
      <c r="B467" s="44"/>
      <c r="C467" s="7">
        <f>IFERROR(__xludf.DUMMYFUNCTION("GOOGLEFINANCE(A467,""marketcap"")"),1.1539140144E10)</f>
        <v>11539140144</v>
      </c>
      <c r="D467" s="20" t="s">
        <v>6824</v>
      </c>
    </row>
    <row r="468" ht="21.0" customHeight="1">
      <c r="A468" s="19" t="s">
        <v>1354</v>
      </c>
      <c r="B468" s="20">
        <v>85.0</v>
      </c>
      <c r="C468" s="7">
        <f>IFERROR(__xludf.DUMMYFUNCTION("GOOGLEFINANCE(A468,""marketcap"")"),2.0202253398E10)</f>
        <v>20202253398</v>
      </c>
      <c r="D468" s="20" t="s">
        <v>6825</v>
      </c>
    </row>
    <row r="469" ht="21.0" customHeight="1">
      <c r="A469" s="19" t="s">
        <v>4612</v>
      </c>
      <c r="B469" s="20">
        <v>85.0</v>
      </c>
      <c r="C469" s="7">
        <f>IFERROR(__xludf.DUMMYFUNCTION("GOOGLEFINANCE(A469,""marketcap"")"),3.973276632E9)</f>
        <v>3973276632</v>
      </c>
      <c r="D469" s="20" t="s">
        <v>6826</v>
      </c>
    </row>
    <row r="470" ht="21.0" customHeight="1">
      <c r="A470" s="19" t="s">
        <v>1067</v>
      </c>
      <c r="B470" s="20">
        <v>80.0</v>
      </c>
      <c r="C470" s="7">
        <f>IFERROR(__xludf.DUMMYFUNCTION("GOOGLEFINANCE(A470,""marketcap"")"),1.1547195713E10)</f>
        <v>11547195713</v>
      </c>
      <c r="D470" s="20" t="s">
        <v>6827</v>
      </c>
    </row>
    <row r="471" ht="21.0" customHeight="1">
      <c r="A471" s="19" t="s">
        <v>3236</v>
      </c>
      <c r="B471" s="20">
        <v>85.0</v>
      </c>
      <c r="C471" s="7" t="str">
        <f>IFERROR(__xludf.DUMMYFUNCTION("GOOGLEFINANCE(A471,""marketcap"")"),"#N/A")</f>
        <v>#N/A</v>
      </c>
      <c r="D471" s="20" t="s">
        <v>6828</v>
      </c>
    </row>
    <row r="472" ht="21.0" customHeight="1">
      <c r="A472" s="19" t="s">
        <v>1043</v>
      </c>
      <c r="B472" s="20">
        <v>85.0</v>
      </c>
      <c r="C472" s="7">
        <f>IFERROR(__xludf.DUMMYFUNCTION("GOOGLEFINANCE(A472,""marketcap"")"),5.23506141E9)</f>
        <v>5235061410</v>
      </c>
      <c r="D472" s="20" t="s">
        <v>6829</v>
      </c>
    </row>
    <row r="473" ht="21.0" customHeight="1">
      <c r="A473" s="19" t="s">
        <v>1445</v>
      </c>
      <c r="B473" s="20">
        <v>85.0</v>
      </c>
      <c r="C473" s="7">
        <f>IFERROR(__xludf.DUMMYFUNCTION("GOOGLEFINANCE(A473,""marketcap"")"),5.889951354E9)</f>
        <v>5889951354</v>
      </c>
      <c r="D473" s="20" t="s">
        <v>6830</v>
      </c>
    </row>
    <row r="474" ht="21.0" customHeight="1">
      <c r="A474" s="19" t="s">
        <v>1151</v>
      </c>
      <c r="B474" s="20">
        <v>75.0</v>
      </c>
      <c r="C474" s="7">
        <f>IFERROR(__xludf.DUMMYFUNCTION("GOOGLEFINANCE(A474,""marketcap"")"),2.702492055E10)</f>
        <v>27024920550</v>
      </c>
      <c r="D474" s="20" t="s">
        <v>6831</v>
      </c>
    </row>
    <row r="475" ht="21.0" customHeight="1">
      <c r="A475" s="19" t="s">
        <v>101</v>
      </c>
      <c r="B475" s="20">
        <v>75.0</v>
      </c>
      <c r="C475" s="7">
        <f>IFERROR(__xludf.DUMMYFUNCTION("GOOGLEFINANCE(A475,""marketcap"")"),1.2462709723E10)</f>
        <v>12462709723</v>
      </c>
      <c r="D475" s="20" t="s">
        <v>6832</v>
      </c>
    </row>
    <row r="476" ht="21.0" customHeight="1">
      <c r="A476" s="19" t="s">
        <v>1049</v>
      </c>
      <c r="B476" s="20">
        <v>80.0</v>
      </c>
      <c r="C476" s="7">
        <f>IFERROR(__xludf.DUMMYFUNCTION("GOOGLEFINANCE(A476,""marketcap"")"),1.9974107008E10)</f>
        <v>19974107008</v>
      </c>
      <c r="D476" s="20" t="s">
        <v>6833</v>
      </c>
    </row>
    <row r="477" ht="21.0" customHeight="1">
      <c r="A477" s="19" t="s">
        <v>1619</v>
      </c>
      <c r="B477" s="44"/>
      <c r="C477" s="7">
        <f>IFERROR(__xludf.DUMMYFUNCTION("GOOGLEFINANCE(A477,""marketcap"")"),1.270755901E10)</f>
        <v>12707559010</v>
      </c>
      <c r="D477" s="20" t="s">
        <v>6834</v>
      </c>
    </row>
    <row r="478" ht="21.0" customHeight="1">
      <c r="A478" s="19" t="s">
        <v>3047</v>
      </c>
      <c r="B478" s="20">
        <v>85.0</v>
      </c>
      <c r="C478" s="7">
        <f>IFERROR(__xludf.DUMMYFUNCTION("GOOGLEFINANCE(A478,""marketcap"")"),7.943192622E9)</f>
        <v>7943192622</v>
      </c>
      <c r="D478" s="20" t="s">
        <v>6835</v>
      </c>
    </row>
    <row r="479" ht="21.0" customHeight="1">
      <c r="A479" s="19" t="s">
        <v>1243</v>
      </c>
      <c r="B479" s="20">
        <v>65.0</v>
      </c>
      <c r="C479" s="7">
        <f>IFERROR(__xludf.DUMMYFUNCTION("GOOGLEFINANCE(A479,""marketcap"")"),9.430108785E9)</f>
        <v>9430108785</v>
      </c>
      <c r="D479" s="20" t="s">
        <v>6836</v>
      </c>
    </row>
    <row r="480" ht="21.0" customHeight="1">
      <c r="A480" s="19" t="s">
        <v>1416</v>
      </c>
      <c r="B480" s="20">
        <v>75.0</v>
      </c>
      <c r="C480" s="7">
        <f>IFERROR(__xludf.DUMMYFUNCTION("GOOGLEFINANCE(A480,""marketcap"")"),7.053016223E9)</f>
        <v>7053016223</v>
      </c>
      <c r="D480" s="20" t="s">
        <v>6837</v>
      </c>
    </row>
    <row r="481" ht="21.0" customHeight="1">
      <c r="A481" s="19" t="s">
        <v>816</v>
      </c>
      <c r="B481" s="20">
        <v>85.0</v>
      </c>
      <c r="C481" s="7">
        <f>IFERROR(__xludf.DUMMYFUNCTION("GOOGLEFINANCE(A481,""marketcap"")"),1.1932447802E10)</f>
        <v>11932447802</v>
      </c>
      <c r="D481" s="20" t="s">
        <v>6838</v>
      </c>
    </row>
    <row r="482" ht="21.0" customHeight="1">
      <c r="A482" s="19" t="s">
        <v>1281</v>
      </c>
      <c r="B482" s="44"/>
      <c r="C482" s="7">
        <f>IFERROR(__xludf.DUMMYFUNCTION("GOOGLEFINANCE(A482,""marketcap"")"),8.067580659E9)</f>
        <v>8067580659</v>
      </c>
      <c r="D482" s="20" t="s">
        <v>6839</v>
      </c>
    </row>
    <row r="483" ht="21.0" customHeight="1">
      <c r="A483" s="19" t="s">
        <v>1363</v>
      </c>
      <c r="B483" s="44"/>
      <c r="C483" s="7">
        <f>IFERROR(__xludf.DUMMYFUNCTION("GOOGLEFINANCE(A483,""marketcap"")"),1.2027819675E10)</f>
        <v>12027819675</v>
      </c>
      <c r="D483" s="20" t="s">
        <v>6840</v>
      </c>
    </row>
    <row r="484" ht="21.0" customHeight="1">
      <c r="A484" s="19" t="s">
        <v>1225</v>
      </c>
      <c r="B484" s="20">
        <v>70.0</v>
      </c>
      <c r="C484" s="7">
        <f>IFERROR(__xludf.DUMMYFUNCTION("GOOGLEFINANCE(A484,""marketcap"")"),8.621531E9)</f>
        <v>8621531000</v>
      </c>
      <c r="D484" s="20" t="s">
        <v>6841</v>
      </c>
    </row>
    <row r="485" ht="21.0" customHeight="1">
      <c r="A485" s="19" t="s">
        <v>1137</v>
      </c>
      <c r="B485" s="44"/>
      <c r="C485" s="7">
        <f>IFERROR(__xludf.DUMMYFUNCTION("GOOGLEFINANCE(A485,""marketcap"")"),6.378141772E9)</f>
        <v>6378141772</v>
      </c>
      <c r="D485" s="20" t="s">
        <v>6842</v>
      </c>
    </row>
    <row r="486" ht="21.0" customHeight="1">
      <c r="A486" s="19" t="s">
        <v>1599</v>
      </c>
      <c r="B486" s="44"/>
      <c r="C486" s="7" t="str">
        <f>IFERROR(__xludf.DUMMYFUNCTION("GOOGLEFINANCE(A486,""marketcap"")"),"#N/A")</f>
        <v>#N/A</v>
      </c>
      <c r="D486" s="20" t="s">
        <v>6843</v>
      </c>
    </row>
    <row r="487" ht="21.0" customHeight="1">
      <c r="A487" s="19" t="s">
        <v>1123</v>
      </c>
      <c r="B487" s="20">
        <v>85.0</v>
      </c>
      <c r="C487" s="7">
        <f>IFERROR(__xludf.DUMMYFUNCTION("GOOGLEFINANCE(A487,""marketcap"")"),1.58598086E10)</f>
        <v>15859808600</v>
      </c>
      <c r="D487" s="20" t="s">
        <v>6844</v>
      </c>
    </row>
    <row r="488" ht="21.0" customHeight="1">
      <c r="A488" s="19" t="s">
        <v>1545</v>
      </c>
      <c r="B488" s="20">
        <v>75.0</v>
      </c>
      <c r="C488" s="7">
        <f>IFERROR(__xludf.DUMMYFUNCTION("GOOGLEFINANCE(A488,""marketcap"")"),9.993502682E9)</f>
        <v>9993502682</v>
      </c>
      <c r="D488" s="20" t="s">
        <v>6845</v>
      </c>
    </row>
    <row r="489" ht="21.0" customHeight="1">
      <c r="A489" s="19" t="s">
        <v>1260</v>
      </c>
      <c r="B489" s="44"/>
      <c r="C489" s="7" t="str">
        <f>IFERROR(__xludf.DUMMYFUNCTION("GOOGLEFINANCE(A489,""marketcap"")"),"#N/A")</f>
        <v>#N/A</v>
      </c>
      <c r="D489" s="20" t="s">
        <v>6846</v>
      </c>
    </row>
    <row r="490" ht="21.0" customHeight="1">
      <c r="A490" s="19" t="s">
        <v>4860</v>
      </c>
      <c r="B490" s="44"/>
      <c r="C490" s="7">
        <f>IFERROR(__xludf.DUMMYFUNCTION("GOOGLEFINANCE(A490,""marketcap"")"),6.82574554E9)</f>
        <v>6825745540</v>
      </c>
      <c r="D490" s="20" t="s">
        <v>6847</v>
      </c>
    </row>
    <row r="491" ht="21.0" customHeight="1">
      <c r="A491" s="19" t="s">
        <v>1295</v>
      </c>
      <c r="B491" s="44"/>
      <c r="C491" s="7">
        <f>IFERROR(__xludf.DUMMYFUNCTION("GOOGLEFINANCE(A491,""marketcap"")"),1.3837972097E10)</f>
        <v>13837972097</v>
      </c>
      <c r="D491" s="20" t="s">
        <v>6848</v>
      </c>
    </row>
    <row r="492" ht="21.0" customHeight="1">
      <c r="A492" s="19" t="s">
        <v>1181</v>
      </c>
      <c r="B492" s="20">
        <v>85.0</v>
      </c>
      <c r="C492" s="7">
        <f>IFERROR(__xludf.DUMMYFUNCTION("GOOGLEFINANCE(A492,""marketcap"")"),1.2577645605E10)</f>
        <v>12577645605</v>
      </c>
      <c r="D492" s="20" t="s">
        <v>6849</v>
      </c>
    </row>
    <row r="493" ht="21.0" customHeight="1">
      <c r="A493" s="19" t="s">
        <v>1406</v>
      </c>
      <c r="B493" s="20">
        <v>75.0</v>
      </c>
      <c r="C493" s="7">
        <f>IFERROR(__xludf.DUMMYFUNCTION("GOOGLEFINANCE(A493,""marketcap"")"),5.711100462E9)</f>
        <v>5711100462</v>
      </c>
      <c r="D493" s="20" t="s">
        <v>6850</v>
      </c>
    </row>
    <row r="494" ht="21.0" customHeight="1">
      <c r="A494" s="19" t="s">
        <v>4970</v>
      </c>
      <c r="B494" s="20">
        <v>85.0</v>
      </c>
      <c r="C494" s="7">
        <f>IFERROR(__xludf.DUMMYFUNCTION("GOOGLEFINANCE(A494,""marketcap"")"),6.109419026E9)</f>
        <v>6109419026</v>
      </c>
      <c r="D494" s="20" t="s">
        <v>6851</v>
      </c>
    </row>
    <row r="495" ht="21.0" customHeight="1">
      <c r="A495" s="19" t="s">
        <v>1223</v>
      </c>
      <c r="B495" s="20">
        <v>75.0</v>
      </c>
      <c r="C495" s="7">
        <f>IFERROR(__xludf.DUMMYFUNCTION("GOOGLEFINANCE(A495,""marketcap"")"),7.841600472E9)</f>
        <v>7841600472</v>
      </c>
      <c r="D495" s="20" t="s">
        <v>6852</v>
      </c>
    </row>
    <row r="496" ht="21.0" customHeight="1">
      <c r="A496" s="19" t="s">
        <v>1361</v>
      </c>
      <c r="B496" s="20">
        <v>85.0</v>
      </c>
      <c r="C496" s="7">
        <f>IFERROR(__xludf.DUMMYFUNCTION("GOOGLEFINANCE(A496,""marketcap"")"),5.190227806E9)</f>
        <v>5190227806</v>
      </c>
      <c r="D496" s="20" t="s">
        <v>6853</v>
      </c>
    </row>
    <row r="497" ht="21.0" customHeight="1">
      <c r="A497" s="19" t="s">
        <v>1547</v>
      </c>
      <c r="B497" s="20">
        <v>80.0</v>
      </c>
      <c r="C497" s="7">
        <f>IFERROR(__xludf.DUMMYFUNCTION("GOOGLEFINANCE(A497,""marketcap"")"),1.185195571E10)</f>
        <v>11851955710</v>
      </c>
      <c r="D497" s="20" t="s">
        <v>6854</v>
      </c>
    </row>
    <row r="498" ht="21.0" customHeight="1">
      <c r="A498" s="19" t="s">
        <v>4609</v>
      </c>
      <c r="B498" s="20">
        <v>85.0</v>
      </c>
      <c r="C498" s="7">
        <f>IFERROR(__xludf.DUMMYFUNCTION("GOOGLEFINANCE(A498,""marketcap"")"),8.829491337E9)</f>
        <v>8829491337</v>
      </c>
      <c r="D498" s="20" t="s">
        <v>6855</v>
      </c>
    </row>
    <row r="499" ht="21.0" customHeight="1">
      <c r="A499" s="19" t="s">
        <v>1359</v>
      </c>
      <c r="B499" s="20">
        <v>50.0</v>
      </c>
      <c r="C499" s="7">
        <f>IFERROR(__xludf.DUMMYFUNCTION("GOOGLEFINANCE(A499,""marketcap"")"),6.328764637E9)</f>
        <v>6328764637</v>
      </c>
      <c r="D499" s="20" t="s">
        <v>6856</v>
      </c>
    </row>
    <row r="500" ht="21.0" customHeight="1">
      <c r="A500" s="19" t="s">
        <v>1319</v>
      </c>
      <c r="B500" s="20">
        <v>85.0</v>
      </c>
      <c r="C500" s="7">
        <f>IFERROR(__xludf.DUMMYFUNCTION("GOOGLEFINANCE(A500,""marketcap"")"),1.675606972E9)</f>
        <v>1675606972</v>
      </c>
      <c r="D500" s="20" t="s">
        <v>6857</v>
      </c>
    </row>
    <row r="501" ht="21.0" customHeight="1">
      <c r="A501" s="19" t="s">
        <v>1396</v>
      </c>
      <c r="B501" s="20">
        <v>75.0</v>
      </c>
      <c r="C501" s="7">
        <f>IFERROR(__xludf.DUMMYFUNCTION("GOOGLEFINANCE(A501,""marketcap"")"),1.2230553261E10)</f>
        <v>12230553261</v>
      </c>
      <c r="D501" s="20" t="s">
        <v>6858</v>
      </c>
    </row>
    <row r="502" ht="21.0" customHeight="1">
      <c r="A502" s="19" t="s">
        <v>6187</v>
      </c>
      <c r="B502" s="44"/>
      <c r="C502" s="7">
        <f>IFERROR(__xludf.DUMMYFUNCTION("GOOGLEFINANCE(A502,""marketcap"")"),2.764993375E9)</f>
        <v>2764993375</v>
      </c>
      <c r="D502" s="20" t="s">
        <v>6859</v>
      </c>
    </row>
    <row r="503" ht="21.0" customHeight="1">
      <c r="A503" s="19" t="s">
        <v>6083</v>
      </c>
      <c r="B503" s="20">
        <v>65.0</v>
      </c>
      <c r="C503" s="7">
        <f>IFERROR(__xludf.DUMMYFUNCTION("GOOGLEFINANCE(A503,""marketcap"")"),9.8243643E7)</f>
        <v>98243643</v>
      </c>
      <c r="D503" s="20" t="s">
        <v>6860</v>
      </c>
    </row>
    <row r="504" ht="21.0" customHeight="1">
      <c r="A504" s="19" t="s">
        <v>947</v>
      </c>
      <c r="B504" s="20">
        <v>70.0</v>
      </c>
      <c r="C504" s="7">
        <f>IFERROR(__xludf.DUMMYFUNCTION("GOOGLEFINANCE(A504,""marketcap"")"),5.93050795E8)</f>
        <v>593050795</v>
      </c>
      <c r="D504" s="20" t="s">
        <v>6861</v>
      </c>
    </row>
    <row r="505" ht="21.0" customHeight="1"/>
    <row r="506" ht="21.0" customHeight="1"/>
    <row r="507" ht="21.0" customHeight="1"/>
    <row r="508" ht="21.0" customHeight="1"/>
    <row r="509" ht="21.0" customHeight="1"/>
    <row r="510" ht="21.0" customHeight="1"/>
    <row r="511" ht="21.0" customHeight="1"/>
    <row r="512" ht="21.0" customHeight="1"/>
    <row r="513" ht="21.0" customHeight="1"/>
    <row r="514" ht="21.0" customHeight="1"/>
    <row r="515" ht="21.0" customHeight="1"/>
    <row r="516" ht="21.0" customHeight="1"/>
    <row r="517" ht="21.0" customHeight="1"/>
    <row r="518" ht="21.0" customHeight="1"/>
    <row r="519" ht="21.0" customHeight="1"/>
    <row r="520" ht="21.0" customHeight="1"/>
    <row r="521" ht="21.0" customHeight="1"/>
    <row r="522" ht="21.0" customHeight="1"/>
    <row r="523" ht="21.0" customHeight="1"/>
    <row r="524" ht="21.0" customHeight="1"/>
    <row r="525" ht="21.0" customHeight="1"/>
    <row r="526" ht="21.0" customHeight="1"/>
    <row r="527" ht="21.0" customHeight="1"/>
    <row r="528" ht="21.0" customHeight="1"/>
    <row r="529" ht="21.0" customHeight="1"/>
    <row r="530" ht="21.0" customHeight="1"/>
    <row r="531" ht="21.0" customHeight="1"/>
    <row r="532" ht="21.0" customHeight="1"/>
    <row r="533" ht="21.0" customHeight="1"/>
    <row r="534" ht="21.0" customHeight="1"/>
    <row r="535" ht="21.0" customHeight="1"/>
    <row r="536" ht="21.0" customHeight="1"/>
    <row r="537" ht="21.0" customHeight="1"/>
    <row r="538" ht="21.0" customHeight="1"/>
    <row r="539" ht="21.0" customHeight="1"/>
    <row r="540" ht="21.0" customHeight="1"/>
    <row r="541" ht="21.0" customHeight="1"/>
    <row r="542" ht="21.0" customHeight="1"/>
    <row r="543" ht="21.0" customHeight="1"/>
    <row r="544" ht="21.0" customHeight="1"/>
    <row r="545" ht="21.0" customHeight="1"/>
    <row r="546" ht="21.0" customHeight="1"/>
    <row r="547" ht="21.0" customHeight="1"/>
    <row r="548" ht="21.0" customHeight="1"/>
    <row r="549" ht="21.0" customHeight="1"/>
    <row r="550" ht="21.0" customHeight="1"/>
    <row r="551" ht="21.0" customHeight="1"/>
    <row r="552" ht="21.0" customHeight="1"/>
    <row r="553" ht="21.0" customHeight="1"/>
    <row r="554" ht="21.0" customHeight="1"/>
    <row r="555" ht="21.0" customHeight="1"/>
    <row r="556" ht="21.0" customHeight="1"/>
    <row r="557" ht="21.0" customHeight="1"/>
    <row r="558" ht="21.0" customHeight="1"/>
    <row r="559" ht="21.0" customHeight="1"/>
    <row r="560" ht="21.0" customHeight="1"/>
    <row r="561" ht="21.0" customHeight="1"/>
    <row r="562" ht="21.0" customHeight="1"/>
    <row r="563" ht="21.0" customHeight="1"/>
    <row r="564" ht="21.0" customHeight="1"/>
    <row r="565" ht="21.0" customHeight="1"/>
    <row r="566" ht="21.0" customHeight="1"/>
    <row r="567" ht="21.0" customHeight="1"/>
    <row r="568" ht="21.0" customHeight="1"/>
    <row r="569" ht="21.0" customHeight="1"/>
    <row r="570" ht="21.0" customHeight="1"/>
    <row r="571" ht="21.0" customHeight="1"/>
    <row r="572" ht="21.0" customHeight="1"/>
    <row r="573" ht="21.0" customHeight="1"/>
    <row r="574" ht="21.0" customHeight="1"/>
    <row r="575" ht="21.0" customHeight="1"/>
    <row r="576" ht="21.0" customHeight="1"/>
    <row r="577" ht="21.0" customHeight="1"/>
    <row r="578" ht="21.0" customHeight="1"/>
    <row r="579" ht="21.0" customHeight="1"/>
    <row r="580" ht="21.0" customHeight="1"/>
    <row r="581" ht="21.0" customHeight="1"/>
    <row r="582" ht="21.0" customHeight="1"/>
    <row r="583" ht="21.0" customHeight="1"/>
    <row r="584" ht="21.0" customHeight="1"/>
    <row r="585" ht="21.0" customHeight="1"/>
    <row r="586" ht="21.0" customHeight="1"/>
    <row r="587" ht="21.0" customHeight="1"/>
    <row r="588" ht="21.0" customHeight="1"/>
    <row r="589" ht="21.0" customHeight="1"/>
    <row r="590" ht="21.0" customHeight="1"/>
    <row r="591" ht="21.0" customHeight="1"/>
    <row r="592" ht="21.0" customHeight="1"/>
    <row r="593" ht="21.0" customHeight="1"/>
    <row r="594" ht="21.0" customHeight="1"/>
    <row r="595" ht="21.0" customHeight="1"/>
    <row r="596" ht="21.0" customHeight="1"/>
    <row r="597" ht="21.0" customHeight="1"/>
    <row r="598" ht="21.0" customHeight="1"/>
    <row r="599" ht="21.0" customHeight="1"/>
    <row r="600" ht="21.0" customHeight="1"/>
    <row r="601" ht="21.0" customHeight="1"/>
    <row r="602" ht="21.0" customHeight="1"/>
    <row r="603" ht="21.0" customHeight="1"/>
    <row r="604" ht="21.0" customHeight="1"/>
    <row r="605" ht="21.0" customHeight="1"/>
    <row r="606" ht="21.0" customHeight="1"/>
    <row r="607" ht="21.0" customHeight="1"/>
    <row r="608" ht="21.0" customHeight="1"/>
    <row r="609" ht="21.0" customHeight="1"/>
    <row r="610" ht="21.0" customHeight="1"/>
    <row r="611" ht="21.0" customHeight="1"/>
    <row r="612" ht="21.0" customHeight="1"/>
    <row r="613" ht="21.0" customHeight="1"/>
    <row r="614" ht="21.0" customHeight="1"/>
    <row r="615" ht="21.0" customHeight="1"/>
    <row r="616" ht="21.0" customHeight="1"/>
    <row r="617" ht="21.0" customHeight="1"/>
    <row r="618" ht="21.0" customHeight="1"/>
    <row r="619" ht="21.0" customHeight="1"/>
    <row r="620" ht="21.0" customHeight="1"/>
    <row r="621" ht="21.0" customHeight="1"/>
    <row r="622" ht="21.0" customHeight="1"/>
    <row r="623" ht="21.0" customHeight="1"/>
    <row r="624" ht="21.0" customHeight="1"/>
    <row r="625" ht="21.0" customHeight="1"/>
    <row r="626" ht="21.0" customHeight="1"/>
    <row r="627" ht="21.0" customHeight="1"/>
    <row r="628" ht="21.0" customHeight="1"/>
    <row r="629" ht="21.0" customHeight="1"/>
    <row r="630" ht="21.0" customHeight="1"/>
    <row r="631" ht="21.0" customHeight="1"/>
    <row r="632" ht="21.0" customHeight="1"/>
    <row r="633" ht="21.0" customHeight="1"/>
    <row r="634" ht="21.0" customHeight="1"/>
    <row r="635" ht="21.0" customHeight="1"/>
    <row r="636" ht="21.0" customHeight="1"/>
    <row r="637" ht="21.0" customHeight="1"/>
    <row r="638" ht="21.0" customHeight="1"/>
    <row r="639" ht="21.0" customHeight="1"/>
    <row r="640" ht="21.0" customHeight="1"/>
    <row r="641" ht="21.0" customHeight="1"/>
    <row r="642" ht="21.0" customHeight="1"/>
    <row r="643" ht="21.0" customHeight="1"/>
    <row r="644" ht="21.0" customHeight="1"/>
    <row r="645" ht="21.0" customHeight="1"/>
    <row r="646" ht="21.0" customHeight="1"/>
    <row r="647" ht="21.0" customHeight="1"/>
    <row r="648" ht="21.0" customHeight="1"/>
    <row r="649" ht="21.0" customHeight="1"/>
    <row r="650" ht="21.0" customHeight="1"/>
    <row r="651" ht="21.0" customHeight="1"/>
    <row r="652" ht="21.0" customHeight="1"/>
    <row r="653" ht="21.0" customHeight="1"/>
    <row r="654" ht="21.0" customHeight="1"/>
    <row r="655" ht="21.0" customHeight="1"/>
    <row r="656" ht="21.0" customHeight="1"/>
    <row r="657" ht="21.0" customHeight="1"/>
    <row r="658" ht="21.0" customHeight="1"/>
    <row r="659" ht="21.0" customHeight="1"/>
    <row r="660" ht="21.0" customHeight="1"/>
    <row r="661" ht="21.0" customHeight="1"/>
    <row r="662" ht="21.0" customHeight="1"/>
    <row r="663" ht="21.0" customHeight="1"/>
    <row r="664" ht="21.0" customHeight="1"/>
    <row r="665" ht="21.0" customHeight="1"/>
    <row r="666" ht="21.0" customHeight="1"/>
    <row r="667" ht="21.0" customHeight="1"/>
    <row r="668" ht="21.0" customHeight="1"/>
    <row r="669" ht="21.0" customHeight="1"/>
    <row r="670" ht="21.0" customHeight="1"/>
    <row r="671" ht="21.0" customHeight="1"/>
    <row r="672" ht="21.0" customHeight="1"/>
    <row r="673" ht="21.0" customHeight="1"/>
    <row r="674" ht="21.0" customHeight="1"/>
    <row r="675" ht="21.0" customHeight="1"/>
    <row r="676" ht="21.0" customHeight="1"/>
    <row r="677" ht="21.0" customHeight="1"/>
    <row r="678" ht="21.0" customHeight="1"/>
    <row r="679" ht="21.0" customHeight="1"/>
    <row r="680" ht="21.0" customHeight="1"/>
    <row r="681" ht="21.0" customHeight="1"/>
    <row r="682" ht="21.0" customHeight="1"/>
    <row r="683" ht="21.0" customHeight="1"/>
    <row r="684" ht="21.0" customHeight="1"/>
    <row r="685" ht="21.0" customHeight="1"/>
    <row r="686" ht="21.0" customHeight="1"/>
    <row r="687" ht="21.0" customHeight="1"/>
    <row r="688" ht="21.0" customHeight="1"/>
    <row r="689" ht="21.0" customHeight="1"/>
    <row r="690" ht="21.0" customHeight="1"/>
    <row r="691" ht="21.0" customHeight="1"/>
    <row r="692" ht="21.0" customHeight="1"/>
    <row r="693" ht="21.0" customHeight="1"/>
    <row r="694" ht="21.0" customHeight="1"/>
    <row r="695" ht="21.0" customHeight="1"/>
    <row r="696" ht="21.0" customHeight="1"/>
    <row r="697" ht="21.0" customHeight="1"/>
    <row r="698" ht="21.0" customHeight="1"/>
    <row r="699" ht="21.0" customHeight="1"/>
    <row r="700" ht="21.0" customHeight="1"/>
    <row r="701" ht="21.0" customHeight="1"/>
    <row r="702" ht="21.0" customHeight="1"/>
    <row r="703" ht="21.0" customHeight="1"/>
    <row r="704" ht="21.0" customHeight="1"/>
    <row r="705" ht="21.0" customHeight="1"/>
    <row r="706" ht="21.0" customHeight="1"/>
    <row r="707" ht="21.0" customHeight="1"/>
    <row r="708" ht="21.0" customHeight="1"/>
    <row r="709" ht="21.0" customHeight="1"/>
    <row r="710" ht="21.0" customHeight="1"/>
    <row r="711" ht="21.0" customHeight="1"/>
    <row r="712" ht="21.0" customHeight="1"/>
    <row r="713" ht="21.0" customHeight="1"/>
    <row r="714" ht="21.0" customHeight="1"/>
    <row r="715" ht="21.0" customHeight="1"/>
    <row r="716" ht="21.0" customHeight="1"/>
    <row r="717" ht="21.0" customHeight="1"/>
    <row r="718" ht="21.0" customHeight="1"/>
    <row r="719" ht="21.0" customHeight="1"/>
    <row r="720" ht="21.0" customHeight="1"/>
    <row r="721" ht="21.0" customHeight="1"/>
    <row r="722" ht="21.0" customHeight="1"/>
    <row r="723" ht="21.0" customHeight="1"/>
    <row r="724" ht="21.0" customHeight="1"/>
    <row r="725" ht="21.0" customHeight="1"/>
    <row r="726" ht="21.0" customHeight="1"/>
    <row r="727" ht="21.0" customHeight="1"/>
    <row r="728" ht="21.0" customHeight="1"/>
    <row r="729" ht="21.0" customHeight="1"/>
    <row r="730" ht="21.0" customHeight="1"/>
    <row r="731" ht="21.0" customHeight="1"/>
    <row r="732" ht="21.0" customHeight="1"/>
    <row r="733" ht="21.0" customHeight="1"/>
    <row r="734" ht="21.0" customHeight="1"/>
    <row r="735" ht="21.0" customHeight="1"/>
    <row r="736" ht="21.0" customHeight="1"/>
    <row r="737" ht="21.0" customHeight="1"/>
    <row r="738" ht="21.0" customHeight="1"/>
    <row r="739" ht="21.0" customHeight="1"/>
    <row r="740" ht="21.0" customHeight="1"/>
    <row r="741" ht="21.0" customHeight="1"/>
    <row r="742" ht="21.0" customHeight="1"/>
    <row r="743" ht="21.0" customHeight="1"/>
    <row r="744" ht="21.0" customHeight="1"/>
    <row r="745" ht="21.0" customHeight="1"/>
    <row r="746" ht="21.0" customHeight="1"/>
    <row r="747" ht="21.0" customHeight="1"/>
    <row r="748" ht="21.0" customHeight="1"/>
    <row r="749" ht="21.0" customHeight="1"/>
    <row r="750" ht="21.0" customHeight="1"/>
    <row r="751" ht="21.0" customHeight="1"/>
    <row r="752" ht="21.0" customHeight="1"/>
    <row r="753" ht="21.0" customHeight="1"/>
    <row r="754" ht="21.0" customHeight="1"/>
    <row r="755" ht="21.0" customHeight="1"/>
    <row r="756" ht="21.0" customHeight="1"/>
    <row r="757" ht="21.0" customHeight="1"/>
    <row r="758" ht="21.0" customHeight="1"/>
    <row r="759" ht="21.0" customHeight="1"/>
    <row r="760" ht="21.0" customHeight="1"/>
    <row r="761" ht="21.0" customHeight="1"/>
    <row r="762" ht="21.0" customHeight="1"/>
    <row r="763" ht="21.0" customHeight="1"/>
    <row r="764" ht="21.0" customHeight="1"/>
    <row r="765" ht="21.0" customHeight="1"/>
    <row r="766" ht="21.0" customHeight="1"/>
    <row r="767" ht="21.0" customHeight="1"/>
    <row r="768" ht="21.0" customHeight="1"/>
    <row r="769" ht="21.0" customHeight="1"/>
    <row r="770" ht="21.0" customHeight="1"/>
    <row r="771" ht="21.0" customHeight="1"/>
    <row r="772" ht="21.0" customHeight="1"/>
    <row r="773" ht="21.0" customHeight="1"/>
    <row r="774" ht="21.0" customHeight="1"/>
    <row r="775" ht="21.0" customHeight="1"/>
    <row r="776" ht="21.0" customHeight="1"/>
    <row r="777" ht="21.0" customHeight="1"/>
    <row r="778" ht="21.0" customHeight="1"/>
    <row r="779" ht="21.0" customHeight="1"/>
    <row r="780" ht="21.0" customHeight="1"/>
    <row r="781" ht="21.0" customHeight="1"/>
    <row r="782" ht="21.0" customHeight="1"/>
    <row r="783" ht="21.0" customHeight="1"/>
    <row r="784" ht="21.0" customHeight="1"/>
    <row r="785" ht="21.0" customHeight="1"/>
    <row r="786" ht="21.0" customHeight="1"/>
    <row r="787" ht="21.0" customHeight="1"/>
    <row r="788" ht="21.0" customHeight="1"/>
    <row r="789" ht="21.0" customHeight="1"/>
    <row r="790" ht="21.0" customHeight="1"/>
    <row r="791" ht="21.0" customHeight="1"/>
    <row r="792" ht="21.0" customHeight="1"/>
    <row r="793" ht="21.0" customHeight="1"/>
    <row r="794" ht="21.0" customHeight="1"/>
    <row r="795" ht="21.0" customHeight="1"/>
    <row r="796" ht="21.0" customHeight="1"/>
    <row r="797" ht="21.0" customHeight="1"/>
    <row r="798" ht="21.0" customHeight="1"/>
    <row r="799" ht="21.0" customHeight="1"/>
    <row r="800" ht="21.0" customHeight="1"/>
    <row r="801" ht="21.0" customHeight="1"/>
    <row r="802" ht="21.0" customHeight="1"/>
    <row r="803" ht="21.0" customHeight="1"/>
    <row r="804" ht="21.0" customHeight="1"/>
    <row r="805" ht="21.0" customHeight="1"/>
    <row r="806" ht="21.0" customHeight="1"/>
    <row r="807" ht="21.0" customHeight="1"/>
    <row r="808" ht="21.0" customHeight="1"/>
    <row r="809" ht="21.0" customHeight="1"/>
    <row r="810" ht="21.0" customHeight="1"/>
    <row r="811" ht="21.0" customHeight="1"/>
    <row r="812" ht="21.0" customHeight="1"/>
    <row r="813" ht="21.0" customHeight="1"/>
    <row r="814" ht="21.0" customHeight="1"/>
    <row r="815" ht="21.0" customHeight="1"/>
    <row r="816" ht="21.0" customHeight="1"/>
    <row r="817" ht="21.0" customHeight="1"/>
    <row r="818" ht="21.0" customHeight="1"/>
    <row r="819" ht="21.0" customHeight="1"/>
    <row r="820" ht="21.0" customHeight="1"/>
    <row r="821" ht="21.0" customHeight="1"/>
    <row r="822" ht="21.0" customHeight="1"/>
    <row r="823" ht="21.0" customHeight="1"/>
    <row r="824" ht="21.0" customHeight="1"/>
    <row r="825" ht="21.0" customHeight="1"/>
    <row r="826" ht="21.0" customHeight="1"/>
    <row r="827" ht="21.0" customHeight="1"/>
    <row r="828" ht="21.0" customHeight="1"/>
    <row r="829" ht="21.0" customHeight="1"/>
    <row r="830" ht="21.0" customHeight="1"/>
    <row r="831" ht="21.0" customHeight="1"/>
    <row r="832" ht="21.0" customHeight="1"/>
    <row r="833" ht="21.0" customHeight="1"/>
    <row r="834" ht="21.0" customHeight="1"/>
    <row r="835" ht="21.0" customHeight="1"/>
    <row r="836" ht="21.0" customHeight="1"/>
    <row r="837" ht="21.0" customHeight="1"/>
    <row r="838" ht="21.0" customHeight="1"/>
    <row r="839" ht="21.0" customHeight="1"/>
    <row r="840" ht="21.0" customHeight="1"/>
    <row r="841" ht="21.0" customHeight="1"/>
    <row r="842" ht="21.0" customHeight="1"/>
    <row r="843" ht="21.0" customHeight="1"/>
    <row r="844" ht="21.0" customHeight="1"/>
    <row r="845" ht="21.0" customHeight="1"/>
    <row r="846" ht="21.0" customHeight="1"/>
    <row r="847" ht="21.0" customHeight="1"/>
    <row r="848" ht="21.0" customHeight="1"/>
    <row r="849" ht="21.0" customHeight="1"/>
    <row r="850" ht="21.0" customHeight="1"/>
    <row r="851" ht="21.0" customHeight="1"/>
    <row r="852" ht="21.0" customHeight="1"/>
    <row r="853" ht="21.0" customHeight="1"/>
    <row r="854" ht="21.0" customHeight="1"/>
    <row r="855" ht="21.0" customHeight="1"/>
    <row r="856" ht="21.0" customHeight="1"/>
    <row r="857" ht="21.0" customHeight="1"/>
    <row r="858" ht="21.0" customHeight="1"/>
    <row r="859" ht="21.0" customHeight="1"/>
    <row r="860" ht="21.0" customHeight="1"/>
    <row r="861" ht="21.0" customHeight="1"/>
    <row r="862" ht="21.0" customHeight="1"/>
    <row r="863" ht="21.0" customHeight="1"/>
    <row r="864" ht="21.0" customHeight="1"/>
    <row r="865" ht="21.0" customHeight="1"/>
    <row r="866" ht="21.0" customHeight="1"/>
    <row r="867" ht="21.0" customHeight="1"/>
    <row r="868" ht="21.0" customHeight="1"/>
    <row r="869" ht="21.0" customHeight="1"/>
    <row r="870" ht="21.0" customHeight="1"/>
    <row r="871" ht="21.0" customHeight="1"/>
    <row r="872" ht="21.0" customHeight="1"/>
    <row r="873" ht="21.0" customHeight="1"/>
    <row r="874" ht="21.0" customHeight="1"/>
    <row r="875" ht="21.0" customHeight="1"/>
    <row r="876" ht="21.0" customHeight="1"/>
    <row r="877" ht="21.0" customHeight="1"/>
    <row r="878" ht="21.0" customHeight="1"/>
    <row r="879" ht="21.0" customHeight="1"/>
    <row r="880" ht="21.0" customHeight="1"/>
    <row r="881" ht="21.0" customHeight="1"/>
    <row r="882" ht="21.0" customHeight="1"/>
    <row r="883" ht="21.0" customHeight="1"/>
    <row r="884" ht="21.0" customHeight="1"/>
    <row r="885" ht="21.0" customHeight="1"/>
    <row r="886" ht="21.0" customHeight="1"/>
    <row r="887" ht="21.0" customHeight="1"/>
    <row r="888" ht="21.0" customHeight="1"/>
    <row r="889" ht="21.0" customHeight="1"/>
    <row r="890" ht="21.0" customHeight="1"/>
    <row r="891" ht="21.0" customHeight="1"/>
    <row r="892" ht="21.0" customHeight="1"/>
    <row r="893" ht="21.0" customHeight="1"/>
    <row r="894" ht="21.0" customHeight="1"/>
    <row r="895" ht="21.0" customHeight="1"/>
    <row r="896" ht="21.0" customHeight="1"/>
    <row r="897" ht="21.0" customHeight="1"/>
    <row r="898" ht="21.0" customHeight="1"/>
    <row r="899" ht="21.0" customHeight="1"/>
    <row r="900" ht="21.0" customHeight="1"/>
    <row r="901" ht="21.0" customHeight="1"/>
    <row r="902" ht="21.0" customHeight="1"/>
    <row r="903" ht="21.0" customHeight="1"/>
    <row r="904" ht="21.0" customHeight="1"/>
    <row r="905" ht="21.0" customHeight="1"/>
    <row r="906" ht="21.0" customHeight="1"/>
    <row r="907" ht="21.0" customHeight="1"/>
    <row r="908" ht="21.0" customHeight="1"/>
    <row r="909" ht="21.0" customHeight="1"/>
    <row r="910" ht="21.0" customHeight="1"/>
    <row r="911" ht="21.0" customHeight="1"/>
    <row r="912" ht="21.0" customHeight="1"/>
    <row r="913" ht="21.0" customHeight="1"/>
    <row r="914" ht="21.0" customHeight="1"/>
    <row r="915" ht="21.0" customHeight="1"/>
    <row r="916" ht="21.0" customHeight="1"/>
    <row r="917" ht="21.0" customHeight="1"/>
    <row r="918" ht="21.0" customHeight="1"/>
    <row r="919" ht="21.0" customHeight="1"/>
    <row r="920" ht="21.0" customHeight="1"/>
    <row r="921" ht="21.0" customHeight="1"/>
    <row r="922" ht="21.0" customHeight="1"/>
    <row r="923" ht="21.0" customHeight="1"/>
    <row r="924" ht="21.0" customHeight="1"/>
    <row r="925" ht="21.0" customHeight="1"/>
    <row r="926" ht="21.0" customHeight="1"/>
    <row r="927" ht="21.0" customHeight="1"/>
    <row r="928" ht="21.0" customHeight="1"/>
    <row r="929" ht="21.0" customHeight="1"/>
    <row r="930" ht="21.0" customHeight="1"/>
    <row r="931" ht="21.0" customHeight="1"/>
    <row r="932" ht="21.0" customHeight="1"/>
    <row r="933" ht="21.0" customHeight="1"/>
    <row r="934" ht="21.0" customHeight="1"/>
    <row r="935" ht="21.0" customHeight="1"/>
    <row r="936" ht="21.0" customHeight="1"/>
    <row r="937" ht="21.0" customHeight="1"/>
    <row r="938" ht="21.0" customHeight="1"/>
    <row r="939" ht="21.0" customHeight="1"/>
    <row r="940" ht="21.0" customHeight="1"/>
    <row r="941" ht="21.0" customHeight="1"/>
    <row r="942" ht="21.0" customHeight="1"/>
    <row r="943" ht="21.0" customHeight="1"/>
    <row r="944" ht="21.0" customHeight="1"/>
    <row r="945" ht="21.0" customHeight="1"/>
    <row r="946" ht="21.0" customHeight="1"/>
    <row r="947" ht="21.0" customHeight="1"/>
    <row r="948" ht="21.0" customHeight="1"/>
    <row r="949" ht="21.0" customHeight="1"/>
    <row r="950" ht="21.0" customHeight="1"/>
    <row r="951" ht="21.0" customHeight="1"/>
    <row r="952" ht="21.0" customHeight="1"/>
    <row r="953" ht="21.0" customHeight="1"/>
    <row r="954" ht="21.0" customHeight="1"/>
    <row r="955" ht="21.0" customHeight="1"/>
    <row r="956" ht="21.0" customHeight="1"/>
    <row r="957" ht="21.0" customHeight="1"/>
    <row r="958" ht="21.0" customHeight="1"/>
    <row r="959" ht="21.0" customHeight="1"/>
    <row r="960" ht="21.0" customHeight="1"/>
    <row r="961" ht="21.0" customHeight="1"/>
    <row r="962" ht="21.0" customHeight="1"/>
    <row r="963" ht="21.0" customHeight="1"/>
    <row r="964" ht="21.0" customHeight="1"/>
    <row r="965" ht="21.0" customHeight="1"/>
    <row r="966" ht="21.0" customHeight="1"/>
    <row r="967" ht="21.0" customHeight="1"/>
    <row r="968" ht="21.0" customHeight="1"/>
    <row r="969" ht="21.0" customHeight="1"/>
    <row r="970" ht="21.0" customHeight="1"/>
    <row r="971" ht="21.0" customHeight="1"/>
    <row r="972" ht="21.0" customHeight="1"/>
    <row r="973" ht="21.0" customHeight="1"/>
    <row r="974" ht="21.0" customHeight="1"/>
    <row r="975" ht="21.0" customHeight="1"/>
    <row r="976" ht="21.0" customHeight="1"/>
    <row r="977" ht="21.0" customHeight="1"/>
    <row r="978" ht="21.0" customHeight="1"/>
    <row r="979" ht="21.0" customHeight="1"/>
    <row r="980" ht="21.0" customHeight="1"/>
    <row r="981" ht="21.0" customHeight="1"/>
    <row r="982" ht="21.0" customHeight="1"/>
    <row r="983" ht="21.0" customHeight="1"/>
    <row r="984" ht="21.0" customHeight="1"/>
    <row r="985" ht="21.0" customHeight="1"/>
    <row r="986" ht="21.0" customHeight="1"/>
    <row r="987" ht="21.0" customHeight="1"/>
    <row r="988" ht="21.0" customHeight="1"/>
    <row r="989" ht="21.0" customHeight="1"/>
    <row r="990" ht="21.0" customHeight="1"/>
    <row r="991" ht="21.0" customHeight="1"/>
    <row r="992" ht="21.0" customHeight="1"/>
    <row r="993" ht="21.0" customHeight="1"/>
    <row r="994" ht="21.0" customHeight="1"/>
    <row r="995" ht="21.0" customHeight="1"/>
    <row r="996" ht="21.0" customHeight="1"/>
    <row r="997" ht="21.0" customHeight="1"/>
    <row r="998" ht="21.0" customHeight="1"/>
    <row r="999" ht="21.0" customHeight="1"/>
    <row r="1000" ht="21.0" customHeight="1"/>
    <row r="1001" ht="21.0" customHeight="1"/>
  </sheetData>
  <autoFilter ref="$A$1:$D$504">
    <sortState ref="A1:D504">
      <sortCondition descending="1" ref="C1:C504"/>
    </sortState>
  </autoFilter>
  <hyperlinks>
    <hyperlink r:id="rId1" ref="D75"/>
    <hyperlink r:id="rId2" ref="D270"/>
  </hyperlinks>
  <drawing r:id="rId3"/>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6.75"/>
  </cols>
  <sheetData>
    <row r="1">
      <c r="A1" s="16" t="s">
        <v>759</v>
      </c>
      <c r="B1" s="16" t="s">
        <v>625</v>
      </c>
      <c r="C1" s="16" t="s">
        <v>1643</v>
      </c>
      <c r="D1" s="16" t="s">
        <v>624</v>
      </c>
    </row>
    <row r="2">
      <c r="A2" s="16" t="s">
        <v>183</v>
      </c>
      <c r="B2" s="16">
        <v>80.0</v>
      </c>
      <c r="C2" s="53">
        <f>IFERROR(__xludf.DUMMYFUNCTION("GOOGLEFINANCE(A2,""marketcap"")"),3.083691900928E12)</f>
        <v>3083691900928</v>
      </c>
      <c r="D2" s="16" t="s">
        <v>6862</v>
      </c>
    </row>
    <row r="3">
      <c r="A3" s="16" t="s">
        <v>35</v>
      </c>
      <c r="B3" s="16">
        <v>85.0</v>
      </c>
      <c r="C3" s="53">
        <f>IFERROR(__xludf.DUMMYFUNCTION("GOOGLEFINANCE(A3,""marketcap"")"),4.308093609573E12)</f>
        <v>4308093609573</v>
      </c>
      <c r="D3" s="16" t="s">
        <v>6863</v>
      </c>
    </row>
    <row r="4">
      <c r="A4" s="16" t="s">
        <v>182</v>
      </c>
      <c r="B4" s="16">
        <v>90.0</v>
      </c>
      <c r="C4" s="53">
        <f>IFERROR(__xludf.DUMMYFUNCTION("GOOGLEFINANCE(A4,""marketcap"")"),5.229772984313E12)</f>
        <v>5229772984313</v>
      </c>
      <c r="D4" s="16" t="s">
        <v>6864</v>
      </c>
    </row>
    <row r="5">
      <c r="A5" s="16" t="s">
        <v>229</v>
      </c>
      <c r="B5" s="16">
        <v>85.0</v>
      </c>
      <c r="C5" s="53">
        <f>IFERROR(__xludf.DUMMYFUNCTION("GOOGLEFINANCE(A5,""marketcap"")"),4.840260565908E12)</f>
        <v>4840260565908</v>
      </c>
      <c r="D5" s="16" t="s">
        <v>6865</v>
      </c>
    </row>
    <row r="6">
      <c r="A6" s="16" t="s">
        <v>184</v>
      </c>
      <c r="B6" s="16">
        <v>85.0</v>
      </c>
      <c r="C6" s="53">
        <f>IFERROR(__xludf.DUMMYFUNCTION("GOOGLEFINANCE(A6,""marketcap"")"),4.841311148549E12)</f>
        <v>4841311148549</v>
      </c>
      <c r="D6" s="16" t="s">
        <v>6866</v>
      </c>
    </row>
    <row r="7">
      <c r="A7" s="16" t="s">
        <v>53</v>
      </c>
      <c r="B7" s="16">
        <v>90.0</v>
      </c>
      <c r="C7" s="53">
        <f>IFERROR(__xludf.DUMMYFUNCTION("GOOGLEFINANCE(A7,""marketcap"")"),2.933245949212E12)</f>
        <v>2933245949212</v>
      </c>
      <c r="D7" s="16" t="s">
        <v>6867</v>
      </c>
    </row>
    <row r="8">
      <c r="A8" s="16" t="s">
        <v>46</v>
      </c>
      <c r="B8" s="16">
        <v>85.0</v>
      </c>
      <c r="C8" s="53">
        <f>IFERROR(__xludf.DUMMYFUNCTION("GOOGLEFINANCE(A8,""marketcap"")"),1.547498825884E12)</f>
        <v>1547498825884</v>
      </c>
      <c r="D8" s="16" t="s">
        <v>6868</v>
      </c>
    </row>
    <row r="9">
      <c r="A9" s="16" t="s">
        <v>180</v>
      </c>
      <c r="B9" s="16">
        <v>75.0</v>
      </c>
      <c r="C9" s="53">
        <f>IFERROR(__xludf.DUMMYFUNCTION("GOOGLEFINANCE(A9,""marketcap"")"),1.028142997165E12)</f>
        <v>1028142997165</v>
      </c>
      <c r="D9" s="16" t="s">
        <v>6869</v>
      </c>
    </row>
    <row r="10">
      <c r="A10" s="16" t="s">
        <v>185</v>
      </c>
      <c r="B10" s="16">
        <v>85.0</v>
      </c>
      <c r="C10" s="53">
        <f>IFERROR(__xludf.DUMMYFUNCTION("GOOGLEFINANCE(A10,""marketcap"")"),2.03590724E12)</f>
        <v>2035907240000</v>
      </c>
      <c r="D10" s="16" t="s">
        <v>6870</v>
      </c>
    </row>
    <row r="11">
      <c r="A11" s="16" t="s">
        <v>230</v>
      </c>
      <c r="B11" s="16">
        <v>60.0</v>
      </c>
      <c r="C11" s="53">
        <f>IFERROR(__xludf.DUMMYFUNCTION("GOOGLEFINANCE(A11,""marketcap"")"),1.342221893625E12)</f>
        <v>1342221893625</v>
      </c>
      <c r="D11" s="16" t="s">
        <v>6871</v>
      </c>
    </row>
    <row r="12">
      <c r="A12" s="16" t="s">
        <v>21</v>
      </c>
      <c r="B12" s="16">
        <v>70.0</v>
      </c>
      <c r="C12" s="53">
        <f>IFERROR(__xludf.DUMMYFUNCTION("GOOGLEFINANCE(A12,""marketcap"")"),6.00640224849E11)</f>
        <v>600640224849</v>
      </c>
      <c r="D12" s="16" t="s">
        <v>6872</v>
      </c>
    </row>
    <row r="13">
      <c r="A13" s="16" t="s">
        <v>36</v>
      </c>
      <c r="B13" s="16">
        <v>85.0</v>
      </c>
      <c r="C13" s="53">
        <f>IFERROR(__xludf.DUMMYFUNCTION("GOOGLEFINANCE(A13,""marketcap"")"),4.37798110931E11)</f>
        <v>437798110931</v>
      </c>
      <c r="D13" s="16" t="s">
        <v>6873</v>
      </c>
    </row>
    <row r="14">
      <c r="A14" s="16" t="s">
        <v>187</v>
      </c>
      <c r="B14" s="16">
        <v>85.0</v>
      </c>
      <c r="C14" s="53">
        <f>IFERROR(__xludf.DUMMYFUNCTION("GOOGLEFINANCE(A14,""marketcap"")"),5.3276528407E11)</f>
        <v>532765284070</v>
      </c>
      <c r="D14" s="16" t="s">
        <v>6874</v>
      </c>
    </row>
    <row r="15">
      <c r="A15" s="16" t="s">
        <v>941</v>
      </c>
      <c r="B15" s="16">
        <v>70.0</v>
      </c>
      <c r="C15" s="53">
        <f>IFERROR(__xludf.DUMMYFUNCTION("GOOGLEFINANCE(A15,""marketcap"")"),3.59062730346E11)</f>
        <v>359062730346</v>
      </c>
      <c r="D15" s="16" t="s">
        <v>6875</v>
      </c>
    </row>
    <row r="16">
      <c r="A16" s="16" t="s">
        <v>198</v>
      </c>
      <c r="B16" s="16">
        <v>85.0</v>
      </c>
      <c r="C16" s="53">
        <f>IFERROR(__xludf.DUMMYFUNCTION("GOOGLEFINANCE(A16,""marketcap"")"),3.56493986497E11)</f>
        <v>356493986497</v>
      </c>
      <c r="D16" s="16" t="s">
        <v>6876</v>
      </c>
    </row>
    <row r="17">
      <c r="A17" s="16" t="s">
        <v>37</v>
      </c>
      <c r="B17" s="16">
        <v>75.0</v>
      </c>
      <c r="C17" s="53">
        <f>IFERROR(__xludf.DUMMYFUNCTION("GOOGLEFINANCE(A17,""marketcap"")"),3.68347965594E11)</f>
        <v>368347965594</v>
      </c>
      <c r="D17" s="16" t="s">
        <v>6877</v>
      </c>
    </row>
    <row r="18">
      <c r="A18" s="16" t="s">
        <v>239</v>
      </c>
      <c r="B18" s="16">
        <v>75.0</v>
      </c>
      <c r="C18" s="53">
        <f>IFERROR(__xludf.DUMMYFUNCTION("GOOGLEFINANCE(A18,""marketcap"")"),7.422331E11)</f>
        <v>742233100000</v>
      </c>
      <c r="D18" s="16" t="s">
        <v>6878</v>
      </c>
    </row>
    <row r="19">
      <c r="A19" s="16" t="s">
        <v>795</v>
      </c>
      <c r="B19" s="16">
        <v>85.0</v>
      </c>
      <c r="C19" s="53">
        <f>IFERROR(__xludf.DUMMYFUNCTION("GOOGLEFINANCE(A19,""marketcap"")"),2.113297E11)</f>
        <v>211329700000</v>
      </c>
      <c r="D19" s="16" t="s">
        <v>6879</v>
      </c>
    </row>
    <row r="20">
      <c r="A20" s="16" t="s">
        <v>18</v>
      </c>
      <c r="B20" s="16">
        <v>85.0</v>
      </c>
      <c r="C20" s="53">
        <f>IFERROR(__xludf.DUMMYFUNCTION("GOOGLEFINANCE(A20,""marketcap"")"),1.02278714678E11)</f>
        <v>102278714678</v>
      </c>
      <c r="D20" s="16" t="s">
        <v>6880</v>
      </c>
    </row>
    <row r="21">
      <c r="A21" s="16" t="s">
        <v>126</v>
      </c>
      <c r="B21" s="16">
        <v>85.0</v>
      </c>
      <c r="C21" s="53">
        <f>IFERROR(__xludf.DUMMYFUNCTION("GOOGLEFINANCE(A21,""marketcap"")"),1.72803951E11)</f>
        <v>172803951000</v>
      </c>
      <c r="D21" s="16" t="s">
        <v>6881</v>
      </c>
    </row>
    <row r="22">
      <c r="A22" s="16" t="s">
        <v>1634</v>
      </c>
      <c r="B22" s="16">
        <v>70.0</v>
      </c>
      <c r="C22" s="53">
        <f>IFERROR(__xludf.DUMMYFUNCTION("GOOGLEFINANCE(A22,""marketcap"")"),2.31472694092E11)</f>
        <v>231472694092</v>
      </c>
      <c r="D22" s="16" t="s">
        <v>6882</v>
      </c>
    </row>
    <row r="23">
      <c r="A23" s="16" t="s">
        <v>206</v>
      </c>
      <c r="B23" s="16">
        <v>80.0</v>
      </c>
      <c r="C23" s="53">
        <f>IFERROR(__xludf.DUMMYFUNCTION("GOOGLEFINANCE(A23,""marketcap"")"),1.10766891297E11)</f>
        <v>110766891297</v>
      </c>
      <c r="D23" s="16" t="s">
        <v>6883</v>
      </c>
    </row>
    <row r="24">
      <c r="A24" s="16" t="s">
        <v>15</v>
      </c>
      <c r="B24" s="16">
        <v>80.0</v>
      </c>
      <c r="C24" s="53">
        <f>IFERROR(__xludf.DUMMYFUNCTION("GOOGLEFINANCE(A24,""marketcap"")"),2.309209E11)</f>
        <v>230920900000</v>
      </c>
      <c r="D24" s="16" t="s">
        <v>6884</v>
      </c>
    </row>
    <row r="25">
      <c r="A25" s="16" t="s">
        <v>1200</v>
      </c>
      <c r="B25" s="16">
        <v>85.0</v>
      </c>
      <c r="C25" s="53">
        <f>IFERROR(__xludf.DUMMYFUNCTION("GOOGLEFINANCE(A25,""marketcap"")"),1.8757791239E11)</f>
        <v>187577912390</v>
      </c>
      <c r="D25" s="16" t="s">
        <v>6885</v>
      </c>
    </row>
    <row r="26">
      <c r="A26" s="16" t="s">
        <v>1580</v>
      </c>
      <c r="B26" s="16">
        <v>85.0</v>
      </c>
      <c r="C26" s="53">
        <f>IFERROR(__xludf.DUMMYFUNCTION("GOOGLEFINANCE(A26,""marketcap"")"),1.960107107E11)</f>
        <v>196010710700</v>
      </c>
      <c r="D26" s="16" t="s">
        <v>6886</v>
      </c>
    </row>
    <row r="27">
      <c r="A27" s="16" t="s">
        <v>197</v>
      </c>
      <c r="B27" s="16">
        <v>90.0</v>
      </c>
      <c r="C27" s="53">
        <f>IFERROR(__xludf.DUMMYFUNCTION("GOOGLEFINANCE(A27,""marketcap"")"),1.21142018487E11)</f>
        <v>121142018487</v>
      </c>
      <c r="D27" s="16" t="s">
        <v>6887</v>
      </c>
    </row>
    <row r="28">
      <c r="A28" s="16" t="s">
        <v>771</v>
      </c>
      <c r="B28" s="16">
        <v>85.0</v>
      </c>
      <c r="C28" s="53">
        <f>IFERROR(__xludf.DUMMYFUNCTION("GOOGLEFINANCE(A28,""marketcap"")"),1.46869587308E11)</f>
        <v>146869587308</v>
      </c>
      <c r="D28" s="16" t="s">
        <v>6888</v>
      </c>
    </row>
    <row r="29">
      <c r="A29" s="16" t="s">
        <v>963</v>
      </c>
      <c r="B29" s="16">
        <v>85.0</v>
      </c>
      <c r="C29" s="53">
        <f>IFERROR(__xludf.DUMMYFUNCTION("GOOGLEFINANCE(A29,""marketcap"")"),2.15635579756E11)</f>
        <v>215635579756</v>
      </c>
      <c r="D29" s="16" t="s">
        <v>6889</v>
      </c>
    </row>
    <row r="30">
      <c r="A30" s="16" t="s">
        <v>41</v>
      </c>
      <c r="B30" s="16">
        <v>80.0</v>
      </c>
      <c r="C30" s="53">
        <f>IFERROR(__xludf.DUMMYFUNCTION("GOOGLEFINANCE(A30,""marketcap"")"),4.13358206277E11)</f>
        <v>413358206277</v>
      </c>
      <c r="D30" s="16" t="s">
        <v>6890</v>
      </c>
    </row>
    <row r="31">
      <c r="A31" s="16" t="s">
        <v>1325</v>
      </c>
      <c r="B31" s="16">
        <v>80.0</v>
      </c>
      <c r="C31" s="53">
        <f>IFERROR(__xludf.DUMMYFUNCTION("GOOGLEFINANCE(A31,""marketcap"")"),2.619247E11)</f>
        <v>261924700000</v>
      </c>
      <c r="D31" s="16" t="s">
        <v>6891</v>
      </c>
    </row>
    <row r="32">
      <c r="A32" s="16" t="s">
        <v>294</v>
      </c>
      <c r="B32" s="16">
        <v>85.0</v>
      </c>
      <c r="C32" s="53">
        <f>IFERROR(__xludf.DUMMYFUNCTION("GOOGLEFINANCE(A32,""marketcap"")"),1.79021216528E11)</f>
        <v>179021216528</v>
      </c>
      <c r="D32" s="16" t="s">
        <v>6892</v>
      </c>
    </row>
    <row r="33">
      <c r="A33" s="16" t="s">
        <v>1171</v>
      </c>
      <c r="B33" s="16">
        <v>80.0</v>
      </c>
      <c r="C33" s="53">
        <f>IFERROR(__xludf.DUMMYFUNCTION("GOOGLEFINANCE(A33,""marketcap"")"),2.66497840981E11)</f>
        <v>266497840981</v>
      </c>
      <c r="D33" s="16" t="s">
        <v>6893</v>
      </c>
    </row>
    <row r="34">
      <c r="A34" s="16" t="s">
        <v>1006</v>
      </c>
      <c r="B34" s="16">
        <v>50.0</v>
      </c>
      <c r="C34" s="53">
        <f>IFERROR(__xludf.DUMMYFUNCTION("GOOGLEFINANCE(A34,""marketcap"")"),1.57126194756E11)</f>
        <v>157126194756</v>
      </c>
      <c r="D34" s="16" t="s">
        <v>6894</v>
      </c>
    </row>
    <row r="35">
      <c r="A35" s="16" t="s">
        <v>1592</v>
      </c>
      <c r="B35" s="16">
        <v>85.0</v>
      </c>
      <c r="C35" s="53">
        <f>IFERROR(__xludf.DUMMYFUNCTION("GOOGLEFINANCE(A35,""marketcap"")"),1.94145243918E11)</f>
        <v>194145243918</v>
      </c>
      <c r="D35" s="16" t="s">
        <v>6895</v>
      </c>
    </row>
    <row r="36">
      <c r="A36" s="16" t="s">
        <v>274</v>
      </c>
      <c r="B36" s="16">
        <v>50.0</v>
      </c>
      <c r="C36" s="53">
        <f>IFERROR(__xludf.DUMMYFUNCTION("GOOGLEFINANCE(A36,""marketcap"")"),1.48167662151E11)</f>
        <v>148167662151</v>
      </c>
      <c r="D36" s="16" t="s">
        <v>6896</v>
      </c>
    </row>
    <row r="37">
      <c r="A37" s="16" t="s">
        <v>1628</v>
      </c>
      <c r="B37" s="16">
        <v>75.0</v>
      </c>
      <c r="C37" s="53">
        <f>IFERROR(__xludf.DUMMYFUNCTION("GOOGLEFINANCE(A37,""marketcap"")"),1.53585862887E11)</f>
        <v>153585862887</v>
      </c>
      <c r="D37" s="16" t="s">
        <v>6897</v>
      </c>
    </row>
    <row r="38">
      <c r="A38" s="16" t="s">
        <v>1560</v>
      </c>
      <c r="B38" s="16">
        <v>85.0</v>
      </c>
      <c r="C38" s="53">
        <f>IFERROR(__xludf.DUMMYFUNCTION("GOOGLEFINANCE(A38,""marketcap"")"),1.59394508903E11)</f>
        <v>159394508903</v>
      </c>
      <c r="D38" s="16" t="s">
        <v>6898</v>
      </c>
    </row>
    <row r="39">
      <c r="A39" s="16" t="s">
        <v>426</v>
      </c>
      <c r="B39" s="16">
        <v>75.0</v>
      </c>
      <c r="C39" s="53">
        <f>IFERROR(__xludf.DUMMYFUNCTION("GOOGLEFINANCE(A39,""marketcap"")"),1.243555E11)</f>
        <v>124355500000</v>
      </c>
      <c r="D39" s="16" t="s">
        <v>6899</v>
      </c>
    </row>
    <row r="40">
      <c r="A40" s="16" t="s">
        <v>1421</v>
      </c>
      <c r="B40" s="16">
        <v>85.0</v>
      </c>
      <c r="C40" s="53">
        <f>IFERROR(__xludf.DUMMYFUNCTION("GOOGLEFINANCE(A40,""marketcap"")"),6.27722128233E11)</f>
        <v>627722128233</v>
      </c>
      <c r="D40" s="16" t="s">
        <v>6900</v>
      </c>
    </row>
    <row r="41">
      <c r="A41" s="16" t="s">
        <v>141</v>
      </c>
      <c r="B41" s="16">
        <v>70.0</v>
      </c>
      <c r="C41" s="53">
        <f>IFERROR(__xludf.DUMMYFUNCTION("GOOGLEFINANCE(A41,""marketcap"")"),1.133613004E11)</f>
        <v>113361300400</v>
      </c>
      <c r="D41" s="16" t="s">
        <v>6901</v>
      </c>
    </row>
    <row r="42">
      <c r="A42" s="16" t="s">
        <v>1327</v>
      </c>
      <c r="B42" s="16">
        <v>80.0</v>
      </c>
      <c r="C42" s="53">
        <f>IFERROR(__xludf.DUMMYFUNCTION("GOOGLEFINANCE(A42,""marketcap"")"),8.5663623798E10)</f>
        <v>85663623798</v>
      </c>
      <c r="D42" s="16" t="s">
        <v>6902</v>
      </c>
    </row>
    <row r="43">
      <c r="A43" s="16" t="s">
        <v>264</v>
      </c>
      <c r="B43" s="16">
        <v>80.0</v>
      </c>
      <c r="C43" s="53">
        <f>IFERROR(__xludf.DUMMYFUNCTION("GOOGLEFINANCE(A43,""marketcap"")"),1.28575583829E11)</f>
        <v>128575583829</v>
      </c>
      <c r="D43" s="16" t="s">
        <v>6903</v>
      </c>
    </row>
    <row r="44">
      <c r="A44" s="16" t="s">
        <v>265</v>
      </c>
      <c r="B44" s="16">
        <v>85.0</v>
      </c>
      <c r="C44" s="53">
        <f>IFERROR(__xludf.DUMMYFUNCTION("GOOGLEFINANCE(A44,""marketcap"")"),5.03495983E8)</f>
        <v>503495983</v>
      </c>
      <c r="D44" s="16" t="s">
        <v>6904</v>
      </c>
    </row>
    <row r="45">
      <c r="A45" s="16" t="s">
        <v>40</v>
      </c>
      <c r="B45" s="16">
        <v>85.0</v>
      </c>
      <c r="C45" s="53">
        <f>IFERROR(__xludf.DUMMYFUNCTION("GOOGLEFINANCE(A45,""marketcap"")"),1.16782771287E11)</f>
        <v>116782771287</v>
      </c>
      <c r="D45" s="16" t="s">
        <v>6905</v>
      </c>
    </row>
    <row r="46">
      <c r="A46" s="16" t="s">
        <v>898</v>
      </c>
      <c r="B46" s="16">
        <v>75.0</v>
      </c>
      <c r="C46" s="53">
        <f>IFERROR(__xludf.DUMMYFUNCTION("GOOGLEFINANCE(A46,""marketcap"")"),1.69587635714E11)</f>
        <v>169587635714</v>
      </c>
      <c r="D46" s="16" t="s">
        <v>6906</v>
      </c>
    </row>
    <row r="47">
      <c r="A47" s="16" t="s">
        <v>122</v>
      </c>
      <c r="B47" s="16">
        <v>85.0</v>
      </c>
      <c r="C47" s="53">
        <f>IFERROR(__xludf.DUMMYFUNCTION("GOOGLEFINANCE(A47,""marketcap"")"),9.7767844709E10)</f>
        <v>97767844709</v>
      </c>
      <c r="D47" s="16" t="s">
        <v>6907</v>
      </c>
    </row>
    <row r="48">
      <c r="A48" s="16" t="s">
        <v>1429</v>
      </c>
      <c r="B48" s="16">
        <v>75.0</v>
      </c>
      <c r="C48" s="53">
        <f>IFERROR(__xludf.DUMMYFUNCTION("GOOGLEFINANCE(A48,""marketcap"")"),1.87111434409E11)</f>
        <v>187111434409</v>
      </c>
      <c r="D48" s="16" t="s">
        <v>6908</v>
      </c>
    </row>
    <row r="49">
      <c r="A49" s="16" t="s">
        <v>614</v>
      </c>
      <c r="B49" s="16">
        <v>50.0</v>
      </c>
      <c r="C49" s="53">
        <f>IFERROR(__xludf.DUMMYFUNCTION("GOOGLEFINANCE(A49,""marketcap"")"),8.0159125603E10)</f>
        <v>80159125603</v>
      </c>
      <c r="D49" s="16" t="s">
        <v>6909</v>
      </c>
    </row>
    <row r="50">
      <c r="A50" s="16" t="s">
        <v>55</v>
      </c>
      <c r="B50" s="16">
        <v>75.0</v>
      </c>
      <c r="C50" s="53">
        <f>IFERROR(__xludf.DUMMYFUNCTION("GOOGLEFINANCE(A50,""marketcap"")"),1.23975608045E11)</f>
        <v>123975608045</v>
      </c>
      <c r="D50" s="16" t="s">
        <v>6910</v>
      </c>
    </row>
    <row r="51">
      <c r="A51" s="16" t="s">
        <v>1155</v>
      </c>
      <c r="B51" s="16">
        <v>75.0</v>
      </c>
      <c r="C51" s="53">
        <f>IFERROR(__xludf.DUMMYFUNCTION("GOOGLEFINANCE(A51,""marketcap"")"),8.4119373813E10)</f>
        <v>84119373813</v>
      </c>
      <c r="D51" s="16" t="s">
        <v>6911</v>
      </c>
    </row>
    <row r="52">
      <c r="A52" s="16" t="s">
        <v>1153</v>
      </c>
      <c r="B52" s="16">
        <v>85.0</v>
      </c>
      <c r="C52" s="53">
        <f>IFERROR(__xludf.DUMMYFUNCTION("GOOGLEFINANCE(A52,""marketcap"")"),2.0334680802E11)</f>
        <v>203346808020</v>
      </c>
      <c r="D52" s="16" t="s">
        <v>6912</v>
      </c>
    </row>
    <row r="53">
      <c r="A53" s="16" t="s">
        <v>1045</v>
      </c>
      <c r="B53" s="16">
        <v>85.0</v>
      </c>
      <c r="C53" s="53" t="str">
        <f>IFERROR(__xludf.DUMMYFUNCTION("GOOGLEFINANCE(A53,""marketcap"")"),"#N/A")</f>
        <v>#N/A</v>
      </c>
      <c r="D53" s="16" t="s">
        <v>6913</v>
      </c>
    </row>
    <row r="54">
      <c r="A54" s="16" t="s">
        <v>242</v>
      </c>
      <c r="B54" s="16">
        <v>85.0</v>
      </c>
      <c r="C54" s="53">
        <f>IFERROR(__xludf.DUMMYFUNCTION("GOOGLEFINANCE(A54,""marketcap"")"),8.5141383977E10)</f>
        <v>85141383977</v>
      </c>
      <c r="D54" s="16" t="s">
        <v>6914</v>
      </c>
    </row>
    <row r="55">
      <c r="A55" s="16" t="s">
        <v>151</v>
      </c>
      <c r="B55" s="16">
        <v>85.0</v>
      </c>
      <c r="C55" s="53">
        <f>IFERROR(__xludf.DUMMYFUNCTION("GOOGLEFINANCE(A55,""marketcap"")"),1.34340593414E11)</f>
        <v>134340593414</v>
      </c>
      <c r="D55" s="16" t="s">
        <v>6915</v>
      </c>
    </row>
    <row r="56">
      <c r="A56" s="16" t="s">
        <v>87</v>
      </c>
      <c r="B56" s="16">
        <v>80.0</v>
      </c>
      <c r="C56" s="53" t="str">
        <f>IFERROR(__xludf.DUMMYFUNCTION("GOOGLEFINANCE(A56,""marketcap"")"),"#N/A")</f>
        <v>#N/A</v>
      </c>
      <c r="D56" s="16" t="s">
        <v>6916</v>
      </c>
    </row>
    <row r="57">
      <c r="A57" s="16" t="s">
        <v>296</v>
      </c>
      <c r="B57" s="16">
        <v>80.0</v>
      </c>
      <c r="C57" s="53">
        <f>IFERROR(__xludf.DUMMYFUNCTION("GOOGLEFINANCE(A57,""marketcap"")"),1.14682707048E11)</f>
        <v>114682707048</v>
      </c>
      <c r="D57" s="16" t="s">
        <v>6917</v>
      </c>
    </row>
    <row r="58">
      <c r="A58" s="16" t="s">
        <v>878</v>
      </c>
      <c r="B58" s="16">
        <v>75.0</v>
      </c>
      <c r="C58" s="53">
        <f>IFERROR(__xludf.DUMMYFUNCTION("GOOGLEFINANCE(A58,""marketcap"")"),4.1675997323E10)</f>
        <v>41675997323</v>
      </c>
      <c r="D58" s="16" t="s">
        <v>6918</v>
      </c>
    </row>
    <row r="59">
      <c r="A59" s="16" t="s">
        <v>394</v>
      </c>
      <c r="B59" s="16">
        <v>85.0</v>
      </c>
      <c r="C59" s="53">
        <f>IFERROR(__xludf.DUMMYFUNCTION("GOOGLEFINANCE(A59,""marketcap"")"),1.78517072919E11)</f>
        <v>178517072919</v>
      </c>
      <c r="D59" s="16" t="s">
        <v>6919</v>
      </c>
    </row>
    <row r="60">
      <c r="A60" s="16" t="s">
        <v>243</v>
      </c>
      <c r="B60" s="16">
        <v>85.0</v>
      </c>
      <c r="C60" s="53">
        <f>IFERROR(__xludf.DUMMYFUNCTION("GOOGLEFINANCE(A60,""marketcap"")"),8.2244090721E10)</f>
        <v>82244090721</v>
      </c>
      <c r="D60" s="16" t="s">
        <v>6920</v>
      </c>
    </row>
    <row r="61">
      <c r="A61" s="16" t="s">
        <v>809</v>
      </c>
      <c r="B61" s="16">
        <v>85.0</v>
      </c>
      <c r="C61" s="53">
        <f>IFERROR(__xludf.DUMMYFUNCTION("GOOGLEFINANCE(A61,""marketcap"")"),8.6487356548E10)</f>
        <v>86487356548</v>
      </c>
      <c r="D61" s="16" t="s">
        <v>6921</v>
      </c>
    </row>
    <row r="62">
      <c r="A62" s="16" t="s">
        <v>146</v>
      </c>
      <c r="B62" s="16">
        <v>50.0</v>
      </c>
      <c r="C62" s="53">
        <f>IFERROR(__xludf.DUMMYFUNCTION("GOOGLEFINANCE(A62,""marketcap"")"),1.0348614344E11)</f>
        <v>103486143440</v>
      </c>
      <c r="D62" s="16" t="s">
        <v>6922</v>
      </c>
    </row>
    <row r="63">
      <c r="A63" s="16" t="s">
        <v>857</v>
      </c>
      <c r="B63" s="16">
        <v>85.0</v>
      </c>
      <c r="C63" s="53">
        <f>IFERROR(__xludf.DUMMYFUNCTION("GOOGLEFINANCE(A63,""marketcap"")"),9.8937938018E10)</f>
        <v>98937938018</v>
      </c>
      <c r="D63" s="16" t="s">
        <v>6923</v>
      </c>
    </row>
    <row r="64">
      <c r="A64" s="16" t="s">
        <v>130</v>
      </c>
      <c r="B64" s="16">
        <v>70.0</v>
      </c>
      <c r="C64" s="53">
        <f>IFERROR(__xludf.DUMMYFUNCTION("GOOGLEFINANCE(A64,""marketcap"")"),1.63009556202E11)</f>
        <v>163009556202</v>
      </c>
      <c r="D64" s="16" t="s">
        <v>6924</v>
      </c>
    </row>
    <row r="65">
      <c r="A65" s="16" t="s">
        <v>1185</v>
      </c>
      <c r="B65" s="16">
        <v>85.0</v>
      </c>
      <c r="C65" s="53">
        <f>IFERROR(__xludf.DUMMYFUNCTION("GOOGLEFINANCE(A65,""marketcap"")"),7.8139092598E10)</f>
        <v>78139092598</v>
      </c>
      <c r="D65" s="16" t="s">
        <v>6925</v>
      </c>
    </row>
    <row r="66">
      <c r="A66" s="16" t="s">
        <v>1034</v>
      </c>
      <c r="B66" s="16">
        <v>80.0</v>
      </c>
      <c r="C66" s="53">
        <f>IFERROR(__xludf.DUMMYFUNCTION("GOOGLEFINANCE(A66,""marketcap"")"),9.6802458726E10)</f>
        <v>96802458726</v>
      </c>
      <c r="D66" s="16" t="s">
        <v>6926</v>
      </c>
    </row>
    <row r="67">
      <c r="A67" s="16" t="s">
        <v>250</v>
      </c>
      <c r="B67" s="16">
        <v>85.0</v>
      </c>
      <c r="C67" s="53">
        <f>IFERROR(__xludf.DUMMYFUNCTION("GOOGLEFINANCE(A67,""marketcap"")"),1.00038430296E11)</f>
        <v>100038430296</v>
      </c>
      <c r="D67" s="16" t="s">
        <v>6927</v>
      </c>
    </row>
    <row r="68">
      <c r="A68" s="16" t="s">
        <v>551</v>
      </c>
      <c r="B68" s="16">
        <v>85.0</v>
      </c>
      <c r="C68" s="53">
        <f>IFERROR(__xludf.DUMMYFUNCTION("GOOGLEFINANCE(A68,""marketcap"")"),8.8118161891E10)</f>
        <v>88118161891</v>
      </c>
      <c r="D68" s="16" t="s">
        <v>6928</v>
      </c>
    </row>
    <row r="69">
      <c r="A69" s="16" t="s">
        <v>1582</v>
      </c>
      <c r="B69" s="16">
        <v>85.0</v>
      </c>
      <c r="C69" s="53">
        <f>IFERROR(__xludf.DUMMYFUNCTION("GOOGLEFINANCE(A69,""marketcap"")"),1.13752979506E11)</f>
        <v>113752979506</v>
      </c>
      <c r="D69" s="16" t="s">
        <v>6929</v>
      </c>
    </row>
    <row r="70">
      <c r="A70" s="16" t="s">
        <v>919</v>
      </c>
      <c r="B70" s="16">
        <v>75.0</v>
      </c>
      <c r="C70" s="53">
        <f>IFERROR(__xludf.DUMMYFUNCTION("GOOGLEFINANCE(A70,""marketcap"")"),6.9257683204E10)</f>
        <v>69257683204</v>
      </c>
      <c r="D70" s="16" t="s">
        <v>6930</v>
      </c>
    </row>
    <row r="71">
      <c r="A71" s="16" t="s">
        <v>287</v>
      </c>
      <c r="B71" s="16">
        <v>75.0</v>
      </c>
      <c r="C71" s="53">
        <f>IFERROR(__xludf.DUMMYFUNCTION("GOOGLEFINANCE(A71,""marketcap"")"),1.57506857518E11)</f>
        <v>157506857518</v>
      </c>
      <c r="D71" s="16" t="s">
        <v>6931</v>
      </c>
    </row>
    <row r="72">
      <c r="A72" s="16" t="s">
        <v>254</v>
      </c>
      <c r="B72" s="16">
        <v>70.0</v>
      </c>
      <c r="C72" s="53">
        <f>IFERROR(__xludf.DUMMYFUNCTION("GOOGLEFINANCE(A72,""marketcap"")"),8.8623726693E10)</f>
        <v>88623726693</v>
      </c>
      <c r="D72" s="16" t="s">
        <v>6932</v>
      </c>
    </row>
    <row r="73">
      <c r="A73" s="16" t="s">
        <v>1081</v>
      </c>
      <c r="B73" s="16">
        <v>85.0</v>
      </c>
      <c r="C73" s="53">
        <f>IFERROR(__xludf.DUMMYFUNCTION("GOOGLEFINANCE(A73,""marketcap"")"),1.03049445403E11)</f>
        <v>103049445403</v>
      </c>
      <c r="D73" s="16" t="s">
        <v>6933</v>
      </c>
    </row>
    <row r="74">
      <c r="A74" s="16" t="s">
        <v>275</v>
      </c>
      <c r="B74" s="16">
        <v>80.0</v>
      </c>
      <c r="C74" s="53">
        <f>IFERROR(__xludf.DUMMYFUNCTION("GOOGLEFINANCE(A74,""marketcap"")"),6.6802526878E10)</f>
        <v>66802526878</v>
      </c>
      <c r="D74" s="16" t="s">
        <v>6934</v>
      </c>
    </row>
    <row r="75">
      <c r="A75" s="16" t="s">
        <v>862</v>
      </c>
      <c r="B75" s="16">
        <v>85.0</v>
      </c>
      <c r="C75" s="53">
        <f>IFERROR(__xludf.DUMMYFUNCTION("GOOGLEFINANCE(A75,""marketcap"")"),4.002113E10)</f>
        <v>40021130000</v>
      </c>
      <c r="D75" s="16" t="s">
        <v>6935</v>
      </c>
    </row>
    <row r="76">
      <c r="A76" s="16" t="s">
        <v>886</v>
      </c>
      <c r="B76" s="16">
        <v>75.0</v>
      </c>
      <c r="C76" s="53">
        <f>IFERROR(__xludf.DUMMYFUNCTION("GOOGLEFINANCE(A76,""marketcap"")"),7.9641687074E10)</f>
        <v>79641687074</v>
      </c>
      <c r="D76" s="16" t="s">
        <v>6936</v>
      </c>
    </row>
    <row r="77">
      <c r="A77" s="16" t="s">
        <v>1498</v>
      </c>
      <c r="B77" s="16">
        <v>75.0</v>
      </c>
      <c r="C77" s="53">
        <f>IFERROR(__xludf.DUMMYFUNCTION("GOOGLEFINANCE(A77,""marketcap"")"),4.2548965088E10)</f>
        <v>42548965088</v>
      </c>
      <c r="D77" s="16" t="s">
        <v>6937</v>
      </c>
    </row>
    <row r="78">
      <c r="A78" s="16" t="s">
        <v>1348</v>
      </c>
      <c r="B78" s="16">
        <v>75.0</v>
      </c>
      <c r="C78" s="53">
        <f>IFERROR(__xludf.DUMMYFUNCTION("GOOGLEFINANCE(A78,""marketcap"")"),9.3129537816E10)</f>
        <v>93129537816</v>
      </c>
      <c r="D78" s="16" t="s">
        <v>6938</v>
      </c>
    </row>
    <row r="79">
      <c r="A79" s="16" t="s">
        <v>968</v>
      </c>
      <c r="B79" s="16">
        <v>50.0</v>
      </c>
      <c r="C79" s="53">
        <f>IFERROR(__xludf.DUMMYFUNCTION("GOOGLEFINANCE(A79,""marketcap"")"),7.1797753358E10)</f>
        <v>71797753358</v>
      </c>
      <c r="D79" s="16" t="s">
        <v>6939</v>
      </c>
    </row>
    <row r="80">
      <c r="A80" s="16" t="s">
        <v>1145</v>
      </c>
      <c r="B80" s="16">
        <v>80.0</v>
      </c>
      <c r="C80" s="53">
        <f>IFERROR(__xludf.DUMMYFUNCTION("GOOGLEFINANCE(A80,""marketcap"")"),7.441585E10)</f>
        <v>74415850000</v>
      </c>
      <c r="D80" s="16" t="s">
        <v>6940</v>
      </c>
    </row>
    <row r="81">
      <c r="A81" s="16" t="s">
        <v>1083</v>
      </c>
      <c r="B81" s="16">
        <v>70.0</v>
      </c>
      <c r="C81" s="53">
        <f>IFERROR(__xludf.DUMMYFUNCTION("GOOGLEFINANCE(A81,""marketcap"")"),9.0331721282E10)</f>
        <v>90331721282</v>
      </c>
      <c r="D81" s="16" t="s">
        <v>6941</v>
      </c>
    </row>
    <row r="82">
      <c r="A82" s="16" t="s">
        <v>1197</v>
      </c>
      <c r="B82" s="16">
        <v>75.0</v>
      </c>
      <c r="C82" s="53">
        <f>IFERROR(__xludf.DUMMYFUNCTION("GOOGLEFINANCE(A82,""marketcap"")"),7.1486513816E10)</f>
        <v>71486513816</v>
      </c>
      <c r="D82" s="16" t="s">
        <v>6942</v>
      </c>
    </row>
    <row r="83">
      <c r="A83" s="16" t="s">
        <v>1487</v>
      </c>
      <c r="B83" s="16">
        <v>85.0</v>
      </c>
      <c r="C83" s="53">
        <f>IFERROR(__xludf.DUMMYFUNCTION("GOOGLEFINANCE(A83,""marketcap"")"),6.6804720375E10)</f>
        <v>66804720375</v>
      </c>
      <c r="D83" s="16" t="s">
        <v>6943</v>
      </c>
    </row>
    <row r="84">
      <c r="A84" s="16" t="s">
        <v>864</v>
      </c>
      <c r="B84" s="16">
        <v>50.0</v>
      </c>
      <c r="C84" s="53">
        <f>IFERROR(__xludf.DUMMYFUNCTION("GOOGLEFINANCE(A84,""marketcap"")"),8.707928596E10)</f>
        <v>87079285960</v>
      </c>
      <c r="D84" s="16" t="s">
        <v>6944</v>
      </c>
    </row>
    <row r="85">
      <c r="A85" s="16" t="s">
        <v>139</v>
      </c>
      <c r="B85" s="16">
        <v>50.0</v>
      </c>
      <c r="C85" s="53">
        <f>IFERROR(__xludf.DUMMYFUNCTION("GOOGLEFINANCE(A85,""marketcap"")"),7.9147729632E10)</f>
        <v>79147729632</v>
      </c>
      <c r="D85" s="16" t="s">
        <v>6945</v>
      </c>
    </row>
    <row r="86">
      <c r="A86" s="16" t="s">
        <v>71</v>
      </c>
      <c r="B86" s="16">
        <v>80.0</v>
      </c>
      <c r="C86" s="53">
        <f>IFERROR(__xludf.DUMMYFUNCTION("GOOGLEFINANCE(A86,""marketcap"")"),1.51510432581E11)</f>
        <v>151510432581</v>
      </c>
      <c r="D86" s="16" t="s">
        <v>6946</v>
      </c>
    </row>
    <row r="87">
      <c r="A87" s="16" t="s">
        <v>1508</v>
      </c>
      <c r="B87" s="16">
        <v>80.0</v>
      </c>
      <c r="C87" s="53">
        <f>IFERROR(__xludf.DUMMYFUNCTION("GOOGLEFINANCE(A87,""marketcap"")"),5.5507689652E10)</f>
        <v>55507689652</v>
      </c>
      <c r="D87" s="16" t="s">
        <v>6947</v>
      </c>
    </row>
    <row r="88">
      <c r="A88" s="16" t="s">
        <v>63</v>
      </c>
      <c r="B88" s="16">
        <v>75.0</v>
      </c>
      <c r="C88" s="53">
        <f>IFERROR(__xludf.DUMMYFUNCTION("GOOGLEFINANCE(A88,""marketcap"")"),5.2745476926E10)</f>
        <v>52745476926</v>
      </c>
      <c r="D88" s="16" t="s">
        <v>6948</v>
      </c>
    </row>
    <row r="89">
      <c r="A89" s="16" t="s">
        <v>956</v>
      </c>
      <c r="B89" s="16">
        <v>75.0</v>
      </c>
      <c r="C89" s="53">
        <f>IFERROR(__xludf.DUMMYFUNCTION("GOOGLEFINANCE(A89,""marketcap"")"),6.5782106402E10)</f>
        <v>65782106402</v>
      </c>
      <c r="D89" s="16" t="s">
        <v>6949</v>
      </c>
    </row>
    <row r="90">
      <c r="A90" s="16" t="s">
        <v>929</v>
      </c>
      <c r="B90" s="16">
        <v>80.0</v>
      </c>
      <c r="C90" s="53">
        <f>IFERROR(__xludf.DUMMYFUNCTION("GOOGLEFINANCE(A90,""marketcap"")"),1.20167436422E11)</f>
        <v>120167436422</v>
      </c>
      <c r="D90" s="16" t="s">
        <v>6950</v>
      </c>
    </row>
    <row r="91">
      <c r="A91" s="16" t="s">
        <v>819</v>
      </c>
      <c r="B91" s="16">
        <v>85.0</v>
      </c>
      <c r="C91" s="53">
        <f>IFERROR(__xludf.DUMMYFUNCTION("GOOGLEFINANCE(A91,""marketcap"")"),3.2694685773E10)</f>
        <v>32694685773</v>
      </c>
      <c r="D91" s="16" t="s">
        <v>6951</v>
      </c>
    </row>
    <row r="92">
      <c r="A92" s="16" t="s">
        <v>244</v>
      </c>
      <c r="B92" s="16">
        <v>75.0</v>
      </c>
      <c r="C92" s="53">
        <f>IFERROR(__xludf.DUMMYFUNCTION("GOOGLEFINANCE(A92,""marketcap"")"),5.1109588745E10)</f>
        <v>51109588745</v>
      </c>
      <c r="D92" s="16" t="s">
        <v>6952</v>
      </c>
    </row>
    <row r="93">
      <c r="A93" s="16" t="s">
        <v>1063</v>
      </c>
      <c r="B93" s="16">
        <v>85.0</v>
      </c>
      <c r="C93" s="53">
        <f>IFERROR(__xludf.DUMMYFUNCTION("GOOGLEFINANCE(A93,""marketcap"")"),4.0486545755E10)</f>
        <v>40486545755</v>
      </c>
      <c r="D93" s="16" t="s">
        <v>6953</v>
      </c>
    </row>
    <row r="94">
      <c r="A94" s="16" t="s">
        <v>1195</v>
      </c>
      <c r="B94" s="16">
        <v>85.0</v>
      </c>
      <c r="C94" s="53">
        <f>IFERROR(__xludf.DUMMYFUNCTION("GOOGLEFINANCE(A94,""marketcap"")"),7.4735374915E10)</f>
        <v>74735374915</v>
      </c>
      <c r="D94" s="16" t="s">
        <v>6954</v>
      </c>
    </row>
    <row r="95">
      <c r="A95" s="16" t="s">
        <v>1252</v>
      </c>
      <c r="B95" s="16">
        <v>75.0</v>
      </c>
      <c r="C95" s="53">
        <f>IFERROR(__xludf.DUMMYFUNCTION("GOOGLEFINANCE(A95,""marketcap"")"),6.118511845E10)</f>
        <v>61185118450</v>
      </c>
      <c r="D95" s="16" t="s">
        <v>6955</v>
      </c>
    </row>
    <row r="96">
      <c r="A96" s="16" t="s">
        <v>1187</v>
      </c>
      <c r="B96" s="16">
        <v>85.0</v>
      </c>
      <c r="C96" s="53">
        <f>IFERROR(__xludf.DUMMYFUNCTION("GOOGLEFINANCE(A96,""marketcap"")"),2.3387756704E10)</f>
        <v>23387756704</v>
      </c>
      <c r="D96" s="16" t="s">
        <v>6956</v>
      </c>
    </row>
    <row r="97">
      <c r="A97" s="16" t="s">
        <v>1313</v>
      </c>
      <c r="B97" s="16">
        <v>85.0</v>
      </c>
      <c r="C97" s="53">
        <f>IFERROR(__xludf.DUMMYFUNCTION("GOOGLEFINANCE(A97,""marketcap"")"),4.6040967472E10)</f>
        <v>46040967472</v>
      </c>
      <c r="D97" s="16" t="s">
        <v>6957</v>
      </c>
    </row>
    <row r="98">
      <c r="A98" s="16" t="s">
        <v>1549</v>
      </c>
      <c r="B98" s="16">
        <v>75.0</v>
      </c>
      <c r="C98" s="53">
        <f>IFERROR(__xludf.DUMMYFUNCTION("GOOGLEFINANCE(A98,""marketcap"")"),7.1051220511E10)</f>
        <v>71051220511</v>
      </c>
      <c r="D98" s="16" t="s">
        <v>6958</v>
      </c>
    </row>
    <row r="99">
      <c r="A99" s="16" t="s">
        <v>1305</v>
      </c>
      <c r="B99" s="16">
        <v>75.0</v>
      </c>
      <c r="C99" s="53">
        <f>IFERROR(__xludf.DUMMYFUNCTION("GOOGLEFINANCE(A99,""marketcap"")"),7.1578595937E10)</f>
        <v>71578595937</v>
      </c>
      <c r="D99" s="16" t="s">
        <v>6959</v>
      </c>
    </row>
    <row r="100">
      <c r="A100" s="16" t="s">
        <v>1441</v>
      </c>
      <c r="B100" s="16">
        <v>85.0</v>
      </c>
      <c r="C100" s="53">
        <f>IFERROR(__xludf.DUMMYFUNCTION("GOOGLEFINANCE(A100,""marketcap"")"),5.3621104804E10)</f>
        <v>53621104804</v>
      </c>
      <c r="D100" s="16" t="s">
        <v>6960</v>
      </c>
    </row>
    <row r="101">
      <c r="A101" s="16" t="s">
        <v>1540</v>
      </c>
      <c r="B101" s="16">
        <v>75.0</v>
      </c>
      <c r="C101" s="53">
        <f>IFERROR(__xludf.DUMMYFUNCTION("GOOGLEFINANCE(A101,""marketcap"")"),4.9091404223E10)</f>
        <v>49091404223</v>
      </c>
      <c r="D101" s="16" t="s">
        <v>6961</v>
      </c>
    </row>
    <row r="102">
      <c r="A102" s="16" t="s">
        <v>1352</v>
      </c>
      <c r="B102" s="16">
        <v>85.0</v>
      </c>
      <c r="C102" s="53">
        <f>IFERROR(__xludf.DUMMYFUNCTION("GOOGLEFINANCE(A102,""marketcap"")"),6.5658316597E10)</f>
        <v>65658316597</v>
      </c>
      <c r="D102" s="16" t="s">
        <v>6962</v>
      </c>
    </row>
    <row r="103">
      <c r="A103" s="16" t="s">
        <v>1479</v>
      </c>
      <c r="B103" s="16">
        <v>75.0</v>
      </c>
      <c r="C103" s="53">
        <f>IFERROR(__xludf.DUMMYFUNCTION("GOOGLEFINANCE(A103,""marketcap"")"),5.7566180103E10)</f>
        <v>57566180103</v>
      </c>
      <c r="D103" s="16" t="s">
        <v>6963</v>
      </c>
    </row>
    <row r="104">
      <c r="A104" s="16" t="s">
        <v>1373</v>
      </c>
      <c r="B104" s="16">
        <v>85.0</v>
      </c>
      <c r="C104" s="53">
        <f>IFERROR(__xludf.DUMMYFUNCTION("GOOGLEFINANCE(A104,""marketcap"")"),5.4601736028E10)</f>
        <v>54601736028</v>
      </c>
      <c r="D104" s="16" t="s">
        <v>6964</v>
      </c>
    </row>
    <row r="105">
      <c r="A105" s="16" t="s">
        <v>1617</v>
      </c>
      <c r="B105" s="16">
        <v>75.0</v>
      </c>
      <c r="C105" s="53">
        <f>IFERROR(__xludf.DUMMYFUNCTION("GOOGLEFINANCE(A105,""marketcap"")"),2.123905E10)</f>
        <v>21239050000</v>
      </c>
      <c r="D105" s="16" t="s">
        <v>6965</v>
      </c>
    </row>
    <row r="106">
      <c r="A106" s="16" t="s">
        <v>85</v>
      </c>
      <c r="B106" s="16">
        <v>85.0</v>
      </c>
      <c r="C106" s="53">
        <f>IFERROR(__xludf.DUMMYFUNCTION("GOOGLEFINANCE(A106,""marketcap"")"),1.2438060231E11)</f>
        <v>124380602310</v>
      </c>
      <c r="D106" s="16" t="s">
        <v>6966</v>
      </c>
    </row>
    <row r="107">
      <c r="A107" s="16" t="s">
        <v>1061</v>
      </c>
      <c r="B107" s="16">
        <v>80.0</v>
      </c>
      <c r="C107" s="53">
        <f>IFERROR(__xludf.DUMMYFUNCTION("GOOGLEFINANCE(A107,""marketcap"")"),7.0820695776E10)</f>
        <v>70820695776</v>
      </c>
      <c r="D107" s="16" t="s">
        <v>6967</v>
      </c>
    </row>
    <row r="108">
      <c r="A108" s="16" t="s">
        <v>1468</v>
      </c>
      <c r="B108" s="16">
        <v>85.0</v>
      </c>
      <c r="C108" s="53">
        <f>IFERROR(__xludf.DUMMYFUNCTION("GOOGLEFINANCE(A108,""marketcap"")"),5.9800593828E10)</f>
        <v>59800593828</v>
      </c>
      <c r="D108" s="16" t="s">
        <v>6968</v>
      </c>
    </row>
    <row r="109">
      <c r="A109" s="16" t="s">
        <v>1584</v>
      </c>
      <c r="B109" s="16">
        <v>70.0</v>
      </c>
      <c r="C109" s="53">
        <f>IFERROR(__xludf.DUMMYFUNCTION("GOOGLEFINANCE(A109,""marketcap"")"),2.1565334799E10)</f>
        <v>21565334799</v>
      </c>
      <c r="D109" s="16" t="s">
        <v>6969</v>
      </c>
    </row>
    <row r="110">
      <c r="A110" s="16" t="s">
        <v>165</v>
      </c>
      <c r="B110" s="16">
        <v>80.0</v>
      </c>
      <c r="C110" s="53">
        <f>IFERROR(__xludf.DUMMYFUNCTION("GOOGLEFINANCE(A110,""marketcap"")"),3.9224915866E10)</f>
        <v>39224915866</v>
      </c>
      <c r="D110" s="16" t="s">
        <v>6970</v>
      </c>
    </row>
    <row r="111">
      <c r="A111" s="16" t="s">
        <v>164</v>
      </c>
      <c r="B111" s="16">
        <v>50.0</v>
      </c>
      <c r="C111" s="53">
        <f>IFERROR(__xludf.DUMMYFUNCTION("GOOGLEFINANCE(A111,""marketcap"")"),3.2633050082E10)</f>
        <v>32633050082</v>
      </c>
      <c r="D111" s="16" t="s">
        <v>6971</v>
      </c>
    </row>
    <row r="112">
      <c r="A112" s="16" t="s">
        <v>1000</v>
      </c>
      <c r="B112" s="16">
        <v>70.0</v>
      </c>
      <c r="C112" s="53">
        <f>IFERROR(__xludf.DUMMYFUNCTION("GOOGLEFINANCE(A112,""marketcap"")"),8.3510863509E10)</f>
        <v>83510863509</v>
      </c>
      <c r="D112" s="16" t="s">
        <v>6972</v>
      </c>
    </row>
    <row r="113">
      <c r="A113" s="16" t="s">
        <v>1526</v>
      </c>
      <c r="B113" s="16">
        <v>85.0</v>
      </c>
      <c r="C113" s="53">
        <f>IFERROR(__xludf.DUMMYFUNCTION("GOOGLEFINANCE(A113,""marketcap"")"),6.8633105002E10)</f>
        <v>68633105002</v>
      </c>
      <c r="D113" s="16" t="s">
        <v>6973</v>
      </c>
    </row>
    <row r="114">
      <c r="A114" s="16" t="s">
        <v>49</v>
      </c>
      <c r="B114" s="16">
        <v>50.0</v>
      </c>
      <c r="C114" s="53">
        <f>IFERROR(__xludf.DUMMYFUNCTION("GOOGLEFINANCE(A114,""marketcap"")"),5.869981735E10)</f>
        <v>58699817350</v>
      </c>
      <c r="D114" s="16" t="s">
        <v>6974</v>
      </c>
    </row>
    <row r="115">
      <c r="A115" s="16" t="s">
        <v>1089</v>
      </c>
      <c r="B115" s="16">
        <v>80.0</v>
      </c>
      <c r="C115" s="53">
        <f>IFERROR(__xludf.DUMMYFUNCTION("GOOGLEFINANCE(A115,""marketcap"")"),2.1672118702E10)</f>
        <v>21672118702</v>
      </c>
      <c r="D115" s="16" t="s">
        <v>6975</v>
      </c>
    </row>
    <row r="116">
      <c r="A116" s="16" t="s">
        <v>542</v>
      </c>
      <c r="B116" s="16">
        <v>85.0</v>
      </c>
      <c r="C116" s="53">
        <f>IFERROR(__xludf.DUMMYFUNCTION("GOOGLEFINANCE(A116,""marketcap"")"),5.4869263263E10)</f>
        <v>54869263263</v>
      </c>
      <c r="D116" s="16" t="s">
        <v>6976</v>
      </c>
    </row>
    <row r="117">
      <c r="A117" s="16" t="s">
        <v>217</v>
      </c>
      <c r="B117" s="16">
        <v>50.0</v>
      </c>
      <c r="C117" s="53">
        <f>IFERROR(__xludf.DUMMYFUNCTION("GOOGLEFINANCE(A117,""marketcap"")"),5.4429494169E10)</f>
        <v>54429494169</v>
      </c>
      <c r="D117" s="16" t="s">
        <v>6977</v>
      </c>
    </row>
    <row r="118">
      <c r="A118" s="16" t="s">
        <v>1569</v>
      </c>
      <c r="B118" s="16">
        <v>60.0</v>
      </c>
      <c r="C118" s="53">
        <f>IFERROR(__xludf.DUMMYFUNCTION("GOOGLEFINANCE(A118,""marketcap"")"),2.8407660457E10)</f>
        <v>28407660457</v>
      </c>
      <c r="D118" s="16" t="s">
        <v>6978</v>
      </c>
    </row>
    <row r="119">
      <c r="A119" s="16" t="s">
        <v>1485</v>
      </c>
      <c r="B119" s="16">
        <v>85.0</v>
      </c>
      <c r="C119" s="53">
        <f>IFERROR(__xludf.DUMMYFUNCTION("GOOGLEFINANCE(A119,""marketcap"")"),4.1946951124E10)</f>
        <v>41946951124</v>
      </c>
      <c r="D119" s="16" t="s">
        <v>6979</v>
      </c>
    </row>
    <row r="120">
      <c r="A120" s="16" t="s">
        <v>170</v>
      </c>
      <c r="B120" s="16">
        <v>85.0</v>
      </c>
      <c r="C120" s="53">
        <f>IFERROR(__xludf.DUMMYFUNCTION("GOOGLEFINANCE(A120,""marketcap"")"),1.5164223501E10)</f>
        <v>15164223501</v>
      </c>
      <c r="D120" s="16" t="s">
        <v>6980</v>
      </c>
    </row>
    <row r="121">
      <c r="A121" s="16" t="s">
        <v>1231</v>
      </c>
      <c r="B121" s="16">
        <v>85.0</v>
      </c>
      <c r="C121" s="53">
        <f>IFERROR(__xludf.DUMMYFUNCTION("GOOGLEFINANCE(A121,""marketcap"")"),3.2674478702E10)</f>
        <v>32674478702</v>
      </c>
      <c r="D121" s="16" t="s">
        <v>6981</v>
      </c>
    </row>
    <row r="122">
      <c r="A122" s="16" t="s">
        <v>1143</v>
      </c>
      <c r="B122" s="16">
        <v>80.0</v>
      </c>
      <c r="C122" s="53">
        <f>IFERROR(__xludf.DUMMYFUNCTION("GOOGLEFINANCE(A122,""marketcap"")"),5.1809849E10)</f>
        <v>51809849000</v>
      </c>
      <c r="D122" s="16" t="s">
        <v>6982</v>
      </c>
    </row>
    <row r="123">
      <c r="A123" s="16" t="s">
        <v>805</v>
      </c>
      <c r="B123" s="16">
        <v>85.0</v>
      </c>
      <c r="C123" s="53">
        <f>IFERROR(__xludf.DUMMYFUNCTION("GOOGLEFINANCE(A123,""marketcap"")"),5.5821406564E10)</f>
        <v>55821406564</v>
      </c>
      <c r="D123" s="16" t="s">
        <v>6983</v>
      </c>
    </row>
    <row r="124">
      <c r="A124" s="16" t="s">
        <v>845</v>
      </c>
      <c r="B124" s="16">
        <v>85.0</v>
      </c>
      <c r="C124" s="53">
        <f>IFERROR(__xludf.DUMMYFUNCTION("GOOGLEFINANCE(A124,""marketcap"")"),4.4183150373E10)</f>
        <v>44183150373</v>
      </c>
      <c r="D124" s="16" t="s">
        <v>6984</v>
      </c>
    </row>
    <row r="125">
      <c r="A125" s="16" t="s">
        <v>1522</v>
      </c>
      <c r="B125" s="16">
        <v>60.0</v>
      </c>
      <c r="C125" s="53">
        <f>IFERROR(__xludf.DUMMYFUNCTION("GOOGLEFINANCE(A125,""marketcap"")"),5.4261364763E10)</f>
        <v>54261364763</v>
      </c>
      <c r="D125" s="16" t="s">
        <v>6985</v>
      </c>
    </row>
    <row r="126">
      <c r="A126" s="16" t="s">
        <v>837</v>
      </c>
      <c r="B126" s="16">
        <v>85.0</v>
      </c>
      <c r="C126" s="53">
        <f>IFERROR(__xludf.DUMMYFUNCTION("GOOGLEFINANCE(A126,""marketcap"")"),5.3266752561E10)</f>
        <v>53266752561</v>
      </c>
      <c r="D126" s="16" t="s">
        <v>6986</v>
      </c>
    </row>
    <row r="127">
      <c r="A127" s="16" t="s">
        <v>359</v>
      </c>
      <c r="B127" s="16">
        <v>85.0</v>
      </c>
      <c r="C127" s="53">
        <f>IFERROR(__xludf.DUMMYFUNCTION("GOOGLEFINANCE(A127,""marketcap"")"),1.11794849E11)</f>
        <v>111794849000</v>
      </c>
      <c r="D127" s="16" t="s">
        <v>6987</v>
      </c>
    </row>
    <row r="128">
      <c r="A128" s="16" t="s">
        <v>868</v>
      </c>
      <c r="B128" s="16">
        <v>80.0</v>
      </c>
      <c r="C128" s="53">
        <f>IFERROR(__xludf.DUMMYFUNCTION("GOOGLEFINANCE(A128,""marketcap"")"),1.9045379745E10)</f>
        <v>19045379745</v>
      </c>
      <c r="D128" s="16" t="s">
        <v>6988</v>
      </c>
    </row>
    <row r="129">
      <c r="A129" s="16" t="s">
        <v>1233</v>
      </c>
      <c r="B129" s="16">
        <v>80.0</v>
      </c>
      <c r="C129" s="53">
        <f>IFERROR(__xludf.DUMMYFUNCTION("GOOGLEFINANCE(A129,""marketcap"")"),4.1880625303E10)</f>
        <v>41880625303</v>
      </c>
      <c r="D129" s="16" t="s">
        <v>6989</v>
      </c>
    </row>
    <row r="130">
      <c r="A130" s="16" t="s">
        <v>609</v>
      </c>
      <c r="B130" s="16">
        <v>75.0</v>
      </c>
      <c r="C130" s="53">
        <f>IFERROR(__xludf.DUMMYFUNCTION("GOOGLEFINANCE(A130,""marketcap"")"),3.5389739007E10)</f>
        <v>35389739007</v>
      </c>
      <c r="D130" s="16" t="s">
        <v>6990</v>
      </c>
    </row>
    <row r="131">
      <c r="A131" s="16" t="s">
        <v>997</v>
      </c>
      <c r="B131" s="16">
        <v>80.0</v>
      </c>
      <c r="C131" s="53">
        <f>IFERROR(__xludf.DUMMYFUNCTION("GOOGLEFINANCE(A131,""marketcap"")"),2.8871976754E10)</f>
        <v>28871976754</v>
      </c>
      <c r="D131" s="16" t="s">
        <v>6991</v>
      </c>
    </row>
    <row r="132">
      <c r="A132" s="16" t="s">
        <v>1474</v>
      </c>
      <c r="B132" s="16">
        <v>50.0</v>
      </c>
      <c r="C132" s="53">
        <f>IFERROR(__xludf.DUMMYFUNCTION("GOOGLEFINANCE(A132,""marketcap"")"),3.2772736166E10)</f>
        <v>32772736166</v>
      </c>
      <c r="D132" s="16" t="s">
        <v>6992</v>
      </c>
    </row>
    <row r="133">
      <c r="A133" s="16" t="s">
        <v>277</v>
      </c>
      <c r="B133" s="16">
        <v>75.0</v>
      </c>
      <c r="C133" s="53">
        <f>IFERROR(__xludf.DUMMYFUNCTION("GOOGLEFINANCE(A133,""marketcap"")"),7.3817961656E10)</f>
        <v>73817961656</v>
      </c>
      <c r="D133" s="16" t="s">
        <v>6993</v>
      </c>
    </row>
    <row r="134">
      <c r="A134" s="16" t="s">
        <v>1601</v>
      </c>
      <c r="B134" s="16">
        <v>50.0</v>
      </c>
      <c r="C134" s="53">
        <f>IFERROR(__xludf.DUMMYFUNCTION("GOOGLEFINANCE(A134,""marketcap"")"),3.8435528213E10)</f>
        <v>38435528213</v>
      </c>
      <c r="D134" s="16" t="s">
        <v>6994</v>
      </c>
    </row>
    <row r="135">
      <c r="A135" s="16" t="s">
        <v>1072</v>
      </c>
      <c r="B135" s="16">
        <v>85.0</v>
      </c>
      <c r="C135" s="53">
        <f>IFERROR(__xludf.DUMMYFUNCTION("GOOGLEFINANCE(A135,""marketcap"")"),3.6814032014E10)</f>
        <v>36814032014</v>
      </c>
      <c r="D135" s="16" t="s">
        <v>6995</v>
      </c>
    </row>
    <row r="136">
      <c r="A136" s="16" t="s">
        <v>1189</v>
      </c>
      <c r="B136" s="16">
        <v>75.0</v>
      </c>
      <c r="C136" s="53">
        <f>IFERROR(__xludf.DUMMYFUNCTION("GOOGLEFINANCE(A136,""marketcap"")"),5.0160852238E10)</f>
        <v>50160852238</v>
      </c>
      <c r="D136" s="16" t="s">
        <v>6996</v>
      </c>
    </row>
    <row r="137">
      <c r="A137" s="16" t="s">
        <v>167</v>
      </c>
      <c r="B137" s="16">
        <v>50.0</v>
      </c>
      <c r="C137" s="53">
        <f>IFERROR(__xludf.DUMMYFUNCTION("GOOGLEFINANCE(A137,""marketcap"")"),3.5192672718E10)</f>
        <v>35192672718</v>
      </c>
      <c r="D137" s="16" t="s">
        <v>6997</v>
      </c>
    </row>
    <row r="138">
      <c r="A138" s="16" t="s">
        <v>787</v>
      </c>
      <c r="B138" s="16">
        <v>85.0</v>
      </c>
      <c r="C138" s="53">
        <f>IFERROR(__xludf.DUMMYFUNCTION("GOOGLEFINANCE(A138,""marketcap"")"),7.8649251512E10)</f>
        <v>78649251512</v>
      </c>
      <c r="D138" s="16" t="s">
        <v>6998</v>
      </c>
    </row>
    <row r="139">
      <c r="A139" s="16" t="s">
        <v>1641</v>
      </c>
      <c r="B139" s="16">
        <v>85.0</v>
      </c>
      <c r="C139" s="53">
        <f>IFERROR(__xludf.DUMMYFUNCTION("GOOGLEFINANCE(A139,""marketcap"")"),2.7032882552E10)</f>
        <v>27032882552</v>
      </c>
      <c r="D139" s="16" t="s">
        <v>6999</v>
      </c>
    </row>
    <row r="140">
      <c r="A140" s="16" t="s">
        <v>1193</v>
      </c>
      <c r="B140" s="16">
        <v>50.0</v>
      </c>
      <c r="C140" s="53">
        <f>IFERROR(__xludf.DUMMYFUNCTION("GOOGLEFINANCE(A140,""marketcap"")"),3.9166856872E10)</f>
        <v>39166856872</v>
      </c>
      <c r="D140" s="16" t="s">
        <v>7000</v>
      </c>
    </row>
    <row r="141">
      <c r="A141" s="16" t="s">
        <v>1131</v>
      </c>
      <c r="B141" s="16">
        <v>75.0</v>
      </c>
      <c r="C141" s="53">
        <f>IFERROR(__xludf.DUMMYFUNCTION("GOOGLEFINANCE(A141,""marketcap"")"),4.8177393221E10)</f>
        <v>48177393221</v>
      </c>
      <c r="D141" s="16" t="s">
        <v>7001</v>
      </c>
    </row>
    <row r="142">
      <c r="A142" s="16" t="s">
        <v>1551</v>
      </c>
      <c r="B142" s="16">
        <v>75.0</v>
      </c>
      <c r="C142" s="53">
        <f>IFERROR(__xludf.DUMMYFUNCTION("GOOGLEFINANCE(A142,""marketcap"")"),3.327389192E10)</f>
        <v>33273891920</v>
      </c>
      <c r="D142" s="16" t="s">
        <v>7002</v>
      </c>
    </row>
    <row r="143">
      <c r="A143" s="16" t="s">
        <v>1503</v>
      </c>
      <c r="B143" s="16">
        <v>85.0</v>
      </c>
      <c r="C143" s="53">
        <f>IFERROR(__xludf.DUMMYFUNCTION("GOOGLEFINANCE(A143,""marketcap"")"),6.3393191443E10)</f>
        <v>63393191443</v>
      </c>
      <c r="D143" s="16" t="s">
        <v>7003</v>
      </c>
    </row>
    <row r="144">
      <c r="A144" s="16" t="s">
        <v>890</v>
      </c>
      <c r="B144" s="16">
        <v>75.0</v>
      </c>
      <c r="C144" s="53">
        <f>IFERROR(__xludf.DUMMYFUNCTION("GOOGLEFINANCE(A144,""marketcap"")"),2.8560396544E10)</f>
        <v>28560396544</v>
      </c>
      <c r="D144" s="16" t="s">
        <v>7004</v>
      </c>
    </row>
    <row r="145">
      <c r="A145" s="16" t="s">
        <v>780</v>
      </c>
      <c r="B145" s="16">
        <v>70.0</v>
      </c>
      <c r="C145" s="53">
        <f>IFERROR(__xludf.DUMMYFUNCTION("GOOGLEFINANCE(A145,""marketcap"")"),2.9991839791E10)</f>
        <v>29991839791</v>
      </c>
      <c r="D145" s="16" t="s">
        <v>7005</v>
      </c>
    </row>
    <row r="146">
      <c r="A146" s="16" t="s">
        <v>537</v>
      </c>
      <c r="B146" s="16">
        <v>85.0</v>
      </c>
      <c r="C146" s="53">
        <f>IFERROR(__xludf.DUMMYFUNCTION("GOOGLEFINANCE(A146,""marketcap"")"),3.1517534606E10)</f>
        <v>31517534606</v>
      </c>
      <c r="D146" s="16" t="s">
        <v>7006</v>
      </c>
    </row>
    <row r="147">
      <c r="A147" s="16" t="s">
        <v>1375</v>
      </c>
      <c r="B147" s="16">
        <v>85.0</v>
      </c>
      <c r="C147" s="53">
        <f>IFERROR(__xludf.DUMMYFUNCTION("GOOGLEFINANCE(A147,""marketcap"")"),2.4949437728E10)</f>
        <v>24949437728</v>
      </c>
      <c r="D147" s="16" t="s">
        <v>7007</v>
      </c>
    </row>
    <row r="148">
      <c r="A148" s="16" t="s">
        <v>991</v>
      </c>
      <c r="B148" s="16">
        <v>85.0</v>
      </c>
      <c r="C148" s="53">
        <f>IFERROR(__xludf.DUMMYFUNCTION("GOOGLEFINANCE(A148,""marketcap"")"),2.61129534E10)</f>
        <v>26112953400</v>
      </c>
      <c r="D148" s="16" t="s">
        <v>7008</v>
      </c>
    </row>
    <row r="149">
      <c r="A149" s="16" t="s">
        <v>1638</v>
      </c>
      <c r="B149" s="16">
        <v>85.0</v>
      </c>
      <c r="C149" s="53">
        <f>IFERROR(__xludf.DUMMYFUNCTION("GOOGLEFINANCE(A149,""marketcap"")"),4.9560755223E10)</f>
        <v>49560755223</v>
      </c>
      <c r="D149" s="16" t="s">
        <v>7009</v>
      </c>
    </row>
    <row r="150">
      <c r="A150" s="16" t="s">
        <v>38</v>
      </c>
      <c r="B150" s="16">
        <v>85.0</v>
      </c>
      <c r="C150" s="53">
        <f>IFERROR(__xludf.DUMMYFUNCTION("GOOGLEFINANCE(A150,""marketcap"")"),3.0273687614E10)</f>
        <v>30273687614</v>
      </c>
      <c r="D150" s="16" t="s">
        <v>7010</v>
      </c>
    </row>
    <row r="151">
      <c r="A151" s="16" t="s">
        <v>1365</v>
      </c>
      <c r="B151" s="16">
        <v>85.0</v>
      </c>
      <c r="C151" s="53">
        <f>IFERROR(__xludf.DUMMYFUNCTION("GOOGLEFINANCE(A151,""marketcap"")"),1.3387278902E10)</f>
        <v>13387278902</v>
      </c>
      <c r="D151" s="16" t="s">
        <v>7011</v>
      </c>
    </row>
    <row r="152">
      <c r="A152" s="16" t="s">
        <v>1632</v>
      </c>
      <c r="B152" s="16">
        <v>85.0</v>
      </c>
      <c r="C152" s="53">
        <f>IFERROR(__xludf.DUMMYFUNCTION("GOOGLEFINANCE(A152,""marketcap"")"),4.5084953933E10)</f>
        <v>45084953933</v>
      </c>
      <c r="D152" s="16" t="s">
        <v>7012</v>
      </c>
    </row>
    <row r="153">
      <c r="A153" s="16" t="s">
        <v>1287</v>
      </c>
      <c r="B153" s="16">
        <v>50.0</v>
      </c>
      <c r="C153" s="53">
        <f>IFERROR(__xludf.DUMMYFUNCTION("GOOGLEFINANCE(A153,""marketcap"")"),1.60887595045E11)</f>
        <v>160887595045</v>
      </c>
      <c r="D153" s="16" t="s">
        <v>7013</v>
      </c>
    </row>
    <row r="154">
      <c r="A154" s="16" t="s">
        <v>1439</v>
      </c>
      <c r="B154" s="16">
        <v>80.0</v>
      </c>
      <c r="C154" s="53">
        <f>IFERROR(__xludf.DUMMYFUNCTION("GOOGLEFINANCE(A154,""marketcap"")"),2.653153823E10)</f>
        <v>26531538230</v>
      </c>
      <c r="D154" s="16" t="s">
        <v>7014</v>
      </c>
    </row>
    <row r="155">
      <c r="A155" s="16" t="s">
        <v>839</v>
      </c>
      <c r="B155" s="16">
        <v>70.0</v>
      </c>
      <c r="C155" s="53">
        <f>IFERROR(__xludf.DUMMYFUNCTION("GOOGLEFINANCE(A155,""marketcap"")"),2.560758995E10)</f>
        <v>25607589950</v>
      </c>
      <c r="D155" s="16" t="s">
        <v>7015</v>
      </c>
    </row>
    <row r="156">
      <c r="A156" s="16" t="s">
        <v>1221</v>
      </c>
      <c r="B156" s="16">
        <v>75.0</v>
      </c>
      <c r="C156" s="53">
        <f>IFERROR(__xludf.DUMMYFUNCTION("GOOGLEFINANCE(A156,""marketcap"")"),1.8422750323E10)</f>
        <v>18422750323</v>
      </c>
      <c r="D156" s="16" t="s">
        <v>7016</v>
      </c>
    </row>
    <row r="157">
      <c r="A157" s="16" t="s">
        <v>1391</v>
      </c>
      <c r="B157" s="16">
        <v>80.0</v>
      </c>
      <c r="C157" s="53">
        <f>IFERROR(__xludf.DUMMYFUNCTION("GOOGLEFINANCE(A157,""marketcap"")"),1.835092128E10)</f>
        <v>18350921280</v>
      </c>
      <c r="D157" s="16" t="s">
        <v>7017</v>
      </c>
    </row>
    <row r="158">
      <c r="A158" s="16" t="s">
        <v>1015</v>
      </c>
      <c r="B158" s="16">
        <v>85.0</v>
      </c>
      <c r="C158" s="53">
        <f>IFERROR(__xludf.DUMMYFUNCTION("GOOGLEFINANCE(A158,""marketcap"")"),3.6370521688E10)</f>
        <v>36370521688</v>
      </c>
      <c r="D158" s="16" t="s">
        <v>7018</v>
      </c>
    </row>
    <row r="159">
      <c r="A159" s="16" t="s">
        <v>1177</v>
      </c>
      <c r="B159" s="16">
        <v>85.0</v>
      </c>
      <c r="C159" s="53">
        <f>IFERROR(__xludf.DUMMYFUNCTION("GOOGLEFINANCE(A159,""marketcap"")"),3.0076293746E10)</f>
        <v>30076293746</v>
      </c>
      <c r="D159" s="16" t="s">
        <v>7019</v>
      </c>
    </row>
    <row r="160">
      <c r="A160" s="16" t="s">
        <v>995</v>
      </c>
      <c r="B160" s="16">
        <v>50.0</v>
      </c>
      <c r="C160" s="53">
        <f>IFERROR(__xludf.DUMMYFUNCTION("GOOGLEFINANCE(A160,""marketcap"")"),4.4708352887E10)</f>
        <v>44708352887</v>
      </c>
      <c r="D160" s="16" t="s">
        <v>7020</v>
      </c>
    </row>
    <row r="161">
      <c r="A161" s="16" t="s">
        <v>1057</v>
      </c>
      <c r="B161" s="16">
        <v>85.0</v>
      </c>
      <c r="C161" s="53">
        <f>IFERROR(__xludf.DUMMYFUNCTION("GOOGLEFINANCE(A161,""marketcap"")"),2.441982712E10)</f>
        <v>24419827120</v>
      </c>
      <c r="D161" s="16" t="s">
        <v>7021</v>
      </c>
    </row>
    <row r="162">
      <c r="A162" s="16" t="s">
        <v>1204</v>
      </c>
      <c r="B162" s="16">
        <v>85.0</v>
      </c>
      <c r="C162" s="53">
        <f>IFERROR(__xludf.DUMMYFUNCTION("GOOGLEFINANCE(A162,""marketcap"")"),2.4555983561E10)</f>
        <v>24555983561</v>
      </c>
      <c r="D162" s="16" t="s">
        <v>7022</v>
      </c>
    </row>
    <row r="163">
      <c r="A163" s="16" t="s">
        <v>829</v>
      </c>
      <c r="B163" s="16">
        <v>75.0</v>
      </c>
      <c r="C163" s="53">
        <f>IFERROR(__xludf.DUMMYFUNCTION("GOOGLEFINANCE(A163,""marketcap"")"),5.3296646379E10)</f>
        <v>53296646379</v>
      </c>
      <c r="D163" s="16" t="s">
        <v>7023</v>
      </c>
    </row>
    <row r="164">
      <c r="A164" s="16" t="s">
        <v>1025</v>
      </c>
      <c r="B164" s="16">
        <v>85.0</v>
      </c>
      <c r="C164" s="53">
        <f>IFERROR(__xludf.DUMMYFUNCTION("GOOGLEFINANCE(A164,""marketcap"")"),2.25687E10)</f>
        <v>22568700000</v>
      </c>
      <c r="D164" s="16" t="s">
        <v>7024</v>
      </c>
    </row>
    <row r="165">
      <c r="A165" s="16" t="s">
        <v>823</v>
      </c>
      <c r="B165" s="16">
        <v>75.0</v>
      </c>
      <c r="C165" s="53">
        <f>IFERROR(__xludf.DUMMYFUNCTION("GOOGLEFINANCE(A165,""marketcap"")"),3.106684221E10)</f>
        <v>31066842210</v>
      </c>
      <c r="D165" s="16" t="s">
        <v>7025</v>
      </c>
    </row>
    <row r="166">
      <c r="A166" s="16" t="s">
        <v>142</v>
      </c>
      <c r="B166" s="16">
        <v>70.0</v>
      </c>
      <c r="C166" s="53">
        <f>IFERROR(__xludf.DUMMYFUNCTION("GOOGLEFINANCE(A166,""marketcap"")"),2.2391665146E10)</f>
        <v>22391665146</v>
      </c>
      <c r="D166" s="16" t="s">
        <v>7026</v>
      </c>
    </row>
    <row r="167">
      <c r="A167" s="16" t="s">
        <v>1032</v>
      </c>
      <c r="B167" s="16">
        <v>50.0</v>
      </c>
      <c r="C167" s="53">
        <f>IFERROR(__xludf.DUMMYFUNCTION("GOOGLEFINANCE(A167,""marketcap"")"),4.301189374E10)</f>
        <v>43011893740</v>
      </c>
      <c r="D167" s="16" t="s">
        <v>7027</v>
      </c>
    </row>
    <row r="168">
      <c r="A168" s="16" t="s">
        <v>1423</v>
      </c>
      <c r="B168" s="16">
        <v>85.0</v>
      </c>
      <c r="C168" s="53">
        <f>IFERROR(__xludf.DUMMYFUNCTION("GOOGLEFINANCE(A168,""marketcap"")"),2.0692341349E10)</f>
        <v>20692341349</v>
      </c>
      <c r="D168" s="16" t="s">
        <v>7028</v>
      </c>
    </row>
    <row r="169">
      <c r="A169" s="16" t="s">
        <v>1505</v>
      </c>
      <c r="B169" s="16">
        <v>85.0</v>
      </c>
      <c r="C169" s="53">
        <f>IFERROR(__xludf.DUMMYFUNCTION("GOOGLEFINANCE(A169,""marketcap"")"),1.729091585E10)</f>
        <v>17290915850</v>
      </c>
      <c r="D169" s="16" t="s">
        <v>7029</v>
      </c>
    </row>
    <row r="170">
      <c r="A170" s="16" t="s">
        <v>1533</v>
      </c>
      <c r="B170" s="16">
        <v>50.0</v>
      </c>
      <c r="C170" s="53">
        <f>IFERROR(__xludf.DUMMYFUNCTION("GOOGLEFINANCE(A170,""marketcap"")"),5.1095586335E10)</f>
        <v>51095586335</v>
      </c>
      <c r="D170" s="16" t="s">
        <v>7030</v>
      </c>
    </row>
    <row r="171">
      <c r="A171" s="16" t="s">
        <v>1271</v>
      </c>
      <c r="B171" s="16">
        <v>70.0</v>
      </c>
      <c r="C171" s="53">
        <f>IFERROR(__xludf.DUMMYFUNCTION("GOOGLEFINANCE(A171,""marketcap"")"),1.65447408E11)</f>
        <v>165447408000</v>
      </c>
      <c r="D171" s="16" t="s">
        <v>7031</v>
      </c>
    </row>
    <row r="172">
      <c r="A172" s="16" t="s">
        <v>870</v>
      </c>
      <c r="B172" s="16">
        <v>85.0</v>
      </c>
      <c r="C172" s="53">
        <f>IFERROR(__xludf.DUMMYFUNCTION("GOOGLEFINANCE(A172,""marketcap"")"),4.137390035E10)</f>
        <v>41373900350</v>
      </c>
      <c r="D172" s="16" t="s">
        <v>7032</v>
      </c>
    </row>
    <row r="173">
      <c r="A173" s="16" t="s">
        <v>1543</v>
      </c>
      <c r="B173" s="16">
        <v>60.0</v>
      </c>
      <c r="C173" s="53">
        <f>IFERROR(__xludf.DUMMYFUNCTION("GOOGLEFINANCE(A173,""marketcap"")"),2.5641856155E10)</f>
        <v>25641856155</v>
      </c>
      <c r="D173" s="16" t="s">
        <v>7033</v>
      </c>
    </row>
    <row r="174">
      <c r="A174" s="16" t="s">
        <v>1490</v>
      </c>
      <c r="B174" s="16">
        <v>80.0</v>
      </c>
      <c r="C174" s="53">
        <f>IFERROR(__xludf.DUMMYFUNCTION("GOOGLEFINANCE(A174,""marketcap"")"),1.2261291479E10)</f>
        <v>12261291479</v>
      </c>
      <c r="D174" s="16" t="s">
        <v>7034</v>
      </c>
    </row>
    <row r="175">
      <c r="A175" s="16" t="s">
        <v>1412</v>
      </c>
      <c r="B175" s="16">
        <v>75.0</v>
      </c>
      <c r="C175" s="53">
        <f>IFERROR(__xludf.DUMMYFUNCTION("GOOGLEFINANCE(A175,""marketcap"")"),1.6966142285E10)</f>
        <v>16966142285</v>
      </c>
      <c r="D175" s="16" t="s">
        <v>7035</v>
      </c>
    </row>
    <row r="176">
      <c r="A176" s="16" t="s">
        <v>1418</v>
      </c>
      <c r="B176" s="16">
        <v>70.0</v>
      </c>
      <c r="C176" s="53">
        <f>IFERROR(__xludf.DUMMYFUNCTION("GOOGLEFINANCE(A176,""marketcap"")"),2.32849872E10)</f>
        <v>23284987200</v>
      </c>
      <c r="D176" s="16" t="s">
        <v>7036</v>
      </c>
    </row>
    <row r="177">
      <c r="A177" s="16" t="s">
        <v>1553</v>
      </c>
      <c r="B177" s="16">
        <v>70.0</v>
      </c>
      <c r="C177" s="53">
        <f>IFERROR(__xludf.DUMMYFUNCTION("GOOGLEFINANCE(A177,""marketcap"")"),4.1596873406E10)</f>
        <v>41596873406</v>
      </c>
      <c r="D177" s="16" t="s">
        <v>7037</v>
      </c>
    </row>
    <row r="178">
      <c r="A178" s="16" t="s">
        <v>1285</v>
      </c>
      <c r="B178" s="16">
        <v>75.0</v>
      </c>
      <c r="C178" s="53">
        <f>IFERROR(__xludf.DUMMYFUNCTION("GOOGLEFINANCE(A178,""marketcap"")"),1.4412037807E10)</f>
        <v>14412037807</v>
      </c>
      <c r="D178" s="16" t="s">
        <v>7038</v>
      </c>
    </row>
    <row r="179">
      <c r="A179" s="16" t="s">
        <v>1321</v>
      </c>
      <c r="B179" s="16">
        <v>85.0</v>
      </c>
      <c r="C179" s="53">
        <f>IFERROR(__xludf.DUMMYFUNCTION("GOOGLEFINANCE(A179,""marketcap"")"),1.2087709581E10)</f>
        <v>12087709581</v>
      </c>
      <c r="D179" s="16" t="s">
        <v>7039</v>
      </c>
    </row>
    <row r="180">
      <c r="A180" s="16" t="s">
        <v>1264</v>
      </c>
      <c r="B180" s="16">
        <v>80.0</v>
      </c>
      <c r="C180" s="53">
        <f>IFERROR(__xludf.DUMMYFUNCTION("GOOGLEFINANCE(A180,""marketcap"")"),2.4997471705E10)</f>
        <v>24997471705</v>
      </c>
      <c r="D180" s="16" t="s">
        <v>7040</v>
      </c>
    </row>
    <row r="181">
      <c r="A181" s="16" t="s">
        <v>1357</v>
      </c>
      <c r="B181" s="16">
        <v>75.0</v>
      </c>
      <c r="C181" s="53">
        <f>IFERROR(__xludf.DUMMYFUNCTION("GOOGLEFINANCE(A181,""marketcap"")"),3.390443E10)</f>
        <v>33904430000</v>
      </c>
      <c r="D181" s="16" t="s">
        <v>7041</v>
      </c>
    </row>
    <row r="182">
      <c r="A182" s="16" t="s">
        <v>419</v>
      </c>
      <c r="B182" s="16">
        <v>70.0</v>
      </c>
      <c r="C182" s="53">
        <f>IFERROR(__xludf.DUMMYFUNCTION("GOOGLEFINANCE(A182,""marketcap"")"),8.061702151E9)</f>
        <v>8061702151</v>
      </c>
      <c r="D182" s="16" t="s">
        <v>7042</v>
      </c>
    </row>
    <row r="183">
      <c r="A183" s="16" t="s">
        <v>1248</v>
      </c>
      <c r="B183" s="16">
        <v>80.0</v>
      </c>
      <c r="C183" s="53">
        <f>IFERROR(__xludf.DUMMYFUNCTION("GOOGLEFINANCE(A183,""marketcap"")"),2.7010245035E10)</f>
        <v>27010245035</v>
      </c>
      <c r="D183" s="16" t="s">
        <v>7043</v>
      </c>
    </row>
    <row r="184">
      <c r="A184" s="16" t="s">
        <v>972</v>
      </c>
      <c r="B184" s="16">
        <v>75.0</v>
      </c>
      <c r="C184" s="53">
        <f>IFERROR(__xludf.DUMMYFUNCTION("GOOGLEFINANCE(A184,""marketcap"")"),9.687474127E9)</f>
        <v>9687474127</v>
      </c>
      <c r="D184" s="16" t="s">
        <v>7044</v>
      </c>
    </row>
    <row r="185">
      <c r="A185" s="16" t="s">
        <v>1107</v>
      </c>
      <c r="B185" s="16">
        <v>75.0</v>
      </c>
      <c r="C185" s="53">
        <f>IFERROR(__xludf.DUMMYFUNCTION("GOOGLEFINANCE(A185,""marketcap"")"),3.2677337301E10)</f>
        <v>32677337301</v>
      </c>
      <c r="D185" s="16" t="s">
        <v>7045</v>
      </c>
    </row>
    <row r="186">
      <c r="A186" s="16" t="s">
        <v>1157</v>
      </c>
      <c r="B186" s="16">
        <v>80.0</v>
      </c>
      <c r="C186" s="53">
        <f>IFERROR(__xludf.DUMMYFUNCTION("GOOGLEFINANCE(A186,""marketcap"")"),8.325128684E9)</f>
        <v>8325128684</v>
      </c>
      <c r="D186" s="16" t="s">
        <v>7046</v>
      </c>
    </row>
    <row r="187">
      <c r="A187" s="16" t="s">
        <v>951</v>
      </c>
      <c r="B187" s="16">
        <v>85.0</v>
      </c>
      <c r="C187" s="53">
        <f>IFERROR(__xludf.DUMMYFUNCTION("GOOGLEFINANCE(A187,""marketcap"")"),3.0179668915E10)</f>
        <v>30179668915</v>
      </c>
      <c r="D187" s="16" t="s">
        <v>7047</v>
      </c>
    </row>
    <row r="188">
      <c r="A188" s="16" t="s">
        <v>1433</v>
      </c>
      <c r="B188" s="16">
        <v>80.0</v>
      </c>
      <c r="C188" s="53">
        <f>IFERROR(__xludf.DUMMYFUNCTION("GOOGLEFINANCE(A188,""marketcap"")"),1.1247811385E10)</f>
        <v>11247811385</v>
      </c>
      <c r="D188" s="16" t="s">
        <v>7048</v>
      </c>
    </row>
    <row r="189">
      <c r="A189" s="16" t="s">
        <v>1147</v>
      </c>
      <c r="B189" s="16">
        <v>80.0</v>
      </c>
      <c r="C189" s="53">
        <f>IFERROR(__xludf.DUMMYFUNCTION("GOOGLEFINANCE(A189,""marketcap"")"),2.170924E10)</f>
        <v>21709240000</v>
      </c>
      <c r="D189" s="16" t="s">
        <v>7049</v>
      </c>
    </row>
    <row r="190">
      <c r="A190" s="16" t="s">
        <v>1323</v>
      </c>
      <c r="B190" s="16">
        <v>85.0</v>
      </c>
      <c r="C190" s="53">
        <f>IFERROR(__xludf.DUMMYFUNCTION("GOOGLEFINANCE(A190,""marketcap"")"),4.242316906E10)</f>
        <v>42423169060</v>
      </c>
      <c r="D190" s="16" t="s">
        <v>7050</v>
      </c>
    </row>
    <row r="191">
      <c r="A191" s="16" t="s">
        <v>1291</v>
      </c>
      <c r="B191" s="16">
        <v>85.0</v>
      </c>
      <c r="C191" s="53">
        <f>IFERROR(__xludf.DUMMYFUNCTION("GOOGLEFINANCE(A191,""marketcap"")"),6.796845849E10)</f>
        <v>67968458490</v>
      </c>
      <c r="D191" s="16" t="s">
        <v>7051</v>
      </c>
    </row>
    <row r="192">
      <c r="A192" s="16" t="s">
        <v>1630</v>
      </c>
      <c r="B192" s="16">
        <v>85.0</v>
      </c>
      <c r="C192" s="53">
        <f>IFERROR(__xludf.DUMMYFUNCTION("GOOGLEFINANCE(A192,""marketcap"")"),2.2720244608E10)</f>
        <v>22720244608</v>
      </c>
      <c r="D192" s="16" t="s">
        <v>7052</v>
      </c>
    </row>
    <row r="193">
      <c r="A193" s="16" t="s">
        <v>792</v>
      </c>
      <c r="B193" s="16">
        <v>75.0</v>
      </c>
      <c r="C193" s="53">
        <f>IFERROR(__xludf.DUMMYFUNCTION("GOOGLEFINANCE(A193,""marketcap"")"),2.1962577076E10)</f>
        <v>21962577076</v>
      </c>
      <c r="D193" s="16" t="s">
        <v>7053</v>
      </c>
    </row>
    <row r="194">
      <c r="A194" s="16" t="s">
        <v>1389</v>
      </c>
      <c r="B194" s="16">
        <v>85.0</v>
      </c>
      <c r="C194" s="53">
        <f>IFERROR(__xludf.DUMMYFUNCTION("GOOGLEFINANCE(A194,""marketcap"")"),9.291277191E9)</f>
        <v>9291277191</v>
      </c>
      <c r="D194" s="16" t="s">
        <v>7054</v>
      </c>
    </row>
    <row r="195">
      <c r="A195" s="16" t="s">
        <v>1212</v>
      </c>
      <c r="B195" s="16">
        <v>75.0</v>
      </c>
      <c r="C195" s="53">
        <f>IFERROR(__xludf.DUMMYFUNCTION("GOOGLEFINANCE(A195,""marketcap"")"),2.498190205E10)</f>
        <v>24981902050</v>
      </c>
      <c r="D195" s="16" t="s">
        <v>7055</v>
      </c>
    </row>
    <row r="196">
      <c r="A196" s="16" t="s">
        <v>1458</v>
      </c>
      <c r="B196" s="16">
        <v>85.0</v>
      </c>
      <c r="C196" s="53">
        <f>IFERROR(__xludf.DUMMYFUNCTION("GOOGLEFINANCE(A196,""marketcap"")"),6.269404924E9)</f>
        <v>6269404924</v>
      </c>
      <c r="D196" s="16" t="s">
        <v>7056</v>
      </c>
    </row>
    <row r="197">
      <c r="A197" s="16" t="s">
        <v>1030</v>
      </c>
      <c r="B197" s="16">
        <v>75.0</v>
      </c>
      <c r="C197" s="53">
        <f>IFERROR(__xludf.DUMMYFUNCTION("GOOGLEFINANCE(A197,""marketcap"")"),2.3604755889E10)</f>
        <v>23604755889</v>
      </c>
      <c r="D197" s="16" t="s">
        <v>7057</v>
      </c>
    </row>
    <row r="198">
      <c r="A198" s="16" t="s">
        <v>5717</v>
      </c>
      <c r="B198" s="16">
        <v>85.0</v>
      </c>
      <c r="C198" s="53">
        <f>IFERROR(__xludf.DUMMYFUNCTION("GOOGLEFINANCE(A198,""marketcap"")"),2.146643055E10)</f>
        <v>21466430550</v>
      </c>
      <c r="D198" s="16" t="s">
        <v>7058</v>
      </c>
    </row>
    <row r="199">
      <c r="A199" s="16" t="s">
        <v>1562</v>
      </c>
      <c r="B199" s="16">
        <v>70.0</v>
      </c>
      <c r="C199" s="53">
        <f>IFERROR(__xludf.DUMMYFUNCTION("GOOGLEFINANCE(A199,""marketcap"")"),1.398430918E10)</f>
        <v>13984309180</v>
      </c>
      <c r="D199" s="16" t="s">
        <v>7059</v>
      </c>
    </row>
    <row r="200">
      <c r="A200" s="16" t="s">
        <v>423</v>
      </c>
      <c r="B200" s="16">
        <v>60.0</v>
      </c>
      <c r="C200" s="53">
        <f>IFERROR(__xludf.DUMMYFUNCTION("GOOGLEFINANCE(A200,""marketcap"")"),3.268481896E10)</f>
        <v>32684818960</v>
      </c>
      <c r="D200" s="16" t="s">
        <v>7060</v>
      </c>
    </row>
    <row r="201">
      <c r="A201" s="16" t="s">
        <v>124</v>
      </c>
      <c r="B201" s="16">
        <v>75.0</v>
      </c>
      <c r="C201" s="53">
        <f>IFERROR(__xludf.DUMMYFUNCTION("GOOGLEFINANCE(A201,""marketcap"")"),3.232065132E10)</f>
        <v>32320651320</v>
      </c>
      <c r="D201" s="16" t="s">
        <v>7061</v>
      </c>
    </row>
    <row r="202">
      <c r="A202" s="16" t="s">
        <v>1074</v>
      </c>
      <c r="B202" s="16">
        <v>85.0</v>
      </c>
      <c r="C202" s="53">
        <f>IFERROR(__xludf.DUMMYFUNCTION("GOOGLEFINANCE(A202,""marketcap"")"),2.622711E10)</f>
        <v>26227110000</v>
      </c>
      <c r="D202" s="16" t="s">
        <v>7062</v>
      </c>
    </row>
    <row r="203">
      <c r="A203" s="16" t="s">
        <v>1113</v>
      </c>
      <c r="B203" s="16">
        <v>85.0</v>
      </c>
      <c r="C203" s="53">
        <f>IFERROR(__xludf.DUMMYFUNCTION("GOOGLEFINANCE(A203,""marketcap"")"),8.146362765E9)</f>
        <v>8146362765</v>
      </c>
      <c r="D203" s="16" t="s">
        <v>7063</v>
      </c>
    </row>
    <row r="204">
      <c r="A204" s="16" t="s">
        <v>1206</v>
      </c>
      <c r="B204" s="16">
        <v>85.0</v>
      </c>
      <c r="C204" s="53">
        <f>IFERROR(__xludf.DUMMYFUNCTION("GOOGLEFINANCE(A204,""marketcap"")"),1.6936473333E10)</f>
        <v>16936473333</v>
      </c>
      <c r="D204" s="16" t="s">
        <v>7064</v>
      </c>
    </row>
    <row r="205">
      <c r="A205" s="16" t="s">
        <v>1317</v>
      </c>
      <c r="B205" s="16">
        <v>85.0</v>
      </c>
      <c r="C205" s="53">
        <f>IFERROR(__xludf.DUMMYFUNCTION("GOOGLEFINANCE(A205,""marketcap"")"),2.0493657778E10)</f>
        <v>20493657778</v>
      </c>
      <c r="D205" s="16" t="s">
        <v>7065</v>
      </c>
    </row>
    <row r="206">
      <c r="A206" s="16" t="s">
        <v>1466</v>
      </c>
      <c r="B206" s="16">
        <v>80.0</v>
      </c>
      <c r="C206" s="53">
        <f>IFERROR(__xludf.DUMMYFUNCTION("GOOGLEFINANCE(A206,""marketcap"")"),1.09314E10)</f>
        <v>10931400000</v>
      </c>
      <c r="D206" s="16" t="s">
        <v>7066</v>
      </c>
    </row>
    <row r="207">
      <c r="A207" s="16" t="s">
        <v>1513</v>
      </c>
      <c r="B207" s="16">
        <v>75.0</v>
      </c>
      <c r="C207" s="53">
        <f>IFERROR(__xludf.DUMMYFUNCTION("GOOGLEFINANCE(A207,""marketcap"")"),2.6950263293E10)</f>
        <v>26950263293</v>
      </c>
      <c r="D207" s="16" t="s">
        <v>7067</v>
      </c>
    </row>
    <row r="208">
      <c r="A208" s="16" t="s">
        <v>1456</v>
      </c>
      <c r="B208" s="16">
        <v>60.0</v>
      </c>
      <c r="C208" s="53">
        <f>IFERROR(__xludf.DUMMYFUNCTION("GOOGLEFINANCE(A208,""marketcap"")"),2.0191238087E10)</f>
        <v>20191238087</v>
      </c>
      <c r="D208" s="16" t="s">
        <v>7068</v>
      </c>
    </row>
    <row r="209">
      <c r="A209" s="16" t="s">
        <v>1578</v>
      </c>
      <c r="B209" s="16">
        <v>80.0</v>
      </c>
      <c r="C209" s="53">
        <f>IFERROR(__xludf.DUMMYFUNCTION("GOOGLEFINANCE(A209,""marketcap"")"),1.5049705272E10)</f>
        <v>15049705272</v>
      </c>
      <c r="D209" s="16" t="s">
        <v>7069</v>
      </c>
    </row>
    <row r="210">
      <c r="A210" s="16" t="s">
        <v>1481</v>
      </c>
      <c r="B210" s="16">
        <v>85.0</v>
      </c>
      <c r="C210" s="53">
        <f>IFERROR(__xludf.DUMMYFUNCTION("GOOGLEFINANCE(A210,""marketcap"")"),2.4002050295E10)</f>
        <v>24002050295</v>
      </c>
      <c r="D210" s="16" t="s">
        <v>7070</v>
      </c>
    </row>
    <row r="211">
      <c r="A211" s="16" t="s">
        <v>1065</v>
      </c>
      <c r="B211" s="16">
        <v>85.0</v>
      </c>
      <c r="C211" s="53">
        <f>IFERROR(__xludf.DUMMYFUNCTION("GOOGLEFINANCE(A211,""marketcap"")"),2.156566E10)</f>
        <v>21565660000</v>
      </c>
      <c r="D211" s="16" t="s">
        <v>7071</v>
      </c>
    </row>
    <row r="212">
      <c r="A212" s="16" t="s">
        <v>3782</v>
      </c>
      <c r="B212" s="16">
        <v>75.0</v>
      </c>
      <c r="C212" s="53">
        <f>IFERROR(__xludf.DUMMYFUNCTION("GOOGLEFINANCE(A212,""marketcap"")"),6.3389022E9)</f>
        <v>6338902200</v>
      </c>
      <c r="D212" s="16" t="s">
        <v>7072</v>
      </c>
    </row>
    <row r="213">
      <c r="A213" s="16" t="s">
        <v>1454</v>
      </c>
      <c r="B213" s="16">
        <v>75.0</v>
      </c>
      <c r="C213" s="53">
        <f>IFERROR(__xludf.DUMMYFUNCTION("GOOGLEFINANCE(A213,""marketcap"")"),1.0369413195E10)</f>
        <v>10369413195</v>
      </c>
      <c r="D213" s="16" t="s">
        <v>7073</v>
      </c>
    </row>
    <row r="214">
      <c r="A214" s="16" t="s">
        <v>1537</v>
      </c>
      <c r="B214" s="16">
        <v>50.0</v>
      </c>
      <c r="C214" s="53">
        <f>IFERROR(__xludf.DUMMYFUNCTION("GOOGLEFINANCE(A214,""marketcap"")"),2.760268E10)</f>
        <v>27602680000</v>
      </c>
      <c r="D214" s="16" t="s">
        <v>7074</v>
      </c>
    </row>
    <row r="215">
      <c r="A215" s="16" t="s">
        <v>1019</v>
      </c>
      <c r="B215" s="16">
        <v>80.0</v>
      </c>
      <c r="C215" s="53">
        <f>IFERROR(__xludf.DUMMYFUNCTION("GOOGLEFINANCE(A215,""marketcap"")"),2.4240621887E10)</f>
        <v>24240621887</v>
      </c>
      <c r="D215" s="16" t="s">
        <v>7075</v>
      </c>
    </row>
    <row r="216">
      <c r="A216" s="16" t="s">
        <v>1483</v>
      </c>
      <c r="B216" s="16">
        <v>85.0</v>
      </c>
      <c r="C216" s="53">
        <f>IFERROR(__xludf.DUMMYFUNCTION("GOOGLEFINANCE(A216,""marketcap"")"),1.8449476956E10)</f>
        <v>18449476956</v>
      </c>
      <c r="D216" s="16" t="s">
        <v>7076</v>
      </c>
    </row>
    <row r="217">
      <c r="A217" s="16" t="s">
        <v>1043</v>
      </c>
      <c r="B217" s="16">
        <v>85.0</v>
      </c>
      <c r="C217" s="53">
        <f>IFERROR(__xludf.DUMMYFUNCTION("GOOGLEFINANCE(A217,""marketcap"")"),5.23506141E9)</f>
        <v>5235061410</v>
      </c>
      <c r="D217" s="16" t="s">
        <v>7077</v>
      </c>
    </row>
    <row r="218">
      <c r="A218" s="16" t="s">
        <v>1343</v>
      </c>
      <c r="B218" s="16">
        <v>75.0</v>
      </c>
      <c r="C218" s="53">
        <f>IFERROR(__xludf.DUMMYFUNCTION("GOOGLEFINANCE(A218,""marketcap"")"),1.580062E10)</f>
        <v>15800620000</v>
      </c>
      <c r="D218" s="16" t="s">
        <v>7078</v>
      </c>
    </row>
    <row r="219">
      <c r="A219" s="16" t="s">
        <v>1331</v>
      </c>
      <c r="B219" s="16">
        <v>75.0</v>
      </c>
      <c r="C219" s="53">
        <f>IFERROR(__xludf.DUMMYFUNCTION("GOOGLEFINANCE(A219,""marketcap"")"),1.580062E10)</f>
        <v>15800620000</v>
      </c>
      <c r="D219" s="16" t="s">
        <v>7079</v>
      </c>
    </row>
    <row r="220">
      <c r="A220" s="16" t="s">
        <v>1470</v>
      </c>
      <c r="B220" s="16">
        <v>70.0</v>
      </c>
      <c r="C220" s="53">
        <f>IFERROR(__xludf.DUMMYFUNCTION("GOOGLEFINANCE(A220,""marketcap"")"),1.9993057148E10)</f>
        <v>19993057148</v>
      </c>
      <c r="D220" s="16" t="s">
        <v>7080</v>
      </c>
    </row>
    <row r="221">
      <c r="A221" s="16" t="s">
        <v>1210</v>
      </c>
      <c r="B221" s="16">
        <v>80.0</v>
      </c>
      <c r="C221" s="53">
        <f>IFERROR(__xludf.DUMMYFUNCTION("GOOGLEFINANCE(A221,""marketcap"")"),1.4173179022E10)</f>
        <v>14173179022</v>
      </c>
      <c r="D221" s="16" t="s">
        <v>7081</v>
      </c>
    </row>
    <row r="222">
      <c r="A222" s="16" t="s">
        <v>1435</v>
      </c>
      <c r="B222" s="16">
        <v>80.0</v>
      </c>
      <c r="C222" s="53">
        <f>IFERROR(__xludf.DUMMYFUNCTION("GOOGLEFINANCE(A222,""marketcap"")"),1.3540200523E10)</f>
        <v>13540200523</v>
      </c>
      <c r="D222" s="16" t="s">
        <v>7082</v>
      </c>
    </row>
    <row r="223">
      <c r="A223" s="16" t="s">
        <v>1414</v>
      </c>
      <c r="B223" s="16">
        <v>50.0</v>
      </c>
      <c r="C223" s="53">
        <f>IFERROR(__xludf.DUMMYFUNCTION("GOOGLEFINANCE(A223,""marketcap"")"),6.213371021E9)</f>
        <v>6213371021</v>
      </c>
      <c r="D223" s="16" t="s">
        <v>7083</v>
      </c>
    </row>
    <row r="224">
      <c r="A224" s="16" t="s">
        <v>1477</v>
      </c>
      <c r="B224" s="16">
        <v>85.0</v>
      </c>
      <c r="C224" s="53">
        <f>IFERROR(__xludf.DUMMYFUNCTION("GOOGLEFINANCE(A224,""marketcap"")"),1.0219545487E10)</f>
        <v>10219545487</v>
      </c>
      <c r="D224" s="16" t="s">
        <v>7084</v>
      </c>
    </row>
    <row r="225">
      <c r="A225" s="16" t="s">
        <v>1307</v>
      </c>
      <c r="B225" s="16">
        <v>75.0</v>
      </c>
      <c r="C225" s="53">
        <f>IFERROR(__xludf.DUMMYFUNCTION("GOOGLEFINANCE(A225,""marketcap"")"),1.8533958071E10)</f>
        <v>18533958071</v>
      </c>
      <c r="D225" s="16" t="s">
        <v>7085</v>
      </c>
    </row>
    <row r="226">
      <c r="A226" s="16" t="s">
        <v>1254</v>
      </c>
      <c r="B226" s="16">
        <v>75.0</v>
      </c>
      <c r="C226" s="53">
        <f>IFERROR(__xludf.DUMMYFUNCTION("GOOGLEFINANCE(A226,""marketcap"")"),2.2399395337E10)</f>
        <v>22399395337</v>
      </c>
      <c r="D226" s="16" t="s">
        <v>7086</v>
      </c>
    </row>
    <row r="227">
      <c r="A227" s="16" t="s">
        <v>866</v>
      </c>
      <c r="B227" s="16">
        <v>85.0</v>
      </c>
      <c r="C227" s="53">
        <f>IFERROR(__xludf.DUMMYFUNCTION("GOOGLEFINANCE(A227,""marketcap"")"),1.067784E10)</f>
        <v>10677840000</v>
      </c>
      <c r="D227" s="16" t="s">
        <v>7087</v>
      </c>
    </row>
    <row r="228">
      <c r="A228" s="16" t="s">
        <v>1387</v>
      </c>
      <c r="B228" s="16">
        <v>85.0</v>
      </c>
      <c r="C228" s="53">
        <f>IFERROR(__xludf.DUMMYFUNCTION("GOOGLEFINANCE(A228,""marketcap"")"),1.1992631055E10)</f>
        <v>11992631055</v>
      </c>
      <c r="D228" s="16" t="s">
        <v>7088</v>
      </c>
    </row>
    <row r="229">
      <c r="A229" s="16" t="s">
        <v>1385</v>
      </c>
      <c r="B229" s="16">
        <v>70.0</v>
      </c>
      <c r="C229" s="53">
        <f>IFERROR(__xludf.DUMMYFUNCTION("GOOGLEFINANCE(A229,""marketcap"")"),1.5834669847E10)</f>
        <v>15834669847</v>
      </c>
      <c r="D229" s="16" t="s">
        <v>7089</v>
      </c>
    </row>
    <row r="230">
      <c r="A230" s="16" t="s">
        <v>1289</v>
      </c>
      <c r="B230" s="16">
        <v>50.0</v>
      </c>
      <c r="C230" s="53">
        <f>IFERROR(__xludf.DUMMYFUNCTION("GOOGLEFINANCE(A230,""marketcap"")"),1.3736450632E10)</f>
        <v>13736450632</v>
      </c>
      <c r="D230" s="16" t="s">
        <v>7090</v>
      </c>
    </row>
    <row r="231">
      <c r="A231" s="16" t="s">
        <v>1535</v>
      </c>
      <c r="B231" s="16">
        <v>70.0</v>
      </c>
      <c r="C231" s="53">
        <f>IFERROR(__xludf.DUMMYFUNCTION("GOOGLEFINANCE(A231,""marketcap"")"),1.8832633416E10)</f>
        <v>18832633416</v>
      </c>
      <c r="D231" s="16" t="s">
        <v>7091</v>
      </c>
    </row>
    <row r="232">
      <c r="A232" s="16" t="s">
        <v>1301</v>
      </c>
      <c r="B232" s="16">
        <v>75.0</v>
      </c>
      <c r="C232" s="53">
        <f>IFERROR(__xludf.DUMMYFUNCTION("GOOGLEFINANCE(A232,""marketcap"")"),8.076755749E9)</f>
        <v>8076755749</v>
      </c>
      <c r="D232" s="16" t="s">
        <v>7092</v>
      </c>
    </row>
    <row r="233">
      <c r="A233" s="16" t="s">
        <v>97</v>
      </c>
      <c r="B233" s="16">
        <v>80.0</v>
      </c>
      <c r="C233" s="53">
        <f>IFERROR(__xludf.DUMMYFUNCTION("GOOGLEFINANCE(A233,""marketcap"")"),1.9690523288E10)</f>
        <v>19690523288</v>
      </c>
      <c r="D233" s="16" t="s">
        <v>7093</v>
      </c>
    </row>
    <row r="234">
      <c r="A234" s="16" t="s">
        <v>1393</v>
      </c>
      <c r="B234" s="16">
        <v>85.0</v>
      </c>
      <c r="C234" s="53">
        <f>IFERROR(__xludf.DUMMYFUNCTION("GOOGLEFINANCE(A234,""marketcap"")"),8.764116918E9)</f>
        <v>8764116918</v>
      </c>
      <c r="D234" s="16" t="s">
        <v>7094</v>
      </c>
    </row>
    <row r="235">
      <c r="A235" s="16" t="s">
        <v>1528</v>
      </c>
      <c r="B235" s="16">
        <v>60.0</v>
      </c>
      <c r="C235" s="53">
        <f>IFERROR(__xludf.DUMMYFUNCTION("GOOGLEFINANCE(A235,""marketcap"")"),1.2753325635E10)</f>
        <v>12753325635</v>
      </c>
      <c r="D235" s="16" t="s">
        <v>7095</v>
      </c>
    </row>
    <row r="236">
      <c r="A236" s="16" t="s">
        <v>1245</v>
      </c>
      <c r="B236" s="16">
        <v>50.0</v>
      </c>
      <c r="C236" s="53">
        <f>IFERROR(__xludf.DUMMYFUNCTION("GOOGLEFINANCE(A236,""marketcap"")"),1.0584843775E10)</f>
        <v>10584843775</v>
      </c>
      <c r="D236" s="16" t="s">
        <v>7096</v>
      </c>
    </row>
    <row r="237">
      <c r="A237" s="16" t="s">
        <v>168</v>
      </c>
      <c r="B237" s="16">
        <v>75.0</v>
      </c>
      <c r="C237" s="53">
        <f>IFERROR(__xludf.DUMMYFUNCTION("GOOGLEFINANCE(A237,""marketcap"")"),7.360906056E9)</f>
        <v>7360906056</v>
      </c>
      <c r="D237" s="16" t="s">
        <v>7097</v>
      </c>
    </row>
    <row r="238">
      <c r="A238" s="16" t="s">
        <v>917</v>
      </c>
      <c r="B238" s="16">
        <v>70.0</v>
      </c>
      <c r="C238" s="53">
        <f>IFERROR(__xludf.DUMMYFUNCTION("GOOGLEFINANCE(A238,""marketcap"")"),8.421870309E9)</f>
        <v>8421870309</v>
      </c>
      <c r="D238" s="16" t="s">
        <v>7098</v>
      </c>
    </row>
    <row r="239">
      <c r="A239" s="16" t="s">
        <v>1273</v>
      </c>
      <c r="B239" s="16">
        <v>50.0</v>
      </c>
      <c r="C239" s="53">
        <f>IFERROR(__xludf.DUMMYFUNCTION("GOOGLEFINANCE(A239,""marketcap"")"),6.52995049E8)</f>
        <v>652995049</v>
      </c>
      <c r="D239" s="16" t="s">
        <v>7099</v>
      </c>
    </row>
    <row r="240">
      <c r="A240" s="16" t="s">
        <v>1028</v>
      </c>
      <c r="B240" s="16">
        <v>70.0</v>
      </c>
      <c r="C240" s="53">
        <f>IFERROR(__xludf.DUMMYFUNCTION("GOOGLEFINANCE(A240,""marketcap"")"),7.544145232E9)</f>
        <v>7544145232</v>
      </c>
      <c r="D240" s="16" t="s">
        <v>7100</v>
      </c>
    </row>
    <row r="241">
      <c r="A241" s="16" t="s">
        <v>476</v>
      </c>
      <c r="B241" s="16">
        <v>80.0</v>
      </c>
      <c r="C241" s="53">
        <f>IFERROR(__xludf.DUMMYFUNCTION("GOOGLEFINANCE(A241,""marketcap"")"),1.037261162E10)</f>
        <v>10372611620</v>
      </c>
      <c r="D241" s="16" t="s">
        <v>7101</v>
      </c>
    </row>
    <row r="242">
      <c r="A242" s="16" t="s">
        <v>1400</v>
      </c>
      <c r="B242" s="16">
        <v>80.0</v>
      </c>
      <c r="C242" s="53">
        <f>IFERROR(__xludf.DUMMYFUNCTION("GOOGLEFINANCE(A242,""marketcap"")"),1.0430928931E10)</f>
        <v>10430928931</v>
      </c>
      <c r="D242" s="16" t="s">
        <v>7102</v>
      </c>
    </row>
    <row r="243">
      <c r="A243" s="16" t="s">
        <v>1608</v>
      </c>
      <c r="B243" s="16">
        <v>75.0</v>
      </c>
      <c r="C243" s="53">
        <f>IFERROR(__xludf.DUMMYFUNCTION("GOOGLEFINANCE(A243,""marketcap"")"),1.4206480041E10)</f>
        <v>14206480041</v>
      </c>
      <c r="D243" s="16" t="s">
        <v>7103</v>
      </c>
    </row>
    <row r="244">
      <c r="A244" s="16" t="s">
        <v>1067</v>
      </c>
      <c r="B244" s="16">
        <v>75.0</v>
      </c>
      <c r="C244" s="53">
        <f>IFERROR(__xludf.DUMMYFUNCTION("GOOGLEFINANCE(A244,""marketcap"")"),1.1547195713E10)</f>
        <v>11547195713</v>
      </c>
      <c r="D244" s="16" t="s">
        <v>7104</v>
      </c>
    </row>
    <row r="245">
      <c r="A245" s="16" t="s">
        <v>4612</v>
      </c>
      <c r="B245" s="16">
        <v>75.0</v>
      </c>
      <c r="C245" s="53">
        <f>IFERROR(__xludf.DUMMYFUNCTION("GOOGLEFINANCE(A245,""marketcap"")"),3.973276632E9)</f>
        <v>3973276632</v>
      </c>
      <c r="D245" s="16" t="s">
        <v>7105</v>
      </c>
    </row>
    <row r="246">
      <c r="A246" s="16" t="s">
        <v>101</v>
      </c>
      <c r="B246" s="16">
        <v>85.0</v>
      </c>
      <c r="C246" s="53">
        <f>IFERROR(__xludf.DUMMYFUNCTION("GOOGLEFINANCE(A246,""marketcap"")"),1.2462709723E10)</f>
        <v>12462709723</v>
      </c>
      <c r="D246" s="16" t="s">
        <v>7106</v>
      </c>
    </row>
    <row r="247">
      <c r="A247" s="16" t="s">
        <v>1416</v>
      </c>
      <c r="B247" s="16">
        <v>75.0</v>
      </c>
      <c r="C247" s="53">
        <f>IFERROR(__xludf.DUMMYFUNCTION("GOOGLEFINANCE(A247,""marketcap"")"),7.053016223E9)</f>
        <v>7053016223</v>
      </c>
      <c r="D247" s="16" t="s">
        <v>7107</v>
      </c>
    </row>
    <row r="248">
      <c r="A248" s="16" t="s">
        <v>1243</v>
      </c>
      <c r="B248" s="16">
        <v>80.0</v>
      </c>
      <c r="C248" s="53">
        <f>IFERROR(__xludf.DUMMYFUNCTION("GOOGLEFINANCE(A248,""marketcap"")"),9.430108785E9)</f>
        <v>9430108785</v>
      </c>
      <c r="D248" s="16" t="s">
        <v>7108</v>
      </c>
    </row>
    <row r="249">
      <c r="A249" s="16" t="s">
        <v>4609</v>
      </c>
      <c r="B249" s="16">
        <v>85.0</v>
      </c>
      <c r="C249" s="53">
        <f>IFERROR(__xludf.DUMMYFUNCTION("GOOGLEFINANCE(A249,""marketcap"")"),8.829491337E9)</f>
        <v>8829491337</v>
      </c>
      <c r="D249" s="16" t="s">
        <v>7109</v>
      </c>
    </row>
    <row r="250">
      <c r="A250" s="16" t="s">
        <v>3047</v>
      </c>
      <c r="B250" s="16">
        <v>50.0</v>
      </c>
      <c r="C250" s="53">
        <f>IFERROR(__xludf.DUMMYFUNCTION("GOOGLEFINANCE(A250,""marketcap"")"),7.943192622E9)</f>
        <v>7943192622</v>
      </c>
      <c r="D250" s="16" t="s">
        <v>7110</v>
      </c>
    </row>
    <row r="251">
      <c r="A251" s="16" t="s">
        <v>816</v>
      </c>
      <c r="B251" s="16">
        <v>80.0</v>
      </c>
      <c r="C251" s="53">
        <f>IFERROR(__xludf.DUMMYFUNCTION("GOOGLEFINANCE(A251,""marketcap"")"),1.1932447802E10)</f>
        <v>11932447802</v>
      </c>
      <c r="D251" s="16" t="s">
        <v>7111</v>
      </c>
    </row>
    <row r="252">
      <c r="A252" s="16" t="s">
        <v>1151</v>
      </c>
      <c r="B252" s="16">
        <v>70.0</v>
      </c>
      <c r="C252" s="53">
        <f>IFERROR(__xludf.DUMMYFUNCTION("GOOGLEFINANCE(A252,""marketcap"")"),2.702492055E10)</f>
        <v>27024920550</v>
      </c>
      <c r="D252" s="16" t="s">
        <v>7112</v>
      </c>
    </row>
    <row r="253">
      <c r="A253" s="16" t="s">
        <v>1363</v>
      </c>
      <c r="B253" s="16">
        <v>70.0</v>
      </c>
      <c r="C253" s="53">
        <f>IFERROR(__xludf.DUMMYFUNCTION("GOOGLEFINANCE(A253,""marketcap"")"),1.2027819675E10)</f>
        <v>12027819675</v>
      </c>
      <c r="D253" s="16" t="s">
        <v>7113</v>
      </c>
    </row>
    <row r="254">
      <c r="A254" s="16" t="s">
        <v>1545</v>
      </c>
      <c r="B254" s="16">
        <v>75.0</v>
      </c>
      <c r="C254" s="53">
        <f>IFERROR(__xludf.DUMMYFUNCTION("GOOGLEFINANCE(A254,""marketcap"")"),9.993502682E9)</f>
        <v>9993502682</v>
      </c>
      <c r="D254" s="16" t="s">
        <v>7114</v>
      </c>
    </row>
    <row r="255">
      <c r="A255" s="16" t="s">
        <v>1225</v>
      </c>
      <c r="B255" s="16">
        <v>80.0</v>
      </c>
      <c r="C255" s="53">
        <f>IFERROR(__xludf.DUMMYFUNCTION("GOOGLEFINANCE(A255,""marketcap"")"),8.621531E9)</f>
        <v>8621531000</v>
      </c>
      <c r="D255" s="16" t="s">
        <v>7115</v>
      </c>
    </row>
    <row r="256">
      <c r="A256" s="16" t="s">
        <v>1319</v>
      </c>
      <c r="B256" s="16">
        <v>80.0</v>
      </c>
      <c r="C256" s="53">
        <f>IFERROR(__xludf.DUMMYFUNCTION("GOOGLEFINANCE(A256,""marketcap"")"),1.675606972E9)</f>
        <v>1675606972</v>
      </c>
      <c r="D256" s="16" t="s">
        <v>7116</v>
      </c>
    </row>
    <row r="257">
      <c r="A257" s="16" t="s">
        <v>1123</v>
      </c>
      <c r="B257" s="16">
        <v>85.0</v>
      </c>
      <c r="C257" s="53">
        <f>IFERROR(__xludf.DUMMYFUNCTION("GOOGLEFINANCE(A257,""marketcap"")"),1.58598086E10)</f>
        <v>15859808600</v>
      </c>
      <c r="D257" s="16" t="s">
        <v>7117</v>
      </c>
    </row>
    <row r="258">
      <c r="A258" s="16" t="s">
        <v>1361</v>
      </c>
      <c r="B258" s="16">
        <v>80.0</v>
      </c>
      <c r="C258" s="53">
        <f>IFERROR(__xludf.DUMMYFUNCTION("GOOGLEFINANCE(A258,""marketcap"")"),5.190227806E9)</f>
        <v>5190227806</v>
      </c>
      <c r="D258" s="16" t="s">
        <v>7118</v>
      </c>
    </row>
    <row r="259">
      <c r="A259" s="16" t="s">
        <v>1396</v>
      </c>
      <c r="B259" s="16">
        <v>75.0</v>
      </c>
      <c r="C259" s="53">
        <f>IFERROR(__xludf.DUMMYFUNCTION("GOOGLEFINANCE(A259,""marketcap"")"),1.2230553261E10)</f>
        <v>12230553261</v>
      </c>
      <c r="D259" s="16" t="s">
        <v>7119</v>
      </c>
    </row>
    <row r="260">
      <c r="A260" s="16" t="s">
        <v>1223</v>
      </c>
      <c r="B260" s="16">
        <v>65.0</v>
      </c>
      <c r="C260" s="53">
        <f>IFERROR(__xludf.DUMMYFUNCTION("GOOGLEFINANCE(A260,""marketcap"")"),7.841600472E9)</f>
        <v>7841600472</v>
      </c>
      <c r="D260" s="16" t="s">
        <v>7120</v>
      </c>
    </row>
    <row r="261">
      <c r="A261" s="16" t="s">
        <v>1059</v>
      </c>
      <c r="B261" s="48"/>
      <c r="C261" s="16"/>
      <c r="D261" s="16" t="s">
        <v>7121</v>
      </c>
    </row>
    <row r="262">
      <c r="A262" s="16" t="s">
        <v>1404</v>
      </c>
      <c r="B262" s="48"/>
      <c r="C262" s="16"/>
      <c r="D262" s="16" t="s">
        <v>7122</v>
      </c>
    </row>
    <row r="263">
      <c r="A263" s="16" t="s">
        <v>451</v>
      </c>
      <c r="B263" s="48"/>
      <c r="C263" s="16"/>
      <c r="D263" s="16" t="s">
        <v>7123</v>
      </c>
    </row>
    <row r="264">
      <c r="A264" s="16" t="s">
        <v>1237</v>
      </c>
      <c r="B264" s="48"/>
      <c r="C264" s="16"/>
      <c r="D264" s="16" t="s">
        <v>7124</v>
      </c>
    </row>
    <row r="265">
      <c r="A265" s="16" t="s">
        <v>831</v>
      </c>
      <c r="B265" s="48"/>
      <c r="C265" s="16"/>
      <c r="D265" s="16" t="s">
        <v>7125</v>
      </c>
    </row>
    <row r="266">
      <c r="A266" s="16" t="s">
        <v>953</v>
      </c>
      <c r="B266" s="48"/>
      <c r="C266" s="16"/>
      <c r="D266" s="16" t="s">
        <v>7126</v>
      </c>
    </row>
    <row r="267">
      <c r="A267" s="16" t="s">
        <v>278</v>
      </c>
      <c r="B267" s="48"/>
      <c r="C267" s="16"/>
      <c r="D267" s="16" t="s">
        <v>7127</v>
      </c>
    </row>
    <row r="268">
      <c r="A268" s="16" t="s">
        <v>59</v>
      </c>
      <c r="B268" s="48"/>
      <c r="C268" s="16"/>
      <c r="D268" s="16" t="s">
        <v>7128</v>
      </c>
    </row>
    <row r="269">
      <c r="A269" s="16" t="s">
        <v>1493</v>
      </c>
      <c r="B269" s="48"/>
      <c r="C269" s="16"/>
      <c r="D269" s="16" t="s">
        <v>7129</v>
      </c>
    </row>
    <row r="270">
      <c r="A270" s="16" t="s">
        <v>1495</v>
      </c>
      <c r="B270" s="48"/>
      <c r="C270" s="16"/>
      <c r="D270" s="16" t="s">
        <v>7130</v>
      </c>
    </row>
    <row r="271">
      <c r="A271" s="16" t="s">
        <v>1229</v>
      </c>
      <c r="B271" s="48"/>
      <c r="C271" s="16"/>
      <c r="D271" s="16" t="s">
        <v>7131</v>
      </c>
    </row>
    <row r="272">
      <c r="A272" s="16" t="s">
        <v>231</v>
      </c>
      <c r="B272" s="48"/>
      <c r="C272" s="16"/>
      <c r="D272" s="16" t="s">
        <v>7132</v>
      </c>
    </row>
    <row r="273">
      <c r="A273" s="16" t="s">
        <v>1500</v>
      </c>
      <c r="B273" s="48"/>
      <c r="C273" s="16"/>
      <c r="D273" s="16" t="s">
        <v>7133</v>
      </c>
    </row>
    <row r="274">
      <c r="A274" s="16" t="s">
        <v>1427</v>
      </c>
      <c r="B274" s="48"/>
      <c r="C274" s="16"/>
      <c r="D274" s="16" t="s">
        <v>7134</v>
      </c>
    </row>
    <row r="275">
      <c r="A275" s="16" t="s">
        <v>4860</v>
      </c>
      <c r="B275" s="48"/>
      <c r="C275" s="16"/>
      <c r="D275" s="16" t="s">
        <v>7135</v>
      </c>
    </row>
    <row r="276">
      <c r="A276" s="16" t="s">
        <v>896</v>
      </c>
      <c r="B276" s="48"/>
      <c r="C276" s="16"/>
      <c r="D276" s="16" t="s">
        <v>7136</v>
      </c>
    </row>
    <row r="277">
      <c r="A277" s="16" t="s">
        <v>1181</v>
      </c>
      <c r="B277" s="48"/>
      <c r="C277" s="16"/>
      <c r="D277" s="16" t="s">
        <v>7137</v>
      </c>
    </row>
    <row r="278">
      <c r="A278" s="16" t="s">
        <v>876</v>
      </c>
      <c r="B278" s="48"/>
      <c r="C278" s="16"/>
      <c r="D278" s="16" t="s">
        <v>7138</v>
      </c>
    </row>
    <row r="279">
      <c r="A279" s="16" t="s">
        <v>1452</v>
      </c>
      <c r="B279" s="48"/>
      <c r="C279" s="16"/>
      <c r="D279" s="16" t="s">
        <v>7139</v>
      </c>
    </row>
    <row r="280">
      <c r="A280" s="16" t="s">
        <v>1406</v>
      </c>
      <c r="B280" s="48"/>
      <c r="C280" s="16"/>
      <c r="D280" s="16" t="s">
        <v>7140</v>
      </c>
    </row>
    <row r="281">
      <c r="A281" s="16" t="s">
        <v>1309</v>
      </c>
      <c r="B281" s="48"/>
      <c r="C281" s="16"/>
      <c r="D281" s="16" t="s">
        <v>7141</v>
      </c>
    </row>
    <row r="282">
      <c r="A282" s="16" t="s">
        <v>3236</v>
      </c>
      <c r="B282" s="48"/>
      <c r="C282" s="16"/>
      <c r="D282" s="16" t="s">
        <v>7142</v>
      </c>
    </row>
    <row r="283">
      <c r="A283" s="16" t="s">
        <v>1367</v>
      </c>
      <c r="B283" s="48"/>
      <c r="C283" s="16"/>
      <c r="D283" s="16" t="s">
        <v>7143</v>
      </c>
    </row>
    <row r="284">
      <c r="A284" s="16" t="s">
        <v>1161</v>
      </c>
      <c r="B284" s="48"/>
      <c r="C284" s="16"/>
      <c r="D284" s="16" t="s">
        <v>7144</v>
      </c>
    </row>
    <row r="285">
      <c r="A285" s="16" t="s">
        <v>147</v>
      </c>
      <c r="B285" s="48"/>
      <c r="C285" s="16"/>
      <c r="D285" s="16" t="s">
        <v>7145</v>
      </c>
    </row>
    <row r="286">
      <c r="A286" s="16" t="s">
        <v>51</v>
      </c>
      <c r="B286" s="48"/>
      <c r="C286" s="16"/>
      <c r="D286" s="16" t="s">
        <v>7146</v>
      </c>
    </row>
    <row r="287">
      <c r="A287" s="16" t="s">
        <v>1258</v>
      </c>
      <c r="B287" s="48"/>
      <c r="C287" s="16"/>
      <c r="D287" s="16" t="s">
        <v>7147</v>
      </c>
    </row>
    <row r="288">
      <c r="A288" s="16" t="s">
        <v>472</v>
      </c>
      <c r="B288" s="48"/>
      <c r="C288" s="16"/>
      <c r="D288" s="16" t="s">
        <v>7148</v>
      </c>
    </row>
    <row r="289">
      <c r="A289" s="16" t="s">
        <v>1354</v>
      </c>
      <c r="B289" s="48"/>
      <c r="C289" s="16"/>
      <c r="D289" s="16" t="s">
        <v>7149</v>
      </c>
    </row>
    <row r="290">
      <c r="A290" s="16" t="s">
        <v>888</v>
      </c>
      <c r="B290" s="48"/>
      <c r="C290" s="16"/>
      <c r="D290" s="16" t="s">
        <v>7150</v>
      </c>
    </row>
    <row r="291">
      <c r="A291" s="16" t="s">
        <v>1169</v>
      </c>
      <c r="B291" s="48"/>
      <c r="C291" s="16"/>
      <c r="D291" s="16" t="s">
        <v>7151</v>
      </c>
    </row>
    <row r="292">
      <c r="A292" s="16" t="s">
        <v>785</v>
      </c>
      <c r="B292" s="48"/>
      <c r="C292" s="16"/>
      <c r="D292" s="16" t="s">
        <v>7152</v>
      </c>
    </row>
    <row r="293">
      <c r="A293" s="16" t="s">
        <v>1133</v>
      </c>
      <c r="B293" s="48"/>
      <c r="C293" s="16"/>
      <c r="D293" s="16" t="s">
        <v>7153</v>
      </c>
    </row>
    <row r="294">
      <c r="A294" s="16" t="s">
        <v>873</v>
      </c>
      <c r="B294" s="48"/>
      <c r="C294" s="16"/>
      <c r="D294" s="16" t="s">
        <v>7154</v>
      </c>
    </row>
    <row r="295">
      <c r="A295" s="16" t="s">
        <v>1517</v>
      </c>
      <c r="B295" s="48"/>
      <c r="C295" s="16"/>
      <c r="D295" s="16" t="s">
        <v>7155</v>
      </c>
    </row>
    <row r="296">
      <c r="A296" s="16" t="s">
        <v>20</v>
      </c>
      <c r="B296" s="48"/>
      <c r="C296" s="16"/>
      <c r="D296" s="16" t="s">
        <v>7156</v>
      </c>
    </row>
    <row r="297">
      <c r="A297" s="16" t="s">
        <v>1338</v>
      </c>
      <c r="B297" s="48"/>
      <c r="C297" s="16"/>
      <c r="D297" s="16" t="s">
        <v>7157</v>
      </c>
    </row>
    <row r="298">
      <c r="A298" s="16" t="s">
        <v>404</v>
      </c>
      <c r="B298" s="48"/>
      <c r="C298" s="16"/>
      <c r="D298" s="16" t="s">
        <v>7158</v>
      </c>
    </row>
    <row r="299">
      <c r="A299" s="16" t="s">
        <v>1128</v>
      </c>
      <c r="B299" s="48"/>
      <c r="C299" s="16"/>
      <c r="D299" s="16" t="s">
        <v>7159</v>
      </c>
    </row>
    <row r="300">
      <c r="A300" s="16" t="s">
        <v>1515</v>
      </c>
      <c r="B300" s="48"/>
      <c r="C300" s="16"/>
      <c r="D300" s="16" t="s">
        <v>7160</v>
      </c>
    </row>
    <row r="301">
      <c r="A301" s="16" t="s">
        <v>82</v>
      </c>
      <c r="B301" s="48"/>
      <c r="C301" s="16"/>
      <c r="D301" s="16" t="s">
        <v>7161</v>
      </c>
    </row>
    <row r="302">
      <c r="A302" s="16" t="s">
        <v>6083</v>
      </c>
      <c r="B302" s="48"/>
      <c r="C302" s="16"/>
      <c r="D302" s="16" t="s">
        <v>7162</v>
      </c>
    </row>
    <row r="303">
      <c r="A303" s="16" t="s">
        <v>1410</v>
      </c>
      <c r="B303" s="48"/>
      <c r="C303" s="16"/>
      <c r="D303" s="16" t="s">
        <v>7163</v>
      </c>
    </row>
    <row r="304">
      <c r="A304" s="16" t="s">
        <v>468</v>
      </c>
      <c r="B304" s="48"/>
      <c r="C304" s="16"/>
      <c r="D304" s="16" t="s">
        <v>7164</v>
      </c>
    </row>
    <row r="305">
      <c r="A305" s="16" t="s">
        <v>1239</v>
      </c>
      <c r="B305" s="48"/>
      <c r="C305" s="16"/>
      <c r="D305" s="16" t="s">
        <v>7165</v>
      </c>
    </row>
    <row r="306">
      <c r="A306" s="16" t="s">
        <v>1511</v>
      </c>
      <c r="B306" s="48"/>
      <c r="C306" s="16"/>
      <c r="D306" s="16" t="s">
        <v>7166</v>
      </c>
    </row>
    <row r="307">
      <c r="A307" s="16" t="s">
        <v>939</v>
      </c>
      <c r="B307" s="48"/>
      <c r="C307" s="16"/>
      <c r="D307" s="16" t="s">
        <v>7167</v>
      </c>
    </row>
    <row r="308">
      <c r="A308" s="16" t="s">
        <v>1520</v>
      </c>
      <c r="B308" s="48"/>
      <c r="C308" s="16"/>
      <c r="D308" s="16" t="s">
        <v>7168</v>
      </c>
    </row>
    <row r="309">
      <c r="A309" s="16" t="s">
        <v>1329</v>
      </c>
      <c r="B309" s="48"/>
      <c r="C309" s="16"/>
      <c r="D309" s="16" t="s">
        <v>7169</v>
      </c>
    </row>
    <row r="310">
      <c r="A310" s="16" t="s">
        <v>57</v>
      </c>
      <c r="B310" s="48"/>
      <c r="C310" s="16"/>
      <c r="D310" s="16" t="s">
        <v>7170</v>
      </c>
    </row>
    <row r="311">
      <c r="A311" s="16" t="s">
        <v>947</v>
      </c>
      <c r="B311" s="48"/>
      <c r="C311" s="16"/>
      <c r="D311" s="16" t="s">
        <v>7171</v>
      </c>
    </row>
    <row r="312">
      <c r="A312" s="16" t="s">
        <v>1464</v>
      </c>
      <c r="B312" s="48"/>
      <c r="C312" s="16"/>
      <c r="D312" s="16" t="s">
        <v>7172</v>
      </c>
    </row>
    <row r="313">
      <c r="A313" s="16" t="s">
        <v>1256</v>
      </c>
      <c r="B313" s="48"/>
      <c r="C313" s="16"/>
      <c r="D313" s="16" t="s">
        <v>7173</v>
      </c>
    </row>
    <row r="314">
      <c r="A314" s="16" t="s">
        <v>143</v>
      </c>
      <c r="B314" s="48"/>
      <c r="C314" s="16"/>
      <c r="D314" s="16" t="s">
        <v>7174</v>
      </c>
    </row>
    <row r="315">
      <c r="A315" s="16" t="s">
        <v>342</v>
      </c>
      <c r="B315" s="48"/>
      <c r="C315" s="16"/>
      <c r="D315" s="16" t="s">
        <v>7175</v>
      </c>
    </row>
    <row r="316">
      <c r="A316" s="16" t="s">
        <v>1047</v>
      </c>
      <c r="B316" s="48"/>
      <c r="C316" s="16"/>
      <c r="D316" s="16" t="s">
        <v>7176</v>
      </c>
    </row>
    <row r="317">
      <c r="A317" s="16" t="s">
        <v>1260</v>
      </c>
      <c r="B317" s="48"/>
      <c r="C317" s="16"/>
      <c r="D317" s="16" t="s">
        <v>7177</v>
      </c>
    </row>
    <row r="318">
      <c r="A318" s="16" t="s">
        <v>945</v>
      </c>
      <c r="B318" s="48"/>
      <c r="C318" s="16"/>
      <c r="D318" s="16" t="s">
        <v>7178</v>
      </c>
    </row>
    <row r="319">
      <c r="A319" s="16" t="s">
        <v>295</v>
      </c>
      <c r="B319" s="48"/>
      <c r="C319" s="16"/>
      <c r="D319" s="16" t="s">
        <v>7179</v>
      </c>
    </row>
    <row r="320">
      <c r="A320" s="16" t="s">
        <v>902</v>
      </c>
      <c r="B320" s="48"/>
      <c r="C320" s="16"/>
      <c r="D320" s="16" t="s">
        <v>7180</v>
      </c>
    </row>
    <row r="321">
      <c r="A321" s="16" t="s">
        <v>127</v>
      </c>
      <c r="B321" s="48"/>
      <c r="C321" s="16"/>
      <c r="D321" s="16" t="s">
        <v>7181</v>
      </c>
    </row>
    <row r="322">
      <c r="A322" s="16" t="s">
        <v>949</v>
      </c>
      <c r="B322" s="48"/>
      <c r="C322" s="16"/>
      <c r="D322" s="16" t="s">
        <v>7182</v>
      </c>
    </row>
    <row r="323">
      <c r="A323" s="16" t="s">
        <v>911</v>
      </c>
      <c r="B323" s="48"/>
      <c r="C323" s="16"/>
      <c r="D323" s="16" t="s">
        <v>7183</v>
      </c>
    </row>
    <row r="324">
      <c r="A324" s="16" t="s">
        <v>1336</v>
      </c>
      <c r="B324" s="48"/>
      <c r="C324" s="16"/>
      <c r="D324" s="16" t="s">
        <v>7184</v>
      </c>
    </row>
    <row r="325">
      <c r="A325" s="16" t="s">
        <v>1437</v>
      </c>
      <c r="B325" s="48"/>
      <c r="C325" s="16"/>
      <c r="D325" s="16" t="s">
        <v>7185</v>
      </c>
    </row>
    <row r="326">
      <c r="A326" s="16" t="s">
        <v>1524</v>
      </c>
      <c r="B326" s="48"/>
      <c r="C326" s="16"/>
      <c r="D326" s="16" t="s">
        <v>7186</v>
      </c>
    </row>
    <row r="327">
      <c r="A327" s="16" t="s">
        <v>1191</v>
      </c>
      <c r="B327" s="48"/>
      <c r="C327" s="16"/>
      <c r="D327" s="16" t="s">
        <v>7187</v>
      </c>
    </row>
    <row r="328">
      <c r="A328" s="16" t="s">
        <v>859</v>
      </c>
      <c r="B328" s="48"/>
      <c r="C328" s="16"/>
      <c r="D328" s="16" t="s">
        <v>7188</v>
      </c>
    </row>
    <row r="329">
      <c r="A329" s="16" t="s">
        <v>915</v>
      </c>
      <c r="B329" s="48"/>
      <c r="C329" s="16"/>
      <c r="D329" s="16" t="s">
        <v>7189</v>
      </c>
    </row>
    <row r="330">
      <c r="A330" s="16" t="s">
        <v>1334</v>
      </c>
      <c r="B330" s="48"/>
      <c r="C330" s="16"/>
      <c r="D330" s="16" t="s">
        <v>7190</v>
      </c>
    </row>
    <row r="331">
      <c r="A331" s="16" t="s">
        <v>1530</v>
      </c>
      <c r="B331" s="48"/>
      <c r="C331" s="16"/>
      <c r="D331" s="16" t="s">
        <v>7191</v>
      </c>
    </row>
    <row r="332">
      <c r="A332" s="16" t="s">
        <v>252</v>
      </c>
      <c r="B332" s="48"/>
      <c r="C332" s="16"/>
      <c r="D332" s="16" t="s">
        <v>7192</v>
      </c>
    </row>
    <row r="333">
      <c r="A333" s="16" t="s">
        <v>1262</v>
      </c>
      <c r="B333" s="48"/>
      <c r="C333" s="16"/>
      <c r="D333" s="16" t="s">
        <v>7193</v>
      </c>
    </row>
    <row r="334">
      <c r="A334" s="16" t="s">
        <v>1208</v>
      </c>
      <c r="B334" s="48"/>
      <c r="C334" s="16"/>
      <c r="D334" s="16" t="s">
        <v>7194</v>
      </c>
    </row>
    <row r="335">
      <c r="A335" s="16" t="s">
        <v>980</v>
      </c>
      <c r="B335" s="48"/>
      <c r="C335" s="16"/>
      <c r="D335" s="16" t="s">
        <v>7195</v>
      </c>
    </row>
    <row r="336">
      <c r="A336" s="16" t="s">
        <v>923</v>
      </c>
      <c r="B336" s="48"/>
      <c r="C336" s="16"/>
      <c r="D336" s="16" t="s">
        <v>7196</v>
      </c>
    </row>
    <row r="337">
      <c r="A337" s="16" t="s">
        <v>1472</v>
      </c>
      <c r="B337" s="48"/>
      <c r="C337" s="16"/>
      <c r="D337" s="16" t="s">
        <v>7197</v>
      </c>
    </row>
    <row r="338">
      <c r="A338" s="16" t="s">
        <v>4970</v>
      </c>
      <c r="B338" s="48"/>
      <c r="C338" s="16"/>
      <c r="D338" s="16" t="s">
        <v>7198</v>
      </c>
    </row>
    <row r="339">
      <c r="A339" s="16" t="s">
        <v>978</v>
      </c>
      <c r="B339" s="48"/>
      <c r="C339" s="16"/>
      <c r="D339" s="16" t="s">
        <v>7199</v>
      </c>
    </row>
    <row r="340">
      <c r="A340" s="16" t="s">
        <v>1115</v>
      </c>
      <c r="B340" s="48"/>
      <c r="C340" s="16"/>
      <c r="D340" s="16" t="s">
        <v>7200</v>
      </c>
    </row>
    <row r="341">
      <c r="A341" s="16" t="s">
        <v>17</v>
      </c>
      <c r="B341" s="48"/>
      <c r="C341" s="16"/>
      <c r="D341" s="16" t="s">
        <v>7201</v>
      </c>
    </row>
    <row r="342">
      <c r="A342" s="16" t="s">
        <v>1049</v>
      </c>
      <c r="B342" s="48"/>
      <c r="C342" s="16"/>
      <c r="D342" s="16" t="s">
        <v>7202</v>
      </c>
    </row>
    <row r="343">
      <c r="A343" s="16" t="s">
        <v>1315</v>
      </c>
      <c r="B343" s="48"/>
      <c r="C343" s="16"/>
      <c r="D343" s="16" t="s">
        <v>7203</v>
      </c>
    </row>
    <row r="344">
      <c r="A344" s="16" t="s">
        <v>1125</v>
      </c>
      <c r="B344" s="48"/>
      <c r="C344" s="16"/>
      <c r="D344" s="16" t="s">
        <v>7204</v>
      </c>
    </row>
    <row r="345">
      <c r="A345" s="16" t="s">
        <v>1119</v>
      </c>
      <c r="B345" s="48"/>
      <c r="C345" s="16"/>
      <c r="D345" s="16" t="s">
        <v>7205</v>
      </c>
    </row>
    <row r="346">
      <c r="A346" s="16" t="s">
        <v>91</v>
      </c>
      <c r="B346" s="48"/>
      <c r="C346" s="16"/>
      <c r="D346" s="16" t="s">
        <v>7206</v>
      </c>
    </row>
    <row r="347">
      <c r="A347" s="16" t="s">
        <v>1117</v>
      </c>
      <c r="B347" s="48"/>
      <c r="C347" s="16"/>
      <c r="D347" s="16" t="s">
        <v>7207</v>
      </c>
    </row>
    <row r="348">
      <c r="A348" s="16" t="s">
        <v>145</v>
      </c>
      <c r="B348" s="48"/>
      <c r="C348" s="16"/>
      <c r="D348" s="16" t="s">
        <v>7208</v>
      </c>
    </row>
    <row r="349">
      <c r="A349" s="16" t="s">
        <v>66</v>
      </c>
      <c r="B349" s="48"/>
      <c r="C349" s="16"/>
      <c r="D349" s="16" t="s">
        <v>7209</v>
      </c>
    </row>
    <row r="350">
      <c r="A350" s="16" t="s">
        <v>1096</v>
      </c>
      <c r="B350" s="48"/>
      <c r="C350" s="16"/>
      <c r="D350" s="16" t="s">
        <v>7210</v>
      </c>
    </row>
    <row r="351">
      <c r="A351" s="16" t="s">
        <v>1002</v>
      </c>
      <c r="B351" s="48"/>
      <c r="C351" s="16"/>
      <c r="D351" s="16" t="s">
        <v>7211</v>
      </c>
    </row>
    <row r="352">
      <c r="A352" s="16" t="s">
        <v>245</v>
      </c>
      <c r="B352" s="48"/>
      <c r="C352" s="16"/>
      <c r="D352" s="16" t="s">
        <v>7212</v>
      </c>
    </row>
    <row r="353">
      <c r="A353" s="16" t="s">
        <v>22</v>
      </c>
      <c r="B353" s="48"/>
      <c r="C353" s="16"/>
      <c r="D353" s="16" t="s">
        <v>7213</v>
      </c>
    </row>
    <row r="354">
      <c r="A354" s="16" t="s">
        <v>1121</v>
      </c>
      <c r="B354" s="48"/>
      <c r="C354" s="16"/>
      <c r="D354" s="16" t="s">
        <v>7214</v>
      </c>
    </row>
    <row r="355">
      <c r="A355" s="16" t="s">
        <v>128</v>
      </c>
      <c r="B355" s="48"/>
      <c r="C355" s="16"/>
      <c r="D355" s="16" t="s">
        <v>7215</v>
      </c>
    </row>
    <row r="356">
      <c r="A356" s="16" t="s">
        <v>1547</v>
      </c>
      <c r="B356" s="48"/>
      <c r="C356" s="16"/>
      <c r="D356" s="16" t="s">
        <v>7216</v>
      </c>
    </row>
    <row r="357">
      <c r="A357" s="16" t="s">
        <v>1109</v>
      </c>
      <c r="B357" s="48"/>
      <c r="C357" s="16"/>
      <c r="D357" s="16" t="s">
        <v>7217</v>
      </c>
    </row>
    <row r="358">
      <c r="A358" s="16" t="s">
        <v>982</v>
      </c>
      <c r="B358" s="48"/>
      <c r="C358" s="16"/>
      <c r="D358" s="16" t="s">
        <v>7218</v>
      </c>
    </row>
    <row r="359">
      <c r="A359" s="16" t="s">
        <v>1295</v>
      </c>
      <c r="B359" s="48"/>
      <c r="C359" s="16"/>
      <c r="D359" s="16" t="s">
        <v>7219</v>
      </c>
    </row>
    <row r="360">
      <c r="A360" s="16" t="s">
        <v>851</v>
      </c>
      <c r="B360" s="48"/>
      <c r="C360" s="16"/>
      <c r="D360" s="16" t="s">
        <v>7220</v>
      </c>
    </row>
    <row r="361">
      <c r="A361" s="16" t="s">
        <v>1281</v>
      </c>
      <c r="B361" s="48"/>
      <c r="C361" s="16"/>
      <c r="D361" s="16" t="s">
        <v>7221</v>
      </c>
    </row>
    <row r="362">
      <c r="A362" s="16" t="s">
        <v>1102</v>
      </c>
      <c r="B362" s="48"/>
      <c r="C362" s="16"/>
      <c r="D362" s="16" t="s">
        <v>7222</v>
      </c>
    </row>
    <row r="363">
      <c r="A363" s="16" t="s">
        <v>1008</v>
      </c>
      <c r="B363" s="48"/>
      <c r="C363" s="16"/>
      <c r="D363" s="16" t="s">
        <v>7223</v>
      </c>
    </row>
    <row r="364">
      <c r="A364" s="16" t="s">
        <v>1279</v>
      </c>
      <c r="B364" s="48"/>
      <c r="C364" s="16"/>
      <c r="D364" s="16" t="s">
        <v>7224</v>
      </c>
    </row>
    <row r="365">
      <c r="A365" s="16" t="s">
        <v>61</v>
      </c>
      <c r="B365" s="48"/>
      <c r="C365" s="16"/>
      <c r="D365" s="16" t="s">
        <v>7225</v>
      </c>
    </row>
    <row r="366">
      <c r="A366" s="16" t="s">
        <v>1053</v>
      </c>
      <c r="B366" s="48"/>
      <c r="C366" s="16"/>
      <c r="D366" s="16" t="s">
        <v>7226</v>
      </c>
    </row>
    <row r="367">
      <c r="A367" s="16" t="s">
        <v>93</v>
      </c>
      <c r="B367" s="48"/>
      <c r="C367" s="16"/>
      <c r="D367" s="16" t="s">
        <v>7227</v>
      </c>
    </row>
    <row r="368">
      <c r="A368" s="16" t="s">
        <v>1293</v>
      </c>
      <c r="B368" s="48"/>
      <c r="C368" s="16"/>
      <c r="D368" s="16" t="s">
        <v>7228</v>
      </c>
    </row>
    <row r="369">
      <c r="A369" s="16" t="s">
        <v>1555</v>
      </c>
      <c r="B369" s="48"/>
      <c r="C369" s="16"/>
      <c r="D369" s="16" t="s">
        <v>7229</v>
      </c>
    </row>
    <row r="370">
      <c r="A370" s="16" t="s">
        <v>1100</v>
      </c>
      <c r="B370" s="48"/>
      <c r="C370" s="16"/>
      <c r="D370" s="16" t="s">
        <v>7230</v>
      </c>
    </row>
    <row r="371">
      <c r="A371" s="16" t="s">
        <v>1104</v>
      </c>
      <c r="B371" s="48"/>
      <c r="C371" s="16"/>
      <c r="D371" s="16" t="s">
        <v>7231</v>
      </c>
    </row>
    <row r="372">
      <c r="A372" s="16" t="s">
        <v>1098</v>
      </c>
      <c r="B372" s="48"/>
      <c r="C372" s="16"/>
      <c r="D372" s="16" t="s">
        <v>7232</v>
      </c>
    </row>
    <row r="373">
      <c r="A373" s="16" t="s">
        <v>99</v>
      </c>
      <c r="B373" s="48"/>
      <c r="C373" s="16"/>
      <c r="D373" s="16" t="s">
        <v>7233</v>
      </c>
    </row>
    <row r="374">
      <c r="A374" s="16" t="s">
        <v>847</v>
      </c>
      <c r="B374" s="48"/>
      <c r="C374" s="16"/>
      <c r="D374" s="16" t="s">
        <v>7234</v>
      </c>
    </row>
    <row r="375">
      <c r="A375" s="16" t="s">
        <v>1299</v>
      </c>
      <c r="B375" s="48"/>
      <c r="C375" s="16"/>
      <c r="D375" s="16" t="s">
        <v>7235</v>
      </c>
    </row>
    <row r="376">
      <c r="A376" s="16" t="s">
        <v>95</v>
      </c>
      <c r="B376" s="48"/>
      <c r="C376" s="16"/>
      <c r="D376" s="16" t="s">
        <v>7236</v>
      </c>
    </row>
    <row r="377">
      <c r="A377" s="16" t="s">
        <v>1398</v>
      </c>
      <c r="B377" s="48"/>
      <c r="C377" s="16"/>
      <c r="D377" s="16" t="s">
        <v>7237</v>
      </c>
    </row>
    <row r="378">
      <c r="A378" s="16" t="s">
        <v>798</v>
      </c>
      <c r="B378" s="48"/>
      <c r="C378" s="16"/>
      <c r="D378" s="16" t="s">
        <v>7238</v>
      </c>
    </row>
    <row r="379">
      <c r="A379" s="16" t="s">
        <v>1558</v>
      </c>
      <c r="B379" s="48"/>
      <c r="C379" s="16"/>
      <c r="D379" s="16" t="s">
        <v>7239</v>
      </c>
    </row>
    <row r="380">
      <c r="A380" s="16" t="s">
        <v>1094</v>
      </c>
      <c r="B380" s="48"/>
      <c r="C380" s="16"/>
      <c r="D380" s="16" t="s">
        <v>7240</v>
      </c>
    </row>
    <row r="381">
      <c r="A381" s="16" t="s">
        <v>1431</v>
      </c>
      <c r="B381" s="48"/>
      <c r="C381" s="16"/>
      <c r="D381" s="16" t="s">
        <v>7241</v>
      </c>
    </row>
    <row r="382">
      <c r="A382" s="16" t="s">
        <v>1564</v>
      </c>
      <c r="B382" s="48"/>
      <c r="C382" s="16"/>
      <c r="D382" s="16" t="s">
        <v>7242</v>
      </c>
    </row>
    <row r="383">
      <c r="A383" s="16" t="s">
        <v>1219</v>
      </c>
      <c r="B383" s="48"/>
      <c r="C383" s="16"/>
      <c r="D383" s="16" t="s">
        <v>7243</v>
      </c>
    </row>
    <row r="384">
      <c r="A384" s="16" t="s">
        <v>1055</v>
      </c>
      <c r="B384" s="48"/>
      <c r="C384" s="16"/>
      <c r="D384" s="16" t="s">
        <v>7244</v>
      </c>
    </row>
    <row r="385">
      <c r="A385" s="16" t="s">
        <v>1091</v>
      </c>
      <c r="B385" s="48"/>
      <c r="C385" s="16"/>
      <c r="D385" s="16" t="s">
        <v>7245</v>
      </c>
    </row>
    <row r="386">
      <c r="A386" s="16" t="s">
        <v>186</v>
      </c>
      <c r="B386" s="48"/>
      <c r="C386" s="16"/>
      <c r="D386" s="16" t="s">
        <v>7246</v>
      </c>
    </row>
    <row r="387">
      <c r="A387" s="16" t="s">
        <v>1566</v>
      </c>
      <c r="B387" s="48"/>
      <c r="C387" s="16"/>
      <c r="D387" s="16" t="s">
        <v>7247</v>
      </c>
    </row>
    <row r="388">
      <c r="A388" s="16" t="s">
        <v>1297</v>
      </c>
      <c r="B388" s="48"/>
      <c r="C388" s="16"/>
      <c r="D388" s="16" t="s">
        <v>7248</v>
      </c>
    </row>
    <row r="389">
      <c r="A389" s="16" t="s">
        <v>1425</v>
      </c>
      <c r="B389" s="48"/>
      <c r="C389" s="16"/>
      <c r="D389" s="16" t="s">
        <v>7249</v>
      </c>
    </row>
    <row r="390">
      <c r="A390" s="16" t="s">
        <v>1462</v>
      </c>
      <c r="B390" s="48"/>
      <c r="C390" s="16"/>
      <c r="D390" s="16" t="s">
        <v>7250</v>
      </c>
    </row>
    <row r="391">
      <c r="A391" s="16" t="s">
        <v>1268</v>
      </c>
      <c r="B391" s="48"/>
      <c r="C391" s="16"/>
      <c r="D391" s="16" t="s">
        <v>7251</v>
      </c>
    </row>
    <row r="392">
      <c r="A392" s="16" t="s">
        <v>985</v>
      </c>
      <c r="B392" s="48"/>
      <c r="C392" s="16"/>
      <c r="D392" s="16" t="s">
        <v>7252</v>
      </c>
    </row>
    <row r="393">
      <c r="A393" s="16" t="s">
        <v>987</v>
      </c>
      <c r="B393" s="48"/>
      <c r="C393" s="16"/>
      <c r="D393" s="16" t="s">
        <v>7253</v>
      </c>
    </row>
    <row r="394">
      <c r="A394" s="16" t="s">
        <v>169</v>
      </c>
      <c r="B394" s="48"/>
      <c r="C394" s="16"/>
      <c r="D394" s="16" t="s">
        <v>7254</v>
      </c>
    </row>
    <row r="395">
      <c r="A395" s="16" t="s">
        <v>811</v>
      </c>
      <c r="B395" s="48"/>
      <c r="C395" s="16"/>
      <c r="D395" s="16" t="s">
        <v>7255</v>
      </c>
    </row>
    <row r="396">
      <c r="A396" s="16" t="s">
        <v>455</v>
      </c>
      <c r="B396" s="48"/>
      <c r="C396" s="16"/>
      <c r="D396" s="16" t="s">
        <v>7256</v>
      </c>
    </row>
    <row r="397">
      <c r="A397" s="16" t="s">
        <v>1460</v>
      </c>
      <c r="B397" s="48"/>
      <c r="C397" s="16"/>
      <c r="D397" s="16" t="s">
        <v>7257</v>
      </c>
    </row>
    <row r="398">
      <c r="A398" s="16" t="s">
        <v>166</v>
      </c>
      <c r="B398" s="48"/>
      <c r="C398" s="16"/>
      <c r="D398" s="16" t="s">
        <v>7258</v>
      </c>
    </row>
    <row r="399">
      <c r="A399" s="16" t="s">
        <v>232</v>
      </c>
      <c r="B399" s="48"/>
      <c r="C399" s="16"/>
      <c r="D399" s="16" t="s">
        <v>7259</v>
      </c>
    </row>
    <row r="400">
      <c r="A400" s="16" t="s">
        <v>163</v>
      </c>
      <c r="B400" s="48"/>
      <c r="C400" s="16"/>
      <c r="D400" s="16" t="s">
        <v>7260</v>
      </c>
    </row>
    <row r="401">
      <c r="A401" s="16" t="s">
        <v>1311</v>
      </c>
      <c r="B401" s="48"/>
      <c r="C401" s="16"/>
      <c r="D401" s="16" t="s">
        <v>7261</v>
      </c>
    </row>
    <row r="402">
      <c r="A402" s="16" t="s">
        <v>1051</v>
      </c>
      <c r="B402" s="48"/>
      <c r="C402" s="16"/>
      <c r="D402" s="16" t="s">
        <v>7262</v>
      </c>
    </row>
    <row r="403">
      <c r="A403" s="16" t="s">
        <v>1575</v>
      </c>
      <c r="B403" s="48"/>
      <c r="C403" s="16"/>
      <c r="D403" s="16" t="s">
        <v>7263</v>
      </c>
    </row>
    <row r="404">
      <c r="A404" s="16" t="s">
        <v>974</v>
      </c>
      <c r="B404" s="48"/>
      <c r="C404" s="16"/>
      <c r="D404" s="16" t="s">
        <v>7264</v>
      </c>
    </row>
    <row r="405">
      <c r="A405" s="16" t="s">
        <v>1266</v>
      </c>
      <c r="B405" s="48"/>
      <c r="C405" s="16"/>
      <c r="D405" s="16" t="s">
        <v>7265</v>
      </c>
    </row>
    <row r="406">
      <c r="A406" s="16" t="s">
        <v>1381</v>
      </c>
      <c r="B406" s="48"/>
      <c r="C406" s="16"/>
      <c r="D406" s="16" t="s">
        <v>7266</v>
      </c>
    </row>
    <row r="407">
      <c r="A407" s="16" t="s">
        <v>592</v>
      </c>
      <c r="B407" s="48"/>
      <c r="C407" s="16"/>
      <c r="D407" s="16" t="s">
        <v>7267</v>
      </c>
    </row>
    <row r="408">
      <c r="A408" s="16" t="s">
        <v>125</v>
      </c>
      <c r="B408" s="48"/>
      <c r="C408" s="16"/>
      <c r="D408" s="16" t="s">
        <v>7268</v>
      </c>
    </row>
    <row r="409">
      <c r="A409" s="16" t="s">
        <v>900</v>
      </c>
      <c r="B409" s="48"/>
      <c r="C409" s="16"/>
      <c r="D409" s="16" t="s">
        <v>7269</v>
      </c>
    </row>
    <row r="410">
      <c r="A410" s="16" t="s">
        <v>906</v>
      </c>
      <c r="B410" s="48"/>
      <c r="C410" s="16"/>
      <c r="D410" s="16" t="s">
        <v>7270</v>
      </c>
    </row>
    <row r="411">
      <c r="A411" s="16" t="s">
        <v>1345</v>
      </c>
      <c r="B411" s="48"/>
      <c r="C411" s="16"/>
      <c r="D411" s="16" t="s">
        <v>7271</v>
      </c>
    </row>
    <row r="412">
      <c r="A412" s="16" t="s">
        <v>253</v>
      </c>
      <c r="B412" s="48"/>
      <c r="C412" s="16"/>
      <c r="D412" s="16" t="s">
        <v>7272</v>
      </c>
    </row>
    <row r="413">
      <c r="A413" s="16" t="s">
        <v>1359</v>
      </c>
      <c r="B413" s="48"/>
      <c r="C413" s="16"/>
      <c r="D413" s="16" t="s">
        <v>7273</v>
      </c>
    </row>
    <row r="414">
      <c r="A414" s="16" t="s">
        <v>976</v>
      </c>
      <c r="B414" s="48"/>
      <c r="C414" s="16"/>
      <c r="D414" s="16" t="s">
        <v>7274</v>
      </c>
    </row>
    <row r="415">
      <c r="A415" s="16" t="s">
        <v>965</v>
      </c>
      <c r="B415" s="48"/>
      <c r="C415" s="16"/>
      <c r="D415" s="16" t="s">
        <v>7275</v>
      </c>
    </row>
    <row r="416">
      <c r="A416" s="16" t="s">
        <v>925</v>
      </c>
      <c r="B416" s="48"/>
      <c r="C416" s="16"/>
      <c r="D416" s="16" t="s">
        <v>7276</v>
      </c>
    </row>
    <row r="417">
      <c r="A417" s="16" t="s">
        <v>1586</v>
      </c>
      <c r="B417" s="48"/>
      <c r="C417" s="16"/>
      <c r="D417" s="16" t="s">
        <v>7277</v>
      </c>
    </row>
    <row r="418">
      <c r="A418" s="16" t="s">
        <v>33</v>
      </c>
      <c r="B418" s="48"/>
      <c r="C418" s="16"/>
      <c r="D418" s="16" t="s">
        <v>7278</v>
      </c>
    </row>
    <row r="419">
      <c r="A419" s="16" t="s">
        <v>908</v>
      </c>
      <c r="B419" s="48"/>
      <c r="C419" s="16"/>
      <c r="D419" s="16" t="s">
        <v>7279</v>
      </c>
    </row>
    <row r="420">
      <c r="A420" s="16" t="s">
        <v>1590</v>
      </c>
      <c r="B420" s="48"/>
      <c r="C420" s="16"/>
      <c r="D420" s="16" t="s">
        <v>7280</v>
      </c>
    </row>
    <row r="421">
      <c r="A421" s="16" t="s">
        <v>1141</v>
      </c>
      <c r="B421" s="48"/>
      <c r="C421" s="16"/>
      <c r="D421" s="16" t="s">
        <v>7281</v>
      </c>
    </row>
    <row r="422">
      <c r="A422" s="16" t="s">
        <v>1383</v>
      </c>
      <c r="B422" s="48"/>
      <c r="C422" s="16"/>
      <c r="D422" s="16" t="s">
        <v>7282</v>
      </c>
    </row>
    <row r="423">
      <c r="A423" s="16" t="s">
        <v>790</v>
      </c>
      <c r="B423" s="48"/>
      <c r="C423" s="16"/>
      <c r="D423" s="16" t="s">
        <v>7283</v>
      </c>
    </row>
    <row r="424">
      <c r="A424" s="16" t="s">
        <v>927</v>
      </c>
      <c r="B424" s="48"/>
      <c r="C424" s="16"/>
      <c r="D424" s="16" t="s">
        <v>7284</v>
      </c>
    </row>
    <row r="425">
      <c r="A425" s="16" t="s">
        <v>904</v>
      </c>
      <c r="B425" s="48"/>
      <c r="C425" s="16"/>
      <c r="D425" s="16" t="s">
        <v>7285</v>
      </c>
    </row>
    <row r="426">
      <c r="A426" s="16" t="s">
        <v>937</v>
      </c>
      <c r="B426" s="48"/>
      <c r="C426" s="16"/>
      <c r="D426" s="16" t="s">
        <v>7286</v>
      </c>
    </row>
    <row r="427">
      <c r="A427" s="16" t="s">
        <v>933</v>
      </c>
      <c r="B427" s="48"/>
      <c r="C427" s="16"/>
      <c r="D427" s="16" t="s">
        <v>7287</v>
      </c>
    </row>
    <row r="428">
      <c r="A428" s="16" t="s">
        <v>300</v>
      </c>
      <c r="B428" s="48"/>
      <c r="C428" s="16"/>
      <c r="D428" s="16" t="s">
        <v>7288</v>
      </c>
    </row>
    <row r="429">
      <c r="A429" s="16" t="s">
        <v>1596</v>
      </c>
      <c r="B429" s="48"/>
      <c r="C429" s="16"/>
      <c r="D429" s="16" t="s">
        <v>7289</v>
      </c>
    </row>
    <row r="430">
      <c r="A430" s="16" t="s">
        <v>129</v>
      </c>
      <c r="B430" s="48"/>
      <c r="C430" s="16"/>
      <c r="D430" s="16" t="s">
        <v>7290</v>
      </c>
    </row>
    <row r="431">
      <c r="A431" s="16" t="s">
        <v>921</v>
      </c>
      <c r="B431" s="48"/>
      <c r="C431" s="16"/>
      <c r="D431" s="16" t="s">
        <v>7291</v>
      </c>
    </row>
    <row r="432">
      <c r="A432" s="16" t="s">
        <v>19</v>
      </c>
      <c r="B432" s="48"/>
      <c r="C432" s="16"/>
      <c r="D432" s="16" t="s">
        <v>7292</v>
      </c>
    </row>
    <row r="433">
      <c r="A433" s="16" t="s">
        <v>1139</v>
      </c>
      <c r="B433" s="48"/>
      <c r="C433" s="16"/>
      <c r="D433" s="16" t="s">
        <v>7293</v>
      </c>
    </row>
    <row r="434">
      <c r="A434" s="16" t="s">
        <v>1340</v>
      </c>
      <c r="B434" s="48"/>
      <c r="C434" s="16"/>
      <c r="D434" s="16" t="s">
        <v>7294</v>
      </c>
    </row>
    <row r="435">
      <c r="A435" s="16" t="s">
        <v>893</v>
      </c>
      <c r="B435" s="48"/>
      <c r="C435" s="16"/>
      <c r="D435" s="16" t="s">
        <v>7295</v>
      </c>
    </row>
    <row r="436">
      <c r="A436" s="16" t="s">
        <v>298</v>
      </c>
      <c r="B436" s="48"/>
      <c r="C436" s="16"/>
      <c r="D436" s="16" t="s">
        <v>7296</v>
      </c>
    </row>
    <row r="437">
      <c r="A437" s="16" t="s">
        <v>1599</v>
      </c>
      <c r="B437" s="48"/>
      <c r="C437" s="16"/>
      <c r="D437" s="16" t="s">
        <v>7297</v>
      </c>
    </row>
    <row r="438">
      <c r="A438" s="16" t="s">
        <v>144</v>
      </c>
      <c r="B438" s="48"/>
      <c r="C438" s="16"/>
      <c r="D438" s="16" t="s">
        <v>7298</v>
      </c>
    </row>
    <row r="439">
      <c r="A439" s="16" t="s">
        <v>1135</v>
      </c>
      <c r="B439" s="48"/>
      <c r="C439" s="16"/>
      <c r="D439" s="16" t="s">
        <v>7299</v>
      </c>
    </row>
    <row r="440">
      <c r="A440" s="16" t="s">
        <v>1137</v>
      </c>
      <c r="B440" s="48"/>
      <c r="C440" s="16"/>
      <c r="D440" s="16" t="s">
        <v>7300</v>
      </c>
    </row>
    <row r="441">
      <c r="A441" s="16" t="s">
        <v>1379</v>
      </c>
      <c r="B441" s="48"/>
      <c r="C441" s="16"/>
      <c r="D441" s="16" t="s">
        <v>7301</v>
      </c>
    </row>
    <row r="442">
      <c r="A442" s="16" t="s">
        <v>1202</v>
      </c>
      <c r="B442" s="48"/>
      <c r="C442" s="16"/>
      <c r="D442" s="16" t="s">
        <v>7302</v>
      </c>
    </row>
    <row r="443">
      <c r="A443" s="16" t="s">
        <v>1369</v>
      </c>
      <c r="B443" s="48"/>
      <c r="C443" s="16"/>
      <c r="D443" s="16" t="s">
        <v>7303</v>
      </c>
    </row>
    <row r="444">
      <c r="A444" s="16" t="s">
        <v>1449</v>
      </c>
      <c r="B444" s="48"/>
      <c r="C444" s="16"/>
      <c r="D444" s="16" t="s">
        <v>7304</v>
      </c>
    </row>
    <row r="445">
      <c r="A445" s="16" t="s">
        <v>1250</v>
      </c>
      <c r="B445" s="48"/>
      <c r="C445" s="16"/>
      <c r="D445" s="16" t="s">
        <v>7305</v>
      </c>
    </row>
    <row r="446">
      <c r="A446" s="16" t="s">
        <v>1038</v>
      </c>
      <c r="B446" s="48"/>
      <c r="C446" s="16"/>
      <c r="D446" s="16" t="s">
        <v>7306</v>
      </c>
    </row>
    <row r="447">
      <c r="A447" s="16" t="s">
        <v>1605</v>
      </c>
      <c r="B447" s="48"/>
      <c r="C447" s="16"/>
      <c r="D447" s="16" t="s">
        <v>7307</v>
      </c>
    </row>
    <row r="448">
      <c r="A448" s="16" t="s">
        <v>1175</v>
      </c>
      <c r="B448" s="48"/>
      <c r="C448" s="16"/>
      <c r="D448" s="16" t="s">
        <v>7308</v>
      </c>
    </row>
    <row r="449">
      <c r="A449" s="16" t="s">
        <v>821</v>
      </c>
      <c r="B449" s="48"/>
      <c r="C449" s="16"/>
      <c r="D449" s="16" t="s">
        <v>7309</v>
      </c>
    </row>
    <row r="450">
      <c r="A450" s="16" t="s">
        <v>1611</v>
      </c>
      <c r="B450" s="48"/>
      <c r="C450" s="16"/>
      <c r="D450" s="16" t="s">
        <v>7310</v>
      </c>
    </row>
    <row r="451">
      <c r="A451" s="16" t="s">
        <v>777</v>
      </c>
      <c r="B451" s="48"/>
      <c r="C451" s="16"/>
      <c r="D451" s="16" t="s">
        <v>7311</v>
      </c>
    </row>
    <row r="452">
      <c r="A452" s="16" t="s">
        <v>1041</v>
      </c>
      <c r="B452" s="48"/>
      <c r="C452" s="16"/>
      <c r="D452" s="16" t="s">
        <v>7312</v>
      </c>
    </row>
    <row r="453">
      <c r="A453" s="16" t="s">
        <v>14</v>
      </c>
      <c r="B453" s="48"/>
      <c r="C453" s="16"/>
      <c r="D453" s="16" t="s">
        <v>7313</v>
      </c>
    </row>
    <row r="454">
      <c r="A454" s="16" t="s">
        <v>1173</v>
      </c>
      <c r="B454" s="48"/>
      <c r="C454" s="16"/>
      <c r="D454" s="16" t="s">
        <v>7314</v>
      </c>
    </row>
    <row r="455">
      <c r="A455" s="16" t="s">
        <v>853</v>
      </c>
      <c r="B455" s="48"/>
      <c r="C455" s="16"/>
      <c r="D455" s="16" t="s">
        <v>7315</v>
      </c>
    </row>
    <row r="456">
      <c r="A456" s="16" t="s">
        <v>6187</v>
      </c>
      <c r="B456" s="48"/>
      <c r="C456" s="16"/>
      <c r="D456" s="16" t="s">
        <v>7316</v>
      </c>
    </row>
    <row r="457">
      <c r="A457" s="16" t="s">
        <v>1408</v>
      </c>
      <c r="B457" s="48"/>
      <c r="C457" s="16"/>
      <c r="D457" s="16" t="s">
        <v>7317</v>
      </c>
    </row>
    <row r="458">
      <c r="A458" s="16" t="s">
        <v>1179</v>
      </c>
      <c r="B458" s="48"/>
      <c r="C458" s="16"/>
      <c r="D458" s="16" t="s">
        <v>7318</v>
      </c>
    </row>
    <row r="459">
      <c r="A459" s="16" t="s">
        <v>1613</v>
      </c>
      <c r="B459" s="48"/>
      <c r="C459" s="16"/>
      <c r="D459" s="16" t="s">
        <v>7319</v>
      </c>
    </row>
    <row r="460">
      <c r="A460" s="16" t="s">
        <v>855</v>
      </c>
      <c r="B460" s="48"/>
      <c r="C460" s="16"/>
      <c r="D460" s="16" t="s">
        <v>7320</v>
      </c>
    </row>
    <row r="461">
      <c r="A461" s="16" t="s">
        <v>16</v>
      </c>
      <c r="B461" s="48"/>
      <c r="C461" s="16"/>
      <c r="D461" s="16" t="s">
        <v>7321</v>
      </c>
    </row>
    <row r="462">
      <c r="A462" s="16" t="s">
        <v>1615</v>
      </c>
      <c r="B462" s="48"/>
      <c r="C462" s="16"/>
      <c r="D462" s="16" t="s">
        <v>7322</v>
      </c>
    </row>
    <row r="463">
      <c r="A463" s="16" t="s">
        <v>1167</v>
      </c>
      <c r="B463" s="48"/>
      <c r="C463" s="16"/>
      <c r="D463" s="16" t="s">
        <v>7323</v>
      </c>
    </row>
    <row r="464">
      <c r="A464" s="16" t="s">
        <v>1594</v>
      </c>
      <c r="B464" s="48"/>
      <c r="C464" s="16"/>
      <c r="D464" s="16" t="s">
        <v>7324</v>
      </c>
    </row>
    <row r="465">
      <c r="A465" s="16" t="s">
        <v>1443</v>
      </c>
      <c r="B465" s="48"/>
      <c r="C465" s="16"/>
      <c r="D465" s="16" t="s">
        <v>7325</v>
      </c>
    </row>
    <row r="466">
      <c r="A466" s="16" t="s">
        <v>1183</v>
      </c>
      <c r="B466" s="48"/>
      <c r="C466" s="16"/>
      <c r="D466" s="16" t="s">
        <v>7326</v>
      </c>
    </row>
    <row r="467">
      <c r="A467" s="16" t="s">
        <v>1619</v>
      </c>
      <c r="B467" s="48"/>
      <c r="C467" s="16"/>
      <c r="D467" s="16" t="s">
        <v>7327</v>
      </c>
    </row>
    <row r="468">
      <c r="A468" s="16" t="s">
        <v>1447</v>
      </c>
      <c r="B468" s="48"/>
      <c r="C468" s="16"/>
      <c r="D468" s="16" t="s">
        <v>7328</v>
      </c>
    </row>
    <row r="469">
      <c r="A469" s="16" t="s">
        <v>1371</v>
      </c>
      <c r="B469" s="48"/>
      <c r="C469" s="16"/>
      <c r="D469" s="16" t="s">
        <v>7329</v>
      </c>
    </row>
    <row r="470">
      <c r="A470" s="16" t="s">
        <v>881</v>
      </c>
      <c r="B470" s="48"/>
      <c r="C470" s="16"/>
      <c r="D470" s="16" t="s">
        <v>7330</v>
      </c>
    </row>
    <row r="471">
      <c r="A471" s="16" t="s">
        <v>1165</v>
      </c>
      <c r="B471" s="48"/>
      <c r="C471" s="16"/>
      <c r="D471" s="16" t="s">
        <v>7331</v>
      </c>
    </row>
    <row r="472">
      <c r="A472" s="16" t="s">
        <v>486</v>
      </c>
      <c r="B472" s="48"/>
      <c r="C472" s="16"/>
      <c r="D472" s="16" t="s">
        <v>7332</v>
      </c>
    </row>
    <row r="473">
      <c r="A473" s="16" t="s">
        <v>833</v>
      </c>
      <c r="B473" s="48"/>
      <c r="C473" s="16"/>
      <c r="D473" s="16" t="s">
        <v>7333</v>
      </c>
    </row>
    <row r="474">
      <c r="A474" s="16" t="s">
        <v>39</v>
      </c>
      <c r="B474" s="48"/>
      <c r="C474" s="16"/>
      <c r="D474" s="16" t="s">
        <v>7334</v>
      </c>
    </row>
    <row r="475">
      <c r="A475" s="16" t="s">
        <v>1069</v>
      </c>
      <c r="B475" s="48"/>
      <c r="C475" s="16"/>
      <c r="D475" s="16" t="s">
        <v>7335</v>
      </c>
    </row>
    <row r="476">
      <c r="A476" s="16" t="s">
        <v>1149</v>
      </c>
      <c r="B476" s="48"/>
      <c r="C476" s="16"/>
      <c r="D476" s="16" t="s">
        <v>7336</v>
      </c>
    </row>
    <row r="477">
      <c r="A477" s="16" t="s">
        <v>1350</v>
      </c>
      <c r="B477" s="48"/>
      <c r="C477" s="16"/>
      <c r="D477" s="16" t="s">
        <v>7337</v>
      </c>
    </row>
    <row r="478">
      <c r="A478" s="16" t="s">
        <v>355</v>
      </c>
      <c r="B478" s="48"/>
      <c r="C478" s="16"/>
      <c r="D478" s="16" t="s">
        <v>7338</v>
      </c>
    </row>
    <row r="479">
      <c r="A479" s="16" t="s">
        <v>1445</v>
      </c>
      <c r="B479" s="48"/>
      <c r="C479" s="16"/>
      <c r="D479" s="16" t="s">
        <v>7339</v>
      </c>
    </row>
    <row r="480">
      <c r="A480" s="16" t="s">
        <v>1624</v>
      </c>
      <c r="B480" s="48"/>
      <c r="C480" s="16"/>
      <c r="D480" s="16" t="s">
        <v>7340</v>
      </c>
    </row>
    <row r="481">
      <c r="A481" s="16" t="s">
        <v>89</v>
      </c>
      <c r="B481" s="48"/>
      <c r="C481" s="16"/>
      <c r="D481" s="16" t="s">
        <v>7341</v>
      </c>
    </row>
    <row r="482">
      <c r="A482" s="16" t="s">
        <v>1402</v>
      </c>
      <c r="B482" s="48"/>
      <c r="C482" s="16"/>
      <c r="D482" s="16" t="s">
        <v>7342</v>
      </c>
    </row>
    <row r="483">
      <c r="A483" s="16" t="s">
        <v>825</v>
      </c>
      <c r="B483" s="48"/>
      <c r="C483" s="16"/>
      <c r="D483" s="16" t="s">
        <v>7343</v>
      </c>
    </row>
    <row r="484">
      <c r="A484" s="16" t="s">
        <v>766</v>
      </c>
      <c r="B484" s="48"/>
      <c r="C484" s="16"/>
      <c r="D484" s="16" t="s">
        <v>7344</v>
      </c>
    </row>
    <row r="485">
      <c r="A485" s="16" t="s">
        <v>841</v>
      </c>
      <c r="B485" s="48"/>
      <c r="C485" s="16"/>
      <c r="D485" s="16" t="s">
        <v>7345</v>
      </c>
    </row>
    <row r="486">
      <c r="A486" s="16" t="s">
        <v>1023</v>
      </c>
      <c r="B486" s="48"/>
      <c r="C486" s="16"/>
      <c r="D486" s="16" t="s">
        <v>7346</v>
      </c>
    </row>
    <row r="487">
      <c r="A487" s="16" t="s">
        <v>958</v>
      </c>
      <c r="B487" s="48"/>
      <c r="C487" s="16"/>
      <c r="D487" s="16" t="s">
        <v>7347</v>
      </c>
    </row>
    <row r="488">
      <c r="A488" s="16" t="s">
        <v>12</v>
      </c>
      <c r="B488" s="48"/>
      <c r="C488" s="16"/>
      <c r="D488" s="16" t="s">
        <v>7348</v>
      </c>
    </row>
    <row r="489">
      <c r="A489" s="16" t="s">
        <v>843</v>
      </c>
      <c r="B489" s="48"/>
      <c r="C489" s="16"/>
      <c r="D489" s="16" t="s">
        <v>7349</v>
      </c>
    </row>
    <row r="490">
      <c r="A490" s="16" t="s">
        <v>1010</v>
      </c>
      <c r="B490" s="48"/>
      <c r="C490" s="16"/>
      <c r="D490" s="16" t="s">
        <v>7350</v>
      </c>
    </row>
    <row r="491">
      <c r="A491" s="16" t="s">
        <v>241</v>
      </c>
      <c r="B491" s="48"/>
      <c r="C491" s="16"/>
      <c r="D491" s="16" t="s">
        <v>7351</v>
      </c>
    </row>
    <row r="492">
      <c r="A492" s="16" t="s">
        <v>459</v>
      </c>
      <c r="B492" s="48"/>
      <c r="C492" s="16"/>
      <c r="D492" s="16" t="s">
        <v>7352</v>
      </c>
    </row>
    <row r="493">
      <c r="A493" s="16" t="s">
        <v>835</v>
      </c>
      <c r="B493" s="48"/>
      <c r="C493" s="16"/>
      <c r="D493" s="16" t="s">
        <v>7353</v>
      </c>
    </row>
    <row r="494">
      <c r="A494" s="16" t="s">
        <v>263</v>
      </c>
      <c r="B494" s="48"/>
      <c r="C494" s="16"/>
      <c r="D494" s="16" t="s">
        <v>7354</v>
      </c>
    </row>
    <row r="495">
      <c r="A495" s="16" t="s">
        <v>1076</v>
      </c>
      <c r="B495" s="48"/>
      <c r="C495" s="16"/>
      <c r="D495" s="16" t="s">
        <v>7355</v>
      </c>
    </row>
    <row r="496">
      <c r="A496" s="16" t="s">
        <v>1235</v>
      </c>
      <c r="B496" s="48"/>
      <c r="C496" s="16"/>
      <c r="D496" s="16" t="s">
        <v>7356</v>
      </c>
    </row>
    <row r="497">
      <c r="A497" s="16" t="s">
        <v>6209</v>
      </c>
      <c r="B497" s="48"/>
      <c r="C497" s="16"/>
      <c r="D497" s="16" t="s">
        <v>7357</v>
      </c>
    </row>
    <row r="498">
      <c r="A498" s="16" t="s">
        <v>1636</v>
      </c>
      <c r="B498" s="48"/>
      <c r="C498" s="16"/>
      <c r="D498" s="16" t="s">
        <v>7358</v>
      </c>
    </row>
    <row r="499">
      <c r="A499" s="16" t="s">
        <v>1021</v>
      </c>
      <c r="B499" s="48"/>
      <c r="C499" s="16"/>
      <c r="D499" s="16" t="s">
        <v>7359</v>
      </c>
    </row>
    <row r="500">
      <c r="A500" s="16" t="s">
        <v>849</v>
      </c>
      <c r="B500" s="48"/>
      <c r="C500" s="16"/>
      <c r="D500" s="16" t="s">
        <v>7360</v>
      </c>
    </row>
    <row r="501">
      <c r="A501" s="16" t="s">
        <v>1214</v>
      </c>
      <c r="B501" s="48"/>
      <c r="C501" s="16"/>
      <c r="D501" s="16" t="s">
        <v>7361</v>
      </c>
    </row>
    <row r="502">
      <c r="A502" s="16" t="s">
        <v>1163</v>
      </c>
      <c r="B502" s="48"/>
      <c r="C502" s="16"/>
      <c r="D502" s="16" t="s">
        <v>7362</v>
      </c>
    </row>
    <row r="503">
      <c r="A503" s="16" t="s">
        <v>276</v>
      </c>
      <c r="B503" s="48"/>
      <c r="C503" s="16"/>
      <c r="D503" s="16" t="s">
        <v>7363</v>
      </c>
    </row>
  </sheetData>
  <autoFilter ref="$A$1:$D$503">
    <sortState ref="A1:D503">
      <sortCondition descending="1" ref="C1:C503"/>
      <sortCondition descending="1" ref="B1:B503"/>
    </sortState>
  </autoFilter>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75"/>
  </cols>
  <sheetData>
    <row r="1">
      <c r="A1" s="2" t="s">
        <v>623</v>
      </c>
      <c r="B1" s="2" t="s">
        <v>624</v>
      </c>
      <c r="C1" s="2" t="s">
        <v>625</v>
      </c>
      <c r="D1" s="2" t="s">
        <v>626</v>
      </c>
      <c r="E1" s="2"/>
    </row>
    <row r="2">
      <c r="A2" s="2" t="s">
        <v>119</v>
      </c>
      <c r="B2" s="2" t="s">
        <v>7364</v>
      </c>
      <c r="C2" s="2">
        <v>85.0</v>
      </c>
      <c r="D2" s="54">
        <v>45419.0</v>
      </c>
      <c r="E2" s="2"/>
    </row>
    <row r="3">
      <c r="A3" s="2" t="s">
        <v>111</v>
      </c>
      <c r="B3" s="2" t="s">
        <v>7365</v>
      </c>
      <c r="C3" s="2">
        <v>85.0</v>
      </c>
      <c r="D3" s="54">
        <v>45419.0</v>
      </c>
      <c r="E3" s="2"/>
    </row>
    <row r="4">
      <c r="A4" s="2" t="s">
        <v>173</v>
      </c>
      <c r="B4" s="2" t="s">
        <v>7366</v>
      </c>
      <c r="C4" s="2">
        <v>85.0</v>
      </c>
      <c r="D4" s="54">
        <v>45419.0</v>
      </c>
      <c r="E4" s="2"/>
    </row>
    <row r="5">
      <c r="A5" s="2" t="s">
        <v>107</v>
      </c>
      <c r="B5" s="2" t="s">
        <v>7367</v>
      </c>
      <c r="C5" s="2">
        <v>85.0</v>
      </c>
      <c r="D5" s="54">
        <v>45419.0</v>
      </c>
      <c r="E5" s="2"/>
    </row>
    <row r="6">
      <c r="A6" s="2" t="s">
        <v>203</v>
      </c>
      <c r="B6" s="2" t="s">
        <v>7368</v>
      </c>
      <c r="C6" s="2">
        <v>85.0</v>
      </c>
      <c r="D6" s="54">
        <v>45419.0</v>
      </c>
    </row>
    <row r="7">
      <c r="A7" s="2" t="s">
        <v>103</v>
      </c>
      <c r="B7" s="2" t="s">
        <v>7369</v>
      </c>
      <c r="C7" s="2">
        <v>85.0</v>
      </c>
      <c r="D7" s="54">
        <v>45419.0</v>
      </c>
      <c r="E7" s="2"/>
    </row>
    <row r="8">
      <c r="A8" s="2" t="s">
        <v>150</v>
      </c>
      <c r="B8" s="2" t="s">
        <v>7370</v>
      </c>
      <c r="C8" s="2">
        <v>80.0</v>
      </c>
      <c r="D8" s="54">
        <v>45419.0</v>
      </c>
      <c r="E8" s="2"/>
    </row>
    <row r="9">
      <c r="A9" s="2" t="s">
        <v>662</v>
      </c>
      <c r="B9" s="2" t="s">
        <v>7371</v>
      </c>
      <c r="C9" s="2">
        <v>80.0</v>
      </c>
      <c r="D9" s="54">
        <v>45419.0</v>
      </c>
      <c r="E9" s="2"/>
    </row>
    <row r="10">
      <c r="A10" s="2" t="s">
        <v>7372</v>
      </c>
      <c r="B10" s="2" t="s">
        <v>7373</v>
      </c>
      <c r="C10" s="2">
        <v>80.0</v>
      </c>
      <c r="D10" s="54">
        <v>45419.0</v>
      </c>
    </row>
    <row r="11">
      <c r="A11" s="2" t="s">
        <v>717</v>
      </c>
      <c r="B11" s="2" t="s">
        <v>7374</v>
      </c>
      <c r="C11" s="2">
        <v>80.0</v>
      </c>
      <c r="D11" s="54">
        <v>45419.0</v>
      </c>
      <c r="E11" s="2"/>
    </row>
    <row r="12">
      <c r="A12" s="2" t="s">
        <v>7375</v>
      </c>
      <c r="B12" s="2" t="s">
        <v>7376</v>
      </c>
      <c r="C12" s="2" t="s">
        <v>7377</v>
      </c>
      <c r="D12" s="2">
        <v>80.0</v>
      </c>
      <c r="E12" s="54">
        <v>45419.0</v>
      </c>
    </row>
    <row r="13">
      <c r="A13" s="2" t="s">
        <v>753</v>
      </c>
      <c r="B13" s="2" t="s">
        <v>7378</v>
      </c>
      <c r="C13" s="2">
        <v>80.0</v>
      </c>
      <c r="D13" s="54">
        <v>45419.0</v>
      </c>
      <c r="E13" s="2"/>
    </row>
    <row r="14">
      <c r="A14" s="2" t="s">
        <v>672</v>
      </c>
      <c r="B14" s="2" t="s">
        <v>7379</v>
      </c>
      <c r="C14" s="2">
        <v>80.0</v>
      </c>
      <c r="D14" s="54">
        <v>45419.0</v>
      </c>
      <c r="E14" s="2"/>
    </row>
    <row r="15">
      <c r="A15" s="2" t="s">
        <v>702</v>
      </c>
      <c r="B15" s="2" t="s">
        <v>7380</v>
      </c>
      <c r="C15" s="2">
        <v>80.0</v>
      </c>
      <c r="D15" s="54">
        <v>45419.0</v>
      </c>
      <c r="E15" s="2"/>
    </row>
    <row r="16">
      <c r="A16" s="2" t="s">
        <v>688</v>
      </c>
      <c r="B16" s="2" t="s">
        <v>7381</v>
      </c>
      <c r="C16" s="2">
        <v>80.0</v>
      </c>
      <c r="D16" s="54">
        <v>45419.0</v>
      </c>
      <c r="E16" s="2"/>
    </row>
    <row r="17">
      <c r="A17" s="2" t="s">
        <v>704</v>
      </c>
      <c r="B17" s="2" t="s">
        <v>7382</v>
      </c>
      <c r="C17" s="2">
        <v>80.0</v>
      </c>
      <c r="D17" s="54">
        <v>45419.0</v>
      </c>
      <c r="E17" s="2"/>
    </row>
    <row r="18">
      <c r="A18" s="2" t="s">
        <v>740</v>
      </c>
      <c r="B18" s="2" t="s">
        <v>7383</v>
      </c>
      <c r="C18" s="2">
        <v>80.0</v>
      </c>
      <c r="D18" s="54">
        <v>45419.0</v>
      </c>
      <c r="E18" s="2"/>
    </row>
    <row r="19">
      <c r="A19" s="2" t="s">
        <v>638</v>
      </c>
      <c r="B19" s="2" t="s">
        <v>7384</v>
      </c>
      <c r="C19" s="2">
        <v>80.0</v>
      </c>
      <c r="D19" s="54">
        <v>45419.0</v>
      </c>
      <c r="E19" s="2"/>
    </row>
    <row r="20">
      <c r="A20" s="2" t="s">
        <v>725</v>
      </c>
      <c r="B20" s="2" t="s">
        <v>7385</v>
      </c>
      <c r="C20" s="2">
        <v>75.0</v>
      </c>
      <c r="D20" s="54">
        <v>45419.0</v>
      </c>
      <c r="E20" s="2"/>
    </row>
    <row r="21">
      <c r="A21" s="2" t="s">
        <v>751</v>
      </c>
      <c r="B21" s="2" t="s">
        <v>7386</v>
      </c>
      <c r="C21" s="2">
        <v>75.0</v>
      </c>
      <c r="D21" s="54">
        <v>45419.0</v>
      </c>
      <c r="E21" s="2"/>
    </row>
    <row r="22">
      <c r="A22" s="2" t="s">
        <v>694</v>
      </c>
      <c r="B22" s="2" t="s">
        <v>7387</v>
      </c>
      <c r="C22" s="2">
        <v>75.0</v>
      </c>
      <c r="D22" s="54">
        <v>45419.0</v>
      </c>
      <c r="E22" s="2"/>
    </row>
    <row r="23">
      <c r="A23" s="2" t="s">
        <v>710</v>
      </c>
      <c r="B23" s="2" t="s">
        <v>7388</v>
      </c>
      <c r="C23" s="2">
        <v>75.0</v>
      </c>
      <c r="D23" s="54">
        <v>45419.0</v>
      </c>
      <c r="E23" s="2"/>
    </row>
    <row r="24">
      <c r="A24" s="2" t="s">
        <v>312</v>
      </c>
      <c r="B24" s="2" t="s">
        <v>7389</v>
      </c>
      <c r="C24" s="2">
        <v>75.0</v>
      </c>
      <c r="D24" s="54">
        <v>45419.0</v>
      </c>
      <c r="E24" s="2"/>
    </row>
    <row r="25">
      <c r="A25" s="2" t="s">
        <v>647</v>
      </c>
      <c r="B25" s="2" t="s">
        <v>7390</v>
      </c>
      <c r="C25" s="2">
        <v>75.0</v>
      </c>
      <c r="D25" s="54">
        <v>45419.0</v>
      </c>
      <c r="E25" s="2"/>
    </row>
    <row r="26">
      <c r="A26" s="2" t="s">
        <v>148</v>
      </c>
      <c r="B26" s="2" t="s">
        <v>7391</v>
      </c>
      <c r="C26" s="2">
        <v>75.0</v>
      </c>
      <c r="D26" s="54">
        <v>45419.0</v>
      </c>
      <c r="E26" s="2"/>
    </row>
    <row r="27">
      <c r="A27" s="2" t="s">
        <v>675</v>
      </c>
      <c r="B27" s="2" t="s">
        <v>7392</v>
      </c>
      <c r="C27" s="2">
        <v>75.0</v>
      </c>
      <c r="D27" s="54">
        <v>45419.0</v>
      </c>
      <c r="E27" s="2"/>
    </row>
    <row r="28">
      <c r="A28" s="2" t="s">
        <v>159</v>
      </c>
      <c r="B28" s="2" t="s">
        <v>7393</v>
      </c>
      <c r="C28" s="2">
        <v>75.0</v>
      </c>
      <c r="D28" s="54">
        <v>45419.0</v>
      </c>
      <c r="E28" s="2"/>
    </row>
    <row r="29">
      <c r="A29" s="2" t="s">
        <v>156</v>
      </c>
      <c r="B29" s="2" t="s">
        <v>7394</v>
      </c>
      <c r="C29" s="2">
        <v>75.0</v>
      </c>
      <c r="D29" s="54">
        <v>45419.0</v>
      </c>
      <c r="E29" s="2"/>
    </row>
    <row r="30">
      <c r="A30" s="2" t="s">
        <v>757</v>
      </c>
      <c r="B30" s="2" t="s">
        <v>7395</v>
      </c>
      <c r="C30" s="2">
        <v>75.0</v>
      </c>
      <c r="D30" s="54">
        <v>45419.0</v>
      </c>
      <c r="E30" s="2"/>
    </row>
    <row r="31">
      <c r="A31" s="2" t="s">
        <v>642</v>
      </c>
      <c r="B31" s="2" t="s">
        <v>7396</v>
      </c>
      <c r="C31" s="2">
        <v>75.0</v>
      </c>
      <c r="D31" s="54">
        <v>45419.0</v>
      </c>
      <c r="E31" s="2"/>
    </row>
    <row r="32">
      <c r="A32" s="2" t="s">
        <v>736</v>
      </c>
      <c r="B32" s="2" t="s">
        <v>7397</v>
      </c>
      <c r="C32" s="2">
        <v>75.0</v>
      </c>
      <c r="D32" s="54">
        <v>45419.0</v>
      </c>
      <c r="E32" s="2"/>
    </row>
    <row r="33">
      <c r="A33" s="2" t="s">
        <v>194</v>
      </c>
      <c r="B33" s="2" t="s">
        <v>7398</v>
      </c>
      <c r="C33" s="2">
        <v>75.0</v>
      </c>
      <c r="D33" s="54">
        <v>45419.0</v>
      </c>
      <c r="E33" s="2"/>
    </row>
    <row r="34">
      <c r="A34" s="2" t="s">
        <v>188</v>
      </c>
      <c r="B34" s="2" t="s">
        <v>7399</v>
      </c>
      <c r="C34" s="2">
        <v>75.0</v>
      </c>
      <c r="D34" s="54">
        <v>45419.0</v>
      </c>
      <c r="E34" s="2"/>
    </row>
    <row r="35">
      <c r="A35" s="2" t="s">
        <v>115</v>
      </c>
      <c r="B35" s="2" t="s">
        <v>7400</v>
      </c>
      <c r="C35" s="2">
        <v>75.0</v>
      </c>
      <c r="D35" s="54">
        <v>45419.0</v>
      </c>
      <c r="E35" s="2"/>
    </row>
    <row r="36">
      <c r="A36" s="2" t="s">
        <v>658</v>
      </c>
      <c r="B36" s="2" t="s">
        <v>7401</v>
      </c>
      <c r="C36" s="2">
        <v>75.0</v>
      </c>
      <c r="D36" s="54">
        <v>45419.0</v>
      </c>
      <c r="E36" s="2"/>
    </row>
    <row r="37">
      <c r="A37" s="2" t="s">
        <v>314</v>
      </c>
      <c r="B37" s="2" t="s">
        <v>7402</v>
      </c>
      <c r="C37" s="2">
        <v>75.0</v>
      </c>
      <c r="D37" s="54">
        <v>45419.0</v>
      </c>
      <c r="E37" s="2"/>
    </row>
    <row r="38">
      <c r="A38" s="2" t="s">
        <v>652</v>
      </c>
      <c r="B38" s="2" t="s">
        <v>7403</v>
      </c>
      <c r="C38" s="2">
        <v>75.0</v>
      </c>
      <c r="D38" s="54">
        <v>45419.0</v>
      </c>
      <c r="E38" s="2"/>
    </row>
    <row r="39">
      <c r="A39" s="2" t="s">
        <v>660</v>
      </c>
      <c r="B39" s="2" t="s">
        <v>7404</v>
      </c>
      <c r="C39" s="2">
        <v>75.0</v>
      </c>
      <c r="D39" s="54">
        <v>45419.0</v>
      </c>
      <c r="E39" s="2"/>
    </row>
    <row r="40">
      <c r="A40" s="2" t="s">
        <v>745</v>
      </c>
      <c r="B40" s="2" t="s">
        <v>7405</v>
      </c>
      <c r="C40" s="2">
        <v>75.0</v>
      </c>
      <c r="D40" s="54">
        <v>45419.0</v>
      </c>
      <c r="E40" s="2"/>
    </row>
    <row r="41">
      <c r="A41" s="2" t="s">
        <v>664</v>
      </c>
      <c r="B41" s="2" t="s">
        <v>7406</v>
      </c>
      <c r="C41" s="2">
        <v>75.0</v>
      </c>
      <c r="D41" s="54">
        <v>45419.0</v>
      </c>
      <c r="E41" s="2"/>
    </row>
    <row r="42">
      <c r="A42" s="2" t="s">
        <v>668</v>
      </c>
      <c r="B42" s="2" t="s">
        <v>7407</v>
      </c>
      <c r="C42" s="2">
        <v>75.0</v>
      </c>
      <c r="D42" s="54">
        <v>45419.0</v>
      </c>
      <c r="E42" s="2"/>
    </row>
    <row r="43">
      <c r="A43" s="2" t="s">
        <v>727</v>
      </c>
      <c r="B43" s="2" t="s">
        <v>7408</v>
      </c>
      <c r="C43" s="2">
        <v>75.0</v>
      </c>
      <c r="D43" s="54">
        <v>45419.0</v>
      </c>
      <c r="E43" s="2"/>
    </row>
    <row r="44">
      <c r="A44" s="2" t="s">
        <v>309</v>
      </c>
      <c r="B44" s="2" t="s">
        <v>7409</v>
      </c>
      <c r="C44" s="2">
        <v>75.0</v>
      </c>
      <c r="D44" s="54">
        <v>45419.0</v>
      </c>
      <c r="E44" s="2"/>
    </row>
    <row r="45">
      <c r="A45" s="2" t="s">
        <v>636</v>
      </c>
      <c r="B45" s="2" t="s">
        <v>7410</v>
      </c>
      <c r="C45" s="2">
        <v>75.0</v>
      </c>
      <c r="D45" s="54">
        <v>45419.0</v>
      </c>
      <c r="E45" s="2"/>
    </row>
    <row r="46">
      <c r="A46" s="2" t="s">
        <v>690</v>
      </c>
      <c r="B46" s="2" t="s">
        <v>7411</v>
      </c>
      <c r="C46" s="2">
        <v>75.0</v>
      </c>
      <c r="D46" s="54">
        <v>45419.0</v>
      </c>
      <c r="E46" s="2"/>
    </row>
    <row r="47">
      <c r="A47" s="2" t="s">
        <v>640</v>
      </c>
      <c r="B47" s="2" t="s">
        <v>7412</v>
      </c>
      <c r="C47" s="2">
        <v>75.0</v>
      </c>
      <c r="D47" s="54">
        <v>45419.0</v>
      </c>
      <c r="E47" s="2"/>
    </row>
    <row r="48">
      <c r="A48" s="2" t="s">
        <v>634</v>
      </c>
      <c r="B48" s="2" t="s">
        <v>7413</v>
      </c>
      <c r="C48" s="2">
        <v>75.0</v>
      </c>
      <c r="D48" s="54">
        <v>45419.0</v>
      </c>
      <c r="E48" s="2"/>
    </row>
    <row r="49">
      <c r="A49" s="2" t="s">
        <v>684</v>
      </c>
      <c r="B49" s="2" t="s">
        <v>7414</v>
      </c>
      <c r="C49" s="2">
        <v>75.0</v>
      </c>
      <c r="D49" s="54">
        <v>45419.0</v>
      </c>
      <c r="E49" s="2"/>
    </row>
    <row r="50">
      <c r="A50" s="2" t="s">
        <v>692</v>
      </c>
      <c r="B50" s="2" t="s">
        <v>7415</v>
      </c>
      <c r="C50" s="2">
        <v>70.0</v>
      </c>
      <c r="D50" s="54">
        <v>45419.0</v>
      </c>
      <c r="E50" s="2"/>
    </row>
    <row r="51">
      <c r="A51" s="2" t="s">
        <v>721</v>
      </c>
      <c r="B51" s="2" t="s">
        <v>7416</v>
      </c>
      <c r="C51" s="2">
        <v>70.0</v>
      </c>
      <c r="D51" s="54">
        <v>45419.0</v>
      </c>
      <c r="E51" s="2"/>
    </row>
    <row r="52">
      <c r="A52" s="2" t="s">
        <v>656</v>
      </c>
      <c r="B52" s="2" t="s">
        <v>7417</v>
      </c>
      <c r="C52" s="2">
        <v>70.0</v>
      </c>
      <c r="D52" s="54">
        <v>45419.0</v>
      </c>
      <c r="E52" s="2"/>
    </row>
    <row r="53">
      <c r="A53" s="2" t="s">
        <v>706</v>
      </c>
      <c r="B53" s="2" t="s">
        <v>7418</v>
      </c>
      <c r="C53" s="2">
        <v>70.0</v>
      </c>
      <c r="D53" s="54">
        <v>45419.0</v>
      </c>
      <c r="E53" s="2"/>
    </row>
    <row r="54">
      <c r="A54" s="2" t="s">
        <v>723</v>
      </c>
      <c r="B54" s="2" t="s">
        <v>7419</v>
      </c>
      <c r="C54" s="2">
        <v>70.0</v>
      </c>
      <c r="D54" s="54">
        <v>45419.0</v>
      </c>
      <c r="E54" s="2"/>
    </row>
    <row r="55">
      <c r="A55" s="2" t="s">
        <v>749</v>
      </c>
      <c r="B55" s="2" t="s">
        <v>7420</v>
      </c>
      <c r="C55" s="2">
        <v>70.0</v>
      </c>
      <c r="D55" s="54">
        <v>45419.0</v>
      </c>
      <c r="E55" s="2"/>
    </row>
    <row r="56">
      <c r="A56" s="2" t="s">
        <v>712</v>
      </c>
      <c r="B56" s="2" t="s">
        <v>7421</v>
      </c>
      <c r="C56" s="2">
        <v>70.0</v>
      </c>
      <c r="D56" s="54">
        <v>45419.0</v>
      </c>
      <c r="E56" s="2"/>
    </row>
    <row r="57">
      <c r="A57" s="2" t="s">
        <v>177</v>
      </c>
      <c r="B57" s="2" t="s">
        <v>7422</v>
      </c>
      <c r="C57" s="2">
        <v>70.0</v>
      </c>
      <c r="D57" s="54">
        <v>45419.0</v>
      </c>
      <c r="E57" s="2"/>
    </row>
    <row r="58">
      <c r="A58" s="2" t="s">
        <v>649</v>
      </c>
      <c r="B58" s="2" t="s">
        <v>7423</v>
      </c>
      <c r="C58" s="2">
        <v>70.0</v>
      </c>
      <c r="D58" s="54">
        <v>45419.0</v>
      </c>
      <c r="E58" s="2"/>
    </row>
    <row r="59">
      <c r="A59" s="2" t="s">
        <v>734</v>
      </c>
      <c r="B59" s="2" t="s">
        <v>7424</v>
      </c>
      <c r="C59" s="2">
        <v>70.0</v>
      </c>
      <c r="D59" s="54">
        <v>45419.0</v>
      </c>
      <c r="E59" s="2"/>
    </row>
    <row r="60">
      <c r="A60" s="2" t="s">
        <v>7425</v>
      </c>
      <c r="B60" s="2" t="s">
        <v>7426</v>
      </c>
      <c r="C60" s="2" t="s">
        <v>7427</v>
      </c>
      <c r="D60" s="2">
        <v>70.0</v>
      </c>
      <c r="E60" s="54">
        <v>45419.0</v>
      </c>
    </row>
    <row r="61">
      <c r="A61" s="2" t="s">
        <v>747</v>
      </c>
      <c r="B61" s="2" t="s">
        <v>7428</v>
      </c>
      <c r="C61" s="2">
        <v>70.0</v>
      </c>
      <c r="D61" s="54">
        <v>45419.0</v>
      </c>
      <c r="E61" s="2"/>
    </row>
    <row r="62">
      <c r="A62" s="2" t="s">
        <v>698</v>
      </c>
      <c r="B62" s="2" t="s">
        <v>7429</v>
      </c>
      <c r="C62" s="2">
        <v>70.0</v>
      </c>
      <c r="D62" s="54">
        <v>45419.0</v>
      </c>
      <c r="E62" s="2"/>
    </row>
    <row r="63">
      <c r="A63" s="2" t="s">
        <v>686</v>
      </c>
      <c r="B63" s="2" t="s">
        <v>7430</v>
      </c>
      <c r="C63" s="2">
        <v>70.0</v>
      </c>
      <c r="D63" s="54">
        <v>45419.0</v>
      </c>
      <c r="E63" s="2"/>
    </row>
    <row r="64">
      <c r="A64" s="2" t="s">
        <v>714</v>
      </c>
      <c r="B64" s="2" t="s">
        <v>7431</v>
      </c>
      <c r="C64" s="2">
        <v>65.0</v>
      </c>
      <c r="D64" s="54">
        <v>45419.0</v>
      </c>
      <c r="E64" s="2"/>
    </row>
    <row r="65">
      <c r="A65" s="2" t="s">
        <v>7432</v>
      </c>
      <c r="B65" s="2" t="s">
        <v>7433</v>
      </c>
      <c r="C65" s="2" t="s">
        <v>7434</v>
      </c>
      <c r="D65" s="2">
        <v>65.0</v>
      </c>
      <c r="E65" s="54">
        <v>45419.0</v>
      </c>
    </row>
    <row r="66">
      <c r="A66" s="2" t="s">
        <v>682</v>
      </c>
      <c r="B66" s="2" t="s">
        <v>7435</v>
      </c>
      <c r="C66" s="2">
        <v>65.0</v>
      </c>
      <c r="D66" s="54">
        <v>45419.0</v>
      </c>
      <c r="E66" s="2"/>
    </row>
    <row r="67">
      <c r="A67" s="2" t="s">
        <v>729</v>
      </c>
      <c r="B67" s="2" t="s">
        <v>7436</v>
      </c>
      <c r="C67" s="2">
        <v>65.0</v>
      </c>
      <c r="D67" s="54">
        <v>45419.0</v>
      </c>
      <c r="E67" s="2"/>
    </row>
    <row r="68">
      <c r="A68" s="2" t="s">
        <v>670</v>
      </c>
      <c r="B68" s="2" t="s">
        <v>7437</v>
      </c>
      <c r="C68" s="2">
        <v>65.0</v>
      </c>
      <c r="D68" s="54">
        <v>45419.0</v>
      </c>
      <c r="E68" s="2"/>
    </row>
    <row r="69">
      <c r="A69" s="2" t="s">
        <v>708</v>
      </c>
      <c r="B69" s="2" t="s">
        <v>7438</v>
      </c>
      <c r="C69" s="2">
        <v>65.0</v>
      </c>
      <c r="D69" s="54">
        <v>45419.0</v>
      </c>
      <c r="E69" s="2"/>
    </row>
    <row r="70">
      <c r="A70" s="2" t="s">
        <v>7439</v>
      </c>
      <c r="B70" s="2" t="s">
        <v>7440</v>
      </c>
      <c r="C70" s="2">
        <v>65.0</v>
      </c>
      <c r="D70" s="54">
        <v>45419.0</v>
      </c>
      <c r="E70" s="2"/>
    </row>
    <row r="71">
      <c r="A71" s="2" t="s">
        <v>678</v>
      </c>
      <c r="B71" s="2" t="s">
        <v>7441</v>
      </c>
      <c r="C71" s="2">
        <v>65.0</v>
      </c>
      <c r="D71" s="54">
        <v>45419.0</v>
      </c>
      <c r="E71" s="2"/>
    </row>
    <row r="72">
      <c r="A72" s="2" t="s">
        <v>666</v>
      </c>
      <c r="B72" s="2" t="s">
        <v>7442</v>
      </c>
      <c r="C72" s="2">
        <v>65.0</v>
      </c>
      <c r="D72" s="54">
        <v>45419.0</v>
      </c>
      <c r="E72" s="2"/>
    </row>
    <row r="73">
      <c r="A73" s="2" t="s">
        <v>719</v>
      </c>
      <c r="B73" s="2" t="s">
        <v>7443</v>
      </c>
      <c r="C73" s="2">
        <v>65.0</v>
      </c>
      <c r="D73" s="54">
        <v>45419.0</v>
      </c>
      <c r="E73" s="2"/>
    </row>
    <row r="74">
      <c r="A74" s="2" t="s">
        <v>755</v>
      </c>
      <c r="B74" s="2" t="s">
        <v>7444</v>
      </c>
      <c r="C74" s="2">
        <v>65.0</v>
      </c>
      <c r="D74" s="54">
        <v>45419.0</v>
      </c>
      <c r="E74" s="2"/>
    </row>
    <row r="75">
      <c r="A75" s="2" t="s">
        <v>645</v>
      </c>
      <c r="B75" s="2" t="s">
        <v>7445</v>
      </c>
      <c r="C75" s="2">
        <v>65.0</v>
      </c>
      <c r="D75" s="54">
        <v>45419.0</v>
      </c>
      <c r="E75" s="2"/>
    </row>
    <row r="76">
      <c r="A76" s="2" t="s">
        <v>153</v>
      </c>
      <c r="B76" s="2" t="s">
        <v>7446</v>
      </c>
      <c r="C76" s="2">
        <v>60.0</v>
      </c>
      <c r="D76" s="54">
        <v>45419.0</v>
      </c>
      <c r="E76" s="2"/>
    </row>
  </sheetData>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7447</v>
      </c>
      <c r="F1" s="2" t="s">
        <v>759</v>
      </c>
      <c r="G1" s="2" t="s">
        <v>625</v>
      </c>
      <c r="H1" s="2" t="s">
        <v>7448</v>
      </c>
    </row>
    <row r="2">
      <c r="A2" s="2" t="s">
        <v>7449</v>
      </c>
      <c r="F2" s="2" t="s">
        <v>183</v>
      </c>
      <c r="G2" s="2">
        <v>85.0</v>
      </c>
      <c r="H2" s="2">
        <v>3000.0</v>
      </c>
    </row>
    <row r="3">
      <c r="F3" s="2" t="s">
        <v>184</v>
      </c>
      <c r="G3" s="2">
        <v>85.0</v>
      </c>
      <c r="H3" s="2">
        <v>1880.0</v>
      </c>
    </row>
    <row r="4">
      <c r="A4" s="2" t="s">
        <v>7450</v>
      </c>
      <c r="F4" s="2" t="s">
        <v>46</v>
      </c>
      <c r="G4" s="2">
        <v>85.0</v>
      </c>
      <c r="H4" s="2">
        <v>1300.0</v>
      </c>
    </row>
    <row r="5">
      <c r="F5" s="2" t="s">
        <v>185</v>
      </c>
      <c r="G5" s="2">
        <v>85.0</v>
      </c>
      <c r="H5" s="2">
        <v>609.0</v>
      </c>
    </row>
    <row r="6">
      <c r="A6" s="2" t="s">
        <v>7451</v>
      </c>
      <c r="F6" s="2" t="s">
        <v>186</v>
      </c>
      <c r="G6" s="2">
        <v>85.0</v>
      </c>
      <c r="H6" s="2">
        <v>563.0</v>
      </c>
    </row>
    <row r="7">
      <c r="A7" s="2" t="s">
        <v>7452</v>
      </c>
      <c r="F7" s="2" t="s">
        <v>17</v>
      </c>
      <c r="G7" s="2">
        <v>85.0</v>
      </c>
      <c r="H7" s="2">
        <v>475.0</v>
      </c>
    </row>
    <row r="8">
      <c r="F8" s="2" t="s">
        <v>12</v>
      </c>
      <c r="G8" s="2">
        <v>85.0</v>
      </c>
      <c r="H8" s="2">
        <v>419.0</v>
      </c>
    </row>
    <row r="9">
      <c r="A9" s="2" t="s">
        <v>7453</v>
      </c>
      <c r="F9" s="2" t="s">
        <v>187</v>
      </c>
      <c r="G9" s="2">
        <v>85.0</v>
      </c>
      <c r="H9" s="2">
        <v>367.0</v>
      </c>
    </row>
    <row r="10">
      <c r="F10" s="2" t="s">
        <v>1038</v>
      </c>
      <c r="G10" s="2">
        <v>85.0</v>
      </c>
      <c r="H10" s="2">
        <v>365.0</v>
      </c>
    </row>
    <row r="11">
      <c r="A11" s="2" t="s">
        <v>7454</v>
      </c>
      <c r="F11" s="2" t="s">
        <v>1053</v>
      </c>
      <c r="G11" s="2">
        <v>85.0</v>
      </c>
      <c r="H11" s="2">
        <v>354.0</v>
      </c>
    </row>
    <row r="12">
      <c r="A12" s="2" t="s">
        <v>7455</v>
      </c>
      <c r="F12" s="2" t="s">
        <v>125</v>
      </c>
      <c r="G12" s="2">
        <v>85.0</v>
      </c>
      <c r="H12" s="2">
        <v>323.0</v>
      </c>
    </row>
    <row r="13">
      <c r="F13" s="2" t="s">
        <v>941</v>
      </c>
      <c r="G13" s="2">
        <v>85.0</v>
      </c>
      <c r="H13" s="2">
        <v>298.0</v>
      </c>
    </row>
    <row r="14">
      <c r="A14" s="2" t="s">
        <v>7456</v>
      </c>
      <c r="F14" s="2" t="s">
        <v>198</v>
      </c>
      <c r="G14" s="2">
        <v>85.0</v>
      </c>
      <c r="H14" s="2">
        <v>297.0</v>
      </c>
    </row>
    <row r="15">
      <c r="F15" s="2" t="s">
        <v>231</v>
      </c>
      <c r="G15" s="2">
        <v>85.0</v>
      </c>
      <c r="H15" s="2">
        <v>291.0</v>
      </c>
    </row>
    <row r="16">
      <c r="A16" s="2" t="s">
        <v>7457</v>
      </c>
      <c r="F16" s="2" t="s">
        <v>16</v>
      </c>
      <c r="G16" s="2">
        <v>85.0</v>
      </c>
      <c r="H16" s="2">
        <v>284.0</v>
      </c>
    </row>
    <row r="17">
      <c r="A17" s="2" t="s">
        <v>7458</v>
      </c>
      <c r="F17" s="2" t="s">
        <v>37</v>
      </c>
      <c r="G17" s="2">
        <v>85.0</v>
      </c>
      <c r="H17" s="2">
        <v>266.0</v>
      </c>
    </row>
    <row r="18">
      <c r="F18" s="2" t="s">
        <v>795</v>
      </c>
      <c r="G18" s="2">
        <v>85.0</v>
      </c>
      <c r="H18" s="2">
        <v>233.0</v>
      </c>
    </row>
    <row r="19">
      <c r="A19" s="2" t="s">
        <v>7459</v>
      </c>
      <c r="F19" s="2" t="s">
        <v>206</v>
      </c>
      <c r="G19" s="2">
        <v>85.0</v>
      </c>
      <c r="H19" s="2">
        <v>221.0</v>
      </c>
    </row>
    <row r="20">
      <c r="F20" s="2" t="s">
        <v>232</v>
      </c>
      <c r="G20" s="2">
        <v>85.0</v>
      </c>
      <c r="H20" s="2">
        <v>220.0</v>
      </c>
    </row>
    <row r="21">
      <c r="A21" s="2" t="s">
        <v>7460</v>
      </c>
      <c r="F21" s="2" t="s">
        <v>18</v>
      </c>
      <c r="G21" s="2">
        <v>85.0</v>
      </c>
      <c r="H21" s="2">
        <v>218.0</v>
      </c>
    </row>
    <row r="22">
      <c r="A22" s="2" t="s">
        <v>7461</v>
      </c>
      <c r="F22" s="2" t="s">
        <v>126</v>
      </c>
      <c r="G22" s="2">
        <v>85.0</v>
      </c>
      <c r="H22" s="2">
        <v>217.0</v>
      </c>
    </row>
    <row r="23">
      <c r="F23" s="2" t="s">
        <v>1200</v>
      </c>
      <c r="G23" s="2">
        <v>85.0</v>
      </c>
      <c r="H23" s="2">
        <v>214.0</v>
      </c>
    </row>
    <row r="24">
      <c r="A24" s="2" t="s">
        <v>7462</v>
      </c>
      <c r="F24" s="2" t="s">
        <v>1634</v>
      </c>
      <c r="G24" s="2">
        <v>85.0</v>
      </c>
      <c r="H24" s="2">
        <v>201.0</v>
      </c>
    </row>
    <row r="25">
      <c r="A25" s="2" t="s">
        <v>7463</v>
      </c>
      <c r="F25" s="2" t="s">
        <v>1133</v>
      </c>
      <c r="G25" s="2">
        <v>85.0</v>
      </c>
      <c r="H25" s="2">
        <v>194.0</v>
      </c>
    </row>
    <row r="26">
      <c r="F26" s="2" t="s">
        <v>39</v>
      </c>
      <c r="G26" s="2">
        <v>85.0</v>
      </c>
      <c r="H26" s="2">
        <v>191.0</v>
      </c>
    </row>
    <row r="27">
      <c r="A27" s="2" t="s">
        <v>7464</v>
      </c>
      <c r="F27" s="2" t="s">
        <v>15</v>
      </c>
      <c r="G27" s="2">
        <v>85.0</v>
      </c>
      <c r="H27" s="2">
        <v>189.0</v>
      </c>
    </row>
    <row r="28">
      <c r="F28" s="2" t="s">
        <v>197</v>
      </c>
      <c r="G28" s="2">
        <v>85.0</v>
      </c>
      <c r="H28" s="2">
        <v>179.0</v>
      </c>
    </row>
    <row r="29">
      <c r="A29" s="2" t="s">
        <v>7465</v>
      </c>
      <c r="F29" s="2" t="s">
        <v>241</v>
      </c>
      <c r="G29" s="2">
        <v>85.0</v>
      </c>
      <c r="H29" s="2">
        <v>178.0</v>
      </c>
    </row>
    <row r="30">
      <c r="F30" s="2" t="s">
        <v>798</v>
      </c>
      <c r="G30" s="2">
        <v>85.0</v>
      </c>
      <c r="H30" s="2">
        <v>174.0</v>
      </c>
    </row>
    <row r="31">
      <c r="A31" s="2" t="s">
        <v>7466</v>
      </c>
      <c r="F31" s="2" t="s">
        <v>1421</v>
      </c>
      <c r="G31" s="2">
        <v>85.0</v>
      </c>
      <c r="H31" s="2">
        <v>169.0</v>
      </c>
    </row>
    <row r="32">
      <c r="A32" s="2" t="s">
        <v>7467</v>
      </c>
      <c r="F32" s="2" t="s">
        <v>82</v>
      </c>
      <c r="G32" s="2">
        <v>85.0</v>
      </c>
      <c r="H32" s="2">
        <v>164.0</v>
      </c>
    </row>
    <row r="33">
      <c r="F33" s="2" t="s">
        <v>963</v>
      </c>
      <c r="G33" s="2">
        <v>85.0</v>
      </c>
      <c r="H33" s="2">
        <v>158.0</v>
      </c>
    </row>
    <row r="34">
      <c r="A34" s="2" t="s">
        <v>7468</v>
      </c>
      <c r="F34" s="2" t="s">
        <v>468</v>
      </c>
      <c r="G34" s="2">
        <v>85.0</v>
      </c>
      <c r="H34" s="2">
        <v>154.0</v>
      </c>
    </row>
    <row r="35">
      <c r="F35" s="2" t="s">
        <v>1202</v>
      </c>
      <c r="G35" s="2">
        <v>85.0</v>
      </c>
      <c r="H35" s="2">
        <v>150.0</v>
      </c>
    </row>
    <row r="36">
      <c r="A36" s="2" t="s">
        <v>7469</v>
      </c>
      <c r="F36" s="2" t="s">
        <v>294</v>
      </c>
      <c r="G36" s="2">
        <v>85.0</v>
      </c>
      <c r="H36" s="2">
        <v>143.0</v>
      </c>
    </row>
    <row r="37">
      <c r="F37" s="2" t="s">
        <v>1109</v>
      </c>
      <c r="G37" s="2">
        <v>85.0</v>
      </c>
      <c r="H37" s="2">
        <v>132.0</v>
      </c>
    </row>
    <row r="38">
      <c r="A38" s="2" t="s">
        <v>7470</v>
      </c>
      <c r="F38" s="2" t="s">
        <v>777</v>
      </c>
      <c r="G38" s="2">
        <v>85.0</v>
      </c>
      <c r="H38" s="2">
        <v>132.0</v>
      </c>
    </row>
    <row r="39">
      <c r="A39" s="2" t="s">
        <v>7471</v>
      </c>
      <c r="F39" s="2" t="s">
        <v>1592</v>
      </c>
      <c r="G39" s="2">
        <v>85.0</v>
      </c>
      <c r="H39" s="2">
        <v>131.0</v>
      </c>
    </row>
    <row r="40">
      <c r="F40" s="2" t="s">
        <v>93</v>
      </c>
      <c r="G40" s="2">
        <v>85.0</v>
      </c>
      <c r="H40" s="2">
        <v>127.0</v>
      </c>
    </row>
    <row r="41">
      <c r="A41" s="2" t="s">
        <v>7472</v>
      </c>
      <c r="F41" s="2" t="s">
        <v>831</v>
      </c>
      <c r="G41" s="2">
        <v>85.0</v>
      </c>
      <c r="H41" s="2">
        <v>125.0</v>
      </c>
    </row>
    <row r="42">
      <c r="F42" s="2" t="s">
        <v>141</v>
      </c>
      <c r="G42" s="2">
        <v>85.0</v>
      </c>
      <c r="H42" s="2">
        <v>122.0</v>
      </c>
    </row>
    <row r="43">
      <c r="A43" s="2" t="s">
        <v>7473</v>
      </c>
      <c r="F43" s="2" t="s">
        <v>264</v>
      </c>
      <c r="G43" s="2">
        <v>85.0</v>
      </c>
      <c r="H43" s="2">
        <v>120.0</v>
      </c>
    </row>
    <row r="44">
      <c r="F44" s="2" t="s">
        <v>265</v>
      </c>
      <c r="G44" s="2">
        <v>85.0</v>
      </c>
      <c r="H44" s="2">
        <v>118.0</v>
      </c>
    </row>
    <row r="45">
      <c r="A45" s="2" t="s">
        <v>7474</v>
      </c>
      <c r="F45" s="2" t="s">
        <v>1530</v>
      </c>
      <c r="G45" s="2">
        <v>85.0</v>
      </c>
      <c r="H45" s="2">
        <v>117.0</v>
      </c>
    </row>
    <row r="46">
      <c r="A46" s="2" t="s">
        <v>7475</v>
      </c>
      <c r="F46" s="2" t="s">
        <v>873</v>
      </c>
      <c r="G46" s="2">
        <v>85.0</v>
      </c>
      <c r="H46" s="2">
        <v>116.0</v>
      </c>
    </row>
    <row r="47">
      <c r="F47" s="2" t="s">
        <v>151</v>
      </c>
      <c r="G47" s="2">
        <v>85.0</v>
      </c>
      <c r="H47" s="2">
        <v>115.0</v>
      </c>
    </row>
    <row r="48">
      <c r="A48" s="2" t="s">
        <v>7476</v>
      </c>
      <c r="F48" s="2" t="s">
        <v>295</v>
      </c>
      <c r="G48" s="2">
        <v>85.0</v>
      </c>
      <c r="H48" s="2">
        <v>113.0</v>
      </c>
    </row>
    <row r="49">
      <c r="F49" s="2" t="s">
        <v>122</v>
      </c>
      <c r="G49" s="2">
        <v>85.0</v>
      </c>
      <c r="H49" s="2">
        <v>111.0</v>
      </c>
    </row>
    <row r="50">
      <c r="A50" s="2" t="s">
        <v>7477</v>
      </c>
      <c r="F50" s="2" t="s">
        <v>898</v>
      </c>
      <c r="G50" s="2">
        <v>85.0</v>
      </c>
      <c r="H50" s="2">
        <v>109.0</v>
      </c>
    </row>
    <row r="51">
      <c r="F51" s="2" t="s">
        <v>785</v>
      </c>
      <c r="G51" s="2">
        <v>85.0</v>
      </c>
      <c r="H51" s="2">
        <v>105.0</v>
      </c>
    </row>
    <row r="52">
      <c r="A52" s="2" t="s">
        <v>7478</v>
      </c>
      <c r="F52" s="2" t="s">
        <v>296</v>
      </c>
      <c r="G52" s="2">
        <v>85.0</v>
      </c>
      <c r="H52" s="2">
        <v>104.0</v>
      </c>
    </row>
    <row r="53">
      <c r="A53" s="2" t="s">
        <v>7479</v>
      </c>
      <c r="F53" s="2" t="s">
        <v>459</v>
      </c>
      <c r="G53" s="2">
        <v>85.0</v>
      </c>
      <c r="H53" s="2">
        <v>104.0</v>
      </c>
    </row>
    <row r="54">
      <c r="F54" s="2" t="s">
        <v>55</v>
      </c>
      <c r="G54" s="2">
        <v>85.0</v>
      </c>
      <c r="H54" s="2">
        <v>102.0</v>
      </c>
    </row>
    <row r="55">
      <c r="A55" s="2" t="s">
        <v>7480</v>
      </c>
      <c r="F55" s="2" t="s">
        <v>14</v>
      </c>
      <c r="G55" s="2">
        <v>85.0</v>
      </c>
      <c r="H55" s="2">
        <v>102.0</v>
      </c>
    </row>
    <row r="56">
      <c r="F56" s="2" t="s">
        <v>614</v>
      </c>
      <c r="G56" s="2">
        <v>85.0</v>
      </c>
      <c r="H56" s="2">
        <v>100.0</v>
      </c>
    </row>
    <row r="57">
      <c r="A57" s="2" t="s">
        <v>7481</v>
      </c>
      <c r="F57" s="2" t="s">
        <v>956</v>
      </c>
      <c r="G57" s="2">
        <v>85.0</v>
      </c>
      <c r="H57" s="2">
        <v>99.0</v>
      </c>
    </row>
    <row r="58">
      <c r="A58" s="2" t="s">
        <v>7482</v>
      </c>
      <c r="F58" s="2" t="s">
        <v>1153</v>
      </c>
      <c r="G58" s="2">
        <v>85.0</v>
      </c>
      <c r="H58" s="2">
        <v>95.0</v>
      </c>
    </row>
    <row r="59">
      <c r="F59" s="2" t="s">
        <v>342</v>
      </c>
      <c r="G59" s="2">
        <v>85.0</v>
      </c>
      <c r="H59" s="2">
        <v>93.0</v>
      </c>
    </row>
    <row r="60">
      <c r="A60" s="2" t="s">
        <v>7483</v>
      </c>
      <c r="F60" s="2" t="s">
        <v>87</v>
      </c>
      <c r="G60" s="2">
        <v>85.0</v>
      </c>
      <c r="H60" s="2">
        <v>91.0</v>
      </c>
    </row>
    <row r="61">
      <c r="F61" s="2" t="s">
        <v>976</v>
      </c>
      <c r="G61" s="2">
        <v>85.0</v>
      </c>
      <c r="H61" s="2">
        <v>91.0</v>
      </c>
    </row>
    <row r="62">
      <c r="A62" s="2" t="s">
        <v>7484</v>
      </c>
      <c r="F62" s="2" t="s">
        <v>987</v>
      </c>
      <c r="G62" s="2">
        <v>85.0</v>
      </c>
      <c r="H62" s="2">
        <v>90.98</v>
      </c>
    </row>
    <row r="63">
      <c r="A63" s="2" t="s">
        <v>7485</v>
      </c>
      <c r="F63" s="2" t="s">
        <v>243</v>
      </c>
      <c r="G63" s="2">
        <v>85.0</v>
      </c>
      <c r="H63" s="2">
        <v>88.0</v>
      </c>
    </row>
    <row r="64">
      <c r="F64" s="2" t="s">
        <v>130</v>
      </c>
      <c r="G64" s="2">
        <v>85.0</v>
      </c>
      <c r="H64" s="2">
        <v>86.71</v>
      </c>
    </row>
    <row r="65">
      <c r="A65" s="2" t="s">
        <v>7486</v>
      </c>
      <c r="F65" s="2" t="s">
        <v>851</v>
      </c>
      <c r="G65" s="2">
        <v>85.0</v>
      </c>
      <c r="H65" s="2">
        <v>86.0</v>
      </c>
    </row>
    <row r="66">
      <c r="F66" s="2" t="s">
        <v>22</v>
      </c>
      <c r="G66" s="2">
        <v>85.0</v>
      </c>
      <c r="H66" s="2">
        <v>80.45</v>
      </c>
    </row>
    <row r="67">
      <c r="A67" s="2" t="s">
        <v>7487</v>
      </c>
      <c r="F67" s="2" t="s">
        <v>1149</v>
      </c>
      <c r="G67" s="2">
        <v>85.0</v>
      </c>
      <c r="H67" s="2">
        <v>79.0</v>
      </c>
    </row>
    <row r="68">
      <c r="A68" s="2" t="s">
        <v>7488</v>
      </c>
      <c r="F68" s="2" t="s">
        <v>878</v>
      </c>
      <c r="G68" s="2">
        <v>85.0</v>
      </c>
      <c r="H68" s="2">
        <v>78.0</v>
      </c>
    </row>
    <row r="69">
      <c r="F69" s="2" t="s">
        <v>1197</v>
      </c>
      <c r="G69" s="2">
        <v>85.0</v>
      </c>
      <c r="H69" s="2">
        <v>77.92</v>
      </c>
    </row>
    <row r="70">
      <c r="A70" s="2" t="s">
        <v>7489</v>
      </c>
      <c r="F70" s="2" t="s">
        <v>919</v>
      </c>
      <c r="G70" s="2">
        <v>85.0</v>
      </c>
      <c r="H70" s="2">
        <v>77.0</v>
      </c>
    </row>
    <row r="71">
      <c r="F71" s="2" t="s">
        <v>886</v>
      </c>
      <c r="G71" s="2">
        <v>85.0</v>
      </c>
      <c r="H71" s="2">
        <v>77.0</v>
      </c>
    </row>
    <row r="72">
      <c r="A72" s="2" t="s">
        <v>7490</v>
      </c>
      <c r="F72" s="2" t="s">
        <v>1582</v>
      </c>
      <c r="G72" s="2">
        <v>85.0</v>
      </c>
      <c r="H72" s="2">
        <v>74.0</v>
      </c>
    </row>
    <row r="73">
      <c r="F73" s="2" t="s">
        <v>1369</v>
      </c>
      <c r="G73" s="2">
        <v>85.0</v>
      </c>
      <c r="H73" s="2">
        <v>73.0</v>
      </c>
    </row>
    <row r="74">
      <c r="A74" s="2" t="s">
        <v>7491</v>
      </c>
      <c r="F74" s="2" t="s">
        <v>254</v>
      </c>
      <c r="G74" s="2">
        <v>85.0</v>
      </c>
      <c r="H74" s="2">
        <v>70.54</v>
      </c>
    </row>
    <row r="75">
      <c r="A75" s="2" t="s">
        <v>7492</v>
      </c>
      <c r="F75" s="2" t="s">
        <v>1498</v>
      </c>
      <c r="G75" s="2">
        <v>85.0</v>
      </c>
      <c r="H75" s="2">
        <v>70.0</v>
      </c>
    </row>
    <row r="76">
      <c r="F76" s="2" t="s">
        <v>592</v>
      </c>
      <c r="G76" s="2">
        <v>85.0</v>
      </c>
      <c r="H76" s="2">
        <v>70.0</v>
      </c>
    </row>
    <row r="77">
      <c r="A77" s="2" t="s">
        <v>7493</v>
      </c>
      <c r="F77" s="2" t="s">
        <v>904</v>
      </c>
      <c r="G77" s="2">
        <v>85.0</v>
      </c>
      <c r="H77" s="2">
        <v>69.0</v>
      </c>
    </row>
    <row r="78">
      <c r="F78" s="2" t="s">
        <v>862</v>
      </c>
      <c r="G78" s="2">
        <v>85.0</v>
      </c>
      <c r="H78" s="2">
        <v>69.0</v>
      </c>
    </row>
    <row r="79">
      <c r="A79" s="2" t="s">
        <v>7494</v>
      </c>
      <c r="F79" s="2" t="s">
        <v>1083</v>
      </c>
      <c r="G79" s="2">
        <v>85.0</v>
      </c>
      <c r="H79" s="2">
        <v>67.0</v>
      </c>
    </row>
    <row r="80">
      <c r="A80" s="2" t="s">
        <v>7495</v>
      </c>
      <c r="F80" s="2" t="s">
        <v>958</v>
      </c>
      <c r="G80" s="2">
        <v>85.0</v>
      </c>
      <c r="H80" s="2">
        <v>66.0</v>
      </c>
    </row>
    <row r="81">
      <c r="A81" s="2" t="s">
        <v>7462</v>
      </c>
      <c r="F81" s="2" t="s">
        <v>139</v>
      </c>
      <c r="G81" s="2">
        <v>85.0</v>
      </c>
      <c r="H81" s="2">
        <v>64.0</v>
      </c>
    </row>
    <row r="82">
      <c r="A82" s="2" t="s">
        <v>7496</v>
      </c>
      <c r="F82" s="2" t="s">
        <v>1340</v>
      </c>
      <c r="G82" s="2">
        <v>85.0</v>
      </c>
      <c r="H82" s="2">
        <v>63.15</v>
      </c>
    </row>
    <row r="83">
      <c r="F83" s="2" t="s">
        <v>7497</v>
      </c>
      <c r="G83" s="2">
        <v>85.0</v>
      </c>
      <c r="H83" s="2">
        <v>63.0</v>
      </c>
    </row>
    <row r="84">
      <c r="A84" s="2" t="s">
        <v>7498</v>
      </c>
      <c r="F84" s="2" t="s">
        <v>1487</v>
      </c>
      <c r="G84" s="2">
        <v>85.0</v>
      </c>
      <c r="H84" s="2">
        <v>62.0</v>
      </c>
    </row>
    <row r="85">
      <c r="F85" s="2" t="s">
        <v>864</v>
      </c>
      <c r="G85" s="2">
        <v>85.0</v>
      </c>
      <c r="H85" s="2">
        <v>62.0</v>
      </c>
    </row>
    <row r="86">
      <c r="A86" s="2" t="s">
        <v>7499</v>
      </c>
      <c r="F86" s="2" t="s">
        <v>1145</v>
      </c>
      <c r="G86" s="2">
        <v>85.0</v>
      </c>
      <c r="H86" s="2">
        <v>61.31</v>
      </c>
    </row>
    <row r="87">
      <c r="A87" s="2" t="s">
        <v>7500</v>
      </c>
      <c r="F87" s="2" t="s">
        <v>1305</v>
      </c>
      <c r="G87" s="2">
        <v>85.0</v>
      </c>
      <c r="H87" s="2">
        <v>59.0</v>
      </c>
    </row>
    <row r="88">
      <c r="F88" s="2" t="s">
        <v>1173</v>
      </c>
      <c r="G88" s="2">
        <v>85.0</v>
      </c>
      <c r="H88" s="2">
        <v>58.0</v>
      </c>
    </row>
    <row r="89">
      <c r="A89" s="2" t="s">
        <v>7501</v>
      </c>
      <c r="F89" s="2" t="s">
        <v>1511</v>
      </c>
      <c r="G89" s="2">
        <v>85.0</v>
      </c>
      <c r="H89" s="2">
        <v>57.0</v>
      </c>
    </row>
    <row r="90">
      <c r="F90" s="2" t="s">
        <v>1617</v>
      </c>
      <c r="G90" s="2">
        <v>85.0</v>
      </c>
      <c r="H90" s="2">
        <v>56.0</v>
      </c>
    </row>
    <row r="91">
      <c r="A91" s="2" t="s">
        <v>7502</v>
      </c>
      <c r="F91" s="2" t="s">
        <v>929</v>
      </c>
      <c r="G91" s="2">
        <v>85.0</v>
      </c>
      <c r="H91" s="2">
        <v>54.0</v>
      </c>
    </row>
    <row r="92">
      <c r="A92" s="2" t="s">
        <v>7503</v>
      </c>
      <c r="F92" s="2" t="s">
        <v>819</v>
      </c>
      <c r="G92" s="2">
        <v>85.0</v>
      </c>
      <c r="H92" s="2">
        <v>54.0</v>
      </c>
    </row>
    <row r="93">
      <c r="F93" s="2" t="s">
        <v>278</v>
      </c>
      <c r="G93" s="2">
        <v>85.0</v>
      </c>
      <c r="H93" s="2">
        <v>53.0</v>
      </c>
    </row>
    <row r="94">
      <c r="A94" s="2" t="s">
        <v>7504</v>
      </c>
      <c r="F94" s="2" t="s">
        <v>59</v>
      </c>
      <c r="G94" s="2">
        <v>85.0</v>
      </c>
      <c r="H94" s="2">
        <v>53.0</v>
      </c>
    </row>
    <row r="95">
      <c r="F95" s="2" t="s">
        <v>1063</v>
      </c>
      <c r="G95" s="2">
        <v>85.0</v>
      </c>
      <c r="H95" s="2">
        <v>52.0</v>
      </c>
    </row>
    <row r="96">
      <c r="A96" s="2" t="s">
        <v>7505</v>
      </c>
      <c r="F96" s="2" t="s">
        <v>244</v>
      </c>
      <c r="G96" s="2">
        <v>85.0</v>
      </c>
      <c r="H96" s="2">
        <v>52.0</v>
      </c>
    </row>
    <row r="97">
      <c r="F97" s="2" t="s">
        <v>900</v>
      </c>
      <c r="G97" s="2">
        <v>85.0</v>
      </c>
      <c r="H97" s="2">
        <v>52.0</v>
      </c>
    </row>
    <row r="98">
      <c r="A98" s="2" t="s">
        <v>7506</v>
      </c>
      <c r="F98" s="2" t="s">
        <v>766</v>
      </c>
      <c r="G98" s="2">
        <v>85.0</v>
      </c>
      <c r="H98" s="2">
        <v>52.0</v>
      </c>
    </row>
    <row r="99">
      <c r="A99" s="2" t="s">
        <v>7507</v>
      </c>
      <c r="F99" s="2" t="s">
        <v>1508</v>
      </c>
      <c r="G99" s="2">
        <v>85.0</v>
      </c>
      <c r="H99" s="2">
        <v>51.0</v>
      </c>
    </row>
    <row r="100">
      <c r="F100" s="2" t="s">
        <v>1524</v>
      </c>
      <c r="G100" s="2">
        <v>85.0</v>
      </c>
      <c r="H100" s="2">
        <v>51.0</v>
      </c>
    </row>
    <row r="101">
      <c r="A101" s="2" t="s">
        <v>7508</v>
      </c>
      <c r="F101" s="2" t="s">
        <v>1549</v>
      </c>
      <c r="G101" s="2">
        <v>85.0</v>
      </c>
      <c r="H101" s="2">
        <v>50.0</v>
      </c>
    </row>
    <row r="102">
      <c r="F102" s="2" t="s">
        <v>1252</v>
      </c>
      <c r="G102" s="2">
        <v>85.0</v>
      </c>
      <c r="H102" s="2">
        <v>50.0</v>
      </c>
    </row>
    <row r="103">
      <c r="A103" s="2" t="s">
        <v>7509</v>
      </c>
      <c r="F103" s="2" t="s">
        <v>1479</v>
      </c>
      <c r="G103" s="2">
        <v>85.0</v>
      </c>
      <c r="H103" s="2">
        <v>48.0</v>
      </c>
    </row>
    <row r="104">
      <c r="A104" s="2" t="s">
        <v>7510</v>
      </c>
      <c r="F104" s="2" t="s">
        <v>1008</v>
      </c>
      <c r="G104" s="2">
        <v>85.0</v>
      </c>
      <c r="H104" s="2">
        <v>48.0</v>
      </c>
    </row>
    <row r="105">
      <c r="F105" s="2" t="s">
        <v>1239</v>
      </c>
      <c r="G105" s="2">
        <v>85.0</v>
      </c>
      <c r="H105" s="2">
        <v>48.0</v>
      </c>
    </row>
    <row r="106">
      <c r="A106" s="2" t="s">
        <v>7511</v>
      </c>
      <c r="F106" s="2" t="s">
        <v>1143</v>
      </c>
      <c r="G106" s="2">
        <v>85.0</v>
      </c>
      <c r="H106" s="2">
        <v>47.0</v>
      </c>
    </row>
    <row r="107">
      <c r="F107" s="2" t="s">
        <v>855</v>
      </c>
      <c r="G107" s="2">
        <v>85.0</v>
      </c>
      <c r="H107" s="2">
        <v>47.0</v>
      </c>
    </row>
    <row r="108">
      <c r="A108" s="2" t="s">
        <v>7512</v>
      </c>
      <c r="F108" s="2" t="s">
        <v>921</v>
      </c>
      <c r="G108" s="2">
        <v>85.0</v>
      </c>
      <c r="H108" s="2">
        <v>46.2</v>
      </c>
    </row>
    <row r="109">
      <c r="F109" s="2" t="s">
        <v>49</v>
      </c>
      <c r="G109" s="2">
        <v>85.0</v>
      </c>
      <c r="H109" s="2">
        <v>46.0</v>
      </c>
    </row>
    <row r="110">
      <c r="A110" s="2" t="s">
        <v>7513</v>
      </c>
      <c r="F110" s="2" t="s">
        <v>1569</v>
      </c>
      <c r="G110" s="2">
        <v>85.0</v>
      </c>
      <c r="H110" s="2">
        <v>45.28</v>
      </c>
    </row>
    <row r="111">
      <c r="A111" s="2" t="s">
        <v>7514</v>
      </c>
      <c r="F111" s="2" t="s">
        <v>542</v>
      </c>
      <c r="G111" s="2">
        <v>85.0</v>
      </c>
      <c r="H111" s="2">
        <v>45.0</v>
      </c>
    </row>
    <row r="112">
      <c r="F112" s="2" t="s">
        <v>1089</v>
      </c>
      <c r="G112" s="2">
        <v>85.0</v>
      </c>
      <c r="H112" s="2">
        <v>45.0</v>
      </c>
    </row>
    <row r="113">
      <c r="A113" s="2" t="s">
        <v>7515</v>
      </c>
      <c r="F113" s="2" t="s">
        <v>1061</v>
      </c>
      <c r="G113" s="2">
        <v>85.0</v>
      </c>
      <c r="H113" s="2">
        <v>44.0</v>
      </c>
    </row>
    <row r="114">
      <c r="F114" s="2" t="s">
        <v>1468</v>
      </c>
      <c r="G114" s="2">
        <v>85.0</v>
      </c>
      <c r="H114" s="2">
        <v>44.0</v>
      </c>
    </row>
    <row r="115">
      <c r="A115" s="2" t="s">
        <v>7516</v>
      </c>
      <c r="F115" s="2" t="s">
        <v>1350</v>
      </c>
      <c r="G115" s="2">
        <v>85.0</v>
      </c>
      <c r="H115" s="2">
        <v>44.0</v>
      </c>
    </row>
    <row r="116">
      <c r="F116" s="2" t="s">
        <v>1485</v>
      </c>
      <c r="G116" s="2">
        <v>85.0</v>
      </c>
      <c r="H116" s="2">
        <v>43.0</v>
      </c>
    </row>
    <row r="117">
      <c r="A117" s="2" t="s">
        <v>7517</v>
      </c>
      <c r="F117" s="2" t="s">
        <v>1500</v>
      </c>
      <c r="G117" s="2">
        <v>85.0</v>
      </c>
      <c r="H117" s="2">
        <v>43.0</v>
      </c>
    </row>
    <row r="118">
      <c r="A118" s="2" t="s">
        <v>7518</v>
      </c>
      <c r="F118" s="2" t="s">
        <v>868</v>
      </c>
      <c r="G118" s="2">
        <v>85.0</v>
      </c>
      <c r="H118" s="2">
        <v>43.0</v>
      </c>
    </row>
    <row r="119">
      <c r="F119" s="2" t="s">
        <v>1094</v>
      </c>
      <c r="G119" s="2">
        <v>85.0</v>
      </c>
      <c r="H119" s="2">
        <v>43.0</v>
      </c>
    </row>
    <row r="120">
      <c r="A120" s="2" t="s">
        <v>7519</v>
      </c>
      <c r="F120" s="2" t="s">
        <v>1091</v>
      </c>
      <c r="G120" s="2">
        <v>85.0</v>
      </c>
      <c r="H120" s="2">
        <v>43.0</v>
      </c>
    </row>
    <row r="121">
      <c r="F121" s="2" t="s">
        <v>170</v>
      </c>
      <c r="G121" s="2">
        <v>85.0</v>
      </c>
      <c r="H121" s="2">
        <v>43.0</v>
      </c>
    </row>
    <row r="122">
      <c r="A122" s="2" t="s">
        <v>7520</v>
      </c>
      <c r="F122" s="2" t="s">
        <v>837</v>
      </c>
      <c r="G122" s="2">
        <v>85.0</v>
      </c>
      <c r="H122" s="2">
        <v>42.0</v>
      </c>
    </row>
    <row r="123">
      <c r="F123" s="2" t="s">
        <v>217</v>
      </c>
      <c r="G123" s="2">
        <v>85.0</v>
      </c>
      <c r="H123" s="2">
        <v>41.0</v>
      </c>
    </row>
    <row r="124">
      <c r="A124" s="2" t="s">
        <v>7521</v>
      </c>
      <c r="F124" s="2" t="s">
        <v>1125</v>
      </c>
      <c r="G124" s="2">
        <v>85.0</v>
      </c>
      <c r="H124" s="2">
        <v>41.0</v>
      </c>
    </row>
    <row r="125">
      <c r="A125" s="2" t="s">
        <v>7522</v>
      </c>
      <c r="F125" s="2" t="s">
        <v>169</v>
      </c>
      <c r="G125" s="2">
        <v>85.0</v>
      </c>
      <c r="H125" s="2">
        <v>41.0</v>
      </c>
    </row>
    <row r="126">
      <c r="F126" s="2" t="s">
        <v>1605</v>
      </c>
      <c r="G126" s="2">
        <v>85.0</v>
      </c>
      <c r="H126" s="2">
        <v>41.0</v>
      </c>
    </row>
    <row r="127">
      <c r="A127" s="2" t="s">
        <v>7523</v>
      </c>
      <c r="F127" s="2" t="s">
        <v>985</v>
      </c>
      <c r="G127" s="2">
        <v>85.0</v>
      </c>
      <c r="H127" s="2">
        <v>40.9</v>
      </c>
    </row>
    <row r="128">
      <c r="F128" s="2" t="s">
        <v>997</v>
      </c>
      <c r="G128" s="2">
        <v>85.0</v>
      </c>
      <c r="H128" s="2">
        <v>40.05</v>
      </c>
    </row>
    <row r="129">
      <c r="A129" s="2" t="s">
        <v>7524</v>
      </c>
      <c r="F129" s="2" t="s">
        <v>143</v>
      </c>
      <c r="G129" s="2">
        <v>85.0</v>
      </c>
      <c r="H129" s="2">
        <v>40.0</v>
      </c>
    </row>
    <row r="130">
      <c r="F130" s="2" t="s">
        <v>805</v>
      </c>
      <c r="G130" s="2">
        <v>85.0</v>
      </c>
      <c r="H130" s="2">
        <v>39.84</v>
      </c>
    </row>
    <row r="131">
      <c r="A131" s="2" t="s">
        <v>7525</v>
      </c>
      <c r="F131" s="2" t="s">
        <v>1139</v>
      </c>
      <c r="G131" s="2">
        <v>85.0</v>
      </c>
      <c r="H131" s="2">
        <v>39.4</v>
      </c>
    </row>
    <row r="132">
      <c r="A132" s="2" t="s">
        <v>7526</v>
      </c>
      <c r="F132" s="2" t="s">
        <v>1121</v>
      </c>
      <c r="G132" s="2">
        <v>85.0</v>
      </c>
      <c r="H132" s="2">
        <v>39.0</v>
      </c>
    </row>
    <row r="133">
      <c r="F133" s="2" t="s">
        <v>167</v>
      </c>
      <c r="G133" s="2">
        <v>85.0</v>
      </c>
      <c r="H133" s="2">
        <v>39.0</v>
      </c>
    </row>
    <row r="134">
      <c r="A134" s="2" t="s">
        <v>7527</v>
      </c>
      <c r="F134" s="2" t="s">
        <v>51</v>
      </c>
      <c r="G134" s="2">
        <v>85.0</v>
      </c>
      <c r="H134" s="2">
        <v>38.0</v>
      </c>
    </row>
    <row r="135">
      <c r="F135" s="2" t="s">
        <v>1425</v>
      </c>
      <c r="G135" s="2">
        <v>85.0</v>
      </c>
      <c r="H135" s="2">
        <v>38.0</v>
      </c>
    </row>
    <row r="136">
      <c r="A136" s="2" t="s">
        <v>7528</v>
      </c>
      <c r="F136" s="2" t="s">
        <v>833</v>
      </c>
      <c r="G136" s="2">
        <v>85.0</v>
      </c>
      <c r="H136" s="2">
        <v>38.0</v>
      </c>
    </row>
    <row r="137">
      <c r="F137" s="2" t="s">
        <v>1233</v>
      </c>
      <c r="G137" s="2">
        <v>85.0</v>
      </c>
      <c r="H137" s="2">
        <v>38.0</v>
      </c>
    </row>
    <row r="138">
      <c r="A138" s="2" t="s">
        <v>7529</v>
      </c>
      <c r="F138" s="2" t="s">
        <v>1212</v>
      </c>
      <c r="G138" s="2">
        <v>85.0</v>
      </c>
      <c r="H138" s="2">
        <v>37.0</v>
      </c>
    </row>
    <row r="139">
      <c r="A139" s="2" t="s">
        <v>7530</v>
      </c>
      <c r="F139" s="2" t="s">
        <v>1115</v>
      </c>
      <c r="G139" s="2">
        <v>85.0</v>
      </c>
      <c r="H139" s="2">
        <v>37.0</v>
      </c>
    </row>
    <row r="140">
      <c r="F140" s="2" t="s">
        <v>1098</v>
      </c>
      <c r="G140" s="2">
        <v>85.0</v>
      </c>
      <c r="H140" s="2">
        <v>37.0</v>
      </c>
    </row>
    <row r="141">
      <c r="A141" s="2" t="s">
        <v>7531</v>
      </c>
      <c r="F141" s="2" t="s">
        <v>95</v>
      </c>
      <c r="G141" s="2">
        <v>85.0</v>
      </c>
      <c r="H141" s="2">
        <v>37.0</v>
      </c>
    </row>
    <row r="142">
      <c r="F142" s="2" t="s">
        <v>1096</v>
      </c>
      <c r="G142" s="2">
        <v>85.0</v>
      </c>
      <c r="H142" s="2">
        <v>36.2</v>
      </c>
    </row>
    <row r="143">
      <c r="A143" s="2" t="s">
        <v>7532</v>
      </c>
      <c r="F143" s="2" t="s">
        <v>1551</v>
      </c>
      <c r="G143" s="2">
        <v>85.0</v>
      </c>
      <c r="H143" s="2">
        <v>36.18</v>
      </c>
    </row>
    <row r="144">
      <c r="F144" s="2" t="s">
        <v>1128</v>
      </c>
      <c r="G144" s="2">
        <v>85.0</v>
      </c>
      <c r="H144" s="2">
        <v>36.0</v>
      </c>
    </row>
    <row r="145">
      <c r="A145" s="2" t="s">
        <v>7533</v>
      </c>
      <c r="F145" s="2" t="s">
        <v>127</v>
      </c>
      <c r="G145" s="2">
        <v>85.0</v>
      </c>
      <c r="H145" s="2">
        <v>36.0</v>
      </c>
    </row>
    <row r="146">
      <c r="A146" s="2" t="s">
        <v>7534</v>
      </c>
      <c r="F146" s="2" t="s">
        <v>1590</v>
      </c>
      <c r="G146" s="2">
        <v>85.0</v>
      </c>
      <c r="H146" s="2">
        <v>35.0</v>
      </c>
    </row>
    <row r="147">
      <c r="F147" s="2" t="s">
        <v>1474</v>
      </c>
      <c r="G147" s="2">
        <v>85.0</v>
      </c>
      <c r="H147" s="2">
        <v>34.0</v>
      </c>
    </row>
    <row r="148">
      <c r="A148" s="2" t="s">
        <v>7535</v>
      </c>
      <c r="F148" s="2" t="s">
        <v>1503</v>
      </c>
      <c r="G148" s="2">
        <v>85.0</v>
      </c>
      <c r="H148" s="2">
        <v>34.0</v>
      </c>
    </row>
    <row r="149">
      <c r="F149" s="2" t="s">
        <v>1365</v>
      </c>
      <c r="G149" s="2">
        <v>85.0</v>
      </c>
      <c r="H149" s="2">
        <v>34.0</v>
      </c>
    </row>
    <row r="150">
      <c r="A150" s="2" t="s">
        <v>7536</v>
      </c>
      <c r="F150" s="2" t="s">
        <v>1189</v>
      </c>
      <c r="G150" s="2">
        <v>85.0</v>
      </c>
      <c r="H150" s="2">
        <v>34.0</v>
      </c>
    </row>
    <row r="151">
      <c r="F151" s="2" t="s">
        <v>277</v>
      </c>
      <c r="G151" s="2">
        <v>85.0</v>
      </c>
      <c r="H151" s="2">
        <v>34.0</v>
      </c>
    </row>
    <row r="152">
      <c r="A152" s="2" t="s">
        <v>7537</v>
      </c>
      <c r="F152" s="2" t="s">
        <v>902</v>
      </c>
      <c r="G152" s="2">
        <v>85.0</v>
      </c>
      <c r="H152" s="2">
        <v>33.0</v>
      </c>
    </row>
    <row r="153">
      <c r="A153" s="2" t="s">
        <v>7538</v>
      </c>
      <c r="F153" s="2" t="s">
        <v>1575</v>
      </c>
      <c r="G153" s="2">
        <v>85.0</v>
      </c>
      <c r="H153" s="2">
        <v>33.0</v>
      </c>
    </row>
    <row r="154">
      <c r="F154" s="2" t="s">
        <v>1601</v>
      </c>
      <c r="G154" s="2">
        <v>85.0</v>
      </c>
      <c r="H154" s="2">
        <v>33.0</v>
      </c>
    </row>
    <row r="155">
      <c r="A155" s="2" t="s">
        <v>7539</v>
      </c>
      <c r="F155" s="2" t="s">
        <v>1237</v>
      </c>
      <c r="G155" s="2">
        <v>85.0</v>
      </c>
      <c r="H155" s="2">
        <v>32.0</v>
      </c>
    </row>
    <row r="156">
      <c r="F156" s="2" t="s">
        <v>128</v>
      </c>
      <c r="G156" s="2">
        <v>85.0</v>
      </c>
      <c r="H156" s="2">
        <v>32.0</v>
      </c>
    </row>
    <row r="157">
      <c r="A157" s="2" t="s">
        <v>7540</v>
      </c>
      <c r="F157" s="2" t="s">
        <v>1250</v>
      </c>
      <c r="G157" s="2">
        <v>85.0</v>
      </c>
      <c r="H157" s="2">
        <v>32.0</v>
      </c>
    </row>
    <row r="158">
      <c r="F158" s="2" t="s">
        <v>859</v>
      </c>
      <c r="G158" s="2">
        <v>85.0</v>
      </c>
      <c r="H158" s="2">
        <v>31.0</v>
      </c>
    </row>
    <row r="159">
      <c r="A159" s="2" t="s">
        <v>7541</v>
      </c>
      <c r="F159" s="2" t="s">
        <v>949</v>
      </c>
      <c r="G159" s="2">
        <v>85.0</v>
      </c>
      <c r="H159" s="2">
        <v>31.0</v>
      </c>
    </row>
    <row r="160">
      <c r="A160" s="2" t="s">
        <v>7542</v>
      </c>
      <c r="F160" s="2" t="s">
        <v>1193</v>
      </c>
      <c r="G160" s="2">
        <v>85.0</v>
      </c>
      <c r="H160" s="2">
        <v>31.0</v>
      </c>
    </row>
    <row r="161">
      <c r="F161" s="2" t="s">
        <v>787</v>
      </c>
      <c r="G161" s="2">
        <v>85.0</v>
      </c>
      <c r="H161" s="2">
        <v>31.0</v>
      </c>
    </row>
    <row r="162">
      <c r="A162" s="2" t="s">
        <v>7543</v>
      </c>
      <c r="F162" s="2" t="s">
        <v>1641</v>
      </c>
      <c r="G162" s="2">
        <v>85.0</v>
      </c>
      <c r="H162" s="2">
        <v>31.0</v>
      </c>
    </row>
    <row r="163">
      <c r="F163" s="2" t="s">
        <v>982</v>
      </c>
      <c r="G163" s="2">
        <v>85.0</v>
      </c>
      <c r="H163" s="2">
        <v>30.28</v>
      </c>
    </row>
    <row r="164">
      <c r="A164" s="2" t="s">
        <v>7544</v>
      </c>
      <c r="F164" s="2" t="s">
        <v>537</v>
      </c>
      <c r="G164" s="2">
        <v>85.0</v>
      </c>
      <c r="H164" s="2">
        <v>30.0</v>
      </c>
    </row>
    <row r="165">
      <c r="F165" s="2" t="s">
        <v>1161</v>
      </c>
      <c r="G165" s="2">
        <v>85.0</v>
      </c>
      <c r="H165" s="2">
        <v>29.0</v>
      </c>
    </row>
    <row r="166">
      <c r="A166" s="2" t="s">
        <v>7545</v>
      </c>
      <c r="F166" s="2" t="s">
        <v>1131</v>
      </c>
      <c r="G166" s="2">
        <v>85.0</v>
      </c>
      <c r="H166" s="2">
        <v>29.0</v>
      </c>
    </row>
    <row r="167">
      <c r="A167" s="2" t="s">
        <v>7546</v>
      </c>
      <c r="F167" s="2" t="s">
        <v>1221</v>
      </c>
      <c r="G167" s="2">
        <v>85.0</v>
      </c>
      <c r="H167" s="2">
        <v>29.0</v>
      </c>
    </row>
    <row r="168">
      <c r="F168" s="2" t="s">
        <v>1100</v>
      </c>
      <c r="G168" s="2">
        <v>85.0</v>
      </c>
      <c r="H168" s="2">
        <v>29.0</v>
      </c>
    </row>
    <row r="169">
      <c r="A169" s="2" t="s">
        <v>7547</v>
      </c>
      <c r="F169" s="2" t="s">
        <v>129</v>
      </c>
      <c r="G169" s="2">
        <v>85.0</v>
      </c>
      <c r="H169" s="2">
        <v>29.0</v>
      </c>
    </row>
    <row r="170">
      <c r="F170" s="2" t="s">
        <v>1638</v>
      </c>
      <c r="G170" s="2">
        <v>85.0</v>
      </c>
      <c r="H170" s="2">
        <v>29.0</v>
      </c>
    </row>
    <row r="171">
      <c r="A171" s="2" t="s">
        <v>7548</v>
      </c>
      <c r="F171" s="2" t="s">
        <v>1032</v>
      </c>
      <c r="G171" s="2">
        <v>85.0</v>
      </c>
      <c r="H171" s="2">
        <v>27.0</v>
      </c>
    </row>
    <row r="172">
      <c r="F172" s="2" t="s">
        <v>1439</v>
      </c>
      <c r="G172" s="2">
        <v>85.0</v>
      </c>
      <c r="H172" s="2">
        <v>27.0</v>
      </c>
    </row>
    <row r="173">
      <c r="A173" s="2" t="s">
        <v>7549</v>
      </c>
      <c r="F173" s="2" t="s">
        <v>1287</v>
      </c>
      <c r="G173" s="2">
        <v>85.0</v>
      </c>
      <c r="H173" s="2">
        <v>27.0</v>
      </c>
    </row>
    <row r="174">
      <c r="A174" s="2" t="s">
        <v>7550</v>
      </c>
      <c r="F174" s="2" t="s">
        <v>780</v>
      </c>
      <c r="G174" s="2">
        <v>85.0</v>
      </c>
      <c r="H174" s="2">
        <v>27.0</v>
      </c>
    </row>
    <row r="175">
      <c r="F175" s="2" t="s">
        <v>1402</v>
      </c>
      <c r="G175" s="2">
        <v>85.0</v>
      </c>
      <c r="H175" s="2">
        <v>27.0</v>
      </c>
    </row>
    <row r="176">
      <c r="A176" s="2" t="s">
        <v>7551</v>
      </c>
      <c r="F176" s="2" t="s">
        <v>1334</v>
      </c>
      <c r="G176" s="2">
        <v>85.0</v>
      </c>
      <c r="H176" s="2">
        <v>26.0</v>
      </c>
    </row>
    <row r="177">
      <c r="F177" s="2" t="s">
        <v>1177</v>
      </c>
      <c r="G177" s="2">
        <v>85.0</v>
      </c>
      <c r="H177" s="2">
        <v>26.0</v>
      </c>
    </row>
    <row r="178">
      <c r="A178" s="2" t="s">
        <v>7552</v>
      </c>
      <c r="F178" s="2" t="s">
        <v>1025</v>
      </c>
      <c r="G178" s="2">
        <v>85.0</v>
      </c>
      <c r="H178" s="2">
        <v>26.0</v>
      </c>
    </row>
    <row r="179">
      <c r="A179" s="2" t="s">
        <v>7553</v>
      </c>
      <c r="F179" s="2" t="s">
        <v>1163</v>
      </c>
      <c r="G179" s="2">
        <v>85.0</v>
      </c>
      <c r="H179" s="2">
        <v>26.0</v>
      </c>
    </row>
    <row r="180">
      <c r="F180" s="2" t="s">
        <v>933</v>
      </c>
      <c r="G180" s="2">
        <v>85.0</v>
      </c>
      <c r="H180" s="2">
        <v>25.0</v>
      </c>
    </row>
    <row r="181">
      <c r="A181" s="2" t="s">
        <v>7554</v>
      </c>
      <c r="F181" s="2" t="s">
        <v>829</v>
      </c>
      <c r="G181" s="2">
        <v>85.0</v>
      </c>
      <c r="H181" s="2">
        <v>25.0</v>
      </c>
    </row>
    <row r="182">
      <c r="F182" s="2" t="s">
        <v>1157</v>
      </c>
      <c r="G182" s="2">
        <v>85.0</v>
      </c>
      <c r="H182" s="2">
        <v>24.0</v>
      </c>
    </row>
    <row r="183">
      <c r="A183" s="2" t="s">
        <v>7555</v>
      </c>
      <c r="F183" s="2" t="s">
        <v>876</v>
      </c>
      <c r="G183" s="2">
        <v>85.0</v>
      </c>
      <c r="H183" s="2">
        <v>24.0</v>
      </c>
    </row>
    <row r="184">
      <c r="F184" s="2" t="s">
        <v>1336</v>
      </c>
      <c r="G184" s="2">
        <v>85.0</v>
      </c>
      <c r="H184" s="2">
        <v>24.0</v>
      </c>
    </row>
    <row r="185">
      <c r="A185" s="2" t="s">
        <v>7556</v>
      </c>
      <c r="F185" s="2" t="s">
        <v>163</v>
      </c>
      <c r="G185" s="2">
        <v>85.0</v>
      </c>
      <c r="H185" s="2">
        <v>24.0</v>
      </c>
    </row>
    <row r="186">
      <c r="A186" s="2" t="s">
        <v>7557</v>
      </c>
      <c r="F186" s="2" t="s">
        <v>142</v>
      </c>
      <c r="G186" s="2">
        <v>85.0</v>
      </c>
      <c r="H186" s="2">
        <v>24.0</v>
      </c>
    </row>
    <row r="187">
      <c r="F187" s="2" t="s">
        <v>1057</v>
      </c>
      <c r="G187" s="2">
        <v>85.0</v>
      </c>
      <c r="H187" s="2">
        <v>23.0</v>
      </c>
    </row>
    <row r="188">
      <c r="A188" s="2" t="s">
        <v>7558</v>
      </c>
      <c r="F188" s="2" t="s">
        <v>1553</v>
      </c>
      <c r="G188" s="2">
        <v>85.0</v>
      </c>
      <c r="H188" s="2">
        <v>23.0</v>
      </c>
    </row>
    <row r="189">
      <c r="F189" s="2" t="s">
        <v>823</v>
      </c>
      <c r="G189" s="2">
        <v>85.0</v>
      </c>
      <c r="H189" s="2">
        <v>23.0</v>
      </c>
    </row>
    <row r="190">
      <c r="A190" s="2" t="s">
        <v>7559</v>
      </c>
      <c r="F190" s="2" t="s">
        <v>1615</v>
      </c>
      <c r="G190" s="2">
        <v>85.0</v>
      </c>
      <c r="H190" s="2">
        <v>23.0</v>
      </c>
    </row>
    <row r="191">
      <c r="F191" s="2" t="s">
        <v>1357</v>
      </c>
      <c r="G191" s="2">
        <v>85.0</v>
      </c>
      <c r="H191" s="2">
        <v>23.0</v>
      </c>
    </row>
    <row r="192">
      <c r="A192" s="2" t="s">
        <v>7560</v>
      </c>
      <c r="F192" s="2" t="s">
        <v>870</v>
      </c>
      <c r="G192" s="2">
        <v>85.0</v>
      </c>
      <c r="H192" s="2">
        <v>23.0</v>
      </c>
    </row>
    <row r="193">
      <c r="A193" s="2" t="s">
        <v>7561</v>
      </c>
      <c r="F193" s="2" t="s">
        <v>1389</v>
      </c>
      <c r="G193" s="2">
        <v>85.0</v>
      </c>
      <c r="H193" s="2">
        <v>22.0</v>
      </c>
    </row>
    <row r="194">
      <c r="F194" s="2" t="s">
        <v>1520</v>
      </c>
      <c r="G194" s="2">
        <v>85.0</v>
      </c>
      <c r="H194" s="2">
        <v>22.0</v>
      </c>
    </row>
    <row r="195">
      <c r="A195" s="2" t="s">
        <v>7562</v>
      </c>
      <c r="F195" s="2" t="s">
        <v>945</v>
      </c>
      <c r="G195" s="2">
        <v>85.0</v>
      </c>
      <c r="H195" s="2">
        <v>22.0</v>
      </c>
    </row>
    <row r="196">
      <c r="F196" s="2" t="s">
        <v>1191</v>
      </c>
      <c r="G196" s="2">
        <v>85.0</v>
      </c>
      <c r="H196" s="2">
        <v>22.0</v>
      </c>
    </row>
    <row r="197">
      <c r="A197" s="2" t="s">
        <v>7563</v>
      </c>
      <c r="F197" s="2" t="s">
        <v>1533</v>
      </c>
      <c r="G197" s="2">
        <v>85.0</v>
      </c>
      <c r="H197" s="2">
        <v>22.0</v>
      </c>
    </row>
    <row r="198">
      <c r="A198" s="2" t="s">
        <v>7564</v>
      </c>
      <c r="F198" s="2" t="s">
        <v>1543</v>
      </c>
      <c r="G198" s="2">
        <v>85.0</v>
      </c>
      <c r="H198" s="2">
        <v>22.0</v>
      </c>
    </row>
    <row r="199">
      <c r="F199" s="2" t="s">
        <v>972</v>
      </c>
      <c r="G199" s="2">
        <v>85.0</v>
      </c>
      <c r="H199" s="2">
        <v>22.0</v>
      </c>
    </row>
    <row r="200">
      <c r="A200" s="2" t="s">
        <v>7565</v>
      </c>
      <c r="F200" s="2" t="s">
        <v>835</v>
      </c>
      <c r="G200" s="2">
        <v>85.0</v>
      </c>
      <c r="H200" s="2">
        <v>22.0</v>
      </c>
    </row>
    <row r="201">
      <c r="F201" s="2" t="s">
        <v>1490</v>
      </c>
      <c r="G201" s="2">
        <v>85.0</v>
      </c>
      <c r="H201" s="2">
        <v>21.0</v>
      </c>
    </row>
    <row r="202">
      <c r="A202" s="2" t="s">
        <v>7566</v>
      </c>
      <c r="F202" s="2" t="s">
        <v>419</v>
      </c>
      <c r="G202" s="2">
        <v>85.0</v>
      </c>
      <c r="H202" s="2">
        <v>21.0</v>
      </c>
    </row>
    <row r="203">
      <c r="F203" s="2" t="s">
        <v>1229</v>
      </c>
      <c r="G203" s="2">
        <v>85.0</v>
      </c>
      <c r="H203" s="2">
        <v>21.0</v>
      </c>
    </row>
    <row r="204">
      <c r="A204" s="2" t="s">
        <v>7567</v>
      </c>
      <c r="F204" s="2" t="s">
        <v>1264</v>
      </c>
      <c r="G204" s="2">
        <v>85.0</v>
      </c>
      <c r="H204" s="2">
        <v>21.0</v>
      </c>
    </row>
    <row r="205">
      <c r="A205" s="2" t="s">
        <v>7568</v>
      </c>
      <c r="F205" s="2" t="s">
        <v>1179</v>
      </c>
      <c r="G205" s="2">
        <v>85.0</v>
      </c>
      <c r="H205" s="2">
        <v>21.0</v>
      </c>
    </row>
    <row r="206">
      <c r="F206" s="2" t="s">
        <v>881</v>
      </c>
      <c r="G206" s="2">
        <v>85.0</v>
      </c>
      <c r="H206" s="2">
        <v>21.0</v>
      </c>
    </row>
    <row r="207">
      <c r="A207" s="2" t="s">
        <v>7569</v>
      </c>
      <c r="F207" s="2" t="s">
        <v>1023</v>
      </c>
      <c r="G207" s="2">
        <v>85.0</v>
      </c>
      <c r="H207" s="2">
        <v>21.0</v>
      </c>
    </row>
    <row r="208">
      <c r="F208" s="2" t="s">
        <v>1291</v>
      </c>
      <c r="G208" s="2">
        <v>85.0</v>
      </c>
      <c r="H208" s="2">
        <v>21.0</v>
      </c>
    </row>
    <row r="209">
      <c r="A209" s="2" t="s">
        <v>7570</v>
      </c>
      <c r="F209" s="2" t="s">
        <v>1285</v>
      </c>
      <c r="G209" s="2">
        <v>85.0</v>
      </c>
      <c r="H209" s="2">
        <v>20.75</v>
      </c>
    </row>
    <row r="210">
      <c r="F210" s="2" t="s">
        <v>1147</v>
      </c>
      <c r="G210" s="2">
        <v>85.0</v>
      </c>
      <c r="H210" s="2">
        <v>20.0</v>
      </c>
    </row>
    <row r="211">
      <c r="A211" s="2" t="s">
        <v>7571</v>
      </c>
      <c r="F211" s="2" t="s">
        <v>1248</v>
      </c>
      <c r="G211" s="2">
        <v>85.0</v>
      </c>
      <c r="H211" s="2">
        <v>20.0</v>
      </c>
    </row>
    <row r="212">
      <c r="F212" s="2" t="s">
        <v>355</v>
      </c>
      <c r="G212" s="2">
        <v>85.0</v>
      </c>
      <c r="H212" s="2">
        <v>20.0</v>
      </c>
    </row>
    <row r="213">
      <c r="A213" s="2" t="s">
        <v>7572</v>
      </c>
      <c r="F213" s="2" t="s">
        <v>1632</v>
      </c>
      <c r="G213" s="2">
        <v>85.0</v>
      </c>
      <c r="H213" s="2">
        <v>20.0</v>
      </c>
    </row>
    <row r="214">
      <c r="A214" s="2" t="s">
        <v>7573</v>
      </c>
      <c r="F214" s="2" t="s">
        <v>951</v>
      </c>
      <c r="G214" s="2">
        <v>85.0</v>
      </c>
      <c r="H214" s="2">
        <v>19.0</v>
      </c>
    </row>
    <row r="215">
      <c r="F215" s="2" t="s">
        <v>1367</v>
      </c>
      <c r="G215" s="2">
        <v>85.0</v>
      </c>
      <c r="H215" s="2">
        <v>19.0</v>
      </c>
    </row>
    <row r="216">
      <c r="A216" s="2" t="s">
        <v>7574</v>
      </c>
      <c r="F216" s="2" t="s">
        <v>423</v>
      </c>
      <c r="G216" s="2">
        <v>85.0</v>
      </c>
      <c r="H216" s="2">
        <v>19.0</v>
      </c>
    </row>
    <row r="217">
      <c r="F217" s="2" t="s">
        <v>1047</v>
      </c>
      <c r="G217" s="2">
        <v>85.0</v>
      </c>
      <c r="H217" s="2">
        <v>19.0</v>
      </c>
    </row>
    <row r="218">
      <c r="A218" s="2" t="s">
        <v>7575</v>
      </c>
      <c r="F218" s="2" t="s">
        <v>1076</v>
      </c>
      <c r="G218" s="2">
        <v>85.0</v>
      </c>
      <c r="H218" s="2">
        <v>19.0</v>
      </c>
    </row>
    <row r="219">
      <c r="A219" s="2" t="s">
        <v>7576</v>
      </c>
      <c r="F219" s="2" t="s">
        <v>792</v>
      </c>
      <c r="G219" s="2">
        <v>85.0</v>
      </c>
      <c r="H219" s="2">
        <v>18.4</v>
      </c>
    </row>
    <row r="220">
      <c r="F220" s="2" t="s">
        <v>1119</v>
      </c>
      <c r="G220" s="2">
        <v>85.0</v>
      </c>
      <c r="H220" s="2">
        <v>18.0</v>
      </c>
    </row>
    <row r="221">
      <c r="A221" s="2" t="s">
        <v>7577</v>
      </c>
      <c r="F221" s="2" t="s">
        <v>61</v>
      </c>
      <c r="G221" s="2">
        <v>85.0</v>
      </c>
      <c r="H221" s="2">
        <v>18.0</v>
      </c>
    </row>
    <row r="222">
      <c r="A222" s="2" t="s">
        <v>7578</v>
      </c>
      <c r="F222" s="2" t="s">
        <v>1562</v>
      </c>
      <c r="G222" s="2">
        <v>85.0</v>
      </c>
      <c r="H222" s="2">
        <v>18.0</v>
      </c>
    </row>
    <row r="223">
      <c r="F223" s="2" t="s">
        <v>1030</v>
      </c>
      <c r="G223" s="2">
        <v>85.0</v>
      </c>
      <c r="H223" s="2">
        <v>18.0</v>
      </c>
    </row>
    <row r="224">
      <c r="A224" s="2" t="s">
        <v>7579</v>
      </c>
      <c r="F224" s="2" t="s">
        <v>89</v>
      </c>
      <c r="G224" s="2">
        <v>85.0</v>
      </c>
      <c r="H224" s="2">
        <v>18.0</v>
      </c>
    </row>
    <row r="225">
      <c r="A225" s="2" t="s">
        <v>7580</v>
      </c>
      <c r="F225" s="2" t="s">
        <v>1021</v>
      </c>
      <c r="G225" s="2">
        <v>85.0</v>
      </c>
      <c r="H225" s="2">
        <v>18.0</v>
      </c>
    </row>
    <row r="226">
      <c r="A226" s="2" t="s">
        <v>7581</v>
      </c>
      <c r="F226" s="2" t="s">
        <v>927</v>
      </c>
      <c r="G226" s="2">
        <v>85.0</v>
      </c>
      <c r="H226" s="2">
        <v>17.66</v>
      </c>
    </row>
    <row r="227">
      <c r="F227" s="2" t="s">
        <v>1427</v>
      </c>
      <c r="G227" s="2">
        <v>85.0</v>
      </c>
      <c r="H227" s="2">
        <v>17.0</v>
      </c>
    </row>
    <row r="228">
      <c r="A228" s="2" t="s">
        <v>7582</v>
      </c>
      <c r="F228" s="2" t="s">
        <v>472</v>
      </c>
      <c r="G228" s="2">
        <v>85.0</v>
      </c>
      <c r="H228" s="2">
        <v>17.0</v>
      </c>
    </row>
    <row r="229">
      <c r="F229" s="2" t="s">
        <v>1219</v>
      </c>
      <c r="G229" s="2">
        <v>85.0</v>
      </c>
      <c r="H229" s="2">
        <v>17.0</v>
      </c>
    </row>
    <row r="230">
      <c r="A230" s="2" t="s">
        <v>7583</v>
      </c>
      <c r="F230" s="2" t="s">
        <v>1311</v>
      </c>
      <c r="G230" s="2">
        <v>85.0</v>
      </c>
      <c r="H230" s="2">
        <v>17.0</v>
      </c>
    </row>
    <row r="231">
      <c r="F231" s="2" t="s">
        <v>166</v>
      </c>
      <c r="G231" s="2">
        <v>85.0</v>
      </c>
      <c r="H231" s="2">
        <v>17.0</v>
      </c>
    </row>
    <row r="232">
      <c r="A232" s="2" t="s">
        <v>7584</v>
      </c>
      <c r="F232" s="2" t="s">
        <v>811</v>
      </c>
      <c r="G232" s="2">
        <v>85.0</v>
      </c>
      <c r="H232" s="2">
        <v>17.0</v>
      </c>
    </row>
    <row r="233">
      <c r="A233" s="2" t="s">
        <v>7585</v>
      </c>
      <c r="F233" s="2" t="s">
        <v>1266</v>
      </c>
      <c r="G233" s="2">
        <v>85.0</v>
      </c>
      <c r="H233" s="2">
        <v>17.0</v>
      </c>
    </row>
    <row r="234">
      <c r="F234" s="2" t="s">
        <v>3782</v>
      </c>
      <c r="G234" s="2">
        <v>85.0</v>
      </c>
      <c r="H234" s="2">
        <v>17.0</v>
      </c>
    </row>
    <row r="235">
      <c r="A235" s="2" t="s">
        <v>7586</v>
      </c>
      <c r="F235" s="2" t="s">
        <v>1443</v>
      </c>
      <c r="G235" s="2">
        <v>85.0</v>
      </c>
      <c r="H235" s="2">
        <v>17.0</v>
      </c>
    </row>
    <row r="236">
      <c r="F236" s="2" t="s">
        <v>1323</v>
      </c>
      <c r="G236" s="2">
        <v>85.0</v>
      </c>
      <c r="H236" s="2">
        <v>17.0</v>
      </c>
    </row>
    <row r="237">
      <c r="A237" s="2" t="s">
        <v>7587</v>
      </c>
      <c r="F237" s="2" t="s">
        <v>1065</v>
      </c>
      <c r="G237" s="2">
        <v>85.0</v>
      </c>
      <c r="H237" s="2">
        <v>16.0</v>
      </c>
    </row>
    <row r="238">
      <c r="F238" s="2" t="s">
        <v>978</v>
      </c>
      <c r="G238" s="2">
        <v>85.0</v>
      </c>
      <c r="H238" s="2">
        <v>16.0</v>
      </c>
    </row>
    <row r="239">
      <c r="A239" s="2" t="s">
        <v>7588</v>
      </c>
      <c r="F239" s="2" t="s">
        <v>1208</v>
      </c>
      <c r="G239" s="2">
        <v>85.0</v>
      </c>
      <c r="H239" s="2">
        <v>16.0</v>
      </c>
    </row>
    <row r="240">
      <c r="A240" s="2" t="s">
        <v>7589</v>
      </c>
      <c r="F240" s="2" t="s">
        <v>1317</v>
      </c>
      <c r="G240" s="2">
        <v>85.0</v>
      </c>
      <c r="H240" s="2">
        <v>16.0</v>
      </c>
    </row>
    <row r="241">
      <c r="F241" s="2" t="s">
        <v>1113</v>
      </c>
      <c r="G241" s="2">
        <v>85.0</v>
      </c>
      <c r="H241" s="2">
        <v>16.0</v>
      </c>
    </row>
    <row r="242">
      <c r="A242" s="2" t="s">
        <v>7590</v>
      </c>
      <c r="F242" s="2" t="s">
        <v>1456</v>
      </c>
      <c r="G242" s="2">
        <v>85.0</v>
      </c>
      <c r="H242" s="2">
        <v>16.0</v>
      </c>
    </row>
    <row r="243">
      <c r="F243" s="2" t="s">
        <v>486</v>
      </c>
      <c r="G243" s="2">
        <v>85.0</v>
      </c>
      <c r="H243" s="2">
        <v>16.0</v>
      </c>
    </row>
    <row r="244">
      <c r="A244" s="2" t="s">
        <v>7591</v>
      </c>
      <c r="F244" s="2" t="s">
        <v>1624</v>
      </c>
      <c r="G244" s="2">
        <v>85.0</v>
      </c>
      <c r="H244" s="2">
        <v>16.0</v>
      </c>
    </row>
    <row r="245">
      <c r="F245" s="2" t="s">
        <v>1454</v>
      </c>
      <c r="G245" s="2">
        <v>85.0</v>
      </c>
      <c r="H245" s="2">
        <v>16.0</v>
      </c>
    </row>
    <row r="246">
      <c r="A246" s="2" t="s">
        <v>7592</v>
      </c>
      <c r="F246" s="2" t="s">
        <v>1019</v>
      </c>
      <c r="G246" s="2">
        <v>85.0</v>
      </c>
      <c r="H246" s="2">
        <v>15.0</v>
      </c>
    </row>
    <row r="247">
      <c r="F247" s="2" t="s">
        <v>1513</v>
      </c>
      <c r="G247" s="2">
        <v>85.0</v>
      </c>
      <c r="H247" s="2">
        <v>15.0</v>
      </c>
    </row>
    <row r="248">
      <c r="A248" s="2" t="s">
        <v>7593</v>
      </c>
      <c r="F248" s="2" t="s">
        <v>1043</v>
      </c>
      <c r="G248" s="2">
        <v>85.0</v>
      </c>
      <c r="H248" s="2">
        <v>15.0</v>
      </c>
    </row>
    <row r="249">
      <c r="A249" s="2" t="s">
        <v>7594</v>
      </c>
      <c r="F249" s="2" t="s">
        <v>1206</v>
      </c>
      <c r="G249" s="2">
        <v>85.0</v>
      </c>
      <c r="H249" s="2">
        <v>15.0</v>
      </c>
    </row>
    <row r="250">
      <c r="F250" s="2" t="s">
        <v>1578</v>
      </c>
      <c r="G250" s="2">
        <v>85.0</v>
      </c>
      <c r="H250" s="2">
        <v>15.0</v>
      </c>
    </row>
    <row r="251">
      <c r="A251" s="2" t="s">
        <v>7595</v>
      </c>
      <c r="F251" s="2" t="s">
        <v>937</v>
      </c>
      <c r="G251" s="2">
        <v>85.0</v>
      </c>
      <c r="H251" s="2">
        <v>15.0</v>
      </c>
    </row>
    <row r="252">
      <c r="F252" s="2" t="s">
        <v>1449</v>
      </c>
      <c r="G252" s="2">
        <v>85.0</v>
      </c>
      <c r="H252" s="2">
        <v>15.0</v>
      </c>
    </row>
    <row r="253">
      <c r="A253" s="2" t="s">
        <v>7596</v>
      </c>
      <c r="F253" s="2" t="s">
        <v>1481</v>
      </c>
      <c r="G253" s="2">
        <v>85.0</v>
      </c>
      <c r="H253" s="2">
        <v>14.0</v>
      </c>
    </row>
    <row r="254">
      <c r="F254" s="2" t="s">
        <v>1410</v>
      </c>
      <c r="G254" s="2">
        <v>85.0</v>
      </c>
      <c r="H254" s="2">
        <v>14.0</v>
      </c>
    </row>
    <row r="255">
      <c r="A255" s="2" t="s">
        <v>7597</v>
      </c>
      <c r="F255" s="2" t="s">
        <v>821</v>
      </c>
      <c r="G255" s="2">
        <v>85.0</v>
      </c>
      <c r="H255" s="2">
        <v>14.0</v>
      </c>
    </row>
    <row r="256">
      <c r="F256" s="2" t="s">
        <v>1293</v>
      </c>
      <c r="G256" s="2">
        <v>85.0</v>
      </c>
      <c r="H256" s="2">
        <v>14.0</v>
      </c>
    </row>
    <row r="257">
      <c r="A257" s="2" t="s">
        <v>7598</v>
      </c>
      <c r="F257" s="2" t="s">
        <v>1462</v>
      </c>
      <c r="G257" s="2">
        <v>85.0</v>
      </c>
      <c r="H257" s="2">
        <v>14.0</v>
      </c>
    </row>
    <row r="258">
      <c r="A258" s="2" t="s">
        <v>7599</v>
      </c>
      <c r="F258" s="2" t="s">
        <v>1331</v>
      </c>
      <c r="G258" s="2">
        <v>85.0</v>
      </c>
      <c r="H258" s="2">
        <v>14.0</v>
      </c>
    </row>
    <row r="259">
      <c r="F259" s="2" t="s">
        <v>1343</v>
      </c>
      <c r="G259" s="2">
        <v>85.0</v>
      </c>
      <c r="H259" s="2">
        <v>14.0</v>
      </c>
    </row>
    <row r="260">
      <c r="A260" s="2" t="s">
        <v>7600</v>
      </c>
      <c r="F260" s="2" t="s">
        <v>1447</v>
      </c>
      <c r="G260" s="2">
        <v>85.0</v>
      </c>
      <c r="H260" s="2">
        <v>14.0</v>
      </c>
    </row>
    <row r="261">
      <c r="F261" s="2" t="s">
        <v>124</v>
      </c>
      <c r="G261" s="2">
        <v>85.0</v>
      </c>
      <c r="H261" s="2">
        <v>14.0</v>
      </c>
    </row>
    <row r="262">
      <c r="A262" s="2" t="s">
        <v>7601</v>
      </c>
      <c r="F262" s="2" t="s">
        <v>168</v>
      </c>
      <c r="G262" s="2">
        <v>85.0</v>
      </c>
      <c r="H262" s="2">
        <v>13.6</v>
      </c>
    </row>
    <row r="263">
      <c r="F263" s="2" t="s">
        <v>1477</v>
      </c>
      <c r="G263" s="2">
        <v>85.0</v>
      </c>
      <c r="H263" s="2">
        <v>13.0</v>
      </c>
    </row>
    <row r="264">
      <c r="A264" s="2" t="s">
        <v>7602</v>
      </c>
      <c r="F264" s="2" t="s">
        <v>1483</v>
      </c>
      <c r="G264" s="2">
        <v>85.0</v>
      </c>
      <c r="H264" s="2">
        <v>13.0</v>
      </c>
    </row>
    <row r="265">
      <c r="A265" s="2" t="s">
        <v>7603</v>
      </c>
      <c r="F265" s="2" t="s">
        <v>1404</v>
      </c>
      <c r="G265" s="2">
        <v>85.0</v>
      </c>
      <c r="H265" s="2">
        <v>13.0</v>
      </c>
    </row>
    <row r="266">
      <c r="F266" s="2" t="s">
        <v>1414</v>
      </c>
      <c r="G266" s="2">
        <v>85.0</v>
      </c>
      <c r="H266" s="2">
        <v>13.0</v>
      </c>
    </row>
    <row r="267">
      <c r="A267" s="2" t="s">
        <v>7604</v>
      </c>
      <c r="F267" s="2" t="s">
        <v>1309</v>
      </c>
      <c r="G267" s="2">
        <v>85.0</v>
      </c>
      <c r="H267" s="2">
        <v>13.0</v>
      </c>
    </row>
    <row r="268">
      <c r="F268" s="2" t="s">
        <v>1028</v>
      </c>
      <c r="G268" s="2">
        <v>85.0</v>
      </c>
      <c r="H268" s="2">
        <v>13.0</v>
      </c>
    </row>
    <row r="269">
      <c r="A269" s="2" t="s">
        <v>7605</v>
      </c>
      <c r="F269" s="2" t="s">
        <v>1393</v>
      </c>
      <c r="G269" s="2">
        <v>85.0</v>
      </c>
      <c r="H269" s="2">
        <v>12.0</v>
      </c>
    </row>
    <row r="270">
      <c r="F270" s="2" t="s">
        <v>1535</v>
      </c>
      <c r="G270" s="2">
        <v>85.0</v>
      </c>
      <c r="H270" s="2">
        <v>12.0</v>
      </c>
    </row>
    <row r="271">
      <c r="A271" s="2" t="s">
        <v>7606</v>
      </c>
      <c r="F271" s="2" t="s">
        <v>97</v>
      </c>
      <c r="G271" s="2">
        <v>85.0</v>
      </c>
      <c r="H271" s="2">
        <v>12.0</v>
      </c>
    </row>
    <row r="272">
      <c r="A272" s="2" t="s">
        <v>7607</v>
      </c>
      <c r="F272" s="2" t="s">
        <v>1398</v>
      </c>
      <c r="G272" s="2">
        <v>85.0</v>
      </c>
      <c r="H272" s="2">
        <v>12.0</v>
      </c>
    </row>
    <row r="273">
      <c r="F273" s="2" t="s">
        <v>1273</v>
      </c>
      <c r="G273" s="2">
        <v>85.0</v>
      </c>
      <c r="H273" s="2">
        <v>12.0</v>
      </c>
    </row>
    <row r="274">
      <c r="A274" s="2" t="s">
        <v>7608</v>
      </c>
      <c r="F274" s="2" t="s">
        <v>1055</v>
      </c>
      <c r="G274" s="2">
        <v>85.0</v>
      </c>
      <c r="H274" s="2">
        <v>12.0</v>
      </c>
    </row>
    <row r="275">
      <c r="F275" s="2" t="s">
        <v>1566</v>
      </c>
      <c r="G275" s="2">
        <v>85.0</v>
      </c>
      <c r="H275" s="2">
        <v>12.0</v>
      </c>
    </row>
    <row r="276">
      <c r="A276" s="2" t="s">
        <v>7609</v>
      </c>
      <c r="F276" s="2" t="s">
        <v>1307</v>
      </c>
      <c r="G276" s="2">
        <v>85.0</v>
      </c>
      <c r="H276" s="2">
        <v>12.0</v>
      </c>
    </row>
    <row r="277">
      <c r="F277" s="2" t="s">
        <v>1254</v>
      </c>
      <c r="G277" s="2">
        <v>85.0</v>
      </c>
      <c r="H277" s="2">
        <v>12.0</v>
      </c>
    </row>
    <row r="278">
      <c r="A278" s="2" t="s">
        <v>7610</v>
      </c>
      <c r="F278" s="2" t="s">
        <v>853</v>
      </c>
      <c r="G278" s="2">
        <v>85.0</v>
      </c>
      <c r="H278" s="2">
        <v>12.0</v>
      </c>
    </row>
    <row r="279">
      <c r="F279" s="2" t="s">
        <v>6209</v>
      </c>
      <c r="G279" s="2">
        <v>85.0</v>
      </c>
      <c r="H279" s="2">
        <v>12.0</v>
      </c>
    </row>
    <row r="280">
      <c r="A280" s="2" t="s">
        <v>7611</v>
      </c>
      <c r="F280" s="2" t="s">
        <v>1214</v>
      </c>
      <c r="G280" s="2">
        <v>85.0</v>
      </c>
      <c r="H280" s="2">
        <v>12.0</v>
      </c>
    </row>
    <row r="281">
      <c r="F281" s="2" t="s">
        <v>147</v>
      </c>
      <c r="G281" s="2">
        <v>85.0</v>
      </c>
      <c r="H281" s="2">
        <v>11.0</v>
      </c>
    </row>
    <row r="282">
      <c r="A282" s="2" t="s">
        <v>7612</v>
      </c>
      <c r="F282" s="2" t="s">
        <v>1528</v>
      </c>
      <c r="G282" s="2">
        <v>85.0</v>
      </c>
      <c r="H282" s="2">
        <v>11.0</v>
      </c>
    </row>
    <row r="283">
      <c r="A283" s="2" t="s">
        <v>7613</v>
      </c>
      <c r="F283" s="2" t="s">
        <v>917</v>
      </c>
      <c r="G283" s="2">
        <v>85.0</v>
      </c>
      <c r="H283" s="2">
        <v>11.0</v>
      </c>
    </row>
    <row r="284">
      <c r="F284" s="2" t="s">
        <v>1416</v>
      </c>
      <c r="G284" s="2">
        <v>85.0</v>
      </c>
      <c r="H284" s="2">
        <v>11.0</v>
      </c>
    </row>
    <row r="285">
      <c r="A285" s="2" t="s">
        <v>7577</v>
      </c>
      <c r="F285" s="2" t="s">
        <v>1137</v>
      </c>
      <c r="G285" s="2">
        <v>85.0</v>
      </c>
      <c r="H285" s="2">
        <v>11.0</v>
      </c>
    </row>
    <row r="286">
      <c r="A286" s="2" t="s">
        <v>7614</v>
      </c>
      <c r="F286" s="2" t="s">
        <v>3047</v>
      </c>
      <c r="G286" s="2">
        <v>85.0</v>
      </c>
      <c r="H286" s="2">
        <v>11.0</v>
      </c>
    </row>
    <row r="287">
      <c r="F287" s="2" t="s">
        <v>1611</v>
      </c>
      <c r="G287" s="2">
        <v>85.0</v>
      </c>
      <c r="H287" s="2">
        <v>11.0</v>
      </c>
    </row>
    <row r="288">
      <c r="A288" s="2" t="s">
        <v>7579</v>
      </c>
      <c r="F288" s="2" t="s">
        <v>476</v>
      </c>
      <c r="G288" s="2">
        <v>85.0</v>
      </c>
      <c r="H288" s="2">
        <v>11.0</v>
      </c>
    </row>
    <row r="289">
      <c r="A289" s="2" t="s">
        <v>7615</v>
      </c>
      <c r="F289" s="2" t="s">
        <v>4612</v>
      </c>
      <c r="G289" s="2">
        <v>85.0</v>
      </c>
      <c r="H289" s="2">
        <v>10.0</v>
      </c>
    </row>
    <row r="290">
      <c r="A290" s="2" t="s">
        <v>7616</v>
      </c>
      <c r="F290" s="2" t="s">
        <v>1243</v>
      </c>
      <c r="G290" s="2">
        <v>85.0</v>
      </c>
      <c r="H290" s="2">
        <v>10.0</v>
      </c>
    </row>
    <row r="291">
      <c r="F291" s="2" t="s">
        <v>1049</v>
      </c>
      <c r="G291" s="2">
        <v>85.0</v>
      </c>
      <c r="H291" s="2">
        <v>10.0</v>
      </c>
    </row>
    <row r="292">
      <c r="A292" s="2" t="s">
        <v>7617</v>
      </c>
      <c r="F292" s="2" t="s">
        <v>1547</v>
      </c>
      <c r="G292" s="2">
        <v>85.0</v>
      </c>
      <c r="H292" s="2">
        <v>10.0</v>
      </c>
    </row>
    <row r="293">
      <c r="F293" s="2" t="s">
        <v>896</v>
      </c>
      <c r="G293" s="2">
        <v>85.0</v>
      </c>
      <c r="H293" s="2">
        <v>10.0</v>
      </c>
    </row>
    <row r="294">
      <c r="A294" s="2" t="s">
        <v>7618</v>
      </c>
      <c r="F294" s="2" t="s">
        <v>1445</v>
      </c>
      <c r="G294" s="2">
        <v>85.0</v>
      </c>
      <c r="H294" s="2">
        <v>10.0</v>
      </c>
    </row>
    <row r="295">
      <c r="A295" s="2" t="s">
        <v>7619</v>
      </c>
      <c r="F295" s="2" t="s">
        <v>1151</v>
      </c>
      <c r="G295" s="2">
        <v>85.0</v>
      </c>
      <c r="H295" s="2">
        <v>10.0</v>
      </c>
    </row>
    <row r="296">
      <c r="F296" s="2" t="s">
        <v>816</v>
      </c>
      <c r="G296" s="2">
        <v>85.0</v>
      </c>
      <c r="H296" s="2">
        <v>9.0</v>
      </c>
    </row>
    <row r="297">
      <c r="A297" s="2" t="s">
        <v>7620</v>
      </c>
      <c r="F297" s="2" t="s">
        <v>1406</v>
      </c>
      <c r="G297" s="2">
        <v>85.0</v>
      </c>
      <c r="H297" s="2">
        <v>9.0</v>
      </c>
    </row>
    <row r="298">
      <c r="F298" s="2" t="s">
        <v>1281</v>
      </c>
      <c r="G298" s="2">
        <v>85.0</v>
      </c>
      <c r="H298" s="2">
        <v>9.0</v>
      </c>
    </row>
    <row r="299">
      <c r="A299" s="2" t="s">
        <v>7621</v>
      </c>
      <c r="F299" s="2" t="s">
        <v>1225</v>
      </c>
      <c r="G299" s="2">
        <v>85.0</v>
      </c>
      <c r="H299" s="2">
        <v>9.0</v>
      </c>
    </row>
    <row r="300">
      <c r="A300" s="2" t="s">
        <v>7622</v>
      </c>
      <c r="F300" s="2" t="s">
        <v>1363</v>
      </c>
      <c r="G300" s="2">
        <v>85.0</v>
      </c>
      <c r="H300" s="2">
        <v>9.0</v>
      </c>
    </row>
    <row r="301">
      <c r="F301" s="2" t="s">
        <v>1361</v>
      </c>
      <c r="G301" s="2">
        <v>85.0</v>
      </c>
      <c r="H301" s="2">
        <v>8.5</v>
      </c>
    </row>
    <row r="302">
      <c r="A302" s="2" t="s">
        <v>7623</v>
      </c>
      <c r="F302" s="2" t="s">
        <v>1181</v>
      </c>
      <c r="G302" s="2">
        <v>85.0</v>
      </c>
      <c r="H302" s="2">
        <v>8.0</v>
      </c>
    </row>
    <row r="303">
      <c r="F303" s="2" t="s">
        <v>1354</v>
      </c>
      <c r="G303" s="2">
        <v>85.0</v>
      </c>
      <c r="H303" s="2">
        <v>8.0</v>
      </c>
    </row>
    <row r="304">
      <c r="A304" s="2" t="s">
        <v>7624</v>
      </c>
      <c r="F304" s="2" t="s">
        <v>1319</v>
      </c>
      <c r="G304" s="2">
        <v>85.0</v>
      </c>
      <c r="H304" s="2">
        <v>8.0</v>
      </c>
    </row>
    <row r="305">
      <c r="A305" s="2" t="s">
        <v>7625</v>
      </c>
      <c r="F305" s="2" t="s">
        <v>1123</v>
      </c>
      <c r="G305" s="2">
        <v>85.0</v>
      </c>
      <c r="H305" s="2">
        <v>8.0</v>
      </c>
    </row>
    <row r="306">
      <c r="F306" s="2" t="s">
        <v>1599</v>
      </c>
      <c r="G306" s="2">
        <v>85.0</v>
      </c>
      <c r="H306" s="2">
        <v>8.0</v>
      </c>
    </row>
    <row r="307">
      <c r="A307" s="2" t="s">
        <v>7626</v>
      </c>
      <c r="F307" s="2" t="s">
        <v>1295</v>
      </c>
      <c r="G307" s="2">
        <v>85.0</v>
      </c>
      <c r="H307" s="2">
        <v>7.75</v>
      </c>
    </row>
    <row r="308">
      <c r="F308" s="2" t="s">
        <v>6083</v>
      </c>
      <c r="G308" s="2">
        <v>85.0</v>
      </c>
      <c r="H308" s="2">
        <v>7.0</v>
      </c>
    </row>
    <row r="309">
      <c r="A309" s="2" t="s">
        <v>7627</v>
      </c>
      <c r="F309" s="2" t="s">
        <v>4970</v>
      </c>
      <c r="G309" s="2">
        <v>85.0</v>
      </c>
      <c r="H309" s="2">
        <v>7.0</v>
      </c>
    </row>
    <row r="310">
      <c r="F310" s="2" t="s">
        <v>1396</v>
      </c>
      <c r="G310" s="2">
        <v>85.0</v>
      </c>
      <c r="H310" s="2">
        <v>7.0</v>
      </c>
    </row>
    <row r="311">
      <c r="A311" s="2" t="s">
        <v>7628</v>
      </c>
      <c r="F311" s="2" t="s">
        <v>1359</v>
      </c>
      <c r="G311" s="2">
        <v>85.0</v>
      </c>
      <c r="H311" s="2">
        <v>7.0</v>
      </c>
    </row>
    <row r="312">
      <c r="A312" s="2" t="s">
        <v>7629</v>
      </c>
      <c r="F312" s="2" t="s">
        <v>6187</v>
      </c>
      <c r="G312" s="2">
        <v>85.0</v>
      </c>
      <c r="H312" s="2">
        <v>7.0</v>
      </c>
    </row>
    <row r="313">
      <c r="F313" s="2" t="s">
        <v>1619</v>
      </c>
      <c r="G313" s="2">
        <v>85.0</v>
      </c>
      <c r="H313" s="2">
        <v>2.0</v>
      </c>
    </row>
    <row r="314">
      <c r="A314" s="2" t="s">
        <v>7630</v>
      </c>
      <c r="F314" s="2" t="s">
        <v>1470</v>
      </c>
      <c r="G314" s="2">
        <v>85.0</v>
      </c>
      <c r="H314" s="2">
        <v>1.0</v>
      </c>
    </row>
    <row r="315">
      <c r="F315" s="2" t="s">
        <v>947</v>
      </c>
      <c r="G315" s="2">
        <v>85.0</v>
      </c>
      <c r="H315" s="2">
        <v>0.5</v>
      </c>
    </row>
    <row r="316">
      <c r="A316" s="2" t="s">
        <v>7631</v>
      </c>
      <c r="F316" s="2" t="s">
        <v>180</v>
      </c>
      <c r="G316" s="2">
        <v>90.0</v>
      </c>
    </row>
    <row r="317">
      <c r="A317" s="2" t="s">
        <v>7632</v>
      </c>
      <c r="F317" s="2" t="s">
        <v>1437</v>
      </c>
      <c r="G317" s="2">
        <v>85.0</v>
      </c>
    </row>
    <row r="318">
      <c r="F318" s="2" t="s">
        <v>229</v>
      </c>
      <c r="G318" s="2">
        <v>85.0</v>
      </c>
    </row>
    <row r="319">
      <c r="A319" s="2" t="s">
        <v>7633</v>
      </c>
      <c r="F319" s="2" t="s">
        <v>182</v>
      </c>
      <c r="G319" s="2">
        <v>90.0</v>
      </c>
    </row>
    <row r="321">
      <c r="A321" s="2" t="s">
        <v>7634</v>
      </c>
    </row>
    <row r="323">
      <c r="A323" s="2" t="s">
        <v>7635</v>
      </c>
    </row>
    <row r="324">
      <c r="A324" s="2" t="s">
        <v>7636</v>
      </c>
    </row>
    <row r="326">
      <c r="A326" s="2" t="s">
        <v>7637</v>
      </c>
    </row>
    <row r="328">
      <c r="A328" s="2" t="s">
        <v>7638</v>
      </c>
    </row>
    <row r="330">
      <c r="A330" s="2" t="s">
        <v>7639</v>
      </c>
    </row>
    <row r="331">
      <c r="A331" s="2" t="s">
        <v>7640</v>
      </c>
    </row>
    <row r="333">
      <c r="A333" s="2" t="s">
        <v>7641</v>
      </c>
    </row>
    <row r="335">
      <c r="A335" s="2" t="s">
        <v>7642</v>
      </c>
    </row>
    <row r="337">
      <c r="A337" s="2" t="s">
        <v>7643</v>
      </c>
    </row>
    <row r="338">
      <c r="A338" s="2" t="s">
        <v>7644</v>
      </c>
    </row>
    <row r="340">
      <c r="A340" s="2" t="s">
        <v>7645</v>
      </c>
    </row>
    <row r="342">
      <c r="A342" s="2" t="s">
        <v>7646</v>
      </c>
    </row>
    <row r="343">
      <c r="A343" s="2" t="s">
        <v>7647</v>
      </c>
    </row>
    <row r="345">
      <c r="A345" s="2" t="s">
        <v>7648</v>
      </c>
    </row>
    <row r="347">
      <c r="A347" s="2" t="s">
        <v>7649</v>
      </c>
    </row>
    <row r="349">
      <c r="A349" s="2" t="s">
        <v>7650</v>
      </c>
    </row>
    <row r="350">
      <c r="A350" s="2" t="s">
        <v>7651</v>
      </c>
    </row>
    <row r="352">
      <c r="A352" s="2" t="s">
        <v>7462</v>
      </c>
    </row>
    <row r="353">
      <c r="A353" s="2" t="s">
        <v>7652</v>
      </c>
    </row>
    <row r="355">
      <c r="A355" s="2" t="s">
        <v>7653</v>
      </c>
    </row>
    <row r="357">
      <c r="A357" s="2" t="s">
        <v>7654</v>
      </c>
    </row>
    <row r="359">
      <c r="A359" s="2" t="s">
        <v>7655</v>
      </c>
    </row>
    <row r="360">
      <c r="A360" s="2" t="s">
        <v>7656</v>
      </c>
    </row>
    <row r="362">
      <c r="A362" s="2" t="s">
        <v>7657</v>
      </c>
    </row>
    <row r="364">
      <c r="A364" s="2" t="s">
        <v>7658</v>
      </c>
    </row>
    <row r="366">
      <c r="A366" s="2" t="s">
        <v>7659</v>
      </c>
    </row>
    <row r="367">
      <c r="A367" s="2" t="s">
        <v>7660</v>
      </c>
    </row>
    <row r="369">
      <c r="A369" s="2" t="s">
        <v>7661</v>
      </c>
    </row>
    <row r="371">
      <c r="A371" s="2" t="s">
        <v>7662</v>
      </c>
    </row>
    <row r="373">
      <c r="A373" s="2" t="s">
        <v>7663</v>
      </c>
    </row>
    <row r="374">
      <c r="A374" s="2" t="s">
        <v>7664</v>
      </c>
    </row>
    <row r="376">
      <c r="A376" s="2" t="s">
        <v>7665</v>
      </c>
    </row>
    <row r="377">
      <c r="A377" s="2" t="s">
        <v>7666</v>
      </c>
    </row>
    <row r="378">
      <c r="A378" s="2" t="s">
        <v>7667</v>
      </c>
    </row>
    <row r="379">
      <c r="A379" s="2" t="s">
        <v>7668</v>
      </c>
    </row>
    <row r="380">
      <c r="A380" s="2" t="s">
        <v>7669</v>
      </c>
    </row>
    <row r="381">
      <c r="A381" s="2" t="s">
        <v>7670</v>
      </c>
    </row>
    <row r="382">
      <c r="A382" s="2" t="s">
        <v>7671</v>
      </c>
    </row>
    <row r="383">
      <c r="A383" s="2" t="s">
        <v>7672</v>
      </c>
    </row>
    <row r="384">
      <c r="A384" s="2" t="s">
        <v>7673</v>
      </c>
    </row>
    <row r="385">
      <c r="A385" s="2" t="s">
        <v>7674</v>
      </c>
    </row>
    <row r="386">
      <c r="A386" s="2" t="s">
        <v>7675</v>
      </c>
    </row>
    <row r="388">
      <c r="A388" s="2" t="s">
        <v>7676</v>
      </c>
    </row>
    <row r="390">
      <c r="A390" s="2" t="s">
        <v>7677</v>
      </c>
    </row>
    <row r="392">
      <c r="A392" s="2" t="s">
        <v>7678</v>
      </c>
    </row>
    <row r="393">
      <c r="A393" s="2" t="s">
        <v>7679</v>
      </c>
    </row>
    <row r="395">
      <c r="A395" s="2" t="s">
        <v>7680</v>
      </c>
    </row>
    <row r="397">
      <c r="A397" s="2" t="s">
        <v>7681</v>
      </c>
    </row>
    <row r="398">
      <c r="A398" s="2" t="s">
        <v>7682</v>
      </c>
    </row>
    <row r="400">
      <c r="A400" s="2" t="s">
        <v>7683</v>
      </c>
    </row>
    <row r="402">
      <c r="A402" s="2" t="s">
        <v>7684</v>
      </c>
    </row>
    <row r="404">
      <c r="A404" s="2" t="s">
        <v>7685</v>
      </c>
    </row>
    <row r="405">
      <c r="A405" s="2" t="s">
        <v>7686</v>
      </c>
    </row>
    <row r="407">
      <c r="A407" s="2" t="s">
        <v>7687</v>
      </c>
    </row>
    <row r="409">
      <c r="A409" s="2" t="s">
        <v>7688</v>
      </c>
    </row>
    <row r="410">
      <c r="A410" s="2" t="s">
        <v>7689</v>
      </c>
    </row>
    <row r="412">
      <c r="A412" s="2" t="s">
        <v>7690</v>
      </c>
    </row>
    <row r="414">
      <c r="A414" s="2" t="s">
        <v>7691</v>
      </c>
    </row>
    <row r="415">
      <c r="A415" s="2" t="s">
        <v>7692</v>
      </c>
    </row>
    <row r="417">
      <c r="A417" s="2" t="s">
        <v>7693</v>
      </c>
    </row>
    <row r="419">
      <c r="A419" s="2" t="s">
        <v>7694</v>
      </c>
    </row>
    <row r="420">
      <c r="A420" s="2" t="s">
        <v>7695</v>
      </c>
    </row>
    <row r="422">
      <c r="A422" s="2" t="s">
        <v>7696</v>
      </c>
    </row>
    <row r="424">
      <c r="A424" s="2" t="s">
        <v>7697</v>
      </c>
    </row>
    <row r="425">
      <c r="A425" s="2" t="s">
        <v>7698</v>
      </c>
    </row>
    <row r="427">
      <c r="A427" s="2" t="s">
        <v>7699</v>
      </c>
    </row>
    <row r="429">
      <c r="A429" s="2" t="s">
        <v>7700</v>
      </c>
    </row>
    <row r="431">
      <c r="A431" s="2" t="s">
        <v>7701</v>
      </c>
    </row>
    <row r="432">
      <c r="A432" s="2" t="s">
        <v>7702</v>
      </c>
    </row>
    <row r="434">
      <c r="A434" s="2" t="s">
        <v>7703</v>
      </c>
    </row>
    <row r="436">
      <c r="A436" s="2" t="s">
        <v>7704</v>
      </c>
    </row>
    <row r="438">
      <c r="A438" s="2" t="s">
        <v>7705</v>
      </c>
    </row>
    <row r="439">
      <c r="A439" s="2" t="s">
        <v>7706</v>
      </c>
    </row>
    <row r="441">
      <c r="A441" s="2" t="s">
        <v>7707</v>
      </c>
    </row>
    <row r="443">
      <c r="A443" s="2" t="s">
        <v>7708</v>
      </c>
    </row>
    <row r="444">
      <c r="A444" s="2" t="s">
        <v>7709</v>
      </c>
    </row>
    <row r="446">
      <c r="A446" s="2" t="s">
        <v>7710</v>
      </c>
    </row>
    <row r="448">
      <c r="A448" s="2" t="s">
        <v>7711</v>
      </c>
    </row>
    <row r="449">
      <c r="A449" s="2" t="s">
        <v>7712</v>
      </c>
    </row>
    <row r="451">
      <c r="A451" s="2" t="s">
        <v>7713</v>
      </c>
    </row>
    <row r="453">
      <c r="A453" s="2" t="s">
        <v>7714</v>
      </c>
    </row>
    <row r="455">
      <c r="A455" s="2" t="s">
        <v>7715</v>
      </c>
    </row>
    <row r="456">
      <c r="A456" s="2" t="s">
        <v>7716</v>
      </c>
    </row>
    <row r="458">
      <c r="A458" s="2" t="s">
        <v>7717</v>
      </c>
    </row>
    <row r="460">
      <c r="A460" s="2" t="s">
        <v>7718</v>
      </c>
    </row>
    <row r="462">
      <c r="A462" s="2" t="s">
        <v>7719</v>
      </c>
    </row>
    <row r="463">
      <c r="A463" s="2" t="s">
        <v>7720</v>
      </c>
    </row>
    <row r="465">
      <c r="A465" s="2" t="s">
        <v>7721</v>
      </c>
    </row>
    <row r="467">
      <c r="A467" s="2" t="s">
        <v>7722</v>
      </c>
    </row>
    <row r="468">
      <c r="A468" s="2" t="s">
        <v>7723</v>
      </c>
    </row>
    <row r="470">
      <c r="A470" s="2" t="s">
        <v>7724</v>
      </c>
    </row>
    <row r="472">
      <c r="A472" s="2" t="s">
        <v>7725</v>
      </c>
    </row>
    <row r="474">
      <c r="A474" s="2" t="s">
        <v>7726</v>
      </c>
    </row>
    <row r="475">
      <c r="A475" s="2" t="s">
        <v>7727</v>
      </c>
    </row>
    <row r="477">
      <c r="A477" s="2" t="s">
        <v>7728</v>
      </c>
    </row>
    <row r="479">
      <c r="A479" s="2" t="s">
        <v>7729</v>
      </c>
    </row>
    <row r="481">
      <c r="A481" s="2" t="s">
        <v>7730</v>
      </c>
    </row>
    <row r="482">
      <c r="A482" s="2" t="s">
        <v>7731</v>
      </c>
    </row>
    <row r="484">
      <c r="A484" s="2" t="s">
        <v>7732</v>
      </c>
    </row>
    <row r="486">
      <c r="A486" s="2" t="s">
        <v>7733</v>
      </c>
    </row>
    <row r="488">
      <c r="A488" s="2" t="s">
        <v>7734</v>
      </c>
    </row>
    <row r="489">
      <c r="A489" s="2" t="s">
        <v>7735</v>
      </c>
    </row>
    <row r="491">
      <c r="A491" s="2" t="s">
        <v>7736</v>
      </c>
    </row>
    <row r="493">
      <c r="A493" s="2" t="s">
        <v>7737</v>
      </c>
    </row>
    <row r="494">
      <c r="A494" s="2" t="s">
        <v>7738</v>
      </c>
    </row>
    <row r="496">
      <c r="A496" s="2" t="s">
        <v>7739</v>
      </c>
    </row>
    <row r="497">
      <c r="A497" s="2" t="s">
        <v>7740</v>
      </c>
    </row>
    <row r="499">
      <c r="A499" s="2" t="s">
        <v>7741</v>
      </c>
    </row>
    <row r="501">
      <c r="A501" s="2" t="s">
        <v>7742</v>
      </c>
    </row>
    <row r="503">
      <c r="A503" s="2" t="s">
        <v>7743</v>
      </c>
    </row>
    <row r="504">
      <c r="A504" s="2" t="s">
        <v>7744</v>
      </c>
    </row>
    <row r="506">
      <c r="A506" s="2" t="s">
        <v>7745</v>
      </c>
    </row>
    <row r="508">
      <c r="A508" s="2" t="s">
        <v>7746</v>
      </c>
    </row>
    <row r="509">
      <c r="A509" s="2" t="s">
        <v>7747</v>
      </c>
    </row>
    <row r="511">
      <c r="A511" s="2" t="s">
        <v>7748</v>
      </c>
    </row>
    <row r="512">
      <c r="A512" s="2" t="s">
        <v>7749</v>
      </c>
    </row>
    <row r="514">
      <c r="A514" s="2" t="s">
        <v>7750</v>
      </c>
    </row>
    <row r="516">
      <c r="A516" s="2" t="s">
        <v>7751</v>
      </c>
    </row>
    <row r="518">
      <c r="A518" s="2" t="s">
        <v>7752</v>
      </c>
    </row>
    <row r="519">
      <c r="A519" s="2" t="s">
        <v>7753</v>
      </c>
    </row>
    <row r="521">
      <c r="A521" s="2" t="s">
        <v>7754</v>
      </c>
    </row>
    <row r="523">
      <c r="A523" s="2" t="s">
        <v>7755</v>
      </c>
    </row>
    <row r="524">
      <c r="A524" s="2" t="s">
        <v>7756</v>
      </c>
    </row>
    <row r="526">
      <c r="A526" s="2" t="s">
        <v>7757</v>
      </c>
    </row>
    <row r="528">
      <c r="A528" s="2" t="s">
        <v>7758</v>
      </c>
    </row>
    <row r="530">
      <c r="A530" s="2" t="s">
        <v>7759</v>
      </c>
    </row>
    <row r="531">
      <c r="A531" s="2" t="s">
        <v>7760</v>
      </c>
    </row>
    <row r="533">
      <c r="A533" s="2" t="s">
        <v>7761</v>
      </c>
    </row>
    <row r="535">
      <c r="A535" s="2" t="s">
        <v>7762</v>
      </c>
    </row>
    <row r="537">
      <c r="A537" s="2" t="s">
        <v>7763</v>
      </c>
    </row>
    <row r="538">
      <c r="A538" s="2" t="s">
        <v>7764</v>
      </c>
    </row>
    <row r="540">
      <c r="A540" s="2" t="s">
        <v>7462</v>
      </c>
    </row>
    <row r="541">
      <c r="A541" s="2" t="s">
        <v>7765</v>
      </c>
    </row>
    <row r="543">
      <c r="A543" s="2" t="s">
        <v>7766</v>
      </c>
    </row>
    <row r="545">
      <c r="A545" s="2" t="s">
        <v>7767</v>
      </c>
    </row>
    <row r="546">
      <c r="A546" s="2" t="s">
        <v>7768</v>
      </c>
    </row>
    <row r="548">
      <c r="A548" s="2" t="s">
        <v>7691</v>
      </c>
    </row>
    <row r="549">
      <c r="A549" s="2" t="s">
        <v>7769</v>
      </c>
    </row>
    <row r="551">
      <c r="A551" s="2" t="s">
        <v>7770</v>
      </c>
    </row>
    <row r="552">
      <c r="A552" s="2" t="s">
        <v>7771</v>
      </c>
    </row>
    <row r="553">
      <c r="A553" s="2" t="s">
        <v>7772</v>
      </c>
    </row>
    <row r="555">
      <c r="A555" s="2" t="s">
        <v>7462</v>
      </c>
    </row>
    <row r="556">
      <c r="A556" s="2" t="s">
        <v>7773</v>
      </c>
    </row>
    <row r="558">
      <c r="A558" s="2" t="s">
        <v>7774</v>
      </c>
    </row>
    <row r="560">
      <c r="A560" s="2" t="s">
        <v>7775</v>
      </c>
    </row>
    <row r="561">
      <c r="A561" s="2" t="s">
        <v>7776</v>
      </c>
    </row>
    <row r="563">
      <c r="A563" s="2" t="s">
        <v>7777</v>
      </c>
    </row>
    <row r="565">
      <c r="A565" s="2" t="s">
        <v>7778</v>
      </c>
    </row>
    <row r="567">
      <c r="A567" s="2" t="s">
        <v>7779</v>
      </c>
    </row>
    <row r="568">
      <c r="A568" s="2" t="s">
        <v>7780</v>
      </c>
    </row>
    <row r="570">
      <c r="A570" s="2" t="s">
        <v>7781</v>
      </c>
    </row>
    <row r="572">
      <c r="A572" s="2" t="s">
        <v>7782</v>
      </c>
    </row>
    <row r="574">
      <c r="A574" s="2" t="s">
        <v>7783</v>
      </c>
    </row>
    <row r="575">
      <c r="A575" s="2" t="s">
        <v>7784</v>
      </c>
    </row>
    <row r="577">
      <c r="A577" s="2" t="s">
        <v>7785</v>
      </c>
    </row>
    <row r="579">
      <c r="A579" s="2" t="s">
        <v>7786</v>
      </c>
    </row>
    <row r="581">
      <c r="A581" s="2" t="s">
        <v>7787</v>
      </c>
    </row>
    <row r="582">
      <c r="A582" s="2" t="s">
        <v>7788</v>
      </c>
    </row>
    <row r="584">
      <c r="A584" s="2" t="s">
        <v>7789</v>
      </c>
    </row>
    <row r="586">
      <c r="A586" s="2" t="s">
        <v>7790</v>
      </c>
    </row>
    <row r="588">
      <c r="A588" s="2" t="s">
        <v>7791</v>
      </c>
    </row>
    <row r="589">
      <c r="A589" s="2" t="s">
        <v>7792</v>
      </c>
    </row>
    <row r="590">
      <c r="A590" s="2" t="s">
        <v>7462</v>
      </c>
    </row>
    <row r="591">
      <c r="A591" s="2" t="s">
        <v>7793</v>
      </c>
    </row>
    <row r="593">
      <c r="A593" s="2" t="s">
        <v>7794</v>
      </c>
    </row>
    <row r="595">
      <c r="A595" s="2" t="s">
        <v>7795</v>
      </c>
    </row>
    <row r="597">
      <c r="A597" s="2" t="s">
        <v>7796</v>
      </c>
    </row>
    <row r="599">
      <c r="A599" s="2" t="s">
        <v>7797</v>
      </c>
    </row>
    <row r="600">
      <c r="A600" s="2" t="s">
        <v>7798</v>
      </c>
    </row>
    <row r="602">
      <c r="A602" s="2" t="s">
        <v>7799</v>
      </c>
    </row>
    <row r="604">
      <c r="A604" s="2" t="s">
        <v>7800</v>
      </c>
    </row>
    <row r="606">
      <c r="A606" s="2" t="s">
        <v>7801</v>
      </c>
    </row>
    <row r="607">
      <c r="A607" s="2" t="s">
        <v>7802</v>
      </c>
    </row>
    <row r="609">
      <c r="A609" s="2" t="s">
        <v>7803</v>
      </c>
    </row>
    <row r="611">
      <c r="A611" s="2" t="s">
        <v>7804</v>
      </c>
    </row>
    <row r="613">
      <c r="A613" s="2" t="s">
        <v>7805</v>
      </c>
    </row>
    <row r="614">
      <c r="A614" s="2" t="s">
        <v>7806</v>
      </c>
    </row>
    <row r="616">
      <c r="A616" s="2" t="s">
        <v>7807</v>
      </c>
    </row>
    <row r="618">
      <c r="A618" s="2" t="s">
        <v>7808</v>
      </c>
    </row>
    <row r="619">
      <c r="A619" s="2" t="s">
        <v>7809</v>
      </c>
    </row>
    <row r="621">
      <c r="A621" s="2" t="s">
        <v>7462</v>
      </c>
    </row>
    <row r="622">
      <c r="A622" s="2" t="s">
        <v>7810</v>
      </c>
    </row>
    <row r="624">
      <c r="A624" s="2" t="s">
        <v>7811</v>
      </c>
    </row>
    <row r="626">
      <c r="A626" s="2" t="s">
        <v>7812</v>
      </c>
    </row>
    <row r="627">
      <c r="A627" s="2" t="s">
        <v>7813</v>
      </c>
    </row>
    <row r="629">
      <c r="A629" s="2" t="s">
        <v>7814</v>
      </c>
    </row>
    <row r="631">
      <c r="A631" s="2" t="s">
        <v>7815</v>
      </c>
    </row>
    <row r="632">
      <c r="A632" s="2" t="s">
        <v>7816</v>
      </c>
    </row>
    <row r="634">
      <c r="A634" s="2" t="s">
        <v>7817</v>
      </c>
    </row>
    <row r="636">
      <c r="A636" s="2" t="s">
        <v>7818</v>
      </c>
    </row>
    <row r="637">
      <c r="A637" s="2" t="s">
        <v>7819</v>
      </c>
    </row>
    <row r="638">
      <c r="A638" s="2" t="s">
        <v>7462</v>
      </c>
    </row>
    <row r="639">
      <c r="A639" s="2" t="s">
        <v>7820</v>
      </c>
    </row>
    <row r="641">
      <c r="A641" s="2" t="s">
        <v>7821</v>
      </c>
    </row>
    <row r="643">
      <c r="A643" s="2" t="s">
        <v>7822</v>
      </c>
    </row>
    <row r="645">
      <c r="A645" s="2" t="s">
        <v>7823</v>
      </c>
    </row>
    <row r="646">
      <c r="A646" s="2" t="s">
        <v>7824</v>
      </c>
    </row>
    <row r="648">
      <c r="A648" s="2" t="s">
        <v>7825</v>
      </c>
    </row>
    <row r="650">
      <c r="A650" s="2" t="s">
        <v>7826</v>
      </c>
    </row>
    <row r="651">
      <c r="A651" s="2" t="s">
        <v>7827</v>
      </c>
    </row>
    <row r="653">
      <c r="A653" s="2" t="s">
        <v>7828</v>
      </c>
    </row>
    <row r="655">
      <c r="A655" s="2" t="s">
        <v>7829</v>
      </c>
    </row>
    <row r="657">
      <c r="A657" s="2" t="s">
        <v>7830</v>
      </c>
    </row>
    <row r="658">
      <c r="A658" s="2" t="s">
        <v>7831</v>
      </c>
    </row>
    <row r="660">
      <c r="A660" s="2" t="s">
        <v>7832</v>
      </c>
    </row>
    <row r="662">
      <c r="A662" s="2" t="s">
        <v>7833</v>
      </c>
    </row>
    <row r="664">
      <c r="A664" s="2" t="s">
        <v>7834</v>
      </c>
    </row>
    <row r="665">
      <c r="A665" s="2" t="s">
        <v>7835</v>
      </c>
    </row>
    <row r="667">
      <c r="A667" s="2" t="s">
        <v>7836</v>
      </c>
    </row>
    <row r="669">
      <c r="A669" s="2" t="s">
        <v>7837</v>
      </c>
    </row>
    <row r="671">
      <c r="A671" s="2" t="s">
        <v>7838</v>
      </c>
    </row>
    <row r="672">
      <c r="A672" s="2" t="s">
        <v>7839</v>
      </c>
    </row>
    <row r="674">
      <c r="A674" s="2" t="s">
        <v>7840</v>
      </c>
    </row>
    <row r="676">
      <c r="A676" s="2" t="s">
        <v>7841</v>
      </c>
    </row>
    <row r="678">
      <c r="A678" s="2" t="s">
        <v>7842</v>
      </c>
    </row>
    <row r="679">
      <c r="A679" s="2" t="s">
        <v>7843</v>
      </c>
    </row>
    <row r="681">
      <c r="A681" s="2" t="s">
        <v>7844</v>
      </c>
    </row>
    <row r="683">
      <c r="A683" s="2" t="s">
        <v>7845</v>
      </c>
    </row>
    <row r="685">
      <c r="A685" s="2" t="s">
        <v>7846</v>
      </c>
    </row>
    <row r="686">
      <c r="A686" s="2" t="s">
        <v>7847</v>
      </c>
    </row>
    <row r="688">
      <c r="A688" s="2" t="s">
        <v>7848</v>
      </c>
    </row>
    <row r="690">
      <c r="A690" s="2" t="s">
        <v>7849</v>
      </c>
    </row>
    <row r="692">
      <c r="A692" s="2" t="s">
        <v>7850</v>
      </c>
    </row>
    <row r="693">
      <c r="A693" s="2" t="s">
        <v>7851</v>
      </c>
    </row>
    <row r="695">
      <c r="A695" s="2" t="s">
        <v>7852</v>
      </c>
    </row>
    <row r="697">
      <c r="A697" s="2" t="s">
        <v>7853</v>
      </c>
    </row>
    <row r="698">
      <c r="A698" s="2" t="s">
        <v>7854</v>
      </c>
    </row>
    <row r="700">
      <c r="A700" s="2" t="s">
        <v>7855</v>
      </c>
    </row>
    <row r="702">
      <c r="A702" s="2" t="s">
        <v>7856</v>
      </c>
    </row>
    <row r="704">
      <c r="A704" s="2" t="s">
        <v>7857</v>
      </c>
    </row>
    <row r="705">
      <c r="A705" s="2" t="s">
        <v>7858</v>
      </c>
    </row>
    <row r="707">
      <c r="A707" s="2" t="s">
        <v>7859</v>
      </c>
    </row>
    <row r="709">
      <c r="A709" s="2" t="s">
        <v>7860</v>
      </c>
    </row>
    <row r="711">
      <c r="A711" s="2" t="s">
        <v>7861</v>
      </c>
    </row>
    <row r="712">
      <c r="A712" s="2" t="s">
        <v>7862</v>
      </c>
    </row>
    <row r="714">
      <c r="A714" s="2" t="s">
        <v>7863</v>
      </c>
    </row>
    <row r="716">
      <c r="A716" s="2" t="s">
        <v>7864</v>
      </c>
    </row>
    <row r="717">
      <c r="A717" s="2" t="s">
        <v>7865</v>
      </c>
    </row>
    <row r="719">
      <c r="A719" s="2" t="s">
        <v>7866</v>
      </c>
    </row>
    <row r="721">
      <c r="A721" s="2" t="s">
        <v>7867</v>
      </c>
    </row>
    <row r="723">
      <c r="A723" s="2" t="s">
        <v>7868</v>
      </c>
    </row>
    <row r="724">
      <c r="A724" s="2" t="s">
        <v>7869</v>
      </c>
    </row>
    <row r="726">
      <c r="A726" s="2" t="s">
        <v>7870</v>
      </c>
    </row>
    <row r="728">
      <c r="A728" s="2" t="s">
        <v>7691</v>
      </c>
    </row>
    <row r="729">
      <c r="A729" s="2" t="s">
        <v>7871</v>
      </c>
    </row>
    <row r="731">
      <c r="A731" s="2" t="s">
        <v>7872</v>
      </c>
    </row>
    <row r="732">
      <c r="A732" s="2" t="s">
        <v>7873</v>
      </c>
    </row>
    <row r="734">
      <c r="A734" s="2" t="s">
        <v>7874</v>
      </c>
    </row>
    <row r="736">
      <c r="A736" s="2" t="s">
        <v>7875</v>
      </c>
    </row>
    <row r="738">
      <c r="A738" s="2" t="s">
        <v>7876</v>
      </c>
    </row>
    <row r="739">
      <c r="A739" s="2" t="s">
        <v>7877</v>
      </c>
    </row>
    <row r="741">
      <c r="A741" s="2" t="s">
        <v>7878</v>
      </c>
    </row>
    <row r="743">
      <c r="A743" s="2" t="s">
        <v>7879</v>
      </c>
    </row>
    <row r="745">
      <c r="A745" s="2" t="s">
        <v>7880</v>
      </c>
    </row>
    <row r="746">
      <c r="A746" s="2" t="s">
        <v>7881</v>
      </c>
    </row>
    <row r="748">
      <c r="A748" s="2" t="s">
        <v>7882</v>
      </c>
    </row>
    <row r="750">
      <c r="A750" s="2" t="s">
        <v>7883</v>
      </c>
    </row>
    <row r="752">
      <c r="A752" s="2" t="s">
        <v>7884</v>
      </c>
    </row>
    <row r="753">
      <c r="A753" s="2" t="s">
        <v>7885</v>
      </c>
    </row>
    <row r="755">
      <c r="A755" s="2" t="s">
        <v>7886</v>
      </c>
    </row>
    <row r="757">
      <c r="A757" s="2" t="s">
        <v>7887</v>
      </c>
    </row>
    <row r="759">
      <c r="A759" s="2" t="s">
        <v>7888</v>
      </c>
    </row>
    <row r="760">
      <c r="A760" s="2" t="s">
        <v>7889</v>
      </c>
    </row>
    <row r="762">
      <c r="A762" s="2" t="s">
        <v>7890</v>
      </c>
    </row>
    <row r="764">
      <c r="A764" s="2" t="s">
        <v>7891</v>
      </c>
    </row>
    <row r="765">
      <c r="A765" s="2" t="s">
        <v>7892</v>
      </c>
    </row>
    <row r="767">
      <c r="A767" s="2" t="s">
        <v>7893</v>
      </c>
    </row>
    <row r="769">
      <c r="A769" s="2" t="s">
        <v>7894</v>
      </c>
    </row>
    <row r="770">
      <c r="A770" s="2" t="s">
        <v>7895</v>
      </c>
    </row>
    <row r="772">
      <c r="A772" s="2" t="s">
        <v>7896</v>
      </c>
    </row>
    <row r="774">
      <c r="A774" s="2" t="s">
        <v>7897</v>
      </c>
    </row>
    <row r="776">
      <c r="A776" s="2" t="s">
        <v>7898</v>
      </c>
    </row>
    <row r="777">
      <c r="A777" s="2" t="s">
        <v>7899</v>
      </c>
    </row>
    <row r="779">
      <c r="A779" s="2" t="s">
        <v>7900</v>
      </c>
    </row>
    <row r="781">
      <c r="A781" s="2" t="s">
        <v>7901</v>
      </c>
    </row>
    <row r="783">
      <c r="A783" s="2" t="s">
        <v>7902</v>
      </c>
    </row>
    <row r="785">
      <c r="A785" s="2" t="s">
        <v>7903</v>
      </c>
    </row>
    <row r="786">
      <c r="A786" s="2" t="s">
        <v>7904</v>
      </c>
    </row>
    <row r="788">
      <c r="A788" s="2" t="s">
        <v>7905</v>
      </c>
    </row>
    <row r="790">
      <c r="A790" s="2" t="s">
        <v>7906</v>
      </c>
    </row>
    <row r="791">
      <c r="A791" s="2" t="s">
        <v>7907</v>
      </c>
    </row>
    <row r="793">
      <c r="A793" s="2" t="s">
        <v>7908</v>
      </c>
    </row>
    <row r="795">
      <c r="A795" s="2" t="s">
        <v>7909</v>
      </c>
    </row>
    <row r="797">
      <c r="A797" s="2" t="s">
        <v>7910</v>
      </c>
    </row>
    <row r="798">
      <c r="A798" s="2" t="s">
        <v>7911</v>
      </c>
    </row>
    <row r="800">
      <c r="A800" s="2" t="s">
        <v>7912</v>
      </c>
    </row>
    <row r="802">
      <c r="A802" s="2" t="s">
        <v>7913</v>
      </c>
    </row>
    <row r="803">
      <c r="A803" s="2" t="s">
        <v>7914</v>
      </c>
    </row>
    <row r="805">
      <c r="A805" s="2" t="s">
        <v>7915</v>
      </c>
    </row>
    <row r="807">
      <c r="A807" s="2" t="s">
        <v>7916</v>
      </c>
    </row>
    <row r="809">
      <c r="A809" s="2" t="s">
        <v>7917</v>
      </c>
    </row>
    <row r="810">
      <c r="A810" s="2" t="s">
        <v>7918</v>
      </c>
    </row>
    <row r="812">
      <c r="A812" s="2" t="s">
        <v>7919</v>
      </c>
    </row>
    <row r="814">
      <c r="A814" s="2" t="s">
        <v>7920</v>
      </c>
    </row>
    <row r="816">
      <c r="A816" s="2" t="s">
        <v>7921</v>
      </c>
    </row>
    <row r="817">
      <c r="A817" s="2" t="s">
        <v>7922</v>
      </c>
    </row>
    <row r="819">
      <c r="A819" s="2" t="s">
        <v>7923</v>
      </c>
    </row>
    <row r="821">
      <c r="A821" s="2" t="s">
        <v>7924</v>
      </c>
    </row>
    <row r="822">
      <c r="A822" s="2" t="s">
        <v>7925</v>
      </c>
    </row>
    <row r="824">
      <c r="A824" s="2" t="s">
        <v>7926</v>
      </c>
    </row>
    <row r="826">
      <c r="A826" s="2" t="s">
        <v>7927</v>
      </c>
    </row>
    <row r="827">
      <c r="A827" s="2" t="s">
        <v>7928</v>
      </c>
    </row>
    <row r="829">
      <c r="A829" s="2" t="s">
        <v>7929</v>
      </c>
    </row>
    <row r="831">
      <c r="A831" s="2" t="s">
        <v>7930</v>
      </c>
    </row>
    <row r="833">
      <c r="A833" s="2" t="s">
        <v>7931</v>
      </c>
    </row>
    <row r="834">
      <c r="A834" s="2" t="s">
        <v>7932</v>
      </c>
    </row>
    <row r="836">
      <c r="A836" s="2" t="s">
        <v>7933</v>
      </c>
    </row>
    <row r="838">
      <c r="A838" s="2" t="s">
        <v>7934</v>
      </c>
    </row>
    <row r="840">
      <c r="A840" s="2" t="s">
        <v>7935</v>
      </c>
    </row>
    <row r="841">
      <c r="A841" s="2" t="s">
        <v>7936</v>
      </c>
    </row>
    <row r="843">
      <c r="A843" s="2" t="s">
        <v>7937</v>
      </c>
    </row>
    <row r="845">
      <c r="A845" s="2" t="s">
        <v>7938</v>
      </c>
    </row>
    <row r="847">
      <c r="A847" s="2" t="s">
        <v>7939</v>
      </c>
    </row>
    <row r="848">
      <c r="A848" s="2" t="s">
        <v>7940</v>
      </c>
    </row>
    <row r="850">
      <c r="A850" s="2" t="s">
        <v>7941</v>
      </c>
    </row>
    <row r="852">
      <c r="A852" s="2" t="s">
        <v>7942</v>
      </c>
    </row>
    <row r="853">
      <c r="A853" s="2" t="s">
        <v>7943</v>
      </c>
    </row>
    <row r="855">
      <c r="A855" s="2" t="s">
        <v>7944</v>
      </c>
    </row>
    <row r="857">
      <c r="A857" s="2" t="s">
        <v>7945</v>
      </c>
    </row>
    <row r="858">
      <c r="A858" s="2" t="s">
        <v>7946</v>
      </c>
    </row>
    <row r="860">
      <c r="A860" s="2" t="s">
        <v>7947</v>
      </c>
    </row>
    <row r="862">
      <c r="A862" s="2" t="s">
        <v>7948</v>
      </c>
    </row>
    <row r="864">
      <c r="A864" s="2" t="s">
        <v>7949</v>
      </c>
    </row>
    <row r="865">
      <c r="A865" s="2" t="s">
        <v>7950</v>
      </c>
    </row>
    <row r="867">
      <c r="A867" s="2" t="s">
        <v>7951</v>
      </c>
    </row>
    <row r="869">
      <c r="A869" s="2" t="s">
        <v>7952</v>
      </c>
    </row>
    <row r="870">
      <c r="A870" s="2" t="s">
        <v>7953</v>
      </c>
    </row>
    <row r="872">
      <c r="A872" s="2" t="s">
        <v>7462</v>
      </c>
    </row>
    <row r="873">
      <c r="A873" s="2" t="s">
        <v>7954</v>
      </c>
    </row>
    <row r="875">
      <c r="A875" s="2" t="s">
        <v>7955</v>
      </c>
    </row>
    <row r="877">
      <c r="A877" s="2" t="s">
        <v>7956</v>
      </c>
    </row>
    <row r="879">
      <c r="A879" s="2" t="s">
        <v>7957</v>
      </c>
    </row>
    <row r="880">
      <c r="A880" s="2" t="s">
        <v>7958</v>
      </c>
    </row>
    <row r="882">
      <c r="A882" s="2" t="s">
        <v>7959</v>
      </c>
    </row>
    <row r="884">
      <c r="A884" s="2" t="s">
        <v>7960</v>
      </c>
    </row>
    <row r="885">
      <c r="A885" s="2" t="s">
        <v>7961</v>
      </c>
    </row>
    <row r="887">
      <c r="A887" s="2" t="s">
        <v>7962</v>
      </c>
    </row>
    <row r="889">
      <c r="A889" s="2" t="s">
        <v>7963</v>
      </c>
    </row>
    <row r="891">
      <c r="A891" s="2" t="s">
        <v>7964</v>
      </c>
    </row>
    <row r="892">
      <c r="A892" s="2" t="s">
        <v>7965</v>
      </c>
    </row>
    <row r="894">
      <c r="A894" s="2" t="s">
        <v>7966</v>
      </c>
    </row>
    <row r="896">
      <c r="A896" s="2" t="s">
        <v>7967</v>
      </c>
    </row>
    <row r="898">
      <c r="A898" s="2" t="s">
        <v>7968</v>
      </c>
    </row>
    <row r="899">
      <c r="A899" s="2" t="s">
        <v>7969</v>
      </c>
    </row>
    <row r="901">
      <c r="A901" s="2" t="s">
        <v>7970</v>
      </c>
    </row>
    <row r="903">
      <c r="A903" s="2" t="s">
        <v>7971</v>
      </c>
    </row>
    <row r="904">
      <c r="A904" s="2" t="s">
        <v>7972</v>
      </c>
    </row>
    <row r="906">
      <c r="A906" s="2" t="s">
        <v>7973</v>
      </c>
    </row>
    <row r="908">
      <c r="A908" s="2" t="s">
        <v>7974</v>
      </c>
    </row>
    <row r="910">
      <c r="A910" s="2" t="s">
        <v>7975</v>
      </c>
    </row>
    <row r="912">
      <c r="A912" s="2" t="s">
        <v>7976</v>
      </c>
    </row>
    <row r="913">
      <c r="A913" s="2" t="s">
        <v>7977</v>
      </c>
    </row>
    <row r="915">
      <c r="A915" s="2" t="s">
        <v>7978</v>
      </c>
    </row>
    <row r="917">
      <c r="A917" s="2" t="s">
        <v>7979</v>
      </c>
    </row>
    <row r="919">
      <c r="A919" s="2" t="s">
        <v>7980</v>
      </c>
    </row>
    <row r="921">
      <c r="A921" s="2" t="s">
        <v>7981</v>
      </c>
    </row>
    <row r="922">
      <c r="A922" s="2" t="s">
        <v>7982</v>
      </c>
    </row>
    <row r="924">
      <c r="A924" s="2" t="s">
        <v>7983</v>
      </c>
    </row>
    <row r="926">
      <c r="A926" s="2" t="s">
        <v>7984</v>
      </c>
    </row>
    <row r="927">
      <c r="A927" s="2" t="s">
        <v>7985</v>
      </c>
    </row>
    <row r="929">
      <c r="A929" s="2" t="s">
        <v>7986</v>
      </c>
    </row>
    <row r="931">
      <c r="A931" s="2" t="s">
        <v>7987</v>
      </c>
    </row>
    <row r="932">
      <c r="A932" s="2" t="s">
        <v>7988</v>
      </c>
    </row>
    <row r="934">
      <c r="A934" s="2" t="s">
        <v>7989</v>
      </c>
    </row>
    <row r="936">
      <c r="A936" s="2" t="s">
        <v>7990</v>
      </c>
    </row>
    <row r="937">
      <c r="A937" s="2" t="s">
        <v>7991</v>
      </c>
    </row>
    <row r="939">
      <c r="A939" s="2" t="s">
        <v>7992</v>
      </c>
    </row>
    <row r="941">
      <c r="A941" s="2" t="s">
        <v>7993</v>
      </c>
    </row>
    <row r="943">
      <c r="A943" s="2" t="s">
        <v>7994</v>
      </c>
    </row>
    <row r="944">
      <c r="A944" s="2" t="s">
        <v>7995</v>
      </c>
    </row>
    <row r="946">
      <c r="A946" s="2" t="s">
        <v>7996</v>
      </c>
    </row>
    <row r="948">
      <c r="A948" s="2" t="s">
        <v>7997</v>
      </c>
    </row>
    <row r="949">
      <c r="A949" s="2" t="s">
        <v>7998</v>
      </c>
    </row>
    <row r="951">
      <c r="A951" s="2" t="s">
        <v>7999</v>
      </c>
    </row>
    <row r="953">
      <c r="A953" s="2" t="s">
        <v>8000</v>
      </c>
    </row>
    <row r="955">
      <c r="A955" s="2" t="s">
        <v>8001</v>
      </c>
    </row>
    <row r="956">
      <c r="A956" s="2" t="s">
        <v>8002</v>
      </c>
    </row>
    <row r="958">
      <c r="A958" s="2" t="s">
        <v>8003</v>
      </c>
    </row>
    <row r="960">
      <c r="A960" s="2" t="s">
        <v>8004</v>
      </c>
    </row>
    <row r="962">
      <c r="A962" s="2" t="s">
        <v>8005</v>
      </c>
    </row>
    <row r="964">
      <c r="A964" s="2" t="s">
        <v>8006</v>
      </c>
    </row>
    <row r="965">
      <c r="A965" s="2" t="s">
        <v>8007</v>
      </c>
    </row>
    <row r="967">
      <c r="A967" s="2" t="s">
        <v>8008</v>
      </c>
    </row>
    <row r="969">
      <c r="A969" s="2" t="s">
        <v>8009</v>
      </c>
    </row>
    <row r="971">
      <c r="A971" s="2" t="s">
        <v>8010</v>
      </c>
    </row>
    <row r="972">
      <c r="A972" s="2" t="s">
        <v>8011</v>
      </c>
    </row>
    <row r="974">
      <c r="A974" s="2" t="s">
        <v>7462</v>
      </c>
    </row>
    <row r="975">
      <c r="A975" s="2" t="s">
        <v>8012</v>
      </c>
    </row>
    <row r="977">
      <c r="A977" s="2" t="s">
        <v>8013</v>
      </c>
    </row>
    <row r="979">
      <c r="A979" s="2" t="s">
        <v>8014</v>
      </c>
    </row>
    <row r="981">
      <c r="A981" s="2" t="s">
        <v>8015</v>
      </c>
    </row>
    <row r="982">
      <c r="A982" s="2" t="s">
        <v>8016</v>
      </c>
    </row>
    <row r="984">
      <c r="A984" s="2" t="s">
        <v>8017</v>
      </c>
    </row>
    <row r="986">
      <c r="A986" s="2" t="s">
        <v>8018</v>
      </c>
    </row>
    <row r="988">
      <c r="A988" s="2" t="s">
        <v>8019</v>
      </c>
    </row>
    <row r="989">
      <c r="A989" s="2" t="s">
        <v>8020</v>
      </c>
    </row>
    <row r="991">
      <c r="A991" s="2" t="s">
        <v>8021</v>
      </c>
    </row>
    <row r="993">
      <c r="A993" s="2" t="s">
        <v>8022</v>
      </c>
    </row>
    <row r="995">
      <c r="A995" s="2" t="s">
        <v>8023</v>
      </c>
    </row>
    <row r="996">
      <c r="A996" s="2" t="s">
        <v>8024</v>
      </c>
    </row>
    <row r="998">
      <c r="A998" s="2" t="s">
        <v>8025</v>
      </c>
    </row>
    <row r="1000">
      <c r="A1000" s="2" t="s">
        <v>8026</v>
      </c>
    </row>
    <row r="1001">
      <c r="A1001" s="2" t="s">
        <v>8027</v>
      </c>
    </row>
    <row r="1003">
      <c r="A1003" s="2" t="s">
        <v>8028</v>
      </c>
    </row>
    <row r="1005">
      <c r="A1005" s="2" t="s">
        <v>8029</v>
      </c>
    </row>
    <row r="1007">
      <c r="A1007" s="2" t="s">
        <v>8030</v>
      </c>
    </row>
    <row r="1009">
      <c r="A1009" s="2" t="s">
        <v>8031</v>
      </c>
    </row>
    <row r="1010">
      <c r="A1010" s="2" t="s">
        <v>8032</v>
      </c>
    </row>
    <row r="1012">
      <c r="A1012" s="2" t="s">
        <v>7462</v>
      </c>
    </row>
    <row r="1013">
      <c r="A1013" s="2" t="s">
        <v>8033</v>
      </c>
    </row>
    <row r="1015">
      <c r="A1015" s="2" t="s">
        <v>8034</v>
      </c>
    </row>
    <row r="1017">
      <c r="A1017" s="2" t="s">
        <v>8035</v>
      </c>
    </row>
    <row r="1019">
      <c r="A1019" s="2" t="s">
        <v>8036</v>
      </c>
    </row>
    <row r="1020">
      <c r="A1020" s="2" t="s">
        <v>8037</v>
      </c>
    </row>
    <row r="1022">
      <c r="A1022" s="2" t="s">
        <v>8038</v>
      </c>
    </row>
    <row r="1024">
      <c r="A1024" s="2" t="s">
        <v>8039</v>
      </c>
    </row>
    <row r="1026">
      <c r="A1026" s="2" t="s">
        <v>8040</v>
      </c>
    </row>
    <row r="1027">
      <c r="A1027" s="2" t="s">
        <v>8041</v>
      </c>
    </row>
    <row r="1029">
      <c r="A1029" s="2" t="s">
        <v>8042</v>
      </c>
    </row>
    <row r="1031">
      <c r="A1031" s="2" t="s">
        <v>8043</v>
      </c>
    </row>
    <row r="1033">
      <c r="A1033" s="2" t="s">
        <v>8044</v>
      </c>
    </row>
    <row r="1034">
      <c r="A1034" s="2" t="s">
        <v>8045</v>
      </c>
    </row>
    <row r="1036">
      <c r="A1036" s="2" t="s">
        <v>8046</v>
      </c>
    </row>
    <row r="1038">
      <c r="A1038" s="2" t="s">
        <v>8047</v>
      </c>
    </row>
    <row r="1039">
      <c r="A1039" s="2" t="s">
        <v>8048</v>
      </c>
    </row>
    <row r="1041">
      <c r="A1041" s="2" t="s">
        <v>8049</v>
      </c>
    </row>
    <row r="1043">
      <c r="A1043" s="2" t="s">
        <v>8050</v>
      </c>
    </row>
    <row r="1045">
      <c r="A1045" s="2" t="s">
        <v>8051</v>
      </c>
    </row>
    <row r="1046">
      <c r="A1046" s="2" t="s">
        <v>8052</v>
      </c>
    </row>
    <row r="1048">
      <c r="A1048" s="2" t="s">
        <v>8053</v>
      </c>
    </row>
    <row r="1049">
      <c r="A1049" s="2" t="s">
        <v>8054</v>
      </c>
    </row>
    <row r="1051">
      <c r="A1051" s="2" t="s">
        <v>8055</v>
      </c>
    </row>
    <row r="1053">
      <c r="A1053" s="2" t="s">
        <v>8056</v>
      </c>
    </row>
    <row r="1055">
      <c r="A1055" s="2" t="s">
        <v>8057</v>
      </c>
    </row>
    <row r="1056">
      <c r="A1056" s="2" t="s">
        <v>8058</v>
      </c>
    </row>
    <row r="1058">
      <c r="A1058" s="2" t="s">
        <v>8059</v>
      </c>
    </row>
    <row r="1060">
      <c r="A1060" s="2" t="s">
        <v>8060</v>
      </c>
    </row>
    <row r="1061">
      <c r="A1061" s="2" t="s">
        <v>8061</v>
      </c>
    </row>
    <row r="1063">
      <c r="A1063" s="2" t="s">
        <v>8062</v>
      </c>
    </row>
    <row r="1065">
      <c r="A1065" s="2" t="s">
        <v>8063</v>
      </c>
    </row>
    <row r="1067">
      <c r="A1067" s="2" t="s">
        <v>8064</v>
      </c>
    </row>
    <row r="1068">
      <c r="A1068" s="2" t="s">
        <v>8065</v>
      </c>
    </row>
    <row r="1070">
      <c r="A1070" s="2" t="s">
        <v>8066</v>
      </c>
    </row>
    <row r="1072">
      <c r="A1072" s="2" t="s">
        <v>8067</v>
      </c>
    </row>
    <row r="1074">
      <c r="A1074" s="2" t="s">
        <v>8068</v>
      </c>
    </row>
    <row r="1075">
      <c r="A1075" s="2" t="s">
        <v>8069</v>
      </c>
    </row>
    <row r="1077">
      <c r="A1077" s="2" t="s">
        <v>8070</v>
      </c>
    </row>
    <row r="1079">
      <c r="A1079" s="2" t="s">
        <v>8071</v>
      </c>
    </row>
    <row r="1081">
      <c r="A1081" s="2" t="s">
        <v>8072</v>
      </c>
    </row>
    <row r="1082">
      <c r="A1082" s="2" t="s">
        <v>8073</v>
      </c>
    </row>
    <row r="1084">
      <c r="A1084" s="2" t="s">
        <v>8074</v>
      </c>
    </row>
    <row r="1086">
      <c r="A1086" s="2" t="s">
        <v>8075</v>
      </c>
    </row>
    <row r="1088">
      <c r="A1088" s="2" t="s">
        <v>8076</v>
      </c>
    </row>
    <row r="1089">
      <c r="A1089" s="2" t="s">
        <v>8077</v>
      </c>
    </row>
    <row r="1091">
      <c r="A1091" s="2" t="s">
        <v>8078</v>
      </c>
    </row>
    <row r="1092">
      <c r="A1092" s="2" t="s">
        <v>8079</v>
      </c>
    </row>
    <row r="1094">
      <c r="A1094" s="2" t="s">
        <v>8080</v>
      </c>
    </row>
    <row r="1096">
      <c r="A1096" s="2" t="s">
        <v>7770</v>
      </c>
    </row>
    <row r="1097">
      <c r="A1097" s="2" t="s">
        <v>8081</v>
      </c>
    </row>
    <row r="1098">
      <c r="A1098" s="2" t="s">
        <v>8082</v>
      </c>
    </row>
    <row r="1100">
      <c r="A1100" s="2" t="s">
        <v>8083</v>
      </c>
    </row>
    <row r="1102">
      <c r="A1102" s="2" t="s">
        <v>8084</v>
      </c>
    </row>
    <row r="1104">
      <c r="A1104" s="2" t="s">
        <v>8085</v>
      </c>
    </row>
    <row r="1105">
      <c r="A1105" s="2" t="s">
        <v>8086</v>
      </c>
    </row>
    <row r="1107">
      <c r="A1107" s="2" t="s">
        <v>8087</v>
      </c>
    </row>
    <row r="1109">
      <c r="A1109" s="2" t="s">
        <v>8088</v>
      </c>
    </row>
    <row r="1110">
      <c r="A1110" s="2" t="s">
        <v>8089</v>
      </c>
    </row>
    <row r="1112">
      <c r="A1112" s="2" t="s">
        <v>8090</v>
      </c>
    </row>
    <row r="1114">
      <c r="A1114" s="2" t="s">
        <v>8091</v>
      </c>
    </row>
    <row r="1116">
      <c r="A1116" s="2" t="s">
        <v>8092</v>
      </c>
    </row>
    <row r="1117">
      <c r="A1117" s="2" t="s">
        <v>8093</v>
      </c>
    </row>
    <row r="1119">
      <c r="A1119" s="2" t="s">
        <v>8094</v>
      </c>
    </row>
    <row r="1121">
      <c r="A1121" s="2" t="s">
        <v>8095</v>
      </c>
    </row>
    <row r="1123">
      <c r="A1123" s="2" t="s">
        <v>8096</v>
      </c>
    </row>
    <row r="1124">
      <c r="A1124" s="2" t="s">
        <v>8097</v>
      </c>
    </row>
    <row r="1126">
      <c r="A1126" s="2" t="s">
        <v>8098</v>
      </c>
    </row>
    <row r="1128">
      <c r="A1128" s="2" t="s">
        <v>8099</v>
      </c>
    </row>
    <row r="1130">
      <c r="A1130" s="2" t="s">
        <v>8100</v>
      </c>
    </row>
    <row r="1131">
      <c r="A1131" s="2" t="s">
        <v>8101</v>
      </c>
    </row>
    <row r="1133">
      <c r="A1133" s="2" t="s">
        <v>8102</v>
      </c>
    </row>
    <row r="1135">
      <c r="A1135" s="2" t="s">
        <v>8103</v>
      </c>
    </row>
    <row r="1137">
      <c r="A1137" s="2" t="s">
        <v>8104</v>
      </c>
    </row>
    <row r="1138">
      <c r="A1138" s="2" t="s">
        <v>8105</v>
      </c>
    </row>
    <row r="1140">
      <c r="A1140" s="2" t="s">
        <v>8106</v>
      </c>
    </row>
    <row r="1142">
      <c r="A1142" s="2" t="s">
        <v>8107</v>
      </c>
    </row>
    <row r="1143">
      <c r="A1143" s="2" t="s">
        <v>8108</v>
      </c>
    </row>
    <row r="1145">
      <c r="A1145" s="2" t="s">
        <v>8109</v>
      </c>
    </row>
    <row r="1147">
      <c r="A1147" s="2" t="s">
        <v>8110</v>
      </c>
    </row>
    <row r="1149">
      <c r="A1149" s="2" t="s">
        <v>8111</v>
      </c>
    </row>
    <row r="1150">
      <c r="A1150" s="2" t="s">
        <v>8112</v>
      </c>
    </row>
    <row r="1152">
      <c r="A1152" s="2" t="s">
        <v>8113</v>
      </c>
    </row>
    <row r="1154">
      <c r="A1154" s="2" t="s">
        <v>8114</v>
      </c>
    </row>
    <row r="1155">
      <c r="A1155" s="2" t="s">
        <v>8115</v>
      </c>
    </row>
    <row r="1157">
      <c r="A1157" s="2" t="s">
        <v>8116</v>
      </c>
    </row>
    <row r="1159">
      <c r="A1159" s="2" t="s">
        <v>8117</v>
      </c>
    </row>
    <row r="1161">
      <c r="A1161" s="2" t="s">
        <v>8118</v>
      </c>
    </row>
    <row r="1162">
      <c r="A1162" s="2" t="s">
        <v>8119</v>
      </c>
    </row>
    <row r="1164">
      <c r="A1164" s="2" t="s">
        <v>8120</v>
      </c>
    </row>
    <row r="1166">
      <c r="A1166" s="2" t="s">
        <v>8121</v>
      </c>
    </row>
    <row r="1167">
      <c r="A1167" s="2" t="s">
        <v>8122</v>
      </c>
    </row>
    <row r="1169">
      <c r="A1169" s="2" t="s">
        <v>8123</v>
      </c>
    </row>
    <row r="1171">
      <c r="A1171" s="2" t="s">
        <v>8124</v>
      </c>
    </row>
    <row r="1172">
      <c r="A1172" s="2" t="s">
        <v>8125</v>
      </c>
    </row>
    <row r="1174">
      <c r="A1174" s="2" t="s">
        <v>8126</v>
      </c>
    </row>
    <row r="1176">
      <c r="A1176" s="2" t="s">
        <v>8127</v>
      </c>
    </row>
    <row r="1178">
      <c r="A1178" s="2" t="s">
        <v>8128</v>
      </c>
    </row>
    <row r="1179">
      <c r="A1179" s="2" t="s">
        <v>8129</v>
      </c>
    </row>
    <row r="1181">
      <c r="A1181" s="2" t="s">
        <v>8130</v>
      </c>
    </row>
    <row r="1183">
      <c r="A1183" s="2" t="s">
        <v>8131</v>
      </c>
    </row>
    <row r="1184">
      <c r="A1184" s="2" t="s">
        <v>8132</v>
      </c>
    </row>
    <row r="1186">
      <c r="A1186" s="2" t="s">
        <v>8133</v>
      </c>
    </row>
    <row r="1188">
      <c r="A1188" s="2" t="s">
        <v>8134</v>
      </c>
    </row>
    <row r="1190">
      <c r="A1190" s="2" t="s">
        <v>8135</v>
      </c>
    </row>
    <row r="1191">
      <c r="A1191" s="2" t="s">
        <v>8136</v>
      </c>
    </row>
    <row r="1193">
      <c r="A1193" s="2" t="s">
        <v>8137</v>
      </c>
    </row>
    <row r="1195">
      <c r="A1195" s="2" t="s">
        <v>8138</v>
      </c>
    </row>
    <row r="1197">
      <c r="A1197" s="2" t="s">
        <v>8139</v>
      </c>
    </row>
    <row r="1198">
      <c r="A1198" s="2" t="s">
        <v>8140</v>
      </c>
    </row>
    <row r="1200">
      <c r="A1200" s="2" t="s">
        <v>8141</v>
      </c>
    </row>
    <row r="1202">
      <c r="A1202" s="2" t="s">
        <v>8142</v>
      </c>
    </row>
    <row r="1204">
      <c r="A1204" s="2" t="s">
        <v>8143</v>
      </c>
    </row>
    <row r="1205">
      <c r="A1205" s="2" t="s">
        <v>8144</v>
      </c>
    </row>
    <row r="1207">
      <c r="A1207" s="2" t="s">
        <v>8145</v>
      </c>
    </row>
    <row r="1209">
      <c r="A1209" s="2" t="s">
        <v>8146</v>
      </c>
    </row>
    <row r="1211">
      <c r="A1211" s="2" t="s">
        <v>8147</v>
      </c>
    </row>
    <row r="1213">
      <c r="A1213" s="2" t="s">
        <v>8148</v>
      </c>
    </row>
    <row r="1214">
      <c r="A1214" s="2" t="s">
        <v>8149</v>
      </c>
    </row>
    <row r="1216">
      <c r="A1216" s="2" t="s">
        <v>8150</v>
      </c>
    </row>
    <row r="1218">
      <c r="A1218" s="2" t="s">
        <v>8151</v>
      </c>
    </row>
    <row r="1220">
      <c r="A1220" s="2" t="s">
        <v>8152</v>
      </c>
    </row>
    <row r="1221">
      <c r="A1221" s="2" t="s">
        <v>8153</v>
      </c>
    </row>
    <row r="1223">
      <c r="A1223" s="2" t="s">
        <v>8154</v>
      </c>
    </row>
    <row r="1225">
      <c r="A1225" s="2" t="s">
        <v>8155</v>
      </c>
    </row>
    <row r="1227">
      <c r="A1227" s="2" t="s">
        <v>8156</v>
      </c>
    </row>
    <row r="1228">
      <c r="A1228" s="2" t="s">
        <v>8157</v>
      </c>
    </row>
    <row r="1230">
      <c r="A1230" s="2" t="s">
        <v>8158</v>
      </c>
    </row>
    <row r="1232">
      <c r="A1232" s="2" t="s">
        <v>8159</v>
      </c>
    </row>
    <row r="1233">
      <c r="A1233" s="2" t="s">
        <v>8160</v>
      </c>
    </row>
    <row r="1235">
      <c r="A1235" s="2" t="s">
        <v>8161</v>
      </c>
    </row>
    <row r="1237">
      <c r="A1237" s="2" t="s">
        <v>8162</v>
      </c>
    </row>
    <row r="1239">
      <c r="A1239" s="2" t="s">
        <v>8163</v>
      </c>
    </row>
    <row r="1240">
      <c r="A1240" s="2" t="s">
        <v>8164</v>
      </c>
    </row>
    <row r="1242">
      <c r="A1242" s="2" t="s">
        <v>8165</v>
      </c>
    </row>
    <row r="1244">
      <c r="A1244" s="2" t="s">
        <v>8166</v>
      </c>
    </row>
    <row r="1245">
      <c r="A1245" s="2" t="s">
        <v>8167</v>
      </c>
    </row>
    <row r="1247">
      <c r="A1247" s="2" t="s">
        <v>8168</v>
      </c>
    </row>
    <row r="1249">
      <c r="A1249" s="2" t="s">
        <v>8169</v>
      </c>
    </row>
    <row r="1250">
      <c r="A1250" s="2" t="s">
        <v>8170</v>
      </c>
    </row>
    <row r="1252">
      <c r="A1252" s="2" t="s">
        <v>8171</v>
      </c>
    </row>
    <row r="1254">
      <c r="A1254" s="2" t="s">
        <v>8172</v>
      </c>
    </row>
    <row r="1256">
      <c r="A1256" s="2" t="s">
        <v>8173</v>
      </c>
    </row>
    <row r="1257">
      <c r="A1257" s="2" t="s">
        <v>8174</v>
      </c>
    </row>
    <row r="1259">
      <c r="A1259" s="2" t="s">
        <v>8175</v>
      </c>
    </row>
    <row r="1261">
      <c r="A1261" s="2" t="s">
        <v>8176</v>
      </c>
    </row>
    <row r="1262">
      <c r="A1262" s="2" t="s">
        <v>8177</v>
      </c>
    </row>
    <row r="1264">
      <c r="A1264" s="2" t="s">
        <v>8178</v>
      </c>
    </row>
    <row r="1266">
      <c r="A1266" s="2" t="s">
        <v>8179</v>
      </c>
    </row>
    <row r="1268">
      <c r="A1268" s="2" t="s">
        <v>8180</v>
      </c>
    </row>
    <row r="1270">
      <c r="A1270" s="2" t="s">
        <v>8181</v>
      </c>
    </row>
    <row r="1271">
      <c r="A1271" s="2" t="s">
        <v>8182</v>
      </c>
    </row>
    <row r="1273">
      <c r="A1273" s="2" t="s">
        <v>8183</v>
      </c>
    </row>
    <row r="1275">
      <c r="A1275" s="2" t="s">
        <v>8184</v>
      </c>
    </row>
    <row r="1277">
      <c r="A1277" s="2" t="s">
        <v>8185</v>
      </c>
    </row>
    <row r="1278">
      <c r="A1278" s="2" t="s">
        <v>8186</v>
      </c>
    </row>
    <row r="1280">
      <c r="A1280" s="2" t="s">
        <v>8187</v>
      </c>
    </row>
    <row r="1282">
      <c r="A1282" s="2" t="s">
        <v>8188</v>
      </c>
    </row>
    <row r="1284">
      <c r="A1284" s="2" t="s">
        <v>8189</v>
      </c>
    </row>
    <row r="1285">
      <c r="A1285" s="2" t="s">
        <v>8190</v>
      </c>
    </row>
    <row r="1287">
      <c r="A1287" s="2" t="s">
        <v>8191</v>
      </c>
    </row>
    <row r="1289">
      <c r="A1289" s="2" t="s">
        <v>8192</v>
      </c>
    </row>
    <row r="1290">
      <c r="A1290" s="2" t="s">
        <v>8193</v>
      </c>
    </row>
    <row r="1292">
      <c r="A1292" s="2" t="s">
        <v>8194</v>
      </c>
    </row>
    <row r="1294">
      <c r="A1294" s="2" t="s">
        <v>8195</v>
      </c>
    </row>
    <row r="1296">
      <c r="A1296" s="2" t="s">
        <v>8196</v>
      </c>
    </row>
    <row r="1297">
      <c r="A1297" s="2" t="s">
        <v>8197</v>
      </c>
    </row>
    <row r="1299">
      <c r="A1299" s="2" t="s">
        <v>8198</v>
      </c>
    </row>
    <row r="1301">
      <c r="A1301" s="2" t="s">
        <v>8199</v>
      </c>
    </row>
    <row r="1303">
      <c r="A1303" s="2" t="s">
        <v>8200</v>
      </c>
    </row>
    <row r="1304">
      <c r="A1304" s="2" t="s">
        <v>8201</v>
      </c>
    </row>
    <row r="1306">
      <c r="A1306" s="2" t="s">
        <v>8202</v>
      </c>
    </row>
    <row r="1308">
      <c r="A1308" s="2" t="s">
        <v>8203</v>
      </c>
    </row>
    <row r="1310">
      <c r="A1310" s="2" t="s">
        <v>8204</v>
      </c>
    </row>
    <row r="1311">
      <c r="A1311" s="2" t="s">
        <v>8205</v>
      </c>
    </row>
    <row r="1313">
      <c r="A1313" s="2" t="s">
        <v>8206</v>
      </c>
    </row>
    <row r="1315">
      <c r="A1315" s="2" t="s">
        <v>8207</v>
      </c>
    </row>
    <row r="1317">
      <c r="A1317" s="2" t="s">
        <v>8208</v>
      </c>
    </row>
    <row r="1319">
      <c r="A1319" s="2" t="s">
        <v>8209</v>
      </c>
    </row>
    <row r="1320">
      <c r="A1320" s="2" t="s">
        <v>8210</v>
      </c>
    </row>
    <row r="1322">
      <c r="A1322" s="2" t="s">
        <v>8211</v>
      </c>
    </row>
    <row r="1324">
      <c r="A1324" s="2" t="s">
        <v>8212</v>
      </c>
    </row>
    <row r="1326">
      <c r="A1326" s="2" t="s">
        <v>8213</v>
      </c>
    </row>
    <row r="1328">
      <c r="A1328" s="2" t="s">
        <v>8209</v>
      </c>
    </row>
    <row r="1329">
      <c r="A1329" s="2" t="s">
        <v>8214</v>
      </c>
    </row>
    <row r="1331">
      <c r="A1331" s="2" t="s">
        <v>8215</v>
      </c>
    </row>
    <row r="1333">
      <c r="A1333" s="2" t="s">
        <v>8216</v>
      </c>
    </row>
    <row r="1335">
      <c r="A1335" s="2" t="s">
        <v>8217</v>
      </c>
    </row>
    <row r="1336">
      <c r="A1336" s="2" t="s">
        <v>8218</v>
      </c>
    </row>
    <row r="1338">
      <c r="A1338" s="2" t="s">
        <v>8219</v>
      </c>
    </row>
    <row r="1340">
      <c r="A1340" s="2" t="s">
        <v>8220</v>
      </c>
    </row>
    <row r="1341">
      <c r="A1341" s="2" t="s">
        <v>8221</v>
      </c>
    </row>
    <row r="1343">
      <c r="A1343" s="2" t="s">
        <v>8222</v>
      </c>
    </row>
    <row r="1345">
      <c r="A1345" s="2" t="s">
        <v>8223</v>
      </c>
    </row>
    <row r="1347">
      <c r="A1347" s="2" t="s">
        <v>8224</v>
      </c>
    </row>
    <row r="1348">
      <c r="A1348" s="2" t="s">
        <v>8225</v>
      </c>
    </row>
    <row r="1350">
      <c r="A1350" s="2" t="s">
        <v>8226</v>
      </c>
    </row>
    <row r="1352">
      <c r="A1352" s="2" t="s">
        <v>8227</v>
      </c>
    </row>
    <row r="1353">
      <c r="A1353" s="2" t="s">
        <v>8228</v>
      </c>
    </row>
    <row r="1355">
      <c r="A1355" s="2" t="s">
        <v>8229</v>
      </c>
    </row>
    <row r="1357">
      <c r="A1357" s="2" t="s">
        <v>8230</v>
      </c>
    </row>
    <row r="1359">
      <c r="A1359" s="2" t="s">
        <v>8231</v>
      </c>
    </row>
    <row r="1360">
      <c r="A1360" s="2" t="s">
        <v>8232</v>
      </c>
    </row>
    <row r="1362">
      <c r="A1362" s="2" t="s">
        <v>8233</v>
      </c>
    </row>
    <row r="1364">
      <c r="A1364" s="2" t="s">
        <v>8234</v>
      </c>
    </row>
    <row r="1365">
      <c r="A1365" s="2" t="s">
        <v>8235</v>
      </c>
    </row>
    <row r="1367">
      <c r="A1367" s="2" t="s">
        <v>8236</v>
      </c>
    </row>
    <row r="1369">
      <c r="A1369" s="2" t="s">
        <v>8237</v>
      </c>
    </row>
    <row r="1370">
      <c r="A1370" s="2" t="s">
        <v>8238</v>
      </c>
    </row>
    <row r="1371">
      <c r="A1371" s="2" t="s">
        <v>7462</v>
      </c>
    </row>
    <row r="1372">
      <c r="A1372" s="2" t="s">
        <v>8239</v>
      </c>
    </row>
    <row r="1374">
      <c r="A1374" s="2" t="s">
        <v>8240</v>
      </c>
    </row>
    <row r="1376">
      <c r="A1376" s="2" t="s">
        <v>8241</v>
      </c>
    </row>
    <row r="1378">
      <c r="A1378" s="2" t="s">
        <v>8242</v>
      </c>
    </row>
    <row r="1379">
      <c r="A1379" s="2" t="s">
        <v>8243</v>
      </c>
    </row>
    <row r="1381">
      <c r="A1381" s="2" t="s">
        <v>8244</v>
      </c>
    </row>
    <row r="1383">
      <c r="A1383" s="2" t="s">
        <v>8245</v>
      </c>
    </row>
    <row r="1384">
      <c r="A1384" s="2" t="s">
        <v>8246</v>
      </c>
    </row>
    <row r="1386">
      <c r="A1386" s="2" t="s">
        <v>7462</v>
      </c>
    </row>
    <row r="1387">
      <c r="A1387" s="2" t="s">
        <v>8247</v>
      </c>
    </row>
    <row r="1389">
      <c r="A1389" s="2" t="s">
        <v>8248</v>
      </c>
    </row>
    <row r="1391">
      <c r="A1391" s="2" t="s">
        <v>8249</v>
      </c>
    </row>
    <row r="1392">
      <c r="A1392" s="2" t="s">
        <v>8250</v>
      </c>
    </row>
    <row r="1394">
      <c r="A1394" s="2" t="s">
        <v>8251</v>
      </c>
    </row>
    <row r="1396">
      <c r="A1396" s="2" t="s">
        <v>8252</v>
      </c>
    </row>
    <row r="1397">
      <c r="A1397" s="2" t="s">
        <v>8253</v>
      </c>
    </row>
    <row r="1399">
      <c r="A1399" s="2" t="s">
        <v>8254</v>
      </c>
    </row>
    <row r="1401">
      <c r="A1401" s="2" t="s">
        <v>8255</v>
      </c>
    </row>
    <row r="1402">
      <c r="A1402" s="2" t="s">
        <v>8256</v>
      </c>
    </row>
    <row r="1404">
      <c r="A1404" s="2" t="s">
        <v>8257</v>
      </c>
    </row>
    <row r="1406">
      <c r="A1406" s="2" t="s">
        <v>8258</v>
      </c>
    </row>
    <row r="1407">
      <c r="A1407" s="2" t="s">
        <v>8259</v>
      </c>
    </row>
    <row r="1409">
      <c r="A1409" s="2" t="s">
        <v>8260</v>
      </c>
    </row>
    <row r="1411">
      <c r="A1411" s="2" t="s">
        <v>8261</v>
      </c>
    </row>
    <row r="1413">
      <c r="A1413" s="2" t="s">
        <v>8262</v>
      </c>
    </row>
    <row r="1414">
      <c r="A1414" s="2" t="s">
        <v>8263</v>
      </c>
    </row>
    <row r="1416">
      <c r="A1416" s="2" t="s">
        <v>8264</v>
      </c>
    </row>
    <row r="1418">
      <c r="A1418" s="2" t="s">
        <v>8265</v>
      </c>
    </row>
    <row r="1420">
      <c r="A1420" s="2" t="s">
        <v>8266</v>
      </c>
    </row>
    <row r="1421">
      <c r="A1421" s="2" t="s">
        <v>8267</v>
      </c>
    </row>
    <row r="1423">
      <c r="A1423" s="2" t="s">
        <v>8268</v>
      </c>
    </row>
    <row r="1425">
      <c r="A1425" s="2" t="s">
        <v>8269</v>
      </c>
    </row>
    <row r="1426">
      <c r="A1426" s="2" t="s">
        <v>8270</v>
      </c>
    </row>
    <row r="1428">
      <c r="A1428" s="2" t="s">
        <v>8271</v>
      </c>
    </row>
    <row r="1430">
      <c r="A1430" s="2" t="s">
        <v>8272</v>
      </c>
    </row>
    <row r="1432">
      <c r="A1432" s="2" t="s">
        <v>8273</v>
      </c>
    </row>
    <row r="1433">
      <c r="A1433" s="2" t="s">
        <v>8274</v>
      </c>
    </row>
    <row r="1435">
      <c r="A1435" s="2" t="s">
        <v>8275</v>
      </c>
    </row>
    <row r="1437">
      <c r="A1437" s="2" t="s">
        <v>8276</v>
      </c>
    </row>
    <row r="1439">
      <c r="A1439" s="2" t="s">
        <v>8277</v>
      </c>
    </row>
    <row r="1440">
      <c r="A1440" s="2" t="s">
        <v>8278</v>
      </c>
    </row>
    <row r="1441">
      <c r="A1441" s="2" t="s">
        <v>7462</v>
      </c>
    </row>
    <row r="1442">
      <c r="A1442" s="2" t="s">
        <v>8279</v>
      </c>
    </row>
    <row r="1444">
      <c r="A1444" s="2" t="s">
        <v>8280</v>
      </c>
    </row>
    <row r="1446">
      <c r="A1446" s="2" t="s">
        <v>8281</v>
      </c>
    </row>
    <row r="1448">
      <c r="A1448" s="2" t="s">
        <v>8282</v>
      </c>
    </row>
    <row r="1449">
      <c r="A1449" s="2" t="s">
        <v>8283</v>
      </c>
    </row>
    <row r="1451">
      <c r="A1451" s="2" t="s">
        <v>7462</v>
      </c>
    </row>
    <row r="1452">
      <c r="A1452" s="2" t="s">
        <v>8284</v>
      </c>
    </row>
    <row r="1454">
      <c r="A1454" s="2" t="s">
        <v>8285</v>
      </c>
    </row>
    <row r="1456">
      <c r="A1456" s="2" t="s">
        <v>8286</v>
      </c>
    </row>
    <row r="1457">
      <c r="A1457" s="2" t="s">
        <v>8287</v>
      </c>
    </row>
    <row r="1459">
      <c r="A1459" s="2" t="s">
        <v>8288</v>
      </c>
    </row>
    <row r="1461">
      <c r="A1461" s="2" t="s">
        <v>8289</v>
      </c>
    </row>
    <row r="1462">
      <c r="A1462" s="2" t="s">
        <v>8290</v>
      </c>
    </row>
    <row r="1464">
      <c r="A1464" s="2" t="s">
        <v>7462</v>
      </c>
    </row>
    <row r="1465">
      <c r="A1465" s="2" t="s">
        <v>8291</v>
      </c>
    </row>
    <row r="1467">
      <c r="A1467" s="2" t="s">
        <v>8292</v>
      </c>
    </row>
    <row r="1469">
      <c r="A1469" s="2" t="s">
        <v>8293</v>
      </c>
    </row>
    <row r="1471">
      <c r="A1471" s="2" t="s">
        <v>8294</v>
      </c>
    </row>
    <row r="1472">
      <c r="A1472" s="2" t="s">
        <v>8295</v>
      </c>
    </row>
    <row r="1474">
      <c r="A1474" s="2" t="s">
        <v>7462</v>
      </c>
    </row>
    <row r="1475">
      <c r="A1475" s="2" t="s">
        <v>8296</v>
      </c>
    </row>
    <row r="1477">
      <c r="A1477" s="2" t="s">
        <v>8297</v>
      </c>
    </row>
    <row r="1479">
      <c r="A1479" s="2" t="s">
        <v>8298</v>
      </c>
    </row>
    <row r="1481">
      <c r="A1481" s="2" t="s">
        <v>8299</v>
      </c>
    </row>
    <row r="1482">
      <c r="A1482" s="2" t="s">
        <v>8300</v>
      </c>
    </row>
    <row r="1484">
      <c r="A1484" s="2" t="s">
        <v>8301</v>
      </c>
    </row>
    <row r="1486">
      <c r="A1486" s="2" t="s">
        <v>8302</v>
      </c>
    </row>
    <row r="1488">
      <c r="A1488" s="2" t="s">
        <v>8303</v>
      </c>
    </row>
    <row r="1490">
      <c r="A1490" s="2" t="s">
        <v>8304</v>
      </c>
    </row>
    <row r="1491">
      <c r="A1491" s="2" t="s">
        <v>8305</v>
      </c>
    </row>
    <row r="1493">
      <c r="A1493" s="2" t="s">
        <v>8306</v>
      </c>
    </row>
    <row r="1495">
      <c r="A1495" s="2" t="s">
        <v>7691</v>
      </c>
    </row>
    <row r="1496">
      <c r="A1496" s="2" t="s">
        <v>8307</v>
      </c>
    </row>
    <row r="1498">
      <c r="A1498" s="2" t="s">
        <v>8308</v>
      </c>
    </row>
    <row r="1500">
      <c r="A1500" s="2" t="s">
        <v>8309</v>
      </c>
    </row>
    <row r="1501">
      <c r="A1501" s="2" t="s">
        <v>8310</v>
      </c>
    </row>
    <row r="1503">
      <c r="A1503" s="2" t="s">
        <v>8311</v>
      </c>
    </row>
    <row r="1505">
      <c r="A1505" s="2" t="s">
        <v>8312</v>
      </c>
    </row>
    <row r="1506">
      <c r="A1506" s="2" t="s">
        <v>8313</v>
      </c>
    </row>
    <row r="1508">
      <c r="A1508" s="2" t="s">
        <v>8314</v>
      </c>
    </row>
    <row r="1510">
      <c r="A1510" s="2" t="s">
        <v>8315</v>
      </c>
    </row>
    <row r="1512">
      <c r="A1512" s="2" t="s">
        <v>8316</v>
      </c>
    </row>
    <row r="1513">
      <c r="A1513" s="2" t="s">
        <v>8317</v>
      </c>
    </row>
    <row r="1515">
      <c r="A1515" s="2" t="s">
        <v>8318</v>
      </c>
    </row>
    <row r="1517">
      <c r="A1517" s="2" t="s">
        <v>8319</v>
      </c>
    </row>
    <row r="1519">
      <c r="A1519" s="2" t="s">
        <v>8320</v>
      </c>
    </row>
    <row r="1520">
      <c r="A1520" s="2" t="s">
        <v>8321</v>
      </c>
    </row>
    <row r="1522">
      <c r="A1522" s="2" t="s">
        <v>8322</v>
      </c>
    </row>
    <row r="1524">
      <c r="A1524" s="2" t="s">
        <v>8323</v>
      </c>
    </row>
    <row r="1526">
      <c r="A1526" s="2" t="s">
        <v>8324</v>
      </c>
    </row>
    <row r="1527">
      <c r="A1527" s="2" t="s">
        <v>8325</v>
      </c>
    </row>
    <row r="1529">
      <c r="A1529" s="2" t="s">
        <v>8326</v>
      </c>
    </row>
    <row r="1531">
      <c r="A1531" s="2" t="s">
        <v>8327</v>
      </c>
    </row>
    <row r="1533">
      <c r="A1533" s="2" t="s">
        <v>8328</v>
      </c>
    </row>
    <row r="1534">
      <c r="A1534" s="2" t="s">
        <v>8329</v>
      </c>
    </row>
    <row r="1536">
      <c r="A1536" s="2" t="s">
        <v>8330</v>
      </c>
    </row>
    <row r="1538">
      <c r="A1538" s="2" t="s">
        <v>8331</v>
      </c>
    </row>
    <row r="1540">
      <c r="A1540" s="2" t="s">
        <v>8332</v>
      </c>
    </row>
    <row r="1541">
      <c r="A1541" s="2" t="s">
        <v>8333</v>
      </c>
    </row>
    <row r="1543">
      <c r="A1543" s="2" t="s">
        <v>8334</v>
      </c>
    </row>
    <row r="1545">
      <c r="A1545" s="2" t="s">
        <v>8335</v>
      </c>
    </row>
    <row r="1546">
      <c r="A1546" s="2" t="s">
        <v>8336</v>
      </c>
    </row>
    <row r="1547">
      <c r="A1547" s="2" t="s">
        <v>8337</v>
      </c>
    </row>
    <row r="1549">
      <c r="A1549" s="2" t="s">
        <v>8338</v>
      </c>
    </row>
    <row r="1551">
      <c r="A1551" s="2" t="s">
        <v>8339</v>
      </c>
    </row>
    <row r="1552">
      <c r="A1552" s="2" t="s">
        <v>8340</v>
      </c>
    </row>
    <row r="1554">
      <c r="A1554" s="2" t="s">
        <v>8341</v>
      </c>
    </row>
    <row r="1556">
      <c r="A1556" s="2" t="s">
        <v>8342</v>
      </c>
    </row>
    <row r="1558">
      <c r="A1558" s="2" t="s">
        <v>8343</v>
      </c>
    </row>
    <row r="1559">
      <c r="A1559" s="2" t="s">
        <v>8344</v>
      </c>
    </row>
    <row r="1561">
      <c r="A1561" s="2" t="s">
        <v>8345</v>
      </c>
    </row>
    <row r="1563">
      <c r="A1563" s="2" t="s">
        <v>8346</v>
      </c>
    </row>
    <row r="1564">
      <c r="A1564" s="2" t="s">
        <v>8347</v>
      </c>
    </row>
    <row r="1566">
      <c r="A1566" s="2" t="s">
        <v>8078</v>
      </c>
    </row>
    <row r="1567">
      <c r="A1567" s="2" t="s">
        <v>8348</v>
      </c>
    </row>
    <row r="1569">
      <c r="A1569" s="2" t="s">
        <v>8349</v>
      </c>
    </row>
    <row r="1570">
      <c r="A1570" s="2" t="s">
        <v>8350</v>
      </c>
    </row>
    <row r="1572">
      <c r="A1572" s="2" t="s">
        <v>7770</v>
      </c>
    </row>
    <row r="1573">
      <c r="A1573" s="2" t="s">
        <v>8351</v>
      </c>
    </row>
    <row r="1575">
      <c r="A1575" s="2" t="s">
        <v>8352</v>
      </c>
    </row>
    <row r="1576">
      <c r="A1576" s="2" t="s">
        <v>8353</v>
      </c>
    </row>
    <row r="1578">
      <c r="A1578" s="2" t="s">
        <v>8354</v>
      </c>
    </row>
    <row r="1580">
      <c r="A1580" s="2" t="s">
        <v>8355</v>
      </c>
    </row>
    <row r="1582">
      <c r="A1582" s="2" t="s">
        <v>8356</v>
      </c>
    </row>
    <row r="1583">
      <c r="A1583" s="2" t="s">
        <v>8357</v>
      </c>
    </row>
    <row r="1585">
      <c r="A1585" s="2" t="s">
        <v>7462</v>
      </c>
    </row>
    <row r="1586">
      <c r="A1586" s="2" t="s">
        <v>8358</v>
      </c>
    </row>
    <row r="1588">
      <c r="A1588" s="2" t="s">
        <v>8359</v>
      </c>
    </row>
    <row r="1590">
      <c r="A1590" s="2" t="s">
        <v>8360</v>
      </c>
    </row>
    <row r="1592">
      <c r="A1592" s="2" t="s">
        <v>8361</v>
      </c>
    </row>
    <row r="1594">
      <c r="A1594" s="2" t="s">
        <v>8362</v>
      </c>
    </row>
    <row r="1596">
      <c r="A1596" s="2" t="s">
        <v>8363</v>
      </c>
    </row>
    <row r="1598">
      <c r="A1598" s="2" t="s">
        <v>8364</v>
      </c>
    </row>
    <row r="1599">
      <c r="A1599" s="2" t="s">
        <v>8365</v>
      </c>
    </row>
    <row r="1601">
      <c r="A1601" s="2" t="s">
        <v>8366</v>
      </c>
    </row>
    <row r="1603">
      <c r="A1603" s="2" t="s">
        <v>8367</v>
      </c>
    </row>
    <row r="1605">
      <c r="A1605" s="2" t="s">
        <v>8368</v>
      </c>
    </row>
    <row r="1607">
      <c r="A1607" s="2" t="s">
        <v>8369</v>
      </c>
    </row>
    <row r="1608">
      <c r="A1608" s="2" t="s">
        <v>8370</v>
      </c>
    </row>
    <row r="1610">
      <c r="A1610" s="2" t="s">
        <v>7462</v>
      </c>
    </row>
    <row r="1611">
      <c r="A1611" s="2" t="s">
        <v>8371</v>
      </c>
    </row>
    <row r="1613">
      <c r="A1613" s="2" t="s">
        <v>8372</v>
      </c>
    </row>
    <row r="1615">
      <c r="A1615" s="2" t="s">
        <v>8373</v>
      </c>
    </row>
    <row r="1617">
      <c r="A1617" s="2" t="s">
        <v>8374</v>
      </c>
    </row>
    <row r="1618">
      <c r="A1618" s="2" t="s">
        <v>8375</v>
      </c>
    </row>
    <row r="1620">
      <c r="A1620" s="2" t="s">
        <v>8376</v>
      </c>
    </row>
    <row r="1622">
      <c r="A1622" s="2" t="s">
        <v>8377</v>
      </c>
    </row>
    <row r="1623">
      <c r="A1623" s="2" t="s">
        <v>8378</v>
      </c>
    </row>
    <row r="1625">
      <c r="A1625" s="2" t="s">
        <v>8379</v>
      </c>
    </row>
    <row r="1627">
      <c r="A1627" s="2" t="s">
        <v>8380</v>
      </c>
    </row>
    <row r="1629">
      <c r="A1629" s="2" t="s">
        <v>8381</v>
      </c>
    </row>
    <row r="1630">
      <c r="A1630" s="2" t="s">
        <v>8382</v>
      </c>
    </row>
    <row r="1632">
      <c r="A1632" s="2" t="s">
        <v>8383</v>
      </c>
    </row>
    <row r="1634">
      <c r="A1634" s="2" t="s">
        <v>8384</v>
      </c>
    </row>
    <row r="1635">
      <c r="A1635" s="2" t="s">
        <v>8385</v>
      </c>
    </row>
    <row r="1637">
      <c r="A1637" s="2" t="s">
        <v>8386</v>
      </c>
    </row>
    <row r="1639">
      <c r="A1639" s="2" t="s">
        <v>8387</v>
      </c>
    </row>
    <row r="1641">
      <c r="A1641" s="2" t="s">
        <v>8388</v>
      </c>
    </row>
    <row r="1643">
      <c r="A1643" s="2" t="s">
        <v>8389</v>
      </c>
    </row>
    <row r="1644">
      <c r="A1644" s="2" t="s">
        <v>8390</v>
      </c>
    </row>
    <row r="1646">
      <c r="A1646" s="2" t="s">
        <v>8391</v>
      </c>
    </row>
    <row r="1648">
      <c r="A1648" s="2" t="s">
        <v>8392</v>
      </c>
    </row>
    <row r="1650">
      <c r="A1650" s="2" t="s">
        <v>8393</v>
      </c>
    </row>
    <row r="1651">
      <c r="A1651" s="2" t="s">
        <v>8394</v>
      </c>
    </row>
    <row r="1653">
      <c r="A1653" s="2" t="s">
        <v>8395</v>
      </c>
    </row>
    <row r="1655">
      <c r="A1655" s="2" t="s">
        <v>8396</v>
      </c>
    </row>
    <row r="1657">
      <c r="A1657" s="2" t="s">
        <v>8397</v>
      </c>
    </row>
    <row r="1658">
      <c r="A1658" s="2" t="s">
        <v>8398</v>
      </c>
    </row>
    <row r="1660">
      <c r="A1660" s="2" t="s">
        <v>8399</v>
      </c>
    </row>
    <row r="1662">
      <c r="A1662" s="2" t="s">
        <v>8400</v>
      </c>
    </row>
    <row r="1664">
      <c r="A1664" s="2" t="s">
        <v>8401</v>
      </c>
    </row>
    <row r="1665">
      <c r="A1665" s="2" t="s">
        <v>8402</v>
      </c>
    </row>
    <row r="1666">
      <c r="A1666" s="2" t="s">
        <v>7462</v>
      </c>
    </row>
    <row r="1667">
      <c r="A1667" s="2" t="s">
        <v>8403</v>
      </c>
    </row>
    <row r="1669">
      <c r="A1669" s="2" t="s">
        <v>8404</v>
      </c>
    </row>
    <row r="1671">
      <c r="A1671" s="2" t="s">
        <v>8405</v>
      </c>
    </row>
    <row r="1673">
      <c r="A1673" s="2" t="s">
        <v>8406</v>
      </c>
    </row>
    <row r="1674">
      <c r="A1674" s="2" t="s">
        <v>8407</v>
      </c>
    </row>
    <row r="1676">
      <c r="A1676" s="2" t="s">
        <v>8408</v>
      </c>
    </row>
    <row r="1678">
      <c r="A1678" s="2" t="s">
        <v>8409</v>
      </c>
    </row>
    <row r="1680">
      <c r="A1680" s="2" t="s">
        <v>8410</v>
      </c>
    </row>
    <row r="1681">
      <c r="A1681" s="2" t="s">
        <v>8411</v>
      </c>
    </row>
    <row r="1683">
      <c r="A1683" s="2" t="s">
        <v>8412</v>
      </c>
    </row>
    <row r="1685">
      <c r="A1685" s="2" t="s">
        <v>8413</v>
      </c>
    </row>
    <row r="1686">
      <c r="A1686" s="2" t="s">
        <v>8414</v>
      </c>
    </row>
    <row r="1688">
      <c r="A1688" s="2" t="s">
        <v>8415</v>
      </c>
    </row>
    <row r="1690">
      <c r="A1690" s="2" t="s">
        <v>8416</v>
      </c>
    </row>
    <row r="1691">
      <c r="A1691" s="2" t="s">
        <v>8417</v>
      </c>
    </row>
    <row r="1692">
      <c r="A1692" s="2" t="s">
        <v>7462</v>
      </c>
    </row>
    <row r="1693">
      <c r="A1693" s="2" t="s">
        <v>8418</v>
      </c>
    </row>
    <row r="1695">
      <c r="A1695" s="2" t="s">
        <v>8419</v>
      </c>
    </row>
    <row r="1697">
      <c r="A1697" s="2" t="s">
        <v>8420</v>
      </c>
    </row>
    <row r="1699">
      <c r="A1699" s="2" t="s">
        <v>8421</v>
      </c>
    </row>
    <row r="1700">
      <c r="A1700" s="2" t="s">
        <v>8422</v>
      </c>
    </row>
    <row r="1702">
      <c r="A1702" s="2" t="s">
        <v>8423</v>
      </c>
    </row>
    <row r="1704">
      <c r="A1704" s="2" t="s">
        <v>8424</v>
      </c>
    </row>
    <row r="1706">
      <c r="A1706" s="2" t="s">
        <v>8425</v>
      </c>
    </row>
    <row r="1707">
      <c r="A1707" s="2" t="s">
        <v>8426</v>
      </c>
    </row>
    <row r="1709">
      <c r="A1709" s="2" t="s">
        <v>8427</v>
      </c>
    </row>
    <row r="1711">
      <c r="A1711" s="2" t="s">
        <v>8428</v>
      </c>
    </row>
    <row r="1713">
      <c r="A1713" s="2" t="s">
        <v>8429</v>
      </c>
    </row>
    <row r="1714">
      <c r="A1714" s="2" t="s">
        <v>8430</v>
      </c>
    </row>
    <row r="1716">
      <c r="A1716" s="2" t="s">
        <v>8431</v>
      </c>
    </row>
    <row r="1718">
      <c r="A1718" s="2" t="s">
        <v>8432</v>
      </c>
    </row>
    <row r="1720">
      <c r="A1720" s="2" t="s">
        <v>8433</v>
      </c>
    </row>
    <row r="1721">
      <c r="A1721" s="2" t="s">
        <v>8434</v>
      </c>
    </row>
    <row r="1723">
      <c r="A1723" s="2" t="s">
        <v>8435</v>
      </c>
    </row>
    <row r="1725">
      <c r="A1725" s="2" t="s">
        <v>8436</v>
      </c>
    </row>
    <row r="1727">
      <c r="A1727" s="2" t="s">
        <v>8437</v>
      </c>
    </row>
    <row r="1728">
      <c r="A1728" s="2" t="s">
        <v>8438</v>
      </c>
    </row>
    <row r="1730">
      <c r="A1730" s="2" t="s">
        <v>8439</v>
      </c>
    </row>
    <row r="1732">
      <c r="A1732" s="2" t="s">
        <v>8440</v>
      </c>
    </row>
    <row r="1734">
      <c r="A1734" s="2" t="s">
        <v>8441</v>
      </c>
    </row>
    <row r="1735">
      <c r="A1735" s="2" t="s">
        <v>8442</v>
      </c>
    </row>
    <row r="1737">
      <c r="A1737" s="2" t="s">
        <v>8443</v>
      </c>
    </row>
    <row r="1739">
      <c r="A1739" s="2" t="s">
        <v>8444</v>
      </c>
    </row>
    <row r="1741">
      <c r="A1741" s="2" t="s">
        <v>8445</v>
      </c>
    </row>
    <row r="1742">
      <c r="A1742" s="2" t="s">
        <v>8446</v>
      </c>
    </row>
    <row r="1744">
      <c r="A1744" s="2" t="s">
        <v>8447</v>
      </c>
    </row>
    <row r="1746">
      <c r="A1746" s="2" t="s">
        <v>8448</v>
      </c>
    </row>
    <row r="1747">
      <c r="A1747" s="2" t="s">
        <v>8449</v>
      </c>
    </row>
    <row r="1749">
      <c r="A1749" s="2" t="s">
        <v>8450</v>
      </c>
    </row>
    <row r="1751">
      <c r="A1751" s="2" t="s">
        <v>8451</v>
      </c>
    </row>
    <row r="1753">
      <c r="A1753" s="2" t="s">
        <v>8452</v>
      </c>
    </row>
    <row r="1754">
      <c r="A1754" s="2" t="s">
        <v>8453</v>
      </c>
    </row>
    <row r="1756">
      <c r="A1756" s="2" t="s">
        <v>8454</v>
      </c>
    </row>
    <row r="1758">
      <c r="A1758" s="2" t="s">
        <v>8455</v>
      </c>
    </row>
    <row r="1759">
      <c r="A1759" s="2" t="s">
        <v>8456</v>
      </c>
    </row>
    <row r="1761">
      <c r="A1761" s="2" t="s">
        <v>8457</v>
      </c>
    </row>
    <row r="1763">
      <c r="A1763" s="2" t="s">
        <v>8458</v>
      </c>
    </row>
    <row r="1764">
      <c r="A1764" s="2" t="s">
        <v>8459</v>
      </c>
    </row>
    <row r="1766">
      <c r="A1766" s="2" t="s">
        <v>8460</v>
      </c>
    </row>
    <row r="1768">
      <c r="A1768" s="2" t="s">
        <v>8461</v>
      </c>
    </row>
    <row r="1770">
      <c r="A1770" s="2" t="s">
        <v>8462</v>
      </c>
    </row>
    <row r="1771">
      <c r="A1771" s="2" t="s">
        <v>8463</v>
      </c>
    </row>
    <row r="1773">
      <c r="A1773" s="2" t="s">
        <v>8464</v>
      </c>
    </row>
    <row r="1775">
      <c r="A1775" s="2" t="s">
        <v>8465</v>
      </c>
    </row>
    <row r="1776">
      <c r="A1776" s="2" t="s">
        <v>8466</v>
      </c>
    </row>
    <row r="1777">
      <c r="A1777" s="2" t="s">
        <v>7462</v>
      </c>
    </row>
    <row r="1778">
      <c r="A1778" s="2" t="s">
        <v>8467</v>
      </c>
    </row>
    <row r="1780">
      <c r="A1780" s="2" t="s">
        <v>8468</v>
      </c>
    </row>
    <row r="1782">
      <c r="A1782" s="2" t="s">
        <v>8469</v>
      </c>
    </row>
    <row r="1784">
      <c r="A1784" s="2" t="s">
        <v>8470</v>
      </c>
    </row>
    <row r="1785">
      <c r="A1785" s="2" t="s">
        <v>8471</v>
      </c>
    </row>
    <row r="1787">
      <c r="A1787" s="2" t="s">
        <v>8472</v>
      </c>
    </row>
    <row r="1789">
      <c r="A1789" s="2" t="s">
        <v>8473</v>
      </c>
    </row>
    <row r="1791">
      <c r="A1791" s="2" t="s">
        <v>8474</v>
      </c>
    </row>
    <row r="1792">
      <c r="A1792" s="2" t="s">
        <v>8475</v>
      </c>
    </row>
    <row r="1794">
      <c r="A1794" s="2" t="s">
        <v>8476</v>
      </c>
    </row>
    <row r="1796">
      <c r="A1796" s="2" t="s">
        <v>8477</v>
      </c>
    </row>
    <row r="1798">
      <c r="A1798" s="2" t="s">
        <v>8478</v>
      </c>
    </row>
    <row r="1799">
      <c r="A1799" s="2" t="s">
        <v>8479</v>
      </c>
    </row>
    <row r="1801">
      <c r="A1801" s="2" t="s">
        <v>8480</v>
      </c>
    </row>
    <row r="1803">
      <c r="A1803" s="2" t="s">
        <v>8481</v>
      </c>
    </row>
    <row r="1804">
      <c r="A1804" s="2" t="s">
        <v>8482</v>
      </c>
    </row>
    <row r="1806">
      <c r="A1806" s="2" t="s">
        <v>8483</v>
      </c>
    </row>
    <row r="1808">
      <c r="A1808" s="2" t="s">
        <v>8484</v>
      </c>
    </row>
    <row r="1810">
      <c r="A1810" s="2" t="s">
        <v>8485</v>
      </c>
    </row>
    <row r="1811">
      <c r="A1811" s="2" t="s">
        <v>8486</v>
      </c>
    </row>
    <row r="1813">
      <c r="A1813" s="2" t="s">
        <v>8487</v>
      </c>
    </row>
    <row r="1815">
      <c r="A1815" s="2" t="s">
        <v>8488</v>
      </c>
    </row>
    <row r="1817">
      <c r="A1817" s="2" t="s">
        <v>8489</v>
      </c>
    </row>
    <row r="1818">
      <c r="A1818" s="2" t="s">
        <v>8490</v>
      </c>
    </row>
    <row r="1820">
      <c r="A1820" s="2" t="s">
        <v>8491</v>
      </c>
    </row>
    <row r="1822">
      <c r="A1822" s="2" t="s">
        <v>8492</v>
      </c>
    </row>
    <row r="1824">
      <c r="A1824" s="2" t="s">
        <v>8493</v>
      </c>
    </row>
    <row r="1825">
      <c r="A1825" s="2" t="s">
        <v>8494</v>
      </c>
    </row>
    <row r="1827">
      <c r="A1827" s="2" t="s">
        <v>8495</v>
      </c>
    </row>
    <row r="1829">
      <c r="A1829" s="2" t="s">
        <v>8496</v>
      </c>
    </row>
    <row r="1831">
      <c r="A1831" s="2" t="s">
        <v>8497</v>
      </c>
    </row>
    <row r="1832">
      <c r="A1832" s="2" t="s">
        <v>8498</v>
      </c>
    </row>
    <row r="1834">
      <c r="A1834" s="2" t="s">
        <v>8499</v>
      </c>
    </row>
    <row r="1836">
      <c r="A1836" s="2" t="s">
        <v>8500</v>
      </c>
    </row>
    <row r="1837">
      <c r="A1837" s="2" t="s">
        <v>8501</v>
      </c>
    </row>
    <row r="1839">
      <c r="A1839" s="2" t="s">
        <v>8502</v>
      </c>
    </row>
    <row r="1841">
      <c r="A1841" s="2" t="s">
        <v>8503</v>
      </c>
    </row>
    <row r="1843">
      <c r="A1843" s="2" t="s">
        <v>8504</v>
      </c>
    </row>
    <row r="1844">
      <c r="A1844" s="2" t="s">
        <v>8505</v>
      </c>
    </row>
    <row r="1846">
      <c r="A1846" s="2" t="s">
        <v>8506</v>
      </c>
    </row>
    <row r="1848">
      <c r="A1848" s="2" t="s">
        <v>8507</v>
      </c>
    </row>
    <row r="1850">
      <c r="A1850" s="2" t="s">
        <v>8508</v>
      </c>
    </row>
    <row r="1851">
      <c r="A1851" s="2" t="s">
        <v>8509</v>
      </c>
    </row>
    <row r="1853">
      <c r="A1853" s="2" t="s">
        <v>8510</v>
      </c>
    </row>
    <row r="1855">
      <c r="A1855" s="2" t="s">
        <v>8511</v>
      </c>
    </row>
    <row r="1857">
      <c r="A1857" s="2" t="s">
        <v>8512</v>
      </c>
    </row>
    <row r="1858">
      <c r="A1858" s="2" t="s">
        <v>8513</v>
      </c>
    </row>
    <row r="1860">
      <c r="A1860" s="2" t="s">
        <v>7462</v>
      </c>
    </row>
    <row r="1861">
      <c r="A1861" s="2" t="s">
        <v>8514</v>
      </c>
    </row>
    <row r="1863">
      <c r="A1863" s="2" t="s">
        <v>8515</v>
      </c>
    </row>
    <row r="1865">
      <c r="A1865" s="2" t="s">
        <v>8516</v>
      </c>
    </row>
    <row r="1867">
      <c r="A1867" s="2" t="s">
        <v>8517</v>
      </c>
    </row>
    <row r="1868">
      <c r="A1868" s="2" t="s">
        <v>8518</v>
      </c>
    </row>
    <row r="1870">
      <c r="A1870" s="2" t="s">
        <v>8519</v>
      </c>
    </row>
    <row r="1872">
      <c r="A1872" s="2" t="s">
        <v>8520</v>
      </c>
    </row>
    <row r="1874">
      <c r="A1874" s="2" t="s">
        <v>8521</v>
      </c>
    </row>
    <row r="1875">
      <c r="A1875" s="2" t="s">
        <v>8522</v>
      </c>
    </row>
    <row r="1877">
      <c r="A1877" s="2" t="s">
        <v>8523</v>
      </c>
    </row>
    <row r="1879">
      <c r="A1879" s="2" t="s">
        <v>8524</v>
      </c>
    </row>
    <row r="1881">
      <c r="A1881" s="2" t="s">
        <v>8525</v>
      </c>
    </row>
    <row r="1882">
      <c r="A1882" s="2" t="s">
        <v>8526</v>
      </c>
    </row>
    <row r="1884">
      <c r="A1884" s="2" t="s">
        <v>8527</v>
      </c>
    </row>
    <row r="1886">
      <c r="A1886" s="2" t="s">
        <v>8528</v>
      </c>
    </row>
    <row r="1888">
      <c r="A1888" s="2" t="s">
        <v>8529</v>
      </c>
    </row>
    <row r="1889">
      <c r="A1889" s="2" t="s">
        <v>8530</v>
      </c>
    </row>
    <row r="1891">
      <c r="A1891" s="2" t="s">
        <v>7462</v>
      </c>
    </row>
    <row r="1892">
      <c r="A1892" s="2" t="s">
        <v>8531</v>
      </c>
    </row>
    <row r="1894">
      <c r="A1894" s="2" t="s">
        <v>8532</v>
      </c>
    </row>
    <row r="1896">
      <c r="A1896" s="2" t="s">
        <v>8533</v>
      </c>
    </row>
    <row r="1898">
      <c r="A1898" s="2" t="s">
        <v>8534</v>
      </c>
    </row>
    <row r="1899">
      <c r="A1899" s="2" t="s">
        <v>8535</v>
      </c>
    </row>
    <row r="1901">
      <c r="A1901" s="2" t="s">
        <v>8536</v>
      </c>
    </row>
    <row r="1903">
      <c r="A1903" s="2" t="s">
        <v>8537</v>
      </c>
    </row>
    <row r="1904">
      <c r="A1904" s="2" t="s">
        <v>8538</v>
      </c>
    </row>
    <row r="1906">
      <c r="A1906" s="2" t="s">
        <v>8539</v>
      </c>
    </row>
    <row r="1908">
      <c r="A1908" s="2" t="s">
        <v>8540</v>
      </c>
    </row>
    <row r="1910">
      <c r="A1910" s="2" t="s">
        <v>8541</v>
      </c>
    </row>
    <row r="1911">
      <c r="A1911" s="2" t="s">
        <v>8542</v>
      </c>
    </row>
    <row r="1913">
      <c r="A1913" s="2" t="s">
        <v>8543</v>
      </c>
    </row>
    <row r="1915">
      <c r="A1915" s="2" t="s">
        <v>8544</v>
      </c>
    </row>
    <row r="1916">
      <c r="A1916" s="2" t="s">
        <v>8545</v>
      </c>
    </row>
    <row r="1918">
      <c r="A1918" s="2" t="s">
        <v>8546</v>
      </c>
    </row>
    <row r="1920">
      <c r="A1920" s="2" t="s">
        <v>8547</v>
      </c>
    </row>
    <row r="1922">
      <c r="A1922" s="2" t="s">
        <v>8548</v>
      </c>
    </row>
    <row r="1923">
      <c r="A1923" s="2" t="s">
        <v>8549</v>
      </c>
    </row>
    <row r="1924">
      <c r="A1924" s="2" t="s">
        <v>7462</v>
      </c>
    </row>
    <row r="1925">
      <c r="A1925" s="2" t="s">
        <v>8550</v>
      </c>
    </row>
    <row r="1927">
      <c r="A1927" s="2" t="s">
        <v>8551</v>
      </c>
    </row>
    <row r="1929">
      <c r="A1929" s="2" t="s">
        <v>8552</v>
      </c>
    </row>
    <row r="1930">
      <c r="A1930" s="2" t="s">
        <v>8553</v>
      </c>
    </row>
    <row r="1932">
      <c r="A1932" s="2" t="s">
        <v>8554</v>
      </c>
    </row>
    <row r="1934">
      <c r="A1934" s="2" t="s">
        <v>8555</v>
      </c>
    </row>
    <row r="1936">
      <c r="A1936" s="2" t="s">
        <v>8556</v>
      </c>
    </row>
    <row r="1938">
      <c r="A1938" s="2" t="s">
        <v>8557</v>
      </c>
    </row>
    <row r="1939">
      <c r="A1939" s="2" t="s">
        <v>8558</v>
      </c>
    </row>
    <row r="1941">
      <c r="A1941" s="2" t="s">
        <v>8559</v>
      </c>
    </row>
    <row r="1943">
      <c r="A1943" s="2" t="s">
        <v>8560</v>
      </c>
    </row>
    <row r="1945">
      <c r="A1945" s="2" t="s">
        <v>8561</v>
      </c>
    </row>
    <row r="1946">
      <c r="A1946" s="2" t="s">
        <v>8562</v>
      </c>
    </row>
    <row r="1948">
      <c r="A1948" s="2" t="s">
        <v>8563</v>
      </c>
    </row>
    <row r="1950">
      <c r="A1950" s="2" t="s">
        <v>8564</v>
      </c>
    </row>
    <row r="1952">
      <c r="A1952" s="2" t="s">
        <v>8565</v>
      </c>
    </row>
    <row r="1953">
      <c r="A1953" s="2" t="s">
        <v>8566</v>
      </c>
    </row>
    <row r="1955">
      <c r="A1955" s="2" t="s">
        <v>8567</v>
      </c>
    </row>
    <row r="1957">
      <c r="A1957" s="2" t="s">
        <v>8568</v>
      </c>
    </row>
    <row r="1959">
      <c r="A1959" s="2" t="s">
        <v>8569</v>
      </c>
    </row>
    <row r="1960">
      <c r="A1960" s="2" t="s">
        <v>8570</v>
      </c>
    </row>
    <row r="1962">
      <c r="A1962" s="2" t="s">
        <v>8571</v>
      </c>
    </row>
    <row r="1964">
      <c r="A1964" s="2" t="s">
        <v>8572</v>
      </c>
    </row>
    <row r="1966">
      <c r="A1966" s="2" t="s">
        <v>8573</v>
      </c>
    </row>
    <row r="1967">
      <c r="A1967" s="2" t="s">
        <v>8574</v>
      </c>
    </row>
    <row r="1969">
      <c r="A1969" s="2" t="s">
        <v>8575</v>
      </c>
    </row>
    <row r="1971">
      <c r="A1971" s="2" t="s">
        <v>8576</v>
      </c>
    </row>
    <row r="1973">
      <c r="A1973" s="2" t="s">
        <v>8577</v>
      </c>
    </row>
    <row r="1974">
      <c r="A1974" s="2" t="s">
        <v>8578</v>
      </c>
    </row>
    <row r="1976">
      <c r="A1976" s="2" t="s">
        <v>8579</v>
      </c>
    </row>
    <row r="1978">
      <c r="A1978" s="2" t="s">
        <v>8580</v>
      </c>
    </row>
    <row r="1980">
      <c r="A1980" s="2" t="s">
        <v>8581</v>
      </c>
    </row>
    <row r="1981">
      <c r="A1981" s="2" t="s">
        <v>8582</v>
      </c>
    </row>
    <row r="1983">
      <c r="A1983" s="2" t="s">
        <v>8583</v>
      </c>
    </row>
    <row r="1985">
      <c r="A1985" s="2" t="s">
        <v>8584</v>
      </c>
    </row>
    <row r="1987">
      <c r="A1987" s="2" t="s">
        <v>8585</v>
      </c>
    </row>
    <row r="1988">
      <c r="A1988" s="2" t="s">
        <v>8586</v>
      </c>
    </row>
    <row r="1990">
      <c r="A1990" s="2" t="s">
        <v>8587</v>
      </c>
    </row>
    <row r="1992">
      <c r="A1992" s="2" t="s">
        <v>8588</v>
      </c>
    </row>
    <row r="1994">
      <c r="A1994" s="2" t="s">
        <v>8589</v>
      </c>
    </row>
    <row r="1995">
      <c r="A1995" s="2" t="s">
        <v>8590</v>
      </c>
    </row>
    <row r="1997">
      <c r="A1997" s="2" t="s">
        <v>8591</v>
      </c>
    </row>
    <row r="1999">
      <c r="A1999" s="2" t="s">
        <v>8592</v>
      </c>
    </row>
    <row r="2000">
      <c r="A2000" s="2" t="s">
        <v>8593</v>
      </c>
    </row>
    <row r="2002">
      <c r="A2002" s="2" t="s">
        <v>8594</v>
      </c>
    </row>
    <row r="2004">
      <c r="A2004" s="2" t="s">
        <v>8595</v>
      </c>
    </row>
    <row r="2006">
      <c r="A2006" s="2" t="s">
        <v>8596</v>
      </c>
    </row>
    <row r="2007">
      <c r="A2007" s="2" t="s">
        <v>8597</v>
      </c>
    </row>
    <row r="2009">
      <c r="A2009" s="2" t="s">
        <v>8598</v>
      </c>
    </row>
    <row r="2011">
      <c r="A2011" s="2" t="s">
        <v>8599</v>
      </c>
    </row>
    <row r="2012">
      <c r="A2012" s="2" t="s">
        <v>8600</v>
      </c>
    </row>
    <row r="2014">
      <c r="A2014" s="2" t="s">
        <v>8601</v>
      </c>
    </row>
    <row r="2016">
      <c r="A2016" s="2" t="s">
        <v>8602</v>
      </c>
    </row>
    <row r="2018">
      <c r="A2018" s="2" t="s">
        <v>8603</v>
      </c>
    </row>
    <row r="2019">
      <c r="A2019" s="2" t="s">
        <v>8604</v>
      </c>
    </row>
    <row r="2021">
      <c r="A2021" s="2" t="s">
        <v>8605</v>
      </c>
    </row>
    <row r="2023">
      <c r="A2023" s="2" t="s">
        <v>8606</v>
      </c>
    </row>
    <row r="2025">
      <c r="A2025" s="2" t="s">
        <v>8607</v>
      </c>
    </row>
    <row r="2026">
      <c r="A2026" s="2" t="s">
        <v>8608</v>
      </c>
    </row>
    <row r="2028">
      <c r="A2028" s="2" t="s">
        <v>8609</v>
      </c>
    </row>
    <row r="2030">
      <c r="A2030" s="2" t="s">
        <v>8610</v>
      </c>
    </row>
    <row r="2032">
      <c r="A2032" s="2" t="s">
        <v>8611</v>
      </c>
    </row>
    <row r="2033">
      <c r="A2033" s="2" t="s">
        <v>8612</v>
      </c>
    </row>
    <row r="2035">
      <c r="A2035" s="2" t="s">
        <v>8613</v>
      </c>
    </row>
    <row r="2037">
      <c r="A2037" s="2" t="s">
        <v>8614</v>
      </c>
    </row>
    <row r="2039">
      <c r="A2039" s="2" t="s">
        <v>8615</v>
      </c>
    </row>
    <row r="2040">
      <c r="A2040" s="2" t="s">
        <v>8616</v>
      </c>
    </row>
    <row r="2042">
      <c r="A2042" s="2" t="s">
        <v>8617</v>
      </c>
    </row>
    <row r="2044">
      <c r="A2044" s="2" t="s">
        <v>8618</v>
      </c>
    </row>
    <row r="2045">
      <c r="A2045" s="2" t="s">
        <v>8619</v>
      </c>
    </row>
    <row r="2047">
      <c r="A2047" s="2" t="s">
        <v>8620</v>
      </c>
    </row>
    <row r="2049">
      <c r="A2049" s="2" t="s">
        <v>8621</v>
      </c>
    </row>
    <row r="2051">
      <c r="A2051" s="2" t="s">
        <v>8622</v>
      </c>
    </row>
    <row r="2052">
      <c r="A2052" s="2" t="s">
        <v>8623</v>
      </c>
    </row>
    <row r="2054">
      <c r="A2054" s="2" t="s">
        <v>8624</v>
      </c>
    </row>
    <row r="2056">
      <c r="A2056" s="2" t="s">
        <v>8625</v>
      </c>
    </row>
    <row r="2057">
      <c r="A2057" s="2" t="s">
        <v>8626</v>
      </c>
    </row>
    <row r="2059">
      <c r="A2059" s="2" t="s">
        <v>8627</v>
      </c>
    </row>
    <row r="2061">
      <c r="A2061" s="2" t="s">
        <v>8628</v>
      </c>
    </row>
    <row r="2063">
      <c r="A2063" s="2" t="s">
        <v>8629</v>
      </c>
    </row>
    <row r="2064">
      <c r="A2064" s="2" t="s">
        <v>8630</v>
      </c>
    </row>
    <row r="2066">
      <c r="A2066" s="2" t="s">
        <v>8631</v>
      </c>
    </row>
    <row r="2068">
      <c r="A2068" s="2" t="s">
        <v>8632</v>
      </c>
    </row>
    <row r="2069">
      <c r="A2069" s="2" t="s">
        <v>8633</v>
      </c>
    </row>
    <row r="2071">
      <c r="A2071" s="2" t="s">
        <v>8634</v>
      </c>
    </row>
    <row r="2073">
      <c r="A2073" s="2" t="s">
        <v>8635</v>
      </c>
    </row>
    <row r="2075">
      <c r="A2075" s="2" t="s">
        <v>8636</v>
      </c>
    </row>
    <row r="2076">
      <c r="A2076" s="2" t="s">
        <v>8637</v>
      </c>
    </row>
    <row r="2078">
      <c r="A2078" s="2" t="s">
        <v>8638</v>
      </c>
    </row>
    <row r="2080">
      <c r="A2080" s="2" t="s">
        <v>8639</v>
      </c>
    </row>
    <row r="2081">
      <c r="A2081" s="2" t="s">
        <v>8640</v>
      </c>
    </row>
    <row r="2083">
      <c r="A2083" s="2" t="s">
        <v>8641</v>
      </c>
    </row>
    <row r="2085">
      <c r="A2085" s="2" t="s">
        <v>8642</v>
      </c>
    </row>
    <row r="2087">
      <c r="A2087" s="2" t="s">
        <v>8643</v>
      </c>
    </row>
    <row r="2088">
      <c r="A2088" s="2" t="s">
        <v>8644</v>
      </c>
    </row>
    <row r="2090">
      <c r="A2090" s="2" t="s">
        <v>8645</v>
      </c>
    </row>
    <row r="2092">
      <c r="A2092" s="2" t="s">
        <v>8646</v>
      </c>
    </row>
    <row r="2094">
      <c r="A2094" s="2" t="s">
        <v>8647</v>
      </c>
    </row>
    <row r="2095">
      <c r="A2095" s="2" t="s">
        <v>8648</v>
      </c>
    </row>
    <row r="2097">
      <c r="A2097" s="2" t="s">
        <v>8649</v>
      </c>
    </row>
    <row r="2099">
      <c r="A2099" s="2" t="s">
        <v>8650</v>
      </c>
    </row>
    <row r="2101">
      <c r="A2101" s="2" t="s">
        <v>8651</v>
      </c>
    </row>
    <row r="2102">
      <c r="A2102" s="2" t="s">
        <v>8652</v>
      </c>
    </row>
    <row r="2104">
      <c r="A2104" s="2" t="s">
        <v>8653</v>
      </c>
    </row>
    <row r="2106">
      <c r="A2106" s="2" t="s">
        <v>8654</v>
      </c>
    </row>
    <row r="2108">
      <c r="A2108" s="2" t="s">
        <v>8655</v>
      </c>
    </row>
    <row r="2109">
      <c r="A2109" s="2" t="s">
        <v>8656</v>
      </c>
    </row>
    <row r="2111">
      <c r="A2111" s="2" t="s">
        <v>8657</v>
      </c>
    </row>
    <row r="2113">
      <c r="A2113" s="2" t="s">
        <v>8658</v>
      </c>
    </row>
    <row r="2115">
      <c r="A2115" s="2" t="s">
        <v>8659</v>
      </c>
    </row>
    <row r="2116">
      <c r="A2116" s="2" t="s">
        <v>8660</v>
      </c>
    </row>
    <row r="2118">
      <c r="A2118" s="2" t="s">
        <v>8661</v>
      </c>
    </row>
    <row r="2120">
      <c r="A2120" s="2" t="s">
        <v>8662</v>
      </c>
    </row>
    <row r="2121">
      <c r="A2121" s="2" t="s">
        <v>8663</v>
      </c>
    </row>
    <row r="2123">
      <c r="A2123" s="2" t="s">
        <v>8664</v>
      </c>
    </row>
    <row r="2125">
      <c r="A2125" s="2" t="s">
        <v>8665</v>
      </c>
    </row>
    <row r="2126">
      <c r="A2126" s="2" t="s">
        <v>8666</v>
      </c>
    </row>
    <row r="2128">
      <c r="A2128" s="2" t="s">
        <v>8667</v>
      </c>
    </row>
    <row r="2130">
      <c r="A2130" s="2" t="s">
        <v>8668</v>
      </c>
    </row>
    <row r="2132">
      <c r="A2132" s="2" t="s">
        <v>8669</v>
      </c>
    </row>
    <row r="2133">
      <c r="A2133" s="2" t="s">
        <v>8670</v>
      </c>
    </row>
    <row r="2135">
      <c r="A2135" s="2" t="s">
        <v>8671</v>
      </c>
    </row>
    <row r="2137">
      <c r="A2137" s="2" t="s">
        <v>8672</v>
      </c>
    </row>
    <row r="2138">
      <c r="A2138" s="2" t="s">
        <v>8673</v>
      </c>
    </row>
    <row r="2140">
      <c r="A2140" s="2" t="s">
        <v>8674</v>
      </c>
    </row>
    <row r="2142">
      <c r="A2142" s="2" t="s">
        <v>8675</v>
      </c>
    </row>
    <row r="2144">
      <c r="A2144" s="2" t="s">
        <v>8676</v>
      </c>
    </row>
    <row r="2145">
      <c r="A2145" s="2" t="s">
        <v>8677</v>
      </c>
    </row>
    <row r="2147">
      <c r="A2147" s="2" t="s">
        <v>8678</v>
      </c>
    </row>
    <row r="2149">
      <c r="A2149" s="2" t="s">
        <v>8679</v>
      </c>
    </row>
    <row r="2151">
      <c r="A2151" s="2" t="s">
        <v>8680</v>
      </c>
    </row>
    <row r="2152">
      <c r="A2152" s="2" t="s">
        <v>8681</v>
      </c>
    </row>
    <row r="2154">
      <c r="A2154" s="2" t="s">
        <v>8682</v>
      </c>
    </row>
    <row r="2156">
      <c r="A2156" s="2" t="s">
        <v>8683</v>
      </c>
    </row>
    <row r="2157">
      <c r="A2157" s="2" t="s">
        <v>8684</v>
      </c>
    </row>
    <row r="2159">
      <c r="A2159" s="2" t="s">
        <v>8685</v>
      </c>
    </row>
    <row r="2161">
      <c r="A2161" s="2" t="s">
        <v>8686</v>
      </c>
    </row>
    <row r="2163">
      <c r="A2163" s="2" t="s">
        <v>8687</v>
      </c>
    </row>
    <row r="2164">
      <c r="A2164" s="2" t="s">
        <v>8688</v>
      </c>
    </row>
    <row r="2166">
      <c r="A2166" s="2" t="s">
        <v>8689</v>
      </c>
    </row>
    <row r="2168">
      <c r="A2168" s="2" t="s">
        <v>8690</v>
      </c>
    </row>
    <row r="2170">
      <c r="A2170" s="2" t="s">
        <v>8691</v>
      </c>
    </row>
    <row r="2171">
      <c r="A2171" s="2" t="s">
        <v>8692</v>
      </c>
    </row>
    <row r="2173">
      <c r="A2173" s="2" t="s">
        <v>8693</v>
      </c>
    </row>
    <row r="2175">
      <c r="A2175" s="2" t="s">
        <v>8694</v>
      </c>
    </row>
    <row r="2176">
      <c r="A2176" s="2" t="s">
        <v>8695</v>
      </c>
    </row>
    <row r="2178">
      <c r="A2178" s="2" t="s">
        <v>8696</v>
      </c>
    </row>
    <row r="2180">
      <c r="A2180" s="2" t="s">
        <v>8697</v>
      </c>
    </row>
    <row r="2181">
      <c r="A2181" s="2" t="s">
        <v>8698</v>
      </c>
    </row>
    <row r="2183">
      <c r="A2183" s="2" t="s">
        <v>8699</v>
      </c>
    </row>
    <row r="2185">
      <c r="A2185" s="2" t="s">
        <v>8700</v>
      </c>
    </row>
    <row r="2186">
      <c r="A2186" s="2" t="s">
        <v>8701</v>
      </c>
    </row>
    <row r="2188">
      <c r="A2188" s="2" t="s">
        <v>8702</v>
      </c>
    </row>
    <row r="2190">
      <c r="A2190" s="2" t="s">
        <v>8703</v>
      </c>
    </row>
    <row r="2192">
      <c r="A2192" s="2" t="s">
        <v>8704</v>
      </c>
    </row>
    <row r="2193">
      <c r="A2193" s="2" t="s">
        <v>8705</v>
      </c>
    </row>
    <row r="2195">
      <c r="A2195" s="2" t="s">
        <v>8706</v>
      </c>
    </row>
    <row r="2197">
      <c r="A2197" s="2" t="s">
        <v>8707</v>
      </c>
    </row>
    <row r="2199">
      <c r="A2199" s="2" t="s">
        <v>8708</v>
      </c>
    </row>
    <row r="2200">
      <c r="A2200" s="2" t="s">
        <v>8709</v>
      </c>
    </row>
    <row r="2202">
      <c r="A2202" s="2" t="s">
        <v>8710</v>
      </c>
    </row>
    <row r="2204">
      <c r="A2204" s="2" t="s">
        <v>8711</v>
      </c>
    </row>
    <row r="2206">
      <c r="A2206" s="2" t="s">
        <v>8712</v>
      </c>
    </row>
    <row r="2207">
      <c r="A2207" s="2" t="s">
        <v>8713</v>
      </c>
    </row>
    <row r="2209">
      <c r="A2209" s="2" t="s">
        <v>8714</v>
      </c>
    </row>
    <row r="2211">
      <c r="A2211" s="2" t="s">
        <v>8715</v>
      </c>
    </row>
    <row r="2212">
      <c r="A2212" s="2" t="s">
        <v>8716</v>
      </c>
    </row>
    <row r="2214">
      <c r="A2214" s="2" t="s">
        <v>8717</v>
      </c>
    </row>
    <row r="2216">
      <c r="A2216" s="2" t="s">
        <v>8718</v>
      </c>
    </row>
    <row r="2218">
      <c r="A2218" s="2" t="s">
        <v>8719</v>
      </c>
    </row>
    <row r="2219">
      <c r="A2219" s="2" t="s">
        <v>8720</v>
      </c>
    </row>
    <row r="2221">
      <c r="A2221" s="2" t="s">
        <v>8721</v>
      </c>
    </row>
    <row r="2223">
      <c r="A2223" s="2" t="s">
        <v>8722</v>
      </c>
    </row>
    <row r="2224">
      <c r="A2224" s="2" t="s">
        <v>8723</v>
      </c>
    </row>
    <row r="2226">
      <c r="A2226" s="2" t="s">
        <v>8724</v>
      </c>
    </row>
    <row r="2227">
      <c r="A2227" s="2" t="s">
        <v>8725</v>
      </c>
    </row>
    <row r="2229">
      <c r="A2229" s="2" t="s">
        <v>8726</v>
      </c>
    </row>
    <row r="2231">
      <c r="A2231" s="2" t="s">
        <v>8727</v>
      </c>
    </row>
    <row r="2233">
      <c r="A2233" s="2" t="s">
        <v>8728</v>
      </c>
    </row>
    <row r="2234">
      <c r="A2234" s="2" t="s">
        <v>8729</v>
      </c>
    </row>
    <row r="2236">
      <c r="A2236" s="2" t="s">
        <v>8730</v>
      </c>
    </row>
    <row r="2238">
      <c r="A2238" s="2" t="s">
        <v>8731</v>
      </c>
    </row>
    <row r="2240">
      <c r="A2240" s="2" t="s">
        <v>8732</v>
      </c>
    </row>
    <row r="2241">
      <c r="A2241" s="2" t="s">
        <v>8733</v>
      </c>
    </row>
    <row r="2242">
      <c r="A2242" s="2" t="s">
        <v>7462</v>
      </c>
    </row>
    <row r="2243">
      <c r="A2243" s="2" t="s">
        <v>8734</v>
      </c>
    </row>
    <row r="2245">
      <c r="A2245" s="2" t="s">
        <v>8735</v>
      </c>
    </row>
    <row r="2247">
      <c r="A2247" s="2" t="s">
        <v>8736</v>
      </c>
    </row>
    <row r="2249">
      <c r="A2249" s="2" t="s">
        <v>8737</v>
      </c>
    </row>
    <row r="2250">
      <c r="A2250" s="2" t="s">
        <v>8738</v>
      </c>
    </row>
    <row r="2252">
      <c r="A2252" s="2" t="s">
        <v>8739</v>
      </c>
    </row>
    <row r="2253">
      <c r="A2253" s="2" t="s">
        <v>8740</v>
      </c>
    </row>
    <row r="2255">
      <c r="A2255" s="2" t="s">
        <v>8741</v>
      </c>
    </row>
    <row r="2257">
      <c r="A2257" s="2" t="s">
        <v>8742</v>
      </c>
    </row>
    <row r="2259">
      <c r="A2259" s="2" t="s">
        <v>8743</v>
      </c>
    </row>
    <row r="2260">
      <c r="A2260" s="2" t="s">
        <v>8744</v>
      </c>
    </row>
    <row r="2262">
      <c r="A2262" s="2" t="s">
        <v>8745</v>
      </c>
    </row>
    <row r="2264">
      <c r="A2264" s="2" t="s">
        <v>8746</v>
      </c>
    </row>
    <row r="2266">
      <c r="A2266" s="2" t="s">
        <v>8747</v>
      </c>
    </row>
    <row r="2267">
      <c r="A2267" s="2" t="s">
        <v>8748</v>
      </c>
    </row>
    <row r="2269">
      <c r="A2269" s="2" t="s">
        <v>8749</v>
      </c>
    </row>
    <row r="2271">
      <c r="A2271" s="2" t="s">
        <v>8750</v>
      </c>
    </row>
    <row r="2272">
      <c r="A2272" s="2" t="s">
        <v>8751</v>
      </c>
    </row>
    <row r="2274">
      <c r="A2274" s="2" t="s">
        <v>8752</v>
      </c>
    </row>
    <row r="2276">
      <c r="A2276" s="2" t="s">
        <v>8753</v>
      </c>
    </row>
    <row r="2277">
      <c r="A2277" s="2" t="s">
        <v>8754</v>
      </c>
    </row>
    <row r="2279">
      <c r="A2279" s="2" t="s">
        <v>8755</v>
      </c>
    </row>
    <row r="2281">
      <c r="A2281" s="2" t="s">
        <v>8756</v>
      </c>
    </row>
    <row r="2283">
      <c r="A2283" s="2" t="s">
        <v>8757</v>
      </c>
    </row>
    <row r="2284">
      <c r="A2284" s="2" t="s">
        <v>8758</v>
      </c>
    </row>
    <row r="2286">
      <c r="A2286" s="2" t="s">
        <v>8759</v>
      </c>
    </row>
    <row r="2288">
      <c r="A2288" s="2" t="s">
        <v>8760</v>
      </c>
    </row>
    <row r="2290">
      <c r="A2290" s="2" t="s">
        <v>8761</v>
      </c>
    </row>
    <row r="2291">
      <c r="A2291" s="2" t="s">
        <v>8762</v>
      </c>
    </row>
    <row r="2292">
      <c r="A2292" s="2" t="s">
        <v>7462</v>
      </c>
    </row>
    <row r="2293">
      <c r="A2293" s="2" t="s">
        <v>8763</v>
      </c>
    </row>
    <row r="2295">
      <c r="A2295" s="2" t="s">
        <v>8764</v>
      </c>
    </row>
    <row r="2297">
      <c r="A2297" s="2" t="s">
        <v>8765</v>
      </c>
    </row>
    <row r="2298">
      <c r="A2298" s="2" t="s">
        <v>8766</v>
      </c>
    </row>
    <row r="2300">
      <c r="A2300" s="2" t="s">
        <v>8767</v>
      </c>
    </row>
    <row r="2302">
      <c r="A2302" s="2" t="s">
        <v>8768</v>
      </c>
    </row>
    <row r="2304">
      <c r="A2304" s="2" t="s">
        <v>8769</v>
      </c>
    </row>
    <row r="2305">
      <c r="A2305" s="2" t="s">
        <v>8770</v>
      </c>
    </row>
    <row r="2307">
      <c r="A2307" s="2" t="s">
        <v>8771</v>
      </c>
    </row>
    <row r="2309">
      <c r="A2309" s="2" t="s">
        <v>8772</v>
      </c>
    </row>
    <row r="2310">
      <c r="A2310" s="2" t="s">
        <v>8773</v>
      </c>
    </row>
    <row r="2312">
      <c r="A2312" s="2" t="s">
        <v>8774</v>
      </c>
    </row>
    <row r="2314">
      <c r="A2314" s="2" t="s">
        <v>8775</v>
      </c>
    </row>
    <row r="2315">
      <c r="A2315" s="2" t="s">
        <v>8776</v>
      </c>
    </row>
    <row r="2316">
      <c r="A2316" s="2" t="s">
        <v>7462</v>
      </c>
    </row>
    <row r="2317">
      <c r="A2317" s="2" t="s">
        <v>8777</v>
      </c>
    </row>
    <row r="2319">
      <c r="A2319" s="2" t="s">
        <v>8778</v>
      </c>
    </row>
    <row r="2321">
      <c r="A2321" s="2" t="s">
        <v>8779</v>
      </c>
    </row>
    <row r="2322">
      <c r="A2322" s="2" t="s">
        <v>8780</v>
      </c>
    </row>
    <row r="2324">
      <c r="A2324" s="2" t="s">
        <v>8781</v>
      </c>
    </row>
    <row r="2326">
      <c r="A2326" s="2" t="s">
        <v>8782</v>
      </c>
    </row>
    <row r="2328">
      <c r="A2328" s="2" t="s">
        <v>8783</v>
      </c>
    </row>
    <row r="2329">
      <c r="A2329" s="2" t="s">
        <v>8784</v>
      </c>
    </row>
    <row r="2331">
      <c r="A2331" s="2" t="s">
        <v>8785</v>
      </c>
    </row>
    <row r="2333">
      <c r="A2333" s="2" t="s">
        <v>8786</v>
      </c>
    </row>
    <row r="2334">
      <c r="A2334" s="2" t="s">
        <v>8787</v>
      </c>
    </row>
    <row r="2336">
      <c r="A2336" s="2" t="s">
        <v>8788</v>
      </c>
    </row>
    <row r="2338">
      <c r="A2338" s="2" t="s">
        <v>8789</v>
      </c>
    </row>
    <row r="2340">
      <c r="A2340" s="2" t="s">
        <v>8790</v>
      </c>
    </row>
    <row r="2341">
      <c r="A2341" s="2" t="s">
        <v>8791</v>
      </c>
    </row>
    <row r="2343">
      <c r="A2343" s="2" t="s">
        <v>8792</v>
      </c>
    </row>
    <row r="2345">
      <c r="A2345" s="2" t="s">
        <v>8793</v>
      </c>
    </row>
    <row r="2346">
      <c r="A2346" s="2" t="s">
        <v>8794</v>
      </c>
    </row>
    <row r="2348">
      <c r="A2348" s="2" t="s">
        <v>8795</v>
      </c>
    </row>
    <row r="2350">
      <c r="A2350" s="2" t="s">
        <v>8796</v>
      </c>
    </row>
    <row r="2351">
      <c r="A2351" s="2" t="s">
        <v>8797</v>
      </c>
    </row>
    <row r="2353">
      <c r="A2353" s="2" t="s">
        <v>7577</v>
      </c>
    </row>
    <row r="2354">
      <c r="A2354" s="2" t="s">
        <v>8798</v>
      </c>
    </row>
    <row r="2356">
      <c r="A2356" s="2" t="s">
        <v>8799</v>
      </c>
    </row>
    <row r="2357">
      <c r="A2357" s="2" t="s">
        <v>8800</v>
      </c>
    </row>
    <row r="2359">
      <c r="A2359" s="2" t="s">
        <v>8801</v>
      </c>
    </row>
    <row r="2361">
      <c r="A2361" s="2" t="s">
        <v>8802</v>
      </c>
    </row>
    <row r="2363">
      <c r="A2363" s="2" t="s">
        <v>8803</v>
      </c>
    </row>
    <row r="2364">
      <c r="A2364" s="2" t="s">
        <v>8804</v>
      </c>
    </row>
    <row r="2366">
      <c r="A2366" s="2" t="s">
        <v>8805</v>
      </c>
    </row>
    <row r="2368">
      <c r="A2368" s="2" t="s">
        <v>8806</v>
      </c>
    </row>
    <row r="2370">
      <c r="A2370" s="2" t="s">
        <v>8807</v>
      </c>
    </row>
    <row r="2371">
      <c r="A2371" s="2" t="s">
        <v>8808</v>
      </c>
    </row>
    <row r="2373">
      <c r="A2373" s="2" t="s">
        <v>8809</v>
      </c>
    </row>
    <row r="2375">
      <c r="A2375" s="2" t="s">
        <v>8810</v>
      </c>
    </row>
    <row r="2377">
      <c r="A2377" s="2" t="s">
        <v>8811</v>
      </c>
    </row>
    <row r="2378">
      <c r="A2378" s="2" t="s">
        <v>8812</v>
      </c>
    </row>
    <row r="2380">
      <c r="A2380" s="2" t="s">
        <v>8813</v>
      </c>
    </row>
    <row r="2382">
      <c r="A2382" s="2" t="s">
        <v>8814</v>
      </c>
    </row>
    <row r="2383">
      <c r="A2383" s="2" t="s">
        <v>8815</v>
      </c>
    </row>
    <row r="2385">
      <c r="A2385" s="2" t="s">
        <v>8816</v>
      </c>
    </row>
    <row r="2387">
      <c r="A2387" s="2" t="s">
        <v>8817</v>
      </c>
    </row>
    <row r="2389">
      <c r="A2389" s="2" t="s">
        <v>8818</v>
      </c>
    </row>
    <row r="2390">
      <c r="A2390" s="2" t="s">
        <v>8819</v>
      </c>
    </row>
    <row r="2392">
      <c r="A2392" s="2" t="s">
        <v>8820</v>
      </c>
    </row>
    <row r="2394">
      <c r="A2394" s="2" t="s">
        <v>8821</v>
      </c>
    </row>
    <row r="2396">
      <c r="A2396" s="2" t="s">
        <v>8822</v>
      </c>
    </row>
    <row r="2397">
      <c r="A2397" s="2" t="s">
        <v>8823</v>
      </c>
    </row>
    <row r="2399">
      <c r="A2399" s="2" t="s">
        <v>8824</v>
      </c>
    </row>
    <row r="2401">
      <c r="A2401" s="2" t="s">
        <v>8825</v>
      </c>
    </row>
    <row r="2402">
      <c r="A2402" s="2" t="s">
        <v>8826</v>
      </c>
    </row>
    <row r="2404">
      <c r="A2404" s="2" t="s">
        <v>8827</v>
      </c>
    </row>
    <row r="2406">
      <c r="A2406" s="2" t="s">
        <v>8828</v>
      </c>
    </row>
    <row r="2408">
      <c r="A2408" s="2" t="s">
        <v>8829</v>
      </c>
    </row>
    <row r="2409">
      <c r="A2409" s="2" t="s">
        <v>8830</v>
      </c>
    </row>
    <row r="2411">
      <c r="A2411" s="2" t="s">
        <v>8831</v>
      </c>
    </row>
    <row r="2413">
      <c r="A2413" s="2" t="s">
        <v>8832</v>
      </c>
    </row>
    <row r="2415">
      <c r="A2415" s="2" t="s">
        <v>8833</v>
      </c>
    </row>
    <row r="2417">
      <c r="A2417" s="2" t="s">
        <v>8834</v>
      </c>
    </row>
    <row r="2418">
      <c r="A2418" s="2" t="s">
        <v>8835</v>
      </c>
    </row>
    <row r="2420">
      <c r="A2420" s="2" t="s">
        <v>8836</v>
      </c>
    </row>
    <row r="2422">
      <c r="A2422" s="2" t="s">
        <v>8837</v>
      </c>
    </row>
    <row r="2424">
      <c r="A2424" s="2" t="s">
        <v>8838</v>
      </c>
    </row>
    <row r="2425">
      <c r="A2425" s="2" t="s">
        <v>8839</v>
      </c>
    </row>
    <row r="2427">
      <c r="A2427" s="2" t="s">
        <v>8840</v>
      </c>
    </row>
    <row r="2429">
      <c r="A2429" s="2" t="s">
        <v>8841</v>
      </c>
    </row>
    <row r="2431">
      <c r="A2431" s="2" t="s">
        <v>8842</v>
      </c>
    </row>
    <row r="2432">
      <c r="A2432" s="2" t="s">
        <v>8843</v>
      </c>
    </row>
    <row r="2434">
      <c r="A2434" s="2" t="s">
        <v>8844</v>
      </c>
    </row>
    <row r="2436">
      <c r="A2436" s="2" t="s">
        <v>8845</v>
      </c>
    </row>
    <row r="2438">
      <c r="A2438" s="2" t="s">
        <v>8846</v>
      </c>
    </row>
    <row r="2439">
      <c r="A2439" s="2" t="s">
        <v>8847</v>
      </c>
    </row>
    <row r="2441">
      <c r="A2441" s="2" t="s">
        <v>8848</v>
      </c>
    </row>
    <row r="2443">
      <c r="A2443" s="2" t="s">
        <v>8849</v>
      </c>
    </row>
    <row r="2445">
      <c r="A2445" s="2" t="s">
        <v>8850</v>
      </c>
    </row>
    <row r="2446">
      <c r="A2446" s="2" t="s">
        <v>8851</v>
      </c>
    </row>
    <row r="2448">
      <c r="A2448" s="2" t="s">
        <v>8852</v>
      </c>
    </row>
    <row r="2450">
      <c r="A2450" s="2" t="s">
        <v>8853</v>
      </c>
    </row>
    <row r="2452">
      <c r="A2452" s="2" t="s">
        <v>8854</v>
      </c>
    </row>
    <row r="2454">
      <c r="A2454" s="2" t="s">
        <v>8855</v>
      </c>
    </row>
    <row r="2455">
      <c r="A2455" s="2" t="s">
        <v>8856</v>
      </c>
    </row>
    <row r="2457">
      <c r="A2457" s="2" t="s">
        <v>8857</v>
      </c>
    </row>
    <row r="2459">
      <c r="A2459" s="2" t="s">
        <v>8858</v>
      </c>
    </row>
    <row r="2460">
      <c r="A2460" s="2" t="s">
        <v>8859</v>
      </c>
    </row>
    <row r="2462">
      <c r="A2462" s="2" t="s">
        <v>8860</v>
      </c>
    </row>
    <row r="2464">
      <c r="A2464" s="2" t="s">
        <v>8861</v>
      </c>
    </row>
    <row r="2466">
      <c r="A2466" s="2" t="s">
        <v>8862</v>
      </c>
    </row>
    <row r="2467">
      <c r="A2467" s="2" t="s">
        <v>8863</v>
      </c>
    </row>
    <row r="2469">
      <c r="A2469" s="2" t="s">
        <v>8864</v>
      </c>
    </row>
    <row r="2471">
      <c r="A2471" s="2" t="s">
        <v>8865</v>
      </c>
    </row>
    <row r="2472">
      <c r="A2472" s="2" t="s">
        <v>8866</v>
      </c>
    </row>
    <row r="2474">
      <c r="A2474" s="2" t="s">
        <v>8867</v>
      </c>
    </row>
    <row r="2476">
      <c r="A2476" s="2" t="s">
        <v>8868</v>
      </c>
    </row>
    <row r="2477">
      <c r="A2477" s="2" t="s">
        <v>8869</v>
      </c>
    </row>
    <row r="2479">
      <c r="A2479" s="2" t="s">
        <v>8870</v>
      </c>
    </row>
    <row r="2481">
      <c r="A2481" s="2" t="s">
        <v>7691</v>
      </c>
    </row>
    <row r="2482">
      <c r="A2482" s="2" t="s">
        <v>8871</v>
      </c>
    </row>
    <row r="2484">
      <c r="A2484" s="2" t="s">
        <v>8872</v>
      </c>
    </row>
    <row r="2485">
      <c r="A2485" s="2" t="s">
        <v>8873</v>
      </c>
    </row>
    <row r="2487">
      <c r="A2487" s="2" t="s">
        <v>8874</v>
      </c>
    </row>
    <row r="2489">
      <c r="A2489" s="2" t="s">
        <v>8875</v>
      </c>
    </row>
    <row r="2490">
      <c r="A2490" s="2" t="s">
        <v>8876</v>
      </c>
    </row>
    <row r="2492">
      <c r="A2492" s="2" t="s">
        <v>8877</v>
      </c>
    </row>
    <row r="2494">
      <c r="A2494" s="2" t="s">
        <v>8878</v>
      </c>
    </row>
    <row r="2495">
      <c r="A2495" s="2" t="s">
        <v>8879</v>
      </c>
    </row>
    <row r="2497">
      <c r="A2497" s="2" t="s">
        <v>8880</v>
      </c>
    </row>
    <row r="2499">
      <c r="A2499" s="2" t="s">
        <v>8881</v>
      </c>
    </row>
    <row r="2500">
      <c r="A2500" s="2" t="s">
        <v>8882</v>
      </c>
    </row>
    <row r="2502">
      <c r="A2502" s="2" t="s">
        <v>8883</v>
      </c>
    </row>
    <row r="2504">
      <c r="A2504" s="2" t="s">
        <v>8884</v>
      </c>
    </row>
    <row r="2506">
      <c r="A2506" s="2" t="s">
        <v>8885</v>
      </c>
    </row>
    <row r="2507">
      <c r="A2507" s="2" t="s">
        <v>8886</v>
      </c>
    </row>
    <row r="2509">
      <c r="A2509" s="2" t="s">
        <v>8887</v>
      </c>
    </row>
    <row r="2511">
      <c r="A2511" s="2" t="s">
        <v>8888</v>
      </c>
    </row>
    <row r="2512">
      <c r="A2512" s="2" t="s">
        <v>8889</v>
      </c>
    </row>
    <row r="2514">
      <c r="A2514" s="2" t="s">
        <v>8890</v>
      </c>
    </row>
    <row r="2516">
      <c r="A2516" s="2" t="s">
        <v>8891</v>
      </c>
    </row>
    <row r="2518">
      <c r="A2518" s="2" t="s">
        <v>8892</v>
      </c>
    </row>
    <row r="2519">
      <c r="A2519" s="2" t="s">
        <v>8893</v>
      </c>
    </row>
    <row r="2521">
      <c r="A2521" s="2" t="s">
        <v>8894</v>
      </c>
    </row>
    <row r="2523">
      <c r="A2523" s="2" t="s">
        <v>8895</v>
      </c>
    </row>
    <row r="2524">
      <c r="A2524" s="2" t="s">
        <v>8896</v>
      </c>
    </row>
    <row r="2526">
      <c r="A2526" s="2" t="s">
        <v>8897</v>
      </c>
    </row>
    <row r="2528">
      <c r="A2528" s="2" t="s">
        <v>8898</v>
      </c>
    </row>
    <row r="2530">
      <c r="A2530" s="2" t="s">
        <v>8899</v>
      </c>
    </row>
    <row r="2531">
      <c r="A2531" s="2" t="s">
        <v>8900</v>
      </c>
    </row>
    <row r="2533">
      <c r="A2533" s="2" t="s">
        <v>8901</v>
      </c>
    </row>
    <row r="2535">
      <c r="A2535" s="2" t="s">
        <v>8902</v>
      </c>
    </row>
    <row r="2537">
      <c r="A2537" s="2" t="s">
        <v>8903</v>
      </c>
    </row>
    <row r="2538">
      <c r="A2538" s="2" t="s">
        <v>8904</v>
      </c>
    </row>
    <row r="2540">
      <c r="A2540" s="2" t="s">
        <v>8905</v>
      </c>
    </row>
    <row r="2542">
      <c r="A2542" s="2" t="s">
        <v>8906</v>
      </c>
    </row>
    <row r="2544">
      <c r="A2544" s="2" t="s">
        <v>8907</v>
      </c>
    </row>
    <row r="2545">
      <c r="A2545" s="2" t="s">
        <v>8908</v>
      </c>
    </row>
    <row r="2547">
      <c r="A2547" s="2" t="s">
        <v>8909</v>
      </c>
    </row>
    <row r="2549">
      <c r="A2549" s="2" t="s">
        <v>8910</v>
      </c>
    </row>
    <row r="2551">
      <c r="A2551" s="2" t="s">
        <v>8911</v>
      </c>
    </row>
    <row r="2552">
      <c r="A2552" s="2" t="s">
        <v>8912</v>
      </c>
    </row>
    <row r="2554">
      <c r="A2554" s="2" t="s">
        <v>8913</v>
      </c>
    </row>
    <row r="2556">
      <c r="A2556" s="2" t="s">
        <v>8914</v>
      </c>
    </row>
    <row r="2557">
      <c r="A2557" s="2" t="s">
        <v>8915</v>
      </c>
    </row>
    <row r="2559">
      <c r="A2559" s="2" t="s">
        <v>8916</v>
      </c>
    </row>
    <row r="2561">
      <c r="A2561" s="2" t="s">
        <v>8917</v>
      </c>
    </row>
    <row r="2562">
      <c r="A2562" s="2" t="s">
        <v>8918</v>
      </c>
    </row>
    <row r="2564">
      <c r="A2564" s="2" t="s">
        <v>8919</v>
      </c>
    </row>
    <row r="2566">
      <c r="A2566" s="2" t="s">
        <v>8920</v>
      </c>
    </row>
    <row r="2567">
      <c r="A2567" s="2" t="s">
        <v>8921</v>
      </c>
    </row>
    <row r="2569">
      <c r="A2569" s="2" t="s">
        <v>8922</v>
      </c>
    </row>
    <row r="2571">
      <c r="A2571" s="2" t="s">
        <v>8923</v>
      </c>
    </row>
    <row r="2573">
      <c r="A2573" s="2" t="s">
        <v>8924</v>
      </c>
    </row>
    <row r="2574">
      <c r="A2574" s="2" t="s">
        <v>8925</v>
      </c>
    </row>
    <row r="2576">
      <c r="A2576" s="2" t="s">
        <v>8926</v>
      </c>
    </row>
    <row r="2578">
      <c r="A2578" s="2" t="s">
        <v>8927</v>
      </c>
    </row>
    <row r="2579">
      <c r="A2579" s="2" t="s">
        <v>8928</v>
      </c>
    </row>
    <row r="2581">
      <c r="A2581" s="2" t="s">
        <v>8929</v>
      </c>
    </row>
    <row r="2582">
      <c r="A2582" s="2" t="s">
        <v>8930</v>
      </c>
    </row>
    <row r="2584">
      <c r="A2584" s="2" t="s">
        <v>8931</v>
      </c>
    </row>
    <row r="2586">
      <c r="A2586" s="2" t="s">
        <v>8932</v>
      </c>
    </row>
    <row r="2588">
      <c r="A2588" s="2" t="s">
        <v>8933</v>
      </c>
    </row>
    <row r="2589">
      <c r="A2589" s="2" t="s">
        <v>8934</v>
      </c>
    </row>
    <row r="2591">
      <c r="A2591" s="2" t="s">
        <v>8935</v>
      </c>
    </row>
    <row r="2593">
      <c r="A2593" s="2" t="s">
        <v>8936</v>
      </c>
    </row>
    <row r="2595">
      <c r="A2595" s="2" t="s">
        <v>8937</v>
      </c>
    </row>
    <row r="2596">
      <c r="A2596" s="2" t="s">
        <v>8938</v>
      </c>
    </row>
    <row r="2598">
      <c r="A2598" s="2" t="s">
        <v>8939</v>
      </c>
    </row>
    <row r="2600">
      <c r="A2600" s="2" t="s">
        <v>8940</v>
      </c>
    </row>
    <row r="2602">
      <c r="A2602" s="2" t="s">
        <v>8941</v>
      </c>
    </row>
    <row r="2603">
      <c r="A2603" s="2" t="s">
        <v>8942</v>
      </c>
    </row>
    <row r="2605">
      <c r="A2605" s="2" t="s">
        <v>8943</v>
      </c>
    </row>
    <row r="2607">
      <c r="A2607" s="2" t="s">
        <v>8944</v>
      </c>
    </row>
    <row r="2608">
      <c r="A2608" s="2" t="s">
        <v>8945</v>
      </c>
    </row>
    <row r="2610">
      <c r="A2610" s="2" t="s">
        <v>8946</v>
      </c>
    </row>
    <row r="2612">
      <c r="A2612" s="2" t="s">
        <v>8947</v>
      </c>
    </row>
    <row r="2613">
      <c r="A2613" s="2" t="s">
        <v>8948</v>
      </c>
    </row>
    <row r="2615">
      <c r="A2615" s="2" t="s">
        <v>8949</v>
      </c>
    </row>
    <row r="2617">
      <c r="A2617" s="2" t="s">
        <v>8950</v>
      </c>
    </row>
    <row r="2619">
      <c r="A2619" s="2" t="s">
        <v>8951</v>
      </c>
    </row>
    <row r="2620">
      <c r="A2620" s="2" t="s">
        <v>8952</v>
      </c>
    </row>
    <row r="2622">
      <c r="A2622" s="2" t="s">
        <v>8953</v>
      </c>
    </row>
    <row r="2624">
      <c r="A2624" s="2" t="s">
        <v>8954</v>
      </c>
    </row>
    <row r="2626">
      <c r="A2626" s="2" t="s">
        <v>8955</v>
      </c>
    </row>
    <row r="2627">
      <c r="A2627" s="2" t="s">
        <v>8956</v>
      </c>
    </row>
    <row r="2629">
      <c r="A2629" s="2" t="s">
        <v>8957</v>
      </c>
    </row>
    <row r="2631">
      <c r="A2631" s="2" t="s">
        <v>8958</v>
      </c>
    </row>
    <row r="2632">
      <c r="A2632" s="2" t="s">
        <v>8959</v>
      </c>
    </row>
    <row r="2634">
      <c r="A2634" s="2" t="s">
        <v>8960</v>
      </c>
    </row>
    <row r="2636">
      <c r="A2636" s="2" t="s">
        <v>8961</v>
      </c>
    </row>
    <row r="2638">
      <c r="A2638" s="2" t="s">
        <v>8962</v>
      </c>
    </row>
    <row r="2639">
      <c r="A2639" s="2" t="s">
        <v>8963</v>
      </c>
    </row>
    <row r="2641">
      <c r="A2641" s="2" t="s">
        <v>8964</v>
      </c>
    </row>
    <row r="2643">
      <c r="A2643" s="2" t="s">
        <v>8965</v>
      </c>
    </row>
    <row r="2645">
      <c r="A2645" s="2" t="s">
        <v>8966</v>
      </c>
    </row>
    <row r="2646">
      <c r="A2646" s="2" t="s">
        <v>8967</v>
      </c>
    </row>
    <row r="2648">
      <c r="A2648" s="2" t="s">
        <v>8968</v>
      </c>
    </row>
    <row r="2650">
      <c r="A2650" s="2" t="s">
        <v>8969</v>
      </c>
    </row>
    <row r="2652">
      <c r="A2652" s="2" t="s">
        <v>8970</v>
      </c>
    </row>
    <row r="2653">
      <c r="A2653" s="2" t="s">
        <v>8971</v>
      </c>
    </row>
    <row r="2655">
      <c r="A2655" s="2" t="s">
        <v>8972</v>
      </c>
    </row>
    <row r="2657">
      <c r="A2657" s="2" t="s">
        <v>8973</v>
      </c>
    </row>
    <row r="2659">
      <c r="A2659" s="2" t="s">
        <v>8974</v>
      </c>
    </row>
    <row r="2660">
      <c r="A2660" s="2" t="s">
        <v>8975</v>
      </c>
    </row>
    <row r="2662">
      <c r="A2662" s="2" t="s">
        <v>8976</v>
      </c>
    </row>
    <row r="2664">
      <c r="A2664" s="2" t="s">
        <v>8977</v>
      </c>
    </row>
    <row r="2665">
      <c r="A2665" s="2" t="s">
        <v>8978</v>
      </c>
    </row>
    <row r="2667">
      <c r="A2667" s="2" t="s">
        <v>8979</v>
      </c>
    </row>
    <row r="2669">
      <c r="A2669" s="2" t="s">
        <v>8980</v>
      </c>
    </row>
    <row r="2670">
      <c r="A2670" s="2" t="s">
        <v>8981</v>
      </c>
    </row>
    <row r="2672">
      <c r="A2672" s="2" t="s">
        <v>8982</v>
      </c>
    </row>
    <row r="2674">
      <c r="A2674" s="2" t="s">
        <v>8983</v>
      </c>
    </row>
    <row r="2675">
      <c r="A2675" s="2" t="s">
        <v>8984</v>
      </c>
    </row>
    <row r="2677">
      <c r="A2677" s="2" t="s">
        <v>8985</v>
      </c>
    </row>
    <row r="2679">
      <c r="A2679" s="2" t="s">
        <v>8986</v>
      </c>
    </row>
    <row r="2680">
      <c r="A2680" s="2" t="s">
        <v>8987</v>
      </c>
    </row>
    <row r="2682">
      <c r="A2682" s="2" t="s">
        <v>8988</v>
      </c>
    </row>
    <row r="2684">
      <c r="A2684" s="2" t="s">
        <v>8989</v>
      </c>
    </row>
    <row r="2686">
      <c r="A2686" s="2" t="s">
        <v>8990</v>
      </c>
    </row>
    <row r="2687">
      <c r="A2687" s="2" t="s">
        <v>8991</v>
      </c>
    </row>
    <row r="2689">
      <c r="A2689" s="2" t="s">
        <v>8992</v>
      </c>
    </row>
    <row r="2691">
      <c r="A2691" s="2" t="s">
        <v>8993</v>
      </c>
    </row>
    <row r="2693">
      <c r="A2693" s="2" t="s">
        <v>8994</v>
      </c>
    </row>
    <row r="2694">
      <c r="A2694" s="2" t="s">
        <v>8995</v>
      </c>
    </row>
    <row r="2696">
      <c r="A2696" s="2" t="s">
        <v>8996</v>
      </c>
    </row>
    <row r="2698">
      <c r="A2698" s="2" t="s">
        <v>8997</v>
      </c>
    </row>
    <row r="2700">
      <c r="A2700" s="2" t="s">
        <v>8998</v>
      </c>
    </row>
    <row r="2701">
      <c r="A2701" s="2" t="s">
        <v>8999</v>
      </c>
    </row>
    <row r="2703">
      <c r="A2703" s="2" t="s">
        <v>9000</v>
      </c>
    </row>
    <row r="2705">
      <c r="A2705" s="2" t="s">
        <v>9001</v>
      </c>
    </row>
    <row r="2707">
      <c r="A2707" s="2" t="s">
        <v>9002</v>
      </c>
    </row>
    <row r="2708">
      <c r="A2708" s="2" t="s">
        <v>9003</v>
      </c>
    </row>
    <row r="2710">
      <c r="A2710" s="2" t="s">
        <v>9004</v>
      </c>
    </row>
    <row r="2712">
      <c r="A2712" s="2" t="s">
        <v>9005</v>
      </c>
    </row>
    <row r="2714">
      <c r="A2714" s="2" t="s">
        <v>9006</v>
      </c>
    </row>
    <row r="2715">
      <c r="A2715" s="2" t="s">
        <v>9007</v>
      </c>
    </row>
    <row r="2717">
      <c r="A2717" s="2" t="s">
        <v>9008</v>
      </c>
    </row>
    <row r="2719">
      <c r="A2719" s="2" t="s">
        <v>9009</v>
      </c>
    </row>
    <row r="2721">
      <c r="A2721" s="2" t="s">
        <v>9010</v>
      </c>
    </row>
    <row r="2722">
      <c r="A2722" s="2" t="s">
        <v>9011</v>
      </c>
    </row>
    <row r="2724">
      <c r="A2724" s="2" t="s">
        <v>9012</v>
      </c>
    </row>
    <row r="2726">
      <c r="A2726" s="2" t="s">
        <v>9013</v>
      </c>
    </row>
    <row r="2727">
      <c r="A2727" s="2" t="s">
        <v>9014</v>
      </c>
    </row>
    <row r="2729">
      <c r="A2729" s="2" t="s">
        <v>9015</v>
      </c>
    </row>
    <row r="2731">
      <c r="A2731" s="2" t="s">
        <v>9016</v>
      </c>
    </row>
    <row r="2732">
      <c r="A2732" s="2" t="s">
        <v>9017</v>
      </c>
    </row>
    <row r="2734">
      <c r="A2734" s="2" t="s">
        <v>9018</v>
      </c>
    </row>
    <row r="2736">
      <c r="A2736" s="2" t="s">
        <v>9019</v>
      </c>
    </row>
    <row r="2738">
      <c r="A2738" s="2" t="s">
        <v>9020</v>
      </c>
    </row>
    <row r="2739">
      <c r="A2739" s="2" t="s">
        <v>9021</v>
      </c>
    </row>
    <row r="2741">
      <c r="A2741" s="2" t="s">
        <v>9022</v>
      </c>
    </row>
    <row r="2743">
      <c r="A2743" s="2" t="s">
        <v>9023</v>
      </c>
    </row>
    <row r="2745">
      <c r="A2745" s="2" t="s">
        <v>9024</v>
      </c>
    </row>
    <row r="2746">
      <c r="A2746" s="2" t="s">
        <v>9025</v>
      </c>
    </row>
    <row r="2748">
      <c r="A2748" s="2" t="s">
        <v>9026</v>
      </c>
    </row>
    <row r="2750">
      <c r="A2750" s="2" t="s">
        <v>9027</v>
      </c>
    </row>
    <row r="2751">
      <c r="A2751" s="2" t="s">
        <v>9028</v>
      </c>
    </row>
    <row r="2753">
      <c r="A2753" s="2" t="s">
        <v>9029</v>
      </c>
    </row>
    <row r="2755">
      <c r="A2755" s="2" t="s">
        <v>9030</v>
      </c>
    </row>
    <row r="2756">
      <c r="A2756" s="2" t="s">
        <v>9031</v>
      </c>
    </row>
    <row r="2758">
      <c r="A2758" s="2" t="s">
        <v>9032</v>
      </c>
    </row>
    <row r="2760">
      <c r="A2760" s="2" t="s">
        <v>9033</v>
      </c>
    </row>
    <row r="2761">
      <c r="A2761" s="2" t="s">
        <v>9034</v>
      </c>
    </row>
    <row r="2763">
      <c r="A2763" s="2" t="s">
        <v>9035</v>
      </c>
    </row>
    <row r="2765">
      <c r="A2765" s="2" t="s">
        <v>9036</v>
      </c>
    </row>
    <row r="2766">
      <c r="A2766" s="2" t="s">
        <v>9037</v>
      </c>
    </row>
    <row r="2768">
      <c r="A2768" s="2" t="s">
        <v>9038</v>
      </c>
    </row>
    <row r="2770">
      <c r="A2770" s="2" t="s">
        <v>9039</v>
      </c>
    </row>
    <row r="2772">
      <c r="A2772" s="2" t="s">
        <v>9040</v>
      </c>
    </row>
    <row r="2773">
      <c r="A2773" s="2" t="s">
        <v>9041</v>
      </c>
    </row>
    <row r="2775">
      <c r="A2775" s="2" t="s">
        <v>9042</v>
      </c>
    </row>
    <row r="2777">
      <c r="A2777" s="2" t="s">
        <v>9043</v>
      </c>
    </row>
    <row r="2778">
      <c r="A2778" s="2" t="s">
        <v>9044</v>
      </c>
    </row>
    <row r="2780">
      <c r="A2780" s="2" t="s">
        <v>9045</v>
      </c>
    </row>
    <row r="2782">
      <c r="A2782" s="2" t="s">
        <v>9046</v>
      </c>
    </row>
    <row r="2783">
      <c r="A2783" s="2" t="s">
        <v>9047</v>
      </c>
    </row>
    <row r="2785">
      <c r="A2785" s="2" t="s">
        <v>9048</v>
      </c>
    </row>
    <row r="2787">
      <c r="A2787" s="2" t="s">
        <v>9049</v>
      </c>
    </row>
    <row r="2788">
      <c r="A2788" s="2" t="s">
        <v>9050</v>
      </c>
    </row>
    <row r="2790">
      <c r="A2790" s="2" t="s">
        <v>9051</v>
      </c>
    </row>
    <row r="2792">
      <c r="A2792" s="2" t="s">
        <v>9052</v>
      </c>
    </row>
    <row r="2793">
      <c r="A2793" s="2" t="s">
        <v>9053</v>
      </c>
    </row>
    <row r="2795">
      <c r="A2795" s="2" t="s">
        <v>9054</v>
      </c>
    </row>
    <row r="2797">
      <c r="A2797" s="2" t="s">
        <v>9055</v>
      </c>
    </row>
    <row r="2798">
      <c r="A2798" s="2" t="s">
        <v>9056</v>
      </c>
    </row>
    <row r="2800">
      <c r="A2800" s="2" t="s">
        <v>9057</v>
      </c>
    </row>
    <row r="2802">
      <c r="A2802" s="2" t="s">
        <v>9058</v>
      </c>
    </row>
    <row r="2804">
      <c r="A2804" s="2" t="s">
        <v>9059</v>
      </c>
    </row>
    <row r="2806">
      <c r="A2806" s="2" t="s">
        <v>9060</v>
      </c>
    </row>
    <row r="2807">
      <c r="A2807" s="2" t="s">
        <v>9061</v>
      </c>
    </row>
    <row r="2809">
      <c r="A2809" s="2" t="s">
        <v>9062</v>
      </c>
    </row>
    <row r="2811">
      <c r="A2811" s="2" t="s">
        <v>9063</v>
      </c>
    </row>
    <row r="2812">
      <c r="A2812" s="2" t="s">
        <v>9064</v>
      </c>
    </row>
    <row r="2814">
      <c r="A2814" s="2" t="s">
        <v>9065</v>
      </c>
    </row>
    <row r="2816">
      <c r="A2816" s="2" t="s">
        <v>9066</v>
      </c>
    </row>
    <row r="2818">
      <c r="A2818" s="2" t="s">
        <v>9067</v>
      </c>
    </row>
    <row r="2819">
      <c r="A2819" s="2" t="s">
        <v>9068</v>
      </c>
    </row>
    <row r="2821">
      <c r="A2821" s="2" t="s">
        <v>9069</v>
      </c>
    </row>
    <row r="2822">
      <c r="A2822" s="2" t="s">
        <v>9070</v>
      </c>
    </row>
    <row r="2824">
      <c r="A2824" s="2" t="s">
        <v>9071</v>
      </c>
    </row>
    <row r="2826">
      <c r="A2826" s="2" t="s">
        <v>9072</v>
      </c>
    </row>
    <row r="2827">
      <c r="A2827" s="2" t="s">
        <v>9073</v>
      </c>
    </row>
    <row r="2829">
      <c r="A2829" s="2" t="s">
        <v>9074</v>
      </c>
    </row>
    <row r="2831">
      <c r="A2831" s="2" t="s">
        <v>9075</v>
      </c>
    </row>
    <row r="2833">
      <c r="A2833" s="2" t="s">
        <v>9076</v>
      </c>
    </row>
    <row r="2834">
      <c r="A2834" s="2" t="s">
        <v>9077</v>
      </c>
    </row>
    <row r="2836">
      <c r="A2836" s="2" t="s">
        <v>9078</v>
      </c>
    </row>
    <row r="2838">
      <c r="A2838" s="2" t="s">
        <v>9079</v>
      </c>
    </row>
    <row r="2840">
      <c r="A2840" s="2" t="s">
        <v>9080</v>
      </c>
    </row>
    <row r="2841">
      <c r="A2841" s="2" t="s">
        <v>9081</v>
      </c>
    </row>
    <row r="2843">
      <c r="A2843" s="2" t="s">
        <v>9082</v>
      </c>
    </row>
    <row r="2845">
      <c r="A2845" s="2" t="s">
        <v>9083</v>
      </c>
    </row>
    <row r="2847">
      <c r="A2847" s="2" t="s">
        <v>9084</v>
      </c>
    </row>
    <row r="2848">
      <c r="A2848" s="2" t="s">
        <v>9085</v>
      </c>
    </row>
    <row r="2850">
      <c r="A2850" s="2" t="s">
        <v>9086</v>
      </c>
    </row>
    <row r="2852">
      <c r="A2852" s="2" t="s">
        <v>9087</v>
      </c>
    </row>
    <row r="2854">
      <c r="A2854" s="2" t="s">
        <v>9088</v>
      </c>
    </row>
    <row r="2855">
      <c r="A2855" s="2" t="s">
        <v>9089</v>
      </c>
    </row>
    <row r="2857">
      <c r="A2857" s="2" t="s">
        <v>9090</v>
      </c>
    </row>
    <row r="2859">
      <c r="A2859" s="2" t="s">
        <v>9091</v>
      </c>
    </row>
    <row r="2861">
      <c r="A2861" s="2" t="s">
        <v>9092</v>
      </c>
    </row>
    <row r="2862">
      <c r="A2862" s="2" t="s">
        <v>9093</v>
      </c>
    </row>
    <row r="2864">
      <c r="A2864" s="2" t="s">
        <v>9094</v>
      </c>
    </row>
    <row r="2866">
      <c r="A2866" s="2" t="s">
        <v>9095</v>
      </c>
    </row>
    <row r="2868">
      <c r="A2868" s="2" t="s">
        <v>9096</v>
      </c>
    </row>
    <row r="2869">
      <c r="A2869" s="2" t="s">
        <v>9097</v>
      </c>
    </row>
    <row r="2871">
      <c r="A2871" s="2" t="s">
        <v>9098</v>
      </c>
    </row>
    <row r="2873">
      <c r="A2873" s="2" t="s">
        <v>9099</v>
      </c>
    </row>
    <row r="2875">
      <c r="A2875" s="2" t="s">
        <v>9100</v>
      </c>
    </row>
    <row r="2876">
      <c r="A2876" s="2" t="s">
        <v>9101</v>
      </c>
    </row>
    <row r="2878">
      <c r="A2878" s="2" t="s">
        <v>9102</v>
      </c>
    </row>
    <row r="2880">
      <c r="A2880" s="2" t="s">
        <v>9103</v>
      </c>
    </row>
    <row r="2881">
      <c r="A2881" s="2" t="s">
        <v>9104</v>
      </c>
    </row>
    <row r="2883">
      <c r="A2883" s="2" t="s">
        <v>9105</v>
      </c>
    </row>
    <row r="2885">
      <c r="A2885" s="2" t="s">
        <v>9106</v>
      </c>
    </row>
    <row r="2886">
      <c r="A2886" s="2" t="s">
        <v>9107</v>
      </c>
    </row>
    <row r="2888">
      <c r="A2888" s="2" t="s">
        <v>9108</v>
      </c>
    </row>
    <row r="2890">
      <c r="A2890" s="2" t="s">
        <v>9109</v>
      </c>
    </row>
    <row r="2891">
      <c r="A2891" s="2" t="s">
        <v>9110</v>
      </c>
    </row>
    <row r="2893">
      <c r="A2893" s="2" t="s">
        <v>9111</v>
      </c>
    </row>
    <row r="2895">
      <c r="A2895" s="2" t="s">
        <v>9112</v>
      </c>
    </row>
    <row r="2897">
      <c r="A2897" s="2" t="s">
        <v>9113</v>
      </c>
    </row>
    <row r="2898">
      <c r="A2898" s="2" t="s">
        <v>9114</v>
      </c>
    </row>
    <row r="2900">
      <c r="A2900" s="2" t="s">
        <v>9115</v>
      </c>
    </row>
    <row r="2902">
      <c r="A2902" s="2" t="s">
        <v>9116</v>
      </c>
    </row>
    <row r="2904">
      <c r="A2904" s="2" t="s">
        <v>9117</v>
      </c>
    </row>
    <row r="2905">
      <c r="A2905" s="2" t="s">
        <v>9118</v>
      </c>
    </row>
    <row r="2907">
      <c r="A2907" s="2" t="s">
        <v>9119</v>
      </c>
    </row>
    <row r="2909">
      <c r="A2909" s="2" t="s">
        <v>9120</v>
      </c>
    </row>
    <row r="2910">
      <c r="A2910" s="2" t="s">
        <v>9121</v>
      </c>
    </row>
    <row r="2912">
      <c r="A2912" s="2" t="s">
        <v>9122</v>
      </c>
    </row>
    <row r="2914">
      <c r="A2914" s="2" t="s">
        <v>7691</v>
      </c>
    </row>
    <row r="2915">
      <c r="A2915" s="2" t="s">
        <v>9123</v>
      </c>
    </row>
    <row r="2917">
      <c r="A2917" s="2" t="s">
        <v>9124</v>
      </c>
    </row>
    <row r="2919">
      <c r="A2919" s="2" t="s">
        <v>9125</v>
      </c>
    </row>
    <row r="2920">
      <c r="A2920" s="2" t="s">
        <v>9126</v>
      </c>
    </row>
    <row r="2922">
      <c r="A2922" s="2" t="s">
        <v>9127</v>
      </c>
    </row>
    <row r="2924">
      <c r="A2924" s="2" t="s">
        <v>9128</v>
      </c>
    </row>
    <row r="2926">
      <c r="A2926" s="2" t="s">
        <v>9129</v>
      </c>
    </row>
    <row r="2927">
      <c r="A2927" s="2" t="s">
        <v>9130</v>
      </c>
    </row>
    <row r="2929">
      <c r="A2929" s="2" t="s">
        <v>9131</v>
      </c>
    </row>
    <row r="2931">
      <c r="A2931" s="2" t="s">
        <v>9132</v>
      </c>
    </row>
    <row r="2932">
      <c r="A2932" s="2" t="s">
        <v>9133</v>
      </c>
    </row>
    <row r="2934">
      <c r="A2934" s="2" t="s">
        <v>9134</v>
      </c>
    </row>
    <row r="2936">
      <c r="A2936" s="2" t="s">
        <v>9135</v>
      </c>
    </row>
    <row r="2937">
      <c r="A2937" s="2" t="s">
        <v>9136</v>
      </c>
    </row>
    <row r="2939">
      <c r="A2939" s="2" t="s">
        <v>9137</v>
      </c>
    </row>
    <row r="2941">
      <c r="A2941" s="2" t="s">
        <v>9138</v>
      </c>
    </row>
    <row r="2943">
      <c r="A2943" s="2" t="s">
        <v>9139</v>
      </c>
    </row>
    <row r="2944">
      <c r="A2944" s="2" t="s">
        <v>9140</v>
      </c>
    </row>
    <row r="2946">
      <c r="A2946" s="2" t="s">
        <v>9141</v>
      </c>
    </row>
    <row r="2948">
      <c r="A2948" s="2" t="s">
        <v>9142</v>
      </c>
    </row>
    <row r="2949">
      <c r="A2949" s="2" t="s">
        <v>9143</v>
      </c>
    </row>
    <row r="2951">
      <c r="A2951" s="2" t="s">
        <v>9144</v>
      </c>
    </row>
    <row r="2953">
      <c r="A2953" s="2" t="s">
        <v>9145</v>
      </c>
    </row>
    <row r="2954">
      <c r="A2954" s="2" t="s">
        <v>9146</v>
      </c>
    </row>
    <row r="2956">
      <c r="A2956" s="2" t="s">
        <v>9147</v>
      </c>
    </row>
    <row r="2958">
      <c r="A2958" s="2" t="s">
        <v>9148</v>
      </c>
    </row>
    <row r="2960">
      <c r="A2960" s="2" t="s">
        <v>9149</v>
      </c>
    </row>
    <row r="2961">
      <c r="A2961" s="2" t="s">
        <v>9150</v>
      </c>
    </row>
    <row r="2963">
      <c r="A2963" s="2" t="s">
        <v>9151</v>
      </c>
    </row>
    <row r="2965">
      <c r="A2965" s="2" t="s">
        <v>9152</v>
      </c>
    </row>
    <row r="2966">
      <c r="A2966" s="2" t="s">
        <v>9153</v>
      </c>
    </row>
    <row r="2968">
      <c r="A2968" s="2" t="s">
        <v>9154</v>
      </c>
    </row>
    <row r="2970">
      <c r="A2970" s="2" t="s">
        <v>7691</v>
      </c>
    </row>
    <row r="2971">
      <c r="A2971" s="2" t="s">
        <v>9155</v>
      </c>
    </row>
    <row r="2973">
      <c r="A2973" s="2" t="s">
        <v>9156</v>
      </c>
    </row>
    <row r="2974">
      <c r="A2974" s="2" t="s">
        <v>9157</v>
      </c>
    </row>
    <row r="2976">
      <c r="A2976" s="2" t="s">
        <v>9158</v>
      </c>
    </row>
    <row r="2978">
      <c r="A2978" s="2" t="s">
        <v>9159</v>
      </c>
    </row>
    <row r="2979">
      <c r="A2979" s="2" t="s">
        <v>9160</v>
      </c>
    </row>
    <row r="2981">
      <c r="A2981" s="2" t="s">
        <v>9161</v>
      </c>
    </row>
    <row r="2983">
      <c r="A2983" s="2" t="s">
        <v>9162</v>
      </c>
    </row>
    <row r="2984">
      <c r="A2984" s="2" t="s">
        <v>9163</v>
      </c>
    </row>
    <row r="2986">
      <c r="A2986" s="2" t="s">
        <v>9164</v>
      </c>
    </row>
    <row r="2988">
      <c r="A2988" s="2" t="s">
        <v>9165</v>
      </c>
    </row>
    <row r="2990">
      <c r="A2990" s="2" t="s">
        <v>9166</v>
      </c>
    </row>
    <row r="2991">
      <c r="A2991" s="2" t="s">
        <v>9167</v>
      </c>
    </row>
    <row r="2993">
      <c r="A2993" s="2" t="s">
        <v>9168</v>
      </c>
    </row>
    <row r="2995">
      <c r="A2995" s="2" t="s">
        <v>9169</v>
      </c>
    </row>
    <row r="2996">
      <c r="A2996" s="2" t="s">
        <v>9170</v>
      </c>
    </row>
    <row r="2998">
      <c r="A2998" s="2" t="s">
        <v>9171</v>
      </c>
    </row>
    <row r="3000">
      <c r="A3000" s="2" t="s">
        <v>9172</v>
      </c>
    </row>
    <row r="3001">
      <c r="A3001" s="2" t="s">
        <v>9173</v>
      </c>
    </row>
    <row r="3003">
      <c r="A3003" s="2" t="s">
        <v>9174</v>
      </c>
    </row>
    <row r="3005">
      <c r="A3005" s="2" t="s">
        <v>9175</v>
      </c>
    </row>
    <row r="3006">
      <c r="A3006" s="2" t="s">
        <v>9176</v>
      </c>
    </row>
    <row r="3008">
      <c r="A3008" s="2" t="s">
        <v>9177</v>
      </c>
    </row>
    <row r="3010">
      <c r="A3010" s="2" t="s">
        <v>9178</v>
      </c>
    </row>
    <row r="3011">
      <c r="A3011" s="2" t="s">
        <v>9179</v>
      </c>
    </row>
    <row r="3013">
      <c r="A3013" s="2" t="s">
        <v>9180</v>
      </c>
    </row>
    <row r="3015">
      <c r="A3015" s="2" t="s">
        <v>9181</v>
      </c>
    </row>
    <row r="3016">
      <c r="A3016" s="2" t="s">
        <v>9182</v>
      </c>
    </row>
    <row r="3018">
      <c r="A3018" s="2" t="s">
        <v>9183</v>
      </c>
    </row>
    <row r="3020">
      <c r="A3020" s="2" t="s">
        <v>9184</v>
      </c>
    </row>
    <row r="3022">
      <c r="A3022" s="2" t="s">
        <v>7665</v>
      </c>
    </row>
    <row r="3023">
      <c r="A3023" s="2" t="s">
        <v>9185</v>
      </c>
    </row>
    <row r="3025">
      <c r="A3025" s="2" t="s">
        <v>9186</v>
      </c>
    </row>
    <row r="3026">
      <c r="A3026" s="2" t="s">
        <v>9187</v>
      </c>
    </row>
    <row r="3028">
      <c r="A3028" s="2" t="s">
        <v>9188</v>
      </c>
    </row>
    <row r="3030">
      <c r="A3030" s="2" t="s">
        <v>9189</v>
      </c>
    </row>
    <row r="3031">
      <c r="A3031" s="2" t="s">
        <v>9190</v>
      </c>
    </row>
    <row r="3033">
      <c r="A3033" s="2" t="s">
        <v>9191</v>
      </c>
    </row>
    <row r="3035">
      <c r="A3035" s="2" t="s">
        <v>9192</v>
      </c>
    </row>
    <row r="3036">
      <c r="A3036" s="2" t="s">
        <v>9193</v>
      </c>
    </row>
    <row r="3038">
      <c r="A3038" s="2" t="s">
        <v>9194</v>
      </c>
    </row>
    <row r="3039">
      <c r="A3039" s="2" t="s">
        <v>9195</v>
      </c>
    </row>
    <row r="3041">
      <c r="A3041" s="2" t="s">
        <v>9196</v>
      </c>
    </row>
    <row r="3043">
      <c r="A3043" s="2" t="s">
        <v>9197</v>
      </c>
    </row>
    <row r="3045">
      <c r="A3045" s="2" t="s">
        <v>9198</v>
      </c>
    </row>
    <row r="3046">
      <c r="A3046" s="2" t="s">
        <v>9199</v>
      </c>
    </row>
    <row r="3048">
      <c r="A3048" s="2" t="s">
        <v>9200</v>
      </c>
    </row>
    <row r="3050">
      <c r="A3050" s="2" t="s">
        <v>9201</v>
      </c>
    </row>
    <row r="3052">
      <c r="A3052" s="2" t="s">
        <v>9202</v>
      </c>
    </row>
    <row r="3053">
      <c r="A3053" s="2" t="s">
        <v>9203</v>
      </c>
    </row>
    <row r="3055">
      <c r="A3055" s="2" t="s">
        <v>9204</v>
      </c>
    </row>
    <row r="3057">
      <c r="A3057" s="2" t="s">
        <v>9205</v>
      </c>
    </row>
    <row r="3058">
      <c r="A3058" s="2" t="s">
        <v>9206</v>
      </c>
    </row>
    <row r="3060">
      <c r="A3060" s="2" t="s">
        <v>9207</v>
      </c>
    </row>
    <row r="3062">
      <c r="A3062" s="2" t="s">
        <v>9208</v>
      </c>
    </row>
    <row r="3063">
      <c r="A3063" s="2" t="s">
        <v>9209</v>
      </c>
    </row>
    <row r="3065">
      <c r="A3065" s="2" t="s">
        <v>9210</v>
      </c>
    </row>
    <row r="3067">
      <c r="A3067" s="2" t="s">
        <v>9211</v>
      </c>
    </row>
    <row r="3068">
      <c r="A3068" s="2" t="s">
        <v>9212</v>
      </c>
    </row>
    <row r="3070">
      <c r="A3070" s="2" t="s">
        <v>9213</v>
      </c>
    </row>
    <row r="3072">
      <c r="A3072" s="2" t="s">
        <v>9214</v>
      </c>
    </row>
    <row r="3073">
      <c r="A3073" s="2" t="s">
        <v>9215</v>
      </c>
    </row>
    <row r="3075">
      <c r="A3075" s="2" t="s">
        <v>9216</v>
      </c>
    </row>
    <row r="3077">
      <c r="A3077" s="2" t="s">
        <v>9217</v>
      </c>
    </row>
    <row r="3078">
      <c r="A3078" s="2" t="s">
        <v>9218</v>
      </c>
    </row>
    <row r="3080">
      <c r="A3080" s="2" t="s">
        <v>9219</v>
      </c>
    </row>
    <row r="3082">
      <c r="A3082" s="2" t="s">
        <v>9220</v>
      </c>
    </row>
    <row r="3083">
      <c r="A3083" s="2" t="s">
        <v>9221</v>
      </c>
    </row>
    <row r="3085">
      <c r="A3085" s="2" t="s">
        <v>9222</v>
      </c>
    </row>
    <row r="3087">
      <c r="A3087" s="2" t="s">
        <v>9223</v>
      </c>
    </row>
    <row r="3089">
      <c r="A3089" s="2" t="s">
        <v>9224</v>
      </c>
    </row>
    <row r="3090">
      <c r="A3090" s="2" t="s">
        <v>9225</v>
      </c>
    </row>
    <row r="3092">
      <c r="A3092" s="2" t="s">
        <v>9226</v>
      </c>
    </row>
    <row r="3094">
      <c r="A3094" s="2" t="s">
        <v>9227</v>
      </c>
    </row>
    <row r="3095">
      <c r="A3095" s="2" t="s">
        <v>9228</v>
      </c>
    </row>
    <row r="3097">
      <c r="A3097" s="2" t="s">
        <v>9229</v>
      </c>
    </row>
    <row r="3099">
      <c r="A3099" s="2" t="s">
        <v>9230</v>
      </c>
    </row>
    <row r="3101">
      <c r="A3101" s="2" t="s">
        <v>9231</v>
      </c>
    </row>
    <row r="3102">
      <c r="A3102" s="2" t="s">
        <v>9232</v>
      </c>
    </row>
    <row r="3104">
      <c r="A3104" s="2" t="s">
        <v>9233</v>
      </c>
    </row>
    <row r="3106">
      <c r="A3106" s="2" t="s">
        <v>9234</v>
      </c>
    </row>
    <row r="3108">
      <c r="A3108" s="2" t="s">
        <v>9235</v>
      </c>
    </row>
    <row r="3109">
      <c r="A3109" s="2" t="s">
        <v>9236</v>
      </c>
    </row>
    <row r="3111">
      <c r="A3111" s="2" t="s">
        <v>9237</v>
      </c>
    </row>
    <row r="3113">
      <c r="A3113" s="2" t="s">
        <v>9238</v>
      </c>
    </row>
    <row r="3114">
      <c r="A3114" s="2" t="s">
        <v>9239</v>
      </c>
    </row>
    <row r="3116">
      <c r="A3116" s="2" t="s">
        <v>9240</v>
      </c>
    </row>
    <row r="3118">
      <c r="A3118" s="2" t="s">
        <v>9241</v>
      </c>
    </row>
    <row r="3120">
      <c r="A3120" s="2" t="s">
        <v>9242</v>
      </c>
    </row>
    <row r="3121">
      <c r="A3121" s="2" t="s">
        <v>9243</v>
      </c>
    </row>
    <row r="3123">
      <c r="A3123" s="2" t="s">
        <v>9244</v>
      </c>
    </row>
    <row r="3125">
      <c r="A3125" s="2" t="s">
        <v>9245</v>
      </c>
    </row>
    <row r="3126">
      <c r="A3126" s="2" t="s">
        <v>9246</v>
      </c>
    </row>
    <row r="3128">
      <c r="A3128" s="2" t="s">
        <v>9247</v>
      </c>
    </row>
    <row r="3130">
      <c r="A3130" s="2" t="s">
        <v>9248</v>
      </c>
    </row>
    <row r="3131">
      <c r="A3131" s="2" t="s">
        <v>9249</v>
      </c>
    </row>
    <row r="3133">
      <c r="A3133" s="2" t="s">
        <v>9250</v>
      </c>
    </row>
    <row r="3135">
      <c r="A3135" s="2" t="s">
        <v>9251</v>
      </c>
    </row>
    <row r="3136">
      <c r="A3136" s="2" t="s">
        <v>9252</v>
      </c>
    </row>
    <row r="3138">
      <c r="A3138" s="2" t="s">
        <v>9253</v>
      </c>
    </row>
    <row r="3140">
      <c r="A3140" s="2" t="s">
        <v>9254</v>
      </c>
    </row>
    <row r="3141">
      <c r="A3141" s="2" t="s">
        <v>9255</v>
      </c>
    </row>
    <row r="3143">
      <c r="A3143" s="2" t="s">
        <v>9256</v>
      </c>
    </row>
    <row r="3145">
      <c r="A3145" s="2" t="s">
        <v>9257</v>
      </c>
    </row>
    <row r="3147">
      <c r="A3147" s="2" t="s">
        <v>9258</v>
      </c>
    </row>
    <row r="3148">
      <c r="A3148" s="2" t="s">
        <v>9259</v>
      </c>
    </row>
    <row r="3150">
      <c r="A3150" s="2" t="s">
        <v>9260</v>
      </c>
    </row>
    <row r="3152">
      <c r="A3152" s="2" t="s">
        <v>9261</v>
      </c>
    </row>
    <row r="3153">
      <c r="A3153" s="2" t="s">
        <v>9262</v>
      </c>
    </row>
    <row r="3155">
      <c r="A3155" s="2" t="s">
        <v>9263</v>
      </c>
    </row>
    <row r="3157">
      <c r="A3157" s="2" t="s">
        <v>9264</v>
      </c>
    </row>
    <row r="3159">
      <c r="A3159" s="2" t="s">
        <v>9265</v>
      </c>
    </row>
    <row r="3160">
      <c r="A3160" s="2" t="s">
        <v>9266</v>
      </c>
    </row>
    <row r="3162">
      <c r="A3162" s="2" t="s">
        <v>9267</v>
      </c>
    </row>
    <row r="3164">
      <c r="A3164" s="2" t="s">
        <v>9268</v>
      </c>
    </row>
    <row r="3165">
      <c r="A3165" s="2" t="s">
        <v>9269</v>
      </c>
    </row>
    <row r="3167">
      <c r="A3167" s="2" t="s">
        <v>9270</v>
      </c>
    </row>
    <row r="3169">
      <c r="A3169" s="2" t="s">
        <v>9271</v>
      </c>
    </row>
    <row r="3170">
      <c r="A3170" s="2" t="s">
        <v>9272</v>
      </c>
    </row>
    <row r="3172">
      <c r="A3172" s="2" t="s">
        <v>9273</v>
      </c>
    </row>
    <row r="3174">
      <c r="A3174" s="2" t="s">
        <v>9274</v>
      </c>
    </row>
    <row r="3176">
      <c r="A3176" s="2" t="s">
        <v>9275</v>
      </c>
    </row>
    <row r="3178">
      <c r="A3178" s="2" t="s">
        <v>9276</v>
      </c>
    </row>
    <row r="3179">
      <c r="A3179" s="2" t="s">
        <v>9277</v>
      </c>
    </row>
    <row r="3181">
      <c r="A3181" s="2" t="s">
        <v>9278</v>
      </c>
    </row>
    <row r="3183">
      <c r="A3183" s="2" t="s">
        <v>9279</v>
      </c>
    </row>
    <row r="3184">
      <c r="A3184" s="2" t="s">
        <v>9280</v>
      </c>
    </row>
    <row r="3186">
      <c r="A3186" s="2" t="s">
        <v>9281</v>
      </c>
    </row>
    <row r="3188">
      <c r="A3188" s="2" t="s">
        <v>9282</v>
      </c>
    </row>
    <row r="3189">
      <c r="A3189" s="2" t="s">
        <v>9283</v>
      </c>
    </row>
    <row r="3191">
      <c r="A3191" s="2" t="s">
        <v>9284</v>
      </c>
    </row>
    <row r="3193">
      <c r="A3193" s="2" t="s">
        <v>9285</v>
      </c>
    </row>
    <row r="3195">
      <c r="A3195" s="2" t="s">
        <v>9286</v>
      </c>
    </row>
    <row r="3196">
      <c r="A3196" s="2" t="s">
        <v>9287</v>
      </c>
    </row>
    <row r="3198">
      <c r="A3198" s="2" t="s">
        <v>9288</v>
      </c>
    </row>
    <row r="3200">
      <c r="A3200" s="2" t="s">
        <v>9289</v>
      </c>
    </row>
    <row r="3202">
      <c r="A3202" s="2" t="s">
        <v>9290</v>
      </c>
    </row>
    <row r="3203">
      <c r="A3203" s="2" t="s">
        <v>9291</v>
      </c>
    </row>
    <row r="3205">
      <c r="A3205" s="2" t="s">
        <v>9292</v>
      </c>
    </row>
    <row r="3207">
      <c r="A3207" s="2" t="s">
        <v>9293</v>
      </c>
    </row>
    <row r="3209">
      <c r="A3209" s="2" t="s">
        <v>9294</v>
      </c>
    </row>
    <row r="3210">
      <c r="A3210" s="2" t="s">
        <v>9295</v>
      </c>
    </row>
    <row r="3212">
      <c r="A3212" s="2" t="s">
        <v>9296</v>
      </c>
    </row>
    <row r="3214">
      <c r="A3214" s="2" t="s">
        <v>9297</v>
      </c>
    </row>
    <row r="3215">
      <c r="A3215" s="2" t="s">
        <v>9298</v>
      </c>
    </row>
    <row r="3217">
      <c r="A3217" s="2" t="s">
        <v>9299</v>
      </c>
    </row>
    <row r="3219">
      <c r="A3219" s="2" t="s">
        <v>9300</v>
      </c>
    </row>
    <row r="3221">
      <c r="A3221" s="2" t="s">
        <v>9301</v>
      </c>
    </row>
    <row r="3222">
      <c r="A3222" s="2" t="s">
        <v>9302</v>
      </c>
    </row>
    <row r="3224">
      <c r="A3224" s="2" t="s">
        <v>9303</v>
      </c>
    </row>
    <row r="3226">
      <c r="A3226" s="2" t="s">
        <v>9304</v>
      </c>
    </row>
    <row r="3227">
      <c r="A3227" s="2" t="s">
        <v>9305</v>
      </c>
    </row>
    <row r="3229">
      <c r="A3229" s="2" t="s">
        <v>9306</v>
      </c>
    </row>
    <row r="3231">
      <c r="A3231" s="2" t="s">
        <v>9307</v>
      </c>
    </row>
    <row r="3232">
      <c r="A3232" s="2" t="s">
        <v>9308</v>
      </c>
    </row>
    <row r="3234">
      <c r="A3234" s="2" t="s">
        <v>9309</v>
      </c>
    </row>
    <row r="3236">
      <c r="A3236" s="2" t="s">
        <v>9310</v>
      </c>
    </row>
    <row r="3238">
      <c r="A3238" s="2" t="s">
        <v>9311</v>
      </c>
    </row>
    <row r="3240">
      <c r="A3240" s="2" t="s">
        <v>9312</v>
      </c>
    </row>
    <row r="3242">
      <c r="A3242" s="2" t="s">
        <v>9313</v>
      </c>
    </row>
    <row r="3243">
      <c r="A3243" s="2" t="s">
        <v>9314</v>
      </c>
    </row>
    <row r="3245">
      <c r="A3245" s="2" t="s">
        <v>9315</v>
      </c>
    </row>
    <row r="3247">
      <c r="A3247" s="2" t="s">
        <v>9316</v>
      </c>
    </row>
    <row r="3249">
      <c r="A3249" s="2" t="s">
        <v>9317</v>
      </c>
    </row>
    <row r="3250">
      <c r="A3250" s="2" t="s">
        <v>9318</v>
      </c>
    </row>
    <row r="3252">
      <c r="A3252" s="2" t="s">
        <v>9319</v>
      </c>
    </row>
    <row r="3254">
      <c r="A3254" s="2" t="s">
        <v>9320</v>
      </c>
    </row>
    <row r="3256">
      <c r="A3256" s="2" t="s">
        <v>9321</v>
      </c>
    </row>
  </sheetData>
  <autoFilter ref="$F$1:$H$3256">
    <sortState ref="F1:H3256">
      <sortCondition descending="1" ref="H1:H3256"/>
      <sortCondition ref="F1:F3256"/>
    </sortState>
  </autoFilter>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6288</v>
      </c>
    </row>
    <row r="2">
      <c r="A2" s="2" t="s">
        <v>9322</v>
      </c>
    </row>
    <row r="3">
      <c r="A3" s="2" t="s">
        <v>9323</v>
      </c>
    </row>
    <row r="4">
      <c r="A4" s="2" t="s">
        <v>9324</v>
      </c>
    </row>
    <row r="5">
      <c r="A5" s="2" t="s">
        <v>9325</v>
      </c>
    </row>
    <row r="6">
      <c r="A6" s="2" t="s">
        <v>9326</v>
      </c>
    </row>
    <row r="7">
      <c r="A7" s="2" t="s">
        <v>9327</v>
      </c>
    </row>
    <row r="8">
      <c r="A8" s="2" t="s">
        <v>9328</v>
      </c>
    </row>
    <row r="9">
      <c r="A9" s="2" t="s">
        <v>9329</v>
      </c>
    </row>
    <row r="10">
      <c r="A10" s="2" t="s">
        <v>9330</v>
      </c>
    </row>
    <row r="11">
      <c r="A11" s="2" t="s">
        <v>9331</v>
      </c>
    </row>
    <row r="12">
      <c r="A12" s="2" t="s">
        <v>9332</v>
      </c>
    </row>
    <row r="13">
      <c r="A13" s="2" t="s">
        <v>9333</v>
      </c>
    </row>
    <row r="14">
      <c r="A14" s="2" t="s">
        <v>9334</v>
      </c>
    </row>
    <row r="15">
      <c r="A15" s="2" t="s">
        <v>9335</v>
      </c>
    </row>
    <row r="16">
      <c r="A16" s="2" t="s">
        <v>9336</v>
      </c>
    </row>
    <row r="17">
      <c r="A17" s="2" t="s">
        <v>9337</v>
      </c>
    </row>
    <row r="18">
      <c r="A18" s="2" t="s">
        <v>9338</v>
      </c>
    </row>
    <row r="19">
      <c r="A19" s="2" t="s">
        <v>9339</v>
      </c>
    </row>
    <row r="20">
      <c r="A20" s="2" t="s">
        <v>9340</v>
      </c>
    </row>
    <row r="21">
      <c r="A21" s="2" t="s">
        <v>9341</v>
      </c>
    </row>
    <row r="22">
      <c r="A22" s="2" t="s">
        <v>9342</v>
      </c>
    </row>
    <row r="23">
      <c r="A23" s="2" t="s">
        <v>9343</v>
      </c>
    </row>
    <row r="24">
      <c r="A24" s="2" t="s">
        <v>9344</v>
      </c>
    </row>
    <row r="25">
      <c r="A25" s="2" t="s">
        <v>9345</v>
      </c>
    </row>
    <row r="26">
      <c r="A26" s="2" t="s">
        <v>9346</v>
      </c>
    </row>
    <row r="27">
      <c r="A27" s="2" t="s">
        <v>9347</v>
      </c>
    </row>
    <row r="28">
      <c r="A28" s="2" t="s">
        <v>9348</v>
      </c>
    </row>
    <row r="29">
      <c r="A29" s="2" t="s">
        <v>9349</v>
      </c>
    </row>
    <row r="30">
      <c r="A30" s="2" t="s">
        <v>9350</v>
      </c>
    </row>
    <row r="31">
      <c r="A31" s="2" t="s">
        <v>9351</v>
      </c>
    </row>
    <row r="32">
      <c r="A32" s="2" t="s">
        <v>9352</v>
      </c>
    </row>
    <row r="33">
      <c r="A33" s="2" t="s">
        <v>9353</v>
      </c>
    </row>
    <row r="34">
      <c r="A34" s="2" t="s">
        <v>9354</v>
      </c>
    </row>
    <row r="35">
      <c r="A35" s="2" t="s">
        <v>9355</v>
      </c>
    </row>
    <row r="36">
      <c r="A36" s="2" t="s">
        <v>9356</v>
      </c>
    </row>
    <row r="37">
      <c r="A37" s="2" t="s">
        <v>9357</v>
      </c>
    </row>
    <row r="38">
      <c r="A38" s="2" t="s">
        <v>9358</v>
      </c>
    </row>
    <row r="39">
      <c r="A39" s="2" t="s">
        <v>9359</v>
      </c>
    </row>
    <row r="40">
      <c r="A40" s="2" t="s">
        <v>9360</v>
      </c>
    </row>
    <row r="41">
      <c r="A41" s="2" t="s">
        <v>9361</v>
      </c>
    </row>
    <row r="42">
      <c r="A42" s="2" t="s">
        <v>9362</v>
      </c>
    </row>
    <row r="43">
      <c r="A43" s="2" t="s">
        <v>9363</v>
      </c>
    </row>
    <row r="44">
      <c r="A44" s="2" t="s">
        <v>9364</v>
      </c>
    </row>
    <row r="45">
      <c r="A45" s="2" t="s">
        <v>9365</v>
      </c>
    </row>
    <row r="46">
      <c r="A46" s="2" t="s">
        <v>9366</v>
      </c>
    </row>
    <row r="47">
      <c r="A47" s="2" t="s">
        <v>9367</v>
      </c>
    </row>
    <row r="48">
      <c r="A48" s="2" t="s">
        <v>9368</v>
      </c>
    </row>
    <row r="49">
      <c r="A49" s="2" t="s">
        <v>9369</v>
      </c>
    </row>
    <row r="50">
      <c r="A50" s="2" t="s">
        <v>9370</v>
      </c>
    </row>
    <row r="51">
      <c r="A51" s="2" t="s">
        <v>9371</v>
      </c>
    </row>
    <row r="52">
      <c r="A52" s="2" t="s">
        <v>9372</v>
      </c>
    </row>
    <row r="53">
      <c r="A53" s="2" t="s">
        <v>9373</v>
      </c>
    </row>
    <row r="54">
      <c r="A54" s="2" t="s">
        <v>9374</v>
      </c>
    </row>
    <row r="55">
      <c r="A55" s="2" t="s">
        <v>9375</v>
      </c>
    </row>
    <row r="56">
      <c r="A56" s="2" t="s">
        <v>9376</v>
      </c>
    </row>
    <row r="57">
      <c r="A57" s="2" t="s">
        <v>9377</v>
      </c>
    </row>
    <row r="58">
      <c r="A58" s="2" t="s">
        <v>9378</v>
      </c>
    </row>
    <row r="59">
      <c r="A59" s="2" t="s">
        <v>9379</v>
      </c>
    </row>
    <row r="60">
      <c r="A60" s="2" t="s">
        <v>9380</v>
      </c>
    </row>
    <row r="61">
      <c r="A61" s="2" t="s">
        <v>9381</v>
      </c>
    </row>
    <row r="62">
      <c r="A62" s="2" t="s">
        <v>9382</v>
      </c>
    </row>
    <row r="63">
      <c r="A63" s="2" t="s">
        <v>9383</v>
      </c>
    </row>
    <row r="64">
      <c r="A64" s="2" t="s">
        <v>9384</v>
      </c>
    </row>
    <row r="65">
      <c r="A65" s="2" t="s">
        <v>9385</v>
      </c>
    </row>
    <row r="66">
      <c r="A66" s="2" t="s">
        <v>9386</v>
      </c>
    </row>
    <row r="67">
      <c r="A67" s="2" t="s">
        <v>9387</v>
      </c>
    </row>
    <row r="68">
      <c r="A68" s="2" t="s">
        <v>9388</v>
      </c>
    </row>
    <row r="69">
      <c r="A69" s="2" t="s">
        <v>9389</v>
      </c>
    </row>
    <row r="70">
      <c r="A70" s="2" t="s">
        <v>9390</v>
      </c>
    </row>
    <row r="71">
      <c r="A71" s="2" t="s">
        <v>9391</v>
      </c>
    </row>
    <row r="72">
      <c r="A72" s="2" t="s">
        <v>9392</v>
      </c>
    </row>
    <row r="73">
      <c r="A73" s="2" t="s">
        <v>9393</v>
      </c>
    </row>
    <row r="74">
      <c r="A74" s="2" t="s">
        <v>9394</v>
      </c>
    </row>
    <row r="75">
      <c r="A75" s="2" t="s">
        <v>9395</v>
      </c>
    </row>
    <row r="76">
      <c r="A76" s="2" t="s">
        <v>9396</v>
      </c>
    </row>
  </sheetData>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7447</v>
      </c>
    </row>
    <row r="2">
      <c r="A2" s="2" t="s">
        <v>9397</v>
      </c>
    </row>
    <row r="4">
      <c r="A4" s="2" t="s">
        <v>9398</v>
      </c>
    </row>
    <row r="6">
      <c r="A6" s="2" t="s">
        <v>9399</v>
      </c>
    </row>
    <row r="7">
      <c r="A7" s="2" t="s">
        <v>9400</v>
      </c>
    </row>
    <row r="9">
      <c r="A9" s="2" t="s">
        <v>8078</v>
      </c>
    </row>
    <row r="10">
      <c r="A10" s="2" t="s">
        <v>9401</v>
      </c>
    </row>
    <row r="12">
      <c r="A12" s="2" t="s">
        <v>7770</v>
      </c>
    </row>
    <row r="13">
      <c r="A13" s="2" t="s">
        <v>9402</v>
      </c>
    </row>
    <row r="15">
      <c r="A15" s="2" t="s">
        <v>9403</v>
      </c>
    </row>
    <row r="16">
      <c r="A16" s="2" t="s">
        <v>9404</v>
      </c>
    </row>
    <row r="17">
      <c r="A17" s="2" t="s">
        <v>9405</v>
      </c>
    </row>
    <row r="19">
      <c r="A19" s="2" t="s">
        <v>9406</v>
      </c>
    </row>
    <row r="21">
      <c r="A21" s="2" t="s">
        <v>9407</v>
      </c>
    </row>
    <row r="22">
      <c r="A22" s="2" t="s">
        <v>9408</v>
      </c>
    </row>
    <row r="24">
      <c r="A24" s="2" t="s">
        <v>9409</v>
      </c>
    </row>
    <row r="26">
      <c r="A26" s="2" t="s">
        <v>9410</v>
      </c>
    </row>
    <row r="27">
      <c r="A27" s="2" t="s">
        <v>9411</v>
      </c>
    </row>
    <row r="29">
      <c r="A29" s="2" t="s">
        <v>9412</v>
      </c>
    </row>
    <row r="31">
      <c r="A31" s="2" t="s">
        <v>9413</v>
      </c>
    </row>
    <row r="32">
      <c r="A32" s="2" t="s">
        <v>9414</v>
      </c>
    </row>
    <row r="34">
      <c r="A34" s="2" t="s">
        <v>9415</v>
      </c>
    </row>
    <row r="36">
      <c r="A36" s="2" t="s">
        <v>9416</v>
      </c>
    </row>
    <row r="37">
      <c r="A37" s="2" t="s">
        <v>9417</v>
      </c>
    </row>
    <row r="39">
      <c r="A39" s="2" t="s">
        <v>9418</v>
      </c>
    </row>
    <row r="41">
      <c r="A41" s="2" t="s">
        <v>9419</v>
      </c>
    </row>
    <row r="43">
      <c r="A43" s="2" t="s">
        <v>9420</v>
      </c>
    </row>
    <row r="44">
      <c r="A44" s="2" t="s">
        <v>9421</v>
      </c>
    </row>
    <row r="46">
      <c r="A46" s="2" t="s">
        <v>9422</v>
      </c>
    </row>
    <row r="48">
      <c r="A48" s="2" t="s">
        <v>9423</v>
      </c>
    </row>
    <row r="50">
      <c r="A50" s="2" t="s">
        <v>9424</v>
      </c>
    </row>
    <row r="51">
      <c r="A51" s="2" t="s">
        <v>9425</v>
      </c>
    </row>
    <row r="53">
      <c r="A53" s="2" t="s">
        <v>9426</v>
      </c>
    </row>
    <row r="55">
      <c r="A55" s="2" t="s">
        <v>9427</v>
      </c>
    </row>
    <row r="56">
      <c r="A56" s="2" t="s">
        <v>9428</v>
      </c>
    </row>
    <row r="58">
      <c r="A58" s="2" t="s">
        <v>9429</v>
      </c>
    </row>
    <row r="60">
      <c r="A60" s="2" t="s">
        <v>9430</v>
      </c>
    </row>
    <row r="62">
      <c r="A62" s="2" t="s">
        <v>9431</v>
      </c>
    </row>
    <row r="63">
      <c r="A63" s="2" t="s">
        <v>9432</v>
      </c>
    </row>
    <row r="65">
      <c r="A65" s="2" t="s">
        <v>9433</v>
      </c>
    </row>
    <row r="67">
      <c r="A67" s="2" t="s">
        <v>9434</v>
      </c>
    </row>
    <row r="68">
      <c r="A68" s="2" t="s">
        <v>9435</v>
      </c>
    </row>
    <row r="70">
      <c r="A70" s="2" t="s">
        <v>9436</v>
      </c>
    </row>
    <row r="72">
      <c r="A72" s="2" t="s">
        <v>9437</v>
      </c>
    </row>
    <row r="73">
      <c r="A73" s="2" t="s">
        <v>9438</v>
      </c>
    </row>
    <row r="75">
      <c r="A75" s="2" t="s">
        <v>9439</v>
      </c>
    </row>
    <row r="76">
      <c r="A76" s="2" t="s">
        <v>9440</v>
      </c>
    </row>
    <row r="78">
      <c r="A78" s="2" t="s">
        <v>9441</v>
      </c>
    </row>
    <row r="80">
      <c r="A80" s="2" t="s">
        <v>9442</v>
      </c>
    </row>
    <row r="81">
      <c r="A81" s="2" t="s">
        <v>9443</v>
      </c>
    </row>
    <row r="83">
      <c r="A83" s="2" t="s">
        <v>9444</v>
      </c>
    </row>
    <row r="85">
      <c r="A85" s="2" t="s">
        <v>9445</v>
      </c>
    </row>
    <row r="87">
      <c r="A87" s="2" t="s">
        <v>9446</v>
      </c>
    </row>
    <row r="89">
      <c r="A89" s="2" t="s">
        <v>9447</v>
      </c>
    </row>
    <row r="90">
      <c r="A90" s="2" t="s">
        <v>9448</v>
      </c>
    </row>
    <row r="92">
      <c r="A92" s="2" t="s">
        <v>9449</v>
      </c>
    </row>
    <row r="94">
      <c r="A94" s="2" t="s">
        <v>9450</v>
      </c>
    </row>
    <row r="96">
      <c r="A96" s="2" t="s">
        <v>9451</v>
      </c>
    </row>
    <row r="97">
      <c r="A97" s="2" t="s">
        <v>9452</v>
      </c>
    </row>
    <row r="99">
      <c r="A99" s="2" t="s">
        <v>9453</v>
      </c>
    </row>
    <row r="101">
      <c r="A101" s="2" t="s">
        <v>9454</v>
      </c>
    </row>
    <row r="102">
      <c r="A102" s="2" t="s">
        <v>9455</v>
      </c>
    </row>
    <row r="104">
      <c r="A104" s="2" t="s">
        <v>9456</v>
      </c>
    </row>
    <row r="106">
      <c r="A106" s="2" t="s">
        <v>9457</v>
      </c>
    </row>
    <row r="107">
      <c r="A107" s="2" t="s">
        <v>9458</v>
      </c>
    </row>
    <row r="109">
      <c r="A109" s="2" t="s">
        <v>9459</v>
      </c>
    </row>
    <row r="111">
      <c r="A111" s="2" t="s">
        <v>9460</v>
      </c>
    </row>
    <row r="112">
      <c r="A112" s="2" t="s">
        <v>9461</v>
      </c>
    </row>
    <row r="114">
      <c r="A114" s="2" t="s">
        <v>9462</v>
      </c>
    </row>
    <row r="116">
      <c r="A116" s="2" t="s">
        <v>9463</v>
      </c>
    </row>
    <row r="117">
      <c r="A117" s="2" t="s">
        <v>9464</v>
      </c>
    </row>
    <row r="119">
      <c r="A119" s="2" t="s">
        <v>9465</v>
      </c>
    </row>
    <row r="121">
      <c r="A121" s="2" t="s">
        <v>9466</v>
      </c>
    </row>
    <row r="123">
      <c r="A123" s="2" t="s">
        <v>9467</v>
      </c>
    </row>
    <row r="124">
      <c r="A124" s="2" t="s">
        <v>9468</v>
      </c>
    </row>
    <row r="126">
      <c r="A126" s="2" t="s">
        <v>9469</v>
      </c>
    </row>
    <row r="128">
      <c r="A128" s="2" t="s">
        <v>9470</v>
      </c>
    </row>
    <row r="129">
      <c r="A129" s="2" t="s">
        <v>9471</v>
      </c>
    </row>
    <row r="131">
      <c r="A131" s="2" t="s">
        <v>9472</v>
      </c>
    </row>
    <row r="133">
      <c r="A133" s="2" t="s">
        <v>9473</v>
      </c>
    </row>
    <row r="134">
      <c r="A134" s="2" t="s">
        <v>9474</v>
      </c>
    </row>
    <row r="136">
      <c r="A136" s="2" t="s">
        <v>9475</v>
      </c>
    </row>
    <row r="138">
      <c r="A138" s="2" t="s">
        <v>9476</v>
      </c>
    </row>
    <row r="139">
      <c r="A139" s="2" t="s">
        <v>9477</v>
      </c>
    </row>
    <row r="141">
      <c r="A141" s="2" t="s">
        <v>9478</v>
      </c>
    </row>
    <row r="143">
      <c r="A143" s="2" t="s">
        <v>9479</v>
      </c>
    </row>
    <row r="144">
      <c r="A144" s="2" t="s">
        <v>9480</v>
      </c>
    </row>
    <row r="146">
      <c r="A146" s="2" t="s">
        <v>9481</v>
      </c>
    </row>
    <row r="148">
      <c r="A148" s="2" t="s">
        <v>9482</v>
      </c>
    </row>
    <row r="150">
      <c r="A150" s="2" t="s">
        <v>9483</v>
      </c>
    </row>
    <row r="151">
      <c r="A151" s="2" t="s">
        <v>9484</v>
      </c>
    </row>
    <row r="153">
      <c r="A153" s="2" t="s">
        <v>7462</v>
      </c>
    </row>
    <row r="154">
      <c r="A154" s="2" t="s">
        <v>9485</v>
      </c>
    </row>
    <row r="156">
      <c r="A156" s="2" t="s">
        <v>9486</v>
      </c>
    </row>
    <row r="158">
      <c r="A158" s="2" t="s">
        <v>9487</v>
      </c>
    </row>
    <row r="159">
      <c r="A159" s="2" t="s">
        <v>9488</v>
      </c>
    </row>
    <row r="161">
      <c r="A161" s="2" t="s">
        <v>9489</v>
      </c>
    </row>
    <row r="163">
      <c r="A163" s="2" t="s">
        <v>9490</v>
      </c>
    </row>
    <row r="165">
      <c r="A165" s="2" t="s">
        <v>9491</v>
      </c>
    </row>
    <row r="166">
      <c r="A166" s="2" t="s">
        <v>9492</v>
      </c>
    </row>
    <row r="168">
      <c r="A168" s="2" t="s">
        <v>9493</v>
      </c>
    </row>
    <row r="170">
      <c r="A170" s="2" t="s">
        <v>9494</v>
      </c>
    </row>
    <row r="171">
      <c r="A171" s="2" t="s">
        <v>9495</v>
      </c>
    </row>
    <row r="172">
      <c r="A172" s="2" t="s">
        <v>7462</v>
      </c>
    </row>
    <row r="173">
      <c r="A173" s="2" t="s">
        <v>9496</v>
      </c>
    </row>
    <row r="175">
      <c r="A175" s="2" t="s">
        <v>9497</v>
      </c>
    </row>
    <row r="177">
      <c r="A177" s="2" t="s">
        <v>9498</v>
      </c>
    </row>
    <row r="178">
      <c r="A178" s="2" t="s">
        <v>9499</v>
      </c>
    </row>
    <row r="180">
      <c r="A180" s="2" t="s">
        <v>7462</v>
      </c>
    </row>
    <row r="181">
      <c r="A181" s="2" t="s">
        <v>9500</v>
      </c>
    </row>
    <row r="183">
      <c r="A183" s="2" t="s">
        <v>9501</v>
      </c>
    </row>
    <row r="185">
      <c r="A185" s="2" t="s">
        <v>9502</v>
      </c>
    </row>
    <row r="187">
      <c r="A187" s="2" t="s">
        <v>9503</v>
      </c>
    </row>
    <row r="188">
      <c r="A188" s="2" t="s">
        <v>9504</v>
      </c>
    </row>
    <row r="190">
      <c r="A190" s="2" t="s">
        <v>9505</v>
      </c>
    </row>
    <row r="192">
      <c r="A192" s="2" t="s">
        <v>9506</v>
      </c>
    </row>
    <row r="194">
      <c r="A194" s="2" t="s">
        <v>9507</v>
      </c>
    </row>
    <row r="195">
      <c r="A195" s="2" t="s">
        <v>9508</v>
      </c>
    </row>
    <row r="197">
      <c r="A197" s="2" t="s">
        <v>7462</v>
      </c>
    </row>
    <row r="198">
      <c r="A198" s="2" t="s">
        <v>9509</v>
      </c>
    </row>
    <row r="200">
      <c r="A200" s="2" t="s">
        <v>9510</v>
      </c>
    </row>
    <row r="202">
      <c r="A202" s="2" t="s">
        <v>9511</v>
      </c>
    </row>
    <row r="203">
      <c r="A203" s="2" t="s">
        <v>9512</v>
      </c>
    </row>
    <row r="205">
      <c r="A205" s="2" t="s">
        <v>9513</v>
      </c>
    </row>
    <row r="207">
      <c r="A207" s="2" t="s">
        <v>9514</v>
      </c>
    </row>
    <row r="208">
      <c r="A208" s="2" t="s">
        <v>9515</v>
      </c>
    </row>
    <row r="210">
      <c r="A210" s="2" t="s">
        <v>9516</v>
      </c>
    </row>
    <row r="212">
      <c r="A212" s="2" t="s">
        <v>9517</v>
      </c>
    </row>
    <row r="214">
      <c r="A214" s="2" t="s">
        <v>9518</v>
      </c>
    </row>
    <row r="215">
      <c r="A215" s="2" t="s">
        <v>9519</v>
      </c>
    </row>
    <row r="217">
      <c r="A217" s="2" t="s">
        <v>9520</v>
      </c>
    </row>
    <row r="219">
      <c r="A219" s="2" t="s">
        <v>9521</v>
      </c>
    </row>
    <row r="220">
      <c r="A220" s="2" t="s">
        <v>9522</v>
      </c>
    </row>
    <row r="222">
      <c r="A222" s="2" t="s">
        <v>9523</v>
      </c>
    </row>
    <row r="224">
      <c r="A224" s="2" t="s">
        <v>9524</v>
      </c>
    </row>
    <row r="225">
      <c r="A225" s="2" t="s">
        <v>9525</v>
      </c>
    </row>
    <row r="227">
      <c r="A227" s="2" t="s">
        <v>9526</v>
      </c>
    </row>
    <row r="229">
      <c r="A229" s="2" t="s">
        <v>9527</v>
      </c>
    </row>
    <row r="231">
      <c r="A231" s="2" t="s">
        <v>9528</v>
      </c>
    </row>
    <row r="232">
      <c r="A232" s="2" t="s">
        <v>9529</v>
      </c>
    </row>
    <row r="233">
      <c r="A233" s="2" t="s">
        <v>9530</v>
      </c>
    </row>
    <row r="235">
      <c r="A235" s="2" t="s">
        <v>9531</v>
      </c>
    </row>
    <row r="237">
      <c r="A237" s="2" t="s">
        <v>9532</v>
      </c>
    </row>
    <row r="238">
      <c r="A238" s="2" t="s">
        <v>9533</v>
      </c>
    </row>
    <row r="240">
      <c r="A240" s="2" t="s">
        <v>9534</v>
      </c>
    </row>
    <row r="242">
      <c r="A242" s="2" t="s">
        <v>9535</v>
      </c>
    </row>
    <row r="243">
      <c r="A243" s="2" t="s">
        <v>9536</v>
      </c>
    </row>
    <row r="244">
      <c r="A244" s="2" t="s">
        <v>7462</v>
      </c>
    </row>
    <row r="245">
      <c r="A245" s="2" t="s">
        <v>9537</v>
      </c>
    </row>
    <row r="247">
      <c r="A247" s="2" t="s">
        <v>9538</v>
      </c>
    </row>
    <row r="248">
      <c r="A248" s="2" t="s">
        <v>9539</v>
      </c>
    </row>
    <row r="250">
      <c r="A250" s="2" t="s">
        <v>9540</v>
      </c>
    </row>
    <row r="252">
      <c r="A252" s="2" t="s">
        <v>9541</v>
      </c>
    </row>
    <row r="253">
      <c r="A253" s="2" t="s">
        <v>9542</v>
      </c>
    </row>
    <row r="255">
      <c r="A255" s="2" t="s">
        <v>9543</v>
      </c>
    </row>
    <row r="257">
      <c r="A257" s="2" t="s">
        <v>9544</v>
      </c>
    </row>
    <row r="258">
      <c r="A258" s="2" t="s">
        <v>9545</v>
      </c>
    </row>
    <row r="260">
      <c r="A260" s="2" t="s">
        <v>9546</v>
      </c>
    </row>
    <row r="262">
      <c r="A262" s="2" t="s">
        <v>9547</v>
      </c>
    </row>
    <row r="264">
      <c r="A264" s="2" t="s">
        <v>9548</v>
      </c>
    </row>
    <row r="265">
      <c r="A265" s="2" t="s">
        <v>9549</v>
      </c>
    </row>
    <row r="267">
      <c r="A267" s="2" t="s">
        <v>9550</v>
      </c>
    </row>
    <row r="269">
      <c r="A269" s="2" t="s">
        <v>9551</v>
      </c>
    </row>
    <row r="270">
      <c r="A270" s="2" t="s">
        <v>9552</v>
      </c>
    </row>
    <row r="272">
      <c r="A272" s="2" t="s">
        <v>9553</v>
      </c>
    </row>
    <row r="274">
      <c r="A274" s="2" t="s">
        <v>9554</v>
      </c>
    </row>
    <row r="276">
      <c r="A276" s="2" t="s">
        <v>9555</v>
      </c>
    </row>
    <row r="277">
      <c r="A277" s="2" t="s">
        <v>9556</v>
      </c>
    </row>
    <row r="279">
      <c r="A279" s="2" t="s">
        <v>9557</v>
      </c>
    </row>
    <row r="281">
      <c r="A281" s="2" t="s">
        <v>9558</v>
      </c>
    </row>
    <row r="283">
      <c r="A283" s="2" t="s">
        <v>9559</v>
      </c>
    </row>
    <row r="284">
      <c r="A284" s="2" t="s">
        <v>9560</v>
      </c>
    </row>
    <row r="286">
      <c r="A286" s="2" t="s">
        <v>7462</v>
      </c>
    </row>
    <row r="287">
      <c r="A287" s="2" t="s">
        <v>9561</v>
      </c>
    </row>
    <row r="289">
      <c r="A289" s="2" t="s">
        <v>9562</v>
      </c>
    </row>
    <row r="291">
      <c r="A291" s="2" t="s">
        <v>9563</v>
      </c>
    </row>
    <row r="292">
      <c r="A292" s="2" t="s">
        <v>9564</v>
      </c>
    </row>
    <row r="294">
      <c r="A294" s="2" t="s">
        <v>9565</v>
      </c>
    </row>
    <row r="296">
      <c r="A296" s="2" t="s">
        <v>9566</v>
      </c>
    </row>
    <row r="298">
      <c r="A298" s="2" t="s">
        <v>9567</v>
      </c>
    </row>
    <row r="299">
      <c r="A299" s="2" t="s">
        <v>9568</v>
      </c>
    </row>
    <row r="301">
      <c r="A301" s="2" t="s">
        <v>9569</v>
      </c>
    </row>
    <row r="303">
      <c r="A303" s="2" t="s">
        <v>9570</v>
      </c>
    </row>
    <row r="304">
      <c r="A304" s="2" t="s">
        <v>9571</v>
      </c>
    </row>
    <row r="306">
      <c r="A306" s="2" t="s">
        <v>9572</v>
      </c>
    </row>
    <row r="308">
      <c r="A308" s="2" t="s">
        <v>9573</v>
      </c>
    </row>
    <row r="309">
      <c r="A309" s="2" t="s">
        <v>9574</v>
      </c>
    </row>
    <row r="311">
      <c r="A311" s="2" t="s">
        <v>9575</v>
      </c>
    </row>
    <row r="313">
      <c r="A313" s="2" t="s">
        <v>9576</v>
      </c>
    </row>
    <row r="314">
      <c r="A314" s="2" t="s">
        <v>9577</v>
      </c>
    </row>
    <row r="316">
      <c r="A316" s="2" t="s">
        <v>9578</v>
      </c>
    </row>
    <row r="318">
      <c r="A318" s="2" t="s">
        <v>9579</v>
      </c>
    </row>
    <row r="319">
      <c r="A319" s="2" t="s">
        <v>9580</v>
      </c>
    </row>
    <row r="321">
      <c r="A321" s="2" t="s">
        <v>9581</v>
      </c>
    </row>
    <row r="323">
      <c r="A323" s="2" t="s">
        <v>9582</v>
      </c>
    </row>
    <row r="325">
      <c r="A325" s="2" t="s">
        <v>9583</v>
      </c>
    </row>
    <row r="326">
      <c r="A326" s="2" t="s">
        <v>9584</v>
      </c>
    </row>
    <row r="328">
      <c r="A328" s="2" t="s">
        <v>7462</v>
      </c>
    </row>
    <row r="329">
      <c r="A329" s="2" t="s">
        <v>9585</v>
      </c>
    </row>
    <row r="331">
      <c r="A331" s="2" t="s">
        <v>9586</v>
      </c>
    </row>
    <row r="333">
      <c r="A333" s="2" t="s">
        <v>9587</v>
      </c>
    </row>
    <row r="335">
      <c r="A335" s="2" t="s">
        <v>9588</v>
      </c>
    </row>
    <row r="336">
      <c r="A336" s="2" t="s">
        <v>9589</v>
      </c>
    </row>
    <row r="338">
      <c r="A338" s="2" t="s">
        <v>9590</v>
      </c>
    </row>
    <row r="340">
      <c r="A340" s="2" t="s">
        <v>9591</v>
      </c>
    </row>
    <row r="341">
      <c r="A341" s="2" t="s">
        <v>9592</v>
      </c>
    </row>
    <row r="343">
      <c r="A343" s="2" t="s">
        <v>9593</v>
      </c>
    </row>
    <row r="345">
      <c r="A345" s="2" t="s">
        <v>9594</v>
      </c>
    </row>
    <row r="346">
      <c r="A346" s="2" t="s">
        <v>9595</v>
      </c>
    </row>
    <row r="348">
      <c r="A348" s="2" t="s">
        <v>9596</v>
      </c>
    </row>
    <row r="350">
      <c r="A350" s="2" t="s">
        <v>9597</v>
      </c>
    </row>
    <row r="351">
      <c r="A351" s="2" t="s">
        <v>9598</v>
      </c>
    </row>
    <row r="353">
      <c r="A353" s="2" t="s">
        <v>9599</v>
      </c>
    </row>
    <row r="355">
      <c r="A355" s="2" t="s">
        <v>9600</v>
      </c>
    </row>
    <row r="357">
      <c r="A357" s="2" t="s">
        <v>9601</v>
      </c>
    </row>
    <row r="358">
      <c r="A358" s="2" t="s">
        <v>9602</v>
      </c>
    </row>
    <row r="360">
      <c r="A360" s="2" t="s">
        <v>9603</v>
      </c>
    </row>
    <row r="362">
      <c r="A362" s="2" t="s">
        <v>9604</v>
      </c>
    </row>
    <row r="363">
      <c r="A363" s="2" t="s">
        <v>9605</v>
      </c>
    </row>
    <row r="365">
      <c r="A365" s="2" t="s">
        <v>9606</v>
      </c>
    </row>
    <row r="367">
      <c r="A367" s="2" t="s">
        <v>9607</v>
      </c>
    </row>
    <row r="368">
      <c r="A368" s="2" t="s">
        <v>9608</v>
      </c>
    </row>
    <row r="370">
      <c r="A370" s="2" t="s">
        <v>7462</v>
      </c>
    </row>
    <row r="371">
      <c r="A371" s="2" t="s">
        <v>9609</v>
      </c>
    </row>
    <row r="373">
      <c r="A373" s="2" t="s">
        <v>9610</v>
      </c>
    </row>
    <row r="375">
      <c r="A375" s="2" t="s">
        <v>9611</v>
      </c>
    </row>
    <row r="377">
      <c r="A377" s="2" t="s">
        <v>9612</v>
      </c>
    </row>
    <row r="378">
      <c r="A378" s="2" t="s">
        <v>9613</v>
      </c>
    </row>
    <row r="380">
      <c r="A380" s="2" t="s">
        <v>9614</v>
      </c>
    </row>
    <row r="382">
      <c r="A382" s="2" t="s">
        <v>9615</v>
      </c>
    </row>
    <row r="383">
      <c r="A383" s="2" t="s">
        <v>9616</v>
      </c>
    </row>
    <row r="385">
      <c r="A385" s="2" t="s">
        <v>9617</v>
      </c>
    </row>
    <row r="387">
      <c r="A387" s="2" t="s">
        <v>9618</v>
      </c>
    </row>
    <row r="389">
      <c r="A389" s="2" t="s">
        <v>9619</v>
      </c>
    </row>
    <row r="390">
      <c r="A390" s="2" t="s">
        <v>9620</v>
      </c>
    </row>
    <row r="392">
      <c r="A392" s="2" t="s">
        <v>7462</v>
      </c>
    </row>
    <row r="393">
      <c r="A393" s="2" t="s">
        <v>9621</v>
      </c>
    </row>
    <row r="395">
      <c r="A395" s="2" t="s">
        <v>9622</v>
      </c>
    </row>
    <row r="397">
      <c r="A397" s="2" t="s">
        <v>9623</v>
      </c>
    </row>
    <row r="399">
      <c r="A399" s="2" t="s">
        <v>9624</v>
      </c>
    </row>
    <row r="400">
      <c r="A400" s="2" t="s">
        <v>9625</v>
      </c>
    </row>
    <row r="402">
      <c r="A402" s="2" t="s">
        <v>9626</v>
      </c>
    </row>
    <row r="404">
      <c r="A404" s="2" t="s">
        <v>9627</v>
      </c>
    </row>
    <row r="405">
      <c r="A405" s="2" t="s">
        <v>9628</v>
      </c>
    </row>
    <row r="407">
      <c r="A407" s="2" t="s">
        <v>9629</v>
      </c>
    </row>
    <row r="409">
      <c r="A409" s="2" t="s">
        <v>9630</v>
      </c>
    </row>
    <row r="410">
      <c r="A410" s="2" t="s">
        <v>9631</v>
      </c>
    </row>
    <row r="412">
      <c r="A412" s="2" t="s">
        <v>9632</v>
      </c>
    </row>
    <row r="414">
      <c r="A414" s="2" t="s">
        <v>9633</v>
      </c>
    </row>
    <row r="416">
      <c r="A416" s="2" t="s">
        <v>9634</v>
      </c>
    </row>
    <row r="417">
      <c r="A417" s="2" t="s">
        <v>9635</v>
      </c>
    </row>
    <row r="419">
      <c r="A419" s="2" t="s">
        <v>9636</v>
      </c>
    </row>
    <row r="421">
      <c r="A421" s="2" t="s">
        <v>9637</v>
      </c>
    </row>
    <row r="423">
      <c r="A423" s="2" t="s">
        <v>9638</v>
      </c>
    </row>
    <row r="424">
      <c r="A424" s="2" t="s">
        <v>9639</v>
      </c>
    </row>
    <row r="426">
      <c r="A426" s="2" t="s">
        <v>7462</v>
      </c>
    </row>
    <row r="427">
      <c r="A427" s="2" t="s">
        <v>9640</v>
      </c>
    </row>
    <row r="429">
      <c r="A429" s="2" t="s">
        <v>9641</v>
      </c>
    </row>
    <row r="431">
      <c r="A431" s="2" t="s">
        <v>9642</v>
      </c>
    </row>
    <row r="433">
      <c r="A433" s="2" t="s">
        <v>9643</v>
      </c>
    </row>
    <row r="434">
      <c r="A434" s="2" t="s">
        <v>9644</v>
      </c>
    </row>
    <row r="436">
      <c r="A436" s="2" t="s">
        <v>9645</v>
      </c>
    </row>
    <row r="438">
      <c r="A438" s="2" t="s">
        <v>9646</v>
      </c>
    </row>
    <row r="439">
      <c r="A439" s="2" t="s">
        <v>9647</v>
      </c>
    </row>
    <row r="441">
      <c r="A441" s="2" t="s">
        <v>9648</v>
      </c>
    </row>
    <row r="443">
      <c r="A443" s="2" t="s">
        <v>9649</v>
      </c>
    </row>
    <row r="444">
      <c r="A444" s="2" t="s">
        <v>9650</v>
      </c>
    </row>
    <row r="446">
      <c r="A446" s="2" t="s">
        <v>9651</v>
      </c>
    </row>
    <row r="448">
      <c r="A448" s="2" t="s">
        <v>9652</v>
      </c>
    </row>
    <row r="449">
      <c r="A449" s="2" t="s">
        <v>9653</v>
      </c>
    </row>
    <row r="451">
      <c r="A451" s="2" t="s">
        <v>9654</v>
      </c>
    </row>
    <row r="453">
      <c r="A453" s="2" t="s">
        <v>9655</v>
      </c>
    </row>
    <row r="455">
      <c r="A455" s="2" t="s">
        <v>9656</v>
      </c>
    </row>
    <row r="456">
      <c r="A456" s="2" t="s">
        <v>9657</v>
      </c>
    </row>
    <row r="458">
      <c r="A458" s="2" t="s">
        <v>9658</v>
      </c>
    </row>
    <row r="460">
      <c r="A460" s="2" t="s">
        <v>9659</v>
      </c>
    </row>
    <row r="461">
      <c r="A461" s="2" t="s">
        <v>9660</v>
      </c>
    </row>
    <row r="463">
      <c r="A463" s="2" t="s">
        <v>9661</v>
      </c>
    </row>
    <row r="464">
      <c r="A464" s="2" t="s">
        <v>9662</v>
      </c>
    </row>
    <row r="466">
      <c r="A466" s="2" t="s">
        <v>9663</v>
      </c>
    </row>
    <row r="468">
      <c r="A468" s="2" t="s">
        <v>9664</v>
      </c>
    </row>
    <row r="469">
      <c r="A469" s="2" t="s">
        <v>9665</v>
      </c>
    </row>
    <row r="471">
      <c r="A471" s="2" t="s">
        <v>9666</v>
      </c>
    </row>
    <row r="472">
      <c r="A472" s="2" t="s">
        <v>9667</v>
      </c>
    </row>
    <row r="474">
      <c r="A474" s="2" t="s">
        <v>9668</v>
      </c>
    </row>
    <row r="476">
      <c r="A476" s="2" t="s">
        <v>9669</v>
      </c>
    </row>
    <row r="478">
      <c r="A478" s="2" t="s">
        <v>9670</v>
      </c>
    </row>
    <row r="479">
      <c r="A479" s="2" t="s">
        <v>9671</v>
      </c>
    </row>
    <row r="481">
      <c r="A481" s="2" t="s">
        <v>9672</v>
      </c>
    </row>
    <row r="483">
      <c r="A483" s="2" t="s">
        <v>9673</v>
      </c>
    </row>
    <row r="484">
      <c r="A484" s="2" t="s">
        <v>9674</v>
      </c>
    </row>
    <row r="486">
      <c r="A486" s="2" t="s">
        <v>9675</v>
      </c>
    </row>
    <row r="488">
      <c r="A488" s="2" t="s">
        <v>9676</v>
      </c>
    </row>
    <row r="489">
      <c r="A489" s="2" t="s">
        <v>9677</v>
      </c>
    </row>
    <row r="491">
      <c r="A491" s="2" t="s">
        <v>9678</v>
      </c>
    </row>
    <row r="492">
      <c r="A492" s="2" t="s">
        <v>9679</v>
      </c>
    </row>
    <row r="494">
      <c r="A494" s="2" t="s">
        <v>9680</v>
      </c>
    </row>
    <row r="496">
      <c r="A496" s="2" t="s">
        <v>9681</v>
      </c>
    </row>
    <row r="497">
      <c r="A497" s="2" t="s">
        <v>9682</v>
      </c>
    </row>
    <row r="499">
      <c r="A499" s="2" t="s">
        <v>9683</v>
      </c>
    </row>
    <row r="501">
      <c r="A501" s="2" t="s">
        <v>9684</v>
      </c>
    </row>
    <row r="502">
      <c r="A502" s="2" t="s">
        <v>9685</v>
      </c>
    </row>
    <row r="504">
      <c r="A504" s="2" t="s">
        <v>9686</v>
      </c>
    </row>
    <row r="506">
      <c r="A506" s="2" t="s">
        <v>9687</v>
      </c>
    </row>
    <row r="507">
      <c r="A507" s="2" t="s">
        <v>9688</v>
      </c>
    </row>
    <row r="509">
      <c r="A509" s="2" t="s">
        <v>9689</v>
      </c>
    </row>
    <row r="511">
      <c r="A511" s="2" t="s">
        <v>9690</v>
      </c>
    </row>
    <row r="513">
      <c r="A513" s="2" t="s">
        <v>9691</v>
      </c>
    </row>
    <row r="514">
      <c r="A514" s="2" t="s">
        <v>9692</v>
      </c>
    </row>
    <row r="516">
      <c r="A516" s="2" t="s">
        <v>9693</v>
      </c>
    </row>
    <row r="518">
      <c r="A518" s="2" t="s">
        <v>9694</v>
      </c>
    </row>
    <row r="520">
      <c r="A520" s="2" t="s">
        <v>9695</v>
      </c>
    </row>
    <row r="521">
      <c r="A521" s="2" t="s">
        <v>9696</v>
      </c>
    </row>
    <row r="523">
      <c r="A523" s="2" t="s">
        <v>9697</v>
      </c>
    </row>
    <row r="525">
      <c r="A525" s="2" t="s">
        <v>9698</v>
      </c>
    </row>
    <row r="526">
      <c r="A526" s="2" t="s">
        <v>9699</v>
      </c>
    </row>
    <row r="528">
      <c r="A528" s="2" t="s">
        <v>9700</v>
      </c>
    </row>
    <row r="530">
      <c r="A530" s="2" t="s">
        <v>9701</v>
      </c>
    </row>
    <row r="532">
      <c r="A532" s="2" t="s">
        <v>9702</v>
      </c>
    </row>
    <row r="533">
      <c r="A533" s="2" t="s">
        <v>9703</v>
      </c>
    </row>
    <row r="535">
      <c r="A535" s="2" t="s">
        <v>9704</v>
      </c>
    </row>
    <row r="537">
      <c r="A537" s="2" t="s">
        <v>9705</v>
      </c>
    </row>
    <row r="539">
      <c r="A539" s="2" t="s">
        <v>9706</v>
      </c>
    </row>
    <row r="540">
      <c r="A540" s="2" t="s">
        <v>9707</v>
      </c>
    </row>
    <row r="542">
      <c r="A542" s="2" t="s">
        <v>9708</v>
      </c>
    </row>
    <row r="544">
      <c r="A544" s="2" t="s">
        <v>9709</v>
      </c>
    </row>
    <row r="545">
      <c r="A545" s="2" t="s">
        <v>9710</v>
      </c>
    </row>
    <row r="547">
      <c r="A547" s="2" t="s">
        <v>9711</v>
      </c>
    </row>
    <row r="549">
      <c r="A549" s="2" t="s">
        <v>9712</v>
      </c>
    </row>
    <row r="550">
      <c r="A550" s="2" t="s">
        <v>9713</v>
      </c>
    </row>
    <row r="552">
      <c r="A552" s="2" t="s">
        <v>9714</v>
      </c>
    </row>
    <row r="554">
      <c r="A554" s="2" t="s">
        <v>9715</v>
      </c>
    </row>
    <row r="555">
      <c r="A555" s="2" t="s">
        <v>9716</v>
      </c>
    </row>
    <row r="557">
      <c r="A557" s="2" t="s">
        <v>9717</v>
      </c>
    </row>
    <row r="559">
      <c r="A559" s="2" t="s">
        <v>9718</v>
      </c>
    </row>
    <row r="560">
      <c r="A560" s="2" t="s">
        <v>9719</v>
      </c>
    </row>
    <row r="562">
      <c r="A562" s="2" t="s">
        <v>9720</v>
      </c>
    </row>
    <row r="564">
      <c r="A564" s="2" t="s">
        <v>9721</v>
      </c>
    </row>
    <row r="565">
      <c r="A565" s="2" t="s">
        <v>9722</v>
      </c>
    </row>
    <row r="567">
      <c r="A567" s="2" t="s">
        <v>9723</v>
      </c>
    </row>
    <row r="569">
      <c r="A569" s="2" t="s">
        <v>9724</v>
      </c>
    </row>
    <row r="570">
      <c r="A570" s="2" t="s">
        <v>9725</v>
      </c>
    </row>
    <row r="572">
      <c r="A572" s="2" t="s">
        <v>9726</v>
      </c>
    </row>
    <row r="574">
      <c r="A574" s="2" t="s">
        <v>9727</v>
      </c>
    </row>
    <row r="575">
      <c r="A575" s="2" t="s">
        <v>9728</v>
      </c>
    </row>
    <row r="577">
      <c r="A577" s="2" t="s">
        <v>7462</v>
      </c>
    </row>
    <row r="578">
      <c r="A578" s="2" t="s">
        <v>9729</v>
      </c>
    </row>
    <row r="580">
      <c r="A580" s="2" t="s">
        <v>9730</v>
      </c>
    </row>
    <row r="582">
      <c r="A582" s="2" t="s">
        <v>9731</v>
      </c>
    </row>
    <row r="583">
      <c r="A583" s="2" t="s">
        <v>9732</v>
      </c>
    </row>
    <row r="585">
      <c r="A585" s="2" t="s">
        <v>9733</v>
      </c>
    </row>
    <row r="587">
      <c r="A587" s="2" t="s">
        <v>9734</v>
      </c>
    </row>
    <row r="588">
      <c r="A588" s="2" t="s">
        <v>9735</v>
      </c>
    </row>
    <row r="590">
      <c r="A590" s="2" t="s">
        <v>9736</v>
      </c>
    </row>
    <row r="592">
      <c r="A592" s="2" t="s">
        <v>9737</v>
      </c>
    </row>
    <row r="594">
      <c r="A594" s="2" t="s">
        <v>9738</v>
      </c>
    </row>
    <row r="595">
      <c r="A595" s="2" t="s">
        <v>9739</v>
      </c>
    </row>
    <row r="597">
      <c r="A597" s="2" t="s">
        <v>9740</v>
      </c>
    </row>
    <row r="599">
      <c r="A599" s="2" t="s">
        <v>9741</v>
      </c>
    </row>
    <row r="601">
      <c r="A601" s="2" t="s">
        <v>9742</v>
      </c>
    </row>
    <row r="602">
      <c r="A602" s="2" t="s">
        <v>9743</v>
      </c>
    </row>
    <row r="604">
      <c r="A604" s="2" t="s">
        <v>9744</v>
      </c>
    </row>
    <row r="605">
      <c r="A605" s="2" t="s">
        <v>9745</v>
      </c>
    </row>
    <row r="607">
      <c r="A607" s="2" t="s">
        <v>9746</v>
      </c>
    </row>
    <row r="609">
      <c r="A609" s="2" t="s">
        <v>9747</v>
      </c>
    </row>
    <row r="610">
      <c r="A610" s="2" t="s">
        <v>9748</v>
      </c>
    </row>
    <row r="612">
      <c r="A612" s="2" t="s">
        <v>9749</v>
      </c>
    </row>
    <row r="614">
      <c r="A614" s="2" t="s">
        <v>9750</v>
      </c>
    </row>
    <row r="615">
      <c r="A615" s="2" t="s">
        <v>9751</v>
      </c>
    </row>
    <row r="617">
      <c r="A617" s="2" t="s">
        <v>9752</v>
      </c>
    </row>
    <row r="619">
      <c r="A619" s="2" t="s">
        <v>9753</v>
      </c>
    </row>
    <row r="620">
      <c r="A620" s="2" t="s">
        <v>9754</v>
      </c>
    </row>
    <row r="622">
      <c r="A622" s="2" t="s">
        <v>9755</v>
      </c>
    </row>
    <row r="624">
      <c r="A624" s="2" t="s">
        <v>9756</v>
      </c>
    </row>
    <row r="625">
      <c r="A625" s="2" t="s">
        <v>9757</v>
      </c>
    </row>
    <row r="627">
      <c r="A627" s="2" t="s">
        <v>9758</v>
      </c>
    </row>
    <row r="629">
      <c r="A629" s="2" t="s">
        <v>9759</v>
      </c>
    </row>
    <row r="631">
      <c r="A631" s="2" t="s">
        <v>9760</v>
      </c>
    </row>
    <row r="632">
      <c r="A632" s="2" t="s">
        <v>9761</v>
      </c>
    </row>
    <row r="634">
      <c r="A634" s="2" t="s">
        <v>9762</v>
      </c>
    </row>
    <row r="636">
      <c r="A636" s="2" t="s">
        <v>9763</v>
      </c>
    </row>
    <row r="637">
      <c r="A637" s="2" t="s">
        <v>9764</v>
      </c>
    </row>
    <row r="639">
      <c r="A639" s="2" t="s">
        <v>9765</v>
      </c>
    </row>
    <row r="641">
      <c r="A641" s="2" t="s">
        <v>9766</v>
      </c>
    </row>
    <row r="643">
      <c r="A643" s="2" t="s">
        <v>9767</v>
      </c>
    </row>
    <row r="644">
      <c r="A644" s="2" t="s">
        <v>9768</v>
      </c>
    </row>
    <row r="645">
      <c r="A645" s="2" t="s">
        <v>9769</v>
      </c>
    </row>
    <row r="647">
      <c r="A647" s="2" t="s">
        <v>7462</v>
      </c>
    </row>
    <row r="648">
      <c r="A648" s="2" t="s">
        <v>9770</v>
      </c>
    </row>
    <row r="650">
      <c r="A650" s="2" t="s">
        <v>9771</v>
      </c>
    </row>
    <row r="652">
      <c r="A652" s="2" t="s">
        <v>9772</v>
      </c>
    </row>
    <row r="654">
      <c r="A654" s="2" t="s">
        <v>9773</v>
      </c>
    </row>
    <row r="655">
      <c r="A655" s="2" t="s">
        <v>9774</v>
      </c>
    </row>
    <row r="657">
      <c r="A657" s="2" t="s">
        <v>9775</v>
      </c>
    </row>
    <row r="659">
      <c r="A659" s="2" t="s">
        <v>9776</v>
      </c>
    </row>
    <row r="660">
      <c r="A660" s="2" t="s">
        <v>9777</v>
      </c>
    </row>
    <row r="662">
      <c r="A662" s="2" t="s">
        <v>9778</v>
      </c>
    </row>
    <row r="664">
      <c r="A664" s="2" t="s">
        <v>9779</v>
      </c>
    </row>
    <row r="666">
      <c r="A666" s="2" t="s">
        <v>9780</v>
      </c>
    </row>
    <row r="667">
      <c r="A667" s="2" t="s">
        <v>9781</v>
      </c>
    </row>
    <row r="669">
      <c r="A669" s="2" t="s">
        <v>9782</v>
      </c>
    </row>
    <row r="671">
      <c r="A671" s="2" t="s">
        <v>9783</v>
      </c>
    </row>
    <row r="673">
      <c r="A673" s="2" t="s">
        <v>9784</v>
      </c>
    </row>
    <row r="674">
      <c r="A674" s="2" t="s">
        <v>9785</v>
      </c>
    </row>
    <row r="676">
      <c r="A676" s="2" t="s">
        <v>9786</v>
      </c>
    </row>
    <row r="678">
      <c r="A678" s="2" t="s">
        <v>9787</v>
      </c>
    </row>
    <row r="679">
      <c r="A679" s="2" t="s">
        <v>9788</v>
      </c>
    </row>
    <row r="681">
      <c r="A681" s="2" t="s">
        <v>9789</v>
      </c>
    </row>
    <row r="683">
      <c r="A683" s="2" t="s">
        <v>9790</v>
      </c>
    </row>
    <row r="684">
      <c r="A684" s="2" t="s">
        <v>9791</v>
      </c>
    </row>
    <row r="686">
      <c r="A686" s="2" t="s">
        <v>9792</v>
      </c>
    </row>
    <row r="688">
      <c r="A688" s="2" t="s">
        <v>9793</v>
      </c>
    </row>
    <row r="689">
      <c r="A689" s="2" t="s">
        <v>9794</v>
      </c>
    </row>
    <row r="691">
      <c r="A691" s="2" t="s">
        <v>9795</v>
      </c>
    </row>
    <row r="693">
      <c r="A693" s="2" t="s">
        <v>9796</v>
      </c>
    </row>
    <row r="694">
      <c r="A694" s="2" t="s">
        <v>9797</v>
      </c>
    </row>
    <row r="696">
      <c r="A696" s="2" t="s">
        <v>9798</v>
      </c>
    </row>
    <row r="698">
      <c r="A698" s="2" t="s">
        <v>9799</v>
      </c>
    </row>
    <row r="700">
      <c r="A700" s="2" t="s">
        <v>9800</v>
      </c>
    </row>
    <row r="701">
      <c r="A701" s="2" t="s">
        <v>9801</v>
      </c>
    </row>
    <row r="703">
      <c r="A703" s="2" t="s">
        <v>9802</v>
      </c>
    </row>
    <row r="705">
      <c r="A705" s="2" t="s">
        <v>9803</v>
      </c>
    </row>
    <row r="707">
      <c r="A707" s="2" t="s">
        <v>9804</v>
      </c>
    </row>
    <row r="708">
      <c r="A708" s="2" t="s">
        <v>9805</v>
      </c>
    </row>
    <row r="710">
      <c r="A710" s="2" t="s">
        <v>9806</v>
      </c>
    </row>
    <row r="712">
      <c r="A712" s="2" t="s">
        <v>9807</v>
      </c>
    </row>
    <row r="713">
      <c r="A713" s="2" t="s">
        <v>9808</v>
      </c>
    </row>
    <row r="715">
      <c r="A715" s="2" t="s">
        <v>9809</v>
      </c>
    </row>
    <row r="717">
      <c r="A717" s="2" t="s">
        <v>9810</v>
      </c>
    </row>
    <row r="718">
      <c r="A718" s="2" t="s">
        <v>9811</v>
      </c>
    </row>
    <row r="720">
      <c r="A720" s="2" t="s">
        <v>9812</v>
      </c>
    </row>
    <row r="722">
      <c r="A722" s="2" t="s">
        <v>9813</v>
      </c>
    </row>
    <row r="723">
      <c r="A723" s="2" t="s">
        <v>9814</v>
      </c>
    </row>
    <row r="725">
      <c r="A725" s="2" t="s">
        <v>7462</v>
      </c>
    </row>
    <row r="726">
      <c r="A726" s="2" t="s">
        <v>9815</v>
      </c>
    </row>
    <row r="728">
      <c r="A728" s="2" t="s">
        <v>9816</v>
      </c>
    </row>
    <row r="730">
      <c r="A730" s="2" t="s">
        <v>9817</v>
      </c>
    </row>
    <row r="731">
      <c r="A731" s="2" t="s">
        <v>9818</v>
      </c>
    </row>
    <row r="733">
      <c r="A733" s="2" t="s">
        <v>9819</v>
      </c>
    </row>
    <row r="735">
      <c r="A735" s="2" t="s">
        <v>9820</v>
      </c>
    </row>
    <row r="737">
      <c r="A737" s="2" t="s">
        <v>9821</v>
      </c>
    </row>
    <row r="738">
      <c r="A738" s="2" t="s">
        <v>9822</v>
      </c>
    </row>
    <row r="739">
      <c r="A739" s="2" t="s">
        <v>7462</v>
      </c>
    </row>
    <row r="740">
      <c r="A740" s="2" t="s">
        <v>9823</v>
      </c>
    </row>
    <row r="742">
      <c r="A742" s="2" t="s">
        <v>9824</v>
      </c>
    </row>
    <row r="744">
      <c r="A744" s="2" t="s">
        <v>9825</v>
      </c>
    </row>
    <row r="745">
      <c r="A745" s="2" t="s">
        <v>9826</v>
      </c>
    </row>
    <row r="747">
      <c r="A747" s="2" t="s">
        <v>9827</v>
      </c>
    </row>
    <row r="749">
      <c r="A749" s="2" t="s">
        <v>9828</v>
      </c>
    </row>
    <row r="750">
      <c r="A750" s="2" t="s">
        <v>9829</v>
      </c>
    </row>
    <row r="752">
      <c r="A752" s="2" t="s">
        <v>9830</v>
      </c>
    </row>
    <row r="753">
      <c r="A753" s="2" t="s">
        <v>9831</v>
      </c>
    </row>
    <row r="755">
      <c r="A755" s="2" t="s">
        <v>9832</v>
      </c>
    </row>
    <row r="757">
      <c r="A757" s="2" t="s">
        <v>9833</v>
      </c>
    </row>
    <row r="759">
      <c r="A759" s="2" t="s">
        <v>9834</v>
      </c>
    </row>
    <row r="760">
      <c r="A760" s="2" t="s">
        <v>9835</v>
      </c>
    </row>
    <row r="762">
      <c r="A762" s="2" t="s">
        <v>9836</v>
      </c>
    </row>
    <row r="764">
      <c r="A764" s="2" t="s">
        <v>9837</v>
      </c>
    </row>
    <row r="765">
      <c r="A765" s="2" t="s">
        <v>9838</v>
      </c>
    </row>
    <row r="767">
      <c r="A767" s="2" t="s">
        <v>9839</v>
      </c>
    </row>
    <row r="768">
      <c r="A768" s="2" t="s">
        <v>9840</v>
      </c>
    </row>
    <row r="770">
      <c r="A770" s="2" t="s">
        <v>9841</v>
      </c>
    </row>
    <row r="772">
      <c r="A772" s="2" t="s">
        <v>9842</v>
      </c>
    </row>
    <row r="774">
      <c r="A774" s="2" t="s">
        <v>9843</v>
      </c>
    </row>
    <row r="775">
      <c r="A775" s="2" t="s">
        <v>9844</v>
      </c>
    </row>
    <row r="777">
      <c r="A777" s="2" t="s">
        <v>9845</v>
      </c>
    </row>
    <row r="779">
      <c r="A779" s="2" t="s">
        <v>9846</v>
      </c>
    </row>
    <row r="780">
      <c r="A780" s="2" t="s">
        <v>9847</v>
      </c>
    </row>
    <row r="782">
      <c r="A782" s="2" t="s">
        <v>9848</v>
      </c>
    </row>
    <row r="784">
      <c r="A784" s="2" t="s">
        <v>9849</v>
      </c>
    </row>
    <row r="785">
      <c r="A785" s="2" t="s">
        <v>9850</v>
      </c>
    </row>
    <row r="787">
      <c r="A787" s="2" t="s">
        <v>9851</v>
      </c>
    </row>
    <row r="789">
      <c r="A789" s="2" t="s">
        <v>9852</v>
      </c>
    </row>
    <row r="790">
      <c r="A790" s="2" t="s">
        <v>9853</v>
      </c>
    </row>
    <row r="792">
      <c r="A792" s="2" t="s">
        <v>9854</v>
      </c>
    </row>
    <row r="794">
      <c r="A794" s="2" t="s">
        <v>9855</v>
      </c>
    </row>
    <row r="796">
      <c r="A796" s="2" t="s">
        <v>9856</v>
      </c>
    </row>
    <row r="798">
      <c r="A798" s="2" t="s">
        <v>9857</v>
      </c>
    </row>
    <row r="799">
      <c r="A799" s="2" t="s">
        <v>9858</v>
      </c>
    </row>
    <row r="801">
      <c r="A801" s="2" t="s">
        <v>9859</v>
      </c>
    </row>
    <row r="803">
      <c r="A803" s="2" t="s">
        <v>9860</v>
      </c>
    </row>
    <row r="804">
      <c r="A804" s="2" t="s">
        <v>9861</v>
      </c>
    </row>
    <row r="806">
      <c r="A806" s="2" t="s">
        <v>7462</v>
      </c>
    </row>
    <row r="807">
      <c r="A807" s="2" t="s">
        <v>9862</v>
      </c>
    </row>
    <row r="809">
      <c r="A809" s="2" t="s">
        <v>9863</v>
      </c>
    </row>
    <row r="811">
      <c r="A811" s="2" t="s">
        <v>9864</v>
      </c>
    </row>
    <row r="813">
      <c r="A813" s="2" t="s">
        <v>9865</v>
      </c>
    </row>
    <row r="814">
      <c r="A814" s="2" t="s">
        <v>9866</v>
      </c>
    </row>
    <row r="816">
      <c r="A816" s="2" t="s">
        <v>9867</v>
      </c>
    </row>
    <row r="818">
      <c r="A818" s="2" t="s">
        <v>9868</v>
      </c>
    </row>
    <row r="820">
      <c r="A820" s="2" t="s">
        <v>9869</v>
      </c>
    </row>
    <row r="821">
      <c r="A821" s="2" t="s">
        <v>9870</v>
      </c>
    </row>
    <row r="823">
      <c r="A823" s="2" t="s">
        <v>9871</v>
      </c>
    </row>
    <row r="825">
      <c r="A825" s="2" t="s">
        <v>9872</v>
      </c>
    </row>
    <row r="827">
      <c r="A827" s="2" t="s">
        <v>9873</v>
      </c>
    </row>
    <row r="828">
      <c r="A828" s="2" t="s">
        <v>9874</v>
      </c>
    </row>
    <row r="830">
      <c r="A830" s="2" t="s">
        <v>9875</v>
      </c>
    </row>
    <row r="832">
      <c r="A832" s="2" t="s">
        <v>9876</v>
      </c>
    </row>
    <row r="833">
      <c r="A833" s="2" t="s">
        <v>9877</v>
      </c>
    </row>
    <row r="835">
      <c r="A835" s="2" t="s">
        <v>9878</v>
      </c>
    </row>
    <row r="837">
      <c r="A837" s="2" t="s">
        <v>9879</v>
      </c>
    </row>
    <row r="839">
      <c r="A839" s="2" t="s">
        <v>9880</v>
      </c>
    </row>
    <row r="840">
      <c r="A840" s="2" t="s">
        <v>9881</v>
      </c>
    </row>
    <row r="842">
      <c r="A842" s="2" t="s">
        <v>9882</v>
      </c>
    </row>
    <row r="844">
      <c r="A844" s="2" t="s">
        <v>9883</v>
      </c>
    </row>
    <row r="846">
      <c r="A846" s="2" t="s">
        <v>9884</v>
      </c>
    </row>
    <row r="847">
      <c r="A847" s="2" t="s">
        <v>9885</v>
      </c>
    </row>
    <row r="849">
      <c r="A849" s="2" t="s">
        <v>9886</v>
      </c>
    </row>
    <row r="851">
      <c r="A851" s="2" t="s">
        <v>9887</v>
      </c>
    </row>
    <row r="852">
      <c r="A852" s="2" t="s">
        <v>9888</v>
      </c>
    </row>
    <row r="854">
      <c r="A854" s="2" t="s">
        <v>9889</v>
      </c>
    </row>
    <row r="856">
      <c r="A856" s="2" t="s">
        <v>9890</v>
      </c>
    </row>
    <row r="857">
      <c r="A857" s="2" t="s">
        <v>9891</v>
      </c>
    </row>
    <row r="859">
      <c r="A859" s="2" t="s">
        <v>7462</v>
      </c>
    </row>
    <row r="860">
      <c r="A860" s="2" t="s">
        <v>9892</v>
      </c>
    </row>
    <row r="862">
      <c r="A862" s="2" t="s">
        <v>9893</v>
      </c>
    </row>
    <row r="864">
      <c r="A864" s="2" t="s">
        <v>9894</v>
      </c>
    </row>
    <row r="866">
      <c r="A866" s="2" t="s">
        <v>9895</v>
      </c>
    </row>
    <row r="867">
      <c r="A867" s="2" t="s">
        <v>9896</v>
      </c>
    </row>
    <row r="869">
      <c r="A869" s="2" t="s">
        <v>9897</v>
      </c>
    </row>
    <row r="871">
      <c r="A871" s="2" t="s">
        <v>9898</v>
      </c>
    </row>
    <row r="873">
      <c r="A873" s="2" t="s">
        <v>9899</v>
      </c>
    </row>
    <row r="874">
      <c r="A874" s="2" t="s">
        <v>9900</v>
      </c>
    </row>
    <row r="876">
      <c r="A876" s="2" t="s">
        <v>9901</v>
      </c>
    </row>
    <row r="878">
      <c r="A878" s="2" t="s">
        <v>9902</v>
      </c>
    </row>
    <row r="879">
      <c r="A879" s="2" t="s">
        <v>9903</v>
      </c>
    </row>
    <row r="881">
      <c r="A881" s="2" t="s">
        <v>9904</v>
      </c>
    </row>
    <row r="882">
      <c r="A882" s="2" t="s">
        <v>9905</v>
      </c>
    </row>
    <row r="884">
      <c r="A884" s="2" t="s">
        <v>9906</v>
      </c>
    </row>
    <row r="886">
      <c r="A886" s="2" t="s">
        <v>9907</v>
      </c>
    </row>
    <row r="887">
      <c r="A887" s="2" t="s">
        <v>9908</v>
      </c>
    </row>
    <row r="889">
      <c r="A889" s="2" t="s">
        <v>9909</v>
      </c>
    </row>
    <row r="891">
      <c r="A891" s="2" t="s">
        <v>9910</v>
      </c>
    </row>
    <row r="892">
      <c r="A892" s="2" t="s">
        <v>9911</v>
      </c>
    </row>
    <row r="894">
      <c r="A894" s="2" t="s">
        <v>9912</v>
      </c>
    </row>
    <row r="895">
      <c r="A895" s="2" t="s">
        <v>9913</v>
      </c>
    </row>
    <row r="897">
      <c r="A897" s="2" t="s">
        <v>9914</v>
      </c>
    </row>
    <row r="899">
      <c r="A899" s="2" t="s">
        <v>9915</v>
      </c>
    </row>
    <row r="901">
      <c r="A901" s="2" t="s">
        <v>9916</v>
      </c>
    </row>
    <row r="902">
      <c r="A902" s="2" t="s">
        <v>9917</v>
      </c>
    </row>
    <row r="904">
      <c r="A904" s="2" t="s">
        <v>9918</v>
      </c>
    </row>
    <row r="906">
      <c r="A906" s="2" t="s">
        <v>9919</v>
      </c>
    </row>
    <row r="907">
      <c r="A907" s="2" t="s">
        <v>9920</v>
      </c>
    </row>
    <row r="909">
      <c r="A909" s="2" t="s">
        <v>9921</v>
      </c>
    </row>
    <row r="910">
      <c r="A910" s="2" t="s">
        <v>9922</v>
      </c>
    </row>
    <row r="912">
      <c r="A912" s="2" t="s">
        <v>9923</v>
      </c>
    </row>
    <row r="914">
      <c r="A914" s="2" t="s">
        <v>9924</v>
      </c>
    </row>
    <row r="915">
      <c r="A915" s="2" t="s">
        <v>9925</v>
      </c>
    </row>
    <row r="917">
      <c r="A917" s="2" t="s">
        <v>9926</v>
      </c>
    </row>
    <row r="919">
      <c r="A919" s="2" t="s">
        <v>9927</v>
      </c>
    </row>
    <row r="920">
      <c r="A920" s="2" t="s">
        <v>9928</v>
      </c>
    </row>
    <row r="922">
      <c r="A922" s="2" t="s">
        <v>9929</v>
      </c>
    </row>
    <row r="924">
      <c r="A924" s="2" t="s">
        <v>9930</v>
      </c>
    </row>
    <row r="925">
      <c r="A925" s="2" t="s">
        <v>9931</v>
      </c>
    </row>
    <row r="927">
      <c r="A927" s="2" t="s">
        <v>7462</v>
      </c>
    </row>
    <row r="928">
      <c r="A928" s="2" t="s">
        <v>9932</v>
      </c>
    </row>
    <row r="930">
      <c r="A930" s="2" t="s">
        <v>9933</v>
      </c>
    </row>
    <row r="932">
      <c r="A932" s="2" t="s">
        <v>9934</v>
      </c>
    </row>
    <row r="934">
      <c r="A934" s="2" t="s">
        <v>9935</v>
      </c>
    </row>
    <row r="935">
      <c r="A935" s="2" t="s">
        <v>9936</v>
      </c>
    </row>
    <row r="937">
      <c r="A937" s="2" t="s">
        <v>9937</v>
      </c>
    </row>
    <row r="939">
      <c r="A939" s="2" t="s">
        <v>9938</v>
      </c>
    </row>
    <row r="940">
      <c r="A940" s="2" t="s">
        <v>9939</v>
      </c>
    </row>
    <row r="942">
      <c r="A942" s="2" t="s">
        <v>9940</v>
      </c>
    </row>
    <row r="944">
      <c r="A944" s="2" t="s">
        <v>9941</v>
      </c>
    </row>
    <row r="945">
      <c r="A945" s="2" t="s">
        <v>9942</v>
      </c>
    </row>
    <row r="947">
      <c r="A947" s="2" t="s">
        <v>9943</v>
      </c>
    </row>
    <row r="949">
      <c r="A949" s="2" t="s">
        <v>9944</v>
      </c>
    </row>
    <row r="951">
      <c r="A951" s="2" t="s">
        <v>9945</v>
      </c>
    </row>
    <row r="952">
      <c r="A952" s="2" t="s">
        <v>9946</v>
      </c>
    </row>
    <row r="954">
      <c r="A954" s="2" t="s">
        <v>7462</v>
      </c>
    </row>
    <row r="955">
      <c r="A955" s="2" t="s">
        <v>9947</v>
      </c>
    </row>
    <row r="957">
      <c r="A957" s="2" t="s">
        <v>9948</v>
      </c>
    </row>
    <row r="959">
      <c r="A959" s="2" t="s">
        <v>9949</v>
      </c>
    </row>
    <row r="961">
      <c r="A961" s="2" t="s">
        <v>9950</v>
      </c>
    </row>
    <row r="962">
      <c r="A962" s="2" t="s">
        <v>9951</v>
      </c>
    </row>
    <row r="964">
      <c r="A964" s="2" t="s">
        <v>9952</v>
      </c>
    </row>
    <row r="966">
      <c r="A966" s="2" t="s">
        <v>9953</v>
      </c>
    </row>
    <row r="967">
      <c r="A967" s="2" t="s">
        <v>9954</v>
      </c>
    </row>
    <row r="969">
      <c r="A969" s="2" t="s">
        <v>9955</v>
      </c>
    </row>
    <row r="971">
      <c r="A971" s="2" t="s">
        <v>9956</v>
      </c>
    </row>
    <row r="973">
      <c r="A973" s="2" t="s">
        <v>9957</v>
      </c>
    </row>
    <row r="974">
      <c r="A974" s="2" t="s">
        <v>9958</v>
      </c>
    </row>
    <row r="976">
      <c r="A976" s="2" t="s">
        <v>7462</v>
      </c>
    </row>
    <row r="977">
      <c r="A977" s="2" t="s">
        <v>9959</v>
      </c>
    </row>
    <row r="979">
      <c r="A979" s="2" t="s">
        <v>9960</v>
      </c>
    </row>
    <row r="981">
      <c r="A981" s="2" t="s">
        <v>9961</v>
      </c>
    </row>
    <row r="982">
      <c r="A982" s="2" t="s">
        <v>9962</v>
      </c>
    </row>
    <row r="984">
      <c r="A984" s="2" t="s">
        <v>7462</v>
      </c>
    </row>
    <row r="985">
      <c r="A985" s="2" t="s">
        <v>9963</v>
      </c>
    </row>
    <row r="987">
      <c r="A987" s="2" t="s">
        <v>9964</v>
      </c>
    </row>
    <row r="989">
      <c r="A989" s="2" t="s">
        <v>9965</v>
      </c>
    </row>
    <row r="990">
      <c r="A990" s="2" t="s">
        <v>9966</v>
      </c>
    </row>
    <row r="992">
      <c r="A992" s="2" t="s">
        <v>9967</v>
      </c>
    </row>
    <row r="994">
      <c r="A994" s="2" t="s">
        <v>9968</v>
      </c>
    </row>
    <row r="995">
      <c r="A995" s="2" t="s">
        <v>9969</v>
      </c>
    </row>
    <row r="997">
      <c r="A997" s="2" t="s">
        <v>9970</v>
      </c>
    </row>
    <row r="999">
      <c r="A999" s="2" t="s">
        <v>9971</v>
      </c>
    </row>
    <row r="1001">
      <c r="A1001" s="2" t="s">
        <v>9972</v>
      </c>
    </row>
    <row r="1002">
      <c r="A1002" s="2" t="s">
        <v>9973</v>
      </c>
    </row>
    <row r="1004">
      <c r="A1004" s="2" t="s">
        <v>9974</v>
      </c>
    </row>
    <row r="1006">
      <c r="A1006" s="2" t="s">
        <v>9975</v>
      </c>
    </row>
    <row r="1007">
      <c r="A1007" s="2" t="s">
        <v>9976</v>
      </c>
    </row>
    <row r="1009">
      <c r="A1009" s="2" t="s">
        <v>9977</v>
      </c>
    </row>
    <row r="1011">
      <c r="A1011" s="2" t="s">
        <v>9978</v>
      </c>
    </row>
    <row r="1013">
      <c r="A1013" s="2" t="s">
        <v>9979</v>
      </c>
    </row>
    <row r="1014">
      <c r="A1014" s="2" t="s">
        <v>9980</v>
      </c>
    </row>
    <row r="1016">
      <c r="A1016" s="2" t="s">
        <v>9981</v>
      </c>
    </row>
    <row r="1018">
      <c r="A1018" s="2" t="s">
        <v>9982</v>
      </c>
    </row>
    <row r="1019">
      <c r="A1019" s="2" t="s">
        <v>9983</v>
      </c>
    </row>
    <row r="1021">
      <c r="A1021" s="2" t="s">
        <v>9984</v>
      </c>
    </row>
    <row r="1023">
      <c r="A1023" s="2" t="s">
        <v>9985</v>
      </c>
    </row>
    <row r="1025">
      <c r="A1025" s="2" t="s">
        <v>9986</v>
      </c>
    </row>
    <row r="1026">
      <c r="A1026" s="2" t="s">
        <v>9987</v>
      </c>
    </row>
    <row r="1028">
      <c r="A1028" s="2" t="s">
        <v>9988</v>
      </c>
    </row>
    <row r="1030">
      <c r="A1030" s="2" t="s">
        <v>9989</v>
      </c>
    </row>
    <row r="1031">
      <c r="A1031" s="2" t="s">
        <v>9990</v>
      </c>
    </row>
    <row r="1033">
      <c r="A1033" s="2" t="s">
        <v>9991</v>
      </c>
    </row>
    <row r="1035">
      <c r="A1035" s="2" t="s">
        <v>9992</v>
      </c>
    </row>
    <row r="1037">
      <c r="A1037" s="2" t="s">
        <v>9993</v>
      </c>
    </row>
    <row r="1038">
      <c r="A1038" s="2" t="s">
        <v>9994</v>
      </c>
    </row>
    <row r="1040">
      <c r="A1040" s="2" t="s">
        <v>9995</v>
      </c>
    </row>
    <row r="1042">
      <c r="A1042" s="2" t="s">
        <v>9996</v>
      </c>
    </row>
    <row r="1044">
      <c r="A1044" s="2" t="s">
        <v>9997</v>
      </c>
    </row>
    <row r="1045">
      <c r="A1045" s="2" t="s">
        <v>9998</v>
      </c>
    </row>
    <row r="1047">
      <c r="A1047" s="2" t="s">
        <v>9999</v>
      </c>
    </row>
    <row r="1048">
      <c r="A1048" s="2" t="s">
        <v>10000</v>
      </c>
    </row>
    <row r="1050">
      <c r="A1050" s="2" t="s">
        <v>10001</v>
      </c>
    </row>
    <row r="1052">
      <c r="A1052" s="2" t="s">
        <v>10002</v>
      </c>
    </row>
    <row r="1053">
      <c r="A1053" s="2" t="s">
        <v>10003</v>
      </c>
    </row>
    <row r="1055">
      <c r="A1055" s="2" t="s">
        <v>10004</v>
      </c>
    </row>
    <row r="1057">
      <c r="A1057" s="2" t="s">
        <v>10005</v>
      </c>
    </row>
    <row r="1058">
      <c r="A1058" s="2" t="s">
        <v>10006</v>
      </c>
    </row>
    <row r="1060">
      <c r="A1060" s="2" t="s">
        <v>10007</v>
      </c>
    </row>
    <row r="1062">
      <c r="A1062" s="2" t="s">
        <v>10008</v>
      </c>
    </row>
    <row r="1063">
      <c r="A1063" s="2" t="s">
        <v>10009</v>
      </c>
    </row>
    <row r="1065">
      <c r="A1065" s="2" t="s">
        <v>10010</v>
      </c>
    </row>
    <row r="1067">
      <c r="A1067" s="2" t="s">
        <v>10011</v>
      </c>
    </row>
    <row r="1068">
      <c r="A1068" s="2" t="s">
        <v>10012</v>
      </c>
    </row>
    <row r="1070">
      <c r="A1070" s="2" t="s">
        <v>10013</v>
      </c>
    </row>
    <row r="1072">
      <c r="A1072" s="2" t="s">
        <v>10014</v>
      </c>
    </row>
    <row r="1073">
      <c r="A1073" s="2" t="s">
        <v>10015</v>
      </c>
    </row>
    <row r="1075">
      <c r="A1075" s="2" t="s">
        <v>10016</v>
      </c>
    </row>
    <row r="1077">
      <c r="A1077" s="2" t="s">
        <v>10017</v>
      </c>
    </row>
    <row r="1078">
      <c r="A1078" s="2" t="s">
        <v>10018</v>
      </c>
    </row>
    <row r="1080">
      <c r="A1080" s="2" t="s">
        <v>7462</v>
      </c>
    </row>
    <row r="1081">
      <c r="A1081" s="2" t="s">
        <v>10019</v>
      </c>
    </row>
    <row r="1083">
      <c r="A1083" s="2" t="s">
        <v>10020</v>
      </c>
    </row>
    <row r="1085">
      <c r="A1085" s="2" t="s">
        <v>10021</v>
      </c>
    </row>
    <row r="1087">
      <c r="A1087" s="2" t="s">
        <v>10022</v>
      </c>
    </row>
    <row r="1089">
      <c r="A1089" s="2" t="s">
        <v>10023</v>
      </c>
    </row>
    <row r="1090">
      <c r="A1090" s="2" t="s">
        <v>10024</v>
      </c>
    </row>
    <row r="1092">
      <c r="A1092" s="2" t="s">
        <v>10025</v>
      </c>
    </row>
    <row r="1094">
      <c r="A1094" s="2" t="s">
        <v>10026</v>
      </c>
    </row>
    <row r="1095">
      <c r="A1095" s="2" t="s">
        <v>10027</v>
      </c>
    </row>
    <row r="1097">
      <c r="A1097" s="2" t="s">
        <v>10028</v>
      </c>
    </row>
    <row r="1099">
      <c r="A1099" s="2" t="s">
        <v>10029</v>
      </c>
    </row>
    <row r="1101">
      <c r="A1101" s="2" t="s">
        <v>10030</v>
      </c>
    </row>
    <row r="1102">
      <c r="A1102" s="2" t="s">
        <v>10031</v>
      </c>
    </row>
    <row r="1104">
      <c r="A1104" s="2" t="s">
        <v>10032</v>
      </c>
    </row>
    <row r="1106">
      <c r="A1106" s="2" t="s">
        <v>10033</v>
      </c>
    </row>
    <row r="1107">
      <c r="A1107" s="2" t="s">
        <v>10034</v>
      </c>
    </row>
    <row r="1109">
      <c r="A1109" s="2" t="s">
        <v>10035</v>
      </c>
    </row>
    <row r="1111">
      <c r="A1111" s="2" t="s">
        <v>10036</v>
      </c>
    </row>
    <row r="1113">
      <c r="A1113" s="2" t="s">
        <v>10037</v>
      </c>
    </row>
    <row r="1114">
      <c r="A1114" s="2" t="s">
        <v>10038</v>
      </c>
    </row>
    <row r="1116">
      <c r="A1116" s="2" t="s">
        <v>10039</v>
      </c>
    </row>
    <row r="1118">
      <c r="A1118" s="2" t="s">
        <v>10040</v>
      </c>
    </row>
    <row r="1119">
      <c r="A1119" s="2" t="s">
        <v>10041</v>
      </c>
    </row>
    <row r="1121">
      <c r="A1121" s="2" t="s">
        <v>10042</v>
      </c>
    </row>
    <row r="1123">
      <c r="A1123" s="2" t="s">
        <v>10043</v>
      </c>
    </row>
    <row r="1124">
      <c r="A1124" s="2" t="s">
        <v>10044</v>
      </c>
    </row>
    <row r="1126">
      <c r="A1126" s="2" t="s">
        <v>10045</v>
      </c>
    </row>
    <row r="1128">
      <c r="A1128" s="2" t="s">
        <v>10046</v>
      </c>
    </row>
    <row r="1129">
      <c r="A1129" s="2" t="s">
        <v>10047</v>
      </c>
    </row>
    <row r="1131">
      <c r="A1131" s="2" t="s">
        <v>10048</v>
      </c>
    </row>
    <row r="1133">
      <c r="A1133" s="2" t="s">
        <v>10049</v>
      </c>
    </row>
    <row r="1134">
      <c r="A1134" s="2" t="s">
        <v>10050</v>
      </c>
    </row>
    <row r="1136">
      <c r="A1136" s="2" t="s">
        <v>7462</v>
      </c>
    </row>
    <row r="1137">
      <c r="A1137" s="2" t="s">
        <v>10051</v>
      </c>
    </row>
    <row r="1139">
      <c r="A1139" s="2" t="s">
        <v>10052</v>
      </c>
    </row>
    <row r="1141">
      <c r="A1141" s="2" t="s">
        <v>10053</v>
      </c>
    </row>
    <row r="1143">
      <c r="A1143" s="2" t="s">
        <v>10054</v>
      </c>
    </row>
    <row r="1144">
      <c r="A1144" s="2" t="s">
        <v>10055</v>
      </c>
    </row>
    <row r="1146">
      <c r="A1146" s="2" t="s">
        <v>10056</v>
      </c>
    </row>
    <row r="1148">
      <c r="A1148" s="2" t="s">
        <v>10057</v>
      </c>
    </row>
    <row r="1149">
      <c r="A1149" s="2" t="s">
        <v>10058</v>
      </c>
    </row>
    <row r="1151">
      <c r="A1151" s="2" t="s">
        <v>10059</v>
      </c>
    </row>
    <row r="1153">
      <c r="A1153" s="2" t="s">
        <v>10060</v>
      </c>
    </row>
    <row r="1155">
      <c r="A1155" s="2" t="s">
        <v>10061</v>
      </c>
    </row>
    <row r="1156">
      <c r="A1156" s="2" t="s">
        <v>10062</v>
      </c>
    </row>
    <row r="1158">
      <c r="A1158" s="2" t="s">
        <v>10063</v>
      </c>
    </row>
    <row r="1160">
      <c r="A1160" s="2" t="s">
        <v>10064</v>
      </c>
    </row>
    <row r="1161">
      <c r="A1161" s="2" t="s">
        <v>10065</v>
      </c>
    </row>
    <row r="1163">
      <c r="A1163" s="2" t="s">
        <v>10066</v>
      </c>
    </row>
    <row r="1165">
      <c r="A1165" s="2" t="s">
        <v>10067</v>
      </c>
    </row>
    <row r="1166">
      <c r="A1166" s="2" t="s">
        <v>10068</v>
      </c>
    </row>
    <row r="1168">
      <c r="A1168" s="2" t="s">
        <v>10069</v>
      </c>
    </row>
    <row r="1170">
      <c r="A1170" s="2" t="s">
        <v>10070</v>
      </c>
    </row>
    <row r="1172">
      <c r="A1172" s="2" t="s">
        <v>10071</v>
      </c>
    </row>
    <row r="1173">
      <c r="A1173" s="2" t="s">
        <v>10072</v>
      </c>
    </row>
    <row r="1175">
      <c r="A1175" s="2" t="s">
        <v>10073</v>
      </c>
    </row>
    <row r="1177">
      <c r="A1177" s="2" t="s">
        <v>10074</v>
      </c>
    </row>
    <row r="1179">
      <c r="A1179" s="2" t="s">
        <v>10075</v>
      </c>
    </row>
    <row r="1180">
      <c r="A1180" s="2" t="s">
        <v>10076</v>
      </c>
    </row>
    <row r="1182">
      <c r="A1182" s="2" t="s">
        <v>10077</v>
      </c>
    </row>
    <row r="1184">
      <c r="A1184" s="2" t="s">
        <v>10078</v>
      </c>
    </row>
    <row r="1185">
      <c r="A1185" s="2" t="s">
        <v>10079</v>
      </c>
    </row>
    <row r="1187">
      <c r="A1187" s="2" t="s">
        <v>10080</v>
      </c>
    </row>
    <row r="1189">
      <c r="A1189" s="2" t="s">
        <v>10081</v>
      </c>
    </row>
    <row r="1190">
      <c r="A1190" s="2" t="s">
        <v>10082</v>
      </c>
    </row>
    <row r="1192">
      <c r="A1192" s="2" t="s">
        <v>8078</v>
      </c>
    </row>
    <row r="1193">
      <c r="A1193" s="2" t="s">
        <v>10083</v>
      </c>
    </row>
    <row r="1195">
      <c r="A1195" s="2" t="s">
        <v>7770</v>
      </c>
    </row>
    <row r="1196">
      <c r="A1196" s="2" t="s">
        <v>10084</v>
      </c>
    </row>
    <row r="1198">
      <c r="A1198" s="2" t="s">
        <v>10085</v>
      </c>
    </row>
    <row r="1199">
      <c r="A1199" s="2" t="s">
        <v>10086</v>
      </c>
    </row>
    <row r="1200">
      <c r="A1200" s="2" t="s">
        <v>10087</v>
      </c>
    </row>
    <row r="1202">
      <c r="A1202" s="2" t="s">
        <v>8078</v>
      </c>
    </row>
    <row r="1203">
      <c r="A1203" s="2" t="s">
        <v>10088</v>
      </c>
    </row>
    <row r="1205">
      <c r="A1205" s="2" t="s">
        <v>7770</v>
      </c>
    </row>
    <row r="1206">
      <c r="A1206" s="2" t="s">
        <v>10089</v>
      </c>
    </row>
    <row r="1208">
      <c r="A1208" s="2" t="s">
        <v>10085</v>
      </c>
    </row>
    <row r="1209">
      <c r="A1209" s="2" t="s">
        <v>10090</v>
      </c>
    </row>
    <row r="1210">
      <c r="A1210" s="2" t="s">
        <v>10091</v>
      </c>
    </row>
    <row r="1212">
      <c r="A1212" s="2" t="s">
        <v>10092</v>
      </c>
    </row>
    <row r="1213">
      <c r="A1213" s="2" t="s">
        <v>10093</v>
      </c>
    </row>
    <row r="1215">
      <c r="A1215" s="2" t="s">
        <v>10094</v>
      </c>
    </row>
    <row r="1217">
      <c r="A1217" s="2" t="s">
        <v>10095</v>
      </c>
    </row>
    <row r="1218">
      <c r="A1218" s="2" t="s">
        <v>10096</v>
      </c>
    </row>
    <row r="1220">
      <c r="A1220" s="2" t="s">
        <v>10097</v>
      </c>
    </row>
    <row r="1222">
      <c r="A1222" s="2" t="s">
        <v>10098</v>
      </c>
    </row>
    <row r="1223">
      <c r="A1223" s="2" t="s">
        <v>10099</v>
      </c>
    </row>
    <row r="1225">
      <c r="A1225" s="2" t="s">
        <v>10100</v>
      </c>
    </row>
    <row r="1227">
      <c r="A1227" s="2" t="s">
        <v>10101</v>
      </c>
    </row>
    <row r="1229">
      <c r="A1229" s="2" t="s">
        <v>10102</v>
      </c>
    </row>
    <row r="1230">
      <c r="A1230" s="2" t="s">
        <v>10103</v>
      </c>
    </row>
    <row r="1232">
      <c r="A1232" s="2" t="s">
        <v>10104</v>
      </c>
    </row>
    <row r="1234">
      <c r="A1234" s="2" t="s">
        <v>10105</v>
      </c>
    </row>
    <row r="1235">
      <c r="A1235" s="2" t="s">
        <v>10106</v>
      </c>
    </row>
    <row r="1237">
      <c r="A1237" s="2" t="s">
        <v>10107</v>
      </c>
    </row>
    <row r="1239">
      <c r="A1239" s="2" t="s">
        <v>10108</v>
      </c>
    </row>
    <row r="1240">
      <c r="A1240" s="2" t="s">
        <v>10109</v>
      </c>
    </row>
    <row r="1242">
      <c r="A1242" s="2" t="s">
        <v>10110</v>
      </c>
    </row>
    <row r="1244">
      <c r="A1244" s="2" t="s">
        <v>10111</v>
      </c>
    </row>
    <row r="1245">
      <c r="A1245" s="2" t="s">
        <v>10112</v>
      </c>
    </row>
    <row r="1247">
      <c r="A1247" s="2" t="s">
        <v>10113</v>
      </c>
    </row>
    <row r="1249">
      <c r="A1249" s="2" t="s">
        <v>10114</v>
      </c>
    </row>
    <row r="1250">
      <c r="A1250" s="2" t="s">
        <v>10115</v>
      </c>
    </row>
    <row r="1252">
      <c r="A1252" s="2" t="s">
        <v>10116</v>
      </c>
    </row>
    <row r="1254">
      <c r="A1254" s="2" t="s">
        <v>10117</v>
      </c>
    </row>
    <row r="1255">
      <c r="A1255" s="2" t="s">
        <v>10118</v>
      </c>
    </row>
    <row r="1257">
      <c r="A1257" s="2" t="s">
        <v>10119</v>
      </c>
    </row>
    <row r="1259">
      <c r="A1259" s="2" t="s">
        <v>10120</v>
      </c>
    </row>
    <row r="1261">
      <c r="A1261" s="2" t="s">
        <v>10121</v>
      </c>
    </row>
    <row r="1262">
      <c r="A1262" s="2" t="s">
        <v>10122</v>
      </c>
    </row>
    <row r="1264">
      <c r="A1264" s="2" t="s">
        <v>10123</v>
      </c>
    </row>
    <row r="1266">
      <c r="A1266" s="2" t="s">
        <v>10124</v>
      </c>
    </row>
    <row r="1267">
      <c r="A1267" s="2" t="s">
        <v>10125</v>
      </c>
    </row>
    <row r="1269">
      <c r="A1269" s="2" t="s">
        <v>10126</v>
      </c>
    </row>
    <row r="1271">
      <c r="A1271" s="2" t="s">
        <v>10127</v>
      </c>
    </row>
    <row r="1272">
      <c r="A1272" s="2" t="s">
        <v>10128</v>
      </c>
    </row>
    <row r="1274">
      <c r="A1274" s="2" t="s">
        <v>10129</v>
      </c>
    </row>
    <row r="1276">
      <c r="A1276" s="2" t="s">
        <v>10130</v>
      </c>
    </row>
    <row r="1277">
      <c r="A1277" s="2" t="s">
        <v>10131</v>
      </c>
    </row>
    <row r="1279">
      <c r="A1279" s="2" t="s">
        <v>10132</v>
      </c>
    </row>
    <row r="1281">
      <c r="A1281" s="2" t="s">
        <v>10133</v>
      </c>
    </row>
    <row r="1282">
      <c r="A1282" s="2" t="s">
        <v>10134</v>
      </c>
    </row>
    <row r="1284">
      <c r="A1284" s="2" t="s">
        <v>10135</v>
      </c>
    </row>
    <row r="1286">
      <c r="A1286" s="2" t="s">
        <v>10136</v>
      </c>
    </row>
    <row r="1288">
      <c r="A1288" s="2" t="s">
        <v>10137</v>
      </c>
    </row>
    <row r="1289">
      <c r="A1289" s="2" t="s">
        <v>10138</v>
      </c>
    </row>
    <row r="1291">
      <c r="A1291" s="2" t="s">
        <v>10139</v>
      </c>
    </row>
    <row r="1293">
      <c r="A1293" s="2" t="s">
        <v>10140</v>
      </c>
    </row>
    <row r="1294">
      <c r="A1294" s="2" t="s">
        <v>10141</v>
      </c>
    </row>
    <row r="1296">
      <c r="A1296" s="2" t="s">
        <v>10142</v>
      </c>
    </row>
    <row r="1298">
      <c r="A1298" s="2" t="s">
        <v>10143</v>
      </c>
    </row>
    <row r="1300">
      <c r="A1300" s="2" t="s">
        <v>10144</v>
      </c>
    </row>
    <row r="1301">
      <c r="A1301" s="2" t="s">
        <v>10145</v>
      </c>
    </row>
    <row r="1303">
      <c r="A1303" s="2" t="s">
        <v>10146</v>
      </c>
    </row>
    <row r="1305">
      <c r="A1305" s="2" t="s">
        <v>10147</v>
      </c>
    </row>
    <row r="1306">
      <c r="A1306" s="2" t="s">
        <v>10148</v>
      </c>
    </row>
    <row r="1308">
      <c r="A1308" s="2" t="s">
        <v>7462</v>
      </c>
    </row>
    <row r="1309">
      <c r="A1309" s="2" t="s">
        <v>10149</v>
      </c>
    </row>
    <row r="1311">
      <c r="A1311" s="2" t="s">
        <v>10150</v>
      </c>
    </row>
    <row r="1313">
      <c r="A1313" s="2" t="s">
        <v>8533</v>
      </c>
    </row>
    <row r="1315">
      <c r="A1315" s="2" t="s">
        <v>10151</v>
      </c>
    </row>
    <row r="1316">
      <c r="A1316" s="2" t="s">
        <v>10152</v>
      </c>
    </row>
    <row r="1318">
      <c r="A1318" s="2" t="s">
        <v>10153</v>
      </c>
    </row>
    <row r="1320">
      <c r="A1320" s="2" t="s">
        <v>10154</v>
      </c>
    </row>
    <row r="1322">
      <c r="A1322" s="2" t="s">
        <v>10155</v>
      </c>
    </row>
    <row r="1323">
      <c r="A1323" s="2" t="s">
        <v>10156</v>
      </c>
    </row>
    <row r="1325">
      <c r="A1325" s="2" t="s">
        <v>10157</v>
      </c>
    </row>
    <row r="1327">
      <c r="A1327" s="2" t="s">
        <v>10158</v>
      </c>
    </row>
    <row r="1328">
      <c r="A1328" s="2" t="s">
        <v>10159</v>
      </c>
    </row>
    <row r="1330">
      <c r="A1330" s="2" t="s">
        <v>10160</v>
      </c>
    </row>
    <row r="1332">
      <c r="A1332" s="2" t="s">
        <v>10161</v>
      </c>
    </row>
    <row r="1333">
      <c r="A1333" s="2" t="s">
        <v>10162</v>
      </c>
    </row>
    <row r="1335">
      <c r="A1335" s="2" t="s">
        <v>10163</v>
      </c>
    </row>
    <row r="1337">
      <c r="A1337" s="2" t="s">
        <v>10164</v>
      </c>
    </row>
    <row r="1339">
      <c r="A1339" s="2" t="s">
        <v>10165</v>
      </c>
    </row>
    <row r="1340">
      <c r="A1340" s="2" t="s">
        <v>10166</v>
      </c>
    </row>
    <row r="1342">
      <c r="A1342" s="2" t="s">
        <v>10167</v>
      </c>
    </row>
    <row r="1344">
      <c r="A1344" s="2" t="s">
        <v>10168</v>
      </c>
    </row>
    <row r="1345">
      <c r="A1345" s="2" t="s">
        <v>10169</v>
      </c>
    </row>
    <row r="1347">
      <c r="A1347" s="2" t="s">
        <v>10170</v>
      </c>
    </row>
    <row r="1349">
      <c r="A1349" s="2" t="s">
        <v>10171</v>
      </c>
    </row>
    <row r="1350">
      <c r="A1350" s="2" t="s">
        <v>10172</v>
      </c>
    </row>
    <row r="1352">
      <c r="A1352" s="2" t="s">
        <v>10173</v>
      </c>
    </row>
    <row r="1354">
      <c r="A1354" s="2" t="s">
        <v>10174</v>
      </c>
    </row>
    <row r="1355">
      <c r="A1355" s="2" t="s">
        <v>10175</v>
      </c>
    </row>
    <row r="1357">
      <c r="A1357" s="2" t="s">
        <v>10176</v>
      </c>
    </row>
    <row r="1359">
      <c r="A1359" s="2" t="s">
        <v>10177</v>
      </c>
    </row>
    <row r="1361">
      <c r="A1361" s="2" t="s">
        <v>10178</v>
      </c>
    </row>
    <row r="1362">
      <c r="A1362" s="2" t="s">
        <v>10179</v>
      </c>
    </row>
    <row r="1364">
      <c r="A1364" s="2" t="s">
        <v>10180</v>
      </c>
    </row>
    <row r="1366">
      <c r="A1366" s="2" t="s">
        <v>10181</v>
      </c>
    </row>
    <row r="1367">
      <c r="A1367" s="2" t="s">
        <v>10182</v>
      </c>
    </row>
    <row r="1369">
      <c r="A1369" s="2" t="s">
        <v>10183</v>
      </c>
    </row>
    <row r="1371">
      <c r="A1371" s="2" t="s">
        <v>10184</v>
      </c>
    </row>
    <row r="1373">
      <c r="A1373" s="2" t="s">
        <v>10185</v>
      </c>
    </row>
    <row r="1374">
      <c r="A1374" s="2" t="s">
        <v>10186</v>
      </c>
    </row>
    <row r="1376">
      <c r="A1376" s="2" t="s">
        <v>10187</v>
      </c>
    </row>
    <row r="1378">
      <c r="A1378" s="2" t="s">
        <v>10188</v>
      </c>
    </row>
    <row r="1379">
      <c r="A1379" s="2" t="s">
        <v>10189</v>
      </c>
    </row>
    <row r="1381">
      <c r="A1381" s="2" t="s">
        <v>10190</v>
      </c>
    </row>
    <row r="1383">
      <c r="A1383" s="2" t="s">
        <v>10191</v>
      </c>
    </row>
    <row r="1385">
      <c r="A1385" s="2" t="s">
        <v>10192</v>
      </c>
    </row>
    <row r="1386">
      <c r="A1386" s="2" t="s">
        <v>10193</v>
      </c>
    </row>
    <row r="1388">
      <c r="A1388" s="2" t="s">
        <v>10194</v>
      </c>
    </row>
    <row r="1390">
      <c r="A1390" s="2" t="s">
        <v>10195</v>
      </c>
    </row>
    <row r="1391">
      <c r="A1391" s="2" t="s">
        <v>10196</v>
      </c>
    </row>
    <row r="1393">
      <c r="A1393" s="2" t="s">
        <v>10197</v>
      </c>
    </row>
    <row r="1395">
      <c r="A1395" s="2" t="s">
        <v>10198</v>
      </c>
    </row>
    <row r="1397">
      <c r="A1397" s="2" t="s">
        <v>10199</v>
      </c>
    </row>
    <row r="1398">
      <c r="A1398" s="2" t="s">
        <v>10200</v>
      </c>
    </row>
    <row r="1400">
      <c r="A1400" s="2" t="s">
        <v>10201</v>
      </c>
    </row>
    <row r="1402">
      <c r="A1402" s="2" t="s">
        <v>10202</v>
      </c>
    </row>
    <row r="1403">
      <c r="A1403" s="2" t="s">
        <v>10203</v>
      </c>
    </row>
    <row r="1405">
      <c r="A1405" s="2" t="s">
        <v>10204</v>
      </c>
    </row>
    <row r="1407">
      <c r="A1407" s="2" t="s">
        <v>10205</v>
      </c>
    </row>
    <row r="1408">
      <c r="A1408" s="2" t="s">
        <v>10206</v>
      </c>
    </row>
    <row r="1410">
      <c r="A1410" s="2" t="s">
        <v>10207</v>
      </c>
    </row>
    <row r="1412">
      <c r="A1412" s="2" t="s">
        <v>10208</v>
      </c>
    </row>
    <row r="1414">
      <c r="A1414" s="2" t="s">
        <v>10209</v>
      </c>
    </row>
    <row r="1415">
      <c r="A1415" s="2" t="s">
        <v>10210</v>
      </c>
    </row>
    <row r="1417">
      <c r="A1417" s="2" t="s">
        <v>10211</v>
      </c>
    </row>
    <row r="1419">
      <c r="A1419" s="2" t="s">
        <v>10212</v>
      </c>
    </row>
    <row r="1421">
      <c r="A1421" s="2" t="s">
        <v>10213</v>
      </c>
    </row>
    <row r="1422">
      <c r="A1422" s="2" t="s">
        <v>10214</v>
      </c>
    </row>
    <row r="1424">
      <c r="A1424" s="2" t="s">
        <v>10215</v>
      </c>
    </row>
    <row r="1426">
      <c r="A1426" s="2" t="s">
        <v>10216</v>
      </c>
    </row>
    <row r="1428">
      <c r="A1428" s="2" t="s">
        <v>10217</v>
      </c>
    </row>
    <row r="1430">
      <c r="A1430" s="2" t="s">
        <v>10218</v>
      </c>
    </row>
    <row r="1431">
      <c r="A1431" s="2" t="s">
        <v>10219</v>
      </c>
    </row>
    <row r="1433">
      <c r="A1433" s="2" t="s">
        <v>10220</v>
      </c>
    </row>
    <row r="1434">
      <c r="A1434" s="2" t="s">
        <v>10221</v>
      </c>
    </row>
    <row r="1436">
      <c r="A1436" s="2" t="s">
        <v>10222</v>
      </c>
    </row>
    <row r="1438">
      <c r="A1438" s="2" t="s">
        <v>10223</v>
      </c>
    </row>
    <row r="1440">
      <c r="A1440" s="2" t="s">
        <v>10224</v>
      </c>
    </row>
    <row r="1441">
      <c r="A1441" s="2" t="s">
        <v>10225</v>
      </c>
    </row>
    <row r="1443">
      <c r="A1443" s="2" t="s">
        <v>10226</v>
      </c>
    </row>
    <row r="1445">
      <c r="A1445" s="2" t="s">
        <v>10227</v>
      </c>
    </row>
    <row r="1446">
      <c r="A1446" s="2" t="s">
        <v>10228</v>
      </c>
    </row>
    <row r="1448">
      <c r="A1448" s="2" t="s">
        <v>10229</v>
      </c>
    </row>
    <row r="1450">
      <c r="A1450" s="2" t="s">
        <v>10230</v>
      </c>
    </row>
    <row r="1451">
      <c r="A1451" s="2" t="s">
        <v>10231</v>
      </c>
    </row>
    <row r="1453">
      <c r="A1453" s="2" t="s">
        <v>10232</v>
      </c>
    </row>
    <row r="1455">
      <c r="A1455" s="2" t="s">
        <v>10233</v>
      </c>
    </row>
    <row r="1456">
      <c r="A1456" s="2" t="s">
        <v>10234</v>
      </c>
    </row>
    <row r="1458">
      <c r="A1458" s="2" t="s">
        <v>10235</v>
      </c>
    </row>
    <row r="1460">
      <c r="A1460" s="2" t="s">
        <v>10236</v>
      </c>
    </row>
    <row r="1462">
      <c r="A1462" s="2" t="s">
        <v>10237</v>
      </c>
    </row>
    <row r="1463">
      <c r="A1463" s="2" t="s">
        <v>10238</v>
      </c>
    </row>
    <row r="1465">
      <c r="A1465" s="2" t="s">
        <v>10239</v>
      </c>
    </row>
    <row r="1467">
      <c r="A1467" s="2" t="s">
        <v>10240</v>
      </c>
    </row>
    <row r="1469">
      <c r="A1469" s="2" t="s">
        <v>10241</v>
      </c>
    </row>
    <row r="1470">
      <c r="A1470" s="2" t="s">
        <v>10242</v>
      </c>
    </row>
    <row r="1472">
      <c r="A1472" s="2" t="s">
        <v>10243</v>
      </c>
    </row>
    <row r="1474">
      <c r="A1474" s="2" t="s">
        <v>10244</v>
      </c>
    </row>
    <row r="1476">
      <c r="A1476" s="2" t="s">
        <v>10245</v>
      </c>
    </row>
    <row r="1477">
      <c r="A1477" s="2" t="s">
        <v>10246</v>
      </c>
    </row>
    <row r="1479">
      <c r="A1479" s="2" t="s">
        <v>10247</v>
      </c>
    </row>
    <row r="1481">
      <c r="A1481" s="2" t="s">
        <v>10248</v>
      </c>
    </row>
    <row r="1483">
      <c r="A1483" s="2" t="s">
        <v>10249</v>
      </c>
    </row>
    <row r="1484">
      <c r="A1484" s="2" t="s">
        <v>10250</v>
      </c>
    </row>
    <row r="1486">
      <c r="A1486" s="2" t="s">
        <v>10251</v>
      </c>
    </row>
    <row r="1488">
      <c r="A1488" s="2" t="s">
        <v>10252</v>
      </c>
    </row>
    <row r="1490">
      <c r="A1490" s="2" t="s">
        <v>10253</v>
      </c>
    </row>
    <row r="1491">
      <c r="A1491" s="2" t="s">
        <v>10254</v>
      </c>
    </row>
    <row r="1493">
      <c r="A1493" s="2" t="s">
        <v>10255</v>
      </c>
    </row>
    <row r="1495">
      <c r="A1495" s="2" t="s">
        <v>10256</v>
      </c>
    </row>
    <row r="1496">
      <c r="A1496" s="2" t="s">
        <v>10257</v>
      </c>
    </row>
    <row r="1498">
      <c r="A1498" s="2" t="s">
        <v>10258</v>
      </c>
    </row>
    <row r="1500">
      <c r="A1500" s="2" t="s">
        <v>10259</v>
      </c>
    </row>
    <row r="1501">
      <c r="A1501" s="2" t="s">
        <v>10260</v>
      </c>
    </row>
    <row r="1503">
      <c r="A1503" s="2" t="s">
        <v>10261</v>
      </c>
    </row>
    <row r="1505">
      <c r="A1505" s="2" t="s">
        <v>10262</v>
      </c>
    </row>
    <row r="1507">
      <c r="A1507" s="2" t="s">
        <v>10263</v>
      </c>
    </row>
    <row r="1508">
      <c r="A1508" s="2" t="s">
        <v>10264</v>
      </c>
    </row>
    <row r="1510">
      <c r="A1510" s="2" t="s">
        <v>10265</v>
      </c>
    </row>
    <row r="1512">
      <c r="A1512" s="2" t="s">
        <v>10266</v>
      </c>
    </row>
    <row r="1514">
      <c r="A1514" s="2" t="s">
        <v>10267</v>
      </c>
    </row>
    <row r="1516">
      <c r="A1516" s="2" t="s">
        <v>10268</v>
      </c>
    </row>
    <row r="1517">
      <c r="A1517" s="2" t="s">
        <v>10269</v>
      </c>
    </row>
    <row r="1519">
      <c r="A1519" s="2" t="s">
        <v>10270</v>
      </c>
    </row>
    <row r="1521">
      <c r="A1521" s="2" t="s">
        <v>10271</v>
      </c>
    </row>
    <row r="1523">
      <c r="A1523" s="2" t="s">
        <v>10272</v>
      </c>
    </row>
    <row r="1525">
      <c r="A1525" s="2" t="s">
        <v>10273</v>
      </c>
    </row>
    <row r="1526">
      <c r="A1526" s="2" t="s">
        <v>10274</v>
      </c>
    </row>
    <row r="1528">
      <c r="A1528" s="2" t="s">
        <v>10275</v>
      </c>
    </row>
    <row r="1530">
      <c r="A1530" s="2" t="s">
        <v>10276</v>
      </c>
    </row>
    <row r="1531">
      <c r="A1531" s="2" t="s">
        <v>10277</v>
      </c>
    </row>
    <row r="1533">
      <c r="A1533" s="2" t="s">
        <v>10278</v>
      </c>
    </row>
    <row r="1535">
      <c r="A1535" s="2" t="s">
        <v>10279</v>
      </c>
    </row>
    <row r="1537">
      <c r="A1537" s="2" t="s">
        <v>10280</v>
      </c>
    </row>
    <row r="1538">
      <c r="A1538" s="2" t="s">
        <v>10281</v>
      </c>
    </row>
    <row r="1540">
      <c r="A1540" s="2" t="s">
        <v>10282</v>
      </c>
    </row>
    <row r="1542">
      <c r="A1542" s="2" t="s">
        <v>10283</v>
      </c>
    </row>
    <row r="1544">
      <c r="A1544" s="2" t="s">
        <v>10284</v>
      </c>
    </row>
    <row r="1545">
      <c r="A1545" s="2" t="s">
        <v>10285</v>
      </c>
    </row>
    <row r="1547">
      <c r="A1547" s="2" t="s">
        <v>10286</v>
      </c>
    </row>
    <row r="1549">
      <c r="A1549" s="2" t="s">
        <v>10287</v>
      </c>
    </row>
    <row r="1550">
      <c r="A1550" s="2" t="s">
        <v>10288</v>
      </c>
    </row>
    <row r="1552">
      <c r="A1552" s="2" t="s">
        <v>10289</v>
      </c>
    </row>
    <row r="1554">
      <c r="A1554" s="2" t="s">
        <v>10290</v>
      </c>
    </row>
    <row r="1555">
      <c r="A1555" s="2" t="s">
        <v>10291</v>
      </c>
    </row>
    <row r="1557">
      <c r="A1557" s="2" t="s">
        <v>10292</v>
      </c>
    </row>
    <row r="1559">
      <c r="A1559" s="2" t="s">
        <v>10293</v>
      </c>
    </row>
    <row r="1560">
      <c r="A1560" s="2" t="s">
        <v>10294</v>
      </c>
    </row>
    <row r="1562">
      <c r="A1562" s="2" t="s">
        <v>10295</v>
      </c>
    </row>
    <row r="1564">
      <c r="A1564" s="2" t="s">
        <v>10296</v>
      </c>
    </row>
    <row r="1566">
      <c r="A1566" s="2" t="s">
        <v>10297</v>
      </c>
    </row>
    <row r="1567">
      <c r="A1567" s="2" t="s">
        <v>10298</v>
      </c>
    </row>
    <row r="1569">
      <c r="A1569" s="2" t="s">
        <v>10299</v>
      </c>
    </row>
    <row r="1571">
      <c r="A1571" s="2" t="s">
        <v>10300</v>
      </c>
    </row>
    <row r="1572">
      <c r="A1572" s="2" t="s">
        <v>10301</v>
      </c>
    </row>
    <row r="1574">
      <c r="A1574" s="2" t="s">
        <v>10302</v>
      </c>
    </row>
    <row r="1576">
      <c r="A1576" s="2" t="s">
        <v>10303</v>
      </c>
    </row>
    <row r="1578">
      <c r="A1578" s="2" t="s">
        <v>10304</v>
      </c>
    </row>
    <row r="1579">
      <c r="A1579" s="2" t="s">
        <v>10305</v>
      </c>
    </row>
    <row r="1581">
      <c r="A1581" s="2" t="s">
        <v>10306</v>
      </c>
    </row>
    <row r="1583">
      <c r="A1583" s="2" t="s">
        <v>10307</v>
      </c>
    </row>
    <row r="1584">
      <c r="A1584" s="2" t="s">
        <v>10308</v>
      </c>
    </row>
    <row r="1586">
      <c r="A1586" s="2" t="s">
        <v>10309</v>
      </c>
    </row>
    <row r="1588">
      <c r="A1588" s="2" t="s">
        <v>10310</v>
      </c>
    </row>
    <row r="1589">
      <c r="A1589" s="2" t="s">
        <v>10311</v>
      </c>
    </row>
    <row r="1591">
      <c r="A1591" s="2" t="s">
        <v>10312</v>
      </c>
    </row>
    <row r="1593">
      <c r="A1593" s="2" t="s">
        <v>10313</v>
      </c>
    </row>
    <row r="1594">
      <c r="A1594" s="2" t="s">
        <v>10314</v>
      </c>
    </row>
    <row r="1596">
      <c r="A1596" s="2" t="s">
        <v>10315</v>
      </c>
    </row>
    <row r="1598">
      <c r="A1598" s="2" t="s">
        <v>10316</v>
      </c>
    </row>
    <row r="1600">
      <c r="A1600" s="2" t="s">
        <v>10317</v>
      </c>
    </row>
    <row r="1601">
      <c r="A1601" s="2" t="s">
        <v>10318</v>
      </c>
    </row>
    <row r="1603">
      <c r="A1603" s="2" t="s">
        <v>10319</v>
      </c>
    </row>
    <row r="1605">
      <c r="A1605" s="2" t="s">
        <v>10320</v>
      </c>
    </row>
    <row r="1606">
      <c r="A1606" s="2" t="s">
        <v>10321</v>
      </c>
    </row>
    <row r="1608">
      <c r="A1608" s="2" t="s">
        <v>7462</v>
      </c>
    </row>
    <row r="1609">
      <c r="A1609" s="2" t="s">
        <v>10322</v>
      </c>
    </row>
    <row r="1611">
      <c r="A1611" s="2" t="s">
        <v>10323</v>
      </c>
    </row>
    <row r="1613">
      <c r="A1613" s="2" t="s">
        <v>10324</v>
      </c>
    </row>
    <row r="1614">
      <c r="A1614" s="2" t="s">
        <v>10325</v>
      </c>
    </row>
    <row r="1616">
      <c r="A1616" s="2" t="s">
        <v>10326</v>
      </c>
    </row>
    <row r="1618">
      <c r="A1618" s="2" t="s">
        <v>10327</v>
      </c>
    </row>
    <row r="1619">
      <c r="A1619" s="2" t="s">
        <v>10328</v>
      </c>
    </row>
    <row r="1621">
      <c r="A1621" s="2" t="s">
        <v>10329</v>
      </c>
    </row>
    <row r="1622">
      <c r="A1622" s="2" t="s">
        <v>10330</v>
      </c>
    </row>
    <row r="1624">
      <c r="A1624" s="2" t="s">
        <v>10331</v>
      </c>
    </row>
    <row r="1626">
      <c r="A1626" s="2" t="s">
        <v>10332</v>
      </c>
    </row>
    <row r="1627">
      <c r="A1627" s="2" t="s">
        <v>10333</v>
      </c>
    </row>
    <row r="1629">
      <c r="A1629" s="2" t="s">
        <v>10334</v>
      </c>
    </row>
    <row r="1631">
      <c r="A1631" s="2" t="s">
        <v>10335</v>
      </c>
    </row>
    <row r="1632">
      <c r="A1632" s="2" t="s">
        <v>10336</v>
      </c>
    </row>
    <row r="1634">
      <c r="A1634" s="2" t="s">
        <v>10337</v>
      </c>
    </row>
    <row r="1636">
      <c r="A1636" s="2" t="s">
        <v>10338</v>
      </c>
    </row>
    <row r="1638">
      <c r="A1638" s="2" t="s">
        <v>10339</v>
      </c>
    </row>
    <row r="1639">
      <c r="A1639" s="2" t="s">
        <v>10340</v>
      </c>
    </row>
    <row r="1641">
      <c r="A1641" s="2" t="s">
        <v>10341</v>
      </c>
    </row>
    <row r="1643">
      <c r="A1643" s="2" t="s">
        <v>10342</v>
      </c>
    </row>
    <row r="1645">
      <c r="A1645" s="2" t="s">
        <v>10343</v>
      </c>
    </row>
    <row r="1646">
      <c r="A1646" s="2" t="s">
        <v>10344</v>
      </c>
    </row>
    <row r="1648">
      <c r="A1648" s="2" t="s">
        <v>10345</v>
      </c>
    </row>
    <row r="1650">
      <c r="A1650" s="2" t="s">
        <v>10346</v>
      </c>
    </row>
    <row r="1652">
      <c r="A1652" s="2" t="s">
        <v>10347</v>
      </c>
    </row>
    <row r="1654">
      <c r="A1654" s="2" t="s">
        <v>10348</v>
      </c>
    </row>
    <row r="1655">
      <c r="A1655" s="2" t="s">
        <v>10349</v>
      </c>
    </row>
    <row r="1657">
      <c r="A1657" s="2" t="s">
        <v>10350</v>
      </c>
    </row>
    <row r="1659">
      <c r="A1659" s="2" t="s">
        <v>10351</v>
      </c>
    </row>
    <row r="1660">
      <c r="A1660" s="2" t="s">
        <v>10352</v>
      </c>
    </row>
    <row r="1662">
      <c r="A1662" s="2" t="s">
        <v>10353</v>
      </c>
    </row>
    <row r="1664">
      <c r="A1664" s="2" t="s">
        <v>10354</v>
      </c>
    </row>
    <row r="1665">
      <c r="A1665" s="2" t="s">
        <v>10355</v>
      </c>
    </row>
    <row r="1667">
      <c r="A1667" s="2" t="s">
        <v>10356</v>
      </c>
    </row>
    <row r="1668">
      <c r="A1668" s="2" t="s">
        <v>10357</v>
      </c>
    </row>
    <row r="1670">
      <c r="A1670" s="2" t="s">
        <v>10358</v>
      </c>
    </row>
    <row r="1672">
      <c r="A1672" s="2" t="s">
        <v>10359</v>
      </c>
    </row>
    <row r="1673">
      <c r="A1673" s="2" t="s">
        <v>10360</v>
      </c>
    </row>
    <row r="1675">
      <c r="A1675" s="2" t="s">
        <v>10361</v>
      </c>
    </row>
    <row r="1677">
      <c r="A1677" s="2" t="s">
        <v>10362</v>
      </c>
    </row>
    <row r="1678">
      <c r="A1678" s="2" t="s">
        <v>10363</v>
      </c>
    </row>
    <row r="1680">
      <c r="A1680" s="2" t="s">
        <v>10364</v>
      </c>
    </row>
    <row r="1682">
      <c r="A1682" s="2" t="s">
        <v>10365</v>
      </c>
    </row>
    <row r="1683">
      <c r="A1683" s="2" t="s">
        <v>10366</v>
      </c>
    </row>
    <row r="1685">
      <c r="A1685" s="2" t="s">
        <v>10367</v>
      </c>
    </row>
    <row r="1687">
      <c r="A1687" s="2" t="s">
        <v>10368</v>
      </c>
    </row>
    <row r="1689">
      <c r="A1689" s="2" t="s">
        <v>10369</v>
      </c>
    </row>
    <row r="1690">
      <c r="A1690" s="2" t="s">
        <v>10370</v>
      </c>
    </row>
    <row r="1692">
      <c r="A1692" s="2" t="s">
        <v>10371</v>
      </c>
    </row>
    <row r="1694">
      <c r="A1694" s="2" t="s">
        <v>10372</v>
      </c>
    </row>
    <row r="1695">
      <c r="A1695" s="2" t="s">
        <v>10373</v>
      </c>
    </row>
    <row r="1696">
      <c r="A1696" s="2" t="s">
        <v>10374</v>
      </c>
    </row>
    <row r="1698">
      <c r="A1698" s="2" t="s">
        <v>10375</v>
      </c>
    </row>
    <row r="1700">
      <c r="A1700" s="2" t="s">
        <v>10376</v>
      </c>
    </row>
    <row r="1701">
      <c r="A1701" s="2" t="s">
        <v>10377</v>
      </c>
    </row>
    <row r="1703">
      <c r="A1703" s="2" t="s">
        <v>10378</v>
      </c>
    </row>
    <row r="1705">
      <c r="A1705" s="2" t="s">
        <v>10379</v>
      </c>
    </row>
    <row r="1706">
      <c r="A1706" s="2" t="s">
        <v>10380</v>
      </c>
    </row>
    <row r="1708">
      <c r="A1708" s="2" t="s">
        <v>10381</v>
      </c>
    </row>
    <row r="1710">
      <c r="A1710" s="2" t="s">
        <v>10382</v>
      </c>
    </row>
    <row r="1712">
      <c r="A1712" s="2" t="s">
        <v>10383</v>
      </c>
    </row>
    <row r="1713">
      <c r="A1713" s="2" t="s">
        <v>10384</v>
      </c>
    </row>
    <row r="1715">
      <c r="A1715" s="2" t="s">
        <v>10385</v>
      </c>
    </row>
    <row r="1717">
      <c r="A1717" s="2" t="s">
        <v>10386</v>
      </c>
    </row>
    <row r="1718">
      <c r="A1718" s="2" t="s">
        <v>10387</v>
      </c>
    </row>
    <row r="1720">
      <c r="A1720" s="2" t="s">
        <v>10388</v>
      </c>
    </row>
    <row r="1722">
      <c r="A1722" s="2" t="s">
        <v>10389</v>
      </c>
    </row>
    <row r="1723">
      <c r="A1723" s="2" t="s">
        <v>10390</v>
      </c>
    </row>
    <row r="1724">
      <c r="A1724" s="2" t="s">
        <v>7462</v>
      </c>
    </row>
    <row r="1725">
      <c r="A1725" s="2" t="s">
        <v>10391</v>
      </c>
    </row>
    <row r="1727">
      <c r="A1727" s="2" t="s">
        <v>10392</v>
      </c>
    </row>
    <row r="1729">
      <c r="A1729" s="2" t="s">
        <v>10393</v>
      </c>
    </row>
    <row r="1731">
      <c r="A1731" s="2" t="s">
        <v>10394</v>
      </c>
    </row>
    <row r="1732">
      <c r="A1732" s="2" t="s">
        <v>10395</v>
      </c>
    </row>
    <row r="1734">
      <c r="A1734" s="2" t="s">
        <v>10396</v>
      </c>
    </row>
    <row r="1736">
      <c r="A1736" s="2" t="s">
        <v>10397</v>
      </c>
    </row>
    <row r="1738">
      <c r="A1738" s="2" t="s">
        <v>10398</v>
      </c>
    </row>
    <row r="1739">
      <c r="A1739" s="2" t="s">
        <v>10399</v>
      </c>
    </row>
    <row r="1741">
      <c r="A1741" s="2" t="s">
        <v>10400</v>
      </c>
    </row>
    <row r="1743">
      <c r="A1743" s="2" t="s">
        <v>10401</v>
      </c>
    </row>
    <row r="1745">
      <c r="A1745" s="2" t="s">
        <v>10402</v>
      </c>
    </row>
    <row r="1747">
      <c r="A1747" s="2" t="s">
        <v>10403</v>
      </c>
    </row>
    <row r="1748">
      <c r="A1748" s="2" t="s">
        <v>10404</v>
      </c>
    </row>
    <row r="1750">
      <c r="A1750" s="2" t="s">
        <v>10405</v>
      </c>
    </row>
    <row r="1752">
      <c r="A1752" s="2" t="s">
        <v>10406</v>
      </c>
    </row>
    <row r="1754">
      <c r="A1754" s="2" t="s">
        <v>10407</v>
      </c>
    </row>
    <row r="1755">
      <c r="A1755" s="2" t="s">
        <v>10408</v>
      </c>
    </row>
    <row r="1757">
      <c r="A1757" s="2" t="s">
        <v>10409</v>
      </c>
    </row>
    <row r="1759">
      <c r="A1759" s="2" t="s">
        <v>10410</v>
      </c>
    </row>
    <row r="1761">
      <c r="A1761" s="2" t="s">
        <v>10411</v>
      </c>
    </row>
    <row r="1762">
      <c r="A1762" s="2" t="s">
        <v>10412</v>
      </c>
    </row>
    <row r="1764">
      <c r="A1764" s="2" t="s">
        <v>10413</v>
      </c>
    </row>
    <row r="1766">
      <c r="A1766" s="2" t="s">
        <v>10414</v>
      </c>
    </row>
    <row r="1767">
      <c r="A1767" s="2" t="s">
        <v>10415</v>
      </c>
    </row>
    <row r="1769">
      <c r="A1769" s="2" t="s">
        <v>10416</v>
      </c>
    </row>
    <row r="1771">
      <c r="A1771" s="2" t="s">
        <v>10417</v>
      </c>
    </row>
    <row r="1772">
      <c r="A1772" s="2" t="s">
        <v>10418</v>
      </c>
    </row>
    <row r="1774">
      <c r="A1774" s="2" t="s">
        <v>10419</v>
      </c>
    </row>
    <row r="1776">
      <c r="A1776" s="2" t="s">
        <v>10420</v>
      </c>
    </row>
    <row r="1777">
      <c r="A1777" s="2" t="s">
        <v>10421</v>
      </c>
    </row>
    <row r="1779">
      <c r="A1779" s="2" t="s">
        <v>10422</v>
      </c>
    </row>
    <row r="1781">
      <c r="A1781" s="2" t="s">
        <v>10423</v>
      </c>
    </row>
    <row r="1782">
      <c r="A1782" s="2" t="s">
        <v>10424</v>
      </c>
    </row>
    <row r="1783">
      <c r="A1783" s="2" t="s">
        <v>10425</v>
      </c>
    </row>
    <row r="1785">
      <c r="A1785" s="2" t="s">
        <v>10426</v>
      </c>
    </row>
    <row r="1787">
      <c r="A1787" s="2" t="s">
        <v>10427</v>
      </c>
    </row>
    <row r="1789">
      <c r="A1789" s="2" t="s">
        <v>10428</v>
      </c>
    </row>
    <row r="1790">
      <c r="A1790" s="2" t="s">
        <v>10429</v>
      </c>
    </row>
    <row r="1792">
      <c r="A1792" s="2" t="s">
        <v>10430</v>
      </c>
    </row>
    <row r="1794">
      <c r="A1794" s="2" t="s">
        <v>10431</v>
      </c>
    </row>
    <row r="1796">
      <c r="A1796" s="2" t="s">
        <v>10432</v>
      </c>
    </row>
    <row r="1797">
      <c r="A1797" s="2" t="s">
        <v>10433</v>
      </c>
    </row>
    <row r="1799">
      <c r="A1799" s="2" t="s">
        <v>10434</v>
      </c>
    </row>
    <row r="1801">
      <c r="A1801" s="2" t="s">
        <v>10435</v>
      </c>
    </row>
    <row r="1802">
      <c r="A1802" s="2" t="s">
        <v>10436</v>
      </c>
    </row>
    <row r="1804">
      <c r="A1804" s="2" t="s">
        <v>10437</v>
      </c>
    </row>
    <row r="1806">
      <c r="A1806" s="2" t="s">
        <v>10438</v>
      </c>
    </row>
    <row r="1807">
      <c r="A1807" s="2" t="s">
        <v>10439</v>
      </c>
    </row>
    <row r="1808">
      <c r="A1808" s="2" t="s">
        <v>10440</v>
      </c>
    </row>
    <row r="1810">
      <c r="A1810" s="2" t="s">
        <v>10441</v>
      </c>
    </row>
    <row r="1811">
      <c r="A1811" s="2" t="s">
        <v>10442</v>
      </c>
    </row>
    <row r="1813">
      <c r="A1813" s="2" t="s">
        <v>10443</v>
      </c>
    </row>
    <row r="1815">
      <c r="A1815" s="2" t="s">
        <v>10444</v>
      </c>
    </row>
    <row r="1816">
      <c r="A1816" s="2" t="s">
        <v>10445</v>
      </c>
    </row>
    <row r="1818">
      <c r="A1818" s="2" t="s">
        <v>10446</v>
      </c>
    </row>
    <row r="1820">
      <c r="A1820" s="2" t="s">
        <v>10447</v>
      </c>
    </row>
    <row r="1822">
      <c r="A1822" s="2" t="s">
        <v>10448</v>
      </c>
    </row>
    <row r="1823">
      <c r="A1823" s="2" t="s">
        <v>10449</v>
      </c>
    </row>
    <row r="1825">
      <c r="A1825" s="2" t="s">
        <v>10450</v>
      </c>
    </row>
    <row r="1827">
      <c r="A1827" s="2" t="s">
        <v>10451</v>
      </c>
    </row>
    <row r="1828">
      <c r="A1828" s="2" t="s">
        <v>10452</v>
      </c>
    </row>
    <row r="1830">
      <c r="A1830" s="2" t="s">
        <v>10453</v>
      </c>
    </row>
    <row r="1832">
      <c r="A1832" s="2" t="s">
        <v>10454</v>
      </c>
    </row>
    <row r="1834">
      <c r="A1834" s="2" t="s">
        <v>10455</v>
      </c>
    </row>
    <row r="1835">
      <c r="A1835" s="2" t="s">
        <v>10456</v>
      </c>
    </row>
    <row r="1837">
      <c r="A1837" s="2" t="s">
        <v>10457</v>
      </c>
    </row>
    <row r="1839">
      <c r="A1839" s="2" t="s">
        <v>10458</v>
      </c>
    </row>
    <row r="1840">
      <c r="A1840" s="2" t="s">
        <v>10459</v>
      </c>
    </row>
    <row r="1842">
      <c r="A1842" s="2" t="s">
        <v>10460</v>
      </c>
    </row>
    <row r="1844">
      <c r="A1844" s="2" t="s">
        <v>10461</v>
      </c>
    </row>
    <row r="1845">
      <c r="A1845" s="2" t="s">
        <v>10462</v>
      </c>
    </row>
    <row r="1847">
      <c r="A1847" s="2" t="s">
        <v>10463</v>
      </c>
    </row>
    <row r="1849">
      <c r="A1849" s="2" t="s">
        <v>10464</v>
      </c>
    </row>
    <row r="1850">
      <c r="A1850" s="2" t="s">
        <v>10465</v>
      </c>
    </row>
    <row r="1852">
      <c r="A1852" s="2" t="s">
        <v>10466</v>
      </c>
    </row>
    <row r="1854">
      <c r="A1854" s="2" t="s">
        <v>10467</v>
      </c>
    </row>
    <row r="1855">
      <c r="A1855" s="2" t="s">
        <v>10468</v>
      </c>
    </row>
    <row r="1856">
      <c r="A1856" s="2" t="s">
        <v>10469</v>
      </c>
    </row>
    <row r="1858">
      <c r="A1858" s="2" t="s">
        <v>10470</v>
      </c>
    </row>
    <row r="1860">
      <c r="A1860" s="2" t="s">
        <v>10471</v>
      </c>
    </row>
    <row r="1861">
      <c r="A1861" s="2" t="s">
        <v>10472</v>
      </c>
    </row>
    <row r="1863">
      <c r="A1863" s="2" t="s">
        <v>10473</v>
      </c>
    </row>
    <row r="1865">
      <c r="A1865" s="2" t="s">
        <v>10474</v>
      </c>
    </row>
    <row r="1866">
      <c r="A1866" s="2" t="s">
        <v>10475</v>
      </c>
    </row>
    <row r="1868">
      <c r="A1868" s="2" t="s">
        <v>10476</v>
      </c>
    </row>
    <row r="1870">
      <c r="A1870" s="2" t="s">
        <v>10477</v>
      </c>
    </row>
    <row r="1871">
      <c r="A1871" s="2" t="s">
        <v>10478</v>
      </c>
    </row>
    <row r="1873">
      <c r="A1873" s="2" t="s">
        <v>10479</v>
      </c>
    </row>
    <row r="1875">
      <c r="A1875" s="2" t="s">
        <v>10480</v>
      </c>
    </row>
    <row r="1876">
      <c r="A1876" s="2" t="s">
        <v>10481</v>
      </c>
    </row>
    <row r="1878">
      <c r="A1878" s="2" t="s">
        <v>10482</v>
      </c>
    </row>
    <row r="1880">
      <c r="A1880" s="2" t="s">
        <v>10483</v>
      </c>
    </row>
    <row r="1881">
      <c r="A1881" s="2" t="s">
        <v>10484</v>
      </c>
    </row>
    <row r="1883">
      <c r="A1883" s="2" t="s">
        <v>10485</v>
      </c>
    </row>
    <row r="1885">
      <c r="A1885" s="2" t="s">
        <v>10486</v>
      </c>
    </row>
    <row r="1886">
      <c r="A1886" s="2" t="s">
        <v>10487</v>
      </c>
    </row>
    <row r="1888">
      <c r="A1888" s="2" t="s">
        <v>10488</v>
      </c>
    </row>
    <row r="1890">
      <c r="A1890" s="2" t="s">
        <v>10489</v>
      </c>
    </row>
    <row r="1892">
      <c r="A1892" s="2" t="s">
        <v>10490</v>
      </c>
    </row>
    <row r="1893">
      <c r="A1893" s="2" t="s">
        <v>10491</v>
      </c>
    </row>
    <row r="1895">
      <c r="A1895" s="2" t="s">
        <v>10492</v>
      </c>
    </row>
    <row r="1897">
      <c r="A1897" s="2" t="s">
        <v>10493</v>
      </c>
    </row>
    <row r="1899">
      <c r="A1899" s="2" t="s">
        <v>10494</v>
      </c>
    </row>
    <row r="1901">
      <c r="A1901" s="2" t="s">
        <v>10495</v>
      </c>
    </row>
    <row r="1902">
      <c r="A1902" s="2" t="s">
        <v>10496</v>
      </c>
    </row>
    <row r="1904">
      <c r="A1904" s="2" t="s">
        <v>10497</v>
      </c>
    </row>
    <row r="1906">
      <c r="A1906" s="2" t="s">
        <v>10498</v>
      </c>
    </row>
    <row r="1907">
      <c r="A1907" s="2" t="s">
        <v>10499</v>
      </c>
    </row>
    <row r="1909">
      <c r="A1909" s="2" t="s">
        <v>10500</v>
      </c>
    </row>
    <row r="1911">
      <c r="A1911" s="2" t="s">
        <v>10501</v>
      </c>
    </row>
    <row r="1912">
      <c r="A1912" s="2" t="s">
        <v>10502</v>
      </c>
    </row>
    <row r="1913">
      <c r="A1913" s="2" t="s">
        <v>10503</v>
      </c>
    </row>
    <row r="1915">
      <c r="A1915" s="2" t="s">
        <v>10504</v>
      </c>
    </row>
    <row r="1917">
      <c r="A1917" s="2" t="s">
        <v>10505</v>
      </c>
    </row>
    <row r="1918">
      <c r="A1918" s="2" t="s">
        <v>10506</v>
      </c>
    </row>
    <row r="1920">
      <c r="A1920" s="2" t="s">
        <v>10507</v>
      </c>
    </row>
    <row r="1922">
      <c r="A1922" s="2" t="s">
        <v>10508</v>
      </c>
    </row>
    <row r="1923">
      <c r="A1923" s="2" t="s">
        <v>10509</v>
      </c>
    </row>
    <row r="1925">
      <c r="A1925" s="2" t="s">
        <v>10510</v>
      </c>
    </row>
    <row r="1927">
      <c r="A1927" s="2" t="s">
        <v>10511</v>
      </c>
    </row>
    <row r="1928">
      <c r="A1928" s="2" t="s">
        <v>10512</v>
      </c>
    </row>
    <row r="1930">
      <c r="A1930" s="2" t="s">
        <v>10513</v>
      </c>
    </row>
    <row r="1932">
      <c r="A1932" s="2" t="s">
        <v>10514</v>
      </c>
    </row>
    <row r="1933">
      <c r="A1933" s="2" t="s">
        <v>10515</v>
      </c>
    </row>
    <row r="1935">
      <c r="A1935" s="2" t="s">
        <v>10516</v>
      </c>
    </row>
    <row r="1937">
      <c r="A1937" s="2" t="s">
        <v>10517</v>
      </c>
    </row>
    <row r="1938">
      <c r="A1938" s="2" t="s">
        <v>10518</v>
      </c>
    </row>
    <row r="1940">
      <c r="A1940" s="2" t="s">
        <v>10519</v>
      </c>
    </row>
    <row r="1942">
      <c r="A1942" s="2" t="s">
        <v>10520</v>
      </c>
    </row>
    <row r="1943">
      <c r="A1943" s="2" t="s">
        <v>10521</v>
      </c>
    </row>
    <row r="1945">
      <c r="A1945" s="2" t="s">
        <v>10522</v>
      </c>
    </row>
    <row r="1947">
      <c r="A1947" s="2" t="s">
        <v>10523</v>
      </c>
    </row>
    <row r="1949">
      <c r="A1949" s="2" t="s">
        <v>10524</v>
      </c>
    </row>
    <row r="1950">
      <c r="A1950" s="2" t="s">
        <v>10525</v>
      </c>
    </row>
    <row r="1952">
      <c r="A1952" s="2" t="s">
        <v>10526</v>
      </c>
    </row>
    <row r="1954">
      <c r="A1954" s="2" t="s">
        <v>10527</v>
      </c>
    </row>
    <row r="1956">
      <c r="A1956" s="2" t="s">
        <v>10528</v>
      </c>
    </row>
    <row r="1957">
      <c r="A1957" s="2" t="s">
        <v>10529</v>
      </c>
    </row>
    <row r="1959">
      <c r="A1959" s="2" t="s">
        <v>10530</v>
      </c>
    </row>
    <row r="1961">
      <c r="A1961" s="2" t="s">
        <v>10531</v>
      </c>
    </row>
    <row r="1963">
      <c r="A1963" s="2" t="s">
        <v>10532</v>
      </c>
    </row>
    <row r="1964">
      <c r="A1964" s="2" t="s">
        <v>10533</v>
      </c>
    </row>
    <row r="1966">
      <c r="A1966" s="2" t="s">
        <v>10534</v>
      </c>
    </row>
    <row r="1968">
      <c r="A1968" s="2" t="s">
        <v>10535</v>
      </c>
    </row>
    <row r="1969">
      <c r="A1969" s="2" t="s">
        <v>10536</v>
      </c>
    </row>
    <row r="1971">
      <c r="A1971" s="2" t="s">
        <v>10537</v>
      </c>
    </row>
    <row r="1973">
      <c r="A1973" s="2" t="s">
        <v>10538</v>
      </c>
    </row>
    <row r="1974">
      <c r="A1974" s="2" t="s">
        <v>10539</v>
      </c>
    </row>
    <row r="1976">
      <c r="A1976" s="2" t="s">
        <v>10540</v>
      </c>
    </row>
    <row r="1978">
      <c r="A1978" s="2" t="s">
        <v>10541</v>
      </c>
    </row>
    <row r="1979">
      <c r="A1979" s="2" t="s">
        <v>10542</v>
      </c>
    </row>
    <row r="1981">
      <c r="A1981" s="2" t="s">
        <v>10543</v>
      </c>
    </row>
    <row r="1983">
      <c r="A1983" s="2" t="s">
        <v>10544</v>
      </c>
    </row>
    <row r="1984">
      <c r="A1984" s="2" t="s">
        <v>10545</v>
      </c>
    </row>
    <row r="1986">
      <c r="A1986" s="2" t="s">
        <v>10546</v>
      </c>
    </row>
    <row r="1988">
      <c r="A1988" s="2" t="s">
        <v>10547</v>
      </c>
    </row>
    <row r="1990">
      <c r="A1990" s="2" t="s">
        <v>10548</v>
      </c>
    </row>
    <row r="1991">
      <c r="A1991" s="2" t="s">
        <v>10549</v>
      </c>
    </row>
    <row r="1993">
      <c r="A1993" s="2" t="s">
        <v>10550</v>
      </c>
    </row>
    <row r="1995">
      <c r="A1995" s="2" t="s">
        <v>10551</v>
      </c>
    </row>
    <row r="1996">
      <c r="A1996" s="2" t="s">
        <v>10552</v>
      </c>
    </row>
    <row r="1998">
      <c r="A1998" s="2" t="s">
        <v>10553</v>
      </c>
    </row>
    <row r="2000">
      <c r="A2000" s="2" t="s">
        <v>10554</v>
      </c>
    </row>
    <row r="2001">
      <c r="A2001" s="2" t="s">
        <v>10555</v>
      </c>
    </row>
    <row r="2003">
      <c r="A2003" s="2" t="s">
        <v>10556</v>
      </c>
    </row>
    <row r="2005">
      <c r="A2005" s="2" t="s">
        <v>10557</v>
      </c>
    </row>
    <row r="2007">
      <c r="A2007" s="2" t="s">
        <v>10558</v>
      </c>
    </row>
    <row r="2008">
      <c r="A2008" s="2" t="s">
        <v>10559</v>
      </c>
    </row>
    <row r="2010">
      <c r="A2010" s="2" t="s">
        <v>10560</v>
      </c>
    </row>
    <row r="2012">
      <c r="A2012" s="2" t="s">
        <v>10561</v>
      </c>
    </row>
    <row r="2013">
      <c r="A2013" s="2" t="s">
        <v>10562</v>
      </c>
    </row>
    <row r="2015">
      <c r="A2015" s="2" t="s">
        <v>10563</v>
      </c>
    </row>
    <row r="2017">
      <c r="A2017" s="2" t="s">
        <v>10564</v>
      </c>
    </row>
    <row r="2018">
      <c r="A2018" s="2" t="s">
        <v>10565</v>
      </c>
    </row>
    <row r="2020">
      <c r="A2020" s="2" t="s">
        <v>10566</v>
      </c>
    </row>
    <row r="2022">
      <c r="A2022" s="2" t="s">
        <v>10567</v>
      </c>
    </row>
    <row r="2023">
      <c r="A2023" s="2" t="s">
        <v>10568</v>
      </c>
    </row>
    <row r="2025">
      <c r="A2025" s="2" t="s">
        <v>10569</v>
      </c>
    </row>
    <row r="2027">
      <c r="A2027" s="2" t="s">
        <v>10570</v>
      </c>
    </row>
    <row r="2029">
      <c r="A2029" s="2" t="s">
        <v>10571</v>
      </c>
    </row>
    <row r="2031">
      <c r="A2031" s="2" t="s">
        <v>10572</v>
      </c>
    </row>
    <row r="2032">
      <c r="A2032" s="2" t="s">
        <v>10573</v>
      </c>
    </row>
    <row r="2034">
      <c r="A2034" s="2" t="s">
        <v>10574</v>
      </c>
    </row>
    <row r="2036">
      <c r="A2036" s="2" t="s">
        <v>10575</v>
      </c>
    </row>
    <row r="2037">
      <c r="A2037" s="2" t="s">
        <v>10576</v>
      </c>
    </row>
    <row r="2039">
      <c r="A2039" s="2" t="s">
        <v>10577</v>
      </c>
    </row>
    <row r="2041">
      <c r="A2041" s="2" t="s">
        <v>10578</v>
      </c>
    </row>
    <row r="2043">
      <c r="A2043" s="2" t="s">
        <v>10579</v>
      </c>
    </row>
    <row r="2044">
      <c r="A2044" s="2" t="s">
        <v>10580</v>
      </c>
    </row>
    <row r="2046">
      <c r="A2046" s="2" t="s">
        <v>10581</v>
      </c>
    </row>
    <row r="2048">
      <c r="A2048" s="2" t="s">
        <v>10582</v>
      </c>
    </row>
    <row r="2049">
      <c r="A2049" s="2" t="s">
        <v>10583</v>
      </c>
    </row>
    <row r="2051">
      <c r="A2051" s="2" t="s">
        <v>10584</v>
      </c>
    </row>
    <row r="2053">
      <c r="A2053" s="2" t="s">
        <v>10585</v>
      </c>
    </row>
    <row r="2055">
      <c r="A2055" s="2" t="s">
        <v>10586</v>
      </c>
    </row>
    <row r="2056">
      <c r="A2056" s="2" t="s">
        <v>10587</v>
      </c>
    </row>
    <row r="2058">
      <c r="A2058" s="2" t="s">
        <v>10588</v>
      </c>
    </row>
    <row r="2060">
      <c r="A2060" s="2" t="s">
        <v>10589</v>
      </c>
    </row>
    <row r="2061">
      <c r="A2061" s="2" t="s">
        <v>10590</v>
      </c>
    </row>
    <row r="2063">
      <c r="A2063" s="2" t="s">
        <v>10591</v>
      </c>
    </row>
    <row r="2065">
      <c r="A2065" s="2" t="s">
        <v>10592</v>
      </c>
    </row>
    <row r="2066">
      <c r="A2066" s="2" t="s">
        <v>10593</v>
      </c>
    </row>
    <row r="2068">
      <c r="A2068" s="2" t="s">
        <v>10594</v>
      </c>
    </row>
    <row r="2069">
      <c r="A2069" s="2" t="s">
        <v>10595</v>
      </c>
    </row>
    <row r="2071">
      <c r="A2071" s="2" t="s">
        <v>10596</v>
      </c>
    </row>
    <row r="2073">
      <c r="A2073" s="2" t="s">
        <v>10597</v>
      </c>
    </row>
    <row r="2074">
      <c r="A2074" s="2" t="s">
        <v>10598</v>
      </c>
    </row>
    <row r="2076">
      <c r="A2076" s="2" t="s">
        <v>10599</v>
      </c>
    </row>
    <row r="2078">
      <c r="A2078" s="2" t="s">
        <v>10600</v>
      </c>
    </row>
    <row r="2079">
      <c r="A2079" s="2" t="s">
        <v>10601</v>
      </c>
    </row>
    <row r="2081">
      <c r="A2081" s="2" t="s">
        <v>10602</v>
      </c>
    </row>
    <row r="2083">
      <c r="A2083" s="2" t="s">
        <v>10603</v>
      </c>
    </row>
    <row r="2084">
      <c r="A2084" s="2" t="s">
        <v>10604</v>
      </c>
    </row>
    <row r="2086">
      <c r="A2086" s="2" t="s">
        <v>10605</v>
      </c>
    </row>
    <row r="2088">
      <c r="A2088" s="2" t="s">
        <v>10606</v>
      </c>
    </row>
    <row r="2090">
      <c r="A2090" s="2" t="s">
        <v>10607</v>
      </c>
    </row>
    <row r="2091">
      <c r="A2091" s="2" t="s">
        <v>10608</v>
      </c>
    </row>
    <row r="2093">
      <c r="A2093" s="2" t="s">
        <v>10609</v>
      </c>
    </row>
    <row r="2095">
      <c r="A2095" s="2" t="s">
        <v>10610</v>
      </c>
    </row>
    <row r="2096">
      <c r="A2096" s="2" t="s">
        <v>10611</v>
      </c>
    </row>
    <row r="2098">
      <c r="A2098" s="2" t="s">
        <v>10612</v>
      </c>
    </row>
    <row r="2100">
      <c r="A2100" s="2" t="s">
        <v>10613</v>
      </c>
    </row>
    <row r="2101">
      <c r="A2101" s="2" t="s">
        <v>10614</v>
      </c>
    </row>
    <row r="2103">
      <c r="A2103" s="2" t="s">
        <v>10615</v>
      </c>
    </row>
    <row r="2105">
      <c r="A2105" s="2" t="s">
        <v>10616</v>
      </c>
    </row>
    <row r="2106">
      <c r="A2106" s="2" t="s">
        <v>10617</v>
      </c>
    </row>
    <row r="2108">
      <c r="A2108" s="2" t="s">
        <v>10618</v>
      </c>
    </row>
    <row r="2110">
      <c r="A2110" s="2" t="s">
        <v>10619</v>
      </c>
    </row>
    <row r="2112">
      <c r="A2112" s="2" t="s">
        <v>10620</v>
      </c>
    </row>
    <row r="2113">
      <c r="A2113" s="2" t="s">
        <v>10621</v>
      </c>
    </row>
    <row r="2115">
      <c r="A2115" s="2" t="s">
        <v>10622</v>
      </c>
    </row>
    <row r="2117">
      <c r="A2117" s="2" t="s">
        <v>10623</v>
      </c>
    </row>
    <row r="2119">
      <c r="A2119" s="2" t="s">
        <v>10624</v>
      </c>
    </row>
    <row r="2120">
      <c r="A2120" s="2" t="s">
        <v>10625</v>
      </c>
    </row>
    <row r="2122">
      <c r="A2122" s="2" t="s">
        <v>10626</v>
      </c>
    </row>
    <row r="2124">
      <c r="A2124" s="2" t="s">
        <v>10627</v>
      </c>
    </row>
    <row r="2126">
      <c r="A2126" s="2" t="s">
        <v>10628</v>
      </c>
    </row>
    <row r="2127">
      <c r="A2127" s="2" t="s">
        <v>10629</v>
      </c>
    </row>
    <row r="2129">
      <c r="A2129" s="2" t="s">
        <v>10630</v>
      </c>
    </row>
    <row r="2131">
      <c r="A2131" s="2" t="s">
        <v>10631</v>
      </c>
    </row>
    <row r="2132">
      <c r="A2132" s="2" t="s">
        <v>10632</v>
      </c>
    </row>
    <row r="2134">
      <c r="A2134" s="2" t="s">
        <v>10633</v>
      </c>
    </row>
    <row r="2136">
      <c r="A2136" s="2" t="s">
        <v>10634</v>
      </c>
    </row>
    <row r="2137">
      <c r="A2137" s="2" t="s">
        <v>10635</v>
      </c>
    </row>
    <row r="2139">
      <c r="A2139" s="2" t="s">
        <v>10636</v>
      </c>
    </row>
    <row r="2141">
      <c r="A2141" s="2" t="s">
        <v>10637</v>
      </c>
    </row>
    <row r="2142">
      <c r="A2142" s="2" t="s">
        <v>10638</v>
      </c>
    </row>
    <row r="2144">
      <c r="A2144" s="2" t="s">
        <v>10639</v>
      </c>
    </row>
    <row r="2146">
      <c r="A2146" s="2" t="s">
        <v>10640</v>
      </c>
    </row>
    <row r="2147">
      <c r="A2147" s="2" t="s">
        <v>10641</v>
      </c>
    </row>
    <row r="2148">
      <c r="A2148" s="2" t="s">
        <v>10642</v>
      </c>
    </row>
    <row r="2150">
      <c r="A2150" s="2" t="s">
        <v>10643</v>
      </c>
    </row>
    <row r="2152">
      <c r="A2152" s="2" t="s">
        <v>10644</v>
      </c>
    </row>
    <row r="2153">
      <c r="A2153" s="2" t="s">
        <v>10645</v>
      </c>
    </row>
    <row r="2155">
      <c r="A2155" s="2" t="s">
        <v>10646</v>
      </c>
    </row>
    <row r="2157">
      <c r="A2157" s="2" t="s">
        <v>10647</v>
      </c>
    </row>
    <row r="2158">
      <c r="A2158" s="2" t="s">
        <v>10648</v>
      </c>
    </row>
    <row r="2160">
      <c r="A2160" s="2" t="s">
        <v>10649</v>
      </c>
    </row>
    <row r="2162">
      <c r="A2162" s="2" t="s">
        <v>10650</v>
      </c>
    </row>
    <row r="2164">
      <c r="A2164" s="2" t="s">
        <v>10651</v>
      </c>
    </row>
    <row r="2165">
      <c r="A2165" s="2" t="s">
        <v>10652</v>
      </c>
    </row>
    <row r="2167">
      <c r="A2167" s="2" t="s">
        <v>10653</v>
      </c>
    </row>
    <row r="2169">
      <c r="A2169" s="2" t="s">
        <v>10654</v>
      </c>
    </row>
    <row r="2171">
      <c r="A2171" s="2" t="s">
        <v>10655</v>
      </c>
    </row>
    <row r="2172">
      <c r="A2172" s="2" t="s">
        <v>10656</v>
      </c>
    </row>
    <row r="2174">
      <c r="A2174" s="2" t="s">
        <v>10657</v>
      </c>
    </row>
    <row r="2175">
      <c r="A2175" s="2" t="s">
        <v>10658</v>
      </c>
    </row>
    <row r="2177">
      <c r="A2177" s="2" t="s">
        <v>10659</v>
      </c>
    </row>
    <row r="2179">
      <c r="A2179" s="2" t="s">
        <v>10660</v>
      </c>
    </row>
    <row r="2180">
      <c r="A2180" s="2" t="s">
        <v>10661</v>
      </c>
    </row>
    <row r="2182">
      <c r="A2182" s="2" t="s">
        <v>10662</v>
      </c>
    </row>
    <row r="2184">
      <c r="A2184" s="2" t="s">
        <v>10663</v>
      </c>
    </row>
    <row r="2185">
      <c r="A2185" s="2" t="s">
        <v>10664</v>
      </c>
    </row>
    <row r="2187">
      <c r="A2187" s="2" t="s">
        <v>10665</v>
      </c>
    </row>
    <row r="2189">
      <c r="A2189" s="2" t="s">
        <v>10666</v>
      </c>
    </row>
    <row r="2190">
      <c r="A2190" s="2" t="s">
        <v>10667</v>
      </c>
    </row>
    <row r="2192">
      <c r="A2192" s="2" t="s">
        <v>10668</v>
      </c>
    </row>
    <row r="2194">
      <c r="A2194" s="2" t="s">
        <v>10669</v>
      </c>
    </row>
    <row r="2195">
      <c r="A2195" s="2" t="s">
        <v>10670</v>
      </c>
    </row>
    <row r="2197">
      <c r="A2197" s="2" t="s">
        <v>10671</v>
      </c>
    </row>
    <row r="2199">
      <c r="A2199" s="2" t="s">
        <v>10672</v>
      </c>
    </row>
    <row r="2200">
      <c r="A2200" s="2" t="s">
        <v>10673</v>
      </c>
    </row>
    <row r="2202">
      <c r="A2202" s="2" t="s">
        <v>10674</v>
      </c>
    </row>
    <row r="2204">
      <c r="A2204" s="2" t="s">
        <v>10675</v>
      </c>
    </row>
    <row r="2205">
      <c r="A2205" s="2" t="s">
        <v>10676</v>
      </c>
    </row>
    <row r="2207">
      <c r="A2207" s="2" t="s">
        <v>10677</v>
      </c>
    </row>
    <row r="2209">
      <c r="A2209" s="2" t="s">
        <v>10678</v>
      </c>
    </row>
    <row r="2210">
      <c r="A2210" s="2" t="s">
        <v>10679</v>
      </c>
    </row>
    <row r="2212">
      <c r="A2212" s="2" t="s">
        <v>10680</v>
      </c>
    </row>
    <row r="2214">
      <c r="A2214" s="2" t="s">
        <v>10681</v>
      </c>
    </row>
    <row r="2215">
      <c r="A2215" s="2" t="s">
        <v>10682</v>
      </c>
    </row>
    <row r="2216">
      <c r="A2216" s="2" t="s">
        <v>10683</v>
      </c>
    </row>
    <row r="2218">
      <c r="A2218" s="2" t="s">
        <v>10684</v>
      </c>
    </row>
    <row r="2220">
      <c r="A2220" s="2" t="s">
        <v>10685</v>
      </c>
    </row>
    <row r="2221">
      <c r="A2221" s="2" t="s">
        <v>10686</v>
      </c>
    </row>
    <row r="2223">
      <c r="A2223" s="2" t="s">
        <v>10687</v>
      </c>
    </row>
    <row r="2225">
      <c r="A2225" s="2" t="s">
        <v>10688</v>
      </c>
    </row>
    <row r="2226">
      <c r="A2226" s="2" t="s">
        <v>10689</v>
      </c>
    </row>
    <row r="2228">
      <c r="A2228" s="2" t="s">
        <v>10690</v>
      </c>
    </row>
    <row r="2230">
      <c r="A2230" s="2" t="s">
        <v>10691</v>
      </c>
    </row>
    <row r="2231">
      <c r="A2231" s="2" t="s">
        <v>10692</v>
      </c>
    </row>
    <row r="2233">
      <c r="A2233" s="2" t="s">
        <v>10693</v>
      </c>
    </row>
    <row r="2235">
      <c r="A2235" s="2" t="s">
        <v>10694</v>
      </c>
    </row>
    <row r="2236">
      <c r="A2236" s="2" t="s">
        <v>10695</v>
      </c>
    </row>
    <row r="2238">
      <c r="A2238" s="2" t="s">
        <v>10696</v>
      </c>
    </row>
    <row r="2240">
      <c r="A2240" s="2" t="s">
        <v>10697</v>
      </c>
    </row>
    <row r="2242">
      <c r="A2242" s="2" t="s">
        <v>10698</v>
      </c>
    </row>
    <row r="2243">
      <c r="A2243" s="2" t="s">
        <v>10699</v>
      </c>
    </row>
    <row r="2245">
      <c r="A2245" s="2" t="s">
        <v>10700</v>
      </c>
    </row>
    <row r="2247">
      <c r="A2247" s="2" t="s">
        <v>10701</v>
      </c>
    </row>
    <row r="2248">
      <c r="A2248" s="2" t="s">
        <v>10702</v>
      </c>
    </row>
    <row r="2250">
      <c r="A2250" s="2" t="s">
        <v>10703</v>
      </c>
    </row>
    <row r="2252">
      <c r="A2252" s="2" t="s">
        <v>10704</v>
      </c>
    </row>
    <row r="2254">
      <c r="A2254" s="2" t="s">
        <v>10705</v>
      </c>
    </row>
    <row r="2255">
      <c r="A2255" s="2" t="s">
        <v>10706</v>
      </c>
    </row>
    <row r="2257">
      <c r="A2257" s="2" t="s">
        <v>10707</v>
      </c>
    </row>
    <row r="2259">
      <c r="A2259" s="2" t="s">
        <v>10708</v>
      </c>
    </row>
    <row r="2260">
      <c r="A2260" s="2" t="s">
        <v>10709</v>
      </c>
    </row>
    <row r="2262">
      <c r="A2262" s="2" t="s">
        <v>10710</v>
      </c>
    </row>
    <row r="2264">
      <c r="A2264" s="2" t="s">
        <v>10711</v>
      </c>
    </row>
    <row r="2265">
      <c r="A2265" s="2" t="s">
        <v>10712</v>
      </c>
    </row>
    <row r="2267">
      <c r="A2267" s="2" t="s">
        <v>10713</v>
      </c>
    </row>
    <row r="2269">
      <c r="A2269" s="2" t="s">
        <v>10714</v>
      </c>
    </row>
    <row r="2270">
      <c r="A2270" s="2" t="s">
        <v>10715</v>
      </c>
    </row>
    <row r="2272">
      <c r="A2272" s="2" t="s">
        <v>10716</v>
      </c>
    </row>
    <row r="2274">
      <c r="A2274" s="2" t="s">
        <v>10717</v>
      </c>
    </row>
    <row r="2275">
      <c r="A2275" s="2" t="s">
        <v>10718</v>
      </c>
    </row>
    <row r="2277">
      <c r="A2277" s="2" t="s">
        <v>10719</v>
      </c>
    </row>
    <row r="2279">
      <c r="A2279" s="2" t="s">
        <v>10720</v>
      </c>
    </row>
    <row r="2280">
      <c r="A2280" s="2" t="s">
        <v>10721</v>
      </c>
    </row>
    <row r="2282">
      <c r="A2282" s="2" t="s">
        <v>10722</v>
      </c>
    </row>
    <row r="2284">
      <c r="A2284" s="2" t="s">
        <v>10723</v>
      </c>
    </row>
    <row r="2285">
      <c r="A2285" s="2" t="s">
        <v>10724</v>
      </c>
    </row>
    <row r="2287">
      <c r="A2287" s="2" t="s">
        <v>10725</v>
      </c>
    </row>
    <row r="2289">
      <c r="A2289" s="2" t="s">
        <v>10726</v>
      </c>
    </row>
    <row r="2290">
      <c r="A2290" s="2" t="s">
        <v>10727</v>
      </c>
    </row>
    <row r="2292">
      <c r="A2292" s="2" t="s">
        <v>10728</v>
      </c>
    </row>
    <row r="2294">
      <c r="A2294" s="2" t="s">
        <v>10729</v>
      </c>
    </row>
    <row r="2295">
      <c r="A2295" s="2" t="s">
        <v>10730</v>
      </c>
    </row>
    <row r="2297">
      <c r="A2297" s="2" t="s">
        <v>10731</v>
      </c>
    </row>
    <row r="2299">
      <c r="A2299" s="2" t="s">
        <v>10732</v>
      </c>
    </row>
    <row r="2301">
      <c r="A2301" s="2" t="s">
        <v>10733</v>
      </c>
    </row>
    <row r="2302">
      <c r="A2302" s="2" t="s">
        <v>10734</v>
      </c>
    </row>
    <row r="2304">
      <c r="A2304" s="2" t="s">
        <v>10735</v>
      </c>
    </row>
    <row r="2306">
      <c r="A2306" s="2" t="s">
        <v>10736</v>
      </c>
    </row>
    <row r="2307">
      <c r="A2307" s="2" t="s">
        <v>10737</v>
      </c>
    </row>
    <row r="2309">
      <c r="A2309" s="2" t="s">
        <v>10738</v>
      </c>
    </row>
    <row r="2311">
      <c r="A2311" s="2" t="s">
        <v>10739</v>
      </c>
    </row>
    <row r="2312">
      <c r="A2312" s="2" t="s">
        <v>10740</v>
      </c>
    </row>
    <row r="2314">
      <c r="A2314" s="2" t="s">
        <v>10741</v>
      </c>
    </row>
    <row r="2316">
      <c r="A2316" s="2" t="s">
        <v>10742</v>
      </c>
    </row>
    <row r="2317">
      <c r="A2317" s="2" t="s">
        <v>10743</v>
      </c>
    </row>
    <row r="2319">
      <c r="A2319" s="2" t="s">
        <v>10744</v>
      </c>
    </row>
    <row r="2321">
      <c r="A2321" s="2" t="s">
        <v>10745</v>
      </c>
    </row>
    <row r="2323">
      <c r="A2323" s="2" t="s">
        <v>10746</v>
      </c>
    </row>
    <row r="2324">
      <c r="A2324" s="2" t="s">
        <v>10747</v>
      </c>
    </row>
    <row r="2326">
      <c r="A2326" s="2" t="s">
        <v>10748</v>
      </c>
    </row>
    <row r="2328">
      <c r="A2328" s="2" t="s">
        <v>10749</v>
      </c>
    </row>
    <row r="2329">
      <c r="A2329" s="2" t="s">
        <v>10750</v>
      </c>
    </row>
    <row r="2331">
      <c r="A2331" s="2" t="s">
        <v>10751</v>
      </c>
    </row>
    <row r="2333">
      <c r="A2333" s="2" t="s">
        <v>10752</v>
      </c>
    </row>
    <row r="2334">
      <c r="A2334" s="2" t="s">
        <v>10753</v>
      </c>
    </row>
    <row r="2336">
      <c r="A2336" s="2" t="s">
        <v>10754</v>
      </c>
    </row>
    <row r="2338">
      <c r="A2338" s="2" t="s">
        <v>10755</v>
      </c>
    </row>
    <row r="2339">
      <c r="A2339" s="2" t="s">
        <v>10756</v>
      </c>
    </row>
    <row r="2341">
      <c r="A2341" s="2" t="s">
        <v>10757</v>
      </c>
    </row>
    <row r="2343">
      <c r="A2343" s="2" t="s">
        <v>10758</v>
      </c>
    </row>
    <row r="2345">
      <c r="A2345" s="2" t="s">
        <v>10759</v>
      </c>
    </row>
    <row r="2346">
      <c r="A2346" s="2" t="s">
        <v>10760</v>
      </c>
    </row>
    <row r="2348">
      <c r="A2348" s="2" t="s">
        <v>10761</v>
      </c>
    </row>
    <row r="2350">
      <c r="A2350" s="2" t="s">
        <v>10762</v>
      </c>
    </row>
    <row r="2352">
      <c r="A2352" s="2" t="s">
        <v>10763</v>
      </c>
    </row>
    <row r="2353">
      <c r="A2353" s="2" t="s">
        <v>10764</v>
      </c>
    </row>
    <row r="2355">
      <c r="A2355" s="2" t="s">
        <v>10765</v>
      </c>
    </row>
    <row r="2357">
      <c r="A2357" s="2" t="s">
        <v>10766</v>
      </c>
    </row>
    <row r="2358">
      <c r="A2358" s="2" t="s">
        <v>10767</v>
      </c>
    </row>
    <row r="2360">
      <c r="A2360" s="2" t="s">
        <v>10768</v>
      </c>
    </row>
    <row r="2362">
      <c r="A2362" s="2" t="s">
        <v>10769</v>
      </c>
    </row>
    <row r="2363">
      <c r="A2363" s="2" t="s">
        <v>10770</v>
      </c>
    </row>
    <row r="2365">
      <c r="A2365" s="2" t="s">
        <v>10771</v>
      </c>
    </row>
    <row r="2367">
      <c r="A2367" s="2" t="s">
        <v>10772</v>
      </c>
    </row>
    <row r="2368">
      <c r="A2368" s="2" t="s">
        <v>10773</v>
      </c>
    </row>
    <row r="2370">
      <c r="A2370" s="2" t="s">
        <v>10774</v>
      </c>
    </row>
    <row r="2372">
      <c r="A2372" s="2" t="s">
        <v>10775</v>
      </c>
    </row>
    <row r="2373">
      <c r="A2373" s="2" t="s">
        <v>10776</v>
      </c>
    </row>
    <row r="2375">
      <c r="A2375" s="2" t="s">
        <v>10777</v>
      </c>
    </row>
    <row r="2377">
      <c r="A2377" s="2" t="s">
        <v>10778</v>
      </c>
    </row>
    <row r="2378">
      <c r="A2378" s="2" t="s">
        <v>10779</v>
      </c>
    </row>
    <row r="2380">
      <c r="A2380" s="2" t="s">
        <v>10780</v>
      </c>
    </row>
    <row r="2382">
      <c r="A2382" s="2" t="s">
        <v>10781</v>
      </c>
    </row>
    <row r="2383">
      <c r="A2383" s="2" t="s">
        <v>10782</v>
      </c>
    </row>
    <row r="2385">
      <c r="A2385" s="2" t="s">
        <v>10783</v>
      </c>
    </row>
    <row r="2387">
      <c r="A2387" s="2" t="s">
        <v>10784</v>
      </c>
    </row>
    <row r="2389">
      <c r="A2389" s="2" t="s">
        <v>10785</v>
      </c>
    </row>
    <row r="2390">
      <c r="A2390" s="2" t="s">
        <v>10786</v>
      </c>
    </row>
    <row r="2392">
      <c r="A2392" s="2" t="s">
        <v>10787</v>
      </c>
    </row>
    <row r="2394">
      <c r="A2394" s="2" t="s">
        <v>10788</v>
      </c>
    </row>
    <row r="2395">
      <c r="A2395" s="2" t="s">
        <v>10789</v>
      </c>
    </row>
    <row r="2397">
      <c r="A2397" s="2" t="s">
        <v>10790</v>
      </c>
    </row>
    <row r="2399">
      <c r="A2399" s="2" t="s">
        <v>10791</v>
      </c>
    </row>
    <row r="2400">
      <c r="A2400" s="2" t="s">
        <v>10792</v>
      </c>
    </row>
    <row r="2402">
      <c r="A2402" s="2" t="s">
        <v>10793</v>
      </c>
    </row>
    <row r="2403">
      <c r="A2403" s="2" t="s">
        <v>10794</v>
      </c>
    </row>
    <row r="2405">
      <c r="A2405" s="2" t="s">
        <v>10795</v>
      </c>
    </row>
    <row r="2407">
      <c r="A2407" s="2" t="s">
        <v>10796</v>
      </c>
    </row>
    <row r="2408">
      <c r="A2408" s="2" t="s">
        <v>10797</v>
      </c>
    </row>
    <row r="2410">
      <c r="A2410" s="2" t="s">
        <v>10798</v>
      </c>
    </row>
    <row r="2412">
      <c r="A2412" s="2" t="s">
        <v>10799</v>
      </c>
    </row>
    <row r="2413">
      <c r="A2413" s="2" t="s">
        <v>10800</v>
      </c>
    </row>
    <row r="2415">
      <c r="A2415" s="2" t="s">
        <v>10801</v>
      </c>
    </row>
    <row r="2417">
      <c r="A2417" s="2" t="s">
        <v>10802</v>
      </c>
    </row>
    <row r="2418">
      <c r="A2418" s="2" t="s">
        <v>10803</v>
      </c>
    </row>
    <row r="2420">
      <c r="A2420" s="2" t="s">
        <v>10804</v>
      </c>
    </row>
    <row r="2422">
      <c r="A2422" s="2" t="s">
        <v>10805</v>
      </c>
    </row>
    <row r="2423">
      <c r="A2423" s="2" t="s">
        <v>10806</v>
      </c>
    </row>
    <row r="2425">
      <c r="A2425" s="2" t="s">
        <v>10807</v>
      </c>
    </row>
    <row r="2427">
      <c r="A2427" s="2" t="s">
        <v>10808</v>
      </c>
    </row>
    <row r="2428">
      <c r="A2428" s="2" t="s">
        <v>10809</v>
      </c>
    </row>
    <row r="2430">
      <c r="A2430" s="2" t="s">
        <v>10810</v>
      </c>
    </row>
    <row r="2432">
      <c r="A2432" s="2" t="s">
        <v>10811</v>
      </c>
    </row>
    <row r="2434">
      <c r="A2434" s="2" t="s">
        <v>10812</v>
      </c>
    </row>
    <row r="2435">
      <c r="A2435" s="2" t="s">
        <v>10813</v>
      </c>
    </row>
    <row r="2437">
      <c r="A2437" s="2" t="s">
        <v>10814</v>
      </c>
    </row>
    <row r="2439">
      <c r="A2439" s="2" t="s">
        <v>10815</v>
      </c>
    </row>
    <row r="2440">
      <c r="A2440" s="2" t="s">
        <v>10816</v>
      </c>
    </row>
    <row r="2442">
      <c r="A2442" s="2" t="s">
        <v>10817</v>
      </c>
    </row>
    <row r="2444">
      <c r="A2444" s="2" t="s">
        <v>10818</v>
      </c>
    </row>
    <row r="2445">
      <c r="A2445" s="2" t="s">
        <v>10819</v>
      </c>
    </row>
    <row r="2447">
      <c r="A2447" s="2" t="s">
        <v>10820</v>
      </c>
    </row>
    <row r="2449">
      <c r="A2449" s="2" t="s">
        <v>10821</v>
      </c>
    </row>
    <row r="2451">
      <c r="A2451" s="2" t="s">
        <v>10822</v>
      </c>
    </row>
    <row r="2452">
      <c r="A2452" s="2" t="s">
        <v>10823</v>
      </c>
    </row>
    <row r="2454">
      <c r="A2454" s="2" t="s">
        <v>10824</v>
      </c>
    </row>
    <row r="2456">
      <c r="A2456" s="2" t="s">
        <v>10825</v>
      </c>
    </row>
    <row r="2457">
      <c r="A2457" s="2" t="s">
        <v>10826</v>
      </c>
    </row>
    <row r="2459">
      <c r="A2459" s="2" t="s">
        <v>10827</v>
      </c>
    </row>
    <row r="2461">
      <c r="A2461" s="2" t="s">
        <v>10828</v>
      </c>
    </row>
    <row r="2462">
      <c r="A2462" s="2" t="s">
        <v>10829</v>
      </c>
    </row>
    <row r="2464">
      <c r="A2464" s="2" t="s">
        <v>10830</v>
      </c>
    </row>
    <row r="2465">
      <c r="A2465" s="2" t="s">
        <v>10831</v>
      </c>
    </row>
    <row r="2467">
      <c r="A2467" s="2" t="s">
        <v>10832</v>
      </c>
    </row>
    <row r="2469">
      <c r="A2469" s="2" t="s">
        <v>10833</v>
      </c>
    </row>
    <row r="2471">
      <c r="A2471" s="2" t="s">
        <v>10834</v>
      </c>
    </row>
    <row r="2472">
      <c r="A2472" s="2" t="s">
        <v>10835</v>
      </c>
    </row>
    <row r="2474">
      <c r="A2474" s="2" t="s">
        <v>10836</v>
      </c>
    </row>
    <row r="2476">
      <c r="A2476" s="2" t="s">
        <v>10837</v>
      </c>
    </row>
    <row r="2477">
      <c r="A2477" s="2" t="s">
        <v>10838</v>
      </c>
    </row>
    <row r="2479">
      <c r="A2479" s="2" t="s">
        <v>10839</v>
      </c>
    </row>
    <row r="2481">
      <c r="A2481" s="2" t="s">
        <v>10840</v>
      </c>
    </row>
    <row r="2483">
      <c r="A2483" s="2" t="s">
        <v>10841</v>
      </c>
    </row>
    <row r="2484">
      <c r="A2484" s="2" t="s">
        <v>10842</v>
      </c>
    </row>
    <row r="2486">
      <c r="A2486" s="2" t="s">
        <v>10843</v>
      </c>
    </row>
    <row r="2488">
      <c r="A2488" s="2" t="s">
        <v>10844</v>
      </c>
    </row>
    <row r="2489">
      <c r="A2489" s="2" t="s">
        <v>10845</v>
      </c>
    </row>
    <row r="2491">
      <c r="A2491" s="2" t="s">
        <v>10846</v>
      </c>
    </row>
    <row r="2493">
      <c r="A2493" s="2" t="s">
        <v>10847</v>
      </c>
    </row>
    <row r="2494">
      <c r="A2494" s="2" t="s">
        <v>10848</v>
      </c>
    </row>
    <row r="2496">
      <c r="A2496" s="2" t="s">
        <v>10849</v>
      </c>
    </row>
    <row r="2498">
      <c r="A2498" s="2" t="s">
        <v>10850</v>
      </c>
    </row>
    <row r="2499">
      <c r="A2499" s="2" t="s">
        <v>10851</v>
      </c>
    </row>
    <row r="2501">
      <c r="A2501" s="2" t="s">
        <v>10852</v>
      </c>
    </row>
    <row r="2503">
      <c r="A2503" s="2" t="s">
        <v>10853</v>
      </c>
    </row>
    <row r="2504">
      <c r="A2504" s="2" t="s">
        <v>10854</v>
      </c>
    </row>
    <row r="2506">
      <c r="A2506" s="2" t="s">
        <v>10855</v>
      </c>
    </row>
    <row r="2508">
      <c r="A2508" s="2" t="s">
        <v>10856</v>
      </c>
    </row>
    <row r="2509">
      <c r="A2509" s="2" t="s">
        <v>10857</v>
      </c>
    </row>
    <row r="2511">
      <c r="A2511" s="2" t="s">
        <v>10858</v>
      </c>
    </row>
    <row r="2513">
      <c r="A2513" s="2" t="s">
        <v>10859</v>
      </c>
    </row>
    <row r="2514">
      <c r="A2514" s="2" t="s">
        <v>10860</v>
      </c>
    </row>
    <row r="2516">
      <c r="A2516" s="2" t="s">
        <v>10861</v>
      </c>
    </row>
    <row r="2517">
      <c r="A2517" s="2" t="s">
        <v>10862</v>
      </c>
    </row>
    <row r="2519">
      <c r="A2519" s="2" t="s">
        <v>7462</v>
      </c>
    </row>
    <row r="2520">
      <c r="A2520" s="2" t="s">
        <v>10863</v>
      </c>
    </row>
    <row r="2522">
      <c r="A2522" s="2" t="s">
        <v>10864</v>
      </c>
    </row>
    <row r="2524">
      <c r="A2524" s="2" t="s">
        <v>10865</v>
      </c>
    </row>
    <row r="2525">
      <c r="A2525" s="2" t="s">
        <v>10866</v>
      </c>
    </row>
    <row r="2527">
      <c r="A2527" s="2" t="s">
        <v>10867</v>
      </c>
    </row>
    <row r="2529">
      <c r="A2529" s="2" t="s">
        <v>10868</v>
      </c>
    </row>
    <row r="2530">
      <c r="A2530" s="2" t="s">
        <v>10869</v>
      </c>
    </row>
    <row r="2532">
      <c r="A2532" s="2" t="s">
        <v>10870</v>
      </c>
    </row>
    <row r="2534">
      <c r="A2534" s="2" t="s">
        <v>10871</v>
      </c>
    </row>
    <row r="2535">
      <c r="A2535" s="2" t="s">
        <v>10872</v>
      </c>
    </row>
    <row r="2537">
      <c r="A2537" s="2" t="s">
        <v>10873</v>
      </c>
    </row>
    <row r="2539">
      <c r="A2539" s="2" t="s">
        <v>10874</v>
      </c>
    </row>
    <row r="2540">
      <c r="A2540" s="2" t="s">
        <v>10875</v>
      </c>
    </row>
    <row r="2542">
      <c r="A2542" s="2" t="s">
        <v>10876</v>
      </c>
    </row>
    <row r="2544">
      <c r="A2544" s="2" t="s">
        <v>10877</v>
      </c>
    </row>
    <row r="2545">
      <c r="A2545" s="2" t="s">
        <v>10878</v>
      </c>
    </row>
    <row r="2547">
      <c r="A2547" s="2" t="s">
        <v>10879</v>
      </c>
    </row>
    <row r="2549">
      <c r="A2549" s="2" t="s">
        <v>10880</v>
      </c>
    </row>
    <row r="2550">
      <c r="A2550" s="2" t="s">
        <v>10881</v>
      </c>
    </row>
    <row r="2552">
      <c r="A2552" s="2" t="s">
        <v>10882</v>
      </c>
    </row>
    <row r="2554">
      <c r="A2554" s="2" t="s">
        <v>10883</v>
      </c>
    </row>
    <row r="2555">
      <c r="A2555" s="2" t="s">
        <v>10884</v>
      </c>
    </row>
    <row r="2557">
      <c r="A2557" s="2" t="s">
        <v>10885</v>
      </c>
    </row>
    <row r="2559">
      <c r="A2559" s="2" t="s">
        <v>10886</v>
      </c>
    </row>
    <row r="2561">
      <c r="A2561" s="2" t="s">
        <v>10887</v>
      </c>
    </row>
    <row r="2562">
      <c r="A2562" s="2" t="s">
        <v>10888</v>
      </c>
    </row>
    <row r="2564">
      <c r="A2564" s="2" t="s">
        <v>10889</v>
      </c>
    </row>
    <row r="2566">
      <c r="A2566" s="2" t="s">
        <v>10890</v>
      </c>
    </row>
    <row r="2567">
      <c r="A2567" s="2" t="s">
        <v>10891</v>
      </c>
    </row>
    <row r="2569">
      <c r="A2569" s="2" t="s">
        <v>10892</v>
      </c>
    </row>
    <row r="2571">
      <c r="A2571" s="2" t="s">
        <v>10893</v>
      </c>
    </row>
    <row r="2573">
      <c r="A2573" s="2" t="s">
        <v>10894</v>
      </c>
    </row>
    <row r="2574">
      <c r="A2574" s="2" t="s">
        <v>10895</v>
      </c>
    </row>
    <row r="2576">
      <c r="A2576" s="2" t="s">
        <v>10896</v>
      </c>
    </row>
    <row r="2578">
      <c r="A2578" s="2" t="s">
        <v>10897</v>
      </c>
    </row>
    <row r="2579">
      <c r="A2579" s="2" t="s">
        <v>10898</v>
      </c>
    </row>
    <row r="2581">
      <c r="A2581" s="2" t="s">
        <v>10899</v>
      </c>
    </row>
    <row r="2583">
      <c r="A2583" s="2" t="s">
        <v>10900</v>
      </c>
    </row>
    <row r="2584">
      <c r="A2584" s="2" t="s">
        <v>10901</v>
      </c>
    </row>
    <row r="2586">
      <c r="A2586" s="2" t="s">
        <v>10902</v>
      </c>
    </row>
    <row r="2588">
      <c r="A2588" s="2" t="s">
        <v>10903</v>
      </c>
    </row>
    <row r="2589">
      <c r="A2589" s="2" t="s">
        <v>10904</v>
      </c>
    </row>
    <row r="2591">
      <c r="A2591" s="2" t="s">
        <v>10905</v>
      </c>
    </row>
    <row r="2593">
      <c r="A2593" s="2" t="s">
        <v>10906</v>
      </c>
    </row>
    <row r="2594">
      <c r="A2594" s="2" t="s">
        <v>10907</v>
      </c>
    </row>
    <row r="2596">
      <c r="A2596" s="2" t="s">
        <v>10908</v>
      </c>
    </row>
    <row r="2598">
      <c r="A2598" s="2" t="s">
        <v>10909</v>
      </c>
    </row>
    <row r="2599">
      <c r="A2599" s="2" t="s">
        <v>10910</v>
      </c>
    </row>
    <row r="2600">
      <c r="A2600" s="2" t="s">
        <v>10911</v>
      </c>
    </row>
    <row r="2602">
      <c r="A2602" s="2" t="s">
        <v>10912</v>
      </c>
    </row>
    <row r="2604">
      <c r="A2604" s="2" t="s">
        <v>10913</v>
      </c>
    </row>
    <row r="2605">
      <c r="A2605" s="2" t="s">
        <v>10914</v>
      </c>
    </row>
    <row r="2606">
      <c r="A2606" s="2" t="s">
        <v>10915</v>
      </c>
    </row>
    <row r="2608">
      <c r="A2608" s="2" t="s">
        <v>10916</v>
      </c>
    </row>
    <row r="2610">
      <c r="A2610" s="2" t="s">
        <v>10917</v>
      </c>
    </row>
    <row r="2611">
      <c r="A2611" s="2" t="s">
        <v>10918</v>
      </c>
    </row>
    <row r="2613">
      <c r="A2613" s="2" t="s">
        <v>10919</v>
      </c>
    </row>
    <row r="2615">
      <c r="A2615" s="2" t="s">
        <v>10920</v>
      </c>
    </row>
    <row r="2616">
      <c r="A2616" s="2" t="s">
        <v>10921</v>
      </c>
    </row>
    <row r="2618">
      <c r="A2618" s="2" t="s">
        <v>10922</v>
      </c>
    </row>
    <row r="2620">
      <c r="A2620" s="2" t="s">
        <v>10923</v>
      </c>
    </row>
    <row r="2621">
      <c r="A2621" s="2" t="s">
        <v>10924</v>
      </c>
    </row>
    <row r="2623">
      <c r="A2623" s="2" t="s">
        <v>10925</v>
      </c>
    </row>
    <row r="2625">
      <c r="A2625" s="2" t="s">
        <v>10926</v>
      </c>
    </row>
    <row r="2626">
      <c r="A2626" s="2" t="s">
        <v>10927</v>
      </c>
    </row>
    <row r="2628">
      <c r="A2628" s="2" t="s">
        <v>10928</v>
      </c>
    </row>
    <row r="2630">
      <c r="A2630" s="2" t="s">
        <v>10929</v>
      </c>
    </row>
    <row r="2631">
      <c r="A2631" s="2" t="s">
        <v>10930</v>
      </c>
    </row>
    <row r="2633">
      <c r="A2633" s="2" t="s">
        <v>10931</v>
      </c>
    </row>
    <row r="2635">
      <c r="A2635" s="2" t="s">
        <v>10932</v>
      </c>
    </row>
    <row r="2636">
      <c r="A2636" s="2" t="s">
        <v>10933</v>
      </c>
    </row>
    <row r="2638">
      <c r="A2638" s="2" t="s">
        <v>10934</v>
      </c>
    </row>
    <row r="2640">
      <c r="A2640" s="2" t="s">
        <v>10935</v>
      </c>
    </row>
    <row r="2642">
      <c r="A2642" s="2" t="s">
        <v>10936</v>
      </c>
    </row>
    <row r="2643">
      <c r="A2643" s="2" t="s">
        <v>10937</v>
      </c>
    </row>
    <row r="2645">
      <c r="A2645" s="2" t="s">
        <v>10938</v>
      </c>
    </row>
    <row r="2647">
      <c r="A2647" s="2" t="s">
        <v>10939</v>
      </c>
    </row>
    <row r="2648">
      <c r="A2648" s="2" t="s">
        <v>10940</v>
      </c>
    </row>
    <row r="2650">
      <c r="A2650" s="2" t="s">
        <v>10941</v>
      </c>
    </row>
    <row r="2652">
      <c r="A2652" s="2" t="s">
        <v>10942</v>
      </c>
    </row>
    <row r="2653">
      <c r="A2653" s="2" t="s">
        <v>10943</v>
      </c>
    </row>
    <row r="2655">
      <c r="A2655" s="2" t="s">
        <v>10944</v>
      </c>
    </row>
    <row r="2657">
      <c r="A2657" s="2" t="s">
        <v>10945</v>
      </c>
    </row>
    <row r="2659">
      <c r="A2659" s="2" t="s">
        <v>10946</v>
      </c>
    </row>
    <row r="2660">
      <c r="A2660" s="2" t="s">
        <v>10947</v>
      </c>
    </row>
    <row r="2662">
      <c r="A2662" s="2" t="s">
        <v>10948</v>
      </c>
    </row>
    <row r="2663">
      <c r="A2663" s="2" t="s">
        <v>10949</v>
      </c>
    </row>
    <row r="2665">
      <c r="A2665" s="2" t="s">
        <v>10950</v>
      </c>
    </row>
    <row r="2667">
      <c r="A2667" s="2" t="s">
        <v>10951</v>
      </c>
    </row>
    <row r="2668">
      <c r="A2668" s="2" t="s">
        <v>10952</v>
      </c>
    </row>
    <row r="2670">
      <c r="A2670" s="2" t="s">
        <v>10953</v>
      </c>
    </row>
    <row r="2672">
      <c r="A2672" s="2" t="s">
        <v>10954</v>
      </c>
    </row>
    <row r="2673">
      <c r="A2673" s="2" t="s">
        <v>10955</v>
      </c>
    </row>
    <row r="2675">
      <c r="A2675" s="2" t="s">
        <v>10956</v>
      </c>
    </row>
    <row r="2677">
      <c r="A2677" s="2" t="s">
        <v>10957</v>
      </c>
    </row>
    <row r="2678">
      <c r="A2678" s="2" t="s">
        <v>10958</v>
      </c>
    </row>
    <row r="2680">
      <c r="A2680" s="2" t="s">
        <v>10959</v>
      </c>
    </row>
    <row r="2682">
      <c r="A2682" s="2" t="s">
        <v>10960</v>
      </c>
    </row>
    <row r="2683">
      <c r="A2683" s="2" t="s">
        <v>10961</v>
      </c>
    </row>
    <row r="2685">
      <c r="A2685" s="2" t="s">
        <v>10962</v>
      </c>
    </row>
    <row r="2687">
      <c r="A2687" s="2" t="s">
        <v>10963</v>
      </c>
    </row>
    <row r="2688">
      <c r="A2688" s="2" t="s">
        <v>10964</v>
      </c>
    </row>
    <row r="2690">
      <c r="A2690" s="2" t="s">
        <v>10965</v>
      </c>
    </row>
    <row r="2692">
      <c r="A2692" s="2" t="s">
        <v>10966</v>
      </c>
    </row>
    <row r="2694">
      <c r="A2694" s="2" t="s">
        <v>10967</v>
      </c>
    </row>
    <row r="2695">
      <c r="A2695" s="2" t="s">
        <v>10968</v>
      </c>
    </row>
    <row r="2697">
      <c r="A2697" s="2" t="s">
        <v>10969</v>
      </c>
    </row>
    <row r="2698">
      <c r="A2698" s="2" t="s">
        <v>10970</v>
      </c>
    </row>
    <row r="2700">
      <c r="A2700" s="2" t="s">
        <v>10971</v>
      </c>
    </row>
    <row r="2702">
      <c r="A2702" s="2" t="s">
        <v>10972</v>
      </c>
    </row>
    <row r="2703">
      <c r="A2703" s="2" t="s">
        <v>10973</v>
      </c>
    </row>
    <row r="2705">
      <c r="A2705" s="2" t="s">
        <v>10974</v>
      </c>
    </row>
    <row r="2706">
      <c r="A2706" s="2" t="s">
        <v>10975</v>
      </c>
    </row>
    <row r="2708">
      <c r="A2708" s="2" t="s">
        <v>10976</v>
      </c>
    </row>
    <row r="2710">
      <c r="A2710" s="2" t="s">
        <v>10977</v>
      </c>
    </row>
    <row r="2711">
      <c r="A2711" s="2" t="s">
        <v>10978</v>
      </c>
    </row>
    <row r="2713">
      <c r="A2713" s="2" t="s">
        <v>10979</v>
      </c>
    </row>
    <row r="2715">
      <c r="A2715" s="2" t="s">
        <v>10980</v>
      </c>
    </row>
    <row r="2717">
      <c r="A2717" s="2" t="s">
        <v>10981</v>
      </c>
    </row>
    <row r="2718">
      <c r="A2718" s="2" t="s">
        <v>10982</v>
      </c>
    </row>
    <row r="2720">
      <c r="A2720" s="2" t="s">
        <v>10983</v>
      </c>
    </row>
    <row r="2722">
      <c r="A2722" s="2" t="s">
        <v>10984</v>
      </c>
    </row>
    <row r="2723">
      <c r="A2723" s="2" t="s">
        <v>10985</v>
      </c>
    </row>
    <row r="2725">
      <c r="A2725" s="2" t="s">
        <v>10986</v>
      </c>
    </row>
    <row r="2727">
      <c r="A2727" s="2" t="s">
        <v>10987</v>
      </c>
    </row>
    <row r="2728">
      <c r="A2728" s="2" t="s">
        <v>10988</v>
      </c>
    </row>
    <row r="2730">
      <c r="A2730" s="2" t="s">
        <v>10989</v>
      </c>
    </row>
    <row r="2732">
      <c r="A2732" s="2" t="s">
        <v>10990</v>
      </c>
    </row>
    <row r="2733">
      <c r="A2733" s="2" t="s">
        <v>10991</v>
      </c>
    </row>
    <row r="2735">
      <c r="A2735" s="2" t="s">
        <v>10992</v>
      </c>
    </row>
    <row r="2737">
      <c r="A2737" s="2" t="s">
        <v>10993</v>
      </c>
    </row>
    <row r="2739">
      <c r="A2739" s="2" t="s">
        <v>10994</v>
      </c>
    </row>
    <row r="2740">
      <c r="A2740" s="2" t="s">
        <v>10995</v>
      </c>
    </row>
    <row r="2742">
      <c r="A2742" s="2" t="s">
        <v>10996</v>
      </c>
    </row>
    <row r="2744">
      <c r="A2744" s="2" t="s">
        <v>10997</v>
      </c>
    </row>
    <row r="2745">
      <c r="A2745" s="2" t="s">
        <v>10998</v>
      </c>
    </row>
    <row r="2747">
      <c r="A2747" s="2" t="s">
        <v>10999</v>
      </c>
    </row>
    <row r="2749">
      <c r="A2749" s="2" t="s">
        <v>11000</v>
      </c>
    </row>
    <row r="2750">
      <c r="A2750" s="2" t="s">
        <v>11001</v>
      </c>
    </row>
    <row r="2752">
      <c r="A2752" s="2" t="s">
        <v>11002</v>
      </c>
    </row>
    <row r="2754">
      <c r="A2754" s="2" t="s">
        <v>11003</v>
      </c>
    </row>
    <row r="2755">
      <c r="A2755" s="2" t="s">
        <v>11004</v>
      </c>
    </row>
    <row r="2757">
      <c r="A2757" s="2" t="s">
        <v>11005</v>
      </c>
    </row>
    <row r="2759">
      <c r="A2759" s="2" t="s">
        <v>11006</v>
      </c>
    </row>
    <row r="2760">
      <c r="A2760" s="2" t="s">
        <v>11007</v>
      </c>
    </row>
    <row r="2761">
      <c r="A2761" s="2" t="s">
        <v>11008</v>
      </c>
    </row>
    <row r="2763">
      <c r="A2763" s="2" t="s">
        <v>11009</v>
      </c>
    </row>
    <row r="2765">
      <c r="A2765" s="2" t="s">
        <v>11010</v>
      </c>
    </row>
    <row r="2767">
      <c r="A2767" s="2" t="s">
        <v>11011</v>
      </c>
    </row>
    <row r="2768">
      <c r="A2768" s="2" t="s">
        <v>11012</v>
      </c>
    </row>
    <row r="2770">
      <c r="A2770" s="2" t="s">
        <v>11013</v>
      </c>
    </row>
    <row r="2772">
      <c r="A2772" s="2" t="s">
        <v>11014</v>
      </c>
    </row>
    <row r="2773">
      <c r="A2773" s="2" t="s">
        <v>11015</v>
      </c>
    </row>
    <row r="2775">
      <c r="A2775" s="2" t="s">
        <v>11016</v>
      </c>
    </row>
    <row r="2777">
      <c r="A2777" s="2" t="s">
        <v>11017</v>
      </c>
    </row>
    <row r="2778">
      <c r="A2778" s="2" t="s">
        <v>11018</v>
      </c>
    </row>
    <row r="2780">
      <c r="A2780" s="2" t="s">
        <v>11019</v>
      </c>
    </row>
    <row r="2781">
      <c r="A2781" s="2" t="s">
        <v>11020</v>
      </c>
    </row>
    <row r="2783">
      <c r="A2783" s="2" t="s">
        <v>11021</v>
      </c>
    </row>
    <row r="2785">
      <c r="A2785" s="2" t="s">
        <v>11022</v>
      </c>
    </row>
    <row r="2786">
      <c r="A2786" s="2" t="s">
        <v>11023</v>
      </c>
    </row>
    <row r="2788">
      <c r="A2788" s="2" t="s">
        <v>11024</v>
      </c>
    </row>
    <row r="2790">
      <c r="A2790" s="2" t="s">
        <v>11025</v>
      </c>
    </row>
    <row r="2791">
      <c r="A2791" s="2" t="s">
        <v>11026</v>
      </c>
    </row>
    <row r="2792">
      <c r="A2792" s="2" t="s">
        <v>11027</v>
      </c>
    </row>
    <row r="2794">
      <c r="A2794" s="2" t="s">
        <v>11028</v>
      </c>
    </row>
    <row r="2796">
      <c r="A2796" s="2" t="s">
        <v>11029</v>
      </c>
    </row>
    <row r="2798">
      <c r="A2798" s="2" t="s">
        <v>11030</v>
      </c>
    </row>
    <row r="2800">
      <c r="A2800" s="2" t="s">
        <v>11031</v>
      </c>
    </row>
    <row r="2801">
      <c r="A2801" s="2" t="s">
        <v>11032</v>
      </c>
    </row>
    <row r="2803">
      <c r="A2803" s="2" t="s">
        <v>11033</v>
      </c>
    </row>
    <row r="2804">
      <c r="A2804" s="2" t="s">
        <v>11034</v>
      </c>
    </row>
    <row r="2806">
      <c r="A2806" s="2" t="s">
        <v>11035</v>
      </c>
    </row>
    <row r="2807">
      <c r="A2807" s="2" t="s">
        <v>11036</v>
      </c>
    </row>
    <row r="2809">
      <c r="A2809" s="2" t="s">
        <v>11037</v>
      </c>
    </row>
    <row r="2811">
      <c r="A2811" s="2" t="s">
        <v>11038</v>
      </c>
    </row>
    <row r="2812">
      <c r="A2812" s="2" t="s">
        <v>11039</v>
      </c>
    </row>
    <row r="2814">
      <c r="A2814" s="2" t="s">
        <v>11040</v>
      </c>
    </row>
    <row r="2816">
      <c r="A2816" s="2" t="s">
        <v>11041</v>
      </c>
    </row>
  </sheetData>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6288</v>
      </c>
    </row>
    <row r="2">
      <c r="A2" s="2" t="s">
        <v>11042</v>
      </c>
    </row>
    <row r="3">
      <c r="A3" s="2" t="s">
        <v>11043</v>
      </c>
    </row>
    <row r="4">
      <c r="A4" s="2" t="s">
        <v>11044</v>
      </c>
    </row>
    <row r="5">
      <c r="A5" s="2" t="s">
        <v>11045</v>
      </c>
    </row>
    <row r="6">
      <c r="A6" s="2" t="s">
        <v>11046</v>
      </c>
    </row>
    <row r="7">
      <c r="A7" s="2" t="s">
        <v>11047</v>
      </c>
    </row>
    <row r="8">
      <c r="A8" s="2" t="s">
        <v>11048</v>
      </c>
    </row>
    <row r="9">
      <c r="A9" s="2" t="s">
        <v>11049</v>
      </c>
    </row>
    <row r="10">
      <c r="A10" s="2" t="s">
        <v>11050</v>
      </c>
    </row>
    <row r="11">
      <c r="A11" s="2" t="s">
        <v>11051</v>
      </c>
    </row>
    <row r="12">
      <c r="A12" s="2" t="s">
        <v>11052</v>
      </c>
    </row>
    <row r="13">
      <c r="A13" s="2" t="s">
        <v>11053</v>
      </c>
    </row>
    <row r="14">
      <c r="A14" s="2" t="s">
        <v>11054</v>
      </c>
    </row>
    <row r="15">
      <c r="A15" s="2" t="s">
        <v>11055</v>
      </c>
    </row>
    <row r="16">
      <c r="A16" s="2" t="s">
        <v>11056</v>
      </c>
    </row>
    <row r="17">
      <c r="A17" s="2" t="s">
        <v>11057</v>
      </c>
    </row>
    <row r="18">
      <c r="A18" s="2" t="s">
        <v>11058</v>
      </c>
    </row>
    <row r="19">
      <c r="A19" s="2" t="s">
        <v>11059</v>
      </c>
    </row>
    <row r="20">
      <c r="A20" s="2" t="s">
        <v>11060</v>
      </c>
    </row>
    <row r="21">
      <c r="A21" s="2" t="s">
        <v>11061</v>
      </c>
    </row>
    <row r="22">
      <c r="A22" s="2" t="s">
        <v>11062</v>
      </c>
    </row>
    <row r="23">
      <c r="A23" s="2" t="s">
        <v>11063</v>
      </c>
    </row>
    <row r="24">
      <c r="A24" s="2" t="s">
        <v>11064</v>
      </c>
    </row>
    <row r="25">
      <c r="A25" s="2" t="s">
        <v>11065</v>
      </c>
    </row>
    <row r="26">
      <c r="A26" s="2" t="s">
        <v>11066</v>
      </c>
    </row>
    <row r="27">
      <c r="A27" s="2" t="s">
        <v>11067</v>
      </c>
    </row>
    <row r="28">
      <c r="A28" s="2" t="s">
        <v>11068</v>
      </c>
    </row>
    <row r="29">
      <c r="A29" s="2" t="s">
        <v>11069</v>
      </c>
    </row>
    <row r="30">
      <c r="A30" s="2" t="s">
        <v>11070</v>
      </c>
    </row>
    <row r="31">
      <c r="A31" s="2" t="s">
        <v>11071</v>
      </c>
    </row>
    <row r="32">
      <c r="A32" s="2" t="s">
        <v>11072</v>
      </c>
    </row>
    <row r="33">
      <c r="A33" s="2" t="s">
        <v>11073</v>
      </c>
    </row>
    <row r="34">
      <c r="A34" s="2" t="s">
        <v>11074</v>
      </c>
    </row>
    <row r="35">
      <c r="A35" s="2" t="s">
        <v>11075</v>
      </c>
    </row>
    <row r="36">
      <c r="A36" s="2" t="s">
        <v>11076</v>
      </c>
    </row>
    <row r="37">
      <c r="A37" s="2" t="s">
        <v>11077</v>
      </c>
    </row>
    <row r="38">
      <c r="A38" s="2" t="s">
        <v>11078</v>
      </c>
    </row>
    <row r="39">
      <c r="A39" s="2" t="s">
        <v>11079</v>
      </c>
    </row>
    <row r="40">
      <c r="A40" s="2" t="s">
        <v>11080</v>
      </c>
    </row>
    <row r="41">
      <c r="A41" s="2" t="s">
        <v>11081</v>
      </c>
    </row>
    <row r="42">
      <c r="A42" s="2" t="s">
        <v>11082</v>
      </c>
    </row>
    <row r="43">
      <c r="A43" s="2" t="s">
        <v>11083</v>
      </c>
    </row>
    <row r="44">
      <c r="A44" s="2" t="s">
        <v>11084</v>
      </c>
    </row>
    <row r="45">
      <c r="A45" s="2" t="s">
        <v>11085</v>
      </c>
    </row>
    <row r="46">
      <c r="A46" s="2" t="s">
        <v>11086</v>
      </c>
    </row>
    <row r="47">
      <c r="A47" s="2" t="s">
        <v>11087</v>
      </c>
    </row>
    <row r="48">
      <c r="A48" s="2" t="s">
        <v>11088</v>
      </c>
    </row>
    <row r="49">
      <c r="A49" s="2" t="s">
        <v>11089</v>
      </c>
    </row>
    <row r="50">
      <c r="A50" s="2" t="s">
        <v>11090</v>
      </c>
    </row>
    <row r="51">
      <c r="A51" s="2" t="s">
        <v>11091</v>
      </c>
    </row>
    <row r="52">
      <c r="A52" s="2" t="s">
        <v>11092</v>
      </c>
    </row>
    <row r="53">
      <c r="A53" s="2" t="s">
        <v>11093</v>
      </c>
    </row>
    <row r="54">
      <c r="A54" s="2" t="s">
        <v>11094</v>
      </c>
    </row>
    <row r="55">
      <c r="A55" s="2" t="s">
        <v>11095</v>
      </c>
    </row>
    <row r="56">
      <c r="A56" s="2" t="s">
        <v>11096</v>
      </c>
    </row>
    <row r="57">
      <c r="A57" s="2" t="s">
        <v>11097</v>
      </c>
    </row>
    <row r="58">
      <c r="A58" s="2" t="s">
        <v>11098</v>
      </c>
    </row>
    <row r="59">
      <c r="A59" s="2" t="s">
        <v>11099</v>
      </c>
    </row>
    <row r="60">
      <c r="A60" s="2" t="s">
        <v>11100</v>
      </c>
    </row>
    <row r="61">
      <c r="A61" s="2" t="s">
        <v>11101</v>
      </c>
    </row>
    <row r="62">
      <c r="A62" s="2" t="s">
        <v>11102</v>
      </c>
    </row>
    <row r="63">
      <c r="A63" s="2" t="s">
        <v>11103</v>
      </c>
    </row>
    <row r="64">
      <c r="A64" s="2" t="s">
        <v>11104</v>
      </c>
    </row>
    <row r="65">
      <c r="A65" s="2" t="s">
        <v>11105</v>
      </c>
    </row>
    <row r="66">
      <c r="A66" s="2" t="s">
        <v>11106</v>
      </c>
    </row>
    <row r="67">
      <c r="A67" s="2" t="s">
        <v>11107</v>
      </c>
    </row>
    <row r="68">
      <c r="A68" s="2" t="s">
        <v>11108</v>
      </c>
    </row>
    <row r="69">
      <c r="A69" s="2" t="s">
        <v>11109</v>
      </c>
    </row>
    <row r="70">
      <c r="A70" s="2" t="s">
        <v>11110</v>
      </c>
    </row>
    <row r="71">
      <c r="A71" s="2" t="s">
        <v>11111</v>
      </c>
    </row>
    <row r="72">
      <c r="A72" s="2" t="s">
        <v>11112</v>
      </c>
    </row>
    <row r="73">
      <c r="A73" s="2" t="s">
        <v>11113</v>
      </c>
    </row>
    <row r="74">
      <c r="A74" s="2" t="s">
        <v>11114</v>
      </c>
    </row>
    <row r="75">
      <c r="A75" s="2" t="s">
        <v>11115</v>
      </c>
    </row>
    <row r="76">
      <c r="A76" s="2" t="s">
        <v>11116</v>
      </c>
    </row>
  </sheetData>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7447</v>
      </c>
    </row>
    <row r="2">
      <c r="A2" s="2" t="s">
        <v>11117</v>
      </c>
    </row>
    <row r="4">
      <c r="A4" s="2" t="s">
        <v>11118</v>
      </c>
    </row>
    <row r="6">
      <c r="A6" s="2" t="s">
        <v>11119</v>
      </c>
    </row>
    <row r="8">
      <c r="A8" s="2" t="s">
        <v>11120</v>
      </c>
    </row>
    <row r="9">
      <c r="A9" s="2" t="s">
        <v>11121</v>
      </c>
    </row>
    <row r="11">
      <c r="A11" s="2" t="s">
        <v>7462</v>
      </c>
    </row>
    <row r="13">
      <c r="A13" s="2" t="s">
        <v>11122</v>
      </c>
    </row>
    <row r="15">
      <c r="A15" s="2" t="s">
        <v>11123</v>
      </c>
    </row>
    <row r="17">
      <c r="A17" s="2" t="s">
        <v>11124</v>
      </c>
    </row>
    <row r="19">
      <c r="A19" s="2" t="s">
        <v>11125</v>
      </c>
    </row>
    <row r="20">
      <c r="A20" s="2" t="s">
        <v>11126</v>
      </c>
    </row>
    <row r="22">
      <c r="A22" s="2" t="s">
        <v>11127</v>
      </c>
    </row>
    <row r="24">
      <c r="A24" s="2" t="s">
        <v>11128</v>
      </c>
    </row>
    <row r="26">
      <c r="A26" s="2" t="s">
        <v>11129</v>
      </c>
    </row>
    <row r="27">
      <c r="A27" s="2" t="s">
        <v>11130</v>
      </c>
    </row>
    <row r="29">
      <c r="A29" s="2" t="s">
        <v>11131</v>
      </c>
    </row>
    <row r="31">
      <c r="A31" s="2" t="s">
        <v>11132</v>
      </c>
    </row>
    <row r="33">
      <c r="A33" s="2" t="s">
        <v>11133</v>
      </c>
    </row>
    <row r="34">
      <c r="A34" s="2" t="s">
        <v>11134</v>
      </c>
    </row>
    <row r="36">
      <c r="A36" s="2" t="s">
        <v>11135</v>
      </c>
    </row>
    <row r="38">
      <c r="A38" s="2" t="s">
        <v>11136</v>
      </c>
    </row>
    <row r="40">
      <c r="A40" s="2" t="s">
        <v>11137</v>
      </c>
    </row>
    <row r="42">
      <c r="A42" s="2" t="s">
        <v>11138</v>
      </c>
    </row>
    <row r="43">
      <c r="A43" s="2" t="s">
        <v>11139</v>
      </c>
    </row>
    <row r="45">
      <c r="A45" s="2" t="s">
        <v>11140</v>
      </c>
    </row>
    <row r="47">
      <c r="A47" s="2" t="s">
        <v>11141</v>
      </c>
    </row>
    <row r="48">
      <c r="A48" s="2" t="s">
        <v>11142</v>
      </c>
    </row>
    <row r="50">
      <c r="A50" s="2" t="s">
        <v>11143</v>
      </c>
    </row>
    <row r="52">
      <c r="A52" s="2" t="s">
        <v>11144</v>
      </c>
    </row>
    <row r="54">
      <c r="A54" s="2" t="s">
        <v>11145</v>
      </c>
    </row>
    <row r="55">
      <c r="A55" s="2" t="s">
        <v>11146</v>
      </c>
    </row>
    <row r="57">
      <c r="A57" s="2" t="s">
        <v>7462</v>
      </c>
    </row>
    <row r="59">
      <c r="A59" s="2" t="s">
        <v>11147</v>
      </c>
    </row>
    <row r="61">
      <c r="A61" s="2" t="s">
        <v>11148</v>
      </c>
    </row>
    <row r="63">
      <c r="A63" s="2" t="s">
        <v>11149</v>
      </c>
    </row>
    <row r="65">
      <c r="A65" s="2" t="s">
        <v>11150</v>
      </c>
    </row>
    <row r="67">
      <c r="A67" s="2" t="s">
        <v>11151</v>
      </c>
    </row>
    <row r="68">
      <c r="A68" s="2" t="s">
        <v>11152</v>
      </c>
    </row>
    <row r="70">
      <c r="A70" s="2" t="s">
        <v>11153</v>
      </c>
    </row>
    <row r="72">
      <c r="A72" s="2" t="s">
        <v>11154</v>
      </c>
    </row>
    <row r="74">
      <c r="A74" s="2" t="s">
        <v>11155</v>
      </c>
    </row>
    <row r="75">
      <c r="A75" s="2" t="s">
        <v>11156</v>
      </c>
    </row>
    <row r="77">
      <c r="A77" s="2" t="s">
        <v>11157</v>
      </c>
    </row>
    <row r="79">
      <c r="A79" s="2" t="s">
        <v>11158</v>
      </c>
    </row>
    <row r="80">
      <c r="A80" s="2" t="s">
        <v>11159</v>
      </c>
    </row>
    <row r="82">
      <c r="A82" s="2" t="s">
        <v>11160</v>
      </c>
    </row>
    <row r="84">
      <c r="A84" s="2" t="s">
        <v>11161</v>
      </c>
    </row>
    <row r="86">
      <c r="A86" s="2" t="s">
        <v>11162</v>
      </c>
    </row>
    <row r="87">
      <c r="A87" s="2" t="s">
        <v>11163</v>
      </c>
    </row>
    <row r="89">
      <c r="A89" s="2" t="s">
        <v>11164</v>
      </c>
    </row>
    <row r="91">
      <c r="A91" s="2" t="s">
        <v>11165</v>
      </c>
    </row>
    <row r="93">
      <c r="A93" s="2" t="s">
        <v>11166</v>
      </c>
    </row>
    <row r="94">
      <c r="A94" s="2" t="s">
        <v>11167</v>
      </c>
    </row>
    <row r="96">
      <c r="A96" s="2" t="s">
        <v>7462</v>
      </c>
    </row>
    <row r="98">
      <c r="A98" s="2" t="s">
        <v>11168</v>
      </c>
    </row>
    <row r="100">
      <c r="A100" s="2" t="s">
        <v>11169</v>
      </c>
    </row>
    <row r="102">
      <c r="A102" s="2" t="s">
        <v>11170</v>
      </c>
    </row>
    <row r="104">
      <c r="A104" s="2" t="s">
        <v>11171</v>
      </c>
    </row>
    <row r="105">
      <c r="A105" s="2" t="s">
        <v>11172</v>
      </c>
    </row>
    <row r="107">
      <c r="A107" s="2" t="s">
        <v>11173</v>
      </c>
    </row>
    <row r="109">
      <c r="A109" s="2" t="s">
        <v>11174</v>
      </c>
    </row>
    <row r="111">
      <c r="A111" s="2" t="s">
        <v>11175</v>
      </c>
    </row>
    <row r="112">
      <c r="A112" s="2" t="s">
        <v>11176</v>
      </c>
    </row>
    <row r="114">
      <c r="A114" s="2" t="s">
        <v>11177</v>
      </c>
    </row>
    <row r="116">
      <c r="A116" s="2" t="s">
        <v>11178</v>
      </c>
    </row>
    <row r="117">
      <c r="A117" s="2" t="s">
        <v>11179</v>
      </c>
    </row>
    <row r="119">
      <c r="A119" s="2" t="s">
        <v>11180</v>
      </c>
    </row>
    <row r="121">
      <c r="A121" s="2" t="s">
        <v>11181</v>
      </c>
    </row>
    <row r="123">
      <c r="A123" s="2" t="s">
        <v>11182</v>
      </c>
    </row>
    <row r="125">
      <c r="A125" s="2" t="s">
        <v>11183</v>
      </c>
    </row>
    <row r="126">
      <c r="A126" s="2" t="s">
        <v>11184</v>
      </c>
    </row>
    <row r="128">
      <c r="A128" s="2" t="s">
        <v>11185</v>
      </c>
    </row>
    <row r="130">
      <c r="A130" s="2" t="s">
        <v>11186</v>
      </c>
    </row>
    <row r="132">
      <c r="A132" s="2" t="s">
        <v>11187</v>
      </c>
    </row>
    <row r="133">
      <c r="A133" s="2" t="s">
        <v>11188</v>
      </c>
    </row>
    <row r="135">
      <c r="A135" s="2" t="s">
        <v>11189</v>
      </c>
    </row>
    <row r="137">
      <c r="A137" s="2" t="s">
        <v>11190</v>
      </c>
    </row>
    <row r="139">
      <c r="A139" s="2" t="s">
        <v>11191</v>
      </c>
    </row>
    <row r="141">
      <c r="A141" s="2" t="s">
        <v>11192</v>
      </c>
    </row>
    <row r="142">
      <c r="A142" s="2" t="s">
        <v>11193</v>
      </c>
    </row>
    <row r="144">
      <c r="A144" s="2" t="s">
        <v>11194</v>
      </c>
    </row>
    <row r="146">
      <c r="A146" s="2" t="s">
        <v>11195</v>
      </c>
    </row>
    <row r="147">
      <c r="A147" s="2" t="s">
        <v>11196</v>
      </c>
    </row>
    <row r="149">
      <c r="A149" s="2" t="s">
        <v>11197</v>
      </c>
    </row>
    <row r="151">
      <c r="A151" s="2" t="s">
        <v>11198</v>
      </c>
    </row>
    <row r="153">
      <c r="A153" s="2" t="s">
        <v>11199</v>
      </c>
    </row>
    <row r="154">
      <c r="A154" s="2" t="s">
        <v>11200</v>
      </c>
    </row>
    <row r="156">
      <c r="A156" s="2" t="s">
        <v>11201</v>
      </c>
    </row>
    <row r="158">
      <c r="A158" s="2" t="s">
        <v>11202</v>
      </c>
    </row>
    <row r="160">
      <c r="A160" s="2" t="s">
        <v>11203</v>
      </c>
    </row>
    <row r="161">
      <c r="A161" s="2" t="s">
        <v>11204</v>
      </c>
    </row>
    <row r="163">
      <c r="A163" s="2" t="s">
        <v>7462</v>
      </c>
    </row>
    <row r="165">
      <c r="A165" s="2" t="s">
        <v>11205</v>
      </c>
    </row>
    <row r="167">
      <c r="A167" s="2" t="s">
        <v>11206</v>
      </c>
    </row>
    <row r="169">
      <c r="A169" s="2" t="s">
        <v>11207</v>
      </c>
    </row>
    <row r="171">
      <c r="A171" s="2" t="s">
        <v>11208</v>
      </c>
    </row>
    <row r="172">
      <c r="A172" s="2" t="s">
        <v>11209</v>
      </c>
    </row>
    <row r="174">
      <c r="A174" s="2" t="s">
        <v>11210</v>
      </c>
    </row>
    <row r="176">
      <c r="A176" s="2" t="s">
        <v>11211</v>
      </c>
    </row>
    <row r="178">
      <c r="A178" s="2" t="s">
        <v>11212</v>
      </c>
    </row>
    <row r="179">
      <c r="A179" s="2" t="s">
        <v>11213</v>
      </c>
    </row>
    <row r="181">
      <c r="A181" s="2" t="s">
        <v>11214</v>
      </c>
    </row>
    <row r="183">
      <c r="A183" s="2" t="s">
        <v>11215</v>
      </c>
    </row>
    <row r="185">
      <c r="A185" s="2" t="s">
        <v>11216</v>
      </c>
    </row>
    <row r="186">
      <c r="A186" s="2" t="s">
        <v>11217</v>
      </c>
    </row>
    <row r="188">
      <c r="A188" s="2" t="s">
        <v>11218</v>
      </c>
    </row>
    <row r="190">
      <c r="A190" s="2" t="s">
        <v>11219</v>
      </c>
    </row>
    <row r="192">
      <c r="A192" s="2" t="s">
        <v>11220</v>
      </c>
    </row>
    <row r="193">
      <c r="A193" s="2" t="s">
        <v>11221</v>
      </c>
    </row>
    <row r="195">
      <c r="A195" s="2" t="s">
        <v>11222</v>
      </c>
    </row>
    <row r="197">
      <c r="A197" s="2" t="s">
        <v>11223</v>
      </c>
    </row>
    <row r="199">
      <c r="A199" s="2" t="s">
        <v>11224</v>
      </c>
    </row>
    <row r="200">
      <c r="A200" s="2" t="s">
        <v>11225</v>
      </c>
    </row>
    <row r="202">
      <c r="A202" s="2" t="s">
        <v>11226</v>
      </c>
    </row>
    <row r="204">
      <c r="A204" s="2" t="s">
        <v>11227</v>
      </c>
    </row>
    <row r="206">
      <c r="A206" s="2" t="s">
        <v>11228</v>
      </c>
    </row>
    <row r="207">
      <c r="A207" s="2" t="s">
        <v>11229</v>
      </c>
    </row>
    <row r="209">
      <c r="A209" s="2" t="s">
        <v>11230</v>
      </c>
    </row>
    <row r="211">
      <c r="A211" s="2" t="s">
        <v>11231</v>
      </c>
    </row>
    <row r="213">
      <c r="A213" s="2" t="s">
        <v>11232</v>
      </c>
    </row>
    <row r="214">
      <c r="A214" s="2" t="s">
        <v>11233</v>
      </c>
    </row>
    <row r="216">
      <c r="A216" s="2" t="s">
        <v>11234</v>
      </c>
    </row>
    <row r="218">
      <c r="A218" s="2" t="s">
        <v>11235</v>
      </c>
    </row>
    <row r="220">
      <c r="A220" s="2" t="s">
        <v>11236</v>
      </c>
    </row>
    <row r="221">
      <c r="A221" s="2" t="s">
        <v>11237</v>
      </c>
    </row>
    <row r="223">
      <c r="A223" s="2" t="s">
        <v>11238</v>
      </c>
    </row>
    <row r="225">
      <c r="A225" s="2" t="s">
        <v>11239</v>
      </c>
    </row>
    <row r="227">
      <c r="A227" s="2" t="s">
        <v>11240</v>
      </c>
    </row>
    <row r="228">
      <c r="A228" s="2" t="s">
        <v>11241</v>
      </c>
    </row>
    <row r="230">
      <c r="A230" s="2" t="s">
        <v>11242</v>
      </c>
    </row>
    <row r="232">
      <c r="A232" s="2" t="s">
        <v>11243</v>
      </c>
    </row>
    <row r="234">
      <c r="A234" s="2" t="s">
        <v>11244</v>
      </c>
    </row>
    <row r="235">
      <c r="A235" s="2" t="s">
        <v>11245</v>
      </c>
    </row>
    <row r="237">
      <c r="A237" s="2" t="s">
        <v>11246</v>
      </c>
    </row>
    <row r="239">
      <c r="A239" s="2" t="s">
        <v>11247</v>
      </c>
    </row>
    <row r="241">
      <c r="A241" s="2" t="s">
        <v>11248</v>
      </c>
    </row>
    <row r="243">
      <c r="A243" s="2" t="s">
        <v>11249</v>
      </c>
    </row>
    <row r="244">
      <c r="A244" s="2" t="s">
        <v>11250</v>
      </c>
    </row>
    <row r="246">
      <c r="A246" s="2" t="s">
        <v>11251</v>
      </c>
    </row>
    <row r="248">
      <c r="A248" s="2" t="s">
        <v>11252</v>
      </c>
    </row>
    <row r="250">
      <c r="A250" s="2" t="s">
        <v>11253</v>
      </c>
    </row>
    <row r="251">
      <c r="A251" s="2" t="s">
        <v>11254</v>
      </c>
    </row>
    <row r="253">
      <c r="A253" s="2" t="s">
        <v>11255</v>
      </c>
    </row>
    <row r="255">
      <c r="A255" s="2" t="s">
        <v>11256</v>
      </c>
    </row>
    <row r="257">
      <c r="A257" s="2" t="s">
        <v>11257</v>
      </c>
    </row>
    <row r="258">
      <c r="A258" s="2" t="s">
        <v>11258</v>
      </c>
    </row>
    <row r="260">
      <c r="A260" s="2" t="s">
        <v>11259</v>
      </c>
    </row>
    <row r="262">
      <c r="A262" s="2" t="s">
        <v>11260</v>
      </c>
    </row>
    <row r="264">
      <c r="A264" s="2" t="s">
        <v>11261</v>
      </c>
    </row>
    <row r="265">
      <c r="A265" s="2" t="s">
        <v>11262</v>
      </c>
    </row>
    <row r="267">
      <c r="A267" s="2" t="s">
        <v>11263</v>
      </c>
    </row>
    <row r="269">
      <c r="A269" s="2" t="s">
        <v>11264</v>
      </c>
    </row>
    <row r="271">
      <c r="A271" s="2" t="s">
        <v>11265</v>
      </c>
    </row>
    <row r="272">
      <c r="A272" s="2" t="s">
        <v>11266</v>
      </c>
    </row>
    <row r="274">
      <c r="A274" s="2" t="s">
        <v>7462</v>
      </c>
    </row>
    <row r="276">
      <c r="A276" s="2" t="s">
        <v>11267</v>
      </c>
    </row>
    <row r="278">
      <c r="A278" s="2" t="s">
        <v>11268</v>
      </c>
    </row>
    <row r="280">
      <c r="A280" s="2" t="s">
        <v>11269</v>
      </c>
    </row>
    <row r="282">
      <c r="A282" s="2" t="s">
        <v>11270</v>
      </c>
    </row>
    <row r="283">
      <c r="A283" s="2" t="s">
        <v>11271</v>
      </c>
    </row>
    <row r="285">
      <c r="A285" s="2" t="s">
        <v>11272</v>
      </c>
    </row>
    <row r="287">
      <c r="A287" s="2" t="s">
        <v>11273</v>
      </c>
    </row>
    <row r="289">
      <c r="A289" s="2" t="s">
        <v>11274</v>
      </c>
    </row>
    <row r="291">
      <c r="A291" s="2" t="s">
        <v>11275</v>
      </c>
    </row>
    <row r="292">
      <c r="A292" s="2" t="s">
        <v>11276</v>
      </c>
    </row>
    <row r="294">
      <c r="A294" s="2" t="s">
        <v>11277</v>
      </c>
    </row>
    <row r="296">
      <c r="A296" s="2" t="s">
        <v>11278</v>
      </c>
    </row>
    <row r="298">
      <c r="A298" s="2" t="s">
        <v>11279</v>
      </c>
    </row>
    <row r="299">
      <c r="A299" s="2" t="s">
        <v>11280</v>
      </c>
    </row>
    <row r="301">
      <c r="A301" s="2" t="s">
        <v>11281</v>
      </c>
    </row>
    <row r="303">
      <c r="A303" s="2" t="s">
        <v>11282</v>
      </c>
    </row>
    <row r="305">
      <c r="A305" s="2" t="s">
        <v>11283</v>
      </c>
    </row>
    <row r="306">
      <c r="A306" s="2" t="s">
        <v>11284</v>
      </c>
    </row>
    <row r="308">
      <c r="A308" s="2" t="s">
        <v>11285</v>
      </c>
    </row>
    <row r="310">
      <c r="A310" s="2" t="s">
        <v>11286</v>
      </c>
    </row>
    <row r="312">
      <c r="A312" s="2" t="s">
        <v>11287</v>
      </c>
    </row>
    <row r="313">
      <c r="A313" s="2" t="s">
        <v>11288</v>
      </c>
    </row>
    <row r="315">
      <c r="A315" s="2" t="s">
        <v>11289</v>
      </c>
    </row>
    <row r="317">
      <c r="A317" s="2" t="s">
        <v>11290</v>
      </c>
    </row>
    <row r="318">
      <c r="A318" s="2" t="s">
        <v>11291</v>
      </c>
    </row>
    <row r="320">
      <c r="A320" s="2" t="s">
        <v>11292</v>
      </c>
    </row>
    <row r="322">
      <c r="A322" s="2" t="s">
        <v>11293</v>
      </c>
    </row>
    <row r="323">
      <c r="A323" s="2" t="s">
        <v>11294</v>
      </c>
    </row>
    <row r="325">
      <c r="A325" s="2" t="s">
        <v>11295</v>
      </c>
    </row>
    <row r="327">
      <c r="A327" s="2" t="s">
        <v>11296</v>
      </c>
    </row>
    <row r="329">
      <c r="A329" s="2" t="s">
        <v>11297</v>
      </c>
    </row>
    <row r="330">
      <c r="A330" s="2" t="s">
        <v>11298</v>
      </c>
    </row>
    <row r="332">
      <c r="A332" s="2" t="s">
        <v>11299</v>
      </c>
    </row>
    <row r="334">
      <c r="A334" s="2" t="s">
        <v>11300</v>
      </c>
    </row>
    <row r="336">
      <c r="A336" s="2" t="s">
        <v>11301</v>
      </c>
    </row>
    <row r="337">
      <c r="A337" s="2" t="s">
        <v>11302</v>
      </c>
    </row>
    <row r="339">
      <c r="A339" s="2" t="s">
        <v>11303</v>
      </c>
    </row>
    <row r="341">
      <c r="A341" s="2" t="s">
        <v>11304</v>
      </c>
    </row>
    <row r="343">
      <c r="A343" s="2" t="s">
        <v>11305</v>
      </c>
    </row>
    <row r="345">
      <c r="A345" s="2" t="s">
        <v>11306</v>
      </c>
    </row>
    <row r="346">
      <c r="A346" s="2" t="s">
        <v>11307</v>
      </c>
    </row>
    <row r="348">
      <c r="A348" s="2" t="s">
        <v>11308</v>
      </c>
    </row>
    <row r="350">
      <c r="A350" s="2" t="s">
        <v>11309</v>
      </c>
    </row>
    <row r="351">
      <c r="A351" s="2" t="s">
        <v>11310</v>
      </c>
    </row>
    <row r="353">
      <c r="A353" s="2" t="s">
        <v>11311</v>
      </c>
    </row>
    <row r="355">
      <c r="A355" s="2" t="s">
        <v>11312</v>
      </c>
    </row>
    <row r="357">
      <c r="A357" s="2" t="s">
        <v>11313</v>
      </c>
    </row>
    <row r="359">
      <c r="A359" s="2" t="s">
        <v>11314</v>
      </c>
    </row>
    <row r="360">
      <c r="A360" s="2" t="s">
        <v>11315</v>
      </c>
    </row>
    <row r="362">
      <c r="A362" s="2" t="s">
        <v>11316</v>
      </c>
    </row>
    <row r="364">
      <c r="A364" s="2" t="s">
        <v>11317</v>
      </c>
    </row>
    <row r="366">
      <c r="A366" s="2" t="s">
        <v>11318</v>
      </c>
    </row>
    <row r="368">
      <c r="A368" s="2" t="s">
        <v>11319</v>
      </c>
    </row>
    <row r="369">
      <c r="A369" s="2" t="s">
        <v>11320</v>
      </c>
    </row>
    <row r="371">
      <c r="A371" s="2" t="s">
        <v>11321</v>
      </c>
    </row>
    <row r="373">
      <c r="A373" s="2" t="s">
        <v>11322</v>
      </c>
    </row>
    <row r="375">
      <c r="A375" s="2" t="s">
        <v>11323</v>
      </c>
    </row>
    <row r="376">
      <c r="A376" s="2" t="s">
        <v>11324</v>
      </c>
    </row>
    <row r="378">
      <c r="A378" s="2" t="s">
        <v>11325</v>
      </c>
    </row>
    <row r="380">
      <c r="A380" s="2" t="s">
        <v>11326</v>
      </c>
    </row>
    <row r="382">
      <c r="A382" s="2" t="s">
        <v>11327</v>
      </c>
    </row>
    <row r="384">
      <c r="A384" s="2" t="s">
        <v>11328</v>
      </c>
    </row>
    <row r="385">
      <c r="A385" s="2" t="s">
        <v>11329</v>
      </c>
    </row>
    <row r="387">
      <c r="A387" s="2" t="s">
        <v>11330</v>
      </c>
    </row>
    <row r="389">
      <c r="A389" s="2" t="s">
        <v>11331</v>
      </c>
    </row>
    <row r="391">
      <c r="A391" s="2" t="s">
        <v>11332</v>
      </c>
    </row>
    <row r="392">
      <c r="A392" s="2" t="s">
        <v>11333</v>
      </c>
    </row>
    <row r="394">
      <c r="A394" s="2" t="s">
        <v>11334</v>
      </c>
    </row>
    <row r="396">
      <c r="A396" s="2" t="s">
        <v>11335</v>
      </c>
    </row>
    <row r="398">
      <c r="A398" s="2" t="s">
        <v>11336</v>
      </c>
    </row>
    <row r="399">
      <c r="A399" s="2" t="s">
        <v>11337</v>
      </c>
    </row>
    <row r="401">
      <c r="A401" s="2" t="s">
        <v>11338</v>
      </c>
    </row>
    <row r="403">
      <c r="A403" s="2" t="s">
        <v>11339</v>
      </c>
    </row>
    <row r="405">
      <c r="A405" s="2" t="s">
        <v>11340</v>
      </c>
    </row>
    <row r="406">
      <c r="A406" s="2" t="s">
        <v>11341</v>
      </c>
    </row>
    <row r="408">
      <c r="A408" s="2" t="s">
        <v>11342</v>
      </c>
    </row>
    <row r="410">
      <c r="A410" s="2" t="s">
        <v>11343</v>
      </c>
    </row>
    <row r="412">
      <c r="A412" s="2" t="s">
        <v>11344</v>
      </c>
    </row>
    <row r="414">
      <c r="A414" s="2" t="s">
        <v>11345</v>
      </c>
    </row>
    <row r="415">
      <c r="A415" s="2" t="s">
        <v>11346</v>
      </c>
    </row>
    <row r="417">
      <c r="A417" s="2" t="s">
        <v>7462</v>
      </c>
    </row>
    <row r="419">
      <c r="A419" s="2" t="s">
        <v>11347</v>
      </c>
    </row>
    <row r="421">
      <c r="A421" s="2" t="s">
        <v>11348</v>
      </c>
    </row>
    <row r="423">
      <c r="A423" s="2" t="s">
        <v>11349</v>
      </c>
    </row>
    <row r="425">
      <c r="A425" s="2" t="s">
        <v>11350</v>
      </c>
    </row>
    <row r="426">
      <c r="A426" s="2" t="s">
        <v>11351</v>
      </c>
    </row>
    <row r="428">
      <c r="A428" s="2" t="s">
        <v>11352</v>
      </c>
    </row>
    <row r="430">
      <c r="A430" s="2" t="s">
        <v>11353</v>
      </c>
    </row>
    <row r="431">
      <c r="A431" s="2" t="s">
        <v>11354</v>
      </c>
    </row>
    <row r="433">
      <c r="A433" s="2" t="s">
        <v>11355</v>
      </c>
    </row>
    <row r="435">
      <c r="A435" s="2" t="s">
        <v>11356</v>
      </c>
    </row>
    <row r="436">
      <c r="A436" s="2" t="s">
        <v>11357</v>
      </c>
    </row>
    <row r="438">
      <c r="A438" s="2" t="s">
        <v>11358</v>
      </c>
    </row>
    <row r="440">
      <c r="A440" s="2" t="s">
        <v>11359</v>
      </c>
    </row>
    <row r="442">
      <c r="A442" s="2" t="s">
        <v>11360</v>
      </c>
    </row>
    <row r="443">
      <c r="A443" s="2" t="s">
        <v>11361</v>
      </c>
    </row>
    <row r="445">
      <c r="A445" s="2" t="s">
        <v>11362</v>
      </c>
    </row>
    <row r="447">
      <c r="A447" s="2" t="s">
        <v>11363</v>
      </c>
    </row>
    <row r="449">
      <c r="A449" s="2" t="s">
        <v>11364</v>
      </c>
    </row>
    <row r="450">
      <c r="A450" s="2" t="s">
        <v>11365</v>
      </c>
    </row>
    <row r="452">
      <c r="A452" s="2" t="s">
        <v>11366</v>
      </c>
    </row>
    <row r="454">
      <c r="A454" s="2" t="s">
        <v>11367</v>
      </c>
    </row>
    <row r="456">
      <c r="A456" s="2" t="s">
        <v>11368</v>
      </c>
    </row>
    <row r="457">
      <c r="A457" s="2" t="s">
        <v>11369</v>
      </c>
    </row>
    <row r="459">
      <c r="A459" s="2" t="s">
        <v>11370</v>
      </c>
    </row>
    <row r="461">
      <c r="A461" s="2" t="s">
        <v>11371</v>
      </c>
    </row>
    <row r="463">
      <c r="A463" s="2" t="s">
        <v>11372</v>
      </c>
    </row>
    <row r="464">
      <c r="A464" s="2" t="s">
        <v>11373</v>
      </c>
    </row>
    <row r="466">
      <c r="A466" s="2" t="s">
        <v>11374</v>
      </c>
    </row>
    <row r="468">
      <c r="A468" s="2" t="s">
        <v>11375</v>
      </c>
    </row>
    <row r="470">
      <c r="A470" s="2" t="s">
        <v>11376</v>
      </c>
    </row>
    <row r="471">
      <c r="A471" s="2" t="s">
        <v>11377</v>
      </c>
    </row>
    <row r="473">
      <c r="A473" s="2" t="s">
        <v>11378</v>
      </c>
    </row>
    <row r="475">
      <c r="A475" s="2" t="s">
        <v>11379</v>
      </c>
    </row>
    <row r="477">
      <c r="A477" s="2" t="s">
        <v>11380</v>
      </c>
    </row>
    <row r="478">
      <c r="A478" s="2" t="s">
        <v>11381</v>
      </c>
    </row>
    <row r="480">
      <c r="A480" s="2" t="s">
        <v>11382</v>
      </c>
    </row>
    <row r="482">
      <c r="A482" s="2" t="s">
        <v>11383</v>
      </c>
    </row>
    <row r="483">
      <c r="A483" s="2" t="s">
        <v>11384</v>
      </c>
    </row>
    <row r="485">
      <c r="A485" s="2" t="s">
        <v>11385</v>
      </c>
    </row>
    <row r="487">
      <c r="A487" s="2" t="s">
        <v>11386</v>
      </c>
    </row>
    <row r="489">
      <c r="A489" s="2" t="s">
        <v>11387</v>
      </c>
    </row>
    <row r="490">
      <c r="A490" s="2" t="s">
        <v>11388</v>
      </c>
    </row>
    <row r="492">
      <c r="A492" s="2" t="s">
        <v>11389</v>
      </c>
    </row>
    <row r="494">
      <c r="A494" s="2" t="s">
        <v>11390</v>
      </c>
    </row>
    <row r="495">
      <c r="A495" s="2" t="s">
        <v>11391</v>
      </c>
    </row>
    <row r="497">
      <c r="A497" s="2" t="s">
        <v>7462</v>
      </c>
    </row>
    <row r="499">
      <c r="A499" s="2" t="s">
        <v>11392</v>
      </c>
    </row>
    <row r="501">
      <c r="A501" s="2" t="s">
        <v>11393</v>
      </c>
    </row>
    <row r="503">
      <c r="A503" s="2" t="s">
        <v>11394</v>
      </c>
    </row>
    <row r="505">
      <c r="A505" s="2" t="s">
        <v>11395</v>
      </c>
    </row>
    <row r="506">
      <c r="A506" s="2" t="s">
        <v>11396</v>
      </c>
    </row>
    <row r="508">
      <c r="A508" s="2" t="s">
        <v>11397</v>
      </c>
    </row>
    <row r="510">
      <c r="A510" s="2" t="s">
        <v>11398</v>
      </c>
    </row>
    <row r="512">
      <c r="A512" s="2" t="s">
        <v>11399</v>
      </c>
    </row>
    <row r="513">
      <c r="A513" s="2" t="s">
        <v>11400</v>
      </c>
    </row>
    <row r="515">
      <c r="A515" s="2" t="s">
        <v>11401</v>
      </c>
    </row>
    <row r="517">
      <c r="A517" s="2" t="s">
        <v>11402</v>
      </c>
    </row>
    <row r="518">
      <c r="A518" s="2" t="s">
        <v>11403</v>
      </c>
    </row>
    <row r="520">
      <c r="A520" s="2" t="s">
        <v>11404</v>
      </c>
    </row>
    <row r="522">
      <c r="A522" s="2" t="s">
        <v>11405</v>
      </c>
    </row>
    <row r="524">
      <c r="A524" s="2" t="s">
        <v>11406</v>
      </c>
    </row>
    <row r="525">
      <c r="A525" s="2" t="s">
        <v>11407</v>
      </c>
    </row>
    <row r="527">
      <c r="A527" s="2" t="s">
        <v>11408</v>
      </c>
    </row>
    <row r="529">
      <c r="A529" s="2" t="s">
        <v>11409</v>
      </c>
    </row>
    <row r="531">
      <c r="A531" s="2" t="s">
        <v>11410</v>
      </c>
    </row>
    <row r="532">
      <c r="A532" s="2" t="s">
        <v>11411</v>
      </c>
    </row>
    <row r="534">
      <c r="A534" s="2" t="s">
        <v>11412</v>
      </c>
    </row>
    <row r="536">
      <c r="A536" s="2" t="s">
        <v>11413</v>
      </c>
    </row>
    <row r="538">
      <c r="A538" s="2" t="s">
        <v>11414</v>
      </c>
    </row>
    <row r="539">
      <c r="A539" s="2" t="s">
        <v>11415</v>
      </c>
    </row>
    <row r="541">
      <c r="A541" s="2" t="s">
        <v>11416</v>
      </c>
    </row>
    <row r="543">
      <c r="A543" s="2" t="s">
        <v>11417</v>
      </c>
    </row>
    <row r="545">
      <c r="A545" s="2" t="s">
        <v>11418</v>
      </c>
    </row>
    <row r="547">
      <c r="A547" s="2" t="s">
        <v>11419</v>
      </c>
    </row>
    <row r="549">
      <c r="A549" s="2" t="s">
        <v>11420</v>
      </c>
    </row>
    <row r="550">
      <c r="A550" s="2" t="s">
        <v>11421</v>
      </c>
    </row>
    <row r="552">
      <c r="A552" s="2" t="s">
        <v>11422</v>
      </c>
    </row>
    <row r="554">
      <c r="A554" s="2" t="s">
        <v>11423</v>
      </c>
    </row>
    <row r="555">
      <c r="A555" s="2" t="s">
        <v>11424</v>
      </c>
    </row>
    <row r="557">
      <c r="A557" s="2" t="s">
        <v>11425</v>
      </c>
    </row>
    <row r="559">
      <c r="A559" s="2" t="s">
        <v>11426</v>
      </c>
    </row>
    <row r="561">
      <c r="A561" s="2" t="s">
        <v>11427</v>
      </c>
    </row>
    <row r="562">
      <c r="A562" s="2" t="s">
        <v>11428</v>
      </c>
    </row>
    <row r="564">
      <c r="A564" s="2" t="s">
        <v>11429</v>
      </c>
    </row>
    <row r="566">
      <c r="A566" s="2" t="s">
        <v>11430</v>
      </c>
    </row>
    <row r="568">
      <c r="A568" s="2" t="s">
        <v>11431</v>
      </c>
    </row>
    <row r="569">
      <c r="A569" s="2" t="s">
        <v>11432</v>
      </c>
    </row>
    <row r="571">
      <c r="A571" s="2" t="s">
        <v>11433</v>
      </c>
    </row>
    <row r="573">
      <c r="A573" s="2" t="s">
        <v>11434</v>
      </c>
    </row>
    <row r="575">
      <c r="A575" s="2" t="s">
        <v>11435</v>
      </c>
    </row>
    <row r="576">
      <c r="A576" s="2" t="s">
        <v>11436</v>
      </c>
    </row>
    <row r="578">
      <c r="A578" s="2" t="s">
        <v>11437</v>
      </c>
    </row>
    <row r="580">
      <c r="A580" s="2" t="s">
        <v>11438</v>
      </c>
    </row>
    <row r="582">
      <c r="A582" s="2" t="s">
        <v>11439</v>
      </c>
    </row>
    <row r="583">
      <c r="A583" s="2" t="s">
        <v>11440</v>
      </c>
    </row>
    <row r="585">
      <c r="A585" s="2" t="s">
        <v>11441</v>
      </c>
    </row>
    <row r="587">
      <c r="A587" s="2" t="s">
        <v>11442</v>
      </c>
    </row>
    <row r="588">
      <c r="A588" s="2" t="s">
        <v>11443</v>
      </c>
    </row>
    <row r="590">
      <c r="A590" s="2" t="s">
        <v>11444</v>
      </c>
    </row>
    <row r="592">
      <c r="A592" s="2" t="s">
        <v>11445</v>
      </c>
    </row>
    <row r="594">
      <c r="A594" s="2" t="s">
        <v>11446</v>
      </c>
    </row>
    <row r="595">
      <c r="A595" s="2" t="s">
        <v>11447</v>
      </c>
    </row>
    <row r="597">
      <c r="A597" s="2" t="s">
        <v>11448</v>
      </c>
    </row>
    <row r="599">
      <c r="A599" s="2" t="s">
        <v>11449</v>
      </c>
    </row>
    <row r="601">
      <c r="A601" s="2" t="s">
        <v>11450</v>
      </c>
    </row>
    <row r="602">
      <c r="A602" s="2" t="s">
        <v>11451</v>
      </c>
    </row>
    <row r="604">
      <c r="A604" s="2" t="s">
        <v>11452</v>
      </c>
    </row>
    <row r="606">
      <c r="A606" s="2" t="s">
        <v>11453</v>
      </c>
    </row>
    <row r="608">
      <c r="A608" s="2" t="s">
        <v>11454</v>
      </c>
    </row>
    <row r="609">
      <c r="A609" s="2" t="s">
        <v>11455</v>
      </c>
    </row>
    <row r="611">
      <c r="A611" s="2" t="s">
        <v>11456</v>
      </c>
    </row>
    <row r="613">
      <c r="A613" s="2" t="s">
        <v>11457</v>
      </c>
    </row>
    <row r="615">
      <c r="A615" s="2" t="s">
        <v>11458</v>
      </c>
    </row>
    <row r="616">
      <c r="A616" s="2" t="s">
        <v>11459</v>
      </c>
    </row>
    <row r="618">
      <c r="A618" s="2" t="s">
        <v>11460</v>
      </c>
    </row>
    <row r="620">
      <c r="A620" s="2" t="s">
        <v>11461</v>
      </c>
    </row>
    <row r="621">
      <c r="A621" s="2" t="s">
        <v>11462</v>
      </c>
    </row>
    <row r="623">
      <c r="A623" s="2" t="s">
        <v>11463</v>
      </c>
    </row>
    <row r="625">
      <c r="A625" s="2" t="s">
        <v>11464</v>
      </c>
    </row>
    <row r="626">
      <c r="A626" s="2" t="s">
        <v>11465</v>
      </c>
    </row>
    <row r="628">
      <c r="A628" s="2" t="s">
        <v>11466</v>
      </c>
    </row>
    <row r="630">
      <c r="A630" s="2" t="s">
        <v>11467</v>
      </c>
    </row>
    <row r="632">
      <c r="A632" s="2" t="s">
        <v>11468</v>
      </c>
    </row>
    <row r="634">
      <c r="A634" s="2" t="s">
        <v>11469</v>
      </c>
    </row>
    <row r="635">
      <c r="A635" s="2" t="s">
        <v>11470</v>
      </c>
    </row>
    <row r="637">
      <c r="A637" s="2" t="s">
        <v>11471</v>
      </c>
    </row>
    <row r="639">
      <c r="A639" s="2" t="s">
        <v>11472</v>
      </c>
    </row>
    <row r="641">
      <c r="A641" s="2" t="s">
        <v>11473</v>
      </c>
    </row>
    <row r="642">
      <c r="A642" s="2" t="s">
        <v>11474</v>
      </c>
    </row>
    <row r="644">
      <c r="A644" s="2" t="s">
        <v>11475</v>
      </c>
    </row>
    <row r="646">
      <c r="A646" s="2" t="s">
        <v>11476</v>
      </c>
    </row>
    <row r="648">
      <c r="A648" s="2" t="s">
        <v>11477</v>
      </c>
    </row>
    <row r="649">
      <c r="A649" s="2" t="s">
        <v>11478</v>
      </c>
    </row>
    <row r="651">
      <c r="A651" s="2" t="s">
        <v>11479</v>
      </c>
    </row>
    <row r="653">
      <c r="A653" s="2" t="s">
        <v>11480</v>
      </c>
    </row>
    <row r="655">
      <c r="A655" s="2" t="s">
        <v>11481</v>
      </c>
    </row>
    <row r="656">
      <c r="A656" s="2" t="s">
        <v>11482</v>
      </c>
    </row>
    <row r="658">
      <c r="A658" s="2" t="s">
        <v>11483</v>
      </c>
    </row>
    <row r="660">
      <c r="A660" s="2" t="s">
        <v>11484</v>
      </c>
    </row>
    <row r="662">
      <c r="A662" s="2" t="s">
        <v>11485</v>
      </c>
    </row>
    <row r="663">
      <c r="A663" s="2" t="s">
        <v>11486</v>
      </c>
    </row>
    <row r="665">
      <c r="A665" s="2" t="s">
        <v>11487</v>
      </c>
    </row>
    <row r="667">
      <c r="A667" s="2" t="s">
        <v>11488</v>
      </c>
    </row>
    <row r="669">
      <c r="A669" s="2" t="s">
        <v>11489</v>
      </c>
    </row>
    <row r="670">
      <c r="A670" s="2" t="s">
        <v>11490</v>
      </c>
    </row>
    <row r="672">
      <c r="A672" s="2" t="s">
        <v>11491</v>
      </c>
    </row>
    <row r="674">
      <c r="A674" s="2" t="s">
        <v>11492</v>
      </c>
    </row>
    <row r="676">
      <c r="A676" s="2" t="s">
        <v>11493</v>
      </c>
    </row>
    <row r="677">
      <c r="A677" s="2" t="s">
        <v>11494</v>
      </c>
    </row>
    <row r="679">
      <c r="A679" s="2" t="s">
        <v>11495</v>
      </c>
    </row>
    <row r="681">
      <c r="A681" s="2" t="s">
        <v>11496</v>
      </c>
    </row>
    <row r="683">
      <c r="A683" s="2" t="s">
        <v>11497</v>
      </c>
    </row>
    <row r="684">
      <c r="A684" s="2" t="s">
        <v>11498</v>
      </c>
    </row>
    <row r="686">
      <c r="A686" s="2" t="s">
        <v>11499</v>
      </c>
    </row>
    <row r="688">
      <c r="A688" s="2" t="s">
        <v>11500</v>
      </c>
    </row>
    <row r="690">
      <c r="A690" s="2" t="s">
        <v>11501</v>
      </c>
    </row>
    <row r="691">
      <c r="A691" s="2" t="s">
        <v>11502</v>
      </c>
    </row>
    <row r="693">
      <c r="A693" s="2" t="s">
        <v>11503</v>
      </c>
    </row>
    <row r="695">
      <c r="A695" s="2" t="s">
        <v>11504</v>
      </c>
    </row>
    <row r="696">
      <c r="A696" s="2" t="s">
        <v>11505</v>
      </c>
    </row>
    <row r="698">
      <c r="A698" s="2" t="s">
        <v>11506</v>
      </c>
    </row>
    <row r="700">
      <c r="A700" s="2" t="s">
        <v>11507</v>
      </c>
    </row>
    <row r="702">
      <c r="A702" s="2" t="s">
        <v>11508</v>
      </c>
    </row>
    <row r="703">
      <c r="A703" s="2" t="s">
        <v>11509</v>
      </c>
    </row>
    <row r="705">
      <c r="A705" s="2" t="s">
        <v>11510</v>
      </c>
    </row>
    <row r="707">
      <c r="A707" s="2" t="s">
        <v>11511</v>
      </c>
    </row>
    <row r="708">
      <c r="A708" s="2" t="s">
        <v>11512</v>
      </c>
    </row>
    <row r="710">
      <c r="A710" s="2" t="s">
        <v>11513</v>
      </c>
    </row>
    <row r="712">
      <c r="A712" s="2" t="s">
        <v>11514</v>
      </c>
    </row>
    <row r="714">
      <c r="A714" s="2" t="s">
        <v>11515</v>
      </c>
    </row>
    <row r="715">
      <c r="A715" s="2" t="s">
        <v>11516</v>
      </c>
    </row>
    <row r="717">
      <c r="A717" s="2" t="s">
        <v>11517</v>
      </c>
    </row>
    <row r="719">
      <c r="A719" s="2" t="s">
        <v>11518</v>
      </c>
    </row>
    <row r="721">
      <c r="A721" s="2" t="s">
        <v>11519</v>
      </c>
    </row>
    <row r="722">
      <c r="A722" s="2" t="s">
        <v>11520</v>
      </c>
    </row>
    <row r="724">
      <c r="A724" s="2" t="s">
        <v>11521</v>
      </c>
    </row>
    <row r="726">
      <c r="A726" s="2" t="s">
        <v>11522</v>
      </c>
    </row>
    <row r="728">
      <c r="A728" s="2" t="s">
        <v>11523</v>
      </c>
    </row>
    <row r="729">
      <c r="A729" s="2" t="s">
        <v>11524</v>
      </c>
    </row>
    <row r="731">
      <c r="A731" s="2" t="s">
        <v>11525</v>
      </c>
    </row>
    <row r="733">
      <c r="A733" s="2" t="s">
        <v>11526</v>
      </c>
    </row>
    <row r="735">
      <c r="A735" s="2" t="s">
        <v>11527</v>
      </c>
    </row>
    <row r="736">
      <c r="A736" s="2" t="s">
        <v>11528</v>
      </c>
    </row>
    <row r="738">
      <c r="A738" s="2" t="s">
        <v>11529</v>
      </c>
    </row>
    <row r="740">
      <c r="A740" s="2" t="s">
        <v>11530</v>
      </c>
    </row>
    <row r="741">
      <c r="A741" s="2" t="s">
        <v>11531</v>
      </c>
    </row>
    <row r="743">
      <c r="A743" s="2" t="s">
        <v>11532</v>
      </c>
    </row>
    <row r="745">
      <c r="A745" s="2" t="s">
        <v>11533</v>
      </c>
    </row>
    <row r="747">
      <c r="A747" s="2" t="s">
        <v>11534</v>
      </c>
    </row>
    <row r="748">
      <c r="A748" s="2" t="s">
        <v>11535</v>
      </c>
    </row>
    <row r="750">
      <c r="A750" s="2" t="s">
        <v>11536</v>
      </c>
    </row>
    <row r="752">
      <c r="A752" s="2" t="s">
        <v>11537</v>
      </c>
    </row>
    <row r="754">
      <c r="A754" s="2" t="s">
        <v>11538</v>
      </c>
    </row>
    <row r="755">
      <c r="A755" s="2" t="s">
        <v>11539</v>
      </c>
    </row>
    <row r="757">
      <c r="A757" s="2" t="s">
        <v>11540</v>
      </c>
    </row>
    <row r="759">
      <c r="A759" s="2" t="s">
        <v>11541</v>
      </c>
    </row>
    <row r="761">
      <c r="A761" s="2" t="s">
        <v>11542</v>
      </c>
    </row>
    <row r="762">
      <c r="A762" s="2" t="s">
        <v>11543</v>
      </c>
    </row>
    <row r="764">
      <c r="A764" s="2" t="s">
        <v>11544</v>
      </c>
    </row>
    <row r="766">
      <c r="A766" s="2" t="s">
        <v>11545</v>
      </c>
    </row>
    <row r="768">
      <c r="A768" s="2" t="s">
        <v>11546</v>
      </c>
    </row>
    <row r="769">
      <c r="A769" s="2" t="s">
        <v>11547</v>
      </c>
    </row>
    <row r="771">
      <c r="A771" s="2" t="s">
        <v>11548</v>
      </c>
    </row>
    <row r="773">
      <c r="A773" s="2" t="s">
        <v>11549</v>
      </c>
    </row>
    <row r="775">
      <c r="A775" s="2" t="s">
        <v>11550</v>
      </c>
    </row>
    <row r="776">
      <c r="A776" s="2" t="s">
        <v>11551</v>
      </c>
    </row>
    <row r="778">
      <c r="A778" s="2" t="s">
        <v>11552</v>
      </c>
    </row>
    <row r="780">
      <c r="A780" s="2" t="s">
        <v>11553</v>
      </c>
    </row>
    <row r="782">
      <c r="A782" s="2" t="s">
        <v>11554</v>
      </c>
    </row>
    <row r="783">
      <c r="A783" s="2" t="s">
        <v>11555</v>
      </c>
    </row>
    <row r="785">
      <c r="A785" s="2" t="s">
        <v>11556</v>
      </c>
    </row>
    <row r="787">
      <c r="A787" s="2" t="s">
        <v>11557</v>
      </c>
    </row>
    <row r="789">
      <c r="A789" s="2" t="s">
        <v>11558</v>
      </c>
    </row>
    <row r="791">
      <c r="A791" s="2" t="s">
        <v>11559</v>
      </c>
    </row>
    <row r="792">
      <c r="A792" s="2" t="s">
        <v>11560</v>
      </c>
    </row>
    <row r="794">
      <c r="A794" s="2" t="s">
        <v>11561</v>
      </c>
    </row>
    <row r="796">
      <c r="A796" s="2" t="s">
        <v>11562</v>
      </c>
    </row>
    <row r="798">
      <c r="A798" s="2" t="s">
        <v>11563</v>
      </c>
    </row>
    <row r="799">
      <c r="A799" s="2" t="s">
        <v>11564</v>
      </c>
    </row>
    <row r="801">
      <c r="A801" s="2" t="s">
        <v>11565</v>
      </c>
    </row>
    <row r="803">
      <c r="A803" s="2" t="s">
        <v>11566</v>
      </c>
    </row>
    <row r="805">
      <c r="A805" s="2" t="s">
        <v>11567</v>
      </c>
    </row>
    <row r="806">
      <c r="A806" s="2" t="s">
        <v>11568</v>
      </c>
    </row>
    <row r="808">
      <c r="A808" s="2" t="s">
        <v>11569</v>
      </c>
    </row>
    <row r="810">
      <c r="A810" s="2" t="s">
        <v>11570</v>
      </c>
    </row>
    <row r="811">
      <c r="A811" s="2" t="s">
        <v>11571</v>
      </c>
    </row>
    <row r="813">
      <c r="A813" s="2" t="s">
        <v>11572</v>
      </c>
    </row>
    <row r="815">
      <c r="A815" s="2" t="s">
        <v>11573</v>
      </c>
    </row>
    <row r="816">
      <c r="A816" s="2" t="s">
        <v>11574</v>
      </c>
    </row>
    <row r="818">
      <c r="A818" s="2" t="s">
        <v>11575</v>
      </c>
    </row>
    <row r="820">
      <c r="A820" s="2" t="s">
        <v>11576</v>
      </c>
    </row>
    <row r="822">
      <c r="A822" s="2" t="s">
        <v>11577</v>
      </c>
    </row>
    <row r="823">
      <c r="A823" s="2" t="s">
        <v>11578</v>
      </c>
    </row>
    <row r="825">
      <c r="A825" s="2" t="s">
        <v>11579</v>
      </c>
    </row>
    <row r="827">
      <c r="A827" s="2" t="s">
        <v>11580</v>
      </c>
    </row>
    <row r="829">
      <c r="A829" s="2" t="s">
        <v>11581</v>
      </c>
    </row>
    <row r="830">
      <c r="A830" s="2" t="s">
        <v>11582</v>
      </c>
    </row>
    <row r="832">
      <c r="A832" s="2" t="s">
        <v>11583</v>
      </c>
    </row>
    <row r="834">
      <c r="A834" s="2" t="s">
        <v>11584</v>
      </c>
    </row>
    <row r="835">
      <c r="A835" s="2" t="s">
        <v>11585</v>
      </c>
    </row>
    <row r="837">
      <c r="A837" s="2" t="s">
        <v>11586</v>
      </c>
    </row>
    <row r="839">
      <c r="A839" s="2" t="s">
        <v>11587</v>
      </c>
    </row>
    <row r="841">
      <c r="A841" s="2" t="s">
        <v>11588</v>
      </c>
    </row>
    <row r="842">
      <c r="A842" s="2" t="s">
        <v>11589</v>
      </c>
    </row>
    <row r="844">
      <c r="A844" s="2" t="s">
        <v>11590</v>
      </c>
    </row>
    <row r="846">
      <c r="A846" s="2" t="s">
        <v>11591</v>
      </c>
    </row>
    <row r="848">
      <c r="A848" s="2" t="s">
        <v>11592</v>
      </c>
    </row>
    <row r="850">
      <c r="A850" s="2" t="s">
        <v>11593</v>
      </c>
    </row>
    <row r="851">
      <c r="A851" s="2" t="s">
        <v>11594</v>
      </c>
    </row>
    <row r="853">
      <c r="A853" s="2" t="s">
        <v>11595</v>
      </c>
    </row>
    <row r="855">
      <c r="A855" s="2" t="s">
        <v>11596</v>
      </c>
    </row>
    <row r="857">
      <c r="A857" s="2" t="s">
        <v>11597</v>
      </c>
    </row>
    <row r="858">
      <c r="A858" s="2" t="s">
        <v>11598</v>
      </c>
    </row>
    <row r="860">
      <c r="A860" s="2" t="s">
        <v>11599</v>
      </c>
    </row>
    <row r="862">
      <c r="A862" s="2" t="s">
        <v>11600</v>
      </c>
    </row>
    <row r="864">
      <c r="A864" s="2" t="s">
        <v>11601</v>
      </c>
    </row>
    <row r="865">
      <c r="A865" s="2" t="s">
        <v>11602</v>
      </c>
    </row>
    <row r="867">
      <c r="A867" s="2" t="s">
        <v>11603</v>
      </c>
    </row>
    <row r="869">
      <c r="A869" s="2" t="s">
        <v>11604</v>
      </c>
    </row>
    <row r="871">
      <c r="A871" s="2" t="s">
        <v>11605</v>
      </c>
    </row>
    <row r="872">
      <c r="A872" s="2" t="s">
        <v>11606</v>
      </c>
    </row>
    <row r="874">
      <c r="A874" s="2" t="s">
        <v>11607</v>
      </c>
    </row>
    <row r="876">
      <c r="A876" s="2" t="s">
        <v>11608</v>
      </c>
    </row>
    <row r="878">
      <c r="A878" s="2" t="s">
        <v>11609</v>
      </c>
    </row>
    <row r="879">
      <c r="A879" s="2" t="s">
        <v>11610</v>
      </c>
    </row>
    <row r="881">
      <c r="A881" s="2" t="s">
        <v>11611</v>
      </c>
    </row>
    <row r="883">
      <c r="A883" s="2" t="s">
        <v>11612</v>
      </c>
    </row>
    <row r="885">
      <c r="A885" s="2" t="s">
        <v>11613</v>
      </c>
    </row>
    <row r="886">
      <c r="A886" s="2" t="s">
        <v>11614</v>
      </c>
    </row>
    <row r="888">
      <c r="A888" s="2" t="s">
        <v>11615</v>
      </c>
    </row>
    <row r="890">
      <c r="A890" s="2" t="s">
        <v>11616</v>
      </c>
    </row>
    <row r="892">
      <c r="A892" s="2" t="s">
        <v>11617</v>
      </c>
    </row>
    <row r="893">
      <c r="A893" s="2" t="s">
        <v>11618</v>
      </c>
    </row>
    <row r="895">
      <c r="A895" s="2" t="s">
        <v>11619</v>
      </c>
    </row>
    <row r="897">
      <c r="A897" s="2" t="s">
        <v>11620</v>
      </c>
    </row>
    <row r="899">
      <c r="A899" s="2" t="s">
        <v>11621</v>
      </c>
    </row>
    <row r="900">
      <c r="A900" s="2" t="s">
        <v>11622</v>
      </c>
    </row>
    <row r="902">
      <c r="A902" s="2" t="s">
        <v>11623</v>
      </c>
    </row>
    <row r="904">
      <c r="A904" s="2" t="s">
        <v>11624</v>
      </c>
    </row>
    <row r="906">
      <c r="A906" s="2" t="s">
        <v>11625</v>
      </c>
    </row>
    <row r="907">
      <c r="A907" s="2" t="s">
        <v>11626</v>
      </c>
    </row>
    <row r="909">
      <c r="A909" s="2" t="s">
        <v>11627</v>
      </c>
    </row>
    <row r="911">
      <c r="A911" s="2" t="s">
        <v>11628</v>
      </c>
    </row>
    <row r="912">
      <c r="A912" s="2" t="s">
        <v>11629</v>
      </c>
    </row>
    <row r="914">
      <c r="A914" s="2" t="s">
        <v>11630</v>
      </c>
    </row>
    <row r="916">
      <c r="A916" s="2" t="s">
        <v>11631</v>
      </c>
    </row>
    <row r="917">
      <c r="A917" s="2" t="s">
        <v>11632</v>
      </c>
    </row>
    <row r="919">
      <c r="A919" s="2" t="s">
        <v>11633</v>
      </c>
    </row>
    <row r="921">
      <c r="A921" s="2" t="s">
        <v>11634</v>
      </c>
    </row>
    <row r="923">
      <c r="A923" s="2" t="s">
        <v>11635</v>
      </c>
    </row>
    <row r="925">
      <c r="A925" s="2" t="s">
        <v>8209</v>
      </c>
    </row>
    <row r="926">
      <c r="A926" s="2" t="s">
        <v>11636</v>
      </c>
    </row>
    <row r="928">
      <c r="A928" s="2" t="s">
        <v>11637</v>
      </c>
    </row>
    <row r="930">
      <c r="A930" s="2" t="s">
        <v>11638</v>
      </c>
    </row>
    <row r="932">
      <c r="A932" s="2" t="s">
        <v>11639</v>
      </c>
    </row>
    <row r="933">
      <c r="A933" s="2" t="s">
        <v>11640</v>
      </c>
    </row>
    <row r="935">
      <c r="A935" s="2" t="s">
        <v>11641</v>
      </c>
    </row>
    <row r="937">
      <c r="A937" s="2" t="s">
        <v>11642</v>
      </c>
    </row>
    <row r="939">
      <c r="A939" s="2" t="s">
        <v>11643</v>
      </c>
    </row>
    <row r="940">
      <c r="A940" s="2" t="s">
        <v>11644</v>
      </c>
    </row>
    <row r="942">
      <c r="A942" s="2" t="s">
        <v>11645</v>
      </c>
    </row>
    <row r="944">
      <c r="A944" s="2" t="s">
        <v>11646</v>
      </c>
    </row>
    <row r="946">
      <c r="A946" s="2" t="s">
        <v>11647</v>
      </c>
    </row>
    <row r="947">
      <c r="A947" s="2" t="s">
        <v>11648</v>
      </c>
    </row>
    <row r="949">
      <c r="A949" s="2" t="s">
        <v>11649</v>
      </c>
    </row>
    <row r="951">
      <c r="A951" s="2" t="s">
        <v>11650</v>
      </c>
    </row>
    <row r="953">
      <c r="A953" s="2" t="s">
        <v>11651</v>
      </c>
    </row>
    <row r="954">
      <c r="A954" s="2" t="s">
        <v>11652</v>
      </c>
    </row>
    <row r="956">
      <c r="A956" s="2" t="s">
        <v>11653</v>
      </c>
    </row>
    <row r="958">
      <c r="A958" s="2" t="s">
        <v>11654</v>
      </c>
    </row>
    <row r="960">
      <c r="A960" s="2" t="s">
        <v>11655</v>
      </c>
    </row>
    <row r="962">
      <c r="A962" s="2" t="s">
        <v>11656</v>
      </c>
    </row>
    <row r="963">
      <c r="A963" s="2" t="s">
        <v>11657</v>
      </c>
    </row>
    <row r="965">
      <c r="A965" s="2" t="s">
        <v>11658</v>
      </c>
    </row>
    <row r="967">
      <c r="A967" s="2" t="s">
        <v>11659</v>
      </c>
    </row>
    <row r="969">
      <c r="A969" s="2" t="s">
        <v>11660</v>
      </c>
    </row>
    <row r="970">
      <c r="A970" s="2" t="s">
        <v>11661</v>
      </c>
    </row>
    <row r="972">
      <c r="A972" s="2" t="s">
        <v>11662</v>
      </c>
    </row>
    <row r="974">
      <c r="A974" s="2" t="s">
        <v>11663</v>
      </c>
    </row>
    <row r="976">
      <c r="A976" s="2" t="s">
        <v>11664</v>
      </c>
    </row>
    <row r="977">
      <c r="A977" s="2" t="s">
        <v>11665</v>
      </c>
    </row>
    <row r="979">
      <c r="A979" s="2" t="s">
        <v>11666</v>
      </c>
    </row>
    <row r="981">
      <c r="A981" s="2" t="s">
        <v>11667</v>
      </c>
    </row>
    <row r="983">
      <c r="A983" s="2" t="s">
        <v>11668</v>
      </c>
    </row>
    <row r="984">
      <c r="A984" s="2" t="s">
        <v>11669</v>
      </c>
    </row>
    <row r="986">
      <c r="A986" s="2" t="s">
        <v>11670</v>
      </c>
    </row>
    <row r="988">
      <c r="A988" s="2" t="s">
        <v>11671</v>
      </c>
    </row>
    <row r="990">
      <c r="A990" s="2" t="s">
        <v>11672</v>
      </c>
    </row>
    <row r="991">
      <c r="A991" s="2" t="s">
        <v>11673</v>
      </c>
    </row>
    <row r="993">
      <c r="A993" s="2" t="s">
        <v>11674</v>
      </c>
    </row>
    <row r="995">
      <c r="A995" s="2" t="s">
        <v>11675</v>
      </c>
    </row>
    <row r="997">
      <c r="A997" s="2" t="s">
        <v>11676</v>
      </c>
    </row>
    <row r="998">
      <c r="A998" s="2" t="s">
        <v>11677</v>
      </c>
    </row>
    <row r="1000">
      <c r="A1000" s="2" t="s">
        <v>11678</v>
      </c>
    </row>
    <row r="1002">
      <c r="A1002" s="2" t="s">
        <v>11679</v>
      </c>
    </row>
    <row r="1003">
      <c r="A1003" s="2" t="s">
        <v>11680</v>
      </c>
    </row>
    <row r="1005">
      <c r="A1005" s="2" t="s">
        <v>11681</v>
      </c>
    </row>
    <row r="1007">
      <c r="A1007" s="2" t="s">
        <v>11682</v>
      </c>
    </row>
    <row r="1009">
      <c r="A1009" s="2" t="s">
        <v>11683</v>
      </c>
    </row>
    <row r="1010">
      <c r="A1010" s="2" t="s">
        <v>11684</v>
      </c>
    </row>
    <row r="1012">
      <c r="A1012" s="2" t="s">
        <v>11685</v>
      </c>
    </row>
    <row r="1014">
      <c r="A1014" s="2" t="s">
        <v>11686</v>
      </c>
    </row>
    <row r="1015">
      <c r="A1015" s="2" t="s">
        <v>9728</v>
      </c>
    </row>
    <row r="1017">
      <c r="A1017" s="2" t="s">
        <v>7462</v>
      </c>
    </row>
    <row r="1019">
      <c r="A1019" s="2" t="s">
        <v>11687</v>
      </c>
    </row>
    <row r="1021">
      <c r="A1021" s="2" t="s">
        <v>11688</v>
      </c>
    </row>
    <row r="1023">
      <c r="A1023" s="2" t="s">
        <v>11689</v>
      </c>
    </row>
    <row r="1025">
      <c r="A1025" s="2" t="s">
        <v>11690</v>
      </c>
    </row>
    <row r="1026">
      <c r="A1026" s="2" t="s">
        <v>11691</v>
      </c>
    </row>
    <row r="1028">
      <c r="A1028" s="2" t="s">
        <v>11692</v>
      </c>
    </row>
    <row r="1030">
      <c r="A1030" s="2" t="s">
        <v>11693</v>
      </c>
    </row>
    <row r="1032">
      <c r="A1032" s="2" t="s">
        <v>11694</v>
      </c>
    </row>
    <row r="1033">
      <c r="A1033" s="2" t="s">
        <v>11695</v>
      </c>
    </row>
    <row r="1035">
      <c r="A1035" s="2" t="s">
        <v>11696</v>
      </c>
    </row>
    <row r="1037">
      <c r="A1037" s="2" t="s">
        <v>11697</v>
      </c>
    </row>
    <row r="1039">
      <c r="A1039" s="2" t="s">
        <v>11698</v>
      </c>
    </row>
    <row r="1040">
      <c r="A1040" s="2" t="s">
        <v>11699</v>
      </c>
    </row>
    <row r="1042">
      <c r="A1042" s="2" t="s">
        <v>11700</v>
      </c>
    </row>
    <row r="1044">
      <c r="A1044" s="2" t="s">
        <v>11701</v>
      </c>
    </row>
    <row r="1045">
      <c r="A1045" s="2" t="s">
        <v>11702</v>
      </c>
    </row>
    <row r="1047">
      <c r="A1047" s="2" t="s">
        <v>7462</v>
      </c>
    </row>
    <row r="1049">
      <c r="A1049" s="2" t="s">
        <v>11703</v>
      </c>
    </row>
    <row r="1051">
      <c r="A1051" s="2" t="s">
        <v>11704</v>
      </c>
    </row>
    <row r="1053">
      <c r="A1053" s="2" t="s">
        <v>11705</v>
      </c>
    </row>
    <row r="1055">
      <c r="A1055" s="2" t="s">
        <v>11706</v>
      </c>
    </row>
    <row r="1057">
      <c r="A1057" s="2" t="s">
        <v>11707</v>
      </c>
    </row>
    <row r="1058">
      <c r="A1058" s="2" t="s">
        <v>11708</v>
      </c>
    </row>
    <row r="1060">
      <c r="A1060" s="2" t="s">
        <v>11709</v>
      </c>
    </row>
    <row r="1062">
      <c r="A1062" s="2" t="s">
        <v>11710</v>
      </c>
    </row>
    <row r="1064">
      <c r="A1064" s="2" t="s">
        <v>11711</v>
      </c>
    </row>
    <row r="1065">
      <c r="A1065" s="2" t="s">
        <v>11712</v>
      </c>
    </row>
    <row r="1067">
      <c r="A1067" s="2" t="s">
        <v>11713</v>
      </c>
    </row>
    <row r="1069">
      <c r="A1069" s="2" t="s">
        <v>11714</v>
      </c>
    </row>
    <row r="1071">
      <c r="A1071" s="2" t="s">
        <v>11715</v>
      </c>
    </row>
    <row r="1072">
      <c r="A1072" s="2" t="s">
        <v>11716</v>
      </c>
    </row>
    <row r="1074">
      <c r="A1074" s="2" t="s">
        <v>11717</v>
      </c>
    </row>
    <row r="1076">
      <c r="A1076" s="2" t="s">
        <v>11718</v>
      </c>
    </row>
    <row r="1078">
      <c r="A1078" s="2" t="s">
        <v>11719</v>
      </c>
    </row>
    <row r="1079">
      <c r="A1079" s="2" t="s">
        <v>11720</v>
      </c>
    </row>
    <row r="1081">
      <c r="A1081" s="2" t="s">
        <v>11721</v>
      </c>
    </row>
    <row r="1083">
      <c r="A1083" s="2" t="s">
        <v>11722</v>
      </c>
    </row>
    <row r="1085">
      <c r="A1085" s="2" t="s">
        <v>11723</v>
      </c>
    </row>
    <row r="1086">
      <c r="A1086" s="2" t="s">
        <v>11724</v>
      </c>
    </row>
    <row r="1088">
      <c r="A1088" s="2" t="s">
        <v>11725</v>
      </c>
    </row>
    <row r="1090">
      <c r="A1090" s="2" t="s">
        <v>11726</v>
      </c>
    </row>
    <row r="1092">
      <c r="A1092" s="2" t="s">
        <v>11727</v>
      </c>
    </row>
    <row r="1093">
      <c r="A1093" s="2" t="s">
        <v>11728</v>
      </c>
    </row>
    <row r="1095">
      <c r="A1095" s="2" t="s">
        <v>11729</v>
      </c>
    </row>
    <row r="1097">
      <c r="A1097" s="2" t="s">
        <v>11730</v>
      </c>
    </row>
    <row r="1099">
      <c r="A1099" s="2" t="s">
        <v>11731</v>
      </c>
    </row>
    <row r="1100">
      <c r="A1100" s="2" t="s">
        <v>11732</v>
      </c>
    </row>
    <row r="1102">
      <c r="A1102" s="2" t="s">
        <v>11733</v>
      </c>
    </row>
    <row r="1104">
      <c r="A1104" s="2" t="s">
        <v>11734</v>
      </c>
    </row>
    <row r="1106">
      <c r="A1106" s="2" t="s">
        <v>11735</v>
      </c>
    </row>
    <row r="1107">
      <c r="A1107" s="2" t="s">
        <v>11736</v>
      </c>
    </row>
    <row r="1109">
      <c r="A1109" s="2" t="s">
        <v>11737</v>
      </c>
    </row>
    <row r="1111">
      <c r="A1111" s="2" t="s">
        <v>11738</v>
      </c>
    </row>
    <row r="1113">
      <c r="A1113" s="2" t="s">
        <v>11739</v>
      </c>
    </row>
    <row r="1114">
      <c r="A1114" s="2" t="s">
        <v>11740</v>
      </c>
    </row>
    <row r="1116">
      <c r="A1116" s="2" t="s">
        <v>11741</v>
      </c>
    </row>
    <row r="1118">
      <c r="A1118" s="2" t="s">
        <v>11742</v>
      </c>
    </row>
    <row r="1120">
      <c r="A1120" s="2" t="s">
        <v>11743</v>
      </c>
    </row>
    <row r="1121">
      <c r="A1121" s="2" t="s">
        <v>11744</v>
      </c>
    </row>
    <row r="1123">
      <c r="A1123" s="2" t="s">
        <v>11745</v>
      </c>
    </row>
    <row r="1125">
      <c r="A1125" s="2" t="s">
        <v>11746</v>
      </c>
    </row>
    <row r="1127">
      <c r="A1127" s="2" t="s">
        <v>11747</v>
      </c>
    </row>
    <row r="1128">
      <c r="A1128" s="2" t="s">
        <v>11748</v>
      </c>
    </row>
    <row r="1130">
      <c r="A1130" s="2" t="s">
        <v>11749</v>
      </c>
    </row>
    <row r="1132">
      <c r="A1132" s="2" t="s">
        <v>11750</v>
      </c>
    </row>
    <row r="1134">
      <c r="A1134" s="2" t="s">
        <v>11751</v>
      </c>
    </row>
    <row r="1135">
      <c r="A1135" s="2" t="s">
        <v>11752</v>
      </c>
    </row>
    <row r="1137">
      <c r="A1137" s="2" t="s">
        <v>11753</v>
      </c>
    </row>
    <row r="1139">
      <c r="A1139" s="2" t="s">
        <v>11754</v>
      </c>
    </row>
    <row r="1141">
      <c r="A1141" s="2" t="s">
        <v>11755</v>
      </c>
    </row>
    <row r="1142">
      <c r="A1142" s="2" t="s">
        <v>11756</v>
      </c>
    </row>
    <row r="1144">
      <c r="A1144" s="2" t="s">
        <v>11757</v>
      </c>
    </row>
    <row r="1146">
      <c r="A1146" s="2" t="s">
        <v>11758</v>
      </c>
    </row>
    <row r="1148">
      <c r="A1148" s="2" t="s">
        <v>11759</v>
      </c>
    </row>
    <row r="1149">
      <c r="A1149" s="2" t="s">
        <v>11760</v>
      </c>
    </row>
    <row r="1151">
      <c r="A1151" s="2" t="s">
        <v>11761</v>
      </c>
    </row>
    <row r="1153">
      <c r="A1153" s="2" t="s">
        <v>11762</v>
      </c>
    </row>
    <row r="1155">
      <c r="A1155" s="2" t="s">
        <v>11763</v>
      </c>
    </row>
    <row r="1156">
      <c r="A1156" s="2" t="s">
        <v>11764</v>
      </c>
    </row>
    <row r="1158">
      <c r="A1158" s="2" t="s">
        <v>11765</v>
      </c>
    </row>
    <row r="1160">
      <c r="A1160" s="2" t="s">
        <v>11766</v>
      </c>
    </row>
    <row r="1162">
      <c r="A1162" s="2" t="s">
        <v>11767</v>
      </c>
    </row>
    <row r="1164">
      <c r="A1164" s="2" t="s">
        <v>11768</v>
      </c>
    </row>
    <row r="1165">
      <c r="A1165" s="2" t="s">
        <v>11769</v>
      </c>
    </row>
    <row r="1167">
      <c r="A1167" s="2" t="s">
        <v>11770</v>
      </c>
    </row>
    <row r="1169">
      <c r="A1169" s="2" t="s">
        <v>11771</v>
      </c>
    </row>
    <row r="1171">
      <c r="A1171" s="2" t="s">
        <v>11772</v>
      </c>
    </row>
    <row r="1172">
      <c r="A1172" s="2" t="s">
        <v>11773</v>
      </c>
    </row>
    <row r="1174">
      <c r="A1174" s="2" t="s">
        <v>11774</v>
      </c>
    </row>
    <row r="1176">
      <c r="A1176" s="2" t="s">
        <v>11775</v>
      </c>
    </row>
    <row r="1178">
      <c r="A1178" s="2" t="s">
        <v>11776</v>
      </c>
    </row>
    <row r="1180">
      <c r="A1180" s="2" t="s">
        <v>11777</v>
      </c>
    </row>
    <row r="1181">
      <c r="A1181" s="2" t="s">
        <v>11778</v>
      </c>
    </row>
    <row r="1183">
      <c r="A1183" s="2" t="s">
        <v>11779</v>
      </c>
    </row>
    <row r="1185">
      <c r="A1185" s="2" t="s">
        <v>11780</v>
      </c>
    </row>
    <row r="1186">
      <c r="A1186" s="2" t="s">
        <v>11781</v>
      </c>
    </row>
    <row r="1188">
      <c r="A1188" s="2" t="s">
        <v>11782</v>
      </c>
    </row>
    <row r="1190">
      <c r="A1190" s="2" t="s">
        <v>11783</v>
      </c>
    </row>
    <row r="1191">
      <c r="A1191" s="2" t="s">
        <v>11784</v>
      </c>
    </row>
    <row r="1193">
      <c r="A1193" s="2" t="s">
        <v>11785</v>
      </c>
    </row>
    <row r="1195">
      <c r="A1195" s="2" t="s">
        <v>11786</v>
      </c>
    </row>
    <row r="1197">
      <c r="A1197" s="2" t="s">
        <v>11787</v>
      </c>
    </row>
    <row r="1198">
      <c r="A1198" s="2" t="s">
        <v>11788</v>
      </c>
    </row>
    <row r="1200">
      <c r="A1200" s="2" t="s">
        <v>11789</v>
      </c>
    </row>
    <row r="1202">
      <c r="A1202" s="2" t="s">
        <v>11790</v>
      </c>
    </row>
    <row r="1204">
      <c r="A1204" s="2" t="s">
        <v>11791</v>
      </c>
    </row>
    <row r="1205">
      <c r="A1205" s="2" t="s">
        <v>11792</v>
      </c>
    </row>
    <row r="1207">
      <c r="A1207" s="2" t="s">
        <v>11793</v>
      </c>
    </row>
    <row r="1209">
      <c r="A1209" s="2" t="s">
        <v>11794</v>
      </c>
    </row>
    <row r="1210">
      <c r="A1210" s="2" t="s">
        <v>11795</v>
      </c>
    </row>
    <row r="1212">
      <c r="A1212" s="2" t="s">
        <v>11796</v>
      </c>
    </row>
    <row r="1214">
      <c r="A1214" s="2" t="s">
        <v>11797</v>
      </c>
    </row>
    <row r="1216">
      <c r="A1216" s="2" t="s">
        <v>11798</v>
      </c>
    </row>
    <row r="1217">
      <c r="A1217" s="2" t="s">
        <v>11799</v>
      </c>
    </row>
    <row r="1219">
      <c r="A1219" s="2" t="s">
        <v>11800</v>
      </c>
    </row>
    <row r="1221">
      <c r="A1221" s="2" t="s">
        <v>11801</v>
      </c>
    </row>
    <row r="1223">
      <c r="A1223" s="2" t="s">
        <v>11802</v>
      </c>
    </row>
    <row r="1224">
      <c r="A1224" s="2" t="s">
        <v>11803</v>
      </c>
    </row>
    <row r="1226">
      <c r="A1226" s="2" t="s">
        <v>11804</v>
      </c>
    </row>
    <row r="1228">
      <c r="A1228" s="2" t="s">
        <v>11805</v>
      </c>
    </row>
    <row r="1230">
      <c r="A1230" s="2" t="s">
        <v>11806</v>
      </c>
    </row>
    <row r="1231">
      <c r="A1231" s="2" t="s">
        <v>11807</v>
      </c>
    </row>
    <row r="1232">
      <c r="A1232" s="2" t="s">
        <v>11808</v>
      </c>
    </row>
    <row r="1234">
      <c r="A1234" s="2" t="s">
        <v>11809</v>
      </c>
    </row>
    <row r="1236">
      <c r="A1236" s="2" t="s">
        <v>11810</v>
      </c>
    </row>
    <row r="1238">
      <c r="A1238" s="2" t="s">
        <v>11811</v>
      </c>
    </row>
    <row r="1239">
      <c r="A1239" s="2" t="s">
        <v>11812</v>
      </c>
    </row>
    <row r="1241">
      <c r="A1241" s="2" t="s">
        <v>11813</v>
      </c>
    </row>
    <row r="1243">
      <c r="A1243" s="2" t="s">
        <v>11814</v>
      </c>
    </row>
    <row r="1245">
      <c r="A1245" s="2" t="s">
        <v>11815</v>
      </c>
    </row>
    <row r="1246">
      <c r="A1246" s="2" t="s">
        <v>11816</v>
      </c>
    </row>
    <row r="1248">
      <c r="A1248" s="2" t="s">
        <v>11817</v>
      </c>
    </row>
    <row r="1250">
      <c r="A1250" s="2" t="s">
        <v>11818</v>
      </c>
    </row>
    <row r="1252">
      <c r="A1252" s="2" t="s">
        <v>11819</v>
      </c>
    </row>
    <row r="1253">
      <c r="A1253" s="2" t="s">
        <v>11820</v>
      </c>
    </row>
    <row r="1255">
      <c r="A1255" s="2" t="s">
        <v>11821</v>
      </c>
    </row>
    <row r="1257">
      <c r="A1257" s="2" t="s">
        <v>11822</v>
      </c>
    </row>
    <row r="1259">
      <c r="A1259" s="2" t="s">
        <v>11823</v>
      </c>
    </row>
    <row r="1260">
      <c r="A1260" s="2" t="s">
        <v>11824</v>
      </c>
    </row>
    <row r="1262">
      <c r="A1262" s="2" t="s">
        <v>11825</v>
      </c>
    </row>
    <row r="1264">
      <c r="A1264" s="2" t="s">
        <v>11826</v>
      </c>
    </row>
    <row r="1266">
      <c r="A1266" s="2" t="s">
        <v>11827</v>
      </c>
    </row>
    <row r="1267">
      <c r="A1267" s="2" t="s">
        <v>11828</v>
      </c>
    </row>
    <row r="1269">
      <c r="A1269" s="2" t="s">
        <v>11829</v>
      </c>
    </row>
    <row r="1271">
      <c r="A1271" s="2" t="s">
        <v>11830</v>
      </c>
    </row>
    <row r="1273">
      <c r="A1273" s="2" t="s">
        <v>11831</v>
      </c>
    </row>
    <row r="1274">
      <c r="A1274" s="2" t="s">
        <v>11832</v>
      </c>
    </row>
    <row r="1276">
      <c r="A1276" s="2" t="s">
        <v>11833</v>
      </c>
    </row>
    <row r="1278">
      <c r="A1278" s="2" t="s">
        <v>11834</v>
      </c>
    </row>
    <row r="1280">
      <c r="A1280" s="2" t="s">
        <v>11835</v>
      </c>
    </row>
    <row r="1281">
      <c r="A1281" s="2" t="s">
        <v>11836</v>
      </c>
    </row>
    <row r="1283">
      <c r="A1283" s="2" t="s">
        <v>11837</v>
      </c>
    </row>
    <row r="1285">
      <c r="A1285" s="2" t="s">
        <v>11838</v>
      </c>
    </row>
    <row r="1287">
      <c r="A1287" s="2" t="s">
        <v>11839</v>
      </c>
    </row>
    <row r="1288">
      <c r="A1288" s="2" t="s">
        <v>11840</v>
      </c>
    </row>
    <row r="1290">
      <c r="A1290" s="2" t="s">
        <v>11841</v>
      </c>
    </row>
    <row r="1292">
      <c r="A1292" s="2" t="s">
        <v>11842</v>
      </c>
    </row>
    <row r="1294">
      <c r="A1294" s="2" t="s">
        <v>11843</v>
      </c>
    </row>
    <row r="1296">
      <c r="A1296" s="2" t="s">
        <v>11844</v>
      </c>
    </row>
    <row r="1297">
      <c r="A1297" s="2" t="s">
        <v>11845</v>
      </c>
    </row>
    <row r="1299">
      <c r="A1299" s="2" t="s">
        <v>11846</v>
      </c>
    </row>
    <row r="1301">
      <c r="A1301" s="2" t="s">
        <v>11847</v>
      </c>
    </row>
    <row r="1302">
      <c r="A1302" s="2" t="s">
        <v>11848</v>
      </c>
    </row>
    <row r="1304">
      <c r="A1304" s="2" t="s">
        <v>11849</v>
      </c>
    </row>
    <row r="1306">
      <c r="A1306" s="2" t="s">
        <v>11850</v>
      </c>
    </row>
    <row r="1308">
      <c r="A1308" s="2" t="s">
        <v>11851</v>
      </c>
    </row>
    <row r="1309">
      <c r="A1309" s="2" t="s">
        <v>11852</v>
      </c>
    </row>
    <row r="1311">
      <c r="A1311" s="2" t="s">
        <v>11853</v>
      </c>
    </row>
    <row r="1313">
      <c r="A1313" s="2" t="s">
        <v>11854</v>
      </c>
    </row>
    <row r="1314">
      <c r="A1314" s="2" t="s">
        <v>11855</v>
      </c>
    </row>
    <row r="1316">
      <c r="A1316" s="2" t="s">
        <v>11856</v>
      </c>
    </row>
    <row r="1318">
      <c r="A1318" s="2" t="s">
        <v>11857</v>
      </c>
    </row>
    <row r="1320">
      <c r="A1320" s="2" t="s">
        <v>11858</v>
      </c>
    </row>
    <row r="1321">
      <c r="A1321" s="2" t="s">
        <v>11859</v>
      </c>
    </row>
    <row r="1323">
      <c r="A1323" s="2" t="s">
        <v>11860</v>
      </c>
    </row>
    <row r="1325">
      <c r="A1325" s="2" t="s">
        <v>11861</v>
      </c>
    </row>
    <row r="1327">
      <c r="A1327" s="2" t="s">
        <v>11862</v>
      </c>
    </row>
    <row r="1328">
      <c r="A1328" s="2" t="s">
        <v>11863</v>
      </c>
    </row>
    <row r="1330">
      <c r="A1330" s="2" t="s">
        <v>11864</v>
      </c>
    </row>
    <row r="1332">
      <c r="A1332" s="2" t="s">
        <v>11865</v>
      </c>
    </row>
    <row r="1334">
      <c r="A1334" s="2" t="s">
        <v>11866</v>
      </c>
    </row>
    <row r="1335">
      <c r="A1335" s="2" t="s">
        <v>11867</v>
      </c>
    </row>
    <row r="1337">
      <c r="A1337" s="2" t="s">
        <v>11868</v>
      </c>
    </row>
    <row r="1339">
      <c r="A1339" s="2" t="s">
        <v>11869</v>
      </c>
    </row>
    <row r="1341">
      <c r="A1341" s="2" t="s">
        <v>11870</v>
      </c>
    </row>
    <row r="1342">
      <c r="A1342" s="2" t="s">
        <v>11871</v>
      </c>
    </row>
    <row r="1344">
      <c r="A1344" s="2" t="s">
        <v>11872</v>
      </c>
    </row>
    <row r="1346">
      <c r="A1346" s="2" t="s">
        <v>11873</v>
      </c>
    </row>
    <row r="1348">
      <c r="A1348" s="2" t="s">
        <v>11874</v>
      </c>
    </row>
    <row r="1350">
      <c r="A1350" s="2" t="s">
        <v>11875</v>
      </c>
    </row>
    <row r="1351">
      <c r="A1351" s="2" t="s">
        <v>11876</v>
      </c>
    </row>
    <row r="1353">
      <c r="A1353" s="2" t="s">
        <v>11877</v>
      </c>
    </row>
    <row r="1355">
      <c r="A1355" s="2" t="s">
        <v>11878</v>
      </c>
    </row>
    <row r="1357">
      <c r="A1357" s="2" t="s">
        <v>11879</v>
      </c>
    </row>
    <row r="1358">
      <c r="A1358" s="2" t="s">
        <v>11880</v>
      </c>
    </row>
    <row r="1360">
      <c r="A1360" s="2" t="s">
        <v>11881</v>
      </c>
    </row>
    <row r="1362">
      <c r="A1362" s="2" t="s">
        <v>11882</v>
      </c>
    </row>
    <row r="1364">
      <c r="A1364" s="2" t="s">
        <v>11883</v>
      </c>
    </row>
    <row r="1365">
      <c r="A1365" s="2" t="s">
        <v>11884</v>
      </c>
    </row>
    <row r="1367">
      <c r="A1367" s="2" t="s">
        <v>11885</v>
      </c>
    </row>
    <row r="1369">
      <c r="A1369" s="2" t="s">
        <v>11886</v>
      </c>
    </row>
    <row r="1370">
      <c r="A1370" s="2" t="s">
        <v>11887</v>
      </c>
    </row>
    <row r="1372">
      <c r="A1372" s="2" t="s">
        <v>11888</v>
      </c>
    </row>
    <row r="1374">
      <c r="A1374" s="2" t="s">
        <v>11889</v>
      </c>
    </row>
    <row r="1375">
      <c r="A1375" s="2" t="s">
        <v>11890</v>
      </c>
    </row>
    <row r="1376">
      <c r="A1376" s="2" t="s">
        <v>7462</v>
      </c>
    </row>
    <row r="1378">
      <c r="A1378" s="2" t="s">
        <v>11891</v>
      </c>
    </row>
    <row r="1380">
      <c r="A1380" s="2" t="s">
        <v>11892</v>
      </c>
    </row>
    <row r="1382">
      <c r="A1382" s="2" t="s">
        <v>11893</v>
      </c>
    </row>
    <row r="1384">
      <c r="A1384" s="2" t="s">
        <v>11894</v>
      </c>
    </row>
    <row r="1386">
      <c r="A1386" s="2" t="s">
        <v>11895</v>
      </c>
    </row>
    <row r="1388">
      <c r="A1388" s="2" t="s">
        <v>11896</v>
      </c>
    </row>
    <row r="1389">
      <c r="A1389" s="2" t="s">
        <v>11897</v>
      </c>
    </row>
    <row r="1391">
      <c r="A1391" s="2" t="s">
        <v>11898</v>
      </c>
    </row>
    <row r="1393">
      <c r="A1393" s="2" t="s">
        <v>11899</v>
      </c>
    </row>
    <row r="1395">
      <c r="A1395" s="2" t="s">
        <v>11900</v>
      </c>
    </row>
    <row r="1396">
      <c r="A1396" s="2" t="s">
        <v>11901</v>
      </c>
    </row>
    <row r="1398">
      <c r="A1398" s="2" t="s">
        <v>11902</v>
      </c>
    </row>
    <row r="1400">
      <c r="A1400" s="2" t="s">
        <v>11903</v>
      </c>
    </row>
    <row r="1402">
      <c r="A1402" s="2" t="s">
        <v>11904</v>
      </c>
    </row>
    <row r="1404">
      <c r="A1404" s="2" t="s">
        <v>11905</v>
      </c>
    </row>
    <row r="1405">
      <c r="A1405" s="2" t="s">
        <v>11906</v>
      </c>
    </row>
    <row r="1407">
      <c r="A1407" s="2" t="s">
        <v>11907</v>
      </c>
    </row>
    <row r="1409">
      <c r="A1409" s="2" t="s">
        <v>11908</v>
      </c>
    </row>
    <row r="1411">
      <c r="A1411" s="2" t="s">
        <v>11909</v>
      </c>
    </row>
    <row r="1412">
      <c r="A1412" s="2" t="s">
        <v>11910</v>
      </c>
    </row>
    <row r="1414">
      <c r="A1414" s="2" t="s">
        <v>11911</v>
      </c>
    </row>
    <row r="1416">
      <c r="A1416" s="2" t="s">
        <v>11912</v>
      </c>
    </row>
    <row r="1418">
      <c r="A1418" s="2" t="s">
        <v>11913</v>
      </c>
    </row>
    <row r="1420">
      <c r="A1420" s="2" t="s">
        <v>11914</v>
      </c>
    </row>
    <row r="1421">
      <c r="A1421" s="2" t="s">
        <v>11915</v>
      </c>
    </row>
    <row r="1423">
      <c r="A1423" s="2" t="s">
        <v>11916</v>
      </c>
    </row>
    <row r="1425">
      <c r="A1425" s="2" t="s">
        <v>11917</v>
      </c>
    </row>
    <row r="1427">
      <c r="A1427" s="2" t="s">
        <v>11918</v>
      </c>
    </row>
    <row r="1428">
      <c r="A1428" s="2" t="s">
        <v>11919</v>
      </c>
    </row>
    <row r="1430">
      <c r="A1430" s="2" t="s">
        <v>11920</v>
      </c>
    </row>
    <row r="1432">
      <c r="A1432" s="2" t="s">
        <v>11921</v>
      </c>
    </row>
    <row r="1434">
      <c r="A1434" s="2" t="s">
        <v>11922</v>
      </c>
    </row>
    <row r="1435">
      <c r="A1435" s="2" t="s">
        <v>11923</v>
      </c>
    </row>
    <row r="1437">
      <c r="A1437" s="2" t="s">
        <v>11924</v>
      </c>
    </row>
    <row r="1439">
      <c r="A1439" s="2" t="s">
        <v>11925</v>
      </c>
    </row>
    <row r="1441">
      <c r="A1441" s="2" t="s">
        <v>11926</v>
      </c>
    </row>
    <row r="1442">
      <c r="A1442" s="2" t="s">
        <v>11927</v>
      </c>
    </row>
    <row r="1444">
      <c r="A1444" s="2" t="s">
        <v>11928</v>
      </c>
    </row>
    <row r="1446">
      <c r="A1446" s="2" t="s">
        <v>11929</v>
      </c>
    </row>
    <row r="1448">
      <c r="A1448" s="2" t="s">
        <v>11930</v>
      </c>
    </row>
    <row r="1449">
      <c r="A1449" s="2" t="s">
        <v>11931</v>
      </c>
    </row>
    <row r="1451">
      <c r="A1451" s="2" t="s">
        <v>11932</v>
      </c>
    </row>
    <row r="1453">
      <c r="A1453" s="2" t="s">
        <v>11933</v>
      </c>
    </row>
    <row r="1454">
      <c r="A1454" s="2" t="s">
        <v>11934</v>
      </c>
    </row>
    <row r="1456">
      <c r="A1456" s="2" t="s">
        <v>11935</v>
      </c>
    </row>
    <row r="1458">
      <c r="A1458" s="2" t="s">
        <v>11936</v>
      </c>
    </row>
    <row r="1460">
      <c r="A1460" s="2" t="s">
        <v>11937</v>
      </c>
    </row>
    <row r="1462">
      <c r="A1462" s="2" t="s">
        <v>11938</v>
      </c>
    </row>
    <row r="1463">
      <c r="A1463" s="2" t="s">
        <v>11939</v>
      </c>
    </row>
    <row r="1465">
      <c r="A1465" s="2" t="s">
        <v>11940</v>
      </c>
    </row>
    <row r="1467">
      <c r="A1467" s="2" t="s">
        <v>11941</v>
      </c>
    </row>
    <row r="1468">
      <c r="A1468" s="2" t="s">
        <v>11942</v>
      </c>
    </row>
    <row r="1470">
      <c r="A1470" s="2" t="s">
        <v>11943</v>
      </c>
    </row>
    <row r="1472">
      <c r="A1472" s="2" t="s">
        <v>11944</v>
      </c>
    </row>
    <row r="1474">
      <c r="A1474" s="2" t="s">
        <v>11945</v>
      </c>
    </row>
    <row r="1475">
      <c r="A1475" s="2" t="s">
        <v>11946</v>
      </c>
    </row>
    <row r="1477">
      <c r="A1477" s="2" t="s">
        <v>11947</v>
      </c>
    </row>
    <row r="1479">
      <c r="A1479" s="2" t="s">
        <v>11948</v>
      </c>
    </row>
    <row r="1481">
      <c r="A1481" s="2" t="s">
        <v>11949</v>
      </c>
    </row>
    <row r="1482">
      <c r="A1482" s="2" t="s">
        <v>11950</v>
      </c>
    </row>
    <row r="1484">
      <c r="A1484" s="2" t="s">
        <v>11951</v>
      </c>
    </row>
    <row r="1486">
      <c r="A1486" s="2" t="s">
        <v>11952</v>
      </c>
    </row>
    <row r="1487">
      <c r="A1487" s="2" t="s">
        <v>11953</v>
      </c>
    </row>
    <row r="1489">
      <c r="A1489" s="2" t="s">
        <v>11954</v>
      </c>
    </row>
    <row r="1491">
      <c r="A1491" s="2" t="s">
        <v>11955</v>
      </c>
    </row>
    <row r="1493">
      <c r="A1493" s="2" t="s">
        <v>11956</v>
      </c>
    </row>
    <row r="1494">
      <c r="A1494" s="2" t="s">
        <v>11957</v>
      </c>
    </row>
    <row r="1496">
      <c r="A1496" s="2" t="s">
        <v>11958</v>
      </c>
    </row>
    <row r="1498">
      <c r="A1498" s="2" t="s">
        <v>11959</v>
      </c>
    </row>
    <row r="1500">
      <c r="A1500" s="2" t="s">
        <v>11960</v>
      </c>
    </row>
    <row r="1501">
      <c r="A1501" s="2" t="s">
        <v>11961</v>
      </c>
    </row>
    <row r="1503">
      <c r="A1503" s="2" t="s">
        <v>11962</v>
      </c>
    </row>
    <row r="1505">
      <c r="A1505" s="2" t="s">
        <v>11963</v>
      </c>
    </row>
    <row r="1506">
      <c r="A1506" s="2" t="s">
        <v>11964</v>
      </c>
    </row>
    <row r="1508">
      <c r="A1508" s="2" t="s">
        <v>11965</v>
      </c>
    </row>
    <row r="1510">
      <c r="A1510" s="2" t="s">
        <v>11966</v>
      </c>
    </row>
    <row r="1512">
      <c r="A1512" s="2" t="s">
        <v>11967</v>
      </c>
    </row>
    <row r="1513">
      <c r="A1513" s="2" t="s">
        <v>11968</v>
      </c>
    </row>
    <row r="1515">
      <c r="A1515" s="2" t="s">
        <v>11969</v>
      </c>
    </row>
    <row r="1517">
      <c r="A1517" s="2" t="s">
        <v>11970</v>
      </c>
    </row>
    <row r="1519">
      <c r="A1519" s="2" t="s">
        <v>11971</v>
      </c>
    </row>
    <row r="1520">
      <c r="A1520" s="2" t="s">
        <v>11972</v>
      </c>
    </row>
    <row r="1522">
      <c r="A1522" s="2" t="s">
        <v>11973</v>
      </c>
    </row>
    <row r="1524">
      <c r="A1524" s="2" t="s">
        <v>11974</v>
      </c>
    </row>
    <row r="1526">
      <c r="A1526" s="2" t="s">
        <v>11975</v>
      </c>
    </row>
    <row r="1527">
      <c r="A1527" s="2" t="s">
        <v>11976</v>
      </c>
    </row>
    <row r="1529">
      <c r="A1529" s="2" t="s">
        <v>11977</v>
      </c>
    </row>
    <row r="1531">
      <c r="A1531" s="2" t="s">
        <v>11978</v>
      </c>
    </row>
    <row r="1533">
      <c r="A1533" s="2" t="s">
        <v>11979</v>
      </c>
    </row>
    <row r="1534">
      <c r="A1534" s="2" t="s">
        <v>11980</v>
      </c>
    </row>
    <row r="1536">
      <c r="A1536" s="2" t="s">
        <v>11981</v>
      </c>
    </row>
    <row r="1538">
      <c r="A1538" s="2" t="s">
        <v>11982</v>
      </c>
    </row>
    <row r="1540">
      <c r="A1540" s="2" t="s">
        <v>11983</v>
      </c>
    </row>
    <row r="1541">
      <c r="A1541" s="2" t="s">
        <v>11984</v>
      </c>
    </row>
    <row r="1543">
      <c r="A1543" s="2" t="s">
        <v>11985</v>
      </c>
    </row>
    <row r="1545">
      <c r="A1545" s="2" t="s">
        <v>11986</v>
      </c>
    </row>
    <row r="1547">
      <c r="A1547" s="2" t="s">
        <v>11987</v>
      </c>
    </row>
    <row r="1548">
      <c r="A1548" s="2" t="s">
        <v>11988</v>
      </c>
    </row>
    <row r="1550">
      <c r="A1550" s="2" t="s">
        <v>11989</v>
      </c>
    </row>
    <row r="1552">
      <c r="A1552" s="2" t="s">
        <v>11990</v>
      </c>
    </row>
    <row r="1553">
      <c r="A1553" s="2" t="s">
        <v>11991</v>
      </c>
    </row>
    <row r="1555">
      <c r="A1555" s="2" t="s">
        <v>11992</v>
      </c>
    </row>
    <row r="1557">
      <c r="A1557" s="2" t="s">
        <v>11993</v>
      </c>
    </row>
    <row r="1559">
      <c r="A1559" s="2" t="s">
        <v>11994</v>
      </c>
    </row>
    <row r="1560">
      <c r="A1560" s="2" t="s">
        <v>11995</v>
      </c>
    </row>
    <row r="1562">
      <c r="A1562" s="2" t="s">
        <v>11996</v>
      </c>
    </row>
    <row r="1564">
      <c r="A1564" s="2" t="s">
        <v>11997</v>
      </c>
    </row>
    <row r="1566">
      <c r="A1566" s="2" t="s">
        <v>11998</v>
      </c>
    </row>
    <row r="1567">
      <c r="A1567" s="2" t="s">
        <v>11999</v>
      </c>
    </row>
    <row r="1569">
      <c r="A1569" s="2" t="s">
        <v>12000</v>
      </c>
    </row>
    <row r="1571">
      <c r="A1571" s="2" t="s">
        <v>12001</v>
      </c>
    </row>
    <row r="1572">
      <c r="A1572" s="2" t="s">
        <v>12002</v>
      </c>
    </row>
    <row r="1574">
      <c r="A1574" s="2" t="s">
        <v>12003</v>
      </c>
    </row>
    <row r="1576">
      <c r="A1576" s="2" t="s">
        <v>12004</v>
      </c>
    </row>
    <row r="1578">
      <c r="A1578" s="2" t="s">
        <v>12005</v>
      </c>
    </row>
    <row r="1579">
      <c r="A1579" s="2" t="s">
        <v>12006</v>
      </c>
    </row>
    <row r="1581">
      <c r="A1581" s="2" t="s">
        <v>7462</v>
      </c>
    </row>
    <row r="1583">
      <c r="A1583" s="2" t="s">
        <v>12007</v>
      </c>
    </row>
    <row r="1585">
      <c r="A1585" s="2" t="s">
        <v>12008</v>
      </c>
    </row>
    <row r="1587">
      <c r="A1587" s="2" t="s">
        <v>12009</v>
      </c>
    </row>
    <row r="1589">
      <c r="A1589" s="2" t="s">
        <v>12010</v>
      </c>
    </row>
    <row r="1590">
      <c r="A1590" s="2" t="s">
        <v>12011</v>
      </c>
    </row>
    <row r="1592">
      <c r="A1592" s="2" t="s">
        <v>12012</v>
      </c>
    </row>
    <row r="1594">
      <c r="A1594" s="2" t="s">
        <v>12013</v>
      </c>
    </row>
    <row r="1596">
      <c r="A1596" s="2" t="s">
        <v>12014</v>
      </c>
    </row>
    <row r="1597">
      <c r="A1597" s="2" t="s">
        <v>12015</v>
      </c>
    </row>
    <row r="1599">
      <c r="A1599" s="2" t="s">
        <v>12016</v>
      </c>
    </row>
    <row r="1601">
      <c r="A1601" s="2" t="s">
        <v>12017</v>
      </c>
    </row>
    <row r="1603">
      <c r="A1603" s="2" t="s">
        <v>12018</v>
      </c>
    </row>
    <row r="1604">
      <c r="A1604" s="2" t="s">
        <v>12019</v>
      </c>
    </row>
    <row r="1606">
      <c r="A1606" s="2" t="s">
        <v>12020</v>
      </c>
    </row>
    <row r="1608">
      <c r="A1608" s="2" t="s">
        <v>12021</v>
      </c>
    </row>
    <row r="1610">
      <c r="A1610" s="2" t="s">
        <v>12022</v>
      </c>
    </row>
    <row r="1612">
      <c r="A1612" s="2" t="s">
        <v>12023</v>
      </c>
    </row>
    <row r="1613">
      <c r="A1613" s="2" t="s">
        <v>12024</v>
      </c>
    </row>
    <row r="1615">
      <c r="A1615" s="2" t="s">
        <v>12025</v>
      </c>
    </row>
    <row r="1617">
      <c r="A1617" s="2" t="s">
        <v>12026</v>
      </c>
    </row>
    <row r="1619">
      <c r="A1619" s="2" t="s">
        <v>12027</v>
      </c>
    </row>
    <row r="1620">
      <c r="A1620" s="2" t="s">
        <v>12028</v>
      </c>
    </row>
    <row r="1622">
      <c r="A1622" s="2" t="s">
        <v>12029</v>
      </c>
    </row>
    <row r="1624">
      <c r="A1624" s="2" t="s">
        <v>12030</v>
      </c>
    </row>
    <row r="1626">
      <c r="A1626" s="2" t="s">
        <v>12031</v>
      </c>
    </row>
    <row r="1628">
      <c r="A1628" s="2" t="s">
        <v>12032</v>
      </c>
    </row>
    <row r="1629">
      <c r="A1629" s="2" t="s">
        <v>12033</v>
      </c>
    </row>
    <row r="1631">
      <c r="A1631" s="2" t="s">
        <v>12034</v>
      </c>
    </row>
    <row r="1633">
      <c r="A1633" s="2" t="s">
        <v>12035</v>
      </c>
    </row>
    <row r="1635">
      <c r="A1635" s="2" t="s">
        <v>12036</v>
      </c>
    </row>
    <row r="1636">
      <c r="A1636" s="2" t="s">
        <v>12037</v>
      </c>
    </row>
    <row r="1638">
      <c r="A1638" s="2" t="s">
        <v>12038</v>
      </c>
    </row>
    <row r="1640">
      <c r="A1640" s="2" t="s">
        <v>12039</v>
      </c>
    </row>
    <row r="1642">
      <c r="A1642" s="2" t="s">
        <v>12040</v>
      </c>
    </row>
    <row r="1643">
      <c r="A1643" s="2" t="s">
        <v>12041</v>
      </c>
    </row>
    <row r="1645">
      <c r="A1645" s="2" t="s">
        <v>12042</v>
      </c>
    </row>
    <row r="1647">
      <c r="A1647" s="2" t="s">
        <v>12043</v>
      </c>
    </row>
    <row r="1649">
      <c r="A1649" s="2" t="s">
        <v>12044</v>
      </c>
    </row>
    <row r="1651">
      <c r="A1651" s="2" t="s">
        <v>12045</v>
      </c>
    </row>
    <row r="1652">
      <c r="A1652" s="2" t="s">
        <v>12046</v>
      </c>
    </row>
    <row r="1654">
      <c r="A1654" s="2" t="s">
        <v>12047</v>
      </c>
    </row>
    <row r="1656">
      <c r="A1656" s="2" t="s">
        <v>12048</v>
      </c>
    </row>
    <row r="1658">
      <c r="A1658" s="2" t="s">
        <v>12049</v>
      </c>
    </row>
    <row r="1659">
      <c r="A1659" s="2" t="s">
        <v>12050</v>
      </c>
    </row>
    <row r="1661">
      <c r="A1661" s="2" t="s">
        <v>12051</v>
      </c>
    </row>
    <row r="1663">
      <c r="A1663" s="2" t="s">
        <v>12052</v>
      </c>
    </row>
    <row r="1665">
      <c r="A1665" s="2" t="s">
        <v>12053</v>
      </c>
    </row>
    <row r="1666">
      <c r="A1666" s="2" t="s">
        <v>12054</v>
      </c>
    </row>
    <row r="1668">
      <c r="A1668" s="2" t="s">
        <v>12055</v>
      </c>
    </row>
    <row r="1670">
      <c r="A1670" s="2" t="s">
        <v>12056</v>
      </c>
    </row>
    <row r="1672">
      <c r="A1672" s="2" t="s">
        <v>12057</v>
      </c>
    </row>
    <row r="1673">
      <c r="A1673" s="2" t="s">
        <v>12058</v>
      </c>
    </row>
    <row r="1675">
      <c r="A1675" s="2" t="s">
        <v>12059</v>
      </c>
    </row>
    <row r="1677">
      <c r="A1677" s="2" t="s">
        <v>12060</v>
      </c>
    </row>
    <row r="1679">
      <c r="A1679" s="2" t="s">
        <v>12061</v>
      </c>
    </row>
    <row r="1681">
      <c r="A1681" s="2" t="s">
        <v>12062</v>
      </c>
    </row>
    <row r="1682">
      <c r="A1682" s="2" t="s">
        <v>12063</v>
      </c>
    </row>
    <row r="1684">
      <c r="A1684" s="2" t="s">
        <v>12064</v>
      </c>
    </row>
    <row r="1686">
      <c r="A1686" s="2" t="s">
        <v>12065</v>
      </c>
    </row>
    <row r="1687">
      <c r="A1687" s="2" t="s">
        <v>12066</v>
      </c>
    </row>
    <row r="1689">
      <c r="A1689" s="2" t="s">
        <v>12067</v>
      </c>
    </row>
    <row r="1691">
      <c r="A1691" s="2" t="s">
        <v>12068</v>
      </c>
    </row>
    <row r="1692">
      <c r="A1692" s="2" t="s">
        <v>12069</v>
      </c>
    </row>
    <row r="1694">
      <c r="A1694" s="2" t="s">
        <v>7462</v>
      </c>
    </row>
    <row r="1696">
      <c r="A1696" s="2" t="s">
        <v>12070</v>
      </c>
    </row>
    <row r="1698">
      <c r="A1698" s="2" t="s">
        <v>12071</v>
      </c>
    </row>
    <row r="1700">
      <c r="A1700" s="2" t="s">
        <v>12072</v>
      </c>
    </row>
    <row r="1702">
      <c r="A1702" s="2" t="s">
        <v>12073</v>
      </c>
    </row>
    <row r="1703">
      <c r="A1703" s="2" t="s">
        <v>12074</v>
      </c>
    </row>
    <row r="1705">
      <c r="A1705" s="2" t="s">
        <v>12075</v>
      </c>
    </row>
    <row r="1707">
      <c r="A1707" s="2" t="s">
        <v>12076</v>
      </c>
    </row>
    <row r="1709">
      <c r="A1709" s="2" t="s">
        <v>12077</v>
      </c>
    </row>
    <row r="1710">
      <c r="A1710" s="2" t="s">
        <v>12078</v>
      </c>
    </row>
    <row r="1712">
      <c r="A1712" s="2" t="s">
        <v>12079</v>
      </c>
    </row>
    <row r="1714">
      <c r="A1714" s="2" t="s">
        <v>12080</v>
      </c>
    </row>
    <row r="1716">
      <c r="A1716" s="2" t="s">
        <v>12081</v>
      </c>
    </row>
    <row r="1717">
      <c r="A1717" s="2" t="s">
        <v>12082</v>
      </c>
    </row>
    <row r="1719">
      <c r="A1719" s="2" t="s">
        <v>12083</v>
      </c>
    </row>
    <row r="1721">
      <c r="A1721" s="2" t="s">
        <v>12084</v>
      </c>
    </row>
    <row r="1723">
      <c r="A1723" s="2" t="s">
        <v>12085</v>
      </c>
    </row>
    <row r="1724">
      <c r="A1724" s="2" t="s">
        <v>12086</v>
      </c>
    </row>
    <row r="1725">
      <c r="A1725" s="2" t="s">
        <v>12087</v>
      </c>
    </row>
    <row r="1727">
      <c r="A1727" s="2" t="s">
        <v>7462</v>
      </c>
    </row>
    <row r="1729">
      <c r="A1729" s="2" t="s">
        <v>12088</v>
      </c>
    </row>
    <row r="1731">
      <c r="A1731" s="2" t="s">
        <v>12089</v>
      </c>
    </row>
    <row r="1733">
      <c r="A1733" s="2" t="s">
        <v>12090</v>
      </c>
    </row>
    <row r="1734">
      <c r="A1734" s="2" t="s">
        <v>12091</v>
      </c>
    </row>
    <row r="1736">
      <c r="A1736" s="2" t="s">
        <v>12092</v>
      </c>
    </row>
    <row r="1738">
      <c r="A1738" s="2" t="s">
        <v>12093</v>
      </c>
    </row>
    <row r="1739">
      <c r="A1739" s="2" t="s">
        <v>12094</v>
      </c>
    </row>
    <row r="1741">
      <c r="A1741" s="2" t="s">
        <v>12095</v>
      </c>
    </row>
    <row r="1743">
      <c r="A1743" s="2" t="s">
        <v>12096</v>
      </c>
    </row>
    <row r="1744">
      <c r="A1744" s="2" t="s">
        <v>12097</v>
      </c>
    </row>
    <row r="1746">
      <c r="A1746" s="2" t="s">
        <v>12098</v>
      </c>
    </row>
    <row r="1748">
      <c r="A1748" s="2" t="s">
        <v>12099</v>
      </c>
    </row>
    <row r="1750">
      <c r="A1750" s="2" t="s">
        <v>12100</v>
      </c>
    </row>
    <row r="1751">
      <c r="A1751" s="2" t="s">
        <v>12101</v>
      </c>
    </row>
    <row r="1753">
      <c r="A1753" s="2" t="s">
        <v>12102</v>
      </c>
    </row>
    <row r="1755">
      <c r="A1755" s="2" t="s">
        <v>12103</v>
      </c>
    </row>
    <row r="1757">
      <c r="A1757" s="2" t="s">
        <v>12104</v>
      </c>
    </row>
    <row r="1758">
      <c r="A1758" s="2" t="s">
        <v>12105</v>
      </c>
    </row>
    <row r="1760">
      <c r="A1760" s="2" t="s">
        <v>12106</v>
      </c>
    </row>
    <row r="1762">
      <c r="A1762" s="2" t="s">
        <v>12107</v>
      </c>
    </row>
    <row r="1764">
      <c r="A1764" s="2" t="s">
        <v>12108</v>
      </c>
    </row>
    <row r="1765">
      <c r="A1765" s="2" t="s">
        <v>12109</v>
      </c>
    </row>
    <row r="1767">
      <c r="A1767" s="2" t="s">
        <v>7462</v>
      </c>
    </row>
    <row r="1769">
      <c r="A1769" s="2" t="s">
        <v>12110</v>
      </c>
    </row>
    <row r="1771">
      <c r="A1771" s="2" t="s">
        <v>12111</v>
      </c>
    </row>
    <row r="1773">
      <c r="A1773" s="2" t="s">
        <v>12112</v>
      </c>
    </row>
    <row r="1774">
      <c r="A1774" s="2" t="s">
        <v>12113</v>
      </c>
    </row>
    <row r="1776">
      <c r="A1776" s="2" t="s">
        <v>12114</v>
      </c>
    </row>
    <row r="1778">
      <c r="A1778" s="2" t="s">
        <v>12115</v>
      </c>
    </row>
    <row r="1779">
      <c r="A1779" s="2" t="s">
        <v>12116</v>
      </c>
    </row>
    <row r="1781">
      <c r="A1781" s="2" t="s">
        <v>12117</v>
      </c>
    </row>
    <row r="1783">
      <c r="A1783" s="2" t="s">
        <v>12118</v>
      </c>
    </row>
    <row r="1785">
      <c r="A1785" s="2" t="s">
        <v>12119</v>
      </c>
    </row>
    <row r="1786">
      <c r="A1786" s="2" t="s">
        <v>12120</v>
      </c>
    </row>
    <row r="1788">
      <c r="A1788" s="2" t="s">
        <v>12121</v>
      </c>
    </row>
    <row r="1790">
      <c r="A1790" s="2" t="s">
        <v>12122</v>
      </c>
    </row>
    <row r="1792">
      <c r="A1792" s="2" t="s">
        <v>12123</v>
      </c>
    </row>
    <row r="1793">
      <c r="A1793" s="2" t="s">
        <v>12124</v>
      </c>
    </row>
    <row r="1795">
      <c r="A1795" s="2" t="s">
        <v>12125</v>
      </c>
    </row>
    <row r="1797">
      <c r="A1797" s="2" t="s">
        <v>12126</v>
      </c>
    </row>
    <row r="1798">
      <c r="A1798" s="2" t="s">
        <v>12127</v>
      </c>
    </row>
    <row r="1800">
      <c r="A1800" s="2" t="s">
        <v>12128</v>
      </c>
    </row>
    <row r="1802">
      <c r="A1802" s="2" t="s">
        <v>12129</v>
      </c>
    </row>
    <row r="1803">
      <c r="A1803" s="2" t="s">
        <v>12130</v>
      </c>
    </row>
    <row r="1805">
      <c r="A1805" s="2" t="s">
        <v>12131</v>
      </c>
    </row>
    <row r="1807">
      <c r="A1807" s="2" t="s">
        <v>12132</v>
      </c>
    </row>
    <row r="1809">
      <c r="A1809" s="2" t="s">
        <v>12133</v>
      </c>
    </row>
    <row r="1810">
      <c r="A1810" s="2" t="s">
        <v>12134</v>
      </c>
    </row>
    <row r="1812">
      <c r="A1812" s="2" t="s">
        <v>12135</v>
      </c>
    </row>
    <row r="1814">
      <c r="A1814" s="2" t="s">
        <v>12136</v>
      </c>
    </row>
    <row r="1816">
      <c r="A1816" s="2" t="s">
        <v>12137</v>
      </c>
    </row>
    <row r="1817">
      <c r="A1817" s="2" t="s">
        <v>12138</v>
      </c>
    </row>
    <row r="1819">
      <c r="A1819" s="2" t="s">
        <v>12139</v>
      </c>
    </row>
    <row r="1820">
      <c r="A1820" s="2" t="s">
        <v>12140</v>
      </c>
    </row>
    <row r="1822">
      <c r="A1822" s="2" t="s">
        <v>12141</v>
      </c>
    </row>
    <row r="1824">
      <c r="A1824" s="2" t="s">
        <v>12142</v>
      </c>
    </row>
    <row r="1826">
      <c r="A1826" s="2" t="s">
        <v>12143</v>
      </c>
    </row>
    <row r="1827">
      <c r="A1827" s="2" t="s">
        <v>12144</v>
      </c>
    </row>
    <row r="1829">
      <c r="A1829" s="2" t="s">
        <v>12145</v>
      </c>
    </row>
    <row r="1831">
      <c r="A1831" s="2" t="s">
        <v>12146</v>
      </c>
    </row>
    <row r="1832">
      <c r="A1832" s="2" t="s">
        <v>12147</v>
      </c>
    </row>
    <row r="1834">
      <c r="A1834" s="2" t="s">
        <v>12148</v>
      </c>
    </row>
    <row r="1836">
      <c r="A1836" s="2" t="s">
        <v>12149</v>
      </c>
    </row>
    <row r="1838">
      <c r="A1838" s="2" t="s">
        <v>12150</v>
      </c>
    </row>
    <row r="1840">
      <c r="A1840" s="2" t="s">
        <v>12151</v>
      </c>
    </row>
    <row r="1841">
      <c r="A1841" s="2" t="s">
        <v>12152</v>
      </c>
    </row>
    <row r="1843">
      <c r="A1843" s="2" t="s">
        <v>12153</v>
      </c>
    </row>
    <row r="1845">
      <c r="A1845" s="2" t="s">
        <v>12154</v>
      </c>
    </row>
    <row r="1847">
      <c r="A1847" s="2" t="s">
        <v>12155</v>
      </c>
    </row>
    <row r="1848">
      <c r="A1848" s="2" t="s">
        <v>12156</v>
      </c>
    </row>
    <row r="1850">
      <c r="A1850" s="2" t="s">
        <v>12157</v>
      </c>
    </row>
    <row r="1852">
      <c r="A1852" s="2" t="s">
        <v>12158</v>
      </c>
    </row>
    <row r="1854">
      <c r="A1854" s="2" t="s">
        <v>12159</v>
      </c>
    </row>
    <row r="1855">
      <c r="A1855" s="2" t="s">
        <v>12160</v>
      </c>
    </row>
    <row r="1857">
      <c r="A1857" s="2" t="s">
        <v>12161</v>
      </c>
    </row>
    <row r="1859">
      <c r="A1859" s="2" t="s">
        <v>12162</v>
      </c>
    </row>
    <row r="1861">
      <c r="A1861" s="2" t="s">
        <v>12163</v>
      </c>
    </row>
    <row r="1862">
      <c r="A1862" s="2" t="s">
        <v>12164</v>
      </c>
    </row>
    <row r="1864">
      <c r="A1864" s="2" t="s">
        <v>12165</v>
      </c>
    </row>
    <row r="1866">
      <c r="A1866" s="2" t="s">
        <v>12166</v>
      </c>
    </row>
    <row r="1868">
      <c r="A1868" s="2" t="s">
        <v>12167</v>
      </c>
    </row>
    <row r="1869">
      <c r="A1869" s="2" t="s">
        <v>12168</v>
      </c>
    </row>
    <row r="1871">
      <c r="A1871" s="2" t="s">
        <v>12169</v>
      </c>
    </row>
    <row r="1873">
      <c r="A1873" s="2" t="s">
        <v>12170</v>
      </c>
    </row>
    <row r="1875">
      <c r="A1875" s="2" t="s">
        <v>12171</v>
      </c>
    </row>
    <row r="1876">
      <c r="A1876" s="2" t="s">
        <v>12172</v>
      </c>
    </row>
    <row r="1878">
      <c r="A1878" s="2" t="s">
        <v>12173</v>
      </c>
    </row>
    <row r="1880">
      <c r="A1880" s="2" t="s">
        <v>12174</v>
      </c>
    </row>
    <row r="1882">
      <c r="A1882" s="2" t="s">
        <v>12175</v>
      </c>
    </row>
    <row r="1883">
      <c r="A1883" s="2" t="s">
        <v>12176</v>
      </c>
    </row>
    <row r="1885">
      <c r="A1885" s="2" t="s">
        <v>12177</v>
      </c>
    </row>
    <row r="1887">
      <c r="A1887" s="2" t="s">
        <v>12178</v>
      </c>
    </row>
    <row r="1889">
      <c r="A1889" s="2" t="s">
        <v>12179</v>
      </c>
    </row>
    <row r="1891">
      <c r="A1891" s="2" t="s">
        <v>12180</v>
      </c>
    </row>
    <row r="1892">
      <c r="A1892" s="2" t="s">
        <v>12181</v>
      </c>
    </row>
    <row r="1894">
      <c r="A1894" s="2" t="s">
        <v>12182</v>
      </c>
    </row>
    <row r="1896">
      <c r="A1896" s="2" t="s">
        <v>12183</v>
      </c>
    </row>
    <row r="1898">
      <c r="A1898" s="2" t="s">
        <v>12184</v>
      </c>
    </row>
    <row r="1899">
      <c r="A1899" s="2" t="s">
        <v>12185</v>
      </c>
    </row>
    <row r="1901">
      <c r="A1901" s="2" t="s">
        <v>12186</v>
      </c>
    </row>
    <row r="1903">
      <c r="A1903" s="2" t="s">
        <v>12187</v>
      </c>
    </row>
    <row r="1904">
      <c r="A1904" s="2" t="s">
        <v>12188</v>
      </c>
    </row>
    <row r="1906">
      <c r="A1906" s="2" t="s">
        <v>12189</v>
      </c>
    </row>
    <row r="1908">
      <c r="A1908" s="2" t="s">
        <v>12190</v>
      </c>
    </row>
    <row r="1910">
      <c r="A1910" s="2" t="s">
        <v>12191</v>
      </c>
    </row>
    <row r="1911">
      <c r="A1911" s="2" t="s">
        <v>12192</v>
      </c>
    </row>
    <row r="1913">
      <c r="A1913" s="2" t="s">
        <v>12193</v>
      </c>
    </row>
    <row r="1915">
      <c r="A1915" s="2" t="s">
        <v>12194</v>
      </c>
    </row>
    <row r="1916">
      <c r="A1916" s="2" t="s">
        <v>12195</v>
      </c>
    </row>
    <row r="1918">
      <c r="A1918" s="2" t="s">
        <v>12196</v>
      </c>
    </row>
    <row r="1920">
      <c r="A1920" s="2" t="s">
        <v>12197</v>
      </c>
    </row>
    <row r="1921">
      <c r="A1921" s="2" t="s">
        <v>12198</v>
      </c>
    </row>
    <row r="1923">
      <c r="A1923" s="2" t="s">
        <v>12199</v>
      </c>
    </row>
    <row r="1925">
      <c r="A1925" s="2" t="s">
        <v>12200</v>
      </c>
    </row>
    <row r="1926">
      <c r="A1926" s="2" t="s">
        <v>12201</v>
      </c>
    </row>
    <row r="1928">
      <c r="A1928" s="2" t="s">
        <v>12202</v>
      </c>
    </row>
    <row r="1930">
      <c r="A1930" s="2" t="s">
        <v>12203</v>
      </c>
    </row>
    <row r="1932">
      <c r="A1932" s="2" t="s">
        <v>12204</v>
      </c>
    </row>
    <row r="1933">
      <c r="A1933" s="2" t="s">
        <v>12205</v>
      </c>
    </row>
    <row r="1935">
      <c r="A1935" s="2" t="s">
        <v>12206</v>
      </c>
    </row>
    <row r="1937">
      <c r="A1937" s="2" t="s">
        <v>12207</v>
      </c>
    </row>
    <row r="1939">
      <c r="A1939" s="2" t="s">
        <v>12208</v>
      </c>
    </row>
    <row r="1940">
      <c r="A1940" s="2" t="s">
        <v>12209</v>
      </c>
    </row>
    <row r="1942">
      <c r="A1942" s="2" t="s">
        <v>12210</v>
      </c>
    </row>
    <row r="1944">
      <c r="A1944" s="2" t="s">
        <v>12211</v>
      </c>
    </row>
    <row r="1945">
      <c r="A1945" s="2" t="s">
        <v>12212</v>
      </c>
    </row>
    <row r="1947">
      <c r="A1947" s="2" t="s">
        <v>12213</v>
      </c>
    </row>
    <row r="1948">
      <c r="A1948" s="2" t="s">
        <v>12214</v>
      </c>
    </row>
    <row r="1950">
      <c r="A1950" s="2" t="s">
        <v>12215</v>
      </c>
    </row>
    <row r="1952">
      <c r="A1952" s="2" t="s">
        <v>12216</v>
      </c>
    </row>
    <row r="1954">
      <c r="A1954" s="2" t="s">
        <v>12217</v>
      </c>
    </row>
    <row r="1956">
      <c r="A1956" s="2" t="s">
        <v>12218</v>
      </c>
    </row>
    <row r="1957">
      <c r="A1957" s="2" t="s">
        <v>12219</v>
      </c>
    </row>
    <row r="1959">
      <c r="A1959" s="2" t="s">
        <v>12220</v>
      </c>
    </row>
    <row r="1961">
      <c r="A1961" s="2" t="s">
        <v>12221</v>
      </c>
    </row>
    <row r="1963">
      <c r="A1963" s="2" t="s">
        <v>12222</v>
      </c>
    </row>
    <row r="1964">
      <c r="A1964" s="2" t="s">
        <v>12223</v>
      </c>
    </row>
    <row r="1966">
      <c r="A1966" s="2" t="s">
        <v>12224</v>
      </c>
    </row>
    <row r="1968">
      <c r="A1968" s="2" t="s">
        <v>12225</v>
      </c>
    </row>
    <row r="1970">
      <c r="A1970" s="2" t="s">
        <v>12226</v>
      </c>
    </row>
    <row r="1971">
      <c r="A1971" s="2" t="s">
        <v>12227</v>
      </c>
    </row>
    <row r="1973">
      <c r="A1973" s="2" t="s">
        <v>12228</v>
      </c>
    </row>
    <row r="1975">
      <c r="A1975" s="2" t="s">
        <v>12229</v>
      </c>
    </row>
    <row r="1976">
      <c r="A1976" s="2" t="s">
        <v>12230</v>
      </c>
    </row>
    <row r="1978">
      <c r="A1978" s="2" t="s">
        <v>12231</v>
      </c>
    </row>
    <row r="1980">
      <c r="A1980" s="2" t="s">
        <v>12232</v>
      </c>
    </row>
    <row r="1982">
      <c r="A1982" s="2" t="s">
        <v>12233</v>
      </c>
    </row>
    <row r="1983">
      <c r="A1983" s="2" t="s">
        <v>12234</v>
      </c>
    </row>
    <row r="1985">
      <c r="A1985" s="2" t="s">
        <v>12235</v>
      </c>
    </row>
    <row r="1987">
      <c r="A1987" s="2" t="s">
        <v>12236</v>
      </c>
    </row>
    <row r="1989">
      <c r="A1989" s="2" t="s">
        <v>12237</v>
      </c>
    </row>
    <row r="1990">
      <c r="A1990" s="2" t="s">
        <v>12238</v>
      </c>
    </row>
    <row r="1992">
      <c r="A1992" s="2" t="s">
        <v>12239</v>
      </c>
    </row>
    <row r="1994">
      <c r="A1994" s="2" t="s">
        <v>12240</v>
      </c>
    </row>
    <row r="1996">
      <c r="A1996" s="2" t="s">
        <v>12241</v>
      </c>
    </row>
    <row r="1997">
      <c r="A1997" s="2" t="s">
        <v>12242</v>
      </c>
    </row>
    <row r="1999">
      <c r="A1999" s="2" t="s">
        <v>12243</v>
      </c>
    </row>
    <row r="2001">
      <c r="A2001" s="2" t="s">
        <v>12244</v>
      </c>
    </row>
    <row r="2003">
      <c r="A2003" s="2" t="s">
        <v>12245</v>
      </c>
    </row>
    <row r="2004">
      <c r="A2004" s="2" t="s">
        <v>12246</v>
      </c>
    </row>
    <row r="2006">
      <c r="A2006" s="2" t="s">
        <v>12247</v>
      </c>
    </row>
    <row r="2008">
      <c r="A2008" s="2" t="s">
        <v>12248</v>
      </c>
    </row>
    <row r="2009">
      <c r="A2009" s="2" t="s">
        <v>12249</v>
      </c>
    </row>
    <row r="2011">
      <c r="A2011" s="2" t="s">
        <v>12250</v>
      </c>
    </row>
    <row r="2013">
      <c r="A2013" s="2" t="s">
        <v>12251</v>
      </c>
    </row>
    <row r="2015">
      <c r="A2015" s="2" t="s">
        <v>12252</v>
      </c>
    </row>
    <row r="2017">
      <c r="A2017" s="2" t="s">
        <v>12253</v>
      </c>
    </row>
    <row r="2018">
      <c r="A2018" s="2" t="s">
        <v>12254</v>
      </c>
    </row>
    <row r="2020">
      <c r="A2020" s="2" t="s">
        <v>12255</v>
      </c>
    </row>
    <row r="2022">
      <c r="A2022" s="2" t="s">
        <v>12256</v>
      </c>
    </row>
    <row r="2024">
      <c r="A2024" s="2" t="s">
        <v>12257</v>
      </c>
    </row>
    <row r="2025">
      <c r="A2025" s="2" t="s">
        <v>12258</v>
      </c>
    </row>
    <row r="2027">
      <c r="A2027" s="2" t="s">
        <v>7462</v>
      </c>
    </row>
    <row r="2029">
      <c r="A2029" s="2" t="s">
        <v>12259</v>
      </c>
    </row>
    <row r="2031">
      <c r="A2031" s="2" t="s">
        <v>12260</v>
      </c>
    </row>
    <row r="2033">
      <c r="A2033" s="2" t="s">
        <v>12261</v>
      </c>
    </row>
    <row r="2035">
      <c r="A2035" s="2" t="s">
        <v>12262</v>
      </c>
    </row>
    <row r="2036">
      <c r="A2036" s="2" t="s">
        <v>12263</v>
      </c>
    </row>
    <row r="2038">
      <c r="A2038" s="2" t="s">
        <v>12264</v>
      </c>
    </row>
    <row r="2040">
      <c r="A2040" s="2" t="s">
        <v>12265</v>
      </c>
    </row>
    <row r="2042">
      <c r="A2042" s="2" t="s">
        <v>12266</v>
      </c>
    </row>
    <row r="2043">
      <c r="A2043" s="2" t="s">
        <v>12267</v>
      </c>
    </row>
    <row r="2045">
      <c r="A2045" s="2" t="s">
        <v>12268</v>
      </c>
    </row>
    <row r="2047">
      <c r="A2047" s="2" t="s">
        <v>12269</v>
      </c>
    </row>
    <row r="2049">
      <c r="A2049" s="2" t="s">
        <v>12270</v>
      </c>
    </row>
    <row r="2050">
      <c r="A2050" s="2" t="s">
        <v>12271</v>
      </c>
    </row>
    <row r="2052">
      <c r="A2052" s="2" t="s">
        <v>12272</v>
      </c>
    </row>
    <row r="2054">
      <c r="A2054" s="2" t="s">
        <v>12273</v>
      </c>
    </row>
    <row r="2055">
      <c r="A2055" s="2" t="s">
        <v>12274</v>
      </c>
    </row>
    <row r="2057">
      <c r="A2057" s="2" t="s">
        <v>12275</v>
      </c>
    </row>
    <row r="2059">
      <c r="A2059" s="2" t="s">
        <v>12276</v>
      </c>
    </row>
    <row r="2061">
      <c r="A2061" s="2" t="s">
        <v>12277</v>
      </c>
    </row>
    <row r="2062">
      <c r="A2062" s="2" t="s">
        <v>12278</v>
      </c>
    </row>
    <row r="2064">
      <c r="A2064" s="2" t="s">
        <v>12279</v>
      </c>
    </row>
    <row r="2066">
      <c r="A2066" s="2" t="s">
        <v>12280</v>
      </c>
    </row>
    <row r="2068">
      <c r="A2068" s="2" t="s">
        <v>12281</v>
      </c>
    </row>
    <row r="2069">
      <c r="A2069" s="2" t="s">
        <v>12282</v>
      </c>
    </row>
    <row r="2071">
      <c r="A2071" s="2" t="s">
        <v>12283</v>
      </c>
    </row>
    <row r="2073">
      <c r="A2073" s="2" t="s">
        <v>12284</v>
      </c>
    </row>
    <row r="2075">
      <c r="A2075" s="2" t="s">
        <v>12285</v>
      </c>
    </row>
    <row r="2076">
      <c r="A2076" s="2" t="s">
        <v>12286</v>
      </c>
    </row>
    <row r="2078">
      <c r="A2078" s="2" t="s">
        <v>12287</v>
      </c>
    </row>
    <row r="2080">
      <c r="A2080" s="2" t="s">
        <v>12288</v>
      </c>
    </row>
    <row r="2082">
      <c r="A2082" s="2" t="s">
        <v>12289</v>
      </c>
    </row>
    <row r="2083">
      <c r="A2083" s="2" t="s">
        <v>12290</v>
      </c>
    </row>
    <row r="2085">
      <c r="A2085" s="2" t="s">
        <v>12291</v>
      </c>
    </row>
    <row r="2087">
      <c r="A2087" s="2" t="s">
        <v>12292</v>
      </c>
    </row>
    <row r="2089">
      <c r="A2089" s="2" t="s">
        <v>12293</v>
      </c>
    </row>
    <row r="2091">
      <c r="A2091" s="2" t="s">
        <v>12294</v>
      </c>
    </row>
    <row r="2092">
      <c r="A2092" s="2" t="s">
        <v>12295</v>
      </c>
    </row>
    <row r="2094">
      <c r="A2094" s="2" t="s">
        <v>12296</v>
      </c>
    </row>
    <row r="2096">
      <c r="A2096" s="2" t="s">
        <v>12297</v>
      </c>
    </row>
    <row r="2097">
      <c r="A2097" s="2" t="s">
        <v>12298</v>
      </c>
    </row>
    <row r="2099">
      <c r="A2099" s="2" t="s">
        <v>12299</v>
      </c>
    </row>
    <row r="2101">
      <c r="A2101" s="2" t="s">
        <v>12297</v>
      </c>
    </row>
    <row r="2102">
      <c r="A2102" s="2" t="s">
        <v>12300</v>
      </c>
    </row>
    <row r="2104">
      <c r="A2104" s="2" t="s">
        <v>12301</v>
      </c>
    </row>
    <row r="2106">
      <c r="A2106" s="2" t="s">
        <v>12302</v>
      </c>
    </row>
    <row r="2108">
      <c r="A2108" s="2" t="s">
        <v>12303</v>
      </c>
    </row>
    <row r="2109">
      <c r="A2109" s="2" t="s">
        <v>12304</v>
      </c>
    </row>
    <row r="2111">
      <c r="A2111" s="2" t="s">
        <v>12305</v>
      </c>
    </row>
    <row r="2113">
      <c r="A2113" s="2" t="s">
        <v>12306</v>
      </c>
    </row>
    <row r="2115">
      <c r="A2115" s="2" t="s">
        <v>12307</v>
      </c>
    </row>
    <row r="2116">
      <c r="A2116" s="2" t="s">
        <v>12308</v>
      </c>
    </row>
    <row r="2118">
      <c r="A2118" s="2" t="s">
        <v>12309</v>
      </c>
    </row>
    <row r="2120">
      <c r="A2120" s="2" t="s">
        <v>12310</v>
      </c>
    </row>
    <row r="2122">
      <c r="A2122" s="2" t="s">
        <v>12311</v>
      </c>
    </row>
    <row r="2123">
      <c r="A2123" s="2" t="s">
        <v>12312</v>
      </c>
    </row>
    <row r="2125">
      <c r="A2125" s="2" t="s">
        <v>12313</v>
      </c>
    </row>
    <row r="2127">
      <c r="A2127" s="2" t="s">
        <v>12314</v>
      </c>
    </row>
    <row r="2129">
      <c r="A2129" s="2" t="s">
        <v>12315</v>
      </c>
    </row>
    <row r="2130">
      <c r="A2130" s="2" t="s">
        <v>12316</v>
      </c>
    </row>
    <row r="2132">
      <c r="A2132" s="2" t="s">
        <v>12317</v>
      </c>
    </row>
    <row r="2134">
      <c r="A2134" s="2" t="s">
        <v>12318</v>
      </c>
    </row>
    <row r="2135">
      <c r="A2135" s="2" t="s">
        <v>12319</v>
      </c>
    </row>
    <row r="2137">
      <c r="A2137" s="2" t="s">
        <v>12320</v>
      </c>
    </row>
    <row r="2139">
      <c r="A2139" s="2" t="s">
        <v>12321</v>
      </c>
    </row>
    <row r="2141">
      <c r="A2141" s="2" t="s">
        <v>12322</v>
      </c>
    </row>
    <row r="2142">
      <c r="A2142" s="2" t="s">
        <v>12323</v>
      </c>
    </row>
    <row r="2144">
      <c r="A2144" s="2" t="s">
        <v>12324</v>
      </c>
    </row>
    <row r="2146">
      <c r="A2146" s="2" t="s">
        <v>12325</v>
      </c>
    </row>
    <row r="2148">
      <c r="A2148" s="2" t="s">
        <v>12326</v>
      </c>
    </row>
    <row r="2149">
      <c r="A2149" s="2" t="s">
        <v>12327</v>
      </c>
    </row>
    <row r="2151">
      <c r="A2151" s="2" t="s">
        <v>12328</v>
      </c>
    </row>
    <row r="2153">
      <c r="A2153" s="2" t="s">
        <v>12329</v>
      </c>
    </row>
    <row r="2155">
      <c r="A2155" s="2" t="s">
        <v>12330</v>
      </c>
    </row>
    <row r="2156">
      <c r="A2156" s="2" t="s">
        <v>12331</v>
      </c>
    </row>
    <row r="2158">
      <c r="A2158" s="2" t="s">
        <v>12332</v>
      </c>
    </row>
    <row r="2160">
      <c r="A2160" s="2" t="s">
        <v>12333</v>
      </c>
    </row>
    <row r="2162">
      <c r="A2162" s="2" t="s">
        <v>12334</v>
      </c>
    </row>
    <row r="2163">
      <c r="A2163" s="2" t="s">
        <v>12335</v>
      </c>
    </row>
    <row r="2165">
      <c r="A2165" s="2" t="s">
        <v>12336</v>
      </c>
    </row>
    <row r="2167">
      <c r="A2167" s="2" t="s">
        <v>12337</v>
      </c>
    </row>
    <row r="2169">
      <c r="A2169" s="2" t="s">
        <v>12338</v>
      </c>
    </row>
    <row r="2171">
      <c r="A2171" s="2" t="s">
        <v>12339</v>
      </c>
    </row>
    <row r="2172">
      <c r="A2172" s="2" t="s">
        <v>12340</v>
      </c>
    </row>
    <row r="2174">
      <c r="A2174" s="2" t="s">
        <v>12341</v>
      </c>
    </row>
    <row r="2176">
      <c r="A2176" s="2" t="s">
        <v>12342</v>
      </c>
    </row>
    <row r="2177">
      <c r="A2177" s="2" t="s">
        <v>12343</v>
      </c>
    </row>
    <row r="2179">
      <c r="A2179" s="2" t="s">
        <v>12344</v>
      </c>
    </row>
    <row r="2181">
      <c r="A2181" s="2" t="s">
        <v>12345</v>
      </c>
    </row>
    <row r="2183">
      <c r="A2183" s="2" t="s">
        <v>12346</v>
      </c>
    </row>
    <row r="2184">
      <c r="A2184" s="2" t="s">
        <v>12347</v>
      </c>
    </row>
    <row r="2186">
      <c r="A2186" s="2" t="s">
        <v>12348</v>
      </c>
    </row>
    <row r="2188">
      <c r="A2188" s="2" t="s">
        <v>12349</v>
      </c>
    </row>
    <row r="2189">
      <c r="A2189" s="2" t="s">
        <v>12350</v>
      </c>
    </row>
    <row r="2191">
      <c r="A2191" s="2" t="s">
        <v>12351</v>
      </c>
    </row>
    <row r="2193">
      <c r="A2193" s="2" t="s">
        <v>12352</v>
      </c>
    </row>
    <row r="2195">
      <c r="A2195" s="2" t="s">
        <v>12353</v>
      </c>
    </row>
    <row r="2196">
      <c r="A2196" s="2" t="s">
        <v>12354</v>
      </c>
    </row>
    <row r="2198">
      <c r="A2198" s="2" t="s">
        <v>12355</v>
      </c>
    </row>
    <row r="2200">
      <c r="A2200" s="2" t="s">
        <v>12356</v>
      </c>
    </row>
    <row r="2202">
      <c r="A2202" s="2" t="s">
        <v>12357</v>
      </c>
    </row>
    <row r="2204">
      <c r="A2204" s="2" t="s">
        <v>12358</v>
      </c>
    </row>
    <row r="2205">
      <c r="A2205" s="2" t="s">
        <v>12359</v>
      </c>
    </row>
    <row r="2207">
      <c r="A2207" s="2" t="s">
        <v>12360</v>
      </c>
    </row>
    <row r="2209">
      <c r="A2209" s="2" t="s">
        <v>12361</v>
      </c>
    </row>
    <row r="2211">
      <c r="A2211" s="2" t="s">
        <v>12362</v>
      </c>
    </row>
    <row r="2213">
      <c r="A2213" s="2" t="s">
        <v>12363</v>
      </c>
    </row>
    <row r="2214">
      <c r="A2214" s="2" t="s">
        <v>12364</v>
      </c>
    </row>
    <row r="2216">
      <c r="A2216" s="2" t="s">
        <v>12365</v>
      </c>
    </row>
    <row r="2218">
      <c r="A2218" s="2" t="s">
        <v>12366</v>
      </c>
    </row>
    <row r="2219">
      <c r="A2219" s="2" t="s">
        <v>12367</v>
      </c>
    </row>
    <row r="2221">
      <c r="A2221" s="2" t="s">
        <v>12368</v>
      </c>
    </row>
    <row r="2223">
      <c r="A2223" s="2" t="s">
        <v>12369</v>
      </c>
    </row>
    <row r="2225">
      <c r="A2225" s="2" t="s">
        <v>12370</v>
      </c>
    </row>
    <row r="2227">
      <c r="A2227" s="2" t="s">
        <v>12371</v>
      </c>
    </row>
    <row r="2228">
      <c r="A2228" s="2" t="s">
        <v>12372</v>
      </c>
    </row>
    <row r="2230">
      <c r="A2230" s="2" t="s">
        <v>12373</v>
      </c>
    </row>
    <row r="2232">
      <c r="A2232" s="2" t="s">
        <v>12374</v>
      </c>
    </row>
    <row r="2234">
      <c r="A2234" s="2" t="s">
        <v>12375</v>
      </c>
    </row>
    <row r="2235">
      <c r="A2235" s="2" t="s">
        <v>12376</v>
      </c>
    </row>
    <row r="2237">
      <c r="A2237" s="2" t="s">
        <v>12377</v>
      </c>
    </row>
    <row r="2239">
      <c r="A2239" s="2" t="s">
        <v>12378</v>
      </c>
    </row>
    <row r="2241">
      <c r="A2241" s="2" t="s">
        <v>12379</v>
      </c>
    </row>
    <row r="2242">
      <c r="A2242" s="2" t="s">
        <v>12380</v>
      </c>
    </row>
    <row r="2244">
      <c r="A2244" s="2" t="s">
        <v>12381</v>
      </c>
    </row>
    <row r="2246">
      <c r="A2246" s="2" t="s">
        <v>12382</v>
      </c>
    </row>
    <row r="2248">
      <c r="A2248" s="2" t="s">
        <v>12383</v>
      </c>
    </row>
    <row r="2249">
      <c r="A2249" s="2" t="s">
        <v>12384</v>
      </c>
    </row>
    <row r="2251">
      <c r="A2251" s="2" t="s">
        <v>12385</v>
      </c>
    </row>
    <row r="2253">
      <c r="A2253" s="2" t="s">
        <v>12386</v>
      </c>
    </row>
    <row r="2254">
      <c r="A2254" s="2" t="s">
        <v>12387</v>
      </c>
    </row>
    <row r="2256">
      <c r="A2256" s="2" t="s">
        <v>12388</v>
      </c>
    </row>
    <row r="2258">
      <c r="A2258" s="2" t="s">
        <v>12389</v>
      </c>
    </row>
    <row r="2260">
      <c r="A2260" s="2" t="s">
        <v>12390</v>
      </c>
    </row>
    <row r="2261">
      <c r="A2261" s="2" t="s">
        <v>12391</v>
      </c>
    </row>
    <row r="2263">
      <c r="A2263" s="2" t="s">
        <v>12392</v>
      </c>
    </row>
    <row r="2265">
      <c r="A2265" s="2" t="s">
        <v>12393</v>
      </c>
    </row>
    <row r="2267">
      <c r="A2267" s="2" t="s">
        <v>12394</v>
      </c>
    </row>
    <row r="2268">
      <c r="A2268" s="2" t="s">
        <v>12395</v>
      </c>
    </row>
    <row r="2270">
      <c r="A2270" s="2" t="s">
        <v>12396</v>
      </c>
    </row>
    <row r="2272">
      <c r="A2272" s="2" t="s">
        <v>12397</v>
      </c>
    </row>
    <row r="2273">
      <c r="A2273" s="2" t="s">
        <v>12398</v>
      </c>
    </row>
    <row r="2275">
      <c r="A2275" s="2" t="s">
        <v>12399</v>
      </c>
    </row>
    <row r="2277">
      <c r="A2277" s="2" t="s">
        <v>12400</v>
      </c>
    </row>
    <row r="2279">
      <c r="A2279" s="2" t="s">
        <v>12401</v>
      </c>
    </row>
    <row r="2281">
      <c r="A2281" s="2" t="s">
        <v>12402</v>
      </c>
    </row>
    <row r="2282">
      <c r="A2282" s="2" t="s">
        <v>12403</v>
      </c>
    </row>
    <row r="2284">
      <c r="A2284" s="2" t="s">
        <v>12404</v>
      </c>
    </row>
    <row r="2286">
      <c r="A2286" s="2" t="s">
        <v>12405</v>
      </c>
    </row>
    <row r="2288">
      <c r="A2288" s="2" t="s">
        <v>12406</v>
      </c>
    </row>
    <row r="2290">
      <c r="A2290" s="2" t="s">
        <v>12407</v>
      </c>
    </row>
    <row r="2291">
      <c r="A2291" s="2" t="s">
        <v>12408</v>
      </c>
    </row>
    <row r="2293">
      <c r="A2293" s="2" t="s">
        <v>12409</v>
      </c>
    </row>
    <row r="2295">
      <c r="A2295" s="2" t="s">
        <v>12410</v>
      </c>
    </row>
    <row r="2297">
      <c r="A2297" s="2" t="s">
        <v>12411</v>
      </c>
    </row>
    <row r="2298">
      <c r="A2298" s="2" t="s">
        <v>12412</v>
      </c>
    </row>
    <row r="2300">
      <c r="A2300" s="2" t="s">
        <v>12413</v>
      </c>
    </row>
    <row r="2302">
      <c r="A2302" s="2" t="s">
        <v>12414</v>
      </c>
    </row>
    <row r="2304">
      <c r="A2304" s="2" t="s">
        <v>12415</v>
      </c>
    </row>
    <row r="2305">
      <c r="A2305" s="2" t="s">
        <v>12416</v>
      </c>
    </row>
    <row r="2307">
      <c r="A2307" s="2" t="s">
        <v>12417</v>
      </c>
    </row>
    <row r="2309">
      <c r="A2309" s="2" t="s">
        <v>12418</v>
      </c>
    </row>
    <row r="2311">
      <c r="A2311" s="2" t="s">
        <v>12419</v>
      </c>
    </row>
    <row r="2312">
      <c r="A2312" s="2" t="s">
        <v>12420</v>
      </c>
    </row>
    <row r="2314">
      <c r="A2314" s="2" t="s">
        <v>12421</v>
      </c>
    </row>
    <row r="2316">
      <c r="A2316" s="2" t="s">
        <v>12422</v>
      </c>
    </row>
    <row r="2318">
      <c r="A2318" s="2" t="s">
        <v>12423</v>
      </c>
    </row>
    <row r="2319">
      <c r="A2319" s="2" t="s">
        <v>12424</v>
      </c>
    </row>
    <row r="2321">
      <c r="A2321" s="2" t="s">
        <v>12425</v>
      </c>
    </row>
    <row r="2323">
      <c r="A2323" s="2" t="s">
        <v>12426</v>
      </c>
    </row>
    <row r="2325">
      <c r="A2325" s="2" t="s">
        <v>12427</v>
      </c>
    </row>
    <row r="2326">
      <c r="A2326" s="2" t="s">
        <v>12428</v>
      </c>
    </row>
    <row r="2328">
      <c r="A2328" s="2" t="s">
        <v>12429</v>
      </c>
    </row>
    <row r="2330">
      <c r="A2330" s="2" t="s">
        <v>12430</v>
      </c>
    </row>
    <row r="2331">
      <c r="A2331" s="2" t="s">
        <v>12431</v>
      </c>
    </row>
    <row r="2333">
      <c r="A2333" s="2" t="s">
        <v>12432</v>
      </c>
    </row>
    <row r="2335">
      <c r="A2335" s="2" t="s">
        <v>12433</v>
      </c>
    </row>
    <row r="2337">
      <c r="A2337" s="2" t="s">
        <v>12434</v>
      </c>
    </row>
    <row r="2338">
      <c r="A2338" s="2" t="s">
        <v>12435</v>
      </c>
    </row>
    <row r="2340">
      <c r="A2340" s="2" t="s">
        <v>12436</v>
      </c>
    </row>
    <row r="2342">
      <c r="A2342" s="2" t="s">
        <v>12437</v>
      </c>
    </row>
    <row r="2344">
      <c r="A2344" s="2" t="s">
        <v>12438</v>
      </c>
    </row>
    <row r="2345">
      <c r="A2345" s="2" t="s">
        <v>12439</v>
      </c>
    </row>
    <row r="2347">
      <c r="A2347" s="2" t="s">
        <v>12440</v>
      </c>
    </row>
    <row r="2349">
      <c r="A2349" s="2" t="s">
        <v>12441</v>
      </c>
    </row>
    <row r="2351">
      <c r="A2351" s="2" t="s">
        <v>12442</v>
      </c>
    </row>
    <row r="2352">
      <c r="A2352" s="2" t="s">
        <v>12443</v>
      </c>
    </row>
    <row r="2354">
      <c r="A2354" s="2" t="s">
        <v>12444</v>
      </c>
    </row>
    <row r="2356">
      <c r="A2356" s="2" t="s">
        <v>12445</v>
      </c>
    </row>
    <row r="2358">
      <c r="A2358" s="2" t="s">
        <v>12446</v>
      </c>
    </row>
    <row r="2359">
      <c r="A2359" s="2" t="s">
        <v>12447</v>
      </c>
    </row>
    <row r="2361">
      <c r="A2361" s="2" t="s">
        <v>12448</v>
      </c>
    </row>
    <row r="2363">
      <c r="A2363" s="2" t="s">
        <v>12449</v>
      </c>
    </row>
    <row r="2365">
      <c r="A2365" s="2" t="s">
        <v>12450</v>
      </c>
    </row>
    <row r="2366">
      <c r="A2366" s="2" t="s">
        <v>12451</v>
      </c>
    </row>
    <row r="2368">
      <c r="A2368" s="2" t="s">
        <v>12452</v>
      </c>
    </row>
    <row r="2370">
      <c r="A2370" s="2" t="s">
        <v>12453</v>
      </c>
    </row>
    <row r="2372">
      <c r="A2372" s="2" t="s">
        <v>12454</v>
      </c>
    </row>
    <row r="2374">
      <c r="A2374" s="2" t="s">
        <v>12455</v>
      </c>
    </row>
    <row r="2375">
      <c r="A2375" s="2" t="s">
        <v>12456</v>
      </c>
    </row>
    <row r="2377">
      <c r="A2377" s="2" t="s">
        <v>12457</v>
      </c>
    </row>
    <row r="2379">
      <c r="A2379" s="2" t="s">
        <v>12458</v>
      </c>
    </row>
    <row r="2381">
      <c r="A2381" s="2" t="s">
        <v>12459</v>
      </c>
    </row>
    <row r="2382">
      <c r="A2382" s="2" t="s">
        <v>12460</v>
      </c>
    </row>
    <row r="2384">
      <c r="A2384" s="2" t="s">
        <v>12461</v>
      </c>
    </row>
    <row r="2386">
      <c r="A2386" s="2" t="s">
        <v>12462</v>
      </c>
    </row>
    <row r="2388">
      <c r="A2388" s="2" t="s">
        <v>12463</v>
      </c>
    </row>
    <row r="2389">
      <c r="A2389" s="2" t="s">
        <v>12464</v>
      </c>
    </row>
    <row r="2391">
      <c r="A2391" s="2" t="s">
        <v>12465</v>
      </c>
    </row>
    <row r="2393">
      <c r="A2393" s="2" t="s">
        <v>12466</v>
      </c>
    </row>
    <row r="2394">
      <c r="A2394" s="2" t="s">
        <v>12467</v>
      </c>
    </row>
    <row r="2396">
      <c r="A2396" s="2" t="s">
        <v>12468</v>
      </c>
    </row>
    <row r="2398">
      <c r="A2398" s="2" t="s">
        <v>12469</v>
      </c>
    </row>
    <row r="2400">
      <c r="A2400" s="2" t="s">
        <v>12470</v>
      </c>
    </row>
    <row r="2402">
      <c r="A2402" s="2" t="s">
        <v>12471</v>
      </c>
    </row>
    <row r="2403">
      <c r="A2403" s="2" t="s">
        <v>12472</v>
      </c>
    </row>
    <row r="2405">
      <c r="A2405" s="2" t="s">
        <v>12473</v>
      </c>
    </row>
    <row r="2407">
      <c r="A2407" s="2" t="s">
        <v>12474</v>
      </c>
    </row>
    <row r="2408">
      <c r="A2408" s="2" t="s">
        <v>12475</v>
      </c>
    </row>
    <row r="2410">
      <c r="A2410" s="2" t="s">
        <v>12476</v>
      </c>
    </row>
    <row r="2412">
      <c r="A2412" s="2" t="s">
        <v>12477</v>
      </c>
    </row>
    <row r="2414">
      <c r="A2414" s="2" t="s">
        <v>12478</v>
      </c>
    </row>
    <row r="2415">
      <c r="A2415" s="2" t="s">
        <v>12479</v>
      </c>
    </row>
    <row r="2417">
      <c r="A2417" s="2" t="s">
        <v>12480</v>
      </c>
    </row>
    <row r="2419">
      <c r="A2419" s="2" t="s">
        <v>12481</v>
      </c>
    </row>
    <row r="2420">
      <c r="A2420" s="2" t="s">
        <v>12482</v>
      </c>
    </row>
    <row r="2422">
      <c r="A2422" s="2" t="s">
        <v>12483</v>
      </c>
    </row>
    <row r="2424">
      <c r="A2424" s="2" t="s">
        <v>12484</v>
      </c>
    </row>
    <row r="2425">
      <c r="A2425" s="2" t="s">
        <v>12485</v>
      </c>
    </row>
    <row r="2427">
      <c r="A2427" s="2" t="s">
        <v>12486</v>
      </c>
    </row>
    <row r="2429">
      <c r="A2429" s="2" t="s">
        <v>12487</v>
      </c>
    </row>
    <row r="2431">
      <c r="A2431" s="2" t="s">
        <v>12488</v>
      </c>
    </row>
    <row r="2432">
      <c r="A2432" s="2" t="s">
        <v>12489</v>
      </c>
    </row>
    <row r="2434">
      <c r="A2434" s="2" t="s">
        <v>12490</v>
      </c>
    </row>
    <row r="2436">
      <c r="A2436" s="2" t="s">
        <v>12491</v>
      </c>
    </row>
    <row r="2437">
      <c r="A2437" s="2" t="s">
        <v>12492</v>
      </c>
    </row>
    <row r="2439">
      <c r="A2439" s="2" t="s">
        <v>12493</v>
      </c>
    </row>
    <row r="2441">
      <c r="A2441" s="2" t="s">
        <v>12494</v>
      </c>
    </row>
    <row r="2443">
      <c r="A2443" s="2" t="s">
        <v>12495</v>
      </c>
    </row>
    <row r="2444">
      <c r="A2444" s="2" t="s">
        <v>12496</v>
      </c>
    </row>
    <row r="2446">
      <c r="A2446" s="2" t="s">
        <v>12497</v>
      </c>
    </row>
    <row r="2448">
      <c r="A2448" s="2" t="s">
        <v>12498</v>
      </c>
    </row>
    <row r="2450">
      <c r="A2450" s="2" t="s">
        <v>12499</v>
      </c>
    </row>
    <row r="2451">
      <c r="A2451" s="2" t="s">
        <v>12500</v>
      </c>
    </row>
    <row r="2453">
      <c r="A2453" s="2" t="s">
        <v>12501</v>
      </c>
    </row>
    <row r="2455">
      <c r="A2455" s="2" t="s">
        <v>12502</v>
      </c>
    </row>
    <row r="2457">
      <c r="A2457" s="2" t="s">
        <v>12503</v>
      </c>
    </row>
    <row r="2458">
      <c r="A2458" s="2" t="s">
        <v>12504</v>
      </c>
    </row>
    <row r="2460">
      <c r="A2460" s="2" t="s">
        <v>12505</v>
      </c>
    </row>
    <row r="2462">
      <c r="A2462" s="2" t="s">
        <v>12506</v>
      </c>
    </row>
    <row r="2463">
      <c r="A2463" s="2" t="s">
        <v>12507</v>
      </c>
    </row>
    <row r="2465">
      <c r="A2465" s="2" t="s">
        <v>12508</v>
      </c>
    </row>
    <row r="2467">
      <c r="A2467" s="2" t="s">
        <v>12509</v>
      </c>
    </row>
    <row r="2469">
      <c r="A2469" s="2" t="s">
        <v>12510</v>
      </c>
    </row>
    <row r="2470">
      <c r="A2470" s="2" t="s">
        <v>12511</v>
      </c>
    </row>
    <row r="2472">
      <c r="A2472" s="2" t="s">
        <v>12512</v>
      </c>
    </row>
    <row r="2474">
      <c r="A2474" s="2" t="s">
        <v>12513</v>
      </c>
    </row>
    <row r="2476">
      <c r="A2476" s="2" t="s">
        <v>12514</v>
      </c>
    </row>
    <row r="2477">
      <c r="A2477" s="2" t="s">
        <v>12515</v>
      </c>
    </row>
    <row r="2479">
      <c r="A2479" s="2" t="s">
        <v>12516</v>
      </c>
    </row>
    <row r="2481">
      <c r="A2481" s="2" t="s">
        <v>12517</v>
      </c>
    </row>
    <row r="2482">
      <c r="A2482" s="2" t="s">
        <v>12518</v>
      </c>
    </row>
    <row r="2484">
      <c r="A2484" s="2" t="s">
        <v>12519</v>
      </c>
    </row>
    <row r="2486">
      <c r="A2486" s="2" t="s">
        <v>12520</v>
      </c>
    </row>
    <row r="2487">
      <c r="A2487" s="2" t="s">
        <v>12521</v>
      </c>
    </row>
    <row r="2489">
      <c r="A2489" s="2" t="s">
        <v>12522</v>
      </c>
    </row>
    <row r="2491">
      <c r="A2491" s="2" t="s">
        <v>12523</v>
      </c>
    </row>
    <row r="2493">
      <c r="A2493" s="2" t="s">
        <v>12524</v>
      </c>
    </row>
    <row r="2494">
      <c r="A2494" s="2" t="s">
        <v>12525</v>
      </c>
    </row>
    <row r="2496">
      <c r="A2496" s="2" t="s">
        <v>12526</v>
      </c>
    </row>
    <row r="2498">
      <c r="A2498" s="2" t="s">
        <v>12527</v>
      </c>
    </row>
    <row r="2500">
      <c r="A2500" s="2" t="s">
        <v>12528</v>
      </c>
    </row>
    <row r="2501">
      <c r="A2501" s="2" t="s">
        <v>12529</v>
      </c>
    </row>
    <row r="2503">
      <c r="A2503" s="2" t="s">
        <v>12530</v>
      </c>
    </row>
    <row r="2505">
      <c r="A2505" s="2" t="s">
        <v>12531</v>
      </c>
    </row>
    <row r="2507">
      <c r="A2507" s="2" t="s">
        <v>12532</v>
      </c>
    </row>
    <row r="2508">
      <c r="A2508" s="2" t="s">
        <v>12533</v>
      </c>
    </row>
    <row r="2510">
      <c r="A2510" s="2" t="s">
        <v>12534</v>
      </c>
    </row>
    <row r="2512">
      <c r="A2512" s="2" t="s">
        <v>12535</v>
      </c>
    </row>
    <row r="2514">
      <c r="A2514" s="2" t="s">
        <v>12536</v>
      </c>
    </row>
    <row r="2515">
      <c r="A2515" s="2" t="s">
        <v>12537</v>
      </c>
    </row>
    <row r="2517">
      <c r="A2517" s="2" t="s">
        <v>12538</v>
      </c>
    </row>
    <row r="2519">
      <c r="A2519" s="2" t="s">
        <v>12539</v>
      </c>
    </row>
    <row r="2520">
      <c r="A2520" s="2" t="s">
        <v>12540</v>
      </c>
    </row>
    <row r="2522">
      <c r="A2522" s="2" t="s">
        <v>12541</v>
      </c>
    </row>
    <row r="2524">
      <c r="A2524" s="2" t="s">
        <v>12542</v>
      </c>
    </row>
    <row r="2526">
      <c r="A2526" s="2" t="s">
        <v>12543</v>
      </c>
    </row>
    <row r="2528">
      <c r="A2528" s="2" t="s">
        <v>12544</v>
      </c>
    </row>
    <row r="2529">
      <c r="A2529" s="2" t="s">
        <v>12545</v>
      </c>
    </row>
    <row r="2531">
      <c r="A2531" s="2" t="s">
        <v>12546</v>
      </c>
    </row>
    <row r="2533">
      <c r="A2533" s="2" t="s">
        <v>12547</v>
      </c>
    </row>
    <row r="2535">
      <c r="A2535" s="2" t="s">
        <v>12548</v>
      </c>
    </row>
    <row r="2536">
      <c r="A2536" s="2" t="s">
        <v>12549</v>
      </c>
    </row>
    <row r="2538">
      <c r="A2538" s="2" t="s">
        <v>12550</v>
      </c>
    </row>
    <row r="2540">
      <c r="A2540" s="2" t="s">
        <v>12551</v>
      </c>
    </row>
    <row r="2542">
      <c r="A2542" s="2" t="s">
        <v>12552</v>
      </c>
    </row>
    <row r="2543">
      <c r="A2543" s="2" t="s">
        <v>12553</v>
      </c>
    </row>
    <row r="2545">
      <c r="A2545" s="2" t="s">
        <v>12554</v>
      </c>
    </row>
    <row r="2547">
      <c r="A2547" s="2" t="s">
        <v>12555</v>
      </c>
    </row>
    <row r="2549">
      <c r="A2549" s="2" t="s">
        <v>12556</v>
      </c>
    </row>
    <row r="2550">
      <c r="A2550" s="2" t="s">
        <v>12557</v>
      </c>
    </row>
    <row r="2552">
      <c r="A2552" s="2" t="s">
        <v>12558</v>
      </c>
    </row>
    <row r="2554">
      <c r="A2554" s="2" t="s">
        <v>12559</v>
      </c>
    </row>
    <row r="2555">
      <c r="A2555" s="2" t="s">
        <v>12560</v>
      </c>
    </row>
    <row r="2557">
      <c r="A2557" s="2" t="s">
        <v>12561</v>
      </c>
    </row>
    <row r="2559">
      <c r="A2559" s="2" t="s">
        <v>12562</v>
      </c>
    </row>
    <row r="2561">
      <c r="A2561" s="2" t="s">
        <v>12563</v>
      </c>
    </row>
    <row r="2563">
      <c r="A2563" s="2" t="s">
        <v>12564</v>
      </c>
    </row>
    <row r="2564">
      <c r="A2564" s="2" t="s">
        <v>12565</v>
      </c>
    </row>
    <row r="2566">
      <c r="A2566" s="2" t="s">
        <v>12566</v>
      </c>
    </row>
    <row r="2568">
      <c r="A2568" s="2" t="s">
        <v>12567</v>
      </c>
    </row>
    <row r="2569">
      <c r="A2569" s="2" t="s">
        <v>12568</v>
      </c>
    </row>
    <row r="2571">
      <c r="A2571" s="2" t="s">
        <v>12569</v>
      </c>
    </row>
    <row r="2573">
      <c r="A2573" s="2" t="s">
        <v>12570</v>
      </c>
    </row>
    <row r="2575">
      <c r="A2575" s="2" t="s">
        <v>12571</v>
      </c>
    </row>
    <row r="2577">
      <c r="A2577" s="2" t="s">
        <v>12572</v>
      </c>
    </row>
    <row r="2578">
      <c r="A2578" s="2" t="s">
        <v>12573</v>
      </c>
    </row>
    <row r="2580">
      <c r="A2580" s="2" t="s">
        <v>12574</v>
      </c>
    </row>
    <row r="2582">
      <c r="A2582" s="2" t="s">
        <v>12575</v>
      </c>
    </row>
    <row r="2584">
      <c r="A2584" s="2" t="s">
        <v>12576</v>
      </c>
    </row>
    <row r="2585">
      <c r="A2585" s="2" t="s">
        <v>12577</v>
      </c>
    </row>
    <row r="2587">
      <c r="A2587" s="2" t="s">
        <v>12578</v>
      </c>
    </row>
    <row r="2589">
      <c r="A2589" s="2" t="s">
        <v>12579</v>
      </c>
    </row>
    <row r="2591">
      <c r="A2591" s="2" t="s">
        <v>12580</v>
      </c>
    </row>
    <row r="2592">
      <c r="A2592" s="2" t="s">
        <v>12581</v>
      </c>
    </row>
    <row r="2594">
      <c r="A2594" s="2" t="s">
        <v>12582</v>
      </c>
    </row>
    <row r="2596">
      <c r="A2596" s="2" t="s">
        <v>12583</v>
      </c>
    </row>
    <row r="2598">
      <c r="A2598" s="2" t="s">
        <v>12584</v>
      </c>
    </row>
    <row r="2599">
      <c r="A2599" s="2" t="s">
        <v>12585</v>
      </c>
    </row>
    <row r="2601">
      <c r="A2601" s="2" t="s">
        <v>12586</v>
      </c>
    </row>
    <row r="2603">
      <c r="A2603" s="2" t="s">
        <v>12587</v>
      </c>
    </row>
    <row r="2605">
      <c r="A2605" s="2" t="s">
        <v>12588</v>
      </c>
    </row>
    <row r="2606">
      <c r="A2606" s="2" t="s">
        <v>12589</v>
      </c>
    </row>
    <row r="2608">
      <c r="A2608" s="2" t="s">
        <v>12590</v>
      </c>
    </row>
    <row r="2610">
      <c r="A2610" s="2" t="s">
        <v>12591</v>
      </c>
    </row>
    <row r="2612">
      <c r="A2612" s="2" t="s">
        <v>12592</v>
      </c>
    </row>
    <row r="2613">
      <c r="A2613" s="2" t="s">
        <v>12593</v>
      </c>
    </row>
    <row r="2615">
      <c r="A2615" s="2" t="s">
        <v>12594</v>
      </c>
    </row>
    <row r="2617">
      <c r="A2617" s="2" t="s">
        <v>12595</v>
      </c>
    </row>
    <row r="2619">
      <c r="A2619" s="2" t="s">
        <v>12596</v>
      </c>
    </row>
    <row r="2620">
      <c r="A2620" s="2" t="s">
        <v>12597</v>
      </c>
    </row>
    <row r="2622">
      <c r="A2622" s="2" t="s">
        <v>12598</v>
      </c>
    </row>
    <row r="2624">
      <c r="A2624" s="2" t="s">
        <v>12599</v>
      </c>
    </row>
    <row r="2625">
      <c r="A2625" s="2" t="s">
        <v>12600</v>
      </c>
    </row>
    <row r="2627">
      <c r="A2627" s="2" t="s">
        <v>12601</v>
      </c>
    </row>
    <row r="2629">
      <c r="A2629" s="2" t="s">
        <v>12602</v>
      </c>
    </row>
    <row r="2631">
      <c r="A2631" s="2" t="s">
        <v>12603</v>
      </c>
    </row>
    <row r="2632">
      <c r="A2632" s="2" t="s">
        <v>12604</v>
      </c>
    </row>
    <row r="2633">
      <c r="A2633" s="2" t="s">
        <v>7462</v>
      </c>
    </row>
    <row r="2635">
      <c r="A2635" s="2" t="s">
        <v>12605</v>
      </c>
    </row>
    <row r="2637">
      <c r="A2637" s="2" t="s">
        <v>12606</v>
      </c>
    </row>
    <row r="2639">
      <c r="A2639" s="2" t="s">
        <v>12607</v>
      </c>
    </row>
    <row r="2641">
      <c r="A2641" s="2" t="s">
        <v>12608</v>
      </c>
    </row>
    <row r="2642">
      <c r="A2642" s="2" t="s">
        <v>12609</v>
      </c>
    </row>
    <row r="2644">
      <c r="A2644" s="2" t="s">
        <v>12610</v>
      </c>
    </row>
    <row r="2646">
      <c r="A2646" s="2" t="s">
        <v>12611</v>
      </c>
    </row>
    <row r="2648">
      <c r="A2648" s="2" t="s">
        <v>12612</v>
      </c>
    </row>
    <row r="2649">
      <c r="A2649" s="2" t="s">
        <v>12613</v>
      </c>
    </row>
    <row r="2651">
      <c r="A2651" s="2" t="s">
        <v>12614</v>
      </c>
    </row>
    <row r="2653">
      <c r="A2653" s="2" t="s">
        <v>12615</v>
      </c>
    </row>
    <row r="2655">
      <c r="A2655" s="2" t="s">
        <v>12616</v>
      </c>
    </row>
    <row r="2656">
      <c r="A2656" s="2" t="s">
        <v>12617</v>
      </c>
    </row>
    <row r="2658">
      <c r="A2658" s="2" t="s">
        <v>12618</v>
      </c>
    </row>
    <row r="2660">
      <c r="A2660" s="2" t="s">
        <v>12619</v>
      </c>
    </row>
    <row r="2662">
      <c r="A2662" s="2" t="s">
        <v>12620</v>
      </c>
    </row>
    <row r="2663">
      <c r="A2663" s="2" t="s">
        <v>12621</v>
      </c>
    </row>
    <row r="2665">
      <c r="A2665" s="2" t="s">
        <v>12622</v>
      </c>
    </row>
    <row r="2667">
      <c r="A2667" s="2" t="s">
        <v>12623</v>
      </c>
    </row>
    <row r="2669">
      <c r="A2669" s="2" t="s">
        <v>12624</v>
      </c>
    </row>
    <row r="2670">
      <c r="A2670" s="2" t="s">
        <v>12625</v>
      </c>
    </row>
    <row r="2672">
      <c r="A2672" s="2" t="s">
        <v>12626</v>
      </c>
    </row>
    <row r="2674">
      <c r="A2674" s="2" t="s">
        <v>12627</v>
      </c>
    </row>
    <row r="2675">
      <c r="A2675" s="2" t="s">
        <v>12628</v>
      </c>
    </row>
    <row r="2677">
      <c r="A2677" s="2" t="s">
        <v>12629</v>
      </c>
    </row>
    <row r="2679">
      <c r="A2679" s="2" t="s">
        <v>12630</v>
      </c>
    </row>
    <row r="2680">
      <c r="A2680" s="2" t="s">
        <v>12631</v>
      </c>
    </row>
    <row r="2682">
      <c r="A2682" s="2" t="s">
        <v>12632</v>
      </c>
    </row>
    <row r="2684">
      <c r="A2684" s="2" t="s">
        <v>12633</v>
      </c>
    </row>
    <row r="2686">
      <c r="A2686" s="2" t="s">
        <v>12634</v>
      </c>
    </row>
    <row r="2687">
      <c r="A2687" s="2" t="s">
        <v>12635</v>
      </c>
    </row>
    <row r="2689">
      <c r="A2689" s="2" t="s">
        <v>12636</v>
      </c>
    </row>
    <row r="2691">
      <c r="A2691" s="2" t="s">
        <v>12637</v>
      </c>
    </row>
    <row r="2693">
      <c r="A2693" s="2" t="s">
        <v>12638</v>
      </c>
    </row>
    <row r="2695">
      <c r="A2695" s="2" t="s">
        <v>12639</v>
      </c>
    </row>
    <row r="2696">
      <c r="A2696" s="2" t="s">
        <v>12640</v>
      </c>
    </row>
    <row r="2698">
      <c r="A2698" s="2" t="s">
        <v>12641</v>
      </c>
    </row>
    <row r="2700">
      <c r="A2700" s="2" t="s">
        <v>12642</v>
      </c>
    </row>
    <row r="2702">
      <c r="A2702" s="2" t="s">
        <v>12643</v>
      </c>
    </row>
    <row r="2703">
      <c r="A2703" s="2" t="s">
        <v>12644</v>
      </c>
    </row>
    <row r="2705">
      <c r="A2705" s="2" t="s">
        <v>12645</v>
      </c>
    </row>
    <row r="2707">
      <c r="A2707" s="2" t="s">
        <v>12646</v>
      </c>
    </row>
    <row r="2709">
      <c r="A2709" s="2" t="s">
        <v>12647</v>
      </c>
    </row>
    <row r="2710">
      <c r="A2710" s="2" t="s">
        <v>12648</v>
      </c>
    </row>
    <row r="2712">
      <c r="A2712" s="2" t="s">
        <v>12649</v>
      </c>
    </row>
    <row r="2714">
      <c r="A2714" s="2" t="s">
        <v>12650</v>
      </c>
    </row>
    <row r="2715">
      <c r="A2715" s="2" t="s">
        <v>12651</v>
      </c>
    </row>
    <row r="2717">
      <c r="A2717" s="2" t="s">
        <v>12652</v>
      </c>
    </row>
    <row r="2719">
      <c r="A2719" s="2" t="s">
        <v>12653</v>
      </c>
    </row>
    <row r="2721">
      <c r="A2721" s="2" t="s">
        <v>12654</v>
      </c>
    </row>
    <row r="2723">
      <c r="A2723" s="2" t="s">
        <v>12655</v>
      </c>
    </row>
    <row r="2724">
      <c r="A2724" s="2" t="s">
        <v>12656</v>
      </c>
    </row>
    <row r="2726">
      <c r="A2726" s="2" t="s">
        <v>12657</v>
      </c>
    </row>
    <row r="2728">
      <c r="A2728" s="2" t="s">
        <v>12658</v>
      </c>
    </row>
    <row r="2729">
      <c r="A2729" s="2" t="s">
        <v>12659</v>
      </c>
    </row>
    <row r="2731">
      <c r="A2731" s="2" t="s">
        <v>12660</v>
      </c>
    </row>
    <row r="2733">
      <c r="A2733" s="2" t="s">
        <v>12661</v>
      </c>
    </row>
    <row r="2735">
      <c r="A2735" s="2" t="s">
        <v>12662</v>
      </c>
    </row>
    <row r="2736">
      <c r="A2736" s="2" t="s">
        <v>12663</v>
      </c>
    </row>
    <row r="2738">
      <c r="A2738" s="2" t="s">
        <v>12664</v>
      </c>
    </row>
    <row r="2740">
      <c r="A2740" s="2" t="s">
        <v>12665</v>
      </c>
    </row>
    <row r="2741">
      <c r="A2741" s="2" t="s">
        <v>12666</v>
      </c>
    </row>
    <row r="2743">
      <c r="A2743" s="2" t="s">
        <v>12667</v>
      </c>
    </row>
    <row r="2745">
      <c r="A2745" s="2" t="s">
        <v>12668</v>
      </c>
    </row>
    <row r="2746">
      <c r="A2746" s="2" t="s">
        <v>12669</v>
      </c>
    </row>
    <row r="2748">
      <c r="A2748" s="2" t="s">
        <v>12670</v>
      </c>
    </row>
    <row r="2750">
      <c r="A2750" s="2" t="s">
        <v>12671</v>
      </c>
    </row>
    <row r="2752">
      <c r="A2752" s="2" t="s">
        <v>12672</v>
      </c>
    </row>
    <row r="2754">
      <c r="A2754" s="2" t="s">
        <v>12673</v>
      </c>
    </row>
    <row r="2755">
      <c r="A2755" s="2" t="s">
        <v>12674</v>
      </c>
    </row>
    <row r="2757">
      <c r="A2757" s="2" t="s">
        <v>12675</v>
      </c>
    </row>
    <row r="2759">
      <c r="A2759" s="2" t="s">
        <v>12676</v>
      </c>
    </row>
    <row r="2761">
      <c r="A2761" s="2" t="s">
        <v>12677</v>
      </c>
    </row>
    <row r="2762">
      <c r="A2762" s="2" t="s">
        <v>12678</v>
      </c>
    </row>
    <row r="2764">
      <c r="A2764" s="2" t="s">
        <v>12679</v>
      </c>
    </row>
    <row r="2766">
      <c r="A2766" s="2" t="s">
        <v>12680</v>
      </c>
    </row>
    <row r="2768">
      <c r="A2768" s="2" t="s">
        <v>12681</v>
      </c>
    </row>
    <row r="2769">
      <c r="A2769" s="2" t="s">
        <v>12682</v>
      </c>
    </row>
    <row r="2771">
      <c r="A2771" s="2" t="s">
        <v>12683</v>
      </c>
    </row>
    <row r="2773">
      <c r="A2773" s="2" t="s">
        <v>12684</v>
      </c>
    </row>
    <row r="2775">
      <c r="A2775" s="2" t="s">
        <v>12685</v>
      </c>
    </row>
    <row r="2776">
      <c r="A2776" s="2" t="s">
        <v>12686</v>
      </c>
    </row>
    <row r="2778">
      <c r="A2778" s="2" t="s">
        <v>12687</v>
      </c>
    </row>
    <row r="2780">
      <c r="A2780" s="2" t="s">
        <v>12688</v>
      </c>
    </row>
    <row r="2782">
      <c r="A2782" s="2" t="s">
        <v>12689</v>
      </c>
    </row>
    <row r="2783">
      <c r="A2783" s="2" t="s">
        <v>12690</v>
      </c>
    </row>
    <row r="2785">
      <c r="A2785" s="2" t="s">
        <v>12691</v>
      </c>
    </row>
    <row r="2787">
      <c r="A2787" s="2" t="s">
        <v>12692</v>
      </c>
    </row>
    <row r="2789">
      <c r="A2789" s="2" t="s">
        <v>12693</v>
      </c>
    </row>
    <row r="2790">
      <c r="A2790" s="2" t="s">
        <v>12694</v>
      </c>
    </row>
    <row r="2792">
      <c r="A2792" s="2" t="s">
        <v>12695</v>
      </c>
    </row>
    <row r="2794">
      <c r="A2794" s="2" t="s">
        <v>12696</v>
      </c>
    </row>
    <row r="2796">
      <c r="A2796" s="2" t="s">
        <v>12697</v>
      </c>
    </row>
    <row r="2797">
      <c r="A2797" s="2" t="s">
        <v>12698</v>
      </c>
    </row>
    <row r="2799">
      <c r="A2799" s="2" t="s">
        <v>12699</v>
      </c>
    </row>
    <row r="2801">
      <c r="A2801" s="2" t="s">
        <v>12700</v>
      </c>
    </row>
    <row r="2802">
      <c r="A2802" s="2" t="s">
        <v>12701</v>
      </c>
    </row>
    <row r="2804">
      <c r="A2804" s="2" t="s">
        <v>12702</v>
      </c>
    </row>
    <row r="2806">
      <c r="A2806" s="2" t="s">
        <v>12703</v>
      </c>
    </row>
    <row r="2808">
      <c r="A2808" s="2" t="s">
        <v>12704</v>
      </c>
    </row>
    <row r="2809">
      <c r="A2809" s="2" t="s">
        <v>12705</v>
      </c>
    </row>
    <row r="2811">
      <c r="A2811" s="2" t="s">
        <v>12706</v>
      </c>
    </row>
    <row r="2813">
      <c r="A2813" s="2" t="s">
        <v>12707</v>
      </c>
    </row>
    <row r="2815">
      <c r="A2815" s="2" t="s">
        <v>12708</v>
      </c>
    </row>
    <row r="2816">
      <c r="A2816" s="2" t="s">
        <v>12709</v>
      </c>
    </row>
    <row r="2818">
      <c r="A2818" s="2" t="s">
        <v>12710</v>
      </c>
    </row>
    <row r="2820">
      <c r="A2820" s="2" t="s">
        <v>12711</v>
      </c>
    </row>
    <row r="2822">
      <c r="A2822" s="2" t="s">
        <v>12712</v>
      </c>
    </row>
    <row r="2823">
      <c r="A2823" s="2" t="s">
        <v>12713</v>
      </c>
    </row>
    <row r="2825">
      <c r="A2825" s="2" t="s">
        <v>12714</v>
      </c>
    </row>
    <row r="2827">
      <c r="A2827" s="2" t="s">
        <v>12715</v>
      </c>
    </row>
    <row r="2828">
      <c r="A2828" s="2" t="s">
        <v>12716</v>
      </c>
    </row>
    <row r="2830">
      <c r="A2830" s="2" t="s">
        <v>12717</v>
      </c>
    </row>
    <row r="2832">
      <c r="A2832" s="2" t="s">
        <v>12718</v>
      </c>
    </row>
    <row r="2834">
      <c r="A2834" s="2" t="s">
        <v>12719</v>
      </c>
    </row>
    <row r="2835">
      <c r="A2835" s="2" t="s">
        <v>12720</v>
      </c>
    </row>
    <row r="2837">
      <c r="A2837" s="2" t="s">
        <v>12721</v>
      </c>
    </row>
    <row r="2839">
      <c r="A2839" s="2" t="s">
        <v>12722</v>
      </c>
    </row>
    <row r="2841">
      <c r="A2841" s="2" t="s">
        <v>12723</v>
      </c>
    </row>
    <row r="2842">
      <c r="A2842" s="2" t="s">
        <v>12724</v>
      </c>
    </row>
    <row r="2844">
      <c r="A2844" s="2" t="s">
        <v>12725</v>
      </c>
    </row>
    <row r="2846">
      <c r="A2846" s="2" t="s">
        <v>12726</v>
      </c>
    </row>
    <row r="2847">
      <c r="A2847" s="2" t="s">
        <v>12727</v>
      </c>
    </row>
    <row r="2849">
      <c r="A2849" s="2" t="s">
        <v>12728</v>
      </c>
    </row>
    <row r="2851">
      <c r="A2851" s="2" t="s">
        <v>12729</v>
      </c>
    </row>
    <row r="2853">
      <c r="A2853" s="2" t="s">
        <v>12730</v>
      </c>
    </row>
    <row r="2854">
      <c r="A2854" s="2" t="s">
        <v>12731</v>
      </c>
    </row>
    <row r="2856">
      <c r="A2856" s="2" t="s">
        <v>12732</v>
      </c>
    </row>
    <row r="2858">
      <c r="A2858" s="2" t="s">
        <v>12733</v>
      </c>
    </row>
    <row r="2860">
      <c r="A2860" s="2" t="s">
        <v>12734</v>
      </c>
    </row>
    <row r="2861">
      <c r="A2861" s="2" t="s">
        <v>12735</v>
      </c>
    </row>
    <row r="2863">
      <c r="A2863" s="2" t="s">
        <v>12736</v>
      </c>
    </row>
    <row r="2865">
      <c r="A2865" s="2" t="s">
        <v>12737</v>
      </c>
    </row>
    <row r="2867">
      <c r="A2867" s="2" t="s">
        <v>12738</v>
      </c>
    </row>
    <row r="2868">
      <c r="A2868" s="2" t="s">
        <v>12739</v>
      </c>
    </row>
    <row r="2870">
      <c r="A2870" s="2" t="s">
        <v>12740</v>
      </c>
    </row>
    <row r="2872">
      <c r="A2872" s="2" t="s">
        <v>12741</v>
      </c>
    </row>
    <row r="2873">
      <c r="A2873" s="2" t="s">
        <v>12742</v>
      </c>
    </row>
    <row r="2875">
      <c r="A2875" s="2" t="s">
        <v>12743</v>
      </c>
    </row>
    <row r="2877">
      <c r="A2877" s="2" t="s">
        <v>12744</v>
      </c>
    </row>
    <row r="2879">
      <c r="A2879" s="2" t="s">
        <v>12745</v>
      </c>
    </row>
    <row r="2880">
      <c r="A2880" s="2" t="s">
        <v>12746</v>
      </c>
    </row>
    <row r="2882">
      <c r="A2882" s="2" t="s">
        <v>12747</v>
      </c>
    </row>
    <row r="2884">
      <c r="A2884" s="2" t="s">
        <v>12748</v>
      </c>
    </row>
    <row r="2886">
      <c r="A2886" s="2" t="s">
        <v>12749</v>
      </c>
    </row>
    <row r="2887">
      <c r="A2887" s="2" t="s">
        <v>12750</v>
      </c>
    </row>
    <row r="2889">
      <c r="A2889" s="2" t="s">
        <v>12751</v>
      </c>
    </row>
    <row r="2891">
      <c r="A2891" s="2" t="s">
        <v>12752</v>
      </c>
    </row>
    <row r="2893">
      <c r="A2893" s="2" t="s">
        <v>12753</v>
      </c>
    </row>
    <row r="2894">
      <c r="A2894" s="2" t="s">
        <v>12754</v>
      </c>
    </row>
    <row r="2896">
      <c r="A2896" s="2" t="s">
        <v>12755</v>
      </c>
    </row>
    <row r="2898">
      <c r="A2898" s="2" t="s">
        <v>12756</v>
      </c>
    </row>
    <row r="2900">
      <c r="A2900" s="2" t="s">
        <v>12757</v>
      </c>
    </row>
    <row r="2901">
      <c r="A2901" s="2" t="s">
        <v>12758</v>
      </c>
    </row>
    <row r="2903">
      <c r="A2903" s="2" t="s">
        <v>12759</v>
      </c>
    </row>
    <row r="2905">
      <c r="A2905" s="2" t="s">
        <v>12760</v>
      </c>
    </row>
    <row r="2907">
      <c r="A2907" s="2" t="s">
        <v>12761</v>
      </c>
    </row>
    <row r="2908">
      <c r="A2908" s="2" t="s">
        <v>12762</v>
      </c>
    </row>
    <row r="2910">
      <c r="A2910" s="2" t="s">
        <v>12763</v>
      </c>
    </row>
    <row r="2912">
      <c r="A2912" s="2" t="s">
        <v>12764</v>
      </c>
    </row>
    <row r="2914">
      <c r="A2914" s="2" t="s">
        <v>12765</v>
      </c>
    </row>
    <row r="2915">
      <c r="A2915" s="2" t="s">
        <v>12766</v>
      </c>
    </row>
    <row r="2917">
      <c r="A2917" s="2" t="s">
        <v>12767</v>
      </c>
    </row>
    <row r="2919">
      <c r="A2919" s="2" t="s">
        <v>12768</v>
      </c>
    </row>
    <row r="2920">
      <c r="A2920" s="2" t="s">
        <v>12769</v>
      </c>
    </row>
    <row r="2922">
      <c r="A2922" s="2" t="s">
        <v>12770</v>
      </c>
    </row>
    <row r="2924">
      <c r="A2924" s="2" t="s">
        <v>12771</v>
      </c>
    </row>
    <row r="2926">
      <c r="A2926" s="2" t="s">
        <v>12772</v>
      </c>
    </row>
    <row r="2927">
      <c r="A2927" s="2" t="s">
        <v>12773</v>
      </c>
    </row>
    <row r="2929">
      <c r="A2929" s="2" t="s">
        <v>12774</v>
      </c>
    </row>
    <row r="2931">
      <c r="A2931" s="2" t="s">
        <v>12775</v>
      </c>
    </row>
    <row r="2933">
      <c r="A2933" s="2" t="s">
        <v>12776</v>
      </c>
    </row>
    <row r="2934">
      <c r="A2934" s="2" t="s">
        <v>12777</v>
      </c>
    </row>
    <row r="2936">
      <c r="A2936" s="2" t="s">
        <v>12778</v>
      </c>
    </row>
    <row r="2938">
      <c r="A2938" s="2" t="s">
        <v>12779</v>
      </c>
    </row>
    <row r="2940">
      <c r="A2940" s="2" t="s">
        <v>12780</v>
      </c>
    </row>
    <row r="2941">
      <c r="A2941" s="2" t="s">
        <v>12781</v>
      </c>
    </row>
    <row r="2943">
      <c r="A2943" s="2" t="s">
        <v>12782</v>
      </c>
    </row>
    <row r="2945">
      <c r="A2945" s="2" t="s">
        <v>12783</v>
      </c>
    </row>
    <row r="2947">
      <c r="A2947" s="2" t="s">
        <v>12784</v>
      </c>
    </row>
    <row r="2948">
      <c r="A2948" s="2" t="s">
        <v>12785</v>
      </c>
    </row>
    <row r="2950">
      <c r="A2950" s="2" t="s">
        <v>12786</v>
      </c>
    </row>
    <row r="2952">
      <c r="A2952" s="2" t="s">
        <v>12787</v>
      </c>
    </row>
    <row r="2954">
      <c r="A2954" s="2" t="s">
        <v>12788</v>
      </c>
    </row>
    <row r="2955">
      <c r="A2955" s="2" t="s">
        <v>12789</v>
      </c>
    </row>
    <row r="2957">
      <c r="A2957" s="2" t="s">
        <v>12790</v>
      </c>
    </row>
    <row r="2959">
      <c r="A2959" s="2" t="s">
        <v>12791</v>
      </c>
    </row>
    <row r="2961">
      <c r="A2961" s="2" t="s">
        <v>12792</v>
      </c>
    </row>
    <row r="2962">
      <c r="A2962" s="2" t="s">
        <v>12793</v>
      </c>
    </row>
    <row r="2964">
      <c r="A2964" s="2" t="s">
        <v>12794</v>
      </c>
    </row>
    <row r="2966">
      <c r="A2966" s="2" t="s">
        <v>12795</v>
      </c>
    </row>
    <row r="2968">
      <c r="A2968" s="2" t="s">
        <v>12796</v>
      </c>
    </row>
    <row r="2969">
      <c r="A2969" s="2" t="s">
        <v>12797</v>
      </c>
    </row>
    <row r="2971">
      <c r="A2971" s="2" t="s">
        <v>12798</v>
      </c>
    </row>
    <row r="2973">
      <c r="A2973" s="2" t="s">
        <v>12799</v>
      </c>
    </row>
    <row r="2974">
      <c r="A2974" s="2" t="s">
        <v>12800</v>
      </c>
    </row>
    <row r="2976">
      <c r="A2976" s="2" t="s">
        <v>12801</v>
      </c>
    </row>
    <row r="2978">
      <c r="A2978" s="2" t="s">
        <v>12802</v>
      </c>
    </row>
    <row r="2980">
      <c r="A2980" s="2" t="s">
        <v>12803</v>
      </c>
    </row>
    <row r="2981">
      <c r="A2981" s="2" t="s">
        <v>12804</v>
      </c>
    </row>
    <row r="2983">
      <c r="A2983" s="2" t="s">
        <v>12805</v>
      </c>
    </row>
    <row r="2985">
      <c r="A2985" s="2" t="s">
        <v>12806</v>
      </c>
    </row>
    <row r="2987">
      <c r="A2987" s="2" t="s">
        <v>12807</v>
      </c>
    </row>
    <row r="2988">
      <c r="A2988" s="2" t="s">
        <v>12808</v>
      </c>
    </row>
    <row r="2990">
      <c r="A2990" s="2" t="s">
        <v>12809</v>
      </c>
    </row>
    <row r="2992">
      <c r="A2992" s="2" t="s">
        <v>12810</v>
      </c>
    </row>
    <row r="2994">
      <c r="A2994" s="2" t="s">
        <v>12811</v>
      </c>
    </row>
    <row r="2995">
      <c r="A2995" s="2" t="s">
        <v>12812</v>
      </c>
    </row>
    <row r="2997">
      <c r="A2997" s="2" t="s">
        <v>12813</v>
      </c>
    </row>
    <row r="2999">
      <c r="A2999" s="2" t="s">
        <v>12814</v>
      </c>
    </row>
    <row r="3001">
      <c r="A3001" s="2" t="s">
        <v>12815</v>
      </c>
    </row>
    <row r="3002">
      <c r="A3002" s="2" t="s">
        <v>12816</v>
      </c>
    </row>
    <row r="3004">
      <c r="A3004" s="2" t="s">
        <v>12817</v>
      </c>
    </row>
    <row r="3006">
      <c r="A3006" s="2" t="s">
        <v>12818</v>
      </c>
    </row>
    <row r="3008">
      <c r="A3008" s="2" t="s">
        <v>12819</v>
      </c>
    </row>
    <row r="3009">
      <c r="A3009" s="2" t="s">
        <v>12820</v>
      </c>
    </row>
    <row r="3011">
      <c r="A3011" s="2" t="s">
        <v>12821</v>
      </c>
    </row>
    <row r="3013">
      <c r="A3013" s="2" t="s">
        <v>12822</v>
      </c>
    </row>
    <row r="3015">
      <c r="A3015" s="2" t="s">
        <v>12823</v>
      </c>
    </row>
    <row r="3016">
      <c r="A3016" s="2" t="s">
        <v>12824</v>
      </c>
    </row>
    <row r="3018">
      <c r="A3018" s="2" t="s">
        <v>12825</v>
      </c>
    </row>
    <row r="3020">
      <c r="A3020" s="2" t="s">
        <v>12826</v>
      </c>
    </row>
    <row r="3022">
      <c r="A3022" s="2" t="s">
        <v>12827</v>
      </c>
    </row>
    <row r="3023">
      <c r="A3023" s="2" t="s">
        <v>12828</v>
      </c>
    </row>
    <row r="3025">
      <c r="A3025" s="2" t="s">
        <v>12829</v>
      </c>
    </row>
    <row r="3027">
      <c r="A3027" s="2" t="s">
        <v>12830</v>
      </c>
    </row>
    <row r="3029">
      <c r="A3029" s="2" t="s">
        <v>12831</v>
      </c>
    </row>
    <row r="3030">
      <c r="A3030" s="2" t="s">
        <v>12832</v>
      </c>
    </row>
    <row r="3032">
      <c r="A3032" s="2" t="s">
        <v>12833</v>
      </c>
    </row>
    <row r="3034">
      <c r="A3034" s="2" t="s">
        <v>12834</v>
      </c>
    </row>
    <row r="3036">
      <c r="A3036" s="2" t="s">
        <v>12835</v>
      </c>
    </row>
    <row r="3037">
      <c r="A3037" s="2" t="s">
        <v>12836</v>
      </c>
    </row>
    <row r="3039">
      <c r="A3039" s="2" t="s">
        <v>12837</v>
      </c>
    </row>
    <row r="3041">
      <c r="A3041" s="2" t="s">
        <v>12838</v>
      </c>
    </row>
    <row r="3043">
      <c r="A3043" s="2" t="s">
        <v>12839</v>
      </c>
    </row>
    <row r="3045">
      <c r="A3045" s="2" t="s">
        <v>12840</v>
      </c>
    </row>
    <row r="3046">
      <c r="A3046" s="2" t="s">
        <v>12841</v>
      </c>
    </row>
    <row r="3048">
      <c r="A3048" s="2" t="s">
        <v>12842</v>
      </c>
    </row>
    <row r="3050">
      <c r="A3050" s="2" t="s">
        <v>12843</v>
      </c>
    </row>
    <row r="3052">
      <c r="A3052" s="2" t="s">
        <v>12844</v>
      </c>
    </row>
    <row r="3053">
      <c r="A3053" s="2" t="s">
        <v>12845</v>
      </c>
    </row>
    <row r="3055">
      <c r="A3055" s="2" t="s">
        <v>12846</v>
      </c>
    </row>
    <row r="3057">
      <c r="A3057" s="2" t="s">
        <v>12847</v>
      </c>
    </row>
    <row r="3059">
      <c r="A3059" s="2" t="s">
        <v>12848</v>
      </c>
    </row>
    <row r="3060">
      <c r="A3060" s="2" t="s">
        <v>12849</v>
      </c>
    </row>
    <row r="3062">
      <c r="A3062" s="2" t="s">
        <v>12850</v>
      </c>
    </row>
    <row r="3064">
      <c r="A3064" s="2" t="s">
        <v>12851</v>
      </c>
    </row>
    <row r="3066">
      <c r="A3066" s="2" t="s">
        <v>12852</v>
      </c>
    </row>
    <row r="3068">
      <c r="A3068" s="2" t="s">
        <v>12853</v>
      </c>
    </row>
    <row r="3069">
      <c r="A3069" s="2" t="s">
        <v>12854</v>
      </c>
    </row>
    <row r="3071">
      <c r="A3071" s="2" t="s">
        <v>12855</v>
      </c>
    </row>
    <row r="3073">
      <c r="A3073" s="2" t="s">
        <v>12856</v>
      </c>
    </row>
    <row r="3075">
      <c r="A3075" s="2" t="s">
        <v>12857</v>
      </c>
    </row>
    <row r="3076">
      <c r="A3076" s="2" t="s">
        <v>12858</v>
      </c>
    </row>
    <row r="3078">
      <c r="A3078" s="2" t="s">
        <v>12859</v>
      </c>
    </row>
    <row r="3080">
      <c r="A3080" s="2" t="s">
        <v>12860</v>
      </c>
    </row>
    <row r="3081">
      <c r="A3081" s="2" t="s">
        <v>12861</v>
      </c>
    </row>
    <row r="3083">
      <c r="A3083" s="2" t="s">
        <v>12862</v>
      </c>
    </row>
    <row r="3085">
      <c r="A3085" s="2" t="s">
        <v>12863</v>
      </c>
    </row>
    <row r="3087">
      <c r="A3087" s="2" t="s">
        <v>12864</v>
      </c>
    </row>
    <row r="3088">
      <c r="A3088" s="2" t="s">
        <v>12865</v>
      </c>
    </row>
    <row r="3090">
      <c r="A3090" s="2" t="s">
        <v>12866</v>
      </c>
    </row>
    <row r="3092">
      <c r="A3092" s="2" t="s">
        <v>12867</v>
      </c>
    </row>
    <row r="3093">
      <c r="A3093" s="2" t="s">
        <v>12868</v>
      </c>
    </row>
    <row r="3095">
      <c r="A3095" s="2" t="s">
        <v>12869</v>
      </c>
    </row>
    <row r="3097">
      <c r="A3097" s="2" t="s">
        <v>12870</v>
      </c>
    </row>
    <row r="3099">
      <c r="A3099" s="2" t="s">
        <v>12871</v>
      </c>
    </row>
    <row r="3100">
      <c r="A3100" s="2" t="s">
        <v>12872</v>
      </c>
    </row>
    <row r="3102">
      <c r="A3102" s="2" t="s">
        <v>12873</v>
      </c>
    </row>
    <row r="3104">
      <c r="A3104" s="2" t="s">
        <v>12874</v>
      </c>
    </row>
    <row r="3105">
      <c r="A3105" s="2" t="s">
        <v>12875</v>
      </c>
    </row>
    <row r="3107">
      <c r="A3107" s="2" t="s">
        <v>12876</v>
      </c>
    </row>
    <row r="3109">
      <c r="A3109" s="2" t="s">
        <v>12877</v>
      </c>
    </row>
    <row r="3111">
      <c r="A3111" s="2" t="s">
        <v>12878</v>
      </c>
    </row>
    <row r="3113">
      <c r="A3113" s="2" t="s">
        <v>12879</v>
      </c>
    </row>
    <row r="3114">
      <c r="A3114" s="2" t="s">
        <v>12880</v>
      </c>
    </row>
    <row r="3116">
      <c r="A3116" s="2" t="s">
        <v>12881</v>
      </c>
    </row>
    <row r="3118">
      <c r="A3118" s="2" t="s">
        <v>12882</v>
      </c>
    </row>
    <row r="3120">
      <c r="A3120" s="2" t="s">
        <v>12883</v>
      </c>
    </row>
    <row r="3121">
      <c r="A3121" s="2" t="s">
        <v>12884</v>
      </c>
    </row>
    <row r="3123">
      <c r="A3123" s="2" t="s">
        <v>12885</v>
      </c>
    </row>
    <row r="3125">
      <c r="A3125" s="2" t="s">
        <v>12886</v>
      </c>
    </row>
    <row r="3127">
      <c r="A3127" s="2" t="s">
        <v>12887</v>
      </c>
    </row>
    <row r="3128">
      <c r="A3128" s="2" t="s">
        <v>12888</v>
      </c>
    </row>
    <row r="3130">
      <c r="A3130" s="2" t="s">
        <v>12889</v>
      </c>
    </row>
    <row r="3132">
      <c r="A3132" s="2" t="s">
        <v>12890</v>
      </c>
    </row>
    <row r="3133">
      <c r="A3133" s="2" t="s">
        <v>12891</v>
      </c>
    </row>
    <row r="3135">
      <c r="A3135" s="2" t="s">
        <v>12892</v>
      </c>
    </row>
    <row r="3137">
      <c r="A3137" s="2" t="s">
        <v>12893</v>
      </c>
    </row>
    <row r="3139">
      <c r="A3139" s="2" t="s">
        <v>12894</v>
      </c>
    </row>
    <row r="3140">
      <c r="A3140" s="2" t="s">
        <v>12895</v>
      </c>
    </row>
    <row r="3142">
      <c r="A3142" s="2" t="s">
        <v>12896</v>
      </c>
    </row>
    <row r="3144">
      <c r="A3144" s="2" t="s">
        <v>12897</v>
      </c>
    </row>
    <row r="3146">
      <c r="A3146" s="2" t="s">
        <v>12898</v>
      </c>
    </row>
    <row r="3147">
      <c r="A3147" s="2" t="s">
        <v>12899</v>
      </c>
    </row>
    <row r="3149">
      <c r="A3149" s="2" t="s">
        <v>12900</v>
      </c>
    </row>
    <row r="3151">
      <c r="A3151" s="2" t="s">
        <v>12901</v>
      </c>
    </row>
    <row r="3153">
      <c r="A3153" s="2" t="s">
        <v>12902</v>
      </c>
    </row>
    <row r="3154">
      <c r="A3154" s="2" t="s">
        <v>12903</v>
      </c>
    </row>
    <row r="3156">
      <c r="A3156" s="2" t="s">
        <v>12904</v>
      </c>
    </row>
    <row r="3158">
      <c r="A3158" s="2" t="s">
        <v>12905</v>
      </c>
    </row>
    <row r="3160">
      <c r="A3160" s="2" t="s">
        <v>12906</v>
      </c>
    </row>
    <row r="3162">
      <c r="A3162" s="2" t="s">
        <v>12907</v>
      </c>
    </row>
    <row r="3163">
      <c r="A3163" s="2" t="s">
        <v>12908</v>
      </c>
    </row>
    <row r="3165">
      <c r="A3165" s="2" t="s">
        <v>12909</v>
      </c>
    </row>
    <row r="3167">
      <c r="A3167" s="2" t="s">
        <v>12910</v>
      </c>
    </row>
    <row r="3169">
      <c r="A3169" s="2" t="s">
        <v>12911</v>
      </c>
    </row>
    <row r="3170">
      <c r="A3170" s="2" t="s">
        <v>12912</v>
      </c>
    </row>
    <row r="3172">
      <c r="A3172" s="2" t="s">
        <v>12913</v>
      </c>
    </row>
    <row r="3173">
      <c r="A3173" s="2" t="s">
        <v>12914</v>
      </c>
    </row>
    <row r="3175">
      <c r="A3175" s="2" t="s">
        <v>12915</v>
      </c>
    </row>
    <row r="3177">
      <c r="A3177" s="2" t="s">
        <v>12916</v>
      </c>
    </row>
    <row r="3179">
      <c r="A3179" s="2" t="s">
        <v>12917</v>
      </c>
    </row>
    <row r="3180">
      <c r="A3180" s="2" t="s">
        <v>12918</v>
      </c>
    </row>
    <row r="3182">
      <c r="A3182" s="2" t="s">
        <v>12919</v>
      </c>
    </row>
    <row r="3184">
      <c r="A3184" s="2" t="s">
        <v>12920</v>
      </c>
    </row>
    <row r="3186">
      <c r="A3186" s="2" t="s">
        <v>12921</v>
      </c>
    </row>
    <row r="3187">
      <c r="A3187" s="2" t="s">
        <v>12922</v>
      </c>
    </row>
    <row r="3189">
      <c r="A3189" s="2" t="s">
        <v>12923</v>
      </c>
    </row>
    <row r="3191">
      <c r="A3191" s="2" t="s">
        <v>12924</v>
      </c>
    </row>
    <row r="3193">
      <c r="A3193" s="2" t="s">
        <v>12925</v>
      </c>
    </row>
    <row r="3194">
      <c r="A3194" s="2" t="s">
        <v>12926</v>
      </c>
    </row>
    <row r="3196">
      <c r="A3196" s="2" t="s">
        <v>12927</v>
      </c>
    </row>
    <row r="3198">
      <c r="A3198" s="2" t="s">
        <v>12928</v>
      </c>
    </row>
    <row r="3199">
      <c r="A3199" s="2" t="s">
        <v>12929</v>
      </c>
    </row>
    <row r="3201">
      <c r="A3201" s="2" t="s">
        <v>12930</v>
      </c>
    </row>
    <row r="3203">
      <c r="A3203" s="2" t="s">
        <v>12931</v>
      </c>
    </row>
    <row r="3205">
      <c r="A3205" s="2" t="s">
        <v>12932</v>
      </c>
    </row>
    <row r="3207">
      <c r="A3207" s="2" t="s">
        <v>12933</v>
      </c>
    </row>
    <row r="3208">
      <c r="A3208" s="2" t="s">
        <v>12934</v>
      </c>
    </row>
    <row r="3210">
      <c r="A3210" s="2" t="s">
        <v>12935</v>
      </c>
    </row>
    <row r="3212">
      <c r="A3212" s="2" t="s">
        <v>12936</v>
      </c>
    </row>
    <row r="3214">
      <c r="A3214" s="2" t="s">
        <v>12937</v>
      </c>
    </row>
    <row r="3215">
      <c r="A3215" s="2" t="s">
        <v>12938</v>
      </c>
    </row>
    <row r="3217">
      <c r="A3217" s="2" t="s">
        <v>12939</v>
      </c>
    </row>
    <row r="3219">
      <c r="A3219" s="2" t="s">
        <v>12940</v>
      </c>
    </row>
    <row r="3221">
      <c r="A3221" s="2" t="s">
        <v>12941</v>
      </c>
    </row>
    <row r="3222">
      <c r="A3222" s="2" t="s">
        <v>12942</v>
      </c>
    </row>
    <row r="3224">
      <c r="A3224" s="2" t="s">
        <v>12943</v>
      </c>
    </row>
    <row r="3226">
      <c r="A3226" s="2" t="s">
        <v>12944</v>
      </c>
    </row>
    <row r="3228">
      <c r="A3228" s="2" t="s">
        <v>12945</v>
      </c>
    </row>
    <row r="3229">
      <c r="A3229" s="2" t="s">
        <v>12946</v>
      </c>
    </row>
    <row r="3231">
      <c r="A3231" s="2" t="s">
        <v>12947</v>
      </c>
    </row>
    <row r="3233">
      <c r="A3233" s="2" t="s">
        <v>12948</v>
      </c>
    </row>
    <row r="3235">
      <c r="A3235" s="2" t="s">
        <v>12949</v>
      </c>
    </row>
    <row r="3236">
      <c r="A3236" s="2" t="s">
        <v>12950</v>
      </c>
    </row>
    <row r="3238">
      <c r="A3238" s="2" t="s">
        <v>12951</v>
      </c>
    </row>
    <row r="3240">
      <c r="A3240" s="2" t="s">
        <v>12952</v>
      </c>
    </row>
    <row r="3241">
      <c r="A3241" s="2" t="s">
        <v>12953</v>
      </c>
    </row>
    <row r="3243">
      <c r="A3243" s="2" t="s">
        <v>12954</v>
      </c>
    </row>
    <row r="3245">
      <c r="A3245" s="2" t="s">
        <v>12955</v>
      </c>
    </row>
    <row r="3247">
      <c r="A3247" s="2" t="s">
        <v>12956</v>
      </c>
    </row>
    <row r="3248">
      <c r="A3248" s="2" t="s">
        <v>12957</v>
      </c>
    </row>
    <row r="3250">
      <c r="A3250" s="2" t="s">
        <v>12958</v>
      </c>
    </row>
    <row r="3252">
      <c r="A3252" s="2" t="s">
        <v>12959</v>
      </c>
    </row>
    <row r="3253">
      <c r="A3253" s="2" t="s">
        <v>12960</v>
      </c>
    </row>
    <row r="3255">
      <c r="A3255" s="2" t="s">
        <v>12961</v>
      </c>
    </row>
    <row r="3257">
      <c r="A3257" s="2" t="s">
        <v>12962</v>
      </c>
    </row>
    <row r="3259">
      <c r="A3259" s="2" t="s">
        <v>12963</v>
      </c>
    </row>
    <row r="3260">
      <c r="A3260" s="2" t="s">
        <v>12964</v>
      </c>
    </row>
    <row r="3262">
      <c r="A3262" s="2" t="s">
        <v>12965</v>
      </c>
    </row>
    <row r="3264">
      <c r="A3264" s="2" t="s">
        <v>12966</v>
      </c>
    </row>
    <row r="3266">
      <c r="A3266" s="2" t="s">
        <v>12967</v>
      </c>
    </row>
    <row r="3267">
      <c r="A3267" s="2" t="s">
        <v>12968</v>
      </c>
    </row>
    <row r="3269">
      <c r="A3269" s="2" t="s">
        <v>12969</v>
      </c>
    </row>
    <row r="3271">
      <c r="A3271" s="2" t="s">
        <v>12970</v>
      </c>
    </row>
    <row r="3272">
      <c r="A3272" s="2" t="s">
        <v>12971</v>
      </c>
    </row>
    <row r="3274">
      <c r="A3274" s="2" t="s">
        <v>12972</v>
      </c>
    </row>
    <row r="3276">
      <c r="A3276" s="2" t="s">
        <v>12973</v>
      </c>
    </row>
    <row r="3277">
      <c r="A3277" s="2" t="s">
        <v>12974</v>
      </c>
    </row>
    <row r="3279">
      <c r="A3279" s="2" t="s">
        <v>12975</v>
      </c>
    </row>
    <row r="3281">
      <c r="A3281" s="2" t="s">
        <v>12976</v>
      </c>
    </row>
    <row r="3283">
      <c r="A3283" s="2" t="s">
        <v>12977</v>
      </c>
    </row>
    <row r="3284">
      <c r="A3284" s="2" t="s">
        <v>12978</v>
      </c>
    </row>
    <row r="3286">
      <c r="A3286" s="2" t="s">
        <v>12979</v>
      </c>
    </row>
    <row r="3288">
      <c r="A3288" s="2" t="s">
        <v>12980</v>
      </c>
    </row>
    <row r="3289">
      <c r="A3289" s="2" t="s">
        <v>12981</v>
      </c>
    </row>
    <row r="3291">
      <c r="A3291" s="2" t="s">
        <v>12982</v>
      </c>
    </row>
    <row r="3293">
      <c r="A3293" s="2" t="s">
        <v>12983</v>
      </c>
    </row>
    <row r="3295">
      <c r="A3295" s="2" t="s">
        <v>12984</v>
      </c>
    </row>
    <row r="3296">
      <c r="A3296" s="2" t="s">
        <v>12985</v>
      </c>
    </row>
    <row r="3298">
      <c r="A3298" s="2" t="s">
        <v>12986</v>
      </c>
    </row>
    <row r="3300">
      <c r="A3300" s="2" t="s">
        <v>12987</v>
      </c>
    </row>
    <row r="3301">
      <c r="A3301" s="2" t="s">
        <v>12988</v>
      </c>
    </row>
    <row r="3303">
      <c r="A3303" s="2" t="s">
        <v>12989</v>
      </c>
    </row>
    <row r="3305">
      <c r="A3305" s="2" t="s">
        <v>12990</v>
      </c>
    </row>
    <row r="3307">
      <c r="A3307" s="2" t="s">
        <v>12991</v>
      </c>
    </row>
    <row r="3308">
      <c r="A3308" s="2" t="s">
        <v>12992</v>
      </c>
    </row>
    <row r="3310">
      <c r="A3310" s="2" t="s">
        <v>12993</v>
      </c>
    </row>
    <row r="3312">
      <c r="A3312" s="2" t="s">
        <v>12994</v>
      </c>
    </row>
    <row r="3313">
      <c r="A3313" s="2" t="s">
        <v>12995</v>
      </c>
    </row>
    <row r="3315">
      <c r="A3315" s="2" t="s">
        <v>12996</v>
      </c>
    </row>
    <row r="3317">
      <c r="A3317" s="2" t="s">
        <v>12997</v>
      </c>
    </row>
    <row r="3318">
      <c r="A3318" s="2" t="s">
        <v>12998</v>
      </c>
    </row>
    <row r="3320">
      <c r="A3320" s="2" t="s">
        <v>12999</v>
      </c>
    </row>
    <row r="3322">
      <c r="A3322" s="2" t="s">
        <v>13000</v>
      </c>
    </row>
    <row r="3323">
      <c r="A3323" s="2" t="s">
        <v>13001</v>
      </c>
    </row>
    <row r="3325">
      <c r="A3325" s="2" t="s">
        <v>13002</v>
      </c>
    </row>
    <row r="3327">
      <c r="A3327" s="2" t="s">
        <v>13003</v>
      </c>
    </row>
    <row r="3329">
      <c r="A3329" s="2" t="s">
        <v>13004</v>
      </c>
    </row>
    <row r="3330">
      <c r="A3330" s="2" t="s">
        <v>13005</v>
      </c>
    </row>
    <row r="3332">
      <c r="A3332" s="2" t="s">
        <v>13006</v>
      </c>
    </row>
    <row r="3334">
      <c r="A3334" s="2" t="s">
        <v>13007</v>
      </c>
    </row>
    <row r="3335">
      <c r="A3335" s="2" t="s">
        <v>13008</v>
      </c>
    </row>
    <row r="3337">
      <c r="A3337" s="2" t="s">
        <v>13009</v>
      </c>
    </row>
    <row r="3339">
      <c r="A3339" s="2" t="s">
        <v>13010</v>
      </c>
    </row>
    <row r="3341">
      <c r="A3341" s="2" t="s">
        <v>13011</v>
      </c>
    </row>
    <row r="3342">
      <c r="A3342" s="2" t="s">
        <v>13012</v>
      </c>
    </row>
    <row r="3344">
      <c r="A3344" s="2" t="s">
        <v>13013</v>
      </c>
    </row>
    <row r="3346">
      <c r="A3346" s="2" t="s">
        <v>13014</v>
      </c>
    </row>
    <row r="3347">
      <c r="A3347" s="2" t="s">
        <v>13015</v>
      </c>
    </row>
    <row r="3349">
      <c r="A3349" s="2" t="s">
        <v>13016</v>
      </c>
    </row>
    <row r="3351">
      <c r="A3351" s="2" t="s">
        <v>13017</v>
      </c>
    </row>
    <row r="3352">
      <c r="A3352" s="2" t="s">
        <v>13018</v>
      </c>
    </row>
    <row r="3354">
      <c r="A3354" s="2" t="s">
        <v>13019</v>
      </c>
    </row>
    <row r="3356">
      <c r="A3356" s="2" t="s">
        <v>13020</v>
      </c>
    </row>
    <row r="3357">
      <c r="A3357" s="2" t="s">
        <v>13021</v>
      </c>
    </row>
    <row r="3359">
      <c r="A3359" s="2" t="s">
        <v>13022</v>
      </c>
    </row>
    <row r="3361">
      <c r="A3361" s="2" t="s">
        <v>13023</v>
      </c>
    </row>
    <row r="3363">
      <c r="A3363" s="2" t="s">
        <v>13024</v>
      </c>
    </row>
    <row r="3364">
      <c r="A3364" s="2" t="s">
        <v>13025</v>
      </c>
    </row>
    <row r="3366">
      <c r="A3366" s="2" t="s">
        <v>13026</v>
      </c>
    </row>
    <row r="3368">
      <c r="A3368" s="2" t="s">
        <v>13027</v>
      </c>
    </row>
    <row r="3370">
      <c r="A3370" s="2" t="s">
        <v>13028</v>
      </c>
    </row>
    <row r="3371">
      <c r="A3371" s="2" t="s">
        <v>13029</v>
      </c>
    </row>
    <row r="3373">
      <c r="A3373" s="2" t="s">
        <v>13030</v>
      </c>
    </row>
    <row r="3375">
      <c r="A3375" s="2" t="s">
        <v>13031</v>
      </c>
    </row>
    <row r="3377">
      <c r="A3377" s="2" t="s">
        <v>13032</v>
      </c>
    </row>
    <row r="3378">
      <c r="A3378" s="2" t="s">
        <v>13033</v>
      </c>
    </row>
    <row r="3380">
      <c r="A3380" s="2" t="s">
        <v>13034</v>
      </c>
    </row>
    <row r="3382">
      <c r="A3382" s="2" t="s">
        <v>13035</v>
      </c>
    </row>
    <row r="3383">
      <c r="A3383" s="2" t="s">
        <v>13036</v>
      </c>
    </row>
    <row r="3385">
      <c r="A3385" s="2" t="s">
        <v>13037</v>
      </c>
    </row>
    <row r="3387">
      <c r="A3387" s="2" t="s">
        <v>13038</v>
      </c>
    </row>
    <row r="3389">
      <c r="A3389" s="2" t="s">
        <v>13039</v>
      </c>
    </row>
    <row r="3390">
      <c r="A3390" s="2" t="s">
        <v>13040</v>
      </c>
    </row>
    <row r="3392">
      <c r="A3392" s="2" t="s">
        <v>13041</v>
      </c>
    </row>
    <row r="3394">
      <c r="A3394" s="2" t="s">
        <v>13042</v>
      </c>
    </row>
    <row r="3396">
      <c r="A3396" s="2" t="s">
        <v>13043</v>
      </c>
    </row>
    <row r="3397">
      <c r="A3397" s="2" t="s">
        <v>13044</v>
      </c>
    </row>
    <row r="3399">
      <c r="A3399" s="2" t="s">
        <v>13045</v>
      </c>
    </row>
    <row r="3401">
      <c r="A3401" s="2" t="s">
        <v>13046</v>
      </c>
    </row>
    <row r="3402">
      <c r="A3402" s="2" t="s">
        <v>13047</v>
      </c>
    </row>
    <row r="3404">
      <c r="A3404" s="2" t="s">
        <v>13048</v>
      </c>
    </row>
    <row r="3406">
      <c r="A3406" s="2" t="s">
        <v>13049</v>
      </c>
    </row>
    <row r="3408">
      <c r="A3408" s="2" t="s">
        <v>13050</v>
      </c>
    </row>
    <row r="3409">
      <c r="A3409" s="2" t="s">
        <v>13051</v>
      </c>
    </row>
    <row r="3411">
      <c r="A3411" s="2" t="s">
        <v>13052</v>
      </c>
    </row>
    <row r="3413">
      <c r="A3413" s="2" t="s">
        <v>13053</v>
      </c>
    </row>
    <row r="3415">
      <c r="A3415" s="2" t="s">
        <v>13054</v>
      </c>
    </row>
    <row r="3416">
      <c r="A3416" s="2" t="s">
        <v>13055</v>
      </c>
    </row>
    <row r="3418">
      <c r="A3418" s="2" t="s">
        <v>13056</v>
      </c>
    </row>
    <row r="3419">
      <c r="A3419" s="2" t="s">
        <v>13057</v>
      </c>
    </row>
    <row r="3421">
      <c r="A3421" s="2" t="s">
        <v>13058</v>
      </c>
    </row>
    <row r="3423">
      <c r="A3423" s="2" t="s">
        <v>13059</v>
      </c>
    </row>
    <row r="3425">
      <c r="A3425" s="2" t="s">
        <v>13060</v>
      </c>
    </row>
    <row r="3426">
      <c r="A3426" s="2" t="s">
        <v>13061</v>
      </c>
    </row>
    <row r="3428">
      <c r="A3428" s="2" t="s">
        <v>13062</v>
      </c>
    </row>
    <row r="3430">
      <c r="A3430" s="2" t="s">
        <v>13063</v>
      </c>
    </row>
    <row r="3431">
      <c r="A3431" s="2" t="s">
        <v>13064</v>
      </c>
    </row>
    <row r="3433">
      <c r="A3433" s="2" t="s">
        <v>13065</v>
      </c>
    </row>
    <row r="3435">
      <c r="A3435" s="2" t="s">
        <v>13066</v>
      </c>
    </row>
    <row r="3436">
      <c r="A3436" s="2" t="s">
        <v>13067</v>
      </c>
    </row>
    <row r="3438">
      <c r="A3438" s="2" t="s">
        <v>13068</v>
      </c>
    </row>
    <row r="3440">
      <c r="A3440" s="2" t="s">
        <v>13069</v>
      </c>
    </row>
    <row r="3441">
      <c r="A3441" s="2" t="s">
        <v>13070</v>
      </c>
    </row>
    <row r="3443">
      <c r="A3443" s="2" t="s">
        <v>13071</v>
      </c>
    </row>
    <row r="3445">
      <c r="A3445" s="2" t="s">
        <v>13072</v>
      </c>
    </row>
  </sheetData>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0"/>
    <col customWidth="1" min="2" max="2" width="25.5"/>
  </cols>
  <sheetData>
    <row r="1">
      <c r="A1" s="2" t="s">
        <v>623</v>
      </c>
      <c r="B1" s="2" t="s">
        <v>624</v>
      </c>
      <c r="C1" s="2" t="s">
        <v>625</v>
      </c>
      <c r="D1" s="2" t="s">
        <v>626</v>
      </c>
      <c r="E1" s="2"/>
    </row>
    <row r="2">
      <c r="A2" s="2" t="s">
        <v>148</v>
      </c>
      <c r="B2" s="2" t="s">
        <v>13073</v>
      </c>
      <c r="C2" s="2">
        <v>85.0</v>
      </c>
      <c r="D2" s="54">
        <v>45327.0</v>
      </c>
      <c r="E2" s="2"/>
    </row>
    <row r="3">
      <c r="A3" s="2" t="s">
        <v>150</v>
      </c>
      <c r="B3" s="2" t="s">
        <v>13074</v>
      </c>
      <c r="C3" s="2">
        <v>85.0</v>
      </c>
      <c r="D3" s="54">
        <v>45327.0</v>
      </c>
      <c r="E3" s="2"/>
    </row>
    <row r="4">
      <c r="A4" s="2" t="s">
        <v>153</v>
      </c>
      <c r="B4" s="2" t="s">
        <v>13075</v>
      </c>
      <c r="C4" s="2">
        <v>85.0</v>
      </c>
      <c r="D4" s="54">
        <v>45327.0</v>
      </c>
      <c r="E4" s="2"/>
    </row>
    <row r="5">
      <c r="A5" s="2" t="s">
        <v>156</v>
      </c>
      <c r="B5" s="2" t="s">
        <v>13076</v>
      </c>
      <c r="C5" s="2">
        <v>85.0</v>
      </c>
      <c r="D5" s="54">
        <v>45327.0</v>
      </c>
      <c r="E5" s="2"/>
    </row>
    <row r="6">
      <c r="A6" s="2" t="s">
        <v>159</v>
      </c>
      <c r="B6" s="2" t="s">
        <v>13077</v>
      </c>
      <c r="C6" s="2">
        <v>85.0</v>
      </c>
      <c r="D6" s="54">
        <v>45327.0</v>
      </c>
      <c r="E6" s="2"/>
    </row>
    <row r="7">
      <c r="A7" s="2" t="s">
        <v>656</v>
      </c>
      <c r="B7" s="2" t="s">
        <v>13078</v>
      </c>
      <c r="C7" s="2">
        <v>85.0</v>
      </c>
      <c r="D7" s="54">
        <v>45327.0</v>
      </c>
      <c r="E7" s="2"/>
    </row>
    <row r="8">
      <c r="A8" s="2" t="s">
        <v>647</v>
      </c>
      <c r="B8" s="2" t="s">
        <v>13079</v>
      </c>
      <c r="C8" s="2">
        <v>85.0</v>
      </c>
      <c r="D8" s="54">
        <v>45327.0</v>
      </c>
      <c r="E8" s="2"/>
    </row>
    <row r="9">
      <c r="A9" s="2" t="s">
        <v>662</v>
      </c>
      <c r="B9" s="2" t="s">
        <v>13080</v>
      </c>
      <c r="C9" s="2">
        <v>85.0</v>
      </c>
      <c r="D9" s="54">
        <v>45327.0</v>
      </c>
      <c r="E9" s="2"/>
    </row>
    <row r="10">
      <c r="A10" s="2" t="s">
        <v>755</v>
      </c>
      <c r="B10" s="2" t="s">
        <v>13081</v>
      </c>
      <c r="C10" s="2">
        <v>85.0</v>
      </c>
      <c r="D10" s="54">
        <v>45327.0</v>
      </c>
      <c r="E10" s="2"/>
    </row>
    <row r="11">
      <c r="A11" s="2" t="s">
        <v>753</v>
      </c>
      <c r="B11" s="2" t="s">
        <v>13082</v>
      </c>
      <c r="C11" s="2">
        <v>85.0</v>
      </c>
      <c r="D11" s="54">
        <v>45327.0</v>
      </c>
      <c r="E11" s="2"/>
    </row>
    <row r="12">
      <c r="A12" s="2" t="s">
        <v>757</v>
      </c>
      <c r="B12" s="2" t="s">
        <v>13083</v>
      </c>
      <c r="C12" s="2">
        <v>85.0</v>
      </c>
      <c r="D12" s="54">
        <v>45327.0</v>
      </c>
      <c r="E12" s="2"/>
    </row>
    <row r="13">
      <c r="A13" s="2" t="s">
        <v>698</v>
      </c>
      <c r="B13" s="2" t="s">
        <v>13084</v>
      </c>
      <c r="C13" s="2">
        <v>85.0</v>
      </c>
      <c r="D13" s="54">
        <v>45327.0</v>
      </c>
      <c r="E13" s="2"/>
    </row>
    <row r="14">
      <c r="A14" s="2" t="s">
        <v>642</v>
      </c>
      <c r="B14" s="2" t="s">
        <v>13085</v>
      </c>
      <c r="C14" s="2">
        <v>85.0</v>
      </c>
      <c r="D14" s="54">
        <v>45327.0</v>
      </c>
      <c r="E14" s="2"/>
    </row>
    <row r="15">
      <c r="A15" s="2" t="s">
        <v>751</v>
      </c>
      <c r="B15" s="2" t="s">
        <v>13086</v>
      </c>
      <c r="C15" s="2">
        <v>85.0</v>
      </c>
      <c r="D15" s="54">
        <v>45327.0</v>
      </c>
      <c r="E15" s="2"/>
    </row>
    <row r="16">
      <c r="A16" s="2" t="s">
        <v>725</v>
      </c>
      <c r="B16" s="2" t="s">
        <v>13087</v>
      </c>
      <c r="C16" s="2">
        <v>85.0</v>
      </c>
      <c r="D16" s="54">
        <v>45327.0</v>
      </c>
      <c r="E16" s="2"/>
    </row>
    <row r="17">
      <c r="A17" s="2" t="s">
        <v>706</v>
      </c>
      <c r="B17" s="2" t="s">
        <v>13088</v>
      </c>
      <c r="C17" s="2">
        <v>85.0</v>
      </c>
      <c r="D17" s="54">
        <v>45327.0</v>
      </c>
      <c r="E17" s="2"/>
    </row>
    <row r="18">
      <c r="A18" s="2" t="s">
        <v>710</v>
      </c>
      <c r="B18" s="2" t="s">
        <v>13089</v>
      </c>
      <c r="C18" s="2">
        <v>85.0</v>
      </c>
      <c r="D18" s="54">
        <v>45327.0</v>
      </c>
      <c r="E18" s="2"/>
    </row>
    <row r="19">
      <c r="A19" s="2" t="s">
        <v>194</v>
      </c>
      <c r="B19" s="2" t="s">
        <v>13090</v>
      </c>
      <c r="C19" s="2">
        <v>85.0</v>
      </c>
      <c r="D19" s="54">
        <v>45327.0</v>
      </c>
      <c r="E19" s="2"/>
    </row>
    <row r="20">
      <c r="A20" s="2" t="s">
        <v>103</v>
      </c>
      <c r="B20" s="2" t="s">
        <v>13091</v>
      </c>
      <c r="C20" s="2">
        <v>85.0</v>
      </c>
      <c r="D20" s="54">
        <v>45327.0</v>
      </c>
      <c r="E20" s="2"/>
    </row>
    <row r="21">
      <c r="A21" s="2" t="s">
        <v>740</v>
      </c>
      <c r="B21" s="2" t="s">
        <v>13092</v>
      </c>
      <c r="C21" s="2">
        <v>85.0</v>
      </c>
      <c r="D21" s="54">
        <v>45327.0</v>
      </c>
      <c r="E21" s="2"/>
    </row>
    <row r="22">
      <c r="A22" s="2" t="s">
        <v>13093</v>
      </c>
      <c r="B22" s="2" t="s">
        <v>13094</v>
      </c>
      <c r="C22" s="2" t="s">
        <v>13095</v>
      </c>
      <c r="D22" s="2">
        <v>85.0</v>
      </c>
      <c r="E22" s="54">
        <v>45327.0</v>
      </c>
    </row>
    <row r="23">
      <c r="A23" s="2" t="s">
        <v>13096</v>
      </c>
      <c r="B23" s="2" t="s">
        <v>7373</v>
      </c>
      <c r="C23" s="2" t="s">
        <v>13097</v>
      </c>
      <c r="D23" s="2">
        <v>85.0</v>
      </c>
      <c r="E23" s="54">
        <v>45327.0</v>
      </c>
    </row>
    <row r="24">
      <c r="A24" s="2" t="s">
        <v>111</v>
      </c>
      <c r="B24" s="2" t="s">
        <v>13098</v>
      </c>
      <c r="C24" s="2">
        <v>85.0</v>
      </c>
      <c r="D24" s="54">
        <v>45327.0</v>
      </c>
      <c r="E24" s="2"/>
    </row>
    <row r="25">
      <c r="A25" s="2" t="s">
        <v>717</v>
      </c>
      <c r="B25" s="2" t="s">
        <v>13099</v>
      </c>
      <c r="C25" s="2">
        <v>85.0</v>
      </c>
      <c r="D25" s="54">
        <v>45327.0</v>
      </c>
      <c r="E25" s="2"/>
    </row>
    <row r="26">
      <c r="A26" s="2" t="s">
        <v>734</v>
      </c>
      <c r="B26" s="2" t="s">
        <v>13100</v>
      </c>
      <c r="C26" s="2">
        <v>85.0</v>
      </c>
      <c r="D26" s="54">
        <v>45327.0</v>
      </c>
      <c r="E26" s="2"/>
    </row>
    <row r="27">
      <c r="A27" s="2" t="s">
        <v>719</v>
      </c>
      <c r="B27" s="2" t="s">
        <v>13101</v>
      </c>
      <c r="C27" s="2">
        <v>85.0</v>
      </c>
      <c r="D27" s="54">
        <v>45327.0</v>
      </c>
      <c r="E27" s="2"/>
    </row>
    <row r="28">
      <c r="A28" s="2" t="s">
        <v>745</v>
      </c>
      <c r="B28" s="2" t="s">
        <v>13102</v>
      </c>
      <c r="C28" s="2">
        <v>85.0</v>
      </c>
      <c r="D28" s="54">
        <v>45327.0</v>
      </c>
      <c r="E28" s="2"/>
    </row>
    <row r="29">
      <c r="A29" s="2" t="s">
        <v>652</v>
      </c>
      <c r="B29" s="2" t="s">
        <v>13103</v>
      </c>
      <c r="C29" s="2">
        <v>85.0</v>
      </c>
      <c r="D29" s="54">
        <v>45327.0</v>
      </c>
      <c r="E29" s="2"/>
    </row>
    <row r="30">
      <c r="A30" s="2" t="s">
        <v>649</v>
      </c>
      <c r="B30" s="2" t="s">
        <v>13104</v>
      </c>
      <c r="C30" s="2">
        <v>85.0</v>
      </c>
      <c r="D30" s="54">
        <v>45327.0</v>
      </c>
      <c r="E30" s="2"/>
    </row>
    <row r="31">
      <c r="A31" s="2" t="s">
        <v>658</v>
      </c>
      <c r="B31" s="2" t="s">
        <v>13105</v>
      </c>
      <c r="C31" s="2">
        <v>85.0</v>
      </c>
      <c r="D31" s="54">
        <v>45327.0</v>
      </c>
      <c r="E31" s="2"/>
    </row>
    <row r="32">
      <c r="A32" s="2" t="s">
        <v>115</v>
      </c>
      <c r="B32" s="2" t="s">
        <v>13106</v>
      </c>
      <c r="C32" s="2">
        <v>85.0</v>
      </c>
      <c r="D32" s="54">
        <v>45327.0</v>
      </c>
      <c r="E32" s="2"/>
    </row>
    <row r="33">
      <c r="A33" s="2" t="s">
        <v>188</v>
      </c>
      <c r="B33" s="2" t="s">
        <v>13107</v>
      </c>
      <c r="C33" s="2">
        <v>85.0</v>
      </c>
      <c r="D33" s="54">
        <v>45327.0</v>
      </c>
      <c r="E33" s="2"/>
    </row>
    <row r="34">
      <c r="A34" s="2" t="s">
        <v>119</v>
      </c>
      <c r="B34" s="2" t="s">
        <v>13108</v>
      </c>
      <c r="C34" s="2">
        <v>85.0</v>
      </c>
      <c r="D34" s="54">
        <v>45327.0</v>
      </c>
      <c r="E34" s="2"/>
    </row>
    <row r="35">
      <c r="A35" s="2" t="s">
        <v>173</v>
      </c>
      <c r="B35" s="2" t="s">
        <v>13109</v>
      </c>
      <c r="C35" s="2">
        <v>85.0</v>
      </c>
      <c r="D35" s="54">
        <v>45327.0</v>
      </c>
      <c r="E35" s="2"/>
    </row>
    <row r="36">
      <c r="A36" s="2" t="s">
        <v>309</v>
      </c>
      <c r="B36" s="2" t="s">
        <v>13110</v>
      </c>
      <c r="C36" s="2">
        <v>85.0</v>
      </c>
      <c r="D36" s="54">
        <v>45327.0</v>
      </c>
      <c r="E36" s="2"/>
    </row>
    <row r="37">
      <c r="A37" s="2" t="s">
        <v>107</v>
      </c>
      <c r="B37" s="2" t="s">
        <v>13111</v>
      </c>
      <c r="C37" s="2">
        <v>85.0</v>
      </c>
      <c r="D37" s="54">
        <v>45327.0</v>
      </c>
      <c r="E37" s="2"/>
    </row>
    <row r="38">
      <c r="A38" s="2" t="s">
        <v>666</v>
      </c>
      <c r="B38" s="2" t="s">
        <v>13112</v>
      </c>
      <c r="C38" s="2">
        <v>85.0</v>
      </c>
      <c r="D38" s="54">
        <v>45327.0</v>
      </c>
      <c r="E38" s="2"/>
    </row>
    <row r="39">
      <c r="A39" s="2" t="s">
        <v>664</v>
      </c>
      <c r="B39" s="2" t="s">
        <v>13113</v>
      </c>
      <c r="C39" s="2">
        <v>85.0</v>
      </c>
      <c r="D39" s="54">
        <v>45327.0</v>
      </c>
      <c r="E39" s="2"/>
    </row>
    <row r="40">
      <c r="A40" s="2" t="s">
        <v>668</v>
      </c>
      <c r="B40" s="2" t="s">
        <v>13114</v>
      </c>
      <c r="C40" s="2">
        <v>85.0</v>
      </c>
      <c r="D40" s="54">
        <v>45327.0</v>
      </c>
      <c r="E40" s="2"/>
    </row>
    <row r="41">
      <c r="A41" s="2" t="s">
        <v>678</v>
      </c>
      <c r="B41" s="2" t="s">
        <v>13115</v>
      </c>
      <c r="C41" s="2">
        <v>85.0</v>
      </c>
      <c r="D41" s="54">
        <v>45327.0</v>
      </c>
      <c r="E41" s="2"/>
    </row>
    <row r="42">
      <c r="A42" s="2" t="s">
        <v>7439</v>
      </c>
      <c r="B42" s="2" t="s">
        <v>13116</v>
      </c>
      <c r="C42" s="2">
        <v>85.0</v>
      </c>
      <c r="D42" s="54">
        <v>45327.0</v>
      </c>
      <c r="E42" s="2"/>
    </row>
    <row r="43">
      <c r="A43" s="2" t="s">
        <v>708</v>
      </c>
      <c r="B43" s="2" t="s">
        <v>13117</v>
      </c>
      <c r="C43" s="2">
        <v>85.0</v>
      </c>
      <c r="D43" s="54">
        <v>45327.0</v>
      </c>
      <c r="E43" s="2"/>
    </row>
    <row r="44">
      <c r="A44" s="2" t="s">
        <v>704</v>
      </c>
      <c r="B44" s="2" t="s">
        <v>13118</v>
      </c>
      <c r="C44" s="2">
        <v>85.0</v>
      </c>
      <c r="D44" s="54">
        <v>45327.0</v>
      </c>
      <c r="E44" s="2"/>
    </row>
    <row r="45">
      <c r="A45" s="2" t="s">
        <v>670</v>
      </c>
      <c r="B45" s="2" t="s">
        <v>13119</v>
      </c>
      <c r="C45" s="2">
        <v>85.0</v>
      </c>
      <c r="D45" s="54">
        <v>45327.0</v>
      </c>
      <c r="E45" s="2"/>
    </row>
    <row r="46">
      <c r="A46" s="2" t="s">
        <v>729</v>
      </c>
      <c r="B46" s="2" t="s">
        <v>13120</v>
      </c>
      <c r="C46" s="2">
        <v>85.0</v>
      </c>
      <c r="D46" s="54">
        <v>45327.0</v>
      </c>
      <c r="E46" s="2"/>
    </row>
    <row r="47">
      <c r="A47" s="2" t="s">
        <v>636</v>
      </c>
      <c r="B47" s="2" t="s">
        <v>13121</v>
      </c>
      <c r="C47" s="2">
        <v>85.0</v>
      </c>
      <c r="D47" s="54">
        <v>45327.0</v>
      </c>
      <c r="E47" s="2"/>
    </row>
    <row r="48">
      <c r="A48" s="2" t="s">
        <v>640</v>
      </c>
      <c r="B48" s="2" t="s">
        <v>13122</v>
      </c>
      <c r="C48" s="2">
        <v>85.0</v>
      </c>
      <c r="D48" s="54">
        <v>45327.0</v>
      </c>
      <c r="E48" s="2"/>
    </row>
    <row r="49">
      <c r="A49" s="2" t="s">
        <v>682</v>
      </c>
      <c r="B49" s="2" t="s">
        <v>13123</v>
      </c>
      <c r="C49" s="2">
        <v>85.0</v>
      </c>
      <c r="D49" s="54">
        <v>45327.0</v>
      </c>
      <c r="E49" s="2"/>
    </row>
    <row r="50">
      <c r="A50" s="2" t="s">
        <v>690</v>
      </c>
      <c r="B50" s="2" t="s">
        <v>13124</v>
      </c>
      <c r="C50" s="2">
        <v>85.0</v>
      </c>
      <c r="D50" s="54">
        <v>45327.0</v>
      </c>
      <c r="E50" s="2"/>
    </row>
    <row r="51">
      <c r="A51" s="2" t="s">
        <v>688</v>
      </c>
      <c r="B51" s="2" t="s">
        <v>13125</v>
      </c>
      <c r="C51" s="2">
        <v>85.0</v>
      </c>
      <c r="D51" s="54">
        <v>45327.0</v>
      </c>
      <c r="E51" s="2"/>
    </row>
    <row r="52">
      <c r="A52" s="2" t="s">
        <v>684</v>
      </c>
      <c r="B52" s="2" t="s">
        <v>13126</v>
      </c>
      <c r="C52" s="2">
        <v>85.0</v>
      </c>
      <c r="D52" s="54">
        <v>45327.0</v>
      </c>
      <c r="E52" s="2"/>
    </row>
    <row r="53">
      <c r="A53" s="2" t="s">
        <v>721</v>
      </c>
      <c r="B53" s="2" t="s">
        <v>13127</v>
      </c>
      <c r="C53" s="2">
        <v>85.0</v>
      </c>
      <c r="D53" s="54">
        <v>45327.0</v>
      </c>
      <c r="E53" s="2"/>
    </row>
    <row r="54">
      <c r="A54" s="2" t="s">
        <v>634</v>
      </c>
      <c r="B54" s="2" t="s">
        <v>13128</v>
      </c>
      <c r="C54" s="2">
        <v>85.0</v>
      </c>
      <c r="D54" s="54">
        <v>45327.0</v>
      </c>
      <c r="E54" s="2"/>
    </row>
    <row r="55">
      <c r="A55" s="2" t="s">
        <v>702</v>
      </c>
      <c r="B55" s="2" t="s">
        <v>13129</v>
      </c>
      <c r="C55" s="2">
        <v>85.0</v>
      </c>
      <c r="D55" s="54">
        <v>45327.0</v>
      </c>
      <c r="E55" s="2"/>
    </row>
    <row r="56">
      <c r="A56" s="2" t="s">
        <v>672</v>
      </c>
      <c r="B56" s="2" t="s">
        <v>13130</v>
      </c>
      <c r="C56" s="2">
        <v>85.0</v>
      </c>
      <c r="D56" s="54">
        <v>45327.0</v>
      </c>
      <c r="E56" s="2"/>
    </row>
    <row r="57">
      <c r="A57" s="2" t="s">
        <v>638</v>
      </c>
      <c r="B57" s="2" t="s">
        <v>13131</v>
      </c>
      <c r="C57" s="2">
        <v>80.0</v>
      </c>
      <c r="D57" s="54">
        <v>45327.0</v>
      </c>
      <c r="E57" s="2"/>
    </row>
    <row r="58">
      <c r="A58" s="2" t="s">
        <v>727</v>
      </c>
      <c r="B58" s="2" t="s">
        <v>13132</v>
      </c>
      <c r="C58" s="2">
        <v>80.0</v>
      </c>
      <c r="D58" s="54">
        <v>45327.0</v>
      </c>
      <c r="E58" s="2"/>
    </row>
    <row r="59">
      <c r="A59" s="2" t="s">
        <v>7425</v>
      </c>
      <c r="B59" s="2" t="s">
        <v>7426</v>
      </c>
      <c r="C59" s="2" t="s">
        <v>13133</v>
      </c>
      <c r="D59" s="2">
        <v>80.0</v>
      </c>
      <c r="E59" s="54">
        <v>45327.0</v>
      </c>
    </row>
    <row r="60">
      <c r="A60" s="2" t="s">
        <v>314</v>
      </c>
      <c r="B60" s="2" t="s">
        <v>13134</v>
      </c>
      <c r="C60" s="2">
        <v>80.0</v>
      </c>
      <c r="D60" s="54">
        <v>45327.0</v>
      </c>
      <c r="E60" s="2"/>
    </row>
    <row r="61">
      <c r="A61" s="2" t="s">
        <v>312</v>
      </c>
      <c r="B61" s="2" t="s">
        <v>13135</v>
      </c>
      <c r="C61" s="2">
        <v>80.0</v>
      </c>
      <c r="D61" s="54">
        <v>45327.0</v>
      </c>
      <c r="E61" s="2"/>
    </row>
    <row r="62">
      <c r="A62" s="2" t="s">
        <v>645</v>
      </c>
      <c r="B62" s="2" t="s">
        <v>13136</v>
      </c>
      <c r="C62" s="2">
        <v>80.0</v>
      </c>
      <c r="D62" s="54">
        <v>45327.0</v>
      </c>
      <c r="E62" s="2"/>
    </row>
    <row r="63">
      <c r="A63" s="2" t="s">
        <v>736</v>
      </c>
      <c r="B63" s="2" t="s">
        <v>13137</v>
      </c>
      <c r="C63" s="2">
        <v>80.0</v>
      </c>
      <c r="D63" s="54">
        <v>45327.0</v>
      </c>
      <c r="E63" s="2"/>
    </row>
    <row r="64">
      <c r="A64" s="2" t="s">
        <v>660</v>
      </c>
      <c r="B64" s="2" t="s">
        <v>13138</v>
      </c>
      <c r="C64" s="2">
        <v>80.0</v>
      </c>
      <c r="D64" s="54">
        <v>45327.0</v>
      </c>
      <c r="E64" s="2"/>
    </row>
    <row r="65">
      <c r="A65" s="2" t="s">
        <v>749</v>
      </c>
      <c r="B65" s="2" t="s">
        <v>13139</v>
      </c>
      <c r="C65" s="2">
        <v>80.0</v>
      </c>
      <c r="D65" s="54">
        <v>45327.0</v>
      </c>
      <c r="E65" s="2"/>
    </row>
    <row r="66">
      <c r="A66" s="2" t="s">
        <v>7375</v>
      </c>
      <c r="B66" s="2" t="s">
        <v>7376</v>
      </c>
      <c r="C66" s="2" t="s">
        <v>13140</v>
      </c>
      <c r="D66" s="2">
        <v>80.0</v>
      </c>
      <c r="E66" s="54">
        <v>45327.0</v>
      </c>
    </row>
    <row r="67">
      <c r="A67" s="2" t="s">
        <v>694</v>
      </c>
      <c r="B67" s="2" t="s">
        <v>13141</v>
      </c>
      <c r="C67" s="2">
        <v>80.0</v>
      </c>
      <c r="D67" s="54">
        <v>45327.0</v>
      </c>
      <c r="E67" s="2"/>
    </row>
    <row r="68">
      <c r="A68" s="2" t="s">
        <v>723</v>
      </c>
      <c r="B68" s="2" t="s">
        <v>13142</v>
      </c>
      <c r="C68" s="2">
        <v>80.0</v>
      </c>
      <c r="D68" s="54">
        <v>45327.0</v>
      </c>
      <c r="E68" s="2"/>
    </row>
    <row r="69">
      <c r="A69" s="2" t="s">
        <v>675</v>
      </c>
      <c r="B69" s="2" t="s">
        <v>13143</v>
      </c>
      <c r="C69" s="2">
        <v>80.0</v>
      </c>
      <c r="D69" s="54">
        <v>45327.0</v>
      </c>
      <c r="E69" s="2"/>
    </row>
    <row r="70">
      <c r="A70" s="2" t="s">
        <v>7432</v>
      </c>
      <c r="B70" s="2" t="s">
        <v>7433</v>
      </c>
      <c r="C70" s="2" t="s">
        <v>13144</v>
      </c>
      <c r="D70" s="2">
        <v>75.0</v>
      </c>
      <c r="E70" s="54">
        <v>45327.0</v>
      </c>
    </row>
    <row r="71">
      <c r="A71" s="2" t="s">
        <v>747</v>
      </c>
      <c r="B71" s="2" t="s">
        <v>13145</v>
      </c>
      <c r="C71" s="2">
        <v>75.0</v>
      </c>
      <c r="D71" s="54">
        <v>45327.0</v>
      </c>
      <c r="E71" s="2"/>
    </row>
    <row r="72">
      <c r="A72" s="2" t="s">
        <v>714</v>
      </c>
      <c r="B72" s="2" t="s">
        <v>13146</v>
      </c>
      <c r="C72" s="2">
        <v>75.0</v>
      </c>
      <c r="D72" s="54">
        <v>45327.0</v>
      </c>
      <c r="E72" s="2"/>
    </row>
    <row r="73">
      <c r="A73" s="2" t="s">
        <v>686</v>
      </c>
      <c r="B73" s="2" t="s">
        <v>13147</v>
      </c>
      <c r="C73" s="2">
        <v>75.0</v>
      </c>
      <c r="D73" s="54">
        <v>45327.0</v>
      </c>
      <c r="E73" s="2"/>
    </row>
    <row r="74">
      <c r="A74" s="2" t="s">
        <v>712</v>
      </c>
      <c r="B74" s="2" t="s">
        <v>13148</v>
      </c>
      <c r="C74" s="2">
        <v>75.0</v>
      </c>
      <c r="D74" s="54">
        <v>45327.0</v>
      </c>
      <c r="E74" s="2"/>
    </row>
    <row r="75">
      <c r="A75" s="2" t="s">
        <v>692</v>
      </c>
      <c r="B75" s="2" t="s">
        <v>13149</v>
      </c>
      <c r="C75" s="2">
        <v>70.0</v>
      </c>
      <c r="D75" s="54">
        <v>45327.0</v>
      </c>
      <c r="E75" s="2"/>
    </row>
    <row r="76">
      <c r="A76" s="2" t="s">
        <v>177</v>
      </c>
      <c r="B76" s="2" t="s">
        <v>13150</v>
      </c>
      <c r="C76" s="2">
        <v>70.0</v>
      </c>
      <c r="D76" s="54">
        <v>45327.0</v>
      </c>
      <c r="E76" s="2"/>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ht="16.5" customHeight="1">
      <c r="A1" s="40" t="s">
        <v>759</v>
      </c>
      <c r="B1" s="40" t="s">
        <v>625</v>
      </c>
      <c r="C1" s="40" t="s">
        <v>624</v>
      </c>
      <c r="F1" s="2" t="s">
        <v>327</v>
      </c>
      <c r="G1" s="2" t="s">
        <v>625</v>
      </c>
      <c r="H1" s="2" t="s">
        <v>760</v>
      </c>
      <c r="I1" s="2" t="s">
        <v>761</v>
      </c>
    </row>
    <row r="2" ht="16.5" customHeight="1">
      <c r="A2" s="19" t="s">
        <v>276</v>
      </c>
      <c r="B2" s="20">
        <v>85.0</v>
      </c>
      <c r="C2" s="20" t="s">
        <v>762</v>
      </c>
      <c r="F2" s="19" t="s">
        <v>182</v>
      </c>
      <c r="G2" s="20">
        <v>85.0</v>
      </c>
      <c r="H2" s="20" t="s">
        <v>763</v>
      </c>
      <c r="I2" s="17">
        <f>IFERROR(__xludf.DUMMYFUNCTION("GOOGLEFINANCE(F2,""marketcap"")"),5.229772984313E12)</f>
        <v>5229772984313</v>
      </c>
    </row>
    <row r="3" ht="16.5" customHeight="1">
      <c r="A3" s="19" t="s">
        <v>126</v>
      </c>
      <c r="B3" s="20">
        <v>85.0</v>
      </c>
      <c r="C3" s="20" t="s">
        <v>764</v>
      </c>
      <c r="F3" s="19" t="s">
        <v>53</v>
      </c>
      <c r="G3" s="20">
        <v>85.0</v>
      </c>
      <c r="H3" s="20" t="s">
        <v>765</v>
      </c>
      <c r="I3" s="17">
        <f>IFERROR(__xludf.DUMMYFUNCTION("GOOGLEFINANCE(F3,""marketcap"")"),2.933245949212E12)</f>
        <v>2933245949212</v>
      </c>
    </row>
    <row r="4" ht="16.5" customHeight="1">
      <c r="A4" s="19" t="s">
        <v>766</v>
      </c>
      <c r="B4" s="20">
        <v>85.0</v>
      </c>
      <c r="C4" s="20" t="s">
        <v>767</v>
      </c>
      <c r="F4" s="19" t="s">
        <v>184</v>
      </c>
      <c r="G4" s="20">
        <v>85.0</v>
      </c>
      <c r="H4" s="20" t="s">
        <v>768</v>
      </c>
      <c r="I4" s="17">
        <f>IFERROR(__xludf.DUMMYFUNCTION("GOOGLEFINANCE(F4,""marketcap"")"),4.841311148549E12)</f>
        <v>4841311148549</v>
      </c>
    </row>
    <row r="5" ht="16.5" customHeight="1">
      <c r="A5" s="19" t="s">
        <v>206</v>
      </c>
      <c r="B5" s="20">
        <v>85.0</v>
      </c>
      <c r="C5" s="20" t="s">
        <v>769</v>
      </c>
      <c r="F5" s="19" t="s">
        <v>46</v>
      </c>
      <c r="G5" s="20">
        <v>85.0</v>
      </c>
      <c r="H5" s="20" t="s">
        <v>770</v>
      </c>
      <c r="I5" s="17">
        <f>IFERROR(__xludf.DUMMYFUNCTION("GOOGLEFINANCE(F5,""marketcap"")"),1.547498825884E12)</f>
        <v>1547498825884</v>
      </c>
    </row>
    <row r="6" ht="16.5" customHeight="1">
      <c r="A6" s="19" t="s">
        <v>771</v>
      </c>
      <c r="B6" s="20">
        <v>85.0</v>
      </c>
      <c r="C6" s="20" t="s">
        <v>772</v>
      </c>
      <c r="F6" s="19" t="s">
        <v>180</v>
      </c>
      <c r="G6" s="20">
        <v>85.0</v>
      </c>
      <c r="H6" s="20" t="s">
        <v>773</v>
      </c>
      <c r="I6" s="17">
        <f>IFERROR(__xludf.DUMMYFUNCTION("GOOGLEFINANCE(F6,""marketcap"")"),1.028142997165E12)</f>
        <v>1028142997165</v>
      </c>
    </row>
    <row r="7" ht="16.5" customHeight="1">
      <c r="A7" s="19" t="s">
        <v>180</v>
      </c>
      <c r="B7" s="20">
        <v>85.0</v>
      </c>
      <c r="C7" s="20" t="s">
        <v>773</v>
      </c>
      <c r="F7" s="19" t="s">
        <v>21</v>
      </c>
      <c r="G7" s="20">
        <v>85.0</v>
      </c>
      <c r="H7" s="20" t="s">
        <v>774</v>
      </c>
      <c r="I7" s="17">
        <f>IFERROR(__xludf.DUMMYFUNCTION("GOOGLEFINANCE(F7,""marketcap"")"),6.00640224849E11)</f>
        <v>600640224849</v>
      </c>
    </row>
    <row r="8" ht="16.5" customHeight="1">
      <c r="A8" s="19" t="s">
        <v>265</v>
      </c>
      <c r="B8" s="20">
        <v>85.0</v>
      </c>
      <c r="C8" s="20" t="s">
        <v>775</v>
      </c>
      <c r="F8" s="19" t="s">
        <v>57</v>
      </c>
      <c r="G8" s="20">
        <v>85.0</v>
      </c>
      <c r="H8" s="20" t="s">
        <v>776</v>
      </c>
      <c r="I8" s="17">
        <f>IFERROR(__xludf.DUMMYFUNCTION("GOOGLEFINANCE(F8,""marketcap"")"),4.47552195726E11)</f>
        <v>447552195726</v>
      </c>
    </row>
    <row r="9" ht="16.5" customHeight="1">
      <c r="A9" s="19" t="s">
        <v>777</v>
      </c>
      <c r="B9" s="20">
        <v>85.0</v>
      </c>
      <c r="C9" s="20" t="s">
        <v>778</v>
      </c>
      <c r="F9" s="19" t="s">
        <v>19</v>
      </c>
      <c r="G9" s="20">
        <v>85.0</v>
      </c>
      <c r="H9" s="20" t="s">
        <v>779</v>
      </c>
      <c r="I9" s="17">
        <f>IFERROR(__xludf.DUMMYFUNCTION("GOOGLEFINANCE(F9,""marketcap"")"),5.63561204923E11)</f>
        <v>563561204923</v>
      </c>
    </row>
    <row r="10" ht="16.5" customHeight="1">
      <c r="A10" s="19" t="s">
        <v>780</v>
      </c>
      <c r="B10" s="20">
        <v>85.0</v>
      </c>
      <c r="C10" s="20" t="s">
        <v>781</v>
      </c>
      <c r="F10" s="19" t="s">
        <v>37</v>
      </c>
      <c r="G10" s="20">
        <v>85.0</v>
      </c>
      <c r="H10" s="20" t="s">
        <v>782</v>
      </c>
      <c r="I10" s="17">
        <f>IFERROR(__xludf.DUMMYFUNCTION("GOOGLEFINANCE(F10,""marketcap"")"),3.68347965594E11)</f>
        <v>368347965594</v>
      </c>
    </row>
    <row r="11" ht="16.5" customHeight="1">
      <c r="A11" s="19" t="s">
        <v>614</v>
      </c>
      <c r="B11" s="20">
        <v>85.0</v>
      </c>
      <c r="C11" s="20" t="s">
        <v>783</v>
      </c>
      <c r="F11" s="19" t="s">
        <v>187</v>
      </c>
      <c r="G11" s="20">
        <v>85.0</v>
      </c>
      <c r="H11" s="20" t="s">
        <v>784</v>
      </c>
      <c r="I11" s="17">
        <f>IFERROR(__xludf.DUMMYFUNCTION("GOOGLEFINANCE(F11,""marketcap"")"),5.3276528407E11)</f>
        <v>532765284070</v>
      </c>
    </row>
    <row r="12" ht="16.5" customHeight="1">
      <c r="A12" s="19" t="s">
        <v>785</v>
      </c>
      <c r="B12" s="20">
        <v>85.0</v>
      </c>
      <c r="C12" s="20" t="s">
        <v>786</v>
      </c>
      <c r="F12" s="19" t="s">
        <v>771</v>
      </c>
      <c r="G12" s="20">
        <v>85.0</v>
      </c>
      <c r="H12" s="20" t="s">
        <v>772</v>
      </c>
      <c r="I12" s="17">
        <f>IFERROR(__xludf.DUMMYFUNCTION("GOOGLEFINANCE(F12,""marketcap"")"),1.46869587308E11)</f>
        <v>146869587308</v>
      </c>
    </row>
    <row r="13" ht="16.5" customHeight="1">
      <c r="A13" s="19" t="s">
        <v>787</v>
      </c>
      <c r="B13" s="20">
        <v>85.0</v>
      </c>
      <c r="C13" s="20" t="s">
        <v>788</v>
      </c>
      <c r="F13" s="19" t="s">
        <v>125</v>
      </c>
      <c r="G13" s="20">
        <v>85.0</v>
      </c>
      <c r="H13" s="20" t="s">
        <v>789</v>
      </c>
      <c r="I13" s="17">
        <f>IFERROR(__xludf.DUMMYFUNCTION("GOOGLEFINANCE(F13,""marketcap"")"),2.75088990336E11)</f>
        <v>275088990336</v>
      </c>
    </row>
    <row r="14" ht="16.5" customHeight="1">
      <c r="A14" s="19" t="s">
        <v>790</v>
      </c>
      <c r="B14" s="20">
        <v>85.0</v>
      </c>
      <c r="C14" s="20" t="s">
        <v>791</v>
      </c>
      <c r="F14" s="19" t="s">
        <v>206</v>
      </c>
      <c r="G14" s="20">
        <v>85.0</v>
      </c>
      <c r="H14" s="20" t="s">
        <v>769</v>
      </c>
      <c r="I14" s="17">
        <f>IFERROR(__xludf.DUMMYFUNCTION("GOOGLEFINANCE(F14,""marketcap"")"),1.10766891297E11)</f>
        <v>110766891297</v>
      </c>
    </row>
    <row r="15" ht="16.5" customHeight="1">
      <c r="A15" s="19" t="s">
        <v>792</v>
      </c>
      <c r="B15" s="20">
        <v>85.0</v>
      </c>
      <c r="C15" s="20" t="s">
        <v>793</v>
      </c>
      <c r="F15" s="19" t="s">
        <v>232</v>
      </c>
      <c r="G15" s="20">
        <v>85.0</v>
      </c>
      <c r="H15" s="20" t="s">
        <v>794</v>
      </c>
      <c r="I15" s="17">
        <f>IFERROR(__xludf.DUMMYFUNCTION("GOOGLEFINANCE(F15,""marketcap"")"),2.28011146845E11)</f>
        <v>228011146845</v>
      </c>
    </row>
    <row r="16" ht="16.5" customHeight="1">
      <c r="A16" s="19" t="s">
        <v>19</v>
      </c>
      <c r="B16" s="20">
        <v>85.0</v>
      </c>
      <c r="C16" s="20" t="s">
        <v>779</v>
      </c>
      <c r="F16" s="19" t="s">
        <v>795</v>
      </c>
      <c r="G16" s="20">
        <v>85.0</v>
      </c>
      <c r="H16" s="20" t="s">
        <v>796</v>
      </c>
      <c r="I16" s="17">
        <f>IFERROR(__xludf.DUMMYFUNCTION("GOOGLEFINANCE(F16,""marketcap"")"),2.113297E11)</f>
        <v>211329700000</v>
      </c>
    </row>
    <row r="17" ht="16.5" customHeight="1">
      <c r="A17" s="19" t="s">
        <v>182</v>
      </c>
      <c r="B17" s="20">
        <v>85.0</v>
      </c>
      <c r="C17" s="20" t="s">
        <v>763</v>
      </c>
      <c r="F17" s="19" t="s">
        <v>126</v>
      </c>
      <c r="G17" s="20">
        <v>85.0</v>
      </c>
      <c r="H17" s="20" t="s">
        <v>764</v>
      </c>
      <c r="I17" s="17">
        <f>IFERROR(__xludf.DUMMYFUNCTION("GOOGLEFINANCE(F17,""marketcap"")"),1.72803951E11)</f>
        <v>172803951000</v>
      </c>
    </row>
    <row r="18" ht="16.5" customHeight="1">
      <c r="A18" s="19" t="s">
        <v>37</v>
      </c>
      <c r="B18" s="20">
        <v>85.0</v>
      </c>
      <c r="C18" s="20" t="s">
        <v>782</v>
      </c>
      <c r="F18" s="19" t="s">
        <v>777</v>
      </c>
      <c r="G18" s="20">
        <v>85.0</v>
      </c>
      <c r="H18" s="20" t="s">
        <v>778</v>
      </c>
      <c r="I18" s="17">
        <f>IFERROR(__xludf.DUMMYFUNCTION("GOOGLEFINANCE(F18,""marketcap"")"),2.37137404538E11)</f>
        <v>237137404538</v>
      </c>
    </row>
    <row r="19" ht="16.5" customHeight="1">
      <c r="A19" s="19" t="s">
        <v>468</v>
      </c>
      <c r="B19" s="20">
        <v>85.0</v>
      </c>
      <c r="C19" s="20" t="s">
        <v>797</v>
      </c>
      <c r="F19" s="19" t="s">
        <v>798</v>
      </c>
      <c r="G19" s="20">
        <v>85.0</v>
      </c>
      <c r="H19" s="20" t="s">
        <v>799</v>
      </c>
      <c r="I19" s="17">
        <f>IFERROR(__xludf.DUMMYFUNCTION("GOOGLEFINANCE(F19,""marketcap"")"),1.09599490193E11)</f>
        <v>109599490193</v>
      </c>
    </row>
    <row r="20" ht="16.5" customHeight="1">
      <c r="A20" s="19" t="s">
        <v>57</v>
      </c>
      <c r="B20" s="20">
        <v>85.0</v>
      </c>
      <c r="C20" s="20" t="s">
        <v>776</v>
      </c>
      <c r="F20" s="19" t="s">
        <v>239</v>
      </c>
      <c r="G20" s="20">
        <v>85.0</v>
      </c>
      <c r="H20" s="20" t="s">
        <v>800</v>
      </c>
      <c r="I20" s="17">
        <f>IFERROR(__xludf.DUMMYFUNCTION("GOOGLEFINANCE(F20,""marketcap"")"),7.422331E11)</f>
        <v>742233100000</v>
      </c>
    </row>
    <row r="21" ht="16.5" customHeight="1">
      <c r="A21" s="19" t="s">
        <v>243</v>
      </c>
      <c r="B21" s="20">
        <v>85.0</v>
      </c>
      <c r="C21" s="20" t="s">
        <v>801</v>
      </c>
      <c r="F21" s="19" t="s">
        <v>614</v>
      </c>
      <c r="G21" s="20">
        <v>85.0</v>
      </c>
      <c r="H21" s="20" t="s">
        <v>783</v>
      </c>
      <c r="I21" s="17">
        <f>IFERROR(__xludf.DUMMYFUNCTION("GOOGLEFINANCE(F21,""marketcap"")"),8.0159125603E10)</f>
        <v>80159125603</v>
      </c>
    </row>
    <row r="22" ht="16.5" customHeight="1">
      <c r="A22" s="19" t="s">
        <v>53</v>
      </c>
      <c r="B22" s="20">
        <v>85.0</v>
      </c>
      <c r="C22" s="20" t="s">
        <v>765</v>
      </c>
      <c r="F22" s="19" t="s">
        <v>265</v>
      </c>
      <c r="G22" s="20">
        <v>85.0</v>
      </c>
      <c r="H22" s="20" t="s">
        <v>775</v>
      </c>
      <c r="I22" s="17">
        <f>IFERROR(__xludf.DUMMYFUNCTION("GOOGLEFINANCE(F22,""marketcap"")"),5.03495983E8)</f>
        <v>503495983</v>
      </c>
    </row>
    <row r="23" ht="16.5" customHeight="1">
      <c r="A23" s="19" t="s">
        <v>22</v>
      </c>
      <c r="B23" s="20">
        <v>85.0</v>
      </c>
      <c r="C23" s="20" t="s">
        <v>802</v>
      </c>
      <c r="F23" s="19" t="s">
        <v>130</v>
      </c>
      <c r="G23" s="20">
        <v>85.0</v>
      </c>
      <c r="H23" s="20" t="s">
        <v>803</v>
      </c>
      <c r="I23" s="17">
        <f>IFERROR(__xludf.DUMMYFUNCTION("GOOGLEFINANCE(F23,""marketcap"")"),1.63009556202E11)</f>
        <v>163009556202</v>
      </c>
    </row>
    <row r="24" ht="16.5" customHeight="1">
      <c r="A24" s="19" t="s">
        <v>232</v>
      </c>
      <c r="B24" s="20">
        <v>85.0</v>
      </c>
      <c r="C24" s="20" t="s">
        <v>794</v>
      </c>
      <c r="F24" s="19" t="s">
        <v>93</v>
      </c>
      <c r="G24" s="20">
        <v>85.0</v>
      </c>
      <c r="H24" s="20" t="s">
        <v>804</v>
      </c>
      <c r="I24" s="17">
        <f>IFERROR(__xludf.DUMMYFUNCTION("GOOGLEFINANCE(F24,""marketcap"")"),1.35044102953E11)</f>
        <v>135044102953</v>
      </c>
    </row>
    <row r="25" ht="16.5" customHeight="1">
      <c r="A25" s="19" t="s">
        <v>805</v>
      </c>
      <c r="B25" s="20">
        <v>85.0</v>
      </c>
      <c r="C25" s="20" t="s">
        <v>806</v>
      </c>
      <c r="F25" s="19" t="s">
        <v>468</v>
      </c>
      <c r="G25" s="20">
        <v>85.0</v>
      </c>
      <c r="H25" s="20" t="s">
        <v>797</v>
      </c>
      <c r="I25" s="17">
        <f>IFERROR(__xludf.DUMMYFUNCTION("GOOGLEFINANCE(F25,""marketcap"")"),1.38727027256E11)</f>
        <v>138727027256</v>
      </c>
    </row>
    <row r="26" ht="16.5" customHeight="1">
      <c r="A26" s="19" t="s">
        <v>127</v>
      </c>
      <c r="B26" s="20">
        <v>85.0</v>
      </c>
      <c r="C26" s="20" t="s">
        <v>807</v>
      </c>
      <c r="F26" s="19" t="s">
        <v>394</v>
      </c>
      <c r="G26" s="20">
        <v>85.0</v>
      </c>
      <c r="H26" s="20" t="s">
        <v>808</v>
      </c>
      <c r="I26" s="17">
        <f>IFERROR(__xludf.DUMMYFUNCTION("GOOGLEFINANCE(F26,""marketcap"")"),1.78517072919E11)</f>
        <v>178517072919</v>
      </c>
    </row>
    <row r="27" ht="16.5" customHeight="1">
      <c r="A27" s="19" t="s">
        <v>93</v>
      </c>
      <c r="B27" s="20">
        <v>85.0</v>
      </c>
      <c r="C27" s="20" t="s">
        <v>804</v>
      </c>
      <c r="F27" s="19" t="s">
        <v>243</v>
      </c>
      <c r="G27" s="20">
        <v>85.0</v>
      </c>
      <c r="H27" s="20" t="s">
        <v>801</v>
      </c>
      <c r="I27" s="17">
        <f>IFERROR(__xludf.DUMMYFUNCTION("GOOGLEFINANCE(F27,""marketcap"")"),8.2244090721E10)</f>
        <v>82244090721</v>
      </c>
    </row>
    <row r="28" ht="16.5" customHeight="1">
      <c r="A28" s="19" t="s">
        <v>798</v>
      </c>
      <c r="B28" s="20">
        <v>85.0</v>
      </c>
      <c r="C28" s="20" t="s">
        <v>799</v>
      </c>
      <c r="F28" s="19" t="s">
        <v>809</v>
      </c>
      <c r="G28" s="20">
        <v>85.0</v>
      </c>
      <c r="H28" s="20" t="s">
        <v>810</v>
      </c>
      <c r="I28" s="17">
        <f>IFERROR(__xludf.DUMMYFUNCTION("GOOGLEFINANCE(F28,""marketcap"")"),8.6487356548E10)</f>
        <v>86487356548</v>
      </c>
    </row>
    <row r="29" ht="16.5" customHeight="1">
      <c r="A29" s="19" t="s">
        <v>187</v>
      </c>
      <c r="B29" s="20">
        <v>85.0</v>
      </c>
      <c r="C29" s="20" t="s">
        <v>784</v>
      </c>
      <c r="F29" s="19" t="s">
        <v>785</v>
      </c>
      <c r="G29" s="20">
        <v>85.0</v>
      </c>
      <c r="H29" s="20" t="s">
        <v>786</v>
      </c>
      <c r="I29" s="17">
        <f>IFERROR(__xludf.DUMMYFUNCTION("GOOGLEFINANCE(F29,""marketcap"")"),7.6201173692E10)</f>
        <v>76201173692</v>
      </c>
    </row>
    <row r="30" ht="16.5" customHeight="1">
      <c r="A30" s="19" t="s">
        <v>811</v>
      </c>
      <c r="B30" s="20">
        <v>85.0</v>
      </c>
      <c r="C30" s="20" t="s">
        <v>812</v>
      </c>
      <c r="F30" s="19" t="s">
        <v>592</v>
      </c>
      <c r="G30" s="20">
        <v>85.0</v>
      </c>
      <c r="H30" s="20" t="s">
        <v>813</v>
      </c>
      <c r="I30" s="17">
        <f>IFERROR(__xludf.DUMMYFUNCTION("GOOGLEFINANCE(F30,""marketcap"")"),9.0161753555E10)</f>
        <v>90161753555</v>
      </c>
    </row>
    <row r="31" ht="16.5" customHeight="1">
      <c r="A31" s="19" t="s">
        <v>394</v>
      </c>
      <c r="B31" s="20">
        <v>85.0</v>
      </c>
      <c r="C31" s="20" t="s">
        <v>808</v>
      </c>
      <c r="F31" s="19" t="s">
        <v>276</v>
      </c>
      <c r="G31" s="20">
        <v>85.0</v>
      </c>
      <c r="H31" s="20" t="s">
        <v>762</v>
      </c>
      <c r="I31" s="17">
        <f>IFERROR(__xludf.DUMMYFUNCTION("GOOGLEFINANCE(F31,""marketcap"")"),3.4831440445E10)</f>
        <v>34831440445</v>
      </c>
    </row>
    <row r="32" ht="16.5" customHeight="1">
      <c r="A32" s="19" t="s">
        <v>419</v>
      </c>
      <c r="B32" s="20">
        <v>85.0</v>
      </c>
      <c r="C32" s="20" t="s">
        <v>814</v>
      </c>
      <c r="F32" s="19" t="s">
        <v>22</v>
      </c>
      <c r="G32" s="20">
        <v>85.0</v>
      </c>
      <c r="H32" s="20" t="s">
        <v>802</v>
      </c>
      <c r="I32" s="17">
        <f>IFERROR(__xludf.DUMMYFUNCTION("GOOGLEFINANCE(F32,""marketcap"")"),9.3712142222E10)</f>
        <v>93712142222</v>
      </c>
    </row>
    <row r="33" ht="16.5" customHeight="1">
      <c r="A33" s="19" t="s">
        <v>542</v>
      </c>
      <c r="B33" s="20">
        <v>85.0</v>
      </c>
      <c r="C33" s="20" t="s">
        <v>815</v>
      </c>
      <c r="F33" s="19" t="s">
        <v>766</v>
      </c>
      <c r="G33" s="20">
        <v>85.0</v>
      </c>
      <c r="H33" s="20" t="s">
        <v>767</v>
      </c>
      <c r="I33" s="17">
        <f>IFERROR(__xludf.DUMMYFUNCTION("GOOGLEFINANCE(F33,""marketcap"")"),6.3376598401E10)</f>
        <v>63376598401</v>
      </c>
    </row>
    <row r="34" ht="16.5" customHeight="1">
      <c r="A34" s="19" t="s">
        <v>239</v>
      </c>
      <c r="B34" s="20">
        <v>85.0</v>
      </c>
      <c r="C34" s="20" t="s">
        <v>800</v>
      </c>
      <c r="F34" s="19" t="s">
        <v>790</v>
      </c>
      <c r="G34" s="20">
        <v>85.0</v>
      </c>
      <c r="H34" s="20" t="s">
        <v>791</v>
      </c>
      <c r="I34" s="17">
        <f>IFERROR(__xludf.DUMMYFUNCTION("GOOGLEFINANCE(F34,""marketcap"")"),7.0075576133E10)</f>
        <v>70075576133</v>
      </c>
    </row>
    <row r="35" ht="16.5" customHeight="1">
      <c r="A35" s="19" t="s">
        <v>816</v>
      </c>
      <c r="B35" s="20">
        <v>85.0</v>
      </c>
      <c r="C35" s="20" t="s">
        <v>817</v>
      </c>
      <c r="F35" s="19" t="s">
        <v>542</v>
      </c>
      <c r="G35" s="20">
        <v>85.0</v>
      </c>
      <c r="H35" s="20" t="s">
        <v>815</v>
      </c>
      <c r="I35" s="17">
        <f>IFERROR(__xludf.DUMMYFUNCTION("GOOGLEFINANCE(F35,""marketcap"")"),5.4869263263E10)</f>
        <v>54869263263</v>
      </c>
    </row>
    <row r="36" ht="16.5" customHeight="1">
      <c r="A36" s="19" t="s">
        <v>476</v>
      </c>
      <c r="B36" s="20">
        <v>85.0</v>
      </c>
      <c r="C36" s="20" t="s">
        <v>818</v>
      </c>
      <c r="F36" s="19" t="s">
        <v>819</v>
      </c>
      <c r="G36" s="20">
        <v>85.0</v>
      </c>
      <c r="H36" s="20" t="s">
        <v>820</v>
      </c>
      <c r="I36" s="17">
        <f>IFERROR(__xludf.DUMMYFUNCTION("GOOGLEFINANCE(F36,""marketcap"")"),3.2694685773E10)</f>
        <v>32694685773</v>
      </c>
    </row>
    <row r="37" ht="16.5" customHeight="1">
      <c r="A37" s="19" t="s">
        <v>21</v>
      </c>
      <c r="B37" s="20">
        <v>85.0</v>
      </c>
      <c r="C37" s="20" t="s">
        <v>774</v>
      </c>
      <c r="F37" s="19" t="s">
        <v>127</v>
      </c>
      <c r="G37" s="20">
        <v>85.0</v>
      </c>
      <c r="H37" s="20" t="s">
        <v>807</v>
      </c>
      <c r="I37" s="17">
        <f>IFERROR(__xludf.DUMMYFUNCTION("GOOGLEFINANCE(F37,""marketcap"")"),5.3083818851E10)</f>
        <v>53083818851</v>
      </c>
    </row>
    <row r="38" ht="16.5" customHeight="1">
      <c r="A38" s="19" t="s">
        <v>809</v>
      </c>
      <c r="B38" s="20">
        <v>85.0</v>
      </c>
      <c r="C38" s="20" t="s">
        <v>810</v>
      </c>
      <c r="F38" s="19" t="s">
        <v>805</v>
      </c>
      <c r="G38" s="20">
        <v>85.0</v>
      </c>
      <c r="H38" s="20" t="s">
        <v>806</v>
      </c>
      <c r="I38" s="17">
        <f>IFERROR(__xludf.DUMMYFUNCTION("GOOGLEFINANCE(F38,""marketcap"")"),5.5821406564E10)</f>
        <v>55821406564</v>
      </c>
    </row>
    <row r="39" ht="16.5" customHeight="1">
      <c r="A39" s="19" t="s">
        <v>821</v>
      </c>
      <c r="B39" s="20">
        <v>85.0</v>
      </c>
      <c r="C39" s="20" t="s">
        <v>822</v>
      </c>
      <c r="F39" s="19" t="s">
        <v>780</v>
      </c>
      <c r="G39" s="20">
        <v>85.0</v>
      </c>
      <c r="H39" s="20" t="s">
        <v>781</v>
      </c>
      <c r="I39" s="17">
        <f>IFERROR(__xludf.DUMMYFUNCTION("GOOGLEFINANCE(F39,""marketcap"")"),2.9991839791E10)</f>
        <v>29991839791</v>
      </c>
    </row>
    <row r="40" ht="16.5" customHeight="1">
      <c r="A40" s="19" t="s">
        <v>592</v>
      </c>
      <c r="B40" s="20">
        <v>85.0</v>
      </c>
      <c r="C40" s="20" t="s">
        <v>813</v>
      </c>
      <c r="F40" s="19" t="s">
        <v>787</v>
      </c>
      <c r="G40" s="20">
        <v>85.0</v>
      </c>
      <c r="H40" s="20" t="s">
        <v>788</v>
      </c>
      <c r="I40" s="17">
        <f>IFERROR(__xludf.DUMMYFUNCTION("GOOGLEFINANCE(F40,""marketcap"")"),7.8649251512E10)</f>
        <v>78649251512</v>
      </c>
    </row>
    <row r="41" ht="16.5" customHeight="1">
      <c r="A41" s="19" t="s">
        <v>184</v>
      </c>
      <c r="B41" s="20">
        <v>85.0</v>
      </c>
      <c r="C41" s="20" t="s">
        <v>768</v>
      </c>
      <c r="F41" s="19" t="s">
        <v>811</v>
      </c>
      <c r="G41" s="20">
        <v>85.0</v>
      </c>
      <c r="H41" s="20" t="s">
        <v>812</v>
      </c>
      <c r="I41" s="17">
        <f>IFERROR(__xludf.DUMMYFUNCTION("GOOGLEFINANCE(F41,""marketcap"")"),2.0837839599E10)</f>
        <v>20837839599</v>
      </c>
    </row>
    <row r="42" ht="16.5" customHeight="1">
      <c r="A42" s="19" t="s">
        <v>130</v>
      </c>
      <c r="B42" s="20">
        <v>85.0</v>
      </c>
      <c r="C42" s="20" t="s">
        <v>803</v>
      </c>
      <c r="F42" s="19" t="s">
        <v>821</v>
      </c>
      <c r="G42" s="20">
        <v>85.0</v>
      </c>
      <c r="H42" s="20" t="s">
        <v>822</v>
      </c>
      <c r="I42" s="17">
        <f>IFERROR(__xludf.DUMMYFUNCTION("GOOGLEFINANCE(F42,""marketcap"")"),2.0743398328E10)</f>
        <v>20743398328</v>
      </c>
    </row>
    <row r="43" ht="16.5" customHeight="1">
      <c r="A43" s="19" t="s">
        <v>46</v>
      </c>
      <c r="B43" s="20">
        <v>85.0</v>
      </c>
      <c r="C43" s="20" t="s">
        <v>770</v>
      </c>
      <c r="F43" s="19" t="s">
        <v>419</v>
      </c>
      <c r="G43" s="20">
        <v>85.0</v>
      </c>
      <c r="H43" s="20" t="s">
        <v>814</v>
      </c>
      <c r="I43" s="17">
        <f>IFERROR(__xludf.DUMMYFUNCTION("GOOGLEFINANCE(F43,""marketcap"")"),8.061702151E9)</f>
        <v>8061702151</v>
      </c>
    </row>
    <row r="44" ht="16.5" customHeight="1">
      <c r="A44" s="19" t="s">
        <v>125</v>
      </c>
      <c r="B44" s="20">
        <v>85.0</v>
      </c>
      <c r="C44" s="20" t="s">
        <v>789</v>
      </c>
      <c r="F44" s="19" t="s">
        <v>792</v>
      </c>
      <c r="G44" s="20">
        <v>85.0</v>
      </c>
      <c r="H44" s="20" t="s">
        <v>793</v>
      </c>
      <c r="I44" s="17">
        <f>IFERROR(__xludf.DUMMYFUNCTION("GOOGLEFINANCE(F44,""marketcap"")"),2.1962577076E10)</f>
        <v>21962577076</v>
      </c>
    </row>
    <row r="45" ht="16.5" customHeight="1">
      <c r="A45" s="19" t="s">
        <v>795</v>
      </c>
      <c r="B45" s="20">
        <v>85.0</v>
      </c>
      <c r="C45" s="20" t="s">
        <v>796</v>
      </c>
      <c r="F45" s="19" t="s">
        <v>476</v>
      </c>
      <c r="G45" s="20">
        <v>85.0</v>
      </c>
      <c r="H45" s="20" t="s">
        <v>818</v>
      </c>
      <c r="I45" s="17">
        <f>IFERROR(__xludf.DUMMYFUNCTION("GOOGLEFINANCE(F45,""marketcap"")"),1.037261162E10)</f>
        <v>10372611620</v>
      </c>
    </row>
    <row r="46" ht="16.5" customHeight="1">
      <c r="A46" s="19" t="s">
        <v>819</v>
      </c>
      <c r="B46" s="20">
        <v>85.0</v>
      </c>
      <c r="C46" s="20" t="s">
        <v>820</v>
      </c>
      <c r="F46" s="19" t="s">
        <v>816</v>
      </c>
      <c r="G46" s="20">
        <v>85.0</v>
      </c>
      <c r="H46" s="20" t="s">
        <v>817</v>
      </c>
      <c r="I46" s="17">
        <f>IFERROR(__xludf.DUMMYFUNCTION("GOOGLEFINANCE(F46,""marketcap"")"),1.1932447802E10)</f>
        <v>11932447802</v>
      </c>
    </row>
    <row r="47" ht="16.5" customHeight="1">
      <c r="A47" s="19" t="s">
        <v>823</v>
      </c>
      <c r="B47" s="20">
        <v>82.0</v>
      </c>
      <c r="C47" s="20" t="s">
        <v>824</v>
      </c>
    </row>
    <row r="48" ht="16.5" customHeight="1">
      <c r="A48" s="19" t="s">
        <v>825</v>
      </c>
      <c r="B48" s="20">
        <v>78.0</v>
      </c>
      <c r="C48" s="20" t="s">
        <v>826</v>
      </c>
    </row>
    <row r="49" ht="16.5" customHeight="1">
      <c r="A49" s="19" t="s">
        <v>198</v>
      </c>
      <c r="B49" s="20">
        <v>78.0</v>
      </c>
      <c r="C49" s="20" t="s">
        <v>827</v>
      </c>
    </row>
    <row r="50" ht="16.5" customHeight="1">
      <c r="A50" s="19" t="s">
        <v>35</v>
      </c>
      <c r="B50" s="20">
        <v>78.0</v>
      </c>
      <c r="C50" s="20" t="s">
        <v>828</v>
      </c>
    </row>
    <row r="51" ht="16.5" customHeight="1">
      <c r="A51" s="19" t="s">
        <v>829</v>
      </c>
      <c r="B51" s="20">
        <v>78.0</v>
      </c>
      <c r="C51" s="20" t="s">
        <v>830</v>
      </c>
    </row>
    <row r="52" ht="16.5" customHeight="1">
      <c r="A52" s="19" t="s">
        <v>831</v>
      </c>
      <c r="B52" s="20">
        <v>78.0</v>
      </c>
      <c r="C52" s="20" t="s">
        <v>832</v>
      </c>
    </row>
    <row r="53" ht="16.5" customHeight="1">
      <c r="A53" s="19" t="s">
        <v>833</v>
      </c>
      <c r="B53" s="20">
        <v>78.0</v>
      </c>
      <c r="C53" s="20" t="s">
        <v>834</v>
      </c>
    </row>
    <row r="54" ht="16.5" customHeight="1">
      <c r="A54" s="19" t="s">
        <v>835</v>
      </c>
      <c r="B54" s="20">
        <v>78.0</v>
      </c>
      <c r="C54" s="20" t="s">
        <v>836</v>
      </c>
    </row>
    <row r="55" ht="16.5" customHeight="1">
      <c r="A55" s="19" t="s">
        <v>837</v>
      </c>
      <c r="B55" s="20">
        <v>78.0</v>
      </c>
      <c r="C55" s="20" t="s">
        <v>838</v>
      </c>
    </row>
    <row r="56" ht="16.5" customHeight="1">
      <c r="A56" s="19" t="s">
        <v>839</v>
      </c>
      <c r="B56" s="20">
        <v>78.0</v>
      </c>
      <c r="C56" s="20" t="s">
        <v>840</v>
      </c>
    </row>
    <row r="57" ht="16.5" customHeight="1">
      <c r="A57" s="19" t="s">
        <v>841</v>
      </c>
      <c r="B57" s="20">
        <v>78.0</v>
      </c>
      <c r="C57" s="20" t="s">
        <v>842</v>
      </c>
    </row>
    <row r="58" ht="16.5" customHeight="1">
      <c r="A58" s="19" t="s">
        <v>843</v>
      </c>
      <c r="B58" s="20">
        <v>78.0</v>
      </c>
      <c r="C58" s="20" t="s">
        <v>844</v>
      </c>
    </row>
    <row r="59" ht="16.5" customHeight="1">
      <c r="A59" s="19" t="s">
        <v>845</v>
      </c>
      <c r="B59" s="20">
        <v>78.0</v>
      </c>
      <c r="C59" s="20" t="s">
        <v>846</v>
      </c>
    </row>
    <row r="60" ht="16.5" customHeight="1">
      <c r="A60" s="19" t="s">
        <v>847</v>
      </c>
      <c r="B60" s="20">
        <v>78.0</v>
      </c>
      <c r="C60" s="20" t="s">
        <v>848</v>
      </c>
    </row>
    <row r="61" ht="16.5" customHeight="1">
      <c r="A61" s="19" t="s">
        <v>849</v>
      </c>
      <c r="B61" s="20">
        <v>78.0</v>
      </c>
      <c r="C61" s="20" t="s">
        <v>850</v>
      </c>
    </row>
    <row r="62" ht="16.5" customHeight="1">
      <c r="A62" s="19" t="s">
        <v>851</v>
      </c>
      <c r="B62" s="20">
        <v>78.0</v>
      </c>
      <c r="C62" s="20" t="s">
        <v>852</v>
      </c>
    </row>
    <row r="63" ht="16.5" customHeight="1">
      <c r="A63" s="19" t="s">
        <v>853</v>
      </c>
      <c r="B63" s="20">
        <v>78.0</v>
      </c>
      <c r="C63" s="20" t="s">
        <v>854</v>
      </c>
    </row>
    <row r="64" ht="16.5" customHeight="1">
      <c r="A64" s="19" t="s">
        <v>855</v>
      </c>
      <c r="B64" s="20">
        <v>78.0</v>
      </c>
      <c r="C64" s="20" t="s">
        <v>856</v>
      </c>
    </row>
    <row r="65" ht="16.5" customHeight="1">
      <c r="A65" s="19" t="s">
        <v>857</v>
      </c>
      <c r="B65" s="20">
        <v>78.0</v>
      </c>
      <c r="C65" s="20" t="s">
        <v>858</v>
      </c>
    </row>
    <row r="66" ht="16.5" customHeight="1">
      <c r="A66" s="19" t="s">
        <v>859</v>
      </c>
      <c r="B66" s="20">
        <v>78.0</v>
      </c>
      <c r="C66" s="20" t="s">
        <v>860</v>
      </c>
    </row>
    <row r="67" ht="16.5" customHeight="1">
      <c r="A67" s="19" t="s">
        <v>15</v>
      </c>
      <c r="B67" s="20">
        <v>78.0</v>
      </c>
      <c r="C67" s="20" t="s">
        <v>861</v>
      </c>
    </row>
    <row r="68" ht="16.5" customHeight="1">
      <c r="A68" s="19" t="s">
        <v>862</v>
      </c>
      <c r="B68" s="20">
        <v>78.0</v>
      </c>
      <c r="C68" s="20" t="s">
        <v>863</v>
      </c>
    </row>
    <row r="69" ht="16.5" customHeight="1">
      <c r="A69" s="19" t="s">
        <v>864</v>
      </c>
      <c r="B69" s="20">
        <v>78.0</v>
      </c>
      <c r="C69" s="20" t="s">
        <v>865</v>
      </c>
    </row>
    <row r="70" ht="16.5" customHeight="1">
      <c r="A70" s="19" t="s">
        <v>866</v>
      </c>
      <c r="B70" s="20">
        <v>78.0</v>
      </c>
      <c r="C70" s="20" t="s">
        <v>867</v>
      </c>
    </row>
    <row r="71" ht="16.5" customHeight="1">
      <c r="A71" s="19" t="s">
        <v>868</v>
      </c>
      <c r="B71" s="20">
        <v>78.0</v>
      </c>
      <c r="C71" s="20" t="s">
        <v>869</v>
      </c>
    </row>
    <row r="72" ht="16.5" customHeight="1">
      <c r="A72" s="19" t="s">
        <v>870</v>
      </c>
      <c r="B72" s="20">
        <v>78.0</v>
      </c>
      <c r="C72" s="20" t="s">
        <v>871</v>
      </c>
    </row>
    <row r="73" ht="16.5" customHeight="1">
      <c r="A73" s="19" t="s">
        <v>20</v>
      </c>
      <c r="B73" s="20">
        <v>78.0</v>
      </c>
      <c r="C73" s="20" t="s">
        <v>872</v>
      </c>
    </row>
    <row r="74" ht="16.5" customHeight="1">
      <c r="A74" s="19" t="s">
        <v>873</v>
      </c>
      <c r="B74" s="20">
        <v>78.0</v>
      </c>
      <c r="C74" s="20" t="s">
        <v>874</v>
      </c>
    </row>
    <row r="75" ht="16.5" customHeight="1">
      <c r="A75" s="19" t="s">
        <v>472</v>
      </c>
      <c r="B75" s="20">
        <v>78.0</v>
      </c>
      <c r="C75" s="20" t="s">
        <v>875</v>
      </c>
    </row>
    <row r="76" ht="16.5" customHeight="1">
      <c r="A76" s="19" t="s">
        <v>876</v>
      </c>
      <c r="B76" s="20">
        <v>78.0</v>
      </c>
      <c r="C76" s="20" t="s">
        <v>877</v>
      </c>
    </row>
    <row r="77" ht="16.5" customHeight="1">
      <c r="A77" s="19" t="s">
        <v>878</v>
      </c>
      <c r="B77" s="20">
        <v>78.0</v>
      </c>
      <c r="C77" s="20" t="s">
        <v>879</v>
      </c>
    </row>
    <row r="78" ht="16.5" customHeight="1">
      <c r="A78" s="19" t="s">
        <v>55</v>
      </c>
      <c r="B78" s="20">
        <v>78.0</v>
      </c>
      <c r="C78" s="43" t="s">
        <v>880</v>
      </c>
    </row>
    <row r="79" ht="16.5" customHeight="1">
      <c r="A79" s="19" t="s">
        <v>881</v>
      </c>
      <c r="B79" s="20">
        <v>78.0</v>
      </c>
      <c r="C79" s="20" t="s">
        <v>882</v>
      </c>
    </row>
    <row r="80" ht="16.5" customHeight="1">
      <c r="A80" s="19" t="s">
        <v>82</v>
      </c>
      <c r="B80" s="20">
        <v>78.0</v>
      </c>
      <c r="C80" s="43" t="s">
        <v>883</v>
      </c>
    </row>
    <row r="81" ht="16.5" customHeight="1">
      <c r="A81" s="19" t="s">
        <v>884</v>
      </c>
      <c r="B81" s="20">
        <v>78.0</v>
      </c>
      <c r="C81" s="20" t="s">
        <v>885</v>
      </c>
    </row>
    <row r="82" ht="16.5" customHeight="1">
      <c r="A82" s="19" t="s">
        <v>886</v>
      </c>
      <c r="B82" s="20">
        <v>78.0</v>
      </c>
      <c r="C82" s="43" t="s">
        <v>887</v>
      </c>
    </row>
    <row r="83" ht="16.5" customHeight="1">
      <c r="A83" s="19" t="s">
        <v>888</v>
      </c>
      <c r="B83" s="20">
        <v>78.0</v>
      </c>
      <c r="C83" s="20" t="s">
        <v>889</v>
      </c>
    </row>
    <row r="84" ht="16.5" customHeight="1">
      <c r="A84" s="19" t="s">
        <v>890</v>
      </c>
      <c r="B84" s="20">
        <v>78.0</v>
      </c>
      <c r="C84" s="20" t="s">
        <v>891</v>
      </c>
    </row>
    <row r="85" ht="16.5" customHeight="1">
      <c r="A85" s="19" t="s">
        <v>359</v>
      </c>
      <c r="B85" s="20">
        <v>78.0</v>
      </c>
      <c r="C85" s="20" t="s">
        <v>892</v>
      </c>
    </row>
    <row r="86" ht="16.5" customHeight="1">
      <c r="A86" s="19" t="s">
        <v>893</v>
      </c>
      <c r="B86" s="20">
        <v>78.0</v>
      </c>
      <c r="C86" s="20" t="s">
        <v>894</v>
      </c>
    </row>
    <row r="87" ht="16.5" customHeight="1">
      <c r="A87" s="19" t="s">
        <v>18</v>
      </c>
      <c r="B87" s="20">
        <v>78.0</v>
      </c>
      <c r="C87" s="20" t="s">
        <v>895</v>
      </c>
    </row>
    <row r="88" ht="16.5" customHeight="1">
      <c r="A88" s="19" t="s">
        <v>896</v>
      </c>
      <c r="B88" s="20">
        <v>78.0</v>
      </c>
      <c r="C88" s="20" t="s">
        <v>897</v>
      </c>
    </row>
    <row r="89" ht="16.5" customHeight="1">
      <c r="A89" s="19" t="s">
        <v>898</v>
      </c>
      <c r="B89" s="20">
        <v>78.0</v>
      </c>
      <c r="C89" s="20" t="s">
        <v>899</v>
      </c>
    </row>
    <row r="90" ht="16.5" customHeight="1">
      <c r="A90" s="19" t="s">
        <v>900</v>
      </c>
      <c r="B90" s="20">
        <v>78.0</v>
      </c>
      <c r="C90" s="20" t="s">
        <v>901</v>
      </c>
    </row>
    <row r="91" ht="16.5" customHeight="1">
      <c r="A91" s="19" t="s">
        <v>902</v>
      </c>
      <c r="B91" s="20">
        <v>78.0</v>
      </c>
      <c r="C91" s="20" t="s">
        <v>903</v>
      </c>
    </row>
    <row r="92" ht="16.5" customHeight="1">
      <c r="A92" s="19" t="s">
        <v>904</v>
      </c>
      <c r="B92" s="20">
        <v>78.0</v>
      </c>
      <c r="C92" s="20" t="s">
        <v>905</v>
      </c>
    </row>
    <row r="93" ht="16.5" customHeight="1">
      <c r="A93" s="19" t="s">
        <v>906</v>
      </c>
      <c r="B93" s="20">
        <v>78.0</v>
      </c>
      <c r="C93" s="20" t="s">
        <v>907</v>
      </c>
    </row>
    <row r="94" ht="16.5" customHeight="1">
      <c r="A94" s="19" t="s">
        <v>908</v>
      </c>
      <c r="B94" s="20">
        <v>78.0</v>
      </c>
      <c r="C94" s="20" t="s">
        <v>909</v>
      </c>
    </row>
    <row r="95" ht="16.5" customHeight="1">
      <c r="A95" s="19" t="s">
        <v>197</v>
      </c>
      <c r="B95" s="20">
        <v>78.0</v>
      </c>
      <c r="C95" s="20" t="s">
        <v>910</v>
      </c>
    </row>
    <row r="96" ht="16.5" customHeight="1">
      <c r="A96" s="19" t="s">
        <v>911</v>
      </c>
      <c r="B96" s="20">
        <v>78.0</v>
      </c>
      <c r="C96" s="20" t="s">
        <v>912</v>
      </c>
    </row>
    <row r="97" ht="16.5" customHeight="1">
      <c r="A97" s="19" t="s">
        <v>913</v>
      </c>
      <c r="B97" s="20">
        <v>78.0</v>
      </c>
      <c r="C97" s="20" t="s">
        <v>914</v>
      </c>
    </row>
    <row r="98" ht="16.5" customHeight="1">
      <c r="A98" s="19" t="s">
        <v>915</v>
      </c>
      <c r="B98" s="20">
        <v>78.0</v>
      </c>
      <c r="C98" s="43" t="s">
        <v>916</v>
      </c>
    </row>
    <row r="99" ht="16.5" customHeight="1">
      <c r="A99" s="19" t="s">
        <v>917</v>
      </c>
      <c r="B99" s="20">
        <v>78.0</v>
      </c>
      <c r="C99" s="20" t="s">
        <v>918</v>
      </c>
    </row>
    <row r="100" ht="16.5" customHeight="1">
      <c r="A100" s="19" t="s">
        <v>919</v>
      </c>
      <c r="B100" s="20">
        <v>78.0</v>
      </c>
      <c r="C100" s="20" t="s">
        <v>920</v>
      </c>
    </row>
    <row r="101" ht="16.5" customHeight="1">
      <c r="A101" s="19" t="s">
        <v>921</v>
      </c>
      <c r="B101" s="20">
        <v>78.0</v>
      </c>
      <c r="C101" s="20" t="s">
        <v>922</v>
      </c>
    </row>
    <row r="102" ht="16.5" customHeight="1">
      <c r="A102" s="19" t="s">
        <v>923</v>
      </c>
      <c r="B102" s="20">
        <v>78.0</v>
      </c>
      <c r="C102" s="20" t="s">
        <v>924</v>
      </c>
    </row>
    <row r="103" ht="16.5" customHeight="1">
      <c r="A103" s="19" t="s">
        <v>925</v>
      </c>
      <c r="B103" s="20">
        <v>78.0</v>
      </c>
      <c r="C103" s="20" t="s">
        <v>926</v>
      </c>
    </row>
    <row r="104" ht="16.5" customHeight="1">
      <c r="A104" s="19" t="s">
        <v>927</v>
      </c>
      <c r="B104" s="20">
        <v>78.0</v>
      </c>
      <c r="C104" s="20" t="s">
        <v>928</v>
      </c>
    </row>
    <row r="105" ht="16.5" customHeight="1">
      <c r="A105" s="19" t="s">
        <v>929</v>
      </c>
      <c r="B105" s="20">
        <v>78.0</v>
      </c>
      <c r="C105" s="20" t="s">
        <v>930</v>
      </c>
    </row>
    <row r="106" ht="16.5" customHeight="1">
      <c r="A106" s="19" t="s">
        <v>144</v>
      </c>
      <c r="B106" s="20">
        <v>78.0</v>
      </c>
      <c r="C106" s="20" t="s">
        <v>931</v>
      </c>
    </row>
    <row r="107" ht="16.5" customHeight="1">
      <c r="A107" s="19" t="s">
        <v>51</v>
      </c>
      <c r="B107" s="20">
        <v>78.0</v>
      </c>
      <c r="C107" s="20" t="s">
        <v>932</v>
      </c>
    </row>
    <row r="108" ht="16.5" customHeight="1">
      <c r="A108" s="19" t="s">
        <v>933</v>
      </c>
      <c r="B108" s="20">
        <v>78.0</v>
      </c>
      <c r="C108" s="20" t="s">
        <v>934</v>
      </c>
    </row>
    <row r="109" ht="16.5" customHeight="1">
      <c r="A109" s="19" t="s">
        <v>300</v>
      </c>
      <c r="B109" s="20">
        <v>78.0</v>
      </c>
      <c r="C109" s="20" t="s">
        <v>935</v>
      </c>
    </row>
    <row r="110" ht="16.5" customHeight="1">
      <c r="A110" s="19" t="s">
        <v>142</v>
      </c>
      <c r="B110" s="20">
        <v>78.0</v>
      </c>
      <c r="C110" s="43" t="s">
        <v>936</v>
      </c>
    </row>
    <row r="111" ht="16.5" customHeight="1">
      <c r="A111" s="19" t="s">
        <v>937</v>
      </c>
      <c r="B111" s="20">
        <v>78.0</v>
      </c>
      <c r="C111" s="20" t="s">
        <v>938</v>
      </c>
    </row>
    <row r="112" ht="16.5" customHeight="1">
      <c r="A112" s="19" t="s">
        <v>939</v>
      </c>
      <c r="B112" s="20">
        <v>78.0</v>
      </c>
      <c r="C112" s="20" t="s">
        <v>940</v>
      </c>
    </row>
    <row r="113" ht="16.5" customHeight="1">
      <c r="A113" s="19" t="s">
        <v>941</v>
      </c>
      <c r="B113" s="20">
        <v>78.0</v>
      </c>
      <c r="C113" s="20" t="s">
        <v>942</v>
      </c>
    </row>
    <row r="114" ht="16.5" customHeight="1">
      <c r="A114" s="19" t="s">
        <v>143</v>
      </c>
      <c r="B114" s="20">
        <v>78.0</v>
      </c>
      <c r="C114" s="20" t="s">
        <v>943</v>
      </c>
    </row>
    <row r="115" ht="16.5" customHeight="1">
      <c r="A115" s="19" t="s">
        <v>510</v>
      </c>
      <c r="B115" s="20">
        <v>78.0</v>
      </c>
      <c r="C115" s="20" t="s">
        <v>944</v>
      </c>
    </row>
    <row r="116" ht="16.5" customHeight="1">
      <c r="A116" s="19" t="s">
        <v>945</v>
      </c>
      <c r="B116" s="20">
        <v>78.0</v>
      </c>
      <c r="C116" s="20" t="s">
        <v>946</v>
      </c>
    </row>
    <row r="117" ht="16.5" customHeight="1">
      <c r="A117" s="19" t="s">
        <v>947</v>
      </c>
      <c r="B117" s="20">
        <v>78.0</v>
      </c>
      <c r="C117" s="20" t="s">
        <v>948</v>
      </c>
    </row>
    <row r="118" ht="16.5" customHeight="1">
      <c r="A118" s="19" t="s">
        <v>949</v>
      </c>
      <c r="B118" s="20">
        <v>78.0</v>
      </c>
      <c r="C118" s="20" t="s">
        <v>950</v>
      </c>
    </row>
    <row r="119" ht="16.5" customHeight="1">
      <c r="A119" s="19" t="s">
        <v>951</v>
      </c>
      <c r="B119" s="20">
        <v>78.0</v>
      </c>
      <c r="C119" s="20" t="s">
        <v>952</v>
      </c>
    </row>
    <row r="120" ht="16.5" customHeight="1">
      <c r="A120" s="19" t="s">
        <v>953</v>
      </c>
      <c r="B120" s="20">
        <v>78.0</v>
      </c>
      <c r="C120" s="20" t="s">
        <v>954</v>
      </c>
    </row>
    <row r="121" ht="16.5" customHeight="1">
      <c r="A121" s="19" t="s">
        <v>231</v>
      </c>
      <c r="B121" s="20">
        <v>78.0</v>
      </c>
      <c r="C121" s="20" t="s">
        <v>955</v>
      </c>
    </row>
    <row r="122" ht="16.5" customHeight="1">
      <c r="A122" s="19" t="s">
        <v>956</v>
      </c>
      <c r="B122" s="20">
        <v>78.0</v>
      </c>
      <c r="C122" s="20" t="s">
        <v>957</v>
      </c>
    </row>
    <row r="123" ht="16.5" customHeight="1">
      <c r="A123" s="19" t="s">
        <v>958</v>
      </c>
      <c r="B123" s="20">
        <v>78.0</v>
      </c>
      <c r="C123" s="20" t="s">
        <v>959</v>
      </c>
    </row>
    <row r="124" ht="16.5" customHeight="1">
      <c r="A124" s="19" t="s">
        <v>537</v>
      </c>
      <c r="B124" s="20">
        <v>78.0</v>
      </c>
      <c r="C124" s="20" t="s">
        <v>960</v>
      </c>
    </row>
    <row r="125" ht="16.5" customHeight="1">
      <c r="A125" s="19" t="s">
        <v>961</v>
      </c>
      <c r="B125" s="20">
        <v>78.0</v>
      </c>
      <c r="C125" s="20" t="s">
        <v>962</v>
      </c>
    </row>
    <row r="126" ht="16.5" customHeight="1">
      <c r="A126" s="19" t="s">
        <v>963</v>
      </c>
      <c r="B126" s="20">
        <v>78.0</v>
      </c>
      <c r="C126" s="20" t="s">
        <v>964</v>
      </c>
    </row>
    <row r="127" ht="16.5" customHeight="1">
      <c r="A127" s="19" t="s">
        <v>965</v>
      </c>
      <c r="B127" s="20">
        <v>78.0</v>
      </c>
      <c r="C127" s="20" t="s">
        <v>966</v>
      </c>
    </row>
    <row r="128" ht="16.5" customHeight="1">
      <c r="A128" s="19" t="s">
        <v>85</v>
      </c>
      <c r="B128" s="20">
        <v>78.0</v>
      </c>
      <c r="C128" s="20" t="s">
        <v>967</v>
      </c>
    </row>
    <row r="129" ht="16.5" customHeight="1">
      <c r="A129" s="19" t="s">
        <v>968</v>
      </c>
      <c r="B129" s="20">
        <v>78.0</v>
      </c>
      <c r="C129" s="20" t="s">
        <v>969</v>
      </c>
    </row>
    <row r="130" ht="16.5" customHeight="1">
      <c r="A130" s="19" t="s">
        <v>229</v>
      </c>
      <c r="B130" s="20">
        <v>78.0</v>
      </c>
      <c r="C130" s="20" t="s">
        <v>970</v>
      </c>
    </row>
    <row r="131" ht="16.5" customHeight="1">
      <c r="A131" s="19" t="s">
        <v>122</v>
      </c>
      <c r="B131" s="20">
        <v>78.0</v>
      </c>
      <c r="C131" s="20" t="s">
        <v>971</v>
      </c>
    </row>
    <row r="132" ht="16.5" customHeight="1">
      <c r="A132" s="19" t="s">
        <v>972</v>
      </c>
      <c r="B132" s="20">
        <v>78.0</v>
      </c>
      <c r="C132" s="20" t="s">
        <v>973</v>
      </c>
    </row>
    <row r="133" ht="16.5" customHeight="1">
      <c r="A133" s="19" t="s">
        <v>974</v>
      </c>
      <c r="B133" s="20">
        <v>78.0</v>
      </c>
      <c r="C133" s="20" t="s">
        <v>975</v>
      </c>
    </row>
    <row r="134" ht="16.5" customHeight="1">
      <c r="A134" s="19" t="s">
        <v>976</v>
      </c>
      <c r="B134" s="20">
        <v>78.0</v>
      </c>
      <c r="C134" s="20" t="s">
        <v>977</v>
      </c>
    </row>
    <row r="135" ht="16.5" customHeight="1">
      <c r="A135" s="19" t="s">
        <v>978</v>
      </c>
      <c r="B135" s="20">
        <v>78.0</v>
      </c>
      <c r="C135" s="20" t="s">
        <v>979</v>
      </c>
    </row>
    <row r="136" ht="16.5" customHeight="1">
      <c r="A136" s="19" t="s">
        <v>980</v>
      </c>
      <c r="B136" s="20">
        <v>78.0</v>
      </c>
      <c r="C136" s="20" t="s">
        <v>981</v>
      </c>
    </row>
    <row r="137" ht="16.5" customHeight="1">
      <c r="A137" s="19" t="s">
        <v>982</v>
      </c>
      <c r="B137" s="20">
        <v>78.0</v>
      </c>
      <c r="C137" s="20" t="s">
        <v>983</v>
      </c>
    </row>
    <row r="138" ht="16.5" customHeight="1">
      <c r="A138" s="19" t="s">
        <v>551</v>
      </c>
      <c r="B138" s="20">
        <v>78.0</v>
      </c>
      <c r="C138" s="20" t="s">
        <v>984</v>
      </c>
    </row>
    <row r="139" ht="16.5" customHeight="1">
      <c r="A139" s="19" t="s">
        <v>985</v>
      </c>
      <c r="B139" s="20">
        <v>78.0</v>
      </c>
      <c r="C139" s="20" t="s">
        <v>986</v>
      </c>
    </row>
    <row r="140" ht="16.5" customHeight="1">
      <c r="A140" s="19" t="s">
        <v>987</v>
      </c>
      <c r="B140" s="20">
        <v>78.0</v>
      </c>
      <c r="C140" s="20" t="s">
        <v>988</v>
      </c>
    </row>
    <row r="141" ht="16.5" customHeight="1">
      <c r="A141" s="19" t="s">
        <v>91</v>
      </c>
      <c r="B141" s="20">
        <v>78.0</v>
      </c>
      <c r="C141" s="20" t="s">
        <v>989</v>
      </c>
    </row>
    <row r="142" ht="16.5" customHeight="1">
      <c r="A142" s="19" t="s">
        <v>170</v>
      </c>
      <c r="B142" s="20">
        <v>78.0</v>
      </c>
      <c r="C142" s="20" t="s">
        <v>990</v>
      </c>
    </row>
    <row r="143" ht="16.5" customHeight="1">
      <c r="A143" s="19" t="s">
        <v>991</v>
      </c>
      <c r="B143" s="20">
        <v>78.0</v>
      </c>
      <c r="C143" s="20" t="s">
        <v>992</v>
      </c>
    </row>
    <row r="144" ht="16.5" customHeight="1">
      <c r="A144" s="19" t="s">
        <v>87</v>
      </c>
      <c r="B144" s="20">
        <v>78.0</v>
      </c>
      <c r="C144" s="20" t="s">
        <v>993</v>
      </c>
    </row>
    <row r="145" ht="16.5" customHeight="1">
      <c r="A145" s="19" t="s">
        <v>245</v>
      </c>
      <c r="B145" s="20">
        <v>78.0</v>
      </c>
      <c r="C145" s="20" t="s">
        <v>994</v>
      </c>
    </row>
    <row r="146" ht="16.5" customHeight="1">
      <c r="A146" s="19" t="s">
        <v>995</v>
      </c>
      <c r="B146" s="20">
        <v>78.0</v>
      </c>
      <c r="C146" s="20" t="s">
        <v>996</v>
      </c>
    </row>
    <row r="147" ht="16.5" customHeight="1">
      <c r="A147" s="19" t="s">
        <v>997</v>
      </c>
      <c r="B147" s="20">
        <v>78.0</v>
      </c>
      <c r="C147" s="20" t="s">
        <v>998</v>
      </c>
    </row>
    <row r="148" ht="16.5" customHeight="1">
      <c r="A148" s="19" t="s">
        <v>128</v>
      </c>
      <c r="B148" s="20">
        <v>78.0</v>
      </c>
      <c r="C148" s="20" t="s">
        <v>999</v>
      </c>
    </row>
    <row r="149" ht="16.5" customHeight="1">
      <c r="A149" s="19" t="s">
        <v>1000</v>
      </c>
      <c r="B149" s="20">
        <v>78.0</v>
      </c>
      <c r="C149" s="20" t="s">
        <v>1001</v>
      </c>
    </row>
    <row r="150" ht="16.5" customHeight="1">
      <c r="A150" s="19" t="s">
        <v>1002</v>
      </c>
      <c r="B150" s="20">
        <v>78.0</v>
      </c>
      <c r="C150" s="20" t="s">
        <v>1003</v>
      </c>
    </row>
    <row r="151" ht="16.5" customHeight="1">
      <c r="A151" s="19" t="s">
        <v>244</v>
      </c>
      <c r="B151" s="20">
        <v>78.0</v>
      </c>
      <c r="C151" s="20" t="s">
        <v>1004</v>
      </c>
    </row>
    <row r="152" ht="16.5" customHeight="1">
      <c r="A152" s="19" t="s">
        <v>242</v>
      </c>
      <c r="B152" s="20">
        <v>78.0</v>
      </c>
      <c r="C152" s="20" t="s">
        <v>1005</v>
      </c>
    </row>
    <row r="153" ht="16.5" customHeight="1">
      <c r="A153" s="19" t="s">
        <v>1006</v>
      </c>
      <c r="B153" s="20">
        <v>78.0</v>
      </c>
      <c r="C153" s="20" t="s">
        <v>1007</v>
      </c>
    </row>
    <row r="154" ht="16.5" customHeight="1">
      <c r="A154" s="19" t="s">
        <v>1008</v>
      </c>
      <c r="B154" s="20">
        <v>78.0</v>
      </c>
      <c r="C154" s="20" t="s">
        <v>1009</v>
      </c>
    </row>
    <row r="155" ht="16.5" customHeight="1">
      <c r="A155" s="19" t="s">
        <v>1010</v>
      </c>
      <c r="B155" s="20">
        <v>78.0</v>
      </c>
      <c r="C155" s="20" t="s">
        <v>1011</v>
      </c>
    </row>
    <row r="156" ht="16.5" customHeight="1">
      <c r="A156" s="19" t="s">
        <v>459</v>
      </c>
      <c r="B156" s="20">
        <v>78.0</v>
      </c>
      <c r="C156" s="43" t="s">
        <v>1012</v>
      </c>
    </row>
    <row r="157" ht="16.5" customHeight="1">
      <c r="A157" s="19" t="s">
        <v>1013</v>
      </c>
      <c r="B157" s="20">
        <v>78.0</v>
      </c>
      <c r="C157" s="20" t="s">
        <v>1014</v>
      </c>
    </row>
    <row r="158" ht="16.5" customHeight="1">
      <c r="A158" s="19" t="s">
        <v>1015</v>
      </c>
      <c r="B158" s="20">
        <v>78.0</v>
      </c>
      <c r="C158" s="20" t="s">
        <v>1016</v>
      </c>
    </row>
    <row r="159" ht="16.5" customHeight="1">
      <c r="A159" s="19" t="s">
        <v>166</v>
      </c>
      <c r="B159" s="20">
        <v>78.0</v>
      </c>
      <c r="C159" s="20" t="s">
        <v>1017</v>
      </c>
    </row>
    <row r="160" ht="16.5" customHeight="1">
      <c r="A160" s="19" t="s">
        <v>186</v>
      </c>
      <c r="B160" s="20">
        <v>78.0</v>
      </c>
      <c r="C160" s="20" t="s">
        <v>1018</v>
      </c>
    </row>
    <row r="161" ht="16.5" customHeight="1">
      <c r="A161" s="19" t="s">
        <v>1019</v>
      </c>
      <c r="B161" s="20">
        <v>75.0</v>
      </c>
      <c r="C161" s="20" t="s">
        <v>1020</v>
      </c>
    </row>
    <row r="162" ht="16.5" customHeight="1">
      <c r="A162" s="19" t="s">
        <v>1021</v>
      </c>
      <c r="B162" s="20">
        <v>75.0</v>
      </c>
      <c r="C162" s="20" t="s">
        <v>1022</v>
      </c>
    </row>
    <row r="163" ht="16.5" customHeight="1">
      <c r="A163" s="19" t="s">
        <v>1023</v>
      </c>
      <c r="B163" s="20">
        <v>75.0</v>
      </c>
      <c r="C163" s="20" t="s">
        <v>1024</v>
      </c>
    </row>
    <row r="164" ht="16.5" customHeight="1">
      <c r="A164" s="19" t="s">
        <v>1025</v>
      </c>
      <c r="B164" s="20">
        <v>75.0</v>
      </c>
      <c r="C164" s="20" t="s">
        <v>1026</v>
      </c>
    </row>
    <row r="165" ht="16.5" customHeight="1">
      <c r="A165" s="19" t="s">
        <v>263</v>
      </c>
      <c r="B165" s="20">
        <v>75.0</v>
      </c>
      <c r="C165" s="20" t="s">
        <v>1027</v>
      </c>
    </row>
    <row r="166" ht="16.5" customHeight="1">
      <c r="A166" s="19" t="s">
        <v>1028</v>
      </c>
      <c r="B166" s="20">
        <v>75.0</v>
      </c>
      <c r="C166" s="20" t="s">
        <v>1029</v>
      </c>
    </row>
    <row r="167" ht="16.5" customHeight="1">
      <c r="A167" s="19" t="s">
        <v>1030</v>
      </c>
      <c r="B167" s="20">
        <v>75.0</v>
      </c>
      <c r="C167" s="20" t="s">
        <v>1031</v>
      </c>
    </row>
    <row r="168" ht="16.5" customHeight="1">
      <c r="A168" s="19" t="s">
        <v>1032</v>
      </c>
      <c r="B168" s="20">
        <v>75.0</v>
      </c>
      <c r="C168" s="20" t="s">
        <v>1033</v>
      </c>
    </row>
    <row r="169" ht="16.5" customHeight="1">
      <c r="A169" s="19" t="s">
        <v>1034</v>
      </c>
      <c r="B169" s="20">
        <v>75.0</v>
      </c>
      <c r="C169" s="20" t="s">
        <v>1035</v>
      </c>
    </row>
    <row r="170" ht="16.5" customHeight="1">
      <c r="A170" s="19" t="s">
        <v>1036</v>
      </c>
      <c r="B170" s="20">
        <v>75.0</v>
      </c>
      <c r="C170" s="20" t="s">
        <v>1037</v>
      </c>
    </row>
    <row r="171" ht="16.5" customHeight="1">
      <c r="A171" s="19" t="s">
        <v>1038</v>
      </c>
      <c r="B171" s="20">
        <v>75.0</v>
      </c>
      <c r="C171" s="20" t="s">
        <v>1039</v>
      </c>
    </row>
    <row r="172" ht="16.5" customHeight="1">
      <c r="A172" s="19" t="s">
        <v>63</v>
      </c>
      <c r="B172" s="20">
        <v>75.0</v>
      </c>
      <c r="C172" s="20" t="s">
        <v>1040</v>
      </c>
    </row>
    <row r="173" ht="16.5" customHeight="1">
      <c r="A173" s="19" t="s">
        <v>1041</v>
      </c>
      <c r="B173" s="20">
        <v>75.0</v>
      </c>
      <c r="C173" s="20" t="s">
        <v>1042</v>
      </c>
    </row>
    <row r="174" ht="16.5" customHeight="1">
      <c r="A174" s="19" t="s">
        <v>1043</v>
      </c>
      <c r="B174" s="20">
        <v>75.0</v>
      </c>
      <c r="C174" s="20" t="s">
        <v>1044</v>
      </c>
    </row>
    <row r="175" ht="16.5" customHeight="1">
      <c r="A175" s="19" t="s">
        <v>1045</v>
      </c>
      <c r="B175" s="20">
        <v>75.0</v>
      </c>
      <c r="C175" s="20" t="s">
        <v>1046</v>
      </c>
    </row>
    <row r="176" ht="16.5" customHeight="1">
      <c r="A176" s="19" t="s">
        <v>1047</v>
      </c>
      <c r="B176" s="20">
        <v>75.0</v>
      </c>
      <c r="C176" s="20" t="s">
        <v>1048</v>
      </c>
    </row>
    <row r="177" ht="16.5" customHeight="1">
      <c r="A177" s="19" t="s">
        <v>1049</v>
      </c>
      <c r="B177" s="20">
        <v>75.0</v>
      </c>
      <c r="C177" s="20" t="s">
        <v>1050</v>
      </c>
    </row>
    <row r="178" ht="16.5" customHeight="1">
      <c r="A178" s="19" t="s">
        <v>1051</v>
      </c>
      <c r="B178" s="20">
        <v>75.0</v>
      </c>
      <c r="C178" s="20" t="s">
        <v>1052</v>
      </c>
    </row>
    <row r="179" ht="16.5" customHeight="1">
      <c r="A179" s="19" t="s">
        <v>1053</v>
      </c>
      <c r="B179" s="20">
        <v>75.0</v>
      </c>
      <c r="C179" s="20" t="s">
        <v>1054</v>
      </c>
    </row>
    <row r="180" ht="16.5" customHeight="1">
      <c r="A180" s="19" t="s">
        <v>1055</v>
      </c>
      <c r="B180" s="20">
        <v>75.0</v>
      </c>
      <c r="C180" s="20" t="s">
        <v>1056</v>
      </c>
    </row>
    <row r="181" ht="16.5" customHeight="1">
      <c r="A181" s="19" t="s">
        <v>1057</v>
      </c>
      <c r="B181" s="20">
        <v>75.0</v>
      </c>
      <c r="C181" s="20" t="s">
        <v>1058</v>
      </c>
    </row>
    <row r="182" ht="16.5" customHeight="1">
      <c r="A182" s="19" t="s">
        <v>1059</v>
      </c>
      <c r="B182" s="20">
        <v>75.0</v>
      </c>
      <c r="C182" s="20" t="s">
        <v>1060</v>
      </c>
    </row>
    <row r="183" ht="16.5" customHeight="1">
      <c r="A183" s="19" t="s">
        <v>1061</v>
      </c>
      <c r="B183" s="20">
        <v>72.0</v>
      </c>
      <c r="C183" s="20" t="s">
        <v>1062</v>
      </c>
    </row>
    <row r="184" ht="16.5" customHeight="1">
      <c r="A184" s="19" t="s">
        <v>1063</v>
      </c>
      <c r="B184" s="20">
        <v>72.0</v>
      </c>
      <c r="C184" s="20" t="s">
        <v>1064</v>
      </c>
    </row>
    <row r="185" ht="16.5" customHeight="1">
      <c r="A185" s="19" t="s">
        <v>1065</v>
      </c>
      <c r="B185" s="20">
        <v>72.0</v>
      </c>
      <c r="C185" s="20" t="s">
        <v>1066</v>
      </c>
    </row>
    <row r="186" ht="16.5" customHeight="1">
      <c r="A186" s="19" t="s">
        <v>1067</v>
      </c>
      <c r="B186" s="20">
        <v>72.0</v>
      </c>
      <c r="C186" s="20" t="s">
        <v>1068</v>
      </c>
    </row>
    <row r="187" ht="16.5" customHeight="1">
      <c r="A187" s="19" t="s">
        <v>1069</v>
      </c>
      <c r="B187" s="20">
        <v>72.0</v>
      </c>
      <c r="C187" s="20" t="s">
        <v>1070</v>
      </c>
    </row>
    <row r="188" ht="16.5" customHeight="1">
      <c r="A188" s="19" t="s">
        <v>241</v>
      </c>
      <c r="B188" s="20">
        <v>72.0</v>
      </c>
      <c r="C188" s="20" t="s">
        <v>1071</v>
      </c>
    </row>
    <row r="189" ht="16.5" customHeight="1">
      <c r="A189" s="19" t="s">
        <v>1072</v>
      </c>
      <c r="B189" s="20">
        <v>72.0</v>
      </c>
      <c r="C189" s="20" t="s">
        <v>1073</v>
      </c>
    </row>
    <row r="190" ht="16.5" customHeight="1">
      <c r="A190" s="19" t="s">
        <v>1074</v>
      </c>
      <c r="B190" s="20">
        <v>72.0</v>
      </c>
      <c r="C190" s="20" t="s">
        <v>1075</v>
      </c>
    </row>
    <row r="191" ht="16.5" customHeight="1">
      <c r="A191" s="19" t="s">
        <v>1076</v>
      </c>
      <c r="B191" s="20">
        <v>72.0</v>
      </c>
      <c r="C191" s="20" t="s">
        <v>1077</v>
      </c>
    </row>
    <row r="192" ht="16.5" customHeight="1">
      <c r="A192" s="19" t="s">
        <v>49</v>
      </c>
      <c r="B192" s="20">
        <v>72.0</v>
      </c>
      <c r="C192" s="20" t="s">
        <v>1078</v>
      </c>
    </row>
    <row r="193" ht="16.5" customHeight="1">
      <c r="A193" s="19" t="s">
        <v>12</v>
      </c>
      <c r="B193" s="20">
        <v>72.0</v>
      </c>
      <c r="C193" s="20" t="s">
        <v>1079</v>
      </c>
    </row>
    <row r="194" ht="16.5" customHeight="1">
      <c r="A194" s="19" t="s">
        <v>89</v>
      </c>
      <c r="B194" s="20">
        <v>72.0</v>
      </c>
      <c r="C194" s="20" t="s">
        <v>1080</v>
      </c>
    </row>
    <row r="195" ht="16.5" customHeight="1">
      <c r="A195" s="19" t="s">
        <v>1081</v>
      </c>
      <c r="B195" s="20">
        <v>72.0</v>
      </c>
      <c r="C195" s="20" t="s">
        <v>1082</v>
      </c>
    </row>
    <row r="196" ht="16.5" customHeight="1">
      <c r="A196" s="19" t="s">
        <v>1083</v>
      </c>
      <c r="B196" s="20">
        <v>72.0</v>
      </c>
      <c r="C196" s="20" t="s">
        <v>1084</v>
      </c>
    </row>
    <row r="197" ht="16.5" customHeight="1">
      <c r="A197" s="19" t="s">
        <v>164</v>
      </c>
      <c r="B197" s="20">
        <v>72.0</v>
      </c>
      <c r="C197" s="20" t="s">
        <v>1085</v>
      </c>
    </row>
    <row r="198" ht="16.5" customHeight="1">
      <c r="A198" s="19" t="s">
        <v>1086</v>
      </c>
      <c r="B198" s="20">
        <v>72.0</v>
      </c>
      <c r="C198" s="20" t="s">
        <v>1087</v>
      </c>
    </row>
    <row r="199" ht="16.5" customHeight="1">
      <c r="A199" s="19" t="s">
        <v>404</v>
      </c>
      <c r="B199" s="20">
        <v>72.0</v>
      </c>
      <c r="C199" s="20" t="s">
        <v>1088</v>
      </c>
    </row>
    <row r="200" ht="16.5" customHeight="1">
      <c r="A200" s="19" t="s">
        <v>1089</v>
      </c>
      <c r="B200" s="20">
        <v>72.0</v>
      </c>
      <c r="C200" s="20" t="s">
        <v>1090</v>
      </c>
    </row>
    <row r="201" ht="16.5" customHeight="1">
      <c r="A201" s="19" t="s">
        <v>1091</v>
      </c>
      <c r="B201" s="20">
        <v>72.0</v>
      </c>
      <c r="C201" s="20" t="s">
        <v>1092</v>
      </c>
    </row>
    <row r="202" ht="16.5" customHeight="1">
      <c r="A202" s="19" t="s">
        <v>95</v>
      </c>
      <c r="B202" s="20">
        <v>72.0</v>
      </c>
      <c r="C202" s="20" t="s">
        <v>1093</v>
      </c>
    </row>
    <row r="203" ht="16.5" customHeight="1">
      <c r="A203" s="19" t="s">
        <v>1094</v>
      </c>
      <c r="B203" s="20">
        <v>72.0</v>
      </c>
      <c r="C203" s="20" t="s">
        <v>1095</v>
      </c>
    </row>
    <row r="204" ht="16.5" customHeight="1">
      <c r="A204" s="19" t="s">
        <v>1096</v>
      </c>
      <c r="B204" s="20">
        <v>72.0</v>
      </c>
      <c r="C204" s="20" t="s">
        <v>1097</v>
      </c>
    </row>
    <row r="205" ht="16.5" customHeight="1">
      <c r="A205" s="19" t="s">
        <v>1098</v>
      </c>
      <c r="B205" s="20">
        <v>72.0</v>
      </c>
      <c r="C205" s="20" t="s">
        <v>1099</v>
      </c>
    </row>
    <row r="206" ht="16.5" customHeight="1">
      <c r="A206" s="19" t="s">
        <v>1100</v>
      </c>
      <c r="B206" s="20">
        <v>72.0</v>
      </c>
      <c r="C206" s="20" t="s">
        <v>1101</v>
      </c>
    </row>
    <row r="207" ht="16.5" customHeight="1">
      <c r="A207" s="19" t="s">
        <v>1102</v>
      </c>
      <c r="B207" s="20">
        <v>72.0</v>
      </c>
      <c r="C207" s="20" t="s">
        <v>1103</v>
      </c>
    </row>
    <row r="208" ht="16.5" customHeight="1">
      <c r="A208" s="19" t="s">
        <v>1104</v>
      </c>
      <c r="B208" s="20">
        <v>72.0</v>
      </c>
      <c r="C208" s="20" t="s">
        <v>1105</v>
      </c>
    </row>
    <row r="209" ht="16.5" customHeight="1">
      <c r="A209" s="19" t="s">
        <v>61</v>
      </c>
      <c r="B209" s="20">
        <v>72.0</v>
      </c>
      <c r="C209" s="20" t="s">
        <v>1106</v>
      </c>
    </row>
    <row r="210" ht="16.5" customHeight="1">
      <c r="A210" s="19" t="s">
        <v>1107</v>
      </c>
      <c r="B210" s="20">
        <v>72.0</v>
      </c>
      <c r="C210" s="20" t="s">
        <v>1108</v>
      </c>
    </row>
    <row r="211" ht="16.5" customHeight="1">
      <c r="A211" s="19" t="s">
        <v>1109</v>
      </c>
      <c r="B211" s="20">
        <v>72.0</v>
      </c>
      <c r="C211" s="20" t="s">
        <v>1110</v>
      </c>
    </row>
    <row r="212" ht="16.5" customHeight="1">
      <c r="A212" s="19" t="s">
        <v>71</v>
      </c>
      <c r="B212" s="20">
        <v>72.0</v>
      </c>
      <c r="C212" s="20" t="s">
        <v>1111</v>
      </c>
    </row>
    <row r="213" ht="16.5" customHeight="1">
      <c r="A213" s="19" t="s">
        <v>40</v>
      </c>
      <c r="B213" s="20">
        <v>72.0</v>
      </c>
      <c r="C213" s="20" t="s">
        <v>1112</v>
      </c>
    </row>
    <row r="214" ht="16.5" customHeight="1">
      <c r="A214" s="19" t="s">
        <v>1113</v>
      </c>
      <c r="B214" s="20">
        <v>72.0</v>
      </c>
      <c r="C214" s="20" t="s">
        <v>1114</v>
      </c>
    </row>
    <row r="215" ht="16.5" customHeight="1">
      <c r="A215" s="19" t="s">
        <v>1115</v>
      </c>
      <c r="B215" s="20">
        <v>72.0</v>
      </c>
      <c r="C215" s="20" t="s">
        <v>1116</v>
      </c>
    </row>
    <row r="216" ht="16.5" customHeight="1">
      <c r="A216" s="19" t="s">
        <v>1117</v>
      </c>
      <c r="B216" s="20">
        <v>72.0</v>
      </c>
      <c r="C216" s="20" t="s">
        <v>1118</v>
      </c>
    </row>
    <row r="217" ht="16.5" customHeight="1">
      <c r="A217" s="19" t="s">
        <v>1119</v>
      </c>
      <c r="B217" s="20">
        <v>72.0</v>
      </c>
      <c r="C217" s="20" t="s">
        <v>1120</v>
      </c>
    </row>
    <row r="218" ht="16.5" customHeight="1">
      <c r="A218" s="19" t="s">
        <v>1121</v>
      </c>
      <c r="B218" s="20">
        <v>72.0</v>
      </c>
      <c r="C218" s="20" t="s">
        <v>1122</v>
      </c>
    </row>
    <row r="219" ht="16.5" customHeight="1">
      <c r="A219" s="19" t="s">
        <v>1123</v>
      </c>
      <c r="B219" s="20">
        <v>72.0</v>
      </c>
      <c r="C219" s="20" t="s">
        <v>1124</v>
      </c>
    </row>
    <row r="220" ht="16.5" customHeight="1">
      <c r="A220" s="19" t="s">
        <v>1125</v>
      </c>
      <c r="B220" s="20">
        <v>72.0</v>
      </c>
      <c r="C220" s="20" t="s">
        <v>1126</v>
      </c>
    </row>
    <row r="221" ht="16.5" customHeight="1">
      <c r="A221" s="19" t="s">
        <v>275</v>
      </c>
      <c r="B221" s="20">
        <v>72.0</v>
      </c>
      <c r="C221" s="20" t="s">
        <v>1127</v>
      </c>
    </row>
    <row r="222" ht="16.5" customHeight="1">
      <c r="A222" s="19" t="s">
        <v>1128</v>
      </c>
      <c r="B222" s="20">
        <v>72.0</v>
      </c>
      <c r="C222" s="20" t="s">
        <v>1129</v>
      </c>
    </row>
    <row r="223" ht="16.5" customHeight="1">
      <c r="A223" s="19" t="s">
        <v>342</v>
      </c>
      <c r="B223" s="20">
        <v>72.0</v>
      </c>
      <c r="C223" s="20" t="s">
        <v>1130</v>
      </c>
    </row>
    <row r="224" ht="16.5" customHeight="1">
      <c r="A224" s="19" t="s">
        <v>1131</v>
      </c>
      <c r="B224" s="20">
        <v>72.0</v>
      </c>
      <c r="C224" s="20" t="s">
        <v>1132</v>
      </c>
    </row>
    <row r="225" ht="16.5" customHeight="1">
      <c r="A225" s="19" t="s">
        <v>1133</v>
      </c>
      <c r="B225" s="20">
        <v>72.0</v>
      </c>
      <c r="C225" s="20" t="s">
        <v>1134</v>
      </c>
    </row>
    <row r="226" ht="16.5" customHeight="1">
      <c r="A226" s="19" t="s">
        <v>1135</v>
      </c>
      <c r="B226" s="20">
        <v>72.0</v>
      </c>
      <c r="C226" s="20" t="s">
        <v>1136</v>
      </c>
    </row>
    <row r="227" ht="16.5" customHeight="1">
      <c r="A227" s="19" t="s">
        <v>1137</v>
      </c>
      <c r="B227" s="20">
        <v>72.0</v>
      </c>
      <c r="C227" s="20" t="s">
        <v>1138</v>
      </c>
    </row>
    <row r="228" ht="16.5" customHeight="1">
      <c r="A228" s="19" t="s">
        <v>1139</v>
      </c>
      <c r="B228" s="20">
        <v>72.0</v>
      </c>
      <c r="C228" s="20" t="s">
        <v>1140</v>
      </c>
    </row>
    <row r="229" ht="16.5" customHeight="1">
      <c r="A229" s="19" t="s">
        <v>1141</v>
      </c>
      <c r="B229" s="20">
        <v>72.0</v>
      </c>
      <c r="C229" s="20" t="s">
        <v>1142</v>
      </c>
    </row>
    <row r="230" ht="16.5" customHeight="1">
      <c r="A230" s="19" t="s">
        <v>1143</v>
      </c>
      <c r="B230" s="20">
        <v>72.0</v>
      </c>
      <c r="C230" s="20" t="s">
        <v>1144</v>
      </c>
    </row>
    <row r="231" ht="16.5" customHeight="1">
      <c r="A231" s="19" t="s">
        <v>1145</v>
      </c>
      <c r="B231" s="20">
        <v>72.0</v>
      </c>
      <c r="C231" s="20" t="s">
        <v>1146</v>
      </c>
    </row>
    <row r="232" ht="16.5" customHeight="1">
      <c r="A232" s="19" t="s">
        <v>1147</v>
      </c>
      <c r="B232" s="20">
        <v>72.0</v>
      </c>
      <c r="C232" s="20" t="s">
        <v>1148</v>
      </c>
    </row>
    <row r="233" ht="16.5" customHeight="1">
      <c r="A233" s="19" t="s">
        <v>1149</v>
      </c>
      <c r="B233" s="20">
        <v>72.0</v>
      </c>
      <c r="C233" s="20" t="s">
        <v>1150</v>
      </c>
    </row>
    <row r="234" ht="16.5" customHeight="1">
      <c r="A234" s="19" t="s">
        <v>1151</v>
      </c>
      <c r="B234" s="20">
        <v>72.0</v>
      </c>
      <c r="C234" s="20" t="s">
        <v>1152</v>
      </c>
    </row>
    <row r="235" ht="16.5" customHeight="1">
      <c r="A235" s="19" t="s">
        <v>1153</v>
      </c>
      <c r="B235" s="20">
        <v>72.0</v>
      </c>
      <c r="C235" s="20" t="s">
        <v>1154</v>
      </c>
    </row>
    <row r="236" ht="16.5" customHeight="1">
      <c r="A236" s="19" t="s">
        <v>1155</v>
      </c>
      <c r="B236" s="20">
        <v>72.0</v>
      </c>
      <c r="C236" s="20" t="s">
        <v>1156</v>
      </c>
    </row>
    <row r="237" ht="16.5" customHeight="1">
      <c r="A237" s="19" t="s">
        <v>1157</v>
      </c>
      <c r="B237" s="20">
        <v>72.0</v>
      </c>
      <c r="C237" s="20" t="s">
        <v>1158</v>
      </c>
    </row>
    <row r="238" ht="16.5" customHeight="1">
      <c r="A238" s="19" t="s">
        <v>41</v>
      </c>
      <c r="B238" s="20">
        <v>72.0</v>
      </c>
      <c r="C238" s="20" t="s">
        <v>1159</v>
      </c>
    </row>
    <row r="239" ht="16.5" customHeight="1">
      <c r="A239" s="19" t="s">
        <v>250</v>
      </c>
      <c r="B239" s="20">
        <v>72.0</v>
      </c>
      <c r="C239" s="20" t="s">
        <v>1160</v>
      </c>
    </row>
    <row r="240" ht="16.5" customHeight="1">
      <c r="A240" s="19" t="s">
        <v>1161</v>
      </c>
      <c r="B240" s="20">
        <v>72.0</v>
      </c>
      <c r="C240" s="20" t="s">
        <v>1162</v>
      </c>
    </row>
    <row r="241" ht="16.5" customHeight="1">
      <c r="A241" s="19" t="s">
        <v>1163</v>
      </c>
      <c r="B241" s="20">
        <v>72.0</v>
      </c>
      <c r="C241" s="20" t="s">
        <v>1164</v>
      </c>
    </row>
    <row r="242" ht="16.5" customHeight="1">
      <c r="A242" s="19" t="s">
        <v>1165</v>
      </c>
      <c r="B242" s="20">
        <v>72.0</v>
      </c>
      <c r="C242" s="20" t="s">
        <v>1166</v>
      </c>
    </row>
    <row r="243" ht="16.5" customHeight="1">
      <c r="A243" s="19" t="s">
        <v>1167</v>
      </c>
      <c r="B243" s="20">
        <v>72.0</v>
      </c>
      <c r="C243" s="20" t="s">
        <v>1168</v>
      </c>
    </row>
    <row r="244" ht="16.5" customHeight="1">
      <c r="A244" s="19" t="s">
        <v>1169</v>
      </c>
      <c r="B244" s="20">
        <v>72.0</v>
      </c>
      <c r="C244" s="20" t="s">
        <v>1170</v>
      </c>
    </row>
    <row r="245" ht="16.5" customHeight="1">
      <c r="A245" s="19" t="s">
        <v>1171</v>
      </c>
      <c r="B245" s="20">
        <v>72.0</v>
      </c>
      <c r="C245" s="20" t="s">
        <v>1172</v>
      </c>
    </row>
    <row r="246" ht="16.5" customHeight="1">
      <c r="A246" s="19" t="s">
        <v>1173</v>
      </c>
      <c r="B246" s="20">
        <v>72.0</v>
      </c>
      <c r="C246" s="20" t="s">
        <v>1174</v>
      </c>
    </row>
    <row r="247" ht="16.5" customHeight="1">
      <c r="A247" s="19" t="s">
        <v>1175</v>
      </c>
      <c r="B247" s="20">
        <v>72.0</v>
      </c>
      <c r="C247" s="20" t="s">
        <v>1176</v>
      </c>
    </row>
    <row r="248" ht="16.5" customHeight="1">
      <c r="A248" s="19" t="s">
        <v>1177</v>
      </c>
      <c r="B248" s="20">
        <v>72.0</v>
      </c>
      <c r="C248" s="20" t="s">
        <v>1178</v>
      </c>
    </row>
    <row r="249" ht="16.5" customHeight="1">
      <c r="A249" s="19" t="s">
        <v>1179</v>
      </c>
      <c r="B249" s="20">
        <v>72.0</v>
      </c>
      <c r="C249" s="20" t="s">
        <v>1180</v>
      </c>
    </row>
    <row r="250" ht="16.5" customHeight="1">
      <c r="A250" s="19" t="s">
        <v>1181</v>
      </c>
      <c r="B250" s="20">
        <v>72.0</v>
      </c>
      <c r="C250" s="20" t="s">
        <v>1182</v>
      </c>
    </row>
    <row r="251" ht="16.5" customHeight="1">
      <c r="A251" s="19" t="s">
        <v>1183</v>
      </c>
      <c r="B251" s="20">
        <v>72.0</v>
      </c>
      <c r="C251" s="20" t="s">
        <v>1184</v>
      </c>
    </row>
    <row r="252" ht="16.5" customHeight="1">
      <c r="A252" s="19" t="s">
        <v>1185</v>
      </c>
      <c r="B252" s="20">
        <v>72.0</v>
      </c>
      <c r="C252" s="20" t="s">
        <v>1186</v>
      </c>
    </row>
    <row r="253" ht="16.5" customHeight="1">
      <c r="A253" s="19" t="s">
        <v>1187</v>
      </c>
      <c r="B253" s="20">
        <v>72.0</v>
      </c>
      <c r="C253" s="20" t="s">
        <v>1188</v>
      </c>
    </row>
    <row r="254" ht="16.5" customHeight="1">
      <c r="A254" s="19" t="s">
        <v>1189</v>
      </c>
      <c r="B254" s="20">
        <v>72.0</v>
      </c>
      <c r="C254" s="20" t="s">
        <v>1190</v>
      </c>
    </row>
    <row r="255" ht="16.5" customHeight="1">
      <c r="A255" s="19" t="s">
        <v>1191</v>
      </c>
      <c r="B255" s="20">
        <v>72.0</v>
      </c>
      <c r="C255" s="20" t="s">
        <v>1192</v>
      </c>
    </row>
    <row r="256" ht="16.5" customHeight="1">
      <c r="A256" s="19" t="s">
        <v>1193</v>
      </c>
      <c r="B256" s="20">
        <v>72.0</v>
      </c>
      <c r="C256" s="20" t="s">
        <v>1194</v>
      </c>
    </row>
    <row r="257" ht="16.5" customHeight="1">
      <c r="A257" s="19" t="s">
        <v>1195</v>
      </c>
      <c r="B257" s="20">
        <v>72.0</v>
      </c>
      <c r="C257" s="20" t="s">
        <v>1196</v>
      </c>
    </row>
    <row r="258" ht="16.5" customHeight="1">
      <c r="A258" s="19" t="s">
        <v>1197</v>
      </c>
      <c r="B258" s="20">
        <v>72.0</v>
      </c>
      <c r="C258" s="20" t="s">
        <v>1198</v>
      </c>
    </row>
    <row r="259" ht="16.5" customHeight="1">
      <c r="A259" s="19" t="s">
        <v>33</v>
      </c>
      <c r="B259" s="20">
        <v>72.0</v>
      </c>
      <c r="C259" s="20" t="s">
        <v>1199</v>
      </c>
    </row>
    <row r="260" ht="16.5" customHeight="1">
      <c r="A260" s="19" t="s">
        <v>1200</v>
      </c>
      <c r="B260" s="20">
        <v>72.0</v>
      </c>
      <c r="C260" s="20" t="s">
        <v>1201</v>
      </c>
    </row>
    <row r="261" ht="16.5" customHeight="1">
      <c r="A261" s="19" t="s">
        <v>1202</v>
      </c>
      <c r="B261" s="20">
        <v>72.0</v>
      </c>
      <c r="C261" s="20" t="s">
        <v>1203</v>
      </c>
    </row>
    <row r="262" ht="16.5" customHeight="1">
      <c r="A262" s="19" t="s">
        <v>1204</v>
      </c>
      <c r="B262" s="20">
        <v>72.0</v>
      </c>
      <c r="C262" s="20" t="s">
        <v>1205</v>
      </c>
    </row>
    <row r="263" ht="16.5" customHeight="1">
      <c r="A263" s="19" t="s">
        <v>1206</v>
      </c>
      <c r="B263" s="20">
        <v>72.0</v>
      </c>
      <c r="C263" s="20" t="s">
        <v>1207</v>
      </c>
    </row>
    <row r="264" ht="16.5" customHeight="1">
      <c r="A264" s="19" t="s">
        <v>1208</v>
      </c>
      <c r="B264" s="20">
        <v>72.0</v>
      </c>
      <c r="C264" s="20" t="s">
        <v>1209</v>
      </c>
    </row>
    <row r="265" ht="16.5" customHeight="1">
      <c r="A265" s="19" t="s">
        <v>1210</v>
      </c>
      <c r="B265" s="20">
        <v>68.0</v>
      </c>
      <c r="C265" s="20" t="s">
        <v>1211</v>
      </c>
    </row>
    <row r="266" ht="16.5" customHeight="1">
      <c r="A266" s="19" t="s">
        <v>1212</v>
      </c>
      <c r="B266" s="20">
        <v>68.0</v>
      </c>
      <c r="C266" s="20" t="s">
        <v>1213</v>
      </c>
    </row>
    <row r="267" ht="16.5" customHeight="1">
      <c r="A267" s="19" t="s">
        <v>1214</v>
      </c>
      <c r="B267" s="20">
        <v>68.0</v>
      </c>
      <c r="C267" s="20" t="s">
        <v>1215</v>
      </c>
    </row>
    <row r="268" ht="16.5" customHeight="1">
      <c r="A268" s="19" t="s">
        <v>217</v>
      </c>
      <c r="B268" s="20">
        <v>68.0</v>
      </c>
      <c r="C268" s="20" t="s">
        <v>1216</v>
      </c>
    </row>
    <row r="269" ht="16.5" customHeight="1">
      <c r="A269" s="19" t="s">
        <v>1217</v>
      </c>
      <c r="B269" s="20">
        <v>68.0</v>
      </c>
      <c r="C269" s="20" t="s">
        <v>1218</v>
      </c>
    </row>
    <row r="270" ht="16.5" customHeight="1">
      <c r="A270" s="19" t="s">
        <v>1219</v>
      </c>
      <c r="B270" s="20">
        <v>68.0</v>
      </c>
      <c r="C270" s="20" t="s">
        <v>1220</v>
      </c>
    </row>
    <row r="271" ht="16.5" customHeight="1">
      <c r="A271" s="19" t="s">
        <v>1221</v>
      </c>
      <c r="B271" s="20">
        <v>68.0</v>
      </c>
      <c r="C271" s="20" t="s">
        <v>1222</v>
      </c>
    </row>
    <row r="272" ht="16.5" customHeight="1">
      <c r="A272" s="19" t="s">
        <v>1223</v>
      </c>
      <c r="B272" s="20">
        <v>68.0</v>
      </c>
      <c r="C272" s="20" t="s">
        <v>1224</v>
      </c>
    </row>
    <row r="273" ht="16.5" customHeight="1">
      <c r="A273" s="19" t="s">
        <v>1225</v>
      </c>
      <c r="B273" s="20">
        <v>68.0</v>
      </c>
      <c r="C273" s="20" t="s">
        <v>1226</v>
      </c>
    </row>
    <row r="274" ht="16.5" customHeight="1">
      <c r="A274" s="19" t="s">
        <v>295</v>
      </c>
      <c r="B274" s="20">
        <v>68.0</v>
      </c>
      <c r="C274" s="20" t="s">
        <v>1227</v>
      </c>
    </row>
    <row r="275" ht="16.5" customHeight="1">
      <c r="A275" s="19" t="s">
        <v>16</v>
      </c>
      <c r="B275" s="20">
        <v>68.0</v>
      </c>
      <c r="C275" s="20" t="s">
        <v>1228</v>
      </c>
    </row>
    <row r="276" ht="16.5" customHeight="1">
      <c r="A276" s="19" t="s">
        <v>1229</v>
      </c>
      <c r="B276" s="20">
        <v>65.0</v>
      </c>
      <c r="C276" s="20" t="s">
        <v>1230</v>
      </c>
    </row>
    <row r="277" ht="16.5" customHeight="1">
      <c r="A277" s="19" t="s">
        <v>1231</v>
      </c>
      <c r="B277" s="20">
        <v>65.0</v>
      </c>
      <c r="C277" s="20" t="s">
        <v>1232</v>
      </c>
    </row>
    <row r="278" ht="16.5" customHeight="1">
      <c r="A278" s="19" t="s">
        <v>1233</v>
      </c>
      <c r="B278" s="20">
        <v>65.0</v>
      </c>
      <c r="C278" s="20" t="s">
        <v>1234</v>
      </c>
    </row>
    <row r="279" ht="16.5" customHeight="1">
      <c r="A279" s="19" t="s">
        <v>1235</v>
      </c>
      <c r="B279" s="20">
        <v>65.0</v>
      </c>
      <c r="C279" s="20" t="s">
        <v>1236</v>
      </c>
    </row>
    <row r="280" ht="16.5" customHeight="1">
      <c r="A280" s="19" t="s">
        <v>1237</v>
      </c>
      <c r="B280" s="20">
        <v>65.0</v>
      </c>
      <c r="C280" s="20" t="s">
        <v>1238</v>
      </c>
    </row>
    <row r="281" ht="16.5" customHeight="1">
      <c r="A281" s="19" t="s">
        <v>1239</v>
      </c>
      <c r="B281" s="20">
        <v>65.0</v>
      </c>
      <c r="C281" s="20" t="s">
        <v>1240</v>
      </c>
    </row>
    <row r="282" ht="16.5" customHeight="1">
      <c r="A282" s="19" t="s">
        <v>1241</v>
      </c>
      <c r="B282" s="20">
        <v>65.0</v>
      </c>
      <c r="C282" s="20" t="s">
        <v>1242</v>
      </c>
    </row>
    <row r="283" ht="16.5" customHeight="1">
      <c r="A283" s="19" t="s">
        <v>1243</v>
      </c>
      <c r="B283" s="20">
        <v>65.0</v>
      </c>
      <c r="C283" s="20" t="s">
        <v>1244</v>
      </c>
    </row>
    <row r="284" ht="16.5" customHeight="1">
      <c r="A284" s="19" t="s">
        <v>1245</v>
      </c>
      <c r="B284" s="20">
        <v>65.0</v>
      </c>
      <c r="C284" s="20" t="s">
        <v>1246</v>
      </c>
    </row>
    <row r="285" ht="16.5" customHeight="1">
      <c r="A285" s="19" t="s">
        <v>296</v>
      </c>
      <c r="B285" s="20">
        <v>65.0</v>
      </c>
      <c r="C285" s="20" t="s">
        <v>1247</v>
      </c>
    </row>
    <row r="286" ht="16.5" customHeight="1">
      <c r="A286" s="19" t="s">
        <v>1248</v>
      </c>
      <c r="B286" s="20">
        <v>65.0</v>
      </c>
      <c r="C286" s="20" t="s">
        <v>1249</v>
      </c>
    </row>
    <row r="287" ht="16.5" customHeight="1">
      <c r="A287" s="19" t="s">
        <v>1250</v>
      </c>
      <c r="B287" s="20">
        <v>65.0</v>
      </c>
      <c r="C287" s="20" t="s">
        <v>1251</v>
      </c>
    </row>
    <row r="288" ht="16.5" customHeight="1">
      <c r="A288" s="19" t="s">
        <v>1252</v>
      </c>
      <c r="B288" s="20">
        <v>65.0</v>
      </c>
      <c r="C288" s="20" t="s">
        <v>1253</v>
      </c>
    </row>
    <row r="289" ht="16.5" customHeight="1">
      <c r="A289" s="19" t="s">
        <v>1254</v>
      </c>
      <c r="B289" s="20">
        <v>65.0</v>
      </c>
      <c r="C289" s="20" t="s">
        <v>1255</v>
      </c>
    </row>
    <row r="290" ht="16.5" customHeight="1">
      <c r="A290" s="19" t="s">
        <v>1256</v>
      </c>
      <c r="B290" s="20">
        <v>65.0</v>
      </c>
      <c r="C290" s="20" t="s">
        <v>1257</v>
      </c>
    </row>
    <row r="291" ht="16.5" customHeight="1">
      <c r="A291" s="19" t="s">
        <v>1258</v>
      </c>
      <c r="B291" s="20">
        <v>65.0</v>
      </c>
      <c r="C291" s="20" t="s">
        <v>1259</v>
      </c>
    </row>
    <row r="292" ht="16.5" customHeight="1">
      <c r="A292" s="19" t="s">
        <v>1260</v>
      </c>
      <c r="B292" s="20">
        <v>65.0</v>
      </c>
      <c r="C292" s="20" t="s">
        <v>1261</v>
      </c>
    </row>
    <row r="293" ht="16.5" customHeight="1">
      <c r="A293" s="19" t="s">
        <v>1262</v>
      </c>
      <c r="B293" s="20">
        <v>65.0</v>
      </c>
      <c r="C293" s="20" t="s">
        <v>1263</v>
      </c>
    </row>
    <row r="294" ht="16.5" customHeight="1">
      <c r="A294" s="19" t="s">
        <v>1264</v>
      </c>
      <c r="B294" s="20">
        <v>65.0</v>
      </c>
      <c r="C294" s="20" t="s">
        <v>1265</v>
      </c>
    </row>
    <row r="295" ht="16.5" customHeight="1">
      <c r="A295" s="19" t="s">
        <v>1266</v>
      </c>
      <c r="B295" s="20">
        <v>65.0</v>
      </c>
      <c r="C295" s="20" t="s">
        <v>1267</v>
      </c>
    </row>
    <row r="296" ht="16.5" customHeight="1">
      <c r="A296" s="19" t="s">
        <v>1268</v>
      </c>
      <c r="B296" s="20">
        <v>65.0</v>
      </c>
      <c r="C296" s="20" t="s">
        <v>1269</v>
      </c>
    </row>
    <row r="297" ht="16.5" customHeight="1">
      <c r="A297" s="19" t="s">
        <v>66</v>
      </c>
      <c r="B297" s="20">
        <v>65.0</v>
      </c>
      <c r="C297" s="20" t="s">
        <v>1270</v>
      </c>
    </row>
    <row r="298" ht="16.5" customHeight="1">
      <c r="A298" s="19" t="s">
        <v>1271</v>
      </c>
      <c r="B298" s="20">
        <v>65.0</v>
      </c>
      <c r="C298" s="20" t="s">
        <v>1272</v>
      </c>
    </row>
    <row r="299" ht="16.5" customHeight="1">
      <c r="A299" s="19" t="s">
        <v>1273</v>
      </c>
      <c r="B299" s="20">
        <v>65.0</v>
      </c>
      <c r="C299" s="20" t="s">
        <v>1274</v>
      </c>
    </row>
    <row r="300" ht="16.5" customHeight="1">
      <c r="A300" s="19" t="s">
        <v>97</v>
      </c>
      <c r="B300" s="20">
        <v>65.0</v>
      </c>
      <c r="C300" s="20" t="s">
        <v>1275</v>
      </c>
    </row>
    <row r="301" ht="16.5" customHeight="1">
      <c r="A301" s="19" t="s">
        <v>1276</v>
      </c>
      <c r="B301" s="20">
        <v>65.0</v>
      </c>
      <c r="C301" s="20" t="s">
        <v>1277</v>
      </c>
    </row>
    <row r="302" ht="16.5" customHeight="1">
      <c r="A302" s="19" t="s">
        <v>169</v>
      </c>
      <c r="B302" s="20">
        <v>65.0</v>
      </c>
      <c r="C302" s="20" t="s">
        <v>1278</v>
      </c>
    </row>
    <row r="303" ht="16.5" customHeight="1">
      <c r="A303" s="19" t="s">
        <v>1279</v>
      </c>
      <c r="B303" s="20">
        <v>65.0</v>
      </c>
      <c r="C303" s="20" t="s">
        <v>1280</v>
      </c>
    </row>
    <row r="304" ht="16.5" customHeight="1">
      <c r="A304" s="19" t="s">
        <v>1281</v>
      </c>
      <c r="B304" s="20">
        <v>65.0</v>
      </c>
      <c r="C304" s="20" t="s">
        <v>1282</v>
      </c>
    </row>
    <row r="305" ht="16.5" customHeight="1">
      <c r="A305" s="19" t="s">
        <v>1283</v>
      </c>
      <c r="B305" s="20">
        <v>65.0</v>
      </c>
      <c r="C305" s="20" t="s">
        <v>1284</v>
      </c>
    </row>
    <row r="306" ht="16.5" customHeight="1">
      <c r="A306" s="19" t="s">
        <v>1285</v>
      </c>
      <c r="B306" s="20">
        <v>65.0</v>
      </c>
      <c r="C306" s="20" t="s">
        <v>1286</v>
      </c>
    </row>
    <row r="307" ht="16.5" customHeight="1">
      <c r="A307" s="19" t="s">
        <v>1287</v>
      </c>
      <c r="B307" s="20">
        <v>65.0</v>
      </c>
      <c r="C307" s="20" t="s">
        <v>1288</v>
      </c>
    </row>
    <row r="308" ht="16.5" customHeight="1">
      <c r="A308" s="19" t="s">
        <v>1289</v>
      </c>
      <c r="B308" s="20">
        <v>65.0</v>
      </c>
      <c r="C308" s="20" t="s">
        <v>1290</v>
      </c>
    </row>
    <row r="309" ht="16.5" customHeight="1">
      <c r="A309" s="19" t="s">
        <v>1291</v>
      </c>
      <c r="B309" s="20">
        <v>65.0</v>
      </c>
      <c r="C309" s="20" t="s">
        <v>1292</v>
      </c>
    </row>
    <row r="310" ht="16.5" customHeight="1">
      <c r="A310" s="19" t="s">
        <v>1293</v>
      </c>
      <c r="B310" s="20">
        <v>65.0</v>
      </c>
      <c r="C310" s="20" t="s">
        <v>1294</v>
      </c>
    </row>
    <row r="311" ht="16.5" customHeight="1">
      <c r="A311" s="19" t="s">
        <v>1295</v>
      </c>
      <c r="B311" s="20">
        <v>65.0</v>
      </c>
      <c r="C311" s="20" t="s">
        <v>1296</v>
      </c>
    </row>
    <row r="312" ht="16.5" customHeight="1">
      <c r="A312" s="19" t="s">
        <v>1297</v>
      </c>
      <c r="B312" s="20">
        <v>65.0</v>
      </c>
      <c r="C312" s="20" t="s">
        <v>1298</v>
      </c>
    </row>
    <row r="313" ht="16.5" customHeight="1">
      <c r="A313" s="19" t="s">
        <v>1299</v>
      </c>
      <c r="B313" s="20">
        <v>65.0</v>
      </c>
      <c r="C313" s="20" t="s">
        <v>1300</v>
      </c>
    </row>
    <row r="314" ht="16.5" customHeight="1">
      <c r="A314" s="19" t="s">
        <v>1301</v>
      </c>
      <c r="B314" s="20">
        <v>65.0</v>
      </c>
      <c r="C314" s="20" t="s">
        <v>1302</v>
      </c>
    </row>
    <row r="315" ht="16.5" customHeight="1">
      <c r="A315" s="19" t="s">
        <v>294</v>
      </c>
      <c r="B315" s="20">
        <v>65.0</v>
      </c>
      <c r="C315" s="20" t="s">
        <v>1303</v>
      </c>
    </row>
    <row r="316" ht="16.5" customHeight="1">
      <c r="A316" s="19" t="s">
        <v>451</v>
      </c>
      <c r="B316" s="20">
        <v>65.0</v>
      </c>
      <c r="C316" s="43" t="s">
        <v>1304</v>
      </c>
    </row>
    <row r="317" ht="16.5" customHeight="1">
      <c r="A317" s="19" t="s">
        <v>1305</v>
      </c>
      <c r="B317" s="20">
        <v>65.0</v>
      </c>
      <c r="C317" s="20" t="s">
        <v>1306</v>
      </c>
    </row>
    <row r="318" ht="16.5" customHeight="1">
      <c r="A318" s="19" t="s">
        <v>1307</v>
      </c>
      <c r="B318" s="20">
        <v>65.0</v>
      </c>
      <c r="C318" s="20" t="s">
        <v>1308</v>
      </c>
    </row>
    <row r="319" ht="16.5" customHeight="1">
      <c r="A319" s="19" t="s">
        <v>1309</v>
      </c>
      <c r="B319" s="20">
        <v>65.0</v>
      </c>
      <c r="C319" s="20" t="s">
        <v>1310</v>
      </c>
    </row>
    <row r="320" ht="16.5" customHeight="1">
      <c r="A320" s="19" t="s">
        <v>1311</v>
      </c>
      <c r="B320" s="20">
        <v>65.0</v>
      </c>
      <c r="C320" s="20" t="s">
        <v>1312</v>
      </c>
    </row>
    <row r="321" ht="16.5" customHeight="1">
      <c r="A321" s="19" t="s">
        <v>1313</v>
      </c>
      <c r="B321" s="20">
        <v>65.0</v>
      </c>
      <c r="C321" s="20" t="s">
        <v>1314</v>
      </c>
    </row>
    <row r="322" ht="16.5" customHeight="1">
      <c r="A322" s="19" t="s">
        <v>1315</v>
      </c>
      <c r="B322" s="20">
        <v>65.0</v>
      </c>
      <c r="C322" s="20" t="s">
        <v>1316</v>
      </c>
    </row>
    <row r="323" ht="16.5" customHeight="1">
      <c r="A323" s="19" t="s">
        <v>1317</v>
      </c>
      <c r="B323" s="20">
        <v>65.0</v>
      </c>
      <c r="C323" s="20" t="s">
        <v>1318</v>
      </c>
    </row>
    <row r="324" ht="16.5" customHeight="1">
      <c r="A324" s="19" t="s">
        <v>1319</v>
      </c>
      <c r="B324" s="20">
        <v>65.0</v>
      </c>
      <c r="C324" s="20" t="s">
        <v>1320</v>
      </c>
    </row>
    <row r="325" ht="16.5" customHeight="1">
      <c r="A325" s="19" t="s">
        <v>1321</v>
      </c>
      <c r="B325" s="20">
        <v>65.0</v>
      </c>
      <c r="C325" s="20" t="s">
        <v>1322</v>
      </c>
    </row>
    <row r="326" ht="16.5" customHeight="1">
      <c r="A326" s="19" t="s">
        <v>1323</v>
      </c>
      <c r="B326" s="20">
        <v>65.0</v>
      </c>
      <c r="C326" s="20" t="s">
        <v>1324</v>
      </c>
    </row>
    <row r="327" ht="16.5" customHeight="1">
      <c r="A327" s="19" t="s">
        <v>1325</v>
      </c>
      <c r="B327" s="20">
        <v>65.0</v>
      </c>
      <c r="C327" s="20" t="s">
        <v>1326</v>
      </c>
    </row>
    <row r="328" ht="16.5" customHeight="1">
      <c r="A328" s="19" t="s">
        <v>1327</v>
      </c>
      <c r="B328" s="20">
        <v>65.0</v>
      </c>
      <c r="C328" s="20" t="s">
        <v>1328</v>
      </c>
    </row>
    <row r="329" ht="16.5" customHeight="1">
      <c r="A329" s="19" t="s">
        <v>1329</v>
      </c>
      <c r="B329" s="20">
        <v>65.0</v>
      </c>
      <c r="C329" s="20" t="s">
        <v>1330</v>
      </c>
    </row>
    <row r="330" ht="16.5" customHeight="1">
      <c r="A330" s="19" t="s">
        <v>1331</v>
      </c>
      <c r="B330" s="20">
        <v>65.0</v>
      </c>
      <c r="C330" s="20" t="s">
        <v>1332</v>
      </c>
    </row>
    <row r="331" ht="16.5" customHeight="1">
      <c r="A331" s="19" t="s">
        <v>129</v>
      </c>
      <c r="B331" s="20">
        <v>65.0</v>
      </c>
      <c r="C331" s="20" t="s">
        <v>1333</v>
      </c>
    </row>
    <row r="332" ht="16.5" customHeight="1">
      <c r="A332" s="19" t="s">
        <v>1334</v>
      </c>
      <c r="B332" s="20">
        <v>65.0</v>
      </c>
      <c r="C332" s="20" t="s">
        <v>1335</v>
      </c>
    </row>
    <row r="333" ht="16.5" customHeight="1">
      <c r="A333" s="19" t="s">
        <v>1336</v>
      </c>
      <c r="B333" s="20">
        <v>65.0</v>
      </c>
      <c r="C333" s="20" t="s">
        <v>1337</v>
      </c>
    </row>
    <row r="334" ht="16.5" customHeight="1">
      <c r="A334" s="19" t="s">
        <v>1338</v>
      </c>
      <c r="B334" s="20">
        <v>65.0</v>
      </c>
      <c r="C334" s="20" t="s">
        <v>1339</v>
      </c>
    </row>
    <row r="335" ht="16.5" customHeight="1">
      <c r="A335" s="19" t="s">
        <v>1340</v>
      </c>
      <c r="B335" s="20">
        <v>65.0</v>
      </c>
      <c r="C335" s="20" t="s">
        <v>1341</v>
      </c>
    </row>
    <row r="336" ht="16.5" customHeight="1">
      <c r="A336" s="19" t="s">
        <v>609</v>
      </c>
      <c r="B336" s="20">
        <v>65.0</v>
      </c>
      <c r="C336" s="20" t="s">
        <v>1342</v>
      </c>
    </row>
    <row r="337" ht="16.5" customHeight="1">
      <c r="A337" s="19" t="s">
        <v>1343</v>
      </c>
      <c r="B337" s="20">
        <v>65.0</v>
      </c>
      <c r="C337" s="20" t="s">
        <v>1344</v>
      </c>
    </row>
    <row r="338" ht="16.5" customHeight="1">
      <c r="A338" s="19" t="s">
        <v>1345</v>
      </c>
      <c r="B338" s="20">
        <v>65.0</v>
      </c>
      <c r="C338" s="20" t="s">
        <v>1346</v>
      </c>
    </row>
    <row r="339" ht="16.5" customHeight="1">
      <c r="A339" s="19" t="s">
        <v>163</v>
      </c>
      <c r="B339" s="20">
        <v>65.0</v>
      </c>
      <c r="C339" s="20" t="s">
        <v>1347</v>
      </c>
    </row>
    <row r="340" ht="16.5" customHeight="1">
      <c r="A340" s="19" t="s">
        <v>1348</v>
      </c>
      <c r="B340" s="20">
        <v>65.0</v>
      </c>
      <c r="C340" s="20" t="s">
        <v>1349</v>
      </c>
    </row>
    <row r="341" ht="16.5" customHeight="1">
      <c r="A341" s="19" t="s">
        <v>1350</v>
      </c>
      <c r="B341" s="20">
        <v>65.0</v>
      </c>
      <c r="C341" s="20" t="s">
        <v>1351</v>
      </c>
    </row>
    <row r="342" ht="16.5" customHeight="1">
      <c r="A342" s="19" t="s">
        <v>1352</v>
      </c>
      <c r="B342" s="20">
        <v>65.0</v>
      </c>
      <c r="C342" s="20" t="s">
        <v>1353</v>
      </c>
    </row>
    <row r="343" ht="16.5" customHeight="1">
      <c r="A343" s="19" t="s">
        <v>1354</v>
      </c>
      <c r="B343" s="20">
        <v>65.0</v>
      </c>
      <c r="C343" s="20" t="s">
        <v>1355</v>
      </c>
    </row>
    <row r="344" ht="16.5" customHeight="1">
      <c r="A344" s="19" t="s">
        <v>146</v>
      </c>
      <c r="B344" s="20">
        <v>65.0</v>
      </c>
      <c r="C344" s="20" t="s">
        <v>1356</v>
      </c>
    </row>
    <row r="345" ht="16.5" customHeight="1">
      <c r="A345" s="19" t="s">
        <v>1357</v>
      </c>
      <c r="B345" s="20">
        <v>65.0</v>
      </c>
      <c r="C345" s="20" t="s">
        <v>1358</v>
      </c>
    </row>
    <row r="346" ht="16.5" customHeight="1">
      <c r="A346" s="19" t="s">
        <v>1359</v>
      </c>
      <c r="B346" s="20">
        <v>65.0</v>
      </c>
      <c r="C346" s="20" t="s">
        <v>1360</v>
      </c>
    </row>
    <row r="347" ht="16.5" customHeight="1">
      <c r="A347" s="19" t="s">
        <v>1361</v>
      </c>
      <c r="B347" s="20">
        <v>65.0</v>
      </c>
      <c r="C347" s="20" t="s">
        <v>1362</v>
      </c>
    </row>
    <row r="348" ht="16.5" customHeight="1">
      <c r="A348" s="19" t="s">
        <v>1363</v>
      </c>
      <c r="B348" s="20">
        <v>65.0</v>
      </c>
      <c r="C348" s="20" t="s">
        <v>1364</v>
      </c>
    </row>
    <row r="349" ht="16.5" customHeight="1">
      <c r="A349" s="19" t="s">
        <v>1365</v>
      </c>
      <c r="B349" s="20">
        <v>65.0</v>
      </c>
      <c r="C349" s="20" t="s">
        <v>1366</v>
      </c>
    </row>
    <row r="350" ht="16.5" customHeight="1">
      <c r="A350" s="19" t="s">
        <v>1367</v>
      </c>
      <c r="B350" s="20">
        <v>65.0</v>
      </c>
      <c r="C350" s="20" t="s">
        <v>1368</v>
      </c>
    </row>
    <row r="351" ht="16.5" customHeight="1">
      <c r="A351" s="19" t="s">
        <v>1369</v>
      </c>
      <c r="B351" s="20">
        <v>65.0</v>
      </c>
      <c r="C351" s="20" t="s">
        <v>1370</v>
      </c>
    </row>
    <row r="352" ht="16.5" customHeight="1">
      <c r="A352" s="19" t="s">
        <v>1371</v>
      </c>
      <c r="B352" s="20">
        <v>65.0</v>
      </c>
      <c r="C352" s="20" t="s">
        <v>1372</v>
      </c>
    </row>
    <row r="353" ht="16.5" customHeight="1">
      <c r="A353" s="19" t="s">
        <v>1373</v>
      </c>
      <c r="B353" s="20">
        <v>65.0</v>
      </c>
      <c r="C353" s="20" t="s">
        <v>1374</v>
      </c>
    </row>
    <row r="354" ht="16.5" customHeight="1">
      <c r="A354" s="19" t="s">
        <v>1375</v>
      </c>
      <c r="B354" s="20">
        <v>65.0</v>
      </c>
      <c r="C354" s="20" t="s">
        <v>1376</v>
      </c>
    </row>
    <row r="355" ht="16.5" customHeight="1">
      <c r="A355" s="19" t="s">
        <v>1377</v>
      </c>
      <c r="B355" s="20">
        <v>65.0</v>
      </c>
      <c r="C355" s="20" t="s">
        <v>1378</v>
      </c>
    </row>
    <row r="356" ht="16.5" customHeight="1">
      <c r="A356" s="19" t="s">
        <v>1379</v>
      </c>
      <c r="B356" s="20">
        <v>65.0</v>
      </c>
      <c r="C356" s="20" t="s">
        <v>1380</v>
      </c>
    </row>
    <row r="357" ht="16.5" customHeight="1">
      <c r="A357" s="19" t="s">
        <v>1381</v>
      </c>
      <c r="B357" s="20">
        <v>65.0</v>
      </c>
      <c r="C357" s="20" t="s">
        <v>1382</v>
      </c>
    </row>
    <row r="358" ht="16.5" customHeight="1">
      <c r="A358" s="19" t="s">
        <v>1383</v>
      </c>
      <c r="B358" s="20">
        <v>65.0</v>
      </c>
      <c r="C358" s="20" t="s">
        <v>1384</v>
      </c>
    </row>
    <row r="359" ht="16.5" customHeight="1">
      <c r="A359" s="19" t="s">
        <v>1385</v>
      </c>
      <c r="B359" s="20">
        <v>62.0</v>
      </c>
      <c r="C359" s="20" t="s">
        <v>1386</v>
      </c>
    </row>
    <row r="360" ht="16.5" customHeight="1">
      <c r="A360" s="19" t="s">
        <v>1387</v>
      </c>
      <c r="B360" s="20">
        <v>62.0</v>
      </c>
      <c r="C360" s="20" t="s">
        <v>1388</v>
      </c>
    </row>
    <row r="361" ht="16.5" customHeight="1">
      <c r="A361" s="19" t="s">
        <v>1389</v>
      </c>
      <c r="B361" s="20">
        <v>62.0</v>
      </c>
      <c r="C361" s="20" t="s">
        <v>1390</v>
      </c>
    </row>
    <row r="362" ht="16.5" customHeight="1">
      <c r="A362" s="19" t="s">
        <v>1391</v>
      </c>
      <c r="B362" s="20">
        <v>62.0</v>
      </c>
      <c r="C362" s="20" t="s">
        <v>1392</v>
      </c>
    </row>
    <row r="363" ht="16.5" customHeight="1">
      <c r="A363" s="19" t="s">
        <v>1393</v>
      </c>
      <c r="B363" s="20">
        <v>62.0</v>
      </c>
      <c r="C363" s="20" t="s">
        <v>1394</v>
      </c>
    </row>
    <row r="364" ht="16.5" customHeight="1">
      <c r="A364" s="19" t="s">
        <v>101</v>
      </c>
      <c r="B364" s="20">
        <v>62.0</v>
      </c>
      <c r="C364" s="20" t="s">
        <v>1395</v>
      </c>
    </row>
    <row r="365" ht="16.5" customHeight="1">
      <c r="A365" s="19" t="s">
        <v>1396</v>
      </c>
      <c r="B365" s="20">
        <v>62.0</v>
      </c>
      <c r="C365" s="20" t="s">
        <v>1397</v>
      </c>
    </row>
    <row r="366" ht="16.5" customHeight="1">
      <c r="A366" s="19" t="s">
        <v>1398</v>
      </c>
      <c r="B366" s="20">
        <v>62.0</v>
      </c>
      <c r="C366" s="20" t="s">
        <v>1399</v>
      </c>
    </row>
    <row r="367" ht="16.5" customHeight="1">
      <c r="A367" s="19" t="s">
        <v>1400</v>
      </c>
      <c r="B367" s="20">
        <v>58.0</v>
      </c>
      <c r="C367" s="20" t="s">
        <v>1401</v>
      </c>
    </row>
    <row r="368" ht="16.5" customHeight="1">
      <c r="A368" s="19" t="s">
        <v>1402</v>
      </c>
      <c r="B368" s="20">
        <v>58.0</v>
      </c>
      <c r="C368" s="20" t="s">
        <v>1403</v>
      </c>
    </row>
    <row r="369" ht="16.5" customHeight="1">
      <c r="A369" s="19" t="s">
        <v>1404</v>
      </c>
      <c r="B369" s="20">
        <v>58.0</v>
      </c>
      <c r="C369" s="20" t="s">
        <v>1405</v>
      </c>
    </row>
    <row r="370" ht="16.5" customHeight="1">
      <c r="A370" s="19" t="s">
        <v>1406</v>
      </c>
      <c r="B370" s="20">
        <v>58.0</v>
      </c>
      <c r="C370" s="20" t="s">
        <v>1407</v>
      </c>
    </row>
    <row r="371" ht="16.5" customHeight="1">
      <c r="A371" s="19" t="s">
        <v>1408</v>
      </c>
      <c r="B371" s="20">
        <v>58.0</v>
      </c>
      <c r="C371" s="20" t="s">
        <v>1409</v>
      </c>
    </row>
    <row r="372" ht="16.5" customHeight="1">
      <c r="A372" s="19" t="s">
        <v>1410</v>
      </c>
      <c r="B372" s="20">
        <v>58.0</v>
      </c>
      <c r="C372" s="20" t="s">
        <v>1411</v>
      </c>
    </row>
    <row r="373" ht="16.5" customHeight="1">
      <c r="A373" s="19" t="s">
        <v>1412</v>
      </c>
      <c r="B373" s="20">
        <v>55.0</v>
      </c>
      <c r="C373" s="20" t="s">
        <v>1413</v>
      </c>
    </row>
    <row r="374" ht="16.5" customHeight="1">
      <c r="A374" s="19" t="s">
        <v>1414</v>
      </c>
      <c r="B374" s="20">
        <v>55.0</v>
      </c>
      <c r="C374" s="20" t="s">
        <v>1415</v>
      </c>
    </row>
    <row r="375" ht="16.5" customHeight="1">
      <c r="A375" s="19" t="s">
        <v>1416</v>
      </c>
      <c r="B375" s="20">
        <v>55.0</v>
      </c>
      <c r="C375" s="20" t="s">
        <v>1417</v>
      </c>
    </row>
    <row r="376" ht="16.5" customHeight="1">
      <c r="A376" s="19" t="s">
        <v>1418</v>
      </c>
      <c r="B376" s="20">
        <v>55.0</v>
      </c>
      <c r="C376" s="20" t="s">
        <v>1419</v>
      </c>
    </row>
    <row r="377" ht="16.5" customHeight="1">
      <c r="A377" s="19" t="s">
        <v>230</v>
      </c>
      <c r="B377" s="20">
        <v>55.0</v>
      </c>
      <c r="C377" s="20" t="s">
        <v>1420</v>
      </c>
    </row>
    <row r="378" ht="16.5" customHeight="1">
      <c r="A378" s="19" t="s">
        <v>1421</v>
      </c>
      <c r="B378" s="20">
        <v>55.0</v>
      </c>
      <c r="C378" s="20" t="s">
        <v>1422</v>
      </c>
    </row>
    <row r="379" ht="16.5" customHeight="1">
      <c r="A379" s="19" t="s">
        <v>1423</v>
      </c>
      <c r="B379" s="20">
        <v>55.0</v>
      </c>
      <c r="C379" s="20" t="s">
        <v>1424</v>
      </c>
    </row>
    <row r="380" ht="16.5" customHeight="1">
      <c r="A380" s="19" t="s">
        <v>1425</v>
      </c>
      <c r="B380" s="20">
        <v>55.0</v>
      </c>
      <c r="C380" s="20" t="s">
        <v>1426</v>
      </c>
    </row>
    <row r="381" ht="16.5" customHeight="1">
      <c r="A381" s="19" t="s">
        <v>1427</v>
      </c>
      <c r="B381" s="20">
        <v>55.0</v>
      </c>
      <c r="C381" s="20" t="s">
        <v>1428</v>
      </c>
    </row>
    <row r="382" ht="16.5" customHeight="1">
      <c r="A382" s="19" t="s">
        <v>1429</v>
      </c>
      <c r="B382" s="20">
        <v>55.0</v>
      </c>
      <c r="C382" s="20" t="s">
        <v>1430</v>
      </c>
    </row>
    <row r="383" ht="16.5" customHeight="1">
      <c r="A383" s="19" t="s">
        <v>1431</v>
      </c>
      <c r="B383" s="20">
        <v>55.0</v>
      </c>
      <c r="C383" s="20" t="s">
        <v>1432</v>
      </c>
    </row>
    <row r="384" ht="16.5" customHeight="1">
      <c r="A384" s="19" t="s">
        <v>1433</v>
      </c>
      <c r="B384" s="20">
        <v>55.0</v>
      </c>
      <c r="C384" s="20" t="s">
        <v>1434</v>
      </c>
    </row>
    <row r="385" ht="16.5" customHeight="1">
      <c r="A385" s="19" t="s">
        <v>1435</v>
      </c>
      <c r="B385" s="20">
        <v>55.0</v>
      </c>
      <c r="C385" s="20" t="s">
        <v>1436</v>
      </c>
    </row>
    <row r="386" ht="16.5" customHeight="1">
      <c r="A386" s="19" t="s">
        <v>1437</v>
      </c>
      <c r="B386" s="20">
        <v>55.0</v>
      </c>
      <c r="C386" s="20" t="s">
        <v>1438</v>
      </c>
    </row>
    <row r="387" ht="16.5" customHeight="1">
      <c r="A387" s="19" t="s">
        <v>1439</v>
      </c>
      <c r="B387" s="20">
        <v>55.0</v>
      </c>
      <c r="C387" s="20" t="s">
        <v>1440</v>
      </c>
    </row>
    <row r="388" ht="16.5" customHeight="1">
      <c r="A388" s="19" t="s">
        <v>1441</v>
      </c>
      <c r="B388" s="20">
        <v>55.0</v>
      </c>
      <c r="C388" s="20" t="s">
        <v>1442</v>
      </c>
    </row>
    <row r="389" ht="16.5" customHeight="1">
      <c r="A389" s="19" t="s">
        <v>1443</v>
      </c>
      <c r="B389" s="20">
        <v>55.0</v>
      </c>
      <c r="C389" s="20" t="s">
        <v>1444</v>
      </c>
    </row>
    <row r="390" ht="16.5" customHeight="1">
      <c r="A390" s="19" t="s">
        <v>1445</v>
      </c>
      <c r="B390" s="20">
        <v>55.0</v>
      </c>
      <c r="C390" s="20" t="s">
        <v>1446</v>
      </c>
    </row>
    <row r="391" ht="16.5" customHeight="1">
      <c r="A391" s="19" t="s">
        <v>1447</v>
      </c>
      <c r="B391" s="20">
        <v>55.0</v>
      </c>
      <c r="C391" s="20" t="s">
        <v>1448</v>
      </c>
    </row>
    <row r="392" ht="16.5" customHeight="1">
      <c r="A392" s="19" t="s">
        <v>1449</v>
      </c>
      <c r="B392" s="20">
        <v>55.0</v>
      </c>
      <c r="C392" s="20" t="s">
        <v>1450</v>
      </c>
    </row>
    <row r="393" ht="16.5" customHeight="1">
      <c r="A393" s="19" t="s">
        <v>145</v>
      </c>
      <c r="B393" s="20">
        <v>55.0</v>
      </c>
      <c r="C393" s="20" t="s">
        <v>1451</v>
      </c>
    </row>
    <row r="394" ht="16.5" customHeight="1">
      <c r="A394" s="19" t="s">
        <v>1452</v>
      </c>
      <c r="B394" s="20">
        <v>55.0</v>
      </c>
      <c r="C394" s="20" t="s">
        <v>1453</v>
      </c>
    </row>
    <row r="395" ht="16.5" customHeight="1">
      <c r="A395" s="19" t="s">
        <v>1454</v>
      </c>
      <c r="B395" s="20">
        <v>45.0</v>
      </c>
      <c r="C395" s="20" t="s">
        <v>1455</v>
      </c>
    </row>
    <row r="396" ht="16.5" customHeight="1">
      <c r="A396" s="19" t="s">
        <v>1456</v>
      </c>
      <c r="B396" s="20">
        <v>45.0</v>
      </c>
      <c r="C396" s="20" t="s">
        <v>1457</v>
      </c>
    </row>
    <row r="397" ht="16.5" customHeight="1">
      <c r="A397" s="19" t="s">
        <v>1458</v>
      </c>
      <c r="B397" s="20">
        <v>45.0</v>
      </c>
      <c r="C397" s="20" t="s">
        <v>1459</v>
      </c>
    </row>
    <row r="398" ht="16.5" customHeight="1">
      <c r="A398" s="19" t="s">
        <v>1460</v>
      </c>
      <c r="B398" s="20">
        <v>45.0</v>
      </c>
      <c r="C398" s="20" t="s">
        <v>1461</v>
      </c>
    </row>
    <row r="399" ht="16.5" customHeight="1">
      <c r="A399" s="19" t="s">
        <v>1462</v>
      </c>
      <c r="B399" s="20">
        <v>45.0</v>
      </c>
      <c r="C399" s="20" t="s">
        <v>1463</v>
      </c>
    </row>
    <row r="400" ht="16.5" customHeight="1">
      <c r="A400" s="19" t="s">
        <v>1464</v>
      </c>
      <c r="B400" s="20">
        <v>45.0</v>
      </c>
      <c r="C400" s="20" t="s">
        <v>1465</v>
      </c>
    </row>
    <row r="401" ht="16.5" customHeight="1">
      <c r="A401" s="19" t="s">
        <v>1466</v>
      </c>
      <c r="B401" s="20">
        <v>45.0</v>
      </c>
      <c r="C401" s="20" t="s">
        <v>1467</v>
      </c>
    </row>
    <row r="402" ht="16.5" customHeight="1">
      <c r="A402" s="19" t="s">
        <v>1468</v>
      </c>
      <c r="B402" s="20">
        <v>45.0</v>
      </c>
      <c r="C402" s="20" t="s">
        <v>1469</v>
      </c>
    </row>
    <row r="403" ht="16.5" customHeight="1">
      <c r="A403" s="19" t="s">
        <v>1470</v>
      </c>
      <c r="B403" s="20">
        <v>42.0</v>
      </c>
      <c r="C403" s="20" t="s">
        <v>1471</v>
      </c>
    </row>
    <row r="404" ht="16.5" customHeight="1">
      <c r="A404" s="19" t="s">
        <v>1472</v>
      </c>
      <c r="B404" s="20">
        <v>42.0</v>
      </c>
      <c r="C404" s="20" t="s">
        <v>1473</v>
      </c>
    </row>
    <row r="405" ht="16.5" customHeight="1">
      <c r="A405" s="19" t="s">
        <v>1474</v>
      </c>
      <c r="B405" s="44"/>
      <c r="C405" s="20" t="s">
        <v>1475</v>
      </c>
    </row>
    <row r="406" ht="16.5" customHeight="1">
      <c r="A406" s="19" t="s">
        <v>278</v>
      </c>
      <c r="B406" s="44"/>
      <c r="C406" s="20" t="s">
        <v>1476</v>
      </c>
    </row>
    <row r="407" ht="16.5" customHeight="1">
      <c r="A407" s="19" t="s">
        <v>1477</v>
      </c>
      <c r="B407" s="44"/>
      <c r="C407" s="20" t="s">
        <v>1478</v>
      </c>
    </row>
    <row r="408" ht="16.5" customHeight="1">
      <c r="A408" s="19" t="s">
        <v>1479</v>
      </c>
      <c r="B408" s="44"/>
      <c r="C408" s="20" t="s">
        <v>1480</v>
      </c>
    </row>
    <row r="409" ht="16.5" customHeight="1">
      <c r="A409" s="19" t="s">
        <v>1481</v>
      </c>
      <c r="B409" s="44"/>
      <c r="C409" s="20" t="s">
        <v>1482</v>
      </c>
    </row>
    <row r="410" ht="16.5" customHeight="1">
      <c r="A410" s="19" t="s">
        <v>1483</v>
      </c>
      <c r="B410" s="44"/>
      <c r="C410" s="20" t="s">
        <v>1484</v>
      </c>
    </row>
    <row r="411" ht="16.5" customHeight="1">
      <c r="A411" s="19" t="s">
        <v>1485</v>
      </c>
      <c r="B411" s="44"/>
      <c r="C411" s="20" t="s">
        <v>1486</v>
      </c>
    </row>
    <row r="412" ht="16.5" customHeight="1">
      <c r="A412" s="19" t="s">
        <v>1487</v>
      </c>
      <c r="B412" s="44"/>
      <c r="C412" s="20" t="s">
        <v>1488</v>
      </c>
    </row>
    <row r="413" ht="16.5" customHeight="1">
      <c r="A413" s="19" t="s">
        <v>287</v>
      </c>
      <c r="B413" s="44"/>
      <c r="C413" s="20" t="s">
        <v>1489</v>
      </c>
    </row>
    <row r="414" ht="16.5" customHeight="1">
      <c r="A414" s="19" t="s">
        <v>1490</v>
      </c>
      <c r="B414" s="44"/>
      <c r="C414" s="20" t="s">
        <v>1491</v>
      </c>
    </row>
    <row r="415" ht="16.5" customHeight="1">
      <c r="A415" s="19" t="s">
        <v>185</v>
      </c>
      <c r="B415" s="44"/>
      <c r="C415" s="20" t="s">
        <v>1492</v>
      </c>
    </row>
    <row r="416" ht="16.5" customHeight="1">
      <c r="A416" s="19" t="s">
        <v>1493</v>
      </c>
      <c r="B416" s="44"/>
      <c r="C416" s="20" t="s">
        <v>1494</v>
      </c>
    </row>
    <row r="417" ht="16.5" customHeight="1">
      <c r="A417" s="19" t="s">
        <v>1495</v>
      </c>
      <c r="B417" s="44"/>
      <c r="C417" s="20" t="s">
        <v>1496</v>
      </c>
    </row>
    <row r="418" ht="16.5" customHeight="1">
      <c r="A418" s="19" t="s">
        <v>59</v>
      </c>
      <c r="B418" s="44"/>
      <c r="C418" s="43" t="s">
        <v>1497</v>
      </c>
    </row>
    <row r="419" ht="16.5" customHeight="1">
      <c r="A419" s="19" t="s">
        <v>1498</v>
      </c>
      <c r="B419" s="44"/>
      <c r="C419" s="20" t="s">
        <v>1499</v>
      </c>
    </row>
    <row r="420" ht="16.5" customHeight="1">
      <c r="A420" s="19" t="s">
        <v>1500</v>
      </c>
      <c r="B420" s="44"/>
      <c r="C420" s="20" t="s">
        <v>1501</v>
      </c>
    </row>
    <row r="421" ht="16.5" customHeight="1">
      <c r="A421" s="19" t="s">
        <v>264</v>
      </c>
      <c r="B421" s="44"/>
      <c r="C421" s="20" t="s">
        <v>1502</v>
      </c>
    </row>
    <row r="422" ht="16.5" customHeight="1">
      <c r="A422" s="19" t="s">
        <v>1503</v>
      </c>
      <c r="B422" s="44"/>
      <c r="C422" s="20" t="s">
        <v>1504</v>
      </c>
    </row>
    <row r="423" ht="16.5" customHeight="1">
      <c r="A423" s="19" t="s">
        <v>1505</v>
      </c>
      <c r="B423" s="44"/>
      <c r="C423" s="20" t="s">
        <v>1506</v>
      </c>
    </row>
    <row r="424" ht="16.5" customHeight="1">
      <c r="A424" s="19" t="s">
        <v>274</v>
      </c>
      <c r="B424" s="44"/>
      <c r="C424" s="20" t="s">
        <v>1507</v>
      </c>
    </row>
    <row r="425" ht="16.5" customHeight="1">
      <c r="A425" s="19" t="s">
        <v>1508</v>
      </c>
      <c r="B425" s="44"/>
      <c r="C425" s="20" t="s">
        <v>1509</v>
      </c>
    </row>
    <row r="426" ht="16.5" customHeight="1">
      <c r="A426" s="19" t="s">
        <v>423</v>
      </c>
      <c r="B426" s="44"/>
      <c r="C426" s="20" t="s">
        <v>1510</v>
      </c>
    </row>
    <row r="427" ht="16.5" customHeight="1">
      <c r="A427" s="19" t="s">
        <v>1511</v>
      </c>
      <c r="B427" s="44"/>
      <c r="C427" s="20" t="s">
        <v>1512</v>
      </c>
    </row>
    <row r="428" ht="16.5" customHeight="1">
      <c r="A428" s="19" t="s">
        <v>1513</v>
      </c>
      <c r="B428" s="44"/>
      <c r="C428" s="20" t="s">
        <v>1514</v>
      </c>
    </row>
    <row r="429" ht="16.5" customHeight="1">
      <c r="A429" s="19" t="s">
        <v>1515</v>
      </c>
      <c r="B429" s="44"/>
      <c r="C429" s="20" t="s">
        <v>1516</v>
      </c>
    </row>
    <row r="430" ht="16.5" customHeight="1">
      <c r="A430" s="19" t="s">
        <v>1517</v>
      </c>
      <c r="B430" s="44"/>
      <c r="C430" s="20" t="s">
        <v>1518</v>
      </c>
    </row>
    <row r="431" ht="16.5" customHeight="1">
      <c r="A431" s="19" t="s">
        <v>147</v>
      </c>
      <c r="B431" s="44"/>
      <c r="C431" s="20" t="s">
        <v>1519</v>
      </c>
    </row>
    <row r="432" ht="16.5" customHeight="1">
      <c r="A432" s="19" t="s">
        <v>1520</v>
      </c>
      <c r="B432" s="44"/>
      <c r="C432" s="20" t="s">
        <v>1521</v>
      </c>
    </row>
    <row r="433" ht="16.5" customHeight="1">
      <c r="A433" s="19" t="s">
        <v>1522</v>
      </c>
      <c r="B433" s="44"/>
      <c r="C433" s="20" t="s">
        <v>1523</v>
      </c>
    </row>
    <row r="434" ht="16.5" customHeight="1">
      <c r="A434" s="19" t="s">
        <v>1524</v>
      </c>
      <c r="B434" s="44"/>
      <c r="C434" s="20" t="s">
        <v>1525</v>
      </c>
    </row>
    <row r="435" ht="16.5" customHeight="1">
      <c r="A435" s="19" t="s">
        <v>1526</v>
      </c>
      <c r="B435" s="44"/>
      <c r="C435" s="20" t="s">
        <v>1527</v>
      </c>
    </row>
    <row r="436" ht="16.5" customHeight="1">
      <c r="A436" s="19" t="s">
        <v>1528</v>
      </c>
      <c r="B436" s="44"/>
      <c r="C436" s="20" t="s">
        <v>1529</v>
      </c>
    </row>
    <row r="437" ht="16.5" customHeight="1">
      <c r="A437" s="19" t="s">
        <v>1530</v>
      </c>
      <c r="B437" s="44"/>
      <c r="C437" s="20" t="s">
        <v>1531</v>
      </c>
    </row>
    <row r="438" ht="16.5" customHeight="1">
      <c r="A438" s="19" t="s">
        <v>139</v>
      </c>
      <c r="B438" s="44"/>
      <c r="C438" s="20" t="s">
        <v>1532</v>
      </c>
    </row>
    <row r="439" ht="16.5" customHeight="1">
      <c r="A439" s="19" t="s">
        <v>1533</v>
      </c>
      <c r="B439" s="44"/>
      <c r="C439" s="20" t="s">
        <v>1534</v>
      </c>
    </row>
    <row r="440" ht="16.5" customHeight="1">
      <c r="A440" s="19" t="s">
        <v>1535</v>
      </c>
      <c r="B440" s="44"/>
      <c r="C440" s="20" t="s">
        <v>1536</v>
      </c>
    </row>
    <row r="441" ht="16.5" customHeight="1">
      <c r="A441" s="19" t="s">
        <v>1537</v>
      </c>
      <c r="B441" s="44"/>
      <c r="C441" s="20" t="s">
        <v>1538</v>
      </c>
    </row>
    <row r="442" ht="16.5" customHeight="1">
      <c r="A442" s="19" t="s">
        <v>38</v>
      </c>
      <c r="B442" s="44"/>
      <c r="C442" s="20" t="s">
        <v>1539</v>
      </c>
    </row>
    <row r="443" ht="16.5" customHeight="1">
      <c r="A443" s="19" t="s">
        <v>1540</v>
      </c>
      <c r="B443" s="44"/>
      <c r="C443" s="20" t="s">
        <v>1541</v>
      </c>
    </row>
    <row r="444" ht="16.5" customHeight="1">
      <c r="A444" s="19" t="s">
        <v>254</v>
      </c>
      <c r="B444" s="44"/>
      <c r="C444" s="20" t="s">
        <v>1542</v>
      </c>
    </row>
    <row r="445" ht="16.5" customHeight="1">
      <c r="A445" s="19" t="s">
        <v>1543</v>
      </c>
      <c r="B445" s="44"/>
      <c r="C445" s="20" t="s">
        <v>1544</v>
      </c>
    </row>
    <row r="446" ht="16.5" customHeight="1">
      <c r="A446" s="19" t="s">
        <v>1545</v>
      </c>
      <c r="B446" s="44"/>
      <c r="C446" s="20" t="s">
        <v>1546</v>
      </c>
    </row>
    <row r="447" ht="16.5" customHeight="1">
      <c r="A447" s="19" t="s">
        <v>1547</v>
      </c>
      <c r="B447" s="44"/>
      <c r="C447" s="20" t="s">
        <v>1548</v>
      </c>
    </row>
    <row r="448" ht="16.5" customHeight="1">
      <c r="A448" s="19" t="s">
        <v>1549</v>
      </c>
      <c r="B448" s="44"/>
      <c r="C448" s="20" t="s">
        <v>1550</v>
      </c>
    </row>
    <row r="449" ht="16.5" customHeight="1">
      <c r="A449" s="19" t="s">
        <v>1551</v>
      </c>
      <c r="B449" s="44"/>
      <c r="C449" s="20" t="s">
        <v>1552</v>
      </c>
    </row>
    <row r="450" ht="16.5" customHeight="1">
      <c r="A450" s="19" t="s">
        <v>1553</v>
      </c>
      <c r="B450" s="44"/>
      <c r="C450" s="20" t="s">
        <v>1554</v>
      </c>
    </row>
    <row r="451" ht="16.5" customHeight="1">
      <c r="A451" s="19" t="s">
        <v>1555</v>
      </c>
      <c r="B451" s="44"/>
      <c r="C451" s="20" t="s">
        <v>1556</v>
      </c>
    </row>
    <row r="452" ht="16.5" customHeight="1">
      <c r="A452" s="19" t="s">
        <v>99</v>
      </c>
      <c r="B452" s="44"/>
      <c r="C452" s="20" t="s">
        <v>1557</v>
      </c>
    </row>
    <row r="453" ht="16.5" customHeight="1">
      <c r="A453" s="19" t="s">
        <v>1558</v>
      </c>
      <c r="B453" s="44"/>
      <c r="C453" s="20" t="s">
        <v>1559</v>
      </c>
    </row>
    <row r="454" ht="16.5" customHeight="1">
      <c r="A454" s="19" t="s">
        <v>1560</v>
      </c>
      <c r="B454" s="44"/>
      <c r="C454" s="20" t="s">
        <v>1561</v>
      </c>
    </row>
    <row r="455" ht="16.5" customHeight="1">
      <c r="A455" s="19" t="s">
        <v>1562</v>
      </c>
      <c r="B455" s="44"/>
      <c r="C455" s="20" t="s">
        <v>1563</v>
      </c>
    </row>
    <row r="456" ht="16.5" customHeight="1">
      <c r="A456" s="19" t="s">
        <v>1564</v>
      </c>
      <c r="B456" s="44"/>
      <c r="C456" s="20" t="s">
        <v>1565</v>
      </c>
    </row>
    <row r="457" ht="16.5" customHeight="1">
      <c r="A457" s="19" t="s">
        <v>1566</v>
      </c>
      <c r="B457" s="44"/>
      <c r="C457" s="20" t="s">
        <v>1567</v>
      </c>
    </row>
    <row r="458" ht="16.5" customHeight="1">
      <c r="A458" s="19" t="s">
        <v>165</v>
      </c>
      <c r="B458" s="44"/>
      <c r="C458" s="20" t="s">
        <v>1568</v>
      </c>
    </row>
    <row r="459" ht="16.5" customHeight="1">
      <c r="A459" s="19" t="s">
        <v>1569</v>
      </c>
      <c r="B459" s="44"/>
      <c r="C459" s="20" t="s">
        <v>1570</v>
      </c>
    </row>
    <row r="460" ht="16.5" customHeight="1">
      <c r="A460" s="19" t="s">
        <v>168</v>
      </c>
      <c r="B460" s="44"/>
      <c r="C460" s="20" t="s">
        <v>1571</v>
      </c>
    </row>
    <row r="461" ht="16.5" customHeight="1">
      <c r="A461" s="19" t="s">
        <v>252</v>
      </c>
      <c r="B461" s="44"/>
      <c r="C461" s="20" t="s">
        <v>1572</v>
      </c>
    </row>
    <row r="462" ht="16.5" customHeight="1">
      <c r="A462" s="19" t="s">
        <v>455</v>
      </c>
      <c r="B462" s="44"/>
      <c r="C462" s="20" t="s">
        <v>1573</v>
      </c>
    </row>
    <row r="463" ht="16.5" customHeight="1">
      <c r="A463" s="19" t="s">
        <v>167</v>
      </c>
      <c r="B463" s="44"/>
      <c r="C463" s="20" t="s">
        <v>1574</v>
      </c>
    </row>
    <row r="464" ht="16.5" customHeight="1">
      <c r="A464" s="19" t="s">
        <v>1575</v>
      </c>
      <c r="B464" s="44"/>
      <c r="C464" s="20" t="s">
        <v>1576</v>
      </c>
    </row>
    <row r="465" ht="16.5" customHeight="1">
      <c r="A465" s="19" t="s">
        <v>36</v>
      </c>
      <c r="B465" s="44"/>
      <c r="C465" s="43" t="s">
        <v>1577</v>
      </c>
    </row>
    <row r="466" ht="16.5" customHeight="1">
      <c r="A466" s="19" t="s">
        <v>1578</v>
      </c>
      <c r="B466" s="44"/>
      <c r="C466" s="20" t="s">
        <v>1579</v>
      </c>
    </row>
    <row r="467" ht="16.5" customHeight="1">
      <c r="A467" s="19" t="s">
        <v>1580</v>
      </c>
      <c r="B467" s="44"/>
      <c r="C467" s="20" t="s">
        <v>1581</v>
      </c>
    </row>
    <row r="468" ht="16.5" customHeight="1">
      <c r="A468" s="19" t="s">
        <v>1582</v>
      </c>
      <c r="B468" s="44"/>
      <c r="C468" s="20" t="s">
        <v>1583</v>
      </c>
    </row>
    <row r="469" ht="16.5" customHeight="1">
      <c r="A469" s="19" t="s">
        <v>1584</v>
      </c>
      <c r="B469" s="44"/>
      <c r="C469" s="20" t="s">
        <v>1585</v>
      </c>
    </row>
    <row r="470" ht="16.5" customHeight="1">
      <c r="A470" s="19" t="s">
        <v>1586</v>
      </c>
      <c r="B470" s="44"/>
      <c r="C470" s="20" t="s">
        <v>1587</v>
      </c>
    </row>
    <row r="471" ht="16.5" customHeight="1">
      <c r="A471" s="19" t="s">
        <v>183</v>
      </c>
      <c r="B471" s="44"/>
      <c r="C471" s="20" t="s">
        <v>1588</v>
      </c>
    </row>
    <row r="472" ht="16.5" customHeight="1">
      <c r="A472" s="19" t="s">
        <v>253</v>
      </c>
      <c r="B472" s="44"/>
      <c r="C472" s="20" t="s">
        <v>1589</v>
      </c>
    </row>
    <row r="473" ht="16.5" customHeight="1">
      <c r="A473" s="19" t="s">
        <v>1590</v>
      </c>
      <c r="B473" s="44"/>
      <c r="C473" s="20" t="s">
        <v>1591</v>
      </c>
    </row>
    <row r="474" ht="16.5" customHeight="1">
      <c r="A474" s="19" t="s">
        <v>1592</v>
      </c>
      <c r="B474" s="44"/>
      <c r="C474" s="20" t="s">
        <v>1593</v>
      </c>
    </row>
    <row r="475" ht="16.5" customHeight="1">
      <c r="A475" s="19" t="s">
        <v>1594</v>
      </c>
      <c r="B475" s="44"/>
      <c r="C475" s="20" t="s">
        <v>1595</v>
      </c>
    </row>
    <row r="476" ht="16.5" customHeight="1">
      <c r="A476" s="19" t="s">
        <v>1596</v>
      </c>
      <c r="B476" s="44"/>
      <c r="C476" s="20" t="s">
        <v>1597</v>
      </c>
    </row>
    <row r="477" ht="16.5" customHeight="1">
      <c r="A477" s="19" t="s">
        <v>298</v>
      </c>
      <c r="B477" s="44"/>
      <c r="C477" s="20" t="s">
        <v>1598</v>
      </c>
    </row>
    <row r="478" ht="16.5" customHeight="1">
      <c r="A478" s="19" t="s">
        <v>1599</v>
      </c>
      <c r="B478" s="44"/>
      <c r="C478" s="20" t="s">
        <v>1600</v>
      </c>
    </row>
    <row r="479" ht="16.5" customHeight="1">
      <c r="A479" s="19" t="s">
        <v>1601</v>
      </c>
      <c r="B479" s="44"/>
      <c r="C479" s="20" t="s">
        <v>1602</v>
      </c>
    </row>
    <row r="480" ht="16.5" customHeight="1">
      <c r="A480" s="19" t="s">
        <v>141</v>
      </c>
      <c r="B480" s="44"/>
      <c r="C480" s="20" t="s">
        <v>1603</v>
      </c>
    </row>
    <row r="481" ht="16.5" customHeight="1">
      <c r="A481" s="19" t="s">
        <v>151</v>
      </c>
      <c r="B481" s="44"/>
      <c r="C481" s="20" t="s">
        <v>1604</v>
      </c>
    </row>
    <row r="482" ht="16.5" customHeight="1">
      <c r="A482" s="19" t="s">
        <v>1605</v>
      </c>
      <c r="B482" s="44"/>
      <c r="C482" s="20" t="s">
        <v>1606</v>
      </c>
    </row>
    <row r="483" ht="16.5" customHeight="1">
      <c r="A483" s="19" t="s">
        <v>277</v>
      </c>
      <c r="B483" s="44"/>
      <c r="C483" s="20" t="s">
        <v>1607</v>
      </c>
    </row>
    <row r="484" ht="16.5" customHeight="1">
      <c r="A484" s="19" t="s">
        <v>1608</v>
      </c>
      <c r="B484" s="44"/>
      <c r="C484" s="20" t="s">
        <v>1609</v>
      </c>
    </row>
    <row r="485" ht="16.5" customHeight="1">
      <c r="A485" s="19" t="s">
        <v>14</v>
      </c>
      <c r="B485" s="44"/>
      <c r="C485" s="20" t="s">
        <v>1610</v>
      </c>
    </row>
    <row r="486" ht="16.5" customHeight="1">
      <c r="A486" s="19" t="s">
        <v>1611</v>
      </c>
      <c r="B486" s="44"/>
      <c r="C486" s="20" t="s">
        <v>1612</v>
      </c>
    </row>
    <row r="487" ht="16.5" customHeight="1">
      <c r="A487" s="19" t="s">
        <v>1613</v>
      </c>
      <c r="B487" s="44"/>
      <c r="C487" s="20" t="s">
        <v>1614</v>
      </c>
    </row>
    <row r="488" ht="16.5" customHeight="1">
      <c r="A488" s="19" t="s">
        <v>1615</v>
      </c>
      <c r="B488" s="44"/>
      <c r="C488" s="20" t="s">
        <v>1616</v>
      </c>
    </row>
    <row r="489" ht="16.5" customHeight="1">
      <c r="A489" s="19" t="s">
        <v>1617</v>
      </c>
      <c r="B489" s="44"/>
      <c r="C489" s="20" t="s">
        <v>1618</v>
      </c>
    </row>
    <row r="490" ht="16.5" customHeight="1">
      <c r="A490" s="19" t="s">
        <v>1619</v>
      </c>
      <c r="B490" s="44"/>
      <c r="C490" s="20" t="s">
        <v>1620</v>
      </c>
    </row>
    <row r="491" ht="16.5" customHeight="1">
      <c r="A491" s="19" t="s">
        <v>426</v>
      </c>
      <c r="B491" s="44"/>
      <c r="C491" s="20" t="s">
        <v>1621</v>
      </c>
    </row>
    <row r="492" ht="16.5" customHeight="1">
      <c r="A492" s="19" t="s">
        <v>486</v>
      </c>
      <c r="B492" s="44"/>
      <c r="C492" s="20" t="s">
        <v>1622</v>
      </c>
    </row>
    <row r="493" ht="16.5" customHeight="1">
      <c r="A493" s="19" t="s">
        <v>355</v>
      </c>
      <c r="B493" s="44"/>
      <c r="C493" s="20" t="s">
        <v>1623</v>
      </c>
    </row>
    <row r="494" ht="16.5" customHeight="1">
      <c r="A494" s="19" t="s">
        <v>1624</v>
      </c>
      <c r="B494" s="44"/>
      <c r="C494" s="20" t="s">
        <v>1625</v>
      </c>
    </row>
    <row r="495" ht="16.5" customHeight="1">
      <c r="A495" s="19" t="s">
        <v>39</v>
      </c>
      <c r="B495" s="44"/>
      <c r="C495" s="20" t="s">
        <v>1626</v>
      </c>
    </row>
    <row r="496" ht="16.5" customHeight="1">
      <c r="A496" s="19" t="s">
        <v>124</v>
      </c>
      <c r="B496" s="44"/>
      <c r="C496" s="20" t="s">
        <v>1627</v>
      </c>
    </row>
    <row r="497" ht="16.5" customHeight="1">
      <c r="A497" s="19" t="s">
        <v>1628</v>
      </c>
      <c r="B497" s="44"/>
      <c r="C497" s="20" t="s">
        <v>1629</v>
      </c>
    </row>
    <row r="498" ht="16.5" customHeight="1">
      <c r="A498" s="19" t="s">
        <v>1630</v>
      </c>
      <c r="B498" s="44"/>
      <c r="C498" s="20" t="s">
        <v>1631</v>
      </c>
    </row>
    <row r="499" ht="16.5" customHeight="1">
      <c r="A499" s="19" t="s">
        <v>1632</v>
      </c>
      <c r="B499" s="44"/>
      <c r="C499" s="20" t="s">
        <v>1633</v>
      </c>
    </row>
    <row r="500" ht="16.5" customHeight="1">
      <c r="A500" s="19" t="s">
        <v>1634</v>
      </c>
      <c r="B500" s="44"/>
      <c r="C500" s="20" t="s">
        <v>1635</v>
      </c>
    </row>
    <row r="501" ht="16.5" customHeight="1">
      <c r="A501" s="19" t="s">
        <v>1636</v>
      </c>
      <c r="B501" s="44"/>
      <c r="C501" s="20" t="s">
        <v>1637</v>
      </c>
    </row>
    <row r="502" ht="16.5" customHeight="1">
      <c r="A502" s="19" t="s">
        <v>1638</v>
      </c>
      <c r="B502" s="44"/>
      <c r="C502" s="20" t="s">
        <v>1639</v>
      </c>
    </row>
    <row r="503" ht="16.5" customHeight="1">
      <c r="A503" s="19" t="s">
        <v>17</v>
      </c>
      <c r="B503" s="44"/>
      <c r="C503" s="43" t="s">
        <v>1640</v>
      </c>
    </row>
    <row r="504" ht="16.5" customHeight="1">
      <c r="A504" s="19" t="s">
        <v>1641</v>
      </c>
      <c r="B504" s="44"/>
      <c r="C504" s="20" t="s">
        <v>1642</v>
      </c>
    </row>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sheetData>
  <autoFilter ref="$F$1:$I$46">
    <sortState ref="F1:I46">
      <sortCondition descending="1" ref="I1:I46"/>
    </sortState>
  </autoFilter>
  <hyperlinks>
    <hyperlink r:id="rId1" ref="C78"/>
    <hyperlink r:id="rId2" ref="C80"/>
    <hyperlink r:id="rId3" ref="C82"/>
    <hyperlink r:id="rId4" ref="C98"/>
    <hyperlink r:id="rId5" ref="C110"/>
    <hyperlink r:id="rId6" ref="C156"/>
    <hyperlink r:id="rId7" ref="C316"/>
    <hyperlink r:id="rId8" ref="C418"/>
    <hyperlink r:id="rId9" ref="C465"/>
    <hyperlink r:id="rId10" ref="C503"/>
  </hyperlinks>
  <drawing r:id="rId1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7447</v>
      </c>
    </row>
    <row r="2">
      <c r="A2" s="2" t="s">
        <v>13151</v>
      </c>
    </row>
    <row r="4">
      <c r="A4" s="2" t="s">
        <v>13152</v>
      </c>
    </row>
    <row r="6">
      <c r="A6" s="2" t="s">
        <v>13153</v>
      </c>
    </row>
    <row r="8">
      <c r="A8" s="2" t="s">
        <v>13154</v>
      </c>
    </row>
    <row r="9">
      <c r="A9" s="2" t="s">
        <v>13155</v>
      </c>
    </row>
    <row r="11">
      <c r="A11" s="2" t="s">
        <v>13156</v>
      </c>
    </row>
    <row r="13">
      <c r="A13" s="2" t="s">
        <v>13157</v>
      </c>
    </row>
    <row r="15">
      <c r="A15" s="2" t="s">
        <v>13158</v>
      </c>
    </row>
    <row r="16">
      <c r="A16" s="2" t="s">
        <v>13159</v>
      </c>
    </row>
    <row r="18">
      <c r="A18" s="2" t="s">
        <v>13160</v>
      </c>
    </row>
    <row r="20">
      <c r="A20" s="2" t="s">
        <v>13161</v>
      </c>
    </row>
    <row r="22">
      <c r="A22" s="2" t="s">
        <v>13162</v>
      </c>
    </row>
    <row r="23">
      <c r="A23" s="2" t="s">
        <v>13163</v>
      </c>
    </row>
    <row r="25">
      <c r="A25" s="2" t="s">
        <v>13164</v>
      </c>
    </row>
    <row r="27">
      <c r="A27" s="2" t="s">
        <v>13165</v>
      </c>
    </row>
    <row r="28">
      <c r="A28" s="2" t="s">
        <v>13166</v>
      </c>
    </row>
    <row r="30">
      <c r="A30" s="2" t="s">
        <v>7462</v>
      </c>
    </row>
    <row r="31">
      <c r="A31" s="2" t="s">
        <v>13167</v>
      </c>
    </row>
    <row r="33">
      <c r="A33" s="2" t="s">
        <v>13168</v>
      </c>
    </row>
    <row r="35">
      <c r="A35" s="2" t="s">
        <v>13169</v>
      </c>
    </row>
    <row r="37">
      <c r="A37" s="2" t="s">
        <v>13170</v>
      </c>
    </row>
    <row r="38">
      <c r="A38" s="2" t="s">
        <v>13171</v>
      </c>
    </row>
    <row r="40">
      <c r="A40" s="2" t="s">
        <v>13172</v>
      </c>
    </row>
    <row r="42">
      <c r="A42" s="2" t="s">
        <v>13173</v>
      </c>
    </row>
    <row r="44">
      <c r="A44" s="2" t="s">
        <v>13174</v>
      </c>
    </row>
    <row r="45">
      <c r="A45" s="2" t="s">
        <v>13175</v>
      </c>
    </row>
    <row r="47">
      <c r="A47" s="2" t="s">
        <v>13176</v>
      </c>
    </row>
    <row r="49">
      <c r="A49" s="2" t="s">
        <v>13177</v>
      </c>
    </row>
    <row r="51">
      <c r="A51" s="2" t="s">
        <v>13178</v>
      </c>
    </row>
    <row r="52">
      <c r="A52" s="2" t="s">
        <v>13179</v>
      </c>
    </row>
    <row r="54">
      <c r="A54" s="2" t="s">
        <v>13180</v>
      </c>
    </row>
    <row r="56">
      <c r="A56" s="2" t="s">
        <v>13181</v>
      </c>
    </row>
    <row r="58">
      <c r="A58" s="2" t="s">
        <v>13182</v>
      </c>
    </row>
    <row r="59">
      <c r="A59" s="2" t="s">
        <v>13183</v>
      </c>
    </row>
    <row r="61">
      <c r="A61" s="2" t="s">
        <v>13184</v>
      </c>
    </row>
    <row r="63">
      <c r="A63" s="2" t="s">
        <v>13185</v>
      </c>
    </row>
    <row r="64">
      <c r="A64" s="2" t="s">
        <v>13186</v>
      </c>
    </row>
    <row r="66">
      <c r="A66" s="2" t="s">
        <v>13187</v>
      </c>
    </row>
    <row r="68">
      <c r="A68" s="2" t="s">
        <v>13188</v>
      </c>
    </row>
    <row r="70">
      <c r="A70" s="2" t="s">
        <v>13189</v>
      </c>
    </row>
    <row r="71">
      <c r="A71" s="2" t="s">
        <v>13190</v>
      </c>
    </row>
    <row r="73">
      <c r="A73" s="2" t="s">
        <v>13191</v>
      </c>
    </row>
    <row r="75">
      <c r="A75" s="2" t="s">
        <v>13192</v>
      </c>
    </row>
    <row r="76">
      <c r="A76" s="2" t="s">
        <v>13193</v>
      </c>
    </row>
    <row r="78">
      <c r="A78" s="2" t="s">
        <v>13194</v>
      </c>
    </row>
    <row r="80">
      <c r="A80" s="2" t="s">
        <v>13195</v>
      </c>
    </row>
    <row r="82">
      <c r="A82" s="2" t="s">
        <v>13196</v>
      </c>
    </row>
    <row r="83">
      <c r="A83" s="2" t="s">
        <v>13197</v>
      </c>
    </row>
    <row r="85">
      <c r="A85" s="2" t="s">
        <v>13198</v>
      </c>
    </row>
    <row r="87">
      <c r="A87" s="2" t="s">
        <v>13199</v>
      </c>
    </row>
    <row r="88">
      <c r="A88" s="2" t="s">
        <v>13200</v>
      </c>
    </row>
    <row r="90">
      <c r="A90" s="2" t="s">
        <v>7462</v>
      </c>
    </row>
    <row r="91">
      <c r="A91" s="2" t="s">
        <v>13201</v>
      </c>
    </row>
    <row r="93">
      <c r="A93" s="2" t="s">
        <v>13202</v>
      </c>
    </row>
    <row r="95">
      <c r="A95" s="2" t="s">
        <v>13203</v>
      </c>
    </row>
    <row r="97">
      <c r="A97" s="2" t="s">
        <v>13204</v>
      </c>
    </row>
    <row r="98">
      <c r="A98" s="2" t="s">
        <v>13205</v>
      </c>
    </row>
    <row r="100">
      <c r="A100" s="2" t="s">
        <v>13206</v>
      </c>
    </row>
    <row r="101">
      <c r="A101" s="2" t="s">
        <v>13207</v>
      </c>
    </row>
    <row r="103">
      <c r="A103" s="2" t="s">
        <v>13208</v>
      </c>
    </row>
    <row r="104">
      <c r="A104" s="2" t="s">
        <v>13209</v>
      </c>
    </row>
    <row r="106">
      <c r="A106" s="2" t="s">
        <v>13210</v>
      </c>
    </row>
    <row r="108">
      <c r="A108" s="2" t="s">
        <v>13211</v>
      </c>
    </row>
    <row r="109">
      <c r="A109" s="2" t="s">
        <v>13212</v>
      </c>
    </row>
    <row r="111">
      <c r="A111" s="2" t="s">
        <v>13213</v>
      </c>
    </row>
    <row r="113">
      <c r="A113" s="2" t="s">
        <v>13214</v>
      </c>
    </row>
    <row r="115">
      <c r="A115" s="2" t="s">
        <v>13215</v>
      </c>
    </row>
    <row r="116">
      <c r="A116" s="2" t="s">
        <v>13216</v>
      </c>
    </row>
    <row r="118">
      <c r="A118" s="2" t="s">
        <v>13217</v>
      </c>
    </row>
    <row r="120">
      <c r="A120" s="2" t="s">
        <v>13218</v>
      </c>
    </row>
    <row r="122">
      <c r="A122" s="2" t="s">
        <v>13219</v>
      </c>
    </row>
    <row r="123">
      <c r="A123" s="2" t="s">
        <v>13220</v>
      </c>
    </row>
    <row r="125">
      <c r="A125" s="2" t="s">
        <v>13221</v>
      </c>
    </row>
    <row r="126">
      <c r="A126" s="2" t="s">
        <v>13222</v>
      </c>
    </row>
    <row r="128">
      <c r="A128" s="2" t="s">
        <v>13223</v>
      </c>
    </row>
    <row r="130">
      <c r="A130" s="2" t="s">
        <v>13224</v>
      </c>
    </row>
    <row r="132">
      <c r="A132" s="2" t="s">
        <v>13225</v>
      </c>
    </row>
    <row r="134">
      <c r="A134" s="2" t="s">
        <v>13226</v>
      </c>
    </row>
    <row r="135">
      <c r="A135" s="2" t="s">
        <v>13227</v>
      </c>
    </row>
    <row r="137">
      <c r="A137" s="2" t="s">
        <v>13228</v>
      </c>
    </row>
    <row r="139">
      <c r="A139" s="2" t="s">
        <v>13229</v>
      </c>
    </row>
    <row r="141">
      <c r="A141" s="2" t="s">
        <v>13230</v>
      </c>
    </row>
    <row r="142">
      <c r="A142" s="2" t="s">
        <v>13231</v>
      </c>
    </row>
    <row r="144">
      <c r="A144" s="2" t="s">
        <v>13232</v>
      </c>
    </row>
    <row r="146">
      <c r="A146" s="2" t="s">
        <v>13233</v>
      </c>
    </row>
    <row r="148">
      <c r="A148" s="2" t="s">
        <v>13234</v>
      </c>
    </row>
    <row r="149">
      <c r="A149" s="2" t="s">
        <v>13235</v>
      </c>
    </row>
    <row r="151">
      <c r="A151" s="2" t="s">
        <v>13236</v>
      </c>
    </row>
    <row r="153">
      <c r="A153" s="2" t="s">
        <v>13237</v>
      </c>
    </row>
    <row r="155">
      <c r="A155" s="2" t="s">
        <v>13238</v>
      </c>
    </row>
    <row r="156">
      <c r="A156" s="2" t="s">
        <v>13239</v>
      </c>
    </row>
    <row r="158">
      <c r="A158" s="2" t="s">
        <v>13240</v>
      </c>
    </row>
    <row r="160">
      <c r="A160" s="2" t="s">
        <v>13241</v>
      </c>
    </row>
    <row r="162">
      <c r="A162" s="2" t="s">
        <v>13242</v>
      </c>
    </row>
    <row r="163">
      <c r="A163" s="2" t="s">
        <v>13243</v>
      </c>
    </row>
    <row r="165">
      <c r="A165" s="2" t="s">
        <v>13244</v>
      </c>
    </row>
    <row r="167">
      <c r="A167" s="2" t="s">
        <v>13245</v>
      </c>
    </row>
    <row r="169">
      <c r="A169" s="2" t="s">
        <v>13246</v>
      </c>
    </row>
    <row r="170">
      <c r="A170" s="2" t="s">
        <v>13247</v>
      </c>
    </row>
    <row r="172">
      <c r="A172" s="2" t="s">
        <v>13248</v>
      </c>
    </row>
    <row r="174">
      <c r="A174" s="2" t="s">
        <v>13249</v>
      </c>
    </row>
    <row r="176">
      <c r="A176" s="2" t="s">
        <v>13250</v>
      </c>
    </row>
    <row r="177">
      <c r="A177" s="2" t="s">
        <v>13251</v>
      </c>
    </row>
    <row r="178">
      <c r="A178" s="2" t="s">
        <v>13252</v>
      </c>
    </row>
    <row r="180">
      <c r="A180" s="2" t="s">
        <v>7462</v>
      </c>
    </row>
    <row r="181">
      <c r="A181" s="2" t="s">
        <v>13253</v>
      </c>
    </row>
    <row r="183">
      <c r="A183" s="2" t="s">
        <v>13254</v>
      </c>
    </row>
    <row r="185">
      <c r="A185" s="2" t="s">
        <v>13255</v>
      </c>
    </row>
    <row r="187">
      <c r="A187" s="2" t="s">
        <v>13256</v>
      </c>
    </row>
    <row r="188">
      <c r="A188" s="2" t="s">
        <v>13257</v>
      </c>
    </row>
    <row r="190">
      <c r="A190" s="2" t="s">
        <v>13258</v>
      </c>
    </row>
    <row r="191">
      <c r="A191" s="2" t="s">
        <v>13259</v>
      </c>
    </row>
    <row r="193">
      <c r="A193" s="2" t="s">
        <v>13260</v>
      </c>
    </row>
    <row r="195">
      <c r="A195" s="2" t="s">
        <v>13261</v>
      </c>
    </row>
    <row r="196">
      <c r="A196" s="2" t="s">
        <v>13262</v>
      </c>
    </row>
    <row r="198">
      <c r="A198" s="2" t="s">
        <v>13263</v>
      </c>
    </row>
    <row r="200">
      <c r="A200" s="2" t="s">
        <v>13264</v>
      </c>
    </row>
    <row r="202">
      <c r="A202" s="2" t="s">
        <v>13265</v>
      </c>
    </row>
    <row r="203">
      <c r="A203" s="2" t="s">
        <v>13266</v>
      </c>
    </row>
    <row r="205">
      <c r="A205" s="2" t="s">
        <v>13267</v>
      </c>
    </row>
    <row r="207">
      <c r="A207" s="2" t="s">
        <v>13268</v>
      </c>
    </row>
    <row r="209">
      <c r="A209" s="2" t="s">
        <v>13269</v>
      </c>
    </row>
    <row r="210">
      <c r="A210" s="2" t="s">
        <v>13270</v>
      </c>
    </row>
    <row r="212">
      <c r="A212" s="2" t="s">
        <v>13271</v>
      </c>
    </row>
    <row r="214">
      <c r="A214" s="2" t="s">
        <v>13272</v>
      </c>
    </row>
    <row r="215">
      <c r="A215" s="2" t="s">
        <v>13273</v>
      </c>
    </row>
    <row r="217">
      <c r="A217" s="2" t="s">
        <v>13274</v>
      </c>
    </row>
    <row r="219">
      <c r="A219" s="2" t="s">
        <v>13275</v>
      </c>
    </row>
    <row r="220">
      <c r="A220" s="2" t="s">
        <v>13276</v>
      </c>
    </row>
    <row r="222">
      <c r="A222" s="2" t="s">
        <v>13277</v>
      </c>
    </row>
    <row r="224">
      <c r="A224" s="2" t="s">
        <v>13278</v>
      </c>
    </row>
    <row r="226">
      <c r="A226" s="2" t="s">
        <v>13279</v>
      </c>
    </row>
    <row r="227">
      <c r="A227" s="2" t="s">
        <v>13280</v>
      </c>
    </row>
    <row r="229">
      <c r="A229" s="2" t="s">
        <v>13281</v>
      </c>
    </row>
    <row r="231">
      <c r="A231" s="2" t="s">
        <v>13282</v>
      </c>
    </row>
    <row r="233">
      <c r="A233" s="2" t="s">
        <v>13283</v>
      </c>
    </row>
    <row r="234">
      <c r="A234" s="2" t="s">
        <v>13284</v>
      </c>
    </row>
    <row r="236">
      <c r="A236" s="2" t="s">
        <v>13285</v>
      </c>
    </row>
    <row r="238">
      <c r="A238" s="2" t="s">
        <v>13286</v>
      </c>
    </row>
    <row r="240">
      <c r="A240" s="2" t="s">
        <v>13287</v>
      </c>
    </row>
    <row r="241">
      <c r="A241" s="2" t="s">
        <v>13288</v>
      </c>
    </row>
    <row r="243">
      <c r="A243" s="2" t="s">
        <v>13289</v>
      </c>
    </row>
    <row r="245">
      <c r="A245" s="2" t="s">
        <v>13290</v>
      </c>
    </row>
    <row r="247">
      <c r="A247" s="2" t="s">
        <v>13291</v>
      </c>
    </row>
    <row r="248">
      <c r="A248" s="2" t="s">
        <v>13292</v>
      </c>
    </row>
    <row r="250">
      <c r="A250" s="2" t="s">
        <v>13293</v>
      </c>
    </row>
    <row r="252">
      <c r="A252" s="2" t="s">
        <v>13294</v>
      </c>
    </row>
    <row r="254">
      <c r="A254" s="2" t="s">
        <v>13295</v>
      </c>
    </row>
    <row r="255">
      <c r="A255" s="2" t="s">
        <v>13296</v>
      </c>
    </row>
    <row r="257">
      <c r="A257" s="2" t="s">
        <v>13297</v>
      </c>
    </row>
    <row r="259">
      <c r="A259" s="2" t="s">
        <v>13298</v>
      </c>
    </row>
    <row r="260">
      <c r="A260" s="2" t="s">
        <v>13299</v>
      </c>
    </row>
    <row r="262">
      <c r="A262" s="2" t="s">
        <v>13300</v>
      </c>
    </row>
    <row r="264">
      <c r="A264" s="2" t="s">
        <v>13301</v>
      </c>
    </row>
    <row r="266">
      <c r="A266" s="2" t="s">
        <v>13302</v>
      </c>
    </row>
    <row r="267">
      <c r="A267" s="2" t="s">
        <v>13303</v>
      </c>
    </row>
    <row r="269">
      <c r="A269" s="2" t="s">
        <v>7691</v>
      </c>
    </row>
    <row r="270">
      <c r="A270" s="2" t="s">
        <v>13304</v>
      </c>
    </row>
    <row r="272">
      <c r="A272" s="2" t="s">
        <v>13305</v>
      </c>
    </row>
    <row r="273">
      <c r="A273" s="2" t="s">
        <v>13306</v>
      </c>
    </row>
    <row r="274">
      <c r="A274" s="2" t="s">
        <v>11391</v>
      </c>
    </row>
    <row r="276">
      <c r="A276" s="2" t="s">
        <v>7462</v>
      </c>
    </row>
    <row r="277">
      <c r="A277" s="2" t="s">
        <v>13307</v>
      </c>
    </row>
    <row r="279">
      <c r="A279" s="2" t="s">
        <v>13308</v>
      </c>
    </row>
    <row r="281">
      <c r="A281" s="2" t="s">
        <v>13309</v>
      </c>
    </row>
    <row r="283">
      <c r="A283" s="2" t="s">
        <v>13310</v>
      </c>
    </row>
    <row r="284">
      <c r="A284" s="2" t="s">
        <v>13311</v>
      </c>
    </row>
    <row r="286">
      <c r="A286" s="2" t="s">
        <v>13312</v>
      </c>
    </row>
    <row r="288">
      <c r="A288" s="2" t="s">
        <v>13313</v>
      </c>
    </row>
    <row r="289">
      <c r="A289" s="2" t="s">
        <v>13314</v>
      </c>
    </row>
    <row r="291">
      <c r="A291" s="2" t="s">
        <v>13315</v>
      </c>
    </row>
    <row r="293">
      <c r="A293" s="2" t="s">
        <v>13316</v>
      </c>
    </row>
    <row r="294">
      <c r="A294" s="2" t="s">
        <v>13317</v>
      </c>
    </row>
    <row r="296">
      <c r="A296" s="2" t="s">
        <v>13318</v>
      </c>
    </row>
    <row r="298">
      <c r="A298" s="2" t="s">
        <v>13319</v>
      </c>
    </row>
    <row r="300">
      <c r="A300" s="2" t="s">
        <v>13320</v>
      </c>
    </row>
    <row r="301">
      <c r="A301" s="2" t="s">
        <v>13321</v>
      </c>
    </row>
    <row r="303">
      <c r="A303" s="2" t="s">
        <v>13322</v>
      </c>
    </row>
    <row r="305">
      <c r="A305" s="2" t="s">
        <v>13323</v>
      </c>
    </row>
    <row r="307">
      <c r="A307" s="2" t="s">
        <v>13324</v>
      </c>
    </row>
    <row r="308">
      <c r="A308" s="2" t="s">
        <v>13325</v>
      </c>
    </row>
    <row r="310">
      <c r="A310" s="2" t="s">
        <v>13326</v>
      </c>
    </row>
    <row r="312">
      <c r="A312" s="2" t="s">
        <v>13327</v>
      </c>
    </row>
    <row r="313">
      <c r="A313" s="2" t="s">
        <v>9608</v>
      </c>
    </row>
    <row r="315">
      <c r="A315" s="2" t="s">
        <v>7462</v>
      </c>
    </row>
    <row r="316">
      <c r="A316" s="2" t="s">
        <v>13328</v>
      </c>
    </row>
    <row r="318">
      <c r="A318" s="2" t="s">
        <v>13329</v>
      </c>
    </row>
    <row r="320">
      <c r="A320" s="2" t="s">
        <v>13330</v>
      </c>
    </row>
    <row r="321">
      <c r="A321" s="2" t="s">
        <v>13331</v>
      </c>
    </row>
    <row r="323">
      <c r="A323" s="2" t="s">
        <v>13332</v>
      </c>
    </row>
    <row r="325">
      <c r="A325" s="2" t="s">
        <v>13333</v>
      </c>
    </row>
    <row r="326">
      <c r="A326" s="2" t="s">
        <v>13334</v>
      </c>
    </row>
    <row r="328">
      <c r="A328" s="2" t="s">
        <v>13335</v>
      </c>
    </row>
    <row r="330">
      <c r="A330" s="2" t="s">
        <v>13336</v>
      </c>
    </row>
    <row r="331">
      <c r="A331" s="2" t="s">
        <v>13337</v>
      </c>
    </row>
    <row r="333">
      <c r="A333" s="2" t="s">
        <v>13338</v>
      </c>
    </row>
    <row r="334">
      <c r="A334" s="2" t="s">
        <v>13339</v>
      </c>
    </row>
    <row r="336">
      <c r="A336" s="2" t="s">
        <v>13340</v>
      </c>
    </row>
    <row r="338">
      <c r="A338" s="2" t="s">
        <v>13341</v>
      </c>
    </row>
    <row r="339">
      <c r="A339" s="2" t="s">
        <v>13342</v>
      </c>
    </row>
    <row r="341">
      <c r="A341" s="2" t="s">
        <v>13343</v>
      </c>
    </row>
    <row r="343">
      <c r="A343" s="2" t="s">
        <v>13344</v>
      </c>
    </row>
    <row r="345">
      <c r="A345" s="2" t="s">
        <v>13345</v>
      </c>
    </row>
    <row r="346">
      <c r="A346" s="2" t="s">
        <v>13346</v>
      </c>
    </row>
    <row r="348">
      <c r="A348" s="2" t="s">
        <v>13347</v>
      </c>
    </row>
    <row r="350">
      <c r="A350" s="2" t="s">
        <v>13348</v>
      </c>
    </row>
    <row r="352">
      <c r="A352" s="2" t="s">
        <v>13349</v>
      </c>
    </row>
    <row r="353">
      <c r="A353" s="2" t="s">
        <v>13350</v>
      </c>
    </row>
    <row r="355">
      <c r="A355" s="2" t="s">
        <v>8078</v>
      </c>
    </row>
    <row r="356">
      <c r="A356" s="2" t="s">
        <v>13351</v>
      </c>
    </row>
    <row r="358">
      <c r="A358" s="2" t="s">
        <v>7770</v>
      </c>
    </row>
    <row r="359">
      <c r="A359" s="2" t="s">
        <v>13352</v>
      </c>
    </row>
    <row r="361">
      <c r="A361" s="2" t="s">
        <v>13353</v>
      </c>
    </row>
    <row r="362">
      <c r="A362" s="2" t="s">
        <v>13354</v>
      </c>
    </row>
    <row r="363">
      <c r="A363" s="2" t="s">
        <v>13355</v>
      </c>
    </row>
    <row r="365">
      <c r="A365" s="2" t="s">
        <v>13356</v>
      </c>
    </row>
    <row r="366">
      <c r="A366" s="2" t="s">
        <v>13357</v>
      </c>
    </row>
    <row r="368">
      <c r="A368" s="2" t="s">
        <v>13358</v>
      </c>
    </row>
    <row r="370">
      <c r="A370" s="2" t="s">
        <v>13359</v>
      </c>
    </row>
    <row r="371">
      <c r="A371" s="2" t="s">
        <v>13360</v>
      </c>
    </row>
    <row r="373">
      <c r="A373" s="2" t="s">
        <v>13361</v>
      </c>
    </row>
    <row r="375">
      <c r="A375" s="2" t="s">
        <v>13362</v>
      </c>
    </row>
    <row r="376">
      <c r="A376" s="2" t="s">
        <v>13363</v>
      </c>
    </row>
    <row r="378">
      <c r="A378" s="2" t="s">
        <v>13364</v>
      </c>
    </row>
    <row r="380">
      <c r="A380" s="2" t="s">
        <v>13365</v>
      </c>
    </row>
    <row r="382">
      <c r="A382" s="2" t="s">
        <v>13366</v>
      </c>
    </row>
    <row r="383">
      <c r="A383" s="2" t="s">
        <v>13367</v>
      </c>
    </row>
    <row r="385">
      <c r="A385" s="2" t="s">
        <v>13368</v>
      </c>
    </row>
    <row r="387">
      <c r="A387" s="2" t="s">
        <v>13369</v>
      </c>
    </row>
    <row r="388">
      <c r="A388" s="2" t="s">
        <v>13370</v>
      </c>
    </row>
    <row r="390">
      <c r="A390" s="2" t="s">
        <v>13371</v>
      </c>
    </row>
    <row r="392">
      <c r="A392" s="2" t="s">
        <v>13372</v>
      </c>
    </row>
    <row r="394">
      <c r="A394" s="2" t="s">
        <v>13373</v>
      </c>
    </row>
    <row r="395">
      <c r="A395" s="2" t="s">
        <v>13374</v>
      </c>
    </row>
    <row r="397">
      <c r="A397" s="2" t="s">
        <v>13375</v>
      </c>
    </row>
    <row r="399">
      <c r="A399" s="2" t="s">
        <v>13376</v>
      </c>
    </row>
    <row r="400">
      <c r="A400" s="2" t="s">
        <v>13377</v>
      </c>
    </row>
    <row r="402">
      <c r="A402" s="2" t="s">
        <v>13378</v>
      </c>
    </row>
    <row r="404">
      <c r="A404" s="2" t="s">
        <v>13379</v>
      </c>
    </row>
    <row r="405">
      <c r="A405" s="2" t="s">
        <v>13380</v>
      </c>
    </row>
    <row r="407">
      <c r="A407" s="2" t="s">
        <v>13381</v>
      </c>
    </row>
    <row r="409">
      <c r="A409" s="2" t="s">
        <v>13382</v>
      </c>
    </row>
    <row r="411">
      <c r="A411" s="2" t="s">
        <v>13383</v>
      </c>
    </row>
    <row r="412">
      <c r="A412" s="2" t="s">
        <v>13384</v>
      </c>
    </row>
    <row r="414">
      <c r="A414" s="2" t="s">
        <v>13385</v>
      </c>
    </row>
    <row r="416">
      <c r="A416" s="2" t="s">
        <v>13386</v>
      </c>
    </row>
    <row r="417">
      <c r="A417" s="2" t="s">
        <v>13387</v>
      </c>
    </row>
    <row r="419">
      <c r="A419" s="2" t="s">
        <v>13388</v>
      </c>
    </row>
    <row r="421">
      <c r="A421" s="2" t="s">
        <v>13389</v>
      </c>
    </row>
    <row r="422">
      <c r="A422" s="2" t="s">
        <v>13390</v>
      </c>
    </row>
    <row r="424">
      <c r="A424" s="2" t="s">
        <v>13391</v>
      </c>
    </row>
    <row r="426">
      <c r="A426" s="2" t="s">
        <v>13392</v>
      </c>
    </row>
    <row r="427">
      <c r="A427" s="2" t="s">
        <v>13393</v>
      </c>
    </row>
    <row r="429">
      <c r="A429" s="2" t="s">
        <v>13394</v>
      </c>
    </row>
    <row r="431">
      <c r="A431" s="2" t="s">
        <v>13395</v>
      </c>
    </row>
    <row r="432">
      <c r="A432" s="2" t="s">
        <v>13396</v>
      </c>
    </row>
    <row r="434">
      <c r="A434" s="2" t="s">
        <v>13397</v>
      </c>
    </row>
    <row r="436">
      <c r="A436" s="2" t="s">
        <v>13398</v>
      </c>
    </row>
    <row r="437">
      <c r="A437" s="2" t="s">
        <v>13399</v>
      </c>
    </row>
    <row r="439">
      <c r="A439" s="2" t="s">
        <v>13400</v>
      </c>
    </row>
    <row r="441">
      <c r="A441" s="2" t="s">
        <v>13401</v>
      </c>
    </row>
    <row r="443">
      <c r="A443" s="2" t="s">
        <v>13402</v>
      </c>
    </row>
    <row r="444">
      <c r="A444" s="2" t="s">
        <v>13403</v>
      </c>
    </row>
    <row r="446">
      <c r="A446" s="2" t="s">
        <v>13404</v>
      </c>
    </row>
    <row r="448">
      <c r="A448" s="2" t="s">
        <v>13405</v>
      </c>
    </row>
    <row r="450">
      <c r="A450" s="2" t="s">
        <v>13406</v>
      </c>
    </row>
    <row r="451">
      <c r="A451" s="2" t="s">
        <v>13407</v>
      </c>
    </row>
    <row r="453">
      <c r="A453" s="2" t="s">
        <v>13408</v>
      </c>
    </row>
    <row r="455">
      <c r="A455" s="2" t="s">
        <v>13409</v>
      </c>
    </row>
    <row r="457">
      <c r="A457" s="2" t="s">
        <v>13410</v>
      </c>
    </row>
    <row r="458">
      <c r="A458" s="2" t="s">
        <v>13411</v>
      </c>
    </row>
    <row r="460">
      <c r="A460" s="2" t="s">
        <v>13412</v>
      </c>
    </row>
    <row r="462">
      <c r="A462" s="2" t="s">
        <v>13413</v>
      </c>
    </row>
    <row r="463">
      <c r="A463" s="2" t="s">
        <v>13414</v>
      </c>
    </row>
    <row r="465">
      <c r="A465" s="2" t="s">
        <v>13415</v>
      </c>
    </row>
    <row r="467">
      <c r="A467" s="2" t="s">
        <v>13416</v>
      </c>
    </row>
    <row r="469">
      <c r="A469" s="2" t="s">
        <v>13417</v>
      </c>
    </row>
    <row r="470">
      <c r="A470" s="2" t="s">
        <v>13418</v>
      </c>
    </row>
    <row r="472">
      <c r="A472" s="2" t="s">
        <v>13419</v>
      </c>
    </row>
    <row r="474">
      <c r="A474" s="2" t="s">
        <v>13420</v>
      </c>
    </row>
    <row r="476">
      <c r="A476" s="2" t="s">
        <v>13421</v>
      </c>
    </row>
    <row r="477">
      <c r="A477" s="2" t="s">
        <v>13422</v>
      </c>
    </row>
    <row r="479">
      <c r="A479" s="2" t="s">
        <v>13423</v>
      </c>
    </row>
    <row r="480">
      <c r="A480" s="2" t="s">
        <v>13424</v>
      </c>
    </row>
    <row r="482">
      <c r="A482" s="2" t="s">
        <v>13425</v>
      </c>
    </row>
    <row r="484">
      <c r="A484" s="2" t="s">
        <v>13426</v>
      </c>
    </row>
    <row r="486">
      <c r="A486" s="2" t="s">
        <v>13427</v>
      </c>
    </row>
    <row r="487">
      <c r="A487" s="2" t="s">
        <v>13428</v>
      </c>
    </row>
    <row r="489">
      <c r="A489" s="2" t="s">
        <v>13429</v>
      </c>
    </row>
    <row r="491">
      <c r="A491" s="2" t="s">
        <v>8078</v>
      </c>
    </row>
    <row r="492">
      <c r="A492" s="2" t="s">
        <v>13430</v>
      </c>
    </row>
    <row r="494">
      <c r="A494" s="2" t="s">
        <v>7770</v>
      </c>
    </row>
    <row r="495">
      <c r="A495" s="2" t="s">
        <v>13431</v>
      </c>
    </row>
    <row r="497">
      <c r="A497" s="2" t="s">
        <v>13432</v>
      </c>
    </row>
    <row r="498">
      <c r="A498" s="2" t="s">
        <v>13433</v>
      </c>
    </row>
    <row r="499">
      <c r="A499" s="2" t="s">
        <v>13434</v>
      </c>
    </row>
    <row r="501">
      <c r="A501" s="2" t="s">
        <v>13435</v>
      </c>
    </row>
    <row r="502">
      <c r="A502" s="2" t="s">
        <v>13436</v>
      </c>
    </row>
    <row r="504">
      <c r="A504" s="2" t="s">
        <v>13437</v>
      </c>
    </row>
    <row r="506">
      <c r="A506" s="2" t="s">
        <v>13438</v>
      </c>
    </row>
    <row r="507">
      <c r="A507" s="2" t="s">
        <v>13439</v>
      </c>
    </row>
    <row r="509">
      <c r="A509" s="2" t="s">
        <v>13440</v>
      </c>
    </row>
    <row r="511">
      <c r="A511" s="2" t="s">
        <v>13441</v>
      </c>
    </row>
    <row r="512">
      <c r="A512" s="2" t="s">
        <v>13442</v>
      </c>
    </row>
    <row r="514">
      <c r="A514" s="2" t="s">
        <v>13443</v>
      </c>
    </row>
    <row r="516">
      <c r="A516" s="2" t="s">
        <v>13444</v>
      </c>
    </row>
    <row r="517">
      <c r="A517" s="2" t="s">
        <v>13445</v>
      </c>
    </row>
    <row r="519">
      <c r="A519" s="2" t="s">
        <v>13446</v>
      </c>
    </row>
    <row r="521">
      <c r="A521" s="2" t="s">
        <v>13447</v>
      </c>
    </row>
    <row r="523">
      <c r="A523" s="2" t="s">
        <v>13448</v>
      </c>
    </row>
    <row r="524">
      <c r="A524" s="2" t="s">
        <v>13449</v>
      </c>
    </row>
    <row r="526">
      <c r="A526" s="2" t="s">
        <v>7462</v>
      </c>
    </row>
    <row r="527">
      <c r="A527" s="2" t="s">
        <v>13450</v>
      </c>
    </row>
    <row r="529">
      <c r="A529" s="2" t="s">
        <v>13451</v>
      </c>
    </row>
    <row r="531">
      <c r="A531" s="2" t="s">
        <v>13452</v>
      </c>
    </row>
    <row r="533">
      <c r="A533" s="2" t="s">
        <v>13453</v>
      </c>
    </row>
    <row r="534">
      <c r="A534" s="2" t="s">
        <v>9728</v>
      </c>
    </row>
    <row r="536">
      <c r="A536" s="2" t="s">
        <v>7462</v>
      </c>
    </row>
    <row r="537">
      <c r="A537" s="2" t="s">
        <v>13454</v>
      </c>
    </row>
    <row r="539">
      <c r="A539" s="2" t="s">
        <v>13455</v>
      </c>
    </row>
    <row r="541">
      <c r="A541" s="2" t="s">
        <v>13456</v>
      </c>
    </row>
    <row r="543">
      <c r="A543" s="2" t="s">
        <v>13457</v>
      </c>
    </row>
    <row r="544">
      <c r="A544" s="2" t="s">
        <v>13458</v>
      </c>
    </row>
    <row r="546">
      <c r="A546" s="2" t="s">
        <v>13459</v>
      </c>
    </row>
    <row r="548">
      <c r="A548" s="2" t="s">
        <v>13460</v>
      </c>
    </row>
    <row r="549">
      <c r="A549" s="2" t="s">
        <v>13461</v>
      </c>
    </row>
    <row r="550">
      <c r="A550" s="2" t="s">
        <v>13462</v>
      </c>
    </row>
    <row r="551">
      <c r="A551" s="2" t="s">
        <v>13463</v>
      </c>
    </row>
    <row r="553">
      <c r="A553" s="2" t="s">
        <v>7462</v>
      </c>
    </row>
    <row r="554">
      <c r="A554" s="2" t="s">
        <v>13464</v>
      </c>
    </row>
    <row r="556">
      <c r="A556" s="2" t="s">
        <v>13465</v>
      </c>
    </row>
    <row r="558">
      <c r="A558" s="2" t="s">
        <v>13466</v>
      </c>
    </row>
    <row r="560">
      <c r="A560" s="2" t="s">
        <v>13467</v>
      </c>
    </row>
    <row r="561">
      <c r="A561" s="2" t="s">
        <v>13468</v>
      </c>
    </row>
    <row r="563">
      <c r="A563" s="2" t="s">
        <v>7462</v>
      </c>
    </row>
    <row r="564">
      <c r="A564" s="2" t="s">
        <v>13469</v>
      </c>
    </row>
    <row r="566">
      <c r="A566" s="2" t="s">
        <v>13470</v>
      </c>
    </row>
    <row r="568">
      <c r="A568" s="2" t="s">
        <v>13471</v>
      </c>
    </row>
    <row r="570">
      <c r="A570" s="2" t="s">
        <v>13472</v>
      </c>
    </row>
    <row r="571">
      <c r="A571" s="2" t="s">
        <v>13473</v>
      </c>
    </row>
    <row r="573">
      <c r="A573" s="2" t="s">
        <v>7462</v>
      </c>
    </row>
    <row r="575">
      <c r="A575" s="2" t="s">
        <v>13474</v>
      </c>
    </row>
    <row r="577">
      <c r="A577" s="2" t="s">
        <v>13475</v>
      </c>
    </row>
    <row r="579">
      <c r="A579" s="2" t="s">
        <v>13476</v>
      </c>
    </row>
    <row r="581">
      <c r="A581" s="2" t="s">
        <v>13477</v>
      </c>
    </row>
    <row r="582">
      <c r="A582" s="2" t="s">
        <v>13478</v>
      </c>
    </row>
    <row r="584">
      <c r="A584" s="2" t="s">
        <v>13479</v>
      </c>
    </row>
    <row r="586">
      <c r="A586" s="2" t="s">
        <v>13480</v>
      </c>
    </row>
    <row r="588">
      <c r="A588" s="2" t="s">
        <v>13481</v>
      </c>
    </row>
    <row r="589">
      <c r="A589" s="2" t="s">
        <v>13482</v>
      </c>
    </row>
    <row r="591">
      <c r="A591" s="2" t="s">
        <v>13483</v>
      </c>
    </row>
    <row r="593">
      <c r="A593" s="2" t="s">
        <v>13484</v>
      </c>
    </row>
    <row r="594">
      <c r="A594" s="2" t="s">
        <v>13485</v>
      </c>
    </row>
    <row r="596">
      <c r="A596" s="2" t="s">
        <v>13486</v>
      </c>
    </row>
    <row r="598">
      <c r="A598" s="2" t="s">
        <v>13487</v>
      </c>
    </row>
    <row r="599">
      <c r="A599" s="2" t="s">
        <v>13488</v>
      </c>
    </row>
    <row r="601">
      <c r="A601" s="2" t="s">
        <v>13489</v>
      </c>
    </row>
    <row r="603">
      <c r="A603" s="2" t="s">
        <v>13490</v>
      </c>
    </row>
    <row r="605">
      <c r="A605" s="2" t="s">
        <v>13491</v>
      </c>
    </row>
    <row r="606">
      <c r="A606" s="2" t="s">
        <v>13492</v>
      </c>
    </row>
    <row r="607">
      <c r="A607" s="2" t="s">
        <v>7462</v>
      </c>
    </row>
    <row r="608">
      <c r="A608" s="2" t="s">
        <v>13493</v>
      </c>
    </row>
    <row r="610">
      <c r="A610" s="2" t="s">
        <v>13494</v>
      </c>
    </row>
    <row r="612">
      <c r="A612" s="2" t="s">
        <v>13495</v>
      </c>
    </row>
    <row r="613">
      <c r="A613" s="2" t="s">
        <v>13496</v>
      </c>
    </row>
    <row r="615">
      <c r="A615" s="2" t="s">
        <v>7577</v>
      </c>
    </row>
    <row r="616">
      <c r="A616" s="2" t="s">
        <v>13497</v>
      </c>
    </row>
    <row r="618">
      <c r="A618" s="2" t="s">
        <v>7770</v>
      </c>
    </row>
    <row r="619">
      <c r="A619" s="2" t="s">
        <v>13498</v>
      </c>
    </row>
    <row r="621">
      <c r="A621" s="2" t="s">
        <v>13432</v>
      </c>
    </row>
    <row r="622">
      <c r="A622" s="2" t="s">
        <v>13499</v>
      </c>
    </row>
    <row r="624">
      <c r="A624" s="2" t="s">
        <v>13353</v>
      </c>
    </row>
    <row r="625">
      <c r="A625" s="2" t="s">
        <v>13500</v>
      </c>
    </row>
    <row r="626">
      <c r="A626" s="2" t="s">
        <v>13501</v>
      </c>
    </row>
    <row r="627">
      <c r="A627" s="2" t="s">
        <v>13502</v>
      </c>
    </row>
    <row r="629">
      <c r="A629" s="2" t="s">
        <v>13503</v>
      </c>
    </row>
    <row r="631">
      <c r="A631" s="2" t="s">
        <v>13504</v>
      </c>
    </row>
    <row r="633">
      <c r="A633" s="2" t="s">
        <v>13505</v>
      </c>
    </row>
    <row r="634">
      <c r="A634" s="2" t="s">
        <v>13506</v>
      </c>
    </row>
    <row r="636">
      <c r="A636" s="2" t="s">
        <v>13507</v>
      </c>
    </row>
    <row r="638">
      <c r="A638" s="2" t="s">
        <v>13508</v>
      </c>
    </row>
    <row r="640">
      <c r="A640" s="2" t="s">
        <v>13509</v>
      </c>
    </row>
    <row r="641">
      <c r="A641" s="2" t="s">
        <v>13510</v>
      </c>
    </row>
    <row r="643">
      <c r="A643" s="2" t="s">
        <v>13511</v>
      </c>
    </row>
    <row r="645">
      <c r="A645" s="2" t="s">
        <v>13512</v>
      </c>
    </row>
    <row r="647">
      <c r="A647" s="2" t="s">
        <v>13513</v>
      </c>
    </row>
    <row r="648">
      <c r="A648" s="2" t="s">
        <v>13514</v>
      </c>
    </row>
    <row r="650">
      <c r="A650" s="2" t="s">
        <v>13515</v>
      </c>
    </row>
    <row r="652">
      <c r="A652" s="2" t="s">
        <v>13516</v>
      </c>
    </row>
    <row r="653">
      <c r="A653" s="2" t="s">
        <v>13517</v>
      </c>
    </row>
    <row r="655">
      <c r="A655" s="2" t="s">
        <v>13518</v>
      </c>
    </row>
    <row r="656">
      <c r="A656" s="2" t="s">
        <v>13519</v>
      </c>
    </row>
    <row r="658">
      <c r="A658" s="2" t="s">
        <v>13520</v>
      </c>
    </row>
    <row r="659">
      <c r="A659" s="2" t="s">
        <v>13521</v>
      </c>
    </row>
    <row r="661">
      <c r="A661" s="2" t="s">
        <v>13522</v>
      </c>
    </row>
    <row r="663">
      <c r="A663" s="2" t="s">
        <v>13523</v>
      </c>
    </row>
    <row r="664">
      <c r="A664" s="2" t="s">
        <v>13524</v>
      </c>
    </row>
    <row r="666">
      <c r="A666" s="2" t="s">
        <v>13525</v>
      </c>
    </row>
    <row r="668">
      <c r="A668" s="2" t="s">
        <v>13526</v>
      </c>
    </row>
    <row r="669">
      <c r="A669" s="2" t="s">
        <v>13527</v>
      </c>
    </row>
    <row r="671">
      <c r="A671" s="2" t="s">
        <v>13528</v>
      </c>
    </row>
    <row r="673">
      <c r="A673" s="2" t="s">
        <v>13529</v>
      </c>
    </row>
    <row r="674">
      <c r="A674" s="2" t="s">
        <v>13530</v>
      </c>
    </row>
    <row r="676">
      <c r="A676" s="2" t="s">
        <v>13531</v>
      </c>
    </row>
    <row r="678">
      <c r="A678" s="2" t="s">
        <v>13532</v>
      </c>
    </row>
    <row r="679">
      <c r="A679" s="2" t="s">
        <v>13533</v>
      </c>
    </row>
    <row r="681">
      <c r="A681" s="2" t="s">
        <v>13534</v>
      </c>
    </row>
    <row r="683">
      <c r="A683" s="2" t="s">
        <v>13535</v>
      </c>
    </row>
    <row r="685">
      <c r="A685" s="2" t="s">
        <v>13536</v>
      </c>
    </row>
    <row r="686">
      <c r="A686" s="2" t="s">
        <v>13537</v>
      </c>
    </row>
    <row r="688">
      <c r="A688" s="2" t="s">
        <v>13538</v>
      </c>
    </row>
    <row r="690">
      <c r="A690" s="2" t="s">
        <v>13539</v>
      </c>
    </row>
    <row r="691">
      <c r="A691" s="2" t="s">
        <v>13540</v>
      </c>
    </row>
    <row r="693">
      <c r="A693" s="2" t="s">
        <v>13541</v>
      </c>
    </row>
    <row r="695">
      <c r="A695" s="2" t="s">
        <v>13542</v>
      </c>
    </row>
    <row r="697">
      <c r="A697" s="2" t="s">
        <v>13543</v>
      </c>
    </row>
    <row r="698">
      <c r="A698" s="2" t="s">
        <v>11702</v>
      </c>
    </row>
    <row r="700">
      <c r="A700" s="2" t="s">
        <v>7462</v>
      </c>
    </row>
    <row r="701">
      <c r="A701" s="2" t="s">
        <v>13544</v>
      </c>
    </row>
    <row r="703">
      <c r="A703" s="2" t="s">
        <v>13545</v>
      </c>
    </row>
    <row r="705">
      <c r="A705" s="2" t="s">
        <v>13546</v>
      </c>
    </row>
    <row r="707">
      <c r="A707" s="2" t="s">
        <v>13547</v>
      </c>
    </row>
    <row r="708">
      <c r="A708" s="2" t="s">
        <v>13548</v>
      </c>
    </row>
    <row r="710">
      <c r="A710" s="2" t="s">
        <v>13549</v>
      </c>
    </row>
    <row r="712">
      <c r="A712" s="2" t="s">
        <v>13550</v>
      </c>
    </row>
    <row r="714">
      <c r="A714" s="2" t="s">
        <v>13551</v>
      </c>
    </row>
    <row r="715">
      <c r="A715" s="2" t="s">
        <v>13552</v>
      </c>
    </row>
    <row r="717">
      <c r="A717" s="2" t="s">
        <v>13553</v>
      </c>
    </row>
    <row r="719">
      <c r="A719" s="2" t="s">
        <v>13554</v>
      </c>
    </row>
    <row r="721">
      <c r="A721" s="2" t="s">
        <v>13555</v>
      </c>
    </row>
    <row r="722">
      <c r="A722" s="2" t="s">
        <v>13556</v>
      </c>
    </row>
    <row r="724">
      <c r="A724" s="2" t="s">
        <v>13557</v>
      </c>
    </row>
    <row r="726">
      <c r="A726" s="2" t="s">
        <v>13558</v>
      </c>
    </row>
    <row r="728">
      <c r="A728" s="2" t="s">
        <v>13559</v>
      </c>
    </row>
    <row r="729">
      <c r="A729" s="2" t="s">
        <v>13560</v>
      </c>
    </row>
    <row r="731">
      <c r="A731" s="2" t="s">
        <v>13561</v>
      </c>
    </row>
    <row r="733">
      <c r="A733" s="2" t="s">
        <v>13562</v>
      </c>
    </row>
    <row r="734">
      <c r="A734" s="2" t="s">
        <v>13563</v>
      </c>
    </row>
    <row r="736">
      <c r="A736" s="2" t="s">
        <v>13564</v>
      </c>
    </row>
    <row r="738">
      <c r="A738" s="2" t="s">
        <v>13565</v>
      </c>
    </row>
    <row r="739">
      <c r="A739" s="2" t="s">
        <v>13566</v>
      </c>
    </row>
    <row r="741">
      <c r="A741" s="2" t="s">
        <v>13567</v>
      </c>
    </row>
    <row r="743">
      <c r="A743" s="2" t="s">
        <v>13568</v>
      </c>
    </row>
    <row r="745">
      <c r="A745" s="2" t="s">
        <v>13569</v>
      </c>
    </row>
    <row r="746">
      <c r="A746" s="2" t="s">
        <v>13570</v>
      </c>
    </row>
    <row r="748">
      <c r="A748" s="2" t="s">
        <v>13571</v>
      </c>
    </row>
    <row r="750">
      <c r="A750" s="2" t="s">
        <v>13572</v>
      </c>
    </row>
    <row r="752">
      <c r="A752" s="2" t="s">
        <v>13573</v>
      </c>
    </row>
    <row r="753">
      <c r="A753" s="2" t="s">
        <v>13574</v>
      </c>
    </row>
    <row r="755">
      <c r="A755" s="2" t="s">
        <v>13575</v>
      </c>
    </row>
    <row r="756">
      <c r="A756" s="2" t="s">
        <v>13576</v>
      </c>
    </row>
    <row r="758">
      <c r="A758" s="2" t="s">
        <v>13577</v>
      </c>
    </row>
    <row r="760">
      <c r="A760" s="2" t="s">
        <v>13578</v>
      </c>
    </row>
    <row r="761">
      <c r="A761" s="2" t="s">
        <v>13579</v>
      </c>
    </row>
    <row r="763">
      <c r="A763" s="2" t="s">
        <v>13580</v>
      </c>
    </row>
    <row r="765">
      <c r="A765" s="2" t="s">
        <v>13581</v>
      </c>
    </row>
    <row r="767">
      <c r="A767" s="2" t="s">
        <v>13582</v>
      </c>
    </row>
    <row r="768">
      <c r="A768" s="2" t="s">
        <v>13583</v>
      </c>
    </row>
    <row r="770">
      <c r="A770" s="2" t="s">
        <v>13584</v>
      </c>
    </row>
    <row r="772">
      <c r="A772" s="2" t="s">
        <v>13585</v>
      </c>
    </row>
    <row r="773">
      <c r="A773" s="2" t="s">
        <v>13586</v>
      </c>
    </row>
    <row r="775">
      <c r="A775" s="2" t="s">
        <v>13587</v>
      </c>
    </row>
    <row r="777">
      <c r="A777" s="2" t="s">
        <v>13588</v>
      </c>
    </row>
    <row r="779">
      <c r="A779" s="2" t="s">
        <v>13589</v>
      </c>
    </row>
    <row r="780">
      <c r="A780" s="2" t="s">
        <v>13590</v>
      </c>
    </row>
    <row r="782">
      <c r="A782" s="2" t="s">
        <v>13591</v>
      </c>
    </row>
    <row r="783">
      <c r="A783" s="2" t="s">
        <v>13592</v>
      </c>
    </row>
    <row r="785">
      <c r="A785" s="2" t="s">
        <v>13593</v>
      </c>
    </row>
    <row r="787">
      <c r="A787" s="2" t="s">
        <v>13594</v>
      </c>
    </row>
    <row r="789">
      <c r="A789" s="2" t="s">
        <v>13595</v>
      </c>
    </row>
    <row r="790">
      <c r="A790" s="2" t="s">
        <v>13596</v>
      </c>
    </row>
    <row r="792">
      <c r="A792" s="2" t="s">
        <v>13597</v>
      </c>
    </row>
    <row r="794">
      <c r="A794" s="2" t="s">
        <v>13598</v>
      </c>
    </row>
    <row r="796">
      <c r="A796" s="2" t="s">
        <v>13599</v>
      </c>
    </row>
    <row r="797">
      <c r="A797" s="2" t="s">
        <v>13600</v>
      </c>
    </row>
    <row r="799">
      <c r="A799" s="2" t="s">
        <v>13601</v>
      </c>
    </row>
    <row r="801">
      <c r="A801" s="2" t="s">
        <v>13602</v>
      </c>
    </row>
    <row r="802">
      <c r="A802" s="2" t="s">
        <v>13603</v>
      </c>
    </row>
    <row r="804">
      <c r="A804" s="2" t="s">
        <v>13604</v>
      </c>
    </row>
    <row r="805">
      <c r="A805" s="2" t="s">
        <v>13605</v>
      </c>
    </row>
    <row r="807">
      <c r="A807" s="2" t="s">
        <v>13606</v>
      </c>
    </row>
    <row r="809">
      <c r="A809" s="2" t="s">
        <v>13607</v>
      </c>
    </row>
    <row r="811">
      <c r="A811" s="2" t="s">
        <v>13608</v>
      </c>
    </row>
    <row r="812">
      <c r="A812" s="2" t="s">
        <v>13609</v>
      </c>
    </row>
    <row r="814">
      <c r="A814" s="2" t="s">
        <v>7462</v>
      </c>
    </row>
    <row r="816">
      <c r="A816" s="2" t="s">
        <v>13610</v>
      </c>
    </row>
    <row r="818">
      <c r="A818" s="2" t="s">
        <v>13611</v>
      </c>
    </row>
    <row r="820">
      <c r="A820" s="2" t="s">
        <v>13612</v>
      </c>
    </row>
    <row r="821">
      <c r="A821" s="2" t="s">
        <v>13613</v>
      </c>
    </row>
    <row r="823">
      <c r="A823" s="2" t="s">
        <v>13614</v>
      </c>
    </row>
    <row r="825">
      <c r="A825" s="2" t="s">
        <v>13615</v>
      </c>
    </row>
    <row r="827">
      <c r="A827" s="2" t="s">
        <v>13616</v>
      </c>
    </row>
    <row r="828">
      <c r="A828" s="2" t="s">
        <v>13617</v>
      </c>
    </row>
    <row r="830">
      <c r="A830" s="2" t="s">
        <v>13618</v>
      </c>
    </row>
    <row r="832">
      <c r="A832" s="2" t="s">
        <v>13619</v>
      </c>
    </row>
    <row r="833">
      <c r="A833" s="2" t="s">
        <v>13620</v>
      </c>
    </row>
    <row r="835">
      <c r="A835" s="2" t="s">
        <v>13621</v>
      </c>
    </row>
    <row r="837">
      <c r="A837" s="2" t="s">
        <v>13622</v>
      </c>
    </row>
    <row r="838">
      <c r="A838" s="2" t="s">
        <v>13623</v>
      </c>
    </row>
    <row r="839">
      <c r="A839" s="2" t="s">
        <v>13252</v>
      </c>
    </row>
    <row r="841">
      <c r="A841" s="2" t="s">
        <v>7462</v>
      </c>
    </row>
    <row r="842">
      <c r="A842" s="2" t="s">
        <v>13624</v>
      </c>
    </row>
    <row r="844">
      <c r="A844" s="2" t="s">
        <v>13625</v>
      </c>
    </row>
    <row r="846">
      <c r="A846" s="2" t="s">
        <v>13626</v>
      </c>
    </row>
    <row r="848">
      <c r="A848" s="2" t="s">
        <v>13627</v>
      </c>
    </row>
    <row r="849">
      <c r="A849" s="2" t="s">
        <v>13628</v>
      </c>
    </row>
    <row r="851">
      <c r="A851" s="2" t="s">
        <v>7462</v>
      </c>
    </row>
    <row r="852">
      <c r="A852" s="2" t="s">
        <v>13629</v>
      </c>
    </row>
    <row r="854">
      <c r="A854" s="2" t="s">
        <v>13630</v>
      </c>
    </row>
    <row r="856">
      <c r="A856" s="2" t="s">
        <v>13631</v>
      </c>
    </row>
    <row r="858">
      <c r="A858" s="2" t="s">
        <v>13632</v>
      </c>
    </row>
    <row r="859">
      <c r="A859" s="2" t="s">
        <v>13633</v>
      </c>
    </row>
    <row r="861">
      <c r="A861" s="2" t="s">
        <v>13634</v>
      </c>
    </row>
    <row r="863">
      <c r="A863" s="2" t="s">
        <v>13635</v>
      </c>
    </row>
    <row r="865">
      <c r="A865" s="2" t="s">
        <v>13636</v>
      </c>
    </row>
    <row r="866">
      <c r="A866" s="2" t="s">
        <v>13637</v>
      </c>
    </row>
    <row r="868">
      <c r="A868" s="2" t="s">
        <v>13638</v>
      </c>
    </row>
    <row r="870">
      <c r="A870" s="2" t="s">
        <v>13639</v>
      </c>
    </row>
    <row r="871">
      <c r="A871" s="2" t="s">
        <v>13640</v>
      </c>
    </row>
    <row r="873">
      <c r="A873" s="2" t="s">
        <v>13641</v>
      </c>
    </row>
    <row r="875">
      <c r="A875" s="2" t="s">
        <v>13642</v>
      </c>
    </row>
    <row r="876">
      <c r="A876" s="2" t="s">
        <v>13643</v>
      </c>
    </row>
    <row r="878">
      <c r="A878" s="2" t="s">
        <v>13644</v>
      </c>
    </row>
    <row r="880">
      <c r="A880" s="2" t="s">
        <v>13645</v>
      </c>
    </row>
    <row r="882">
      <c r="A882" s="2" t="s">
        <v>13646</v>
      </c>
    </row>
    <row r="883">
      <c r="A883" s="2" t="s">
        <v>13647</v>
      </c>
    </row>
    <row r="885">
      <c r="A885" s="2" t="s">
        <v>13648</v>
      </c>
    </row>
    <row r="887">
      <c r="A887" s="2" t="s">
        <v>13649</v>
      </c>
    </row>
    <row r="888">
      <c r="A888" s="2" t="s">
        <v>13650</v>
      </c>
    </row>
    <row r="890">
      <c r="A890" s="2" t="s">
        <v>13651</v>
      </c>
    </row>
    <row r="892">
      <c r="A892" s="2" t="s">
        <v>13652</v>
      </c>
    </row>
    <row r="893">
      <c r="A893" s="2" t="s">
        <v>13653</v>
      </c>
    </row>
    <row r="895">
      <c r="A895" s="2" t="s">
        <v>13654</v>
      </c>
    </row>
    <row r="897">
      <c r="A897" s="2" t="s">
        <v>13655</v>
      </c>
    </row>
    <row r="898">
      <c r="A898" s="2" t="s">
        <v>13656</v>
      </c>
    </row>
    <row r="900">
      <c r="A900" s="2" t="s">
        <v>13657</v>
      </c>
    </row>
    <row r="902">
      <c r="A902" s="2" t="s">
        <v>13658</v>
      </c>
    </row>
    <row r="903">
      <c r="A903" s="2" t="s">
        <v>13659</v>
      </c>
    </row>
    <row r="905">
      <c r="A905" s="2" t="s">
        <v>13660</v>
      </c>
    </row>
    <row r="907">
      <c r="A907" s="2" t="s">
        <v>13661</v>
      </c>
    </row>
    <row r="908">
      <c r="A908" s="2" t="s">
        <v>13662</v>
      </c>
    </row>
    <row r="910">
      <c r="A910" s="2" t="s">
        <v>13663</v>
      </c>
    </row>
    <row r="912">
      <c r="A912" s="2" t="s">
        <v>13664</v>
      </c>
    </row>
    <row r="913">
      <c r="A913" s="2" t="s">
        <v>13665</v>
      </c>
    </row>
    <row r="915">
      <c r="A915" s="2" t="s">
        <v>8078</v>
      </c>
    </row>
    <row r="916">
      <c r="A916" s="2" t="s">
        <v>13666</v>
      </c>
    </row>
    <row r="918">
      <c r="A918" s="2" t="s">
        <v>7770</v>
      </c>
    </row>
    <row r="919">
      <c r="A919" s="2" t="s">
        <v>13667</v>
      </c>
    </row>
    <row r="921">
      <c r="A921" s="2" t="s">
        <v>10085</v>
      </c>
    </row>
    <row r="922">
      <c r="A922" s="2" t="s">
        <v>13668</v>
      </c>
    </row>
    <row r="923">
      <c r="A923" s="2" t="s">
        <v>13669</v>
      </c>
    </row>
    <row r="925">
      <c r="A925" s="2" t="s">
        <v>13670</v>
      </c>
    </row>
    <row r="927">
      <c r="A927" s="2" t="s">
        <v>13671</v>
      </c>
    </row>
    <row r="928">
      <c r="A928" s="2" t="s">
        <v>13672</v>
      </c>
    </row>
    <row r="930">
      <c r="A930" s="2" t="s">
        <v>13673</v>
      </c>
    </row>
    <row r="932">
      <c r="A932" s="2" t="s">
        <v>13674</v>
      </c>
    </row>
    <row r="933">
      <c r="A933" s="2" t="s">
        <v>13675</v>
      </c>
    </row>
    <row r="935">
      <c r="A935" s="2" t="s">
        <v>13676</v>
      </c>
    </row>
    <row r="937">
      <c r="A937" s="2" t="s">
        <v>13677</v>
      </c>
    </row>
    <row r="938">
      <c r="A938" s="2" t="s">
        <v>13678</v>
      </c>
    </row>
    <row r="940">
      <c r="A940" s="2" t="s">
        <v>13679</v>
      </c>
    </row>
    <row r="942">
      <c r="A942" s="2" t="s">
        <v>13680</v>
      </c>
    </row>
    <row r="944">
      <c r="A944" s="2" t="s">
        <v>13681</v>
      </c>
    </row>
    <row r="945">
      <c r="A945" s="2" t="s">
        <v>13682</v>
      </c>
    </row>
    <row r="947">
      <c r="A947" s="2" t="s">
        <v>13683</v>
      </c>
    </row>
    <row r="949">
      <c r="A949" s="2" t="s">
        <v>13684</v>
      </c>
    </row>
    <row r="951">
      <c r="A951" s="2" t="s">
        <v>13685</v>
      </c>
    </row>
    <row r="952">
      <c r="A952" s="2" t="s">
        <v>13686</v>
      </c>
    </row>
    <row r="954">
      <c r="A954" s="2" t="s">
        <v>13687</v>
      </c>
    </row>
    <row r="955">
      <c r="A955" s="2" t="s">
        <v>13688</v>
      </c>
    </row>
    <row r="957">
      <c r="A957" s="2" t="s">
        <v>13689</v>
      </c>
    </row>
    <row r="959">
      <c r="A959" s="2" t="s">
        <v>13690</v>
      </c>
    </row>
    <row r="960">
      <c r="A960" s="2" t="s">
        <v>13691</v>
      </c>
    </row>
    <row r="962">
      <c r="A962" s="2" t="s">
        <v>13692</v>
      </c>
    </row>
    <row r="964">
      <c r="A964" s="2" t="s">
        <v>13693</v>
      </c>
    </row>
    <row r="965">
      <c r="A965" s="2" t="s">
        <v>13694</v>
      </c>
    </row>
    <row r="967">
      <c r="A967" s="2" t="s">
        <v>13695</v>
      </c>
    </row>
    <row r="969">
      <c r="A969" s="2" t="s">
        <v>13696</v>
      </c>
    </row>
    <row r="971">
      <c r="A971" s="2" t="s">
        <v>13697</v>
      </c>
    </row>
    <row r="972">
      <c r="A972" s="2" t="s">
        <v>13698</v>
      </c>
    </row>
    <row r="974">
      <c r="A974" s="2" t="s">
        <v>13699</v>
      </c>
    </row>
    <row r="976">
      <c r="A976" s="2" t="s">
        <v>13700</v>
      </c>
    </row>
    <row r="978">
      <c r="A978" s="2" t="s">
        <v>13701</v>
      </c>
    </row>
    <row r="979">
      <c r="A979" s="2" t="s">
        <v>13702</v>
      </c>
    </row>
    <row r="981">
      <c r="A981" s="2" t="s">
        <v>13703</v>
      </c>
    </row>
    <row r="983">
      <c r="A983" s="2" t="s">
        <v>13704</v>
      </c>
    </row>
    <row r="985">
      <c r="A985" s="2" t="s">
        <v>13705</v>
      </c>
    </row>
    <row r="986">
      <c r="A986" s="2" t="s">
        <v>13706</v>
      </c>
    </row>
    <row r="988">
      <c r="A988" s="2" t="s">
        <v>13707</v>
      </c>
    </row>
    <row r="990">
      <c r="A990" s="2" t="s">
        <v>13708</v>
      </c>
    </row>
    <row r="992">
      <c r="A992" s="2" t="s">
        <v>13709</v>
      </c>
    </row>
    <row r="993">
      <c r="A993" s="2" t="s">
        <v>13710</v>
      </c>
    </row>
    <row r="995">
      <c r="A995" s="2" t="s">
        <v>13711</v>
      </c>
    </row>
    <row r="997">
      <c r="A997" s="2" t="s">
        <v>13712</v>
      </c>
    </row>
    <row r="999">
      <c r="A999" s="2" t="s">
        <v>13713</v>
      </c>
    </row>
    <row r="1000">
      <c r="A1000" s="2" t="s">
        <v>13714</v>
      </c>
    </row>
    <row r="1002">
      <c r="A1002" s="2" t="s">
        <v>13715</v>
      </c>
    </row>
    <row r="1004">
      <c r="A1004" s="2" t="s">
        <v>13716</v>
      </c>
    </row>
    <row r="1005">
      <c r="A1005" s="2" t="s">
        <v>13717</v>
      </c>
    </row>
    <row r="1007">
      <c r="A1007" s="2" t="s">
        <v>13718</v>
      </c>
    </row>
    <row r="1009">
      <c r="A1009" s="2" t="s">
        <v>13719</v>
      </c>
    </row>
    <row r="1011">
      <c r="A1011" s="2" t="s">
        <v>13720</v>
      </c>
    </row>
    <row r="1012">
      <c r="A1012" s="2" t="s">
        <v>13721</v>
      </c>
    </row>
    <row r="1014">
      <c r="A1014" s="2" t="s">
        <v>13722</v>
      </c>
    </row>
    <row r="1016">
      <c r="A1016" s="2" t="s">
        <v>13723</v>
      </c>
    </row>
    <row r="1017">
      <c r="A1017" s="2" t="s">
        <v>13724</v>
      </c>
    </row>
    <row r="1019">
      <c r="A1019" s="2" t="s">
        <v>13725</v>
      </c>
    </row>
    <row r="1021">
      <c r="A1021" s="2" t="s">
        <v>13726</v>
      </c>
    </row>
    <row r="1022">
      <c r="A1022" s="2" t="s">
        <v>13727</v>
      </c>
    </row>
    <row r="1024">
      <c r="A1024" s="2" t="s">
        <v>13728</v>
      </c>
    </row>
    <row r="1025">
      <c r="A1025" s="2" t="s">
        <v>13729</v>
      </c>
    </row>
    <row r="1027">
      <c r="A1027" s="2" t="s">
        <v>13730</v>
      </c>
    </row>
    <row r="1029">
      <c r="A1029" s="2" t="s">
        <v>13731</v>
      </c>
    </row>
    <row r="1031">
      <c r="A1031" s="2" t="s">
        <v>13732</v>
      </c>
    </row>
    <row r="1032">
      <c r="A1032" s="2" t="s">
        <v>13733</v>
      </c>
    </row>
    <row r="1034">
      <c r="A1034" s="2" t="s">
        <v>13734</v>
      </c>
    </row>
    <row r="1036">
      <c r="A1036" s="2" t="s">
        <v>13735</v>
      </c>
    </row>
    <row r="1038">
      <c r="A1038" s="2" t="s">
        <v>13736</v>
      </c>
    </row>
    <row r="1039">
      <c r="A1039" s="2" t="s">
        <v>13737</v>
      </c>
    </row>
    <row r="1040">
      <c r="A1040" s="2" t="s">
        <v>7462</v>
      </c>
    </row>
    <row r="1041">
      <c r="A1041" s="2" t="s">
        <v>13738</v>
      </c>
    </row>
    <row r="1043">
      <c r="A1043" s="2" t="s">
        <v>13739</v>
      </c>
    </row>
    <row r="1045">
      <c r="A1045" s="2" t="s">
        <v>13740</v>
      </c>
    </row>
    <row r="1046">
      <c r="A1046" s="2" t="s">
        <v>12006</v>
      </c>
    </row>
    <row r="1048">
      <c r="A1048" s="2" t="s">
        <v>7462</v>
      </c>
    </row>
    <row r="1049">
      <c r="A1049" s="2" t="s">
        <v>13741</v>
      </c>
    </row>
    <row r="1051">
      <c r="A1051" s="2" t="s">
        <v>13742</v>
      </c>
    </row>
    <row r="1053">
      <c r="A1053" s="2" t="s">
        <v>13743</v>
      </c>
    </row>
    <row r="1055">
      <c r="A1055" s="2" t="s">
        <v>13744</v>
      </c>
    </row>
    <row r="1056">
      <c r="A1056" s="2" t="s">
        <v>13745</v>
      </c>
    </row>
    <row r="1058">
      <c r="A1058" s="2" t="s">
        <v>13746</v>
      </c>
    </row>
    <row r="1060">
      <c r="A1060" s="2" t="s">
        <v>13747</v>
      </c>
    </row>
    <row r="1062">
      <c r="A1062" s="2" t="s">
        <v>13748</v>
      </c>
    </row>
    <row r="1063">
      <c r="A1063" s="2" t="s">
        <v>13749</v>
      </c>
    </row>
    <row r="1065">
      <c r="A1065" s="2" t="s">
        <v>13750</v>
      </c>
    </row>
    <row r="1067">
      <c r="A1067" s="2" t="s">
        <v>13751</v>
      </c>
    </row>
    <row r="1069">
      <c r="A1069" s="2" t="s">
        <v>13752</v>
      </c>
    </row>
    <row r="1070">
      <c r="A1070" s="2" t="s">
        <v>13753</v>
      </c>
    </row>
    <row r="1072">
      <c r="A1072" s="2" t="s">
        <v>13754</v>
      </c>
    </row>
    <row r="1074">
      <c r="A1074" s="2" t="s">
        <v>13755</v>
      </c>
    </row>
    <row r="1076">
      <c r="A1076" s="2" t="s">
        <v>13756</v>
      </c>
    </row>
    <row r="1077">
      <c r="A1077" s="2" t="s">
        <v>13757</v>
      </c>
    </row>
    <row r="1079">
      <c r="A1079" s="2" t="s">
        <v>13758</v>
      </c>
    </row>
    <row r="1080">
      <c r="A1080" s="2" t="s">
        <v>13759</v>
      </c>
    </row>
    <row r="1082">
      <c r="A1082" s="2" t="s">
        <v>13760</v>
      </c>
    </row>
    <row r="1084">
      <c r="A1084" s="2" t="s">
        <v>13761</v>
      </c>
    </row>
    <row r="1086">
      <c r="A1086" s="2" t="s">
        <v>13762</v>
      </c>
    </row>
    <row r="1087">
      <c r="A1087" s="2" t="s">
        <v>13763</v>
      </c>
    </row>
    <row r="1089">
      <c r="A1089" s="2" t="s">
        <v>13764</v>
      </c>
    </row>
    <row r="1091">
      <c r="A1091" s="2" t="s">
        <v>13765</v>
      </c>
    </row>
    <row r="1093">
      <c r="A1093" s="2" t="s">
        <v>13766</v>
      </c>
    </row>
    <row r="1094">
      <c r="A1094" s="2" t="s">
        <v>13767</v>
      </c>
    </row>
    <row r="1095">
      <c r="A1095" s="2" t="s">
        <v>13768</v>
      </c>
    </row>
    <row r="1097">
      <c r="A1097" s="2" t="s">
        <v>7462</v>
      </c>
    </row>
    <row r="1098">
      <c r="A1098" s="2" t="s">
        <v>13769</v>
      </c>
    </row>
    <row r="1100">
      <c r="A1100" s="2" t="s">
        <v>13770</v>
      </c>
    </row>
    <row r="1101">
      <c r="A1101" s="2" t="s">
        <v>13771</v>
      </c>
    </row>
    <row r="1103">
      <c r="A1103" s="2" t="s">
        <v>13772</v>
      </c>
    </row>
    <row r="1105">
      <c r="A1105" s="2" t="s">
        <v>13773</v>
      </c>
    </row>
    <row r="1107">
      <c r="A1107" s="2" t="s">
        <v>13774</v>
      </c>
    </row>
    <row r="1108">
      <c r="A1108" s="2" t="s">
        <v>13775</v>
      </c>
    </row>
    <row r="1110">
      <c r="A1110" s="2" t="s">
        <v>13776</v>
      </c>
    </row>
    <row r="1112">
      <c r="A1112" s="2" t="s">
        <v>13777</v>
      </c>
    </row>
    <row r="1113">
      <c r="A1113" s="2" t="s">
        <v>13778</v>
      </c>
    </row>
    <row r="1115">
      <c r="A1115" s="2" t="s">
        <v>13779</v>
      </c>
    </row>
    <row r="1117">
      <c r="A1117" s="2" t="s">
        <v>13780</v>
      </c>
    </row>
    <row r="1118">
      <c r="A1118" s="2" t="s">
        <v>13781</v>
      </c>
    </row>
    <row r="1120">
      <c r="A1120" s="2" t="s">
        <v>13782</v>
      </c>
    </row>
    <row r="1122">
      <c r="A1122" s="2" t="s">
        <v>13783</v>
      </c>
    </row>
    <row r="1124">
      <c r="A1124" s="2" t="s">
        <v>13784</v>
      </c>
    </row>
    <row r="1125">
      <c r="A1125" s="2" t="s">
        <v>13785</v>
      </c>
    </row>
    <row r="1127">
      <c r="A1127" s="2" t="s">
        <v>13786</v>
      </c>
    </row>
    <row r="1129">
      <c r="A1129" s="2" t="s">
        <v>13787</v>
      </c>
    </row>
    <row r="1131">
      <c r="A1131" s="2" t="s">
        <v>13788</v>
      </c>
    </row>
    <row r="1132">
      <c r="A1132" s="2" t="s">
        <v>13789</v>
      </c>
    </row>
    <row r="1134">
      <c r="A1134" s="2" t="s">
        <v>13790</v>
      </c>
    </row>
    <row r="1136">
      <c r="A1136" s="2" t="s">
        <v>13791</v>
      </c>
    </row>
    <row r="1138">
      <c r="A1138" s="2" t="s">
        <v>13792</v>
      </c>
    </row>
    <row r="1139">
      <c r="A1139" s="2" t="s">
        <v>13793</v>
      </c>
    </row>
    <row r="1141">
      <c r="A1141" s="2" t="s">
        <v>13794</v>
      </c>
    </row>
    <row r="1143">
      <c r="A1143" s="2" t="s">
        <v>13795</v>
      </c>
    </row>
    <row r="1144">
      <c r="A1144" s="2" t="s">
        <v>13796</v>
      </c>
    </row>
    <row r="1146">
      <c r="A1146" s="2" t="s">
        <v>13797</v>
      </c>
    </row>
    <row r="1148">
      <c r="A1148" s="2" t="s">
        <v>13798</v>
      </c>
    </row>
    <row r="1149">
      <c r="A1149" s="2" t="s">
        <v>13799</v>
      </c>
    </row>
    <row r="1151">
      <c r="A1151" s="2" t="s">
        <v>13800</v>
      </c>
    </row>
    <row r="1153">
      <c r="A1153" s="2" t="s">
        <v>13801</v>
      </c>
    </row>
    <row r="1155">
      <c r="A1155" s="2" t="s">
        <v>13802</v>
      </c>
    </row>
    <row r="1156">
      <c r="A1156" s="2" t="s">
        <v>13803</v>
      </c>
    </row>
    <row r="1158">
      <c r="A1158" s="2" t="s">
        <v>13804</v>
      </c>
    </row>
    <row r="1160">
      <c r="A1160" s="2" t="s">
        <v>13805</v>
      </c>
    </row>
    <row r="1162">
      <c r="A1162" s="2" t="s">
        <v>13806</v>
      </c>
    </row>
    <row r="1163">
      <c r="A1163" s="2" t="s">
        <v>13807</v>
      </c>
    </row>
    <row r="1165">
      <c r="A1165" s="2" t="s">
        <v>13808</v>
      </c>
    </row>
    <row r="1167">
      <c r="A1167" s="2" t="s">
        <v>13809</v>
      </c>
    </row>
    <row r="1169">
      <c r="A1169" s="2" t="s">
        <v>13810</v>
      </c>
    </row>
    <row r="1170">
      <c r="A1170" s="2" t="s">
        <v>13811</v>
      </c>
    </row>
    <row r="1172">
      <c r="A1172" s="2" t="s">
        <v>13812</v>
      </c>
    </row>
    <row r="1174">
      <c r="A1174" s="2" t="s">
        <v>13813</v>
      </c>
    </row>
    <row r="1176">
      <c r="A1176" s="2" t="s">
        <v>13814</v>
      </c>
    </row>
    <row r="1177">
      <c r="A1177" s="2" t="s">
        <v>13815</v>
      </c>
    </row>
    <row r="1179">
      <c r="A1179" s="2" t="s">
        <v>13816</v>
      </c>
    </row>
    <row r="1181">
      <c r="A1181" s="2" t="s">
        <v>13817</v>
      </c>
    </row>
    <row r="1182">
      <c r="A1182" s="2" t="s">
        <v>13818</v>
      </c>
    </row>
    <row r="1184">
      <c r="A1184" s="2" t="s">
        <v>13819</v>
      </c>
    </row>
    <row r="1186">
      <c r="A1186" s="2" t="s">
        <v>13820</v>
      </c>
    </row>
    <row r="1188">
      <c r="A1188" s="2" t="s">
        <v>13821</v>
      </c>
    </row>
    <row r="1190">
      <c r="A1190" s="2" t="s">
        <v>13822</v>
      </c>
    </row>
    <row r="1191">
      <c r="A1191" s="2" t="s">
        <v>13823</v>
      </c>
    </row>
    <row r="1193">
      <c r="A1193" s="2" t="s">
        <v>13824</v>
      </c>
    </row>
    <row r="1195">
      <c r="A1195" s="2" t="s">
        <v>13825</v>
      </c>
    </row>
    <row r="1197">
      <c r="A1197" s="2" t="s">
        <v>13826</v>
      </c>
    </row>
    <row r="1198">
      <c r="A1198" s="2" t="s">
        <v>13827</v>
      </c>
    </row>
    <row r="1200">
      <c r="A1200" s="2" t="s">
        <v>13828</v>
      </c>
    </row>
    <row r="1201">
      <c r="A1201" s="2" t="s">
        <v>13829</v>
      </c>
    </row>
    <row r="1203">
      <c r="A1203" s="2" t="s">
        <v>13830</v>
      </c>
    </row>
    <row r="1205">
      <c r="A1205" s="2" t="s">
        <v>13831</v>
      </c>
    </row>
    <row r="1206">
      <c r="A1206" s="2" t="s">
        <v>13832</v>
      </c>
    </row>
    <row r="1208">
      <c r="A1208" s="2" t="s">
        <v>13833</v>
      </c>
    </row>
    <row r="1210">
      <c r="A1210" s="2" t="s">
        <v>13834</v>
      </c>
    </row>
    <row r="1212">
      <c r="A1212" s="2" t="s">
        <v>13835</v>
      </c>
    </row>
    <row r="1213">
      <c r="A1213" s="2" t="s">
        <v>13836</v>
      </c>
    </row>
    <row r="1215">
      <c r="A1215" s="2" t="s">
        <v>13837</v>
      </c>
    </row>
    <row r="1217">
      <c r="A1217" s="2" t="s">
        <v>13838</v>
      </c>
    </row>
    <row r="1218">
      <c r="A1218" s="2" t="s">
        <v>13839</v>
      </c>
    </row>
    <row r="1220">
      <c r="A1220" s="2" t="s">
        <v>13840</v>
      </c>
    </row>
    <row r="1222">
      <c r="A1222" s="2" t="s">
        <v>13841</v>
      </c>
    </row>
    <row r="1224">
      <c r="A1224" s="2" t="s">
        <v>13842</v>
      </c>
    </row>
    <row r="1226">
      <c r="A1226" s="2" t="s">
        <v>13843</v>
      </c>
    </row>
    <row r="1228">
      <c r="A1228" s="2" t="s">
        <v>13844</v>
      </c>
    </row>
    <row r="1230">
      <c r="A1230" s="2" t="s">
        <v>13845</v>
      </c>
    </row>
    <row r="1231">
      <c r="A1231" s="2" t="s">
        <v>13846</v>
      </c>
    </row>
    <row r="1233">
      <c r="A1233" s="2" t="s">
        <v>13847</v>
      </c>
    </row>
    <row r="1235">
      <c r="A1235" s="2" t="s">
        <v>13848</v>
      </c>
    </row>
    <row r="1237">
      <c r="A1237" s="2" t="s">
        <v>13849</v>
      </c>
    </row>
    <row r="1238">
      <c r="A1238" s="2" t="s">
        <v>13850</v>
      </c>
    </row>
    <row r="1240">
      <c r="A1240" s="2" t="s">
        <v>13851</v>
      </c>
    </row>
    <row r="1242">
      <c r="A1242" s="2" t="s">
        <v>13852</v>
      </c>
    </row>
    <row r="1243">
      <c r="A1243" s="2" t="s">
        <v>13853</v>
      </c>
    </row>
    <row r="1245">
      <c r="A1245" s="2" t="s">
        <v>13854</v>
      </c>
    </row>
    <row r="1247">
      <c r="A1247" s="2" t="s">
        <v>13855</v>
      </c>
    </row>
    <row r="1248">
      <c r="A1248" s="2" t="s">
        <v>13856</v>
      </c>
    </row>
    <row r="1250">
      <c r="A1250" s="2" t="s">
        <v>13857</v>
      </c>
    </row>
    <row r="1252">
      <c r="A1252" s="2" t="s">
        <v>13858</v>
      </c>
    </row>
    <row r="1254">
      <c r="A1254" s="2" t="s">
        <v>13859</v>
      </c>
    </row>
    <row r="1255">
      <c r="A1255" s="2" t="s">
        <v>13860</v>
      </c>
    </row>
    <row r="1257">
      <c r="A1257" s="2" t="s">
        <v>13861</v>
      </c>
    </row>
    <row r="1259">
      <c r="A1259" s="2" t="s">
        <v>13862</v>
      </c>
    </row>
    <row r="1260">
      <c r="A1260" s="2" t="s">
        <v>13863</v>
      </c>
    </row>
    <row r="1262">
      <c r="A1262" s="2" t="s">
        <v>13864</v>
      </c>
    </row>
    <row r="1264">
      <c r="A1264" s="2" t="s">
        <v>13865</v>
      </c>
    </row>
    <row r="1266">
      <c r="A1266" s="2" t="s">
        <v>13866</v>
      </c>
    </row>
    <row r="1267">
      <c r="A1267" s="2" t="s">
        <v>13867</v>
      </c>
    </row>
    <row r="1269">
      <c r="A1269" s="2" t="s">
        <v>13868</v>
      </c>
    </row>
    <row r="1270">
      <c r="A1270" s="2" t="s">
        <v>13869</v>
      </c>
    </row>
    <row r="1272">
      <c r="A1272" s="2" t="s">
        <v>13870</v>
      </c>
    </row>
    <row r="1273">
      <c r="A1273" s="2" t="s">
        <v>13871</v>
      </c>
    </row>
    <row r="1275">
      <c r="A1275" s="2" t="s">
        <v>13872</v>
      </c>
    </row>
    <row r="1277">
      <c r="A1277" s="2" t="s">
        <v>13873</v>
      </c>
    </row>
    <row r="1278">
      <c r="A1278" s="2" t="s">
        <v>13874</v>
      </c>
    </row>
    <row r="1280">
      <c r="A1280" s="2" t="s">
        <v>13875</v>
      </c>
    </row>
    <row r="1282">
      <c r="A1282" s="2" t="s">
        <v>13876</v>
      </c>
    </row>
    <row r="1283">
      <c r="A1283" s="2" t="s">
        <v>13877</v>
      </c>
    </row>
    <row r="1285">
      <c r="A1285" s="2" t="s">
        <v>13878</v>
      </c>
    </row>
    <row r="1287">
      <c r="A1287" s="2" t="s">
        <v>13879</v>
      </c>
    </row>
    <row r="1288">
      <c r="A1288" s="2" t="s">
        <v>13880</v>
      </c>
    </row>
    <row r="1289">
      <c r="A1289" s="2" t="s">
        <v>13252</v>
      </c>
    </row>
    <row r="1291">
      <c r="A1291" s="2" t="s">
        <v>7462</v>
      </c>
    </row>
    <row r="1292">
      <c r="A1292" s="2" t="s">
        <v>13881</v>
      </c>
    </row>
    <row r="1294">
      <c r="A1294" s="2" t="s">
        <v>13882</v>
      </c>
    </row>
    <row r="1296">
      <c r="A1296" s="2" t="s">
        <v>13883</v>
      </c>
    </row>
    <row r="1297">
      <c r="A1297" s="2" t="s">
        <v>13884</v>
      </c>
    </row>
    <row r="1299">
      <c r="A1299" s="2" t="s">
        <v>13885</v>
      </c>
    </row>
    <row r="1301">
      <c r="A1301" s="2" t="s">
        <v>13886</v>
      </c>
    </row>
    <row r="1303">
      <c r="A1303" s="2" t="s">
        <v>13887</v>
      </c>
    </row>
    <row r="1305">
      <c r="A1305" s="2" t="s">
        <v>13888</v>
      </c>
    </row>
    <row r="1307">
      <c r="A1307" s="2" t="s">
        <v>13889</v>
      </c>
    </row>
    <row r="1308">
      <c r="A1308" s="2" t="s">
        <v>13890</v>
      </c>
    </row>
    <row r="1310">
      <c r="A1310" s="2" t="s">
        <v>13891</v>
      </c>
    </row>
    <row r="1312">
      <c r="A1312" s="2" t="s">
        <v>13892</v>
      </c>
    </row>
    <row r="1313">
      <c r="A1313" s="2" t="s">
        <v>13893</v>
      </c>
    </row>
    <row r="1315">
      <c r="A1315" s="2" t="s">
        <v>7462</v>
      </c>
    </row>
    <row r="1316">
      <c r="A1316" s="2" t="s">
        <v>13894</v>
      </c>
    </row>
    <row r="1318">
      <c r="A1318" s="2" t="s">
        <v>13895</v>
      </c>
    </row>
    <row r="1319">
      <c r="A1319" s="2" t="s">
        <v>13896</v>
      </c>
    </row>
    <row r="1321">
      <c r="A1321" s="2" t="s">
        <v>13897</v>
      </c>
    </row>
    <row r="1323">
      <c r="A1323" s="2" t="s">
        <v>13898</v>
      </c>
    </row>
    <row r="1324">
      <c r="A1324" s="2" t="s">
        <v>13899</v>
      </c>
    </row>
    <row r="1326">
      <c r="A1326" s="2" t="s">
        <v>13900</v>
      </c>
    </row>
    <row r="1328">
      <c r="A1328" s="2" t="s">
        <v>13901</v>
      </c>
    </row>
    <row r="1330">
      <c r="A1330" s="2" t="s">
        <v>13902</v>
      </c>
    </row>
    <row r="1331">
      <c r="A1331" s="2" t="s">
        <v>13903</v>
      </c>
    </row>
    <row r="1333">
      <c r="A1333" s="2" t="s">
        <v>13904</v>
      </c>
    </row>
    <row r="1335">
      <c r="A1335" s="2" t="s">
        <v>13905</v>
      </c>
    </row>
    <row r="1336">
      <c r="A1336" s="2" t="s">
        <v>13906</v>
      </c>
    </row>
    <row r="1338">
      <c r="A1338" s="2" t="s">
        <v>13907</v>
      </c>
    </row>
    <row r="1339">
      <c r="A1339" s="2" t="s">
        <v>13908</v>
      </c>
    </row>
    <row r="1341">
      <c r="A1341" s="2" t="s">
        <v>13909</v>
      </c>
    </row>
    <row r="1343">
      <c r="A1343" s="2" t="s">
        <v>13910</v>
      </c>
    </row>
    <row r="1344">
      <c r="A1344" s="2" t="s">
        <v>13911</v>
      </c>
    </row>
    <row r="1346">
      <c r="A1346" s="2" t="s">
        <v>13912</v>
      </c>
    </row>
    <row r="1348">
      <c r="A1348" s="2" t="s">
        <v>13913</v>
      </c>
    </row>
    <row r="1349">
      <c r="A1349" s="2" t="s">
        <v>13914</v>
      </c>
    </row>
    <row r="1351">
      <c r="A1351" s="2" t="s">
        <v>13915</v>
      </c>
    </row>
    <row r="1353">
      <c r="A1353" s="2" t="s">
        <v>13916</v>
      </c>
    </row>
    <row r="1355">
      <c r="A1355" s="2" t="s">
        <v>13917</v>
      </c>
    </row>
    <row r="1356">
      <c r="A1356" s="2" t="s">
        <v>13918</v>
      </c>
    </row>
    <row r="1358">
      <c r="A1358" s="2" t="s">
        <v>13919</v>
      </c>
    </row>
    <row r="1360">
      <c r="A1360" s="2" t="s">
        <v>13920</v>
      </c>
    </row>
    <row r="1361">
      <c r="A1361" s="2" t="s">
        <v>13921</v>
      </c>
    </row>
    <row r="1363">
      <c r="A1363" s="2" t="s">
        <v>13922</v>
      </c>
    </row>
    <row r="1365">
      <c r="A1365" s="2" t="s">
        <v>13923</v>
      </c>
    </row>
    <row r="1367">
      <c r="A1367" s="2" t="s">
        <v>13924</v>
      </c>
    </row>
    <row r="1368">
      <c r="A1368" s="2" t="s">
        <v>13925</v>
      </c>
    </row>
    <row r="1370">
      <c r="A1370" s="2" t="s">
        <v>13926</v>
      </c>
    </row>
    <row r="1372">
      <c r="A1372" s="2" t="s">
        <v>13927</v>
      </c>
    </row>
    <row r="1373">
      <c r="A1373" s="2" t="s">
        <v>13928</v>
      </c>
    </row>
    <row r="1375">
      <c r="A1375" s="2" t="s">
        <v>7462</v>
      </c>
    </row>
    <row r="1376">
      <c r="A1376" s="2" t="s">
        <v>13929</v>
      </c>
    </row>
    <row r="1378">
      <c r="A1378" s="2" t="s">
        <v>13930</v>
      </c>
    </row>
    <row r="1380">
      <c r="A1380" s="2" t="s">
        <v>13931</v>
      </c>
    </row>
    <row r="1382">
      <c r="A1382" s="2" t="s">
        <v>13932</v>
      </c>
    </row>
    <row r="1383">
      <c r="A1383" s="2" t="s">
        <v>13933</v>
      </c>
    </row>
    <row r="1385">
      <c r="A1385" s="2" t="s">
        <v>13934</v>
      </c>
    </row>
    <row r="1387">
      <c r="A1387" s="2" t="s">
        <v>13935</v>
      </c>
    </row>
    <row r="1388">
      <c r="A1388" s="2" t="s">
        <v>13936</v>
      </c>
    </row>
    <row r="1390">
      <c r="A1390" s="2" t="s">
        <v>13937</v>
      </c>
    </row>
    <row r="1392">
      <c r="A1392" s="2" t="s">
        <v>13938</v>
      </c>
    </row>
    <row r="1393">
      <c r="A1393" s="2" t="s">
        <v>13939</v>
      </c>
    </row>
    <row r="1395">
      <c r="A1395" s="2" t="s">
        <v>7691</v>
      </c>
    </row>
    <row r="1396">
      <c r="A1396" s="2" t="s">
        <v>13940</v>
      </c>
    </row>
    <row r="1398">
      <c r="A1398" s="2" t="s">
        <v>7770</v>
      </c>
    </row>
    <row r="1399">
      <c r="A1399" s="2" t="s">
        <v>13941</v>
      </c>
    </row>
    <row r="1401">
      <c r="A1401" s="2" t="s">
        <v>13353</v>
      </c>
    </row>
    <row r="1402">
      <c r="A1402" s="2" t="s">
        <v>13942</v>
      </c>
    </row>
    <row r="1403">
      <c r="A1403" s="2" t="s">
        <v>13943</v>
      </c>
    </row>
    <row r="1405">
      <c r="A1405" s="2" t="s">
        <v>13944</v>
      </c>
    </row>
    <row r="1407">
      <c r="A1407" s="2" t="s">
        <v>13945</v>
      </c>
    </row>
    <row r="1409">
      <c r="A1409" s="2" t="s">
        <v>13946</v>
      </c>
    </row>
    <row r="1410">
      <c r="A1410" s="2" t="s">
        <v>13947</v>
      </c>
    </row>
    <row r="1412">
      <c r="A1412" s="2" t="s">
        <v>13948</v>
      </c>
    </row>
    <row r="1414">
      <c r="A1414" s="2" t="s">
        <v>13949</v>
      </c>
    </row>
    <row r="1416">
      <c r="A1416" s="2" t="s">
        <v>13950</v>
      </c>
    </row>
    <row r="1417">
      <c r="A1417" s="2" t="s">
        <v>13951</v>
      </c>
    </row>
    <row r="1419">
      <c r="A1419" s="2" t="s">
        <v>7462</v>
      </c>
    </row>
    <row r="1420">
      <c r="A1420" s="2" t="s">
        <v>13952</v>
      </c>
    </row>
    <row r="1422">
      <c r="A1422" s="2" t="s">
        <v>13953</v>
      </c>
    </row>
    <row r="1424">
      <c r="A1424" s="2" t="s">
        <v>13954</v>
      </c>
    </row>
    <row r="1425">
      <c r="A1425" s="2" t="s">
        <v>13955</v>
      </c>
    </row>
    <row r="1427">
      <c r="A1427" s="2" t="s">
        <v>13956</v>
      </c>
    </row>
    <row r="1429">
      <c r="A1429" s="2" t="s">
        <v>13957</v>
      </c>
    </row>
    <row r="1430">
      <c r="A1430" s="2" t="s">
        <v>13958</v>
      </c>
    </row>
    <row r="1432">
      <c r="A1432" s="2" t="s">
        <v>13959</v>
      </c>
    </row>
    <row r="1434">
      <c r="A1434" s="2" t="s">
        <v>13960</v>
      </c>
    </row>
    <row r="1436">
      <c r="A1436" s="2" t="s">
        <v>13961</v>
      </c>
    </row>
    <row r="1437">
      <c r="A1437" s="2" t="s">
        <v>13962</v>
      </c>
    </row>
    <row r="1439">
      <c r="A1439" s="2" t="s">
        <v>13963</v>
      </c>
    </row>
    <row r="1441">
      <c r="A1441" s="2" t="s">
        <v>13964</v>
      </c>
    </row>
    <row r="1442">
      <c r="A1442" s="2" t="s">
        <v>13965</v>
      </c>
    </row>
    <row r="1444">
      <c r="A1444" s="2" t="s">
        <v>13966</v>
      </c>
    </row>
    <row r="1446">
      <c r="A1446" s="2" t="s">
        <v>13967</v>
      </c>
    </row>
    <row r="1448">
      <c r="A1448" s="2" t="s">
        <v>13968</v>
      </c>
    </row>
    <row r="1449">
      <c r="A1449" s="2" t="s">
        <v>13969</v>
      </c>
    </row>
    <row r="1451">
      <c r="A1451" s="2" t="s">
        <v>13970</v>
      </c>
    </row>
    <row r="1453">
      <c r="A1453" s="2" t="s">
        <v>13971</v>
      </c>
    </row>
    <row r="1454">
      <c r="A1454" s="2" t="s">
        <v>13972</v>
      </c>
    </row>
    <row r="1456">
      <c r="A1456" s="2" t="s">
        <v>13973</v>
      </c>
    </row>
    <row r="1458">
      <c r="A1458" s="2" t="s">
        <v>13974</v>
      </c>
    </row>
    <row r="1459">
      <c r="A1459" s="2" t="s">
        <v>13975</v>
      </c>
    </row>
    <row r="1461">
      <c r="A1461" s="2" t="s">
        <v>13976</v>
      </c>
    </row>
    <row r="1463">
      <c r="A1463" s="2" t="s">
        <v>13977</v>
      </c>
    </row>
    <row r="1464">
      <c r="A1464" s="2" t="s">
        <v>13978</v>
      </c>
    </row>
    <row r="1466">
      <c r="A1466" s="2" t="s">
        <v>13979</v>
      </c>
    </row>
    <row r="1467">
      <c r="A1467" s="2" t="s">
        <v>13980</v>
      </c>
    </row>
    <row r="1469">
      <c r="A1469" s="2" t="s">
        <v>13981</v>
      </c>
    </row>
    <row r="1471">
      <c r="A1471" s="2" t="s">
        <v>13982</v>
      </c>
    </row>
    <row r="1472">
      <c r="A1472" s="2" t="s">
        <v>13983</v>
      </c>
    </row>
    <row r="1474">
      <c r="A1474" s="2" t="s">
        <v>13984</v>
      </c>
    </row>
    <row r="1476">
      <c r="A1476" s="2" t="s">
        <v>13985</v>
      </c>
    </row>
    <row r="1477">
      <c r="A1477" s="2" t="s">
        <v>13986</v>
      </c>
    </row>
    <row r="1479">
      <c r="A1479" s="2" t="s">
        <v>13987</v>
      </c>
    </row>
    <row r="1481">
      <c r="A1481" s="2" t="s">
        <v>13988</v>
      </c>
    </row>
    <row r="1483">
      <c r="A1483" s="2" t="s">
        <v>13989</v>
      </c>
    </row>
    <row r="1484">
      <c r="A1484" s="2" t="s">
        <v>13990</v>
      </c>
    </row>
    <row r="1486">
      <c r="A1486" s="2" t="s">
        <v>13991</v>
      </c>
    </row>
    <row r="1488">
      <c r="A1488" s="2" t="s">
        <v>13992</v>
      </c>
    </row>
    <row r="1490">
      <c r="A1490" s="2" t="s">
        <v>13993</v>
      </c>
    </row>
    <row r="1491">
      <c r="A1491" s="2" t="s">
        <v>13994</v>
      </c>
    </row>
    <row r="1493">
      <c r="A1493" s="2" t="s">
        <v>13995</v>
      </c>
    </row>
    <row r="1495">
      <c r="A1495" s="2" t="s">
        <v>13996</v>
      </c>
    </row>
    <row r="1497">
      <c r="A1497" s="2" t="s">
        <v>13997</v>
      </c>
    </row>
    <row r="1498">
      <c r="A1498" s="2" t="s">
        <v>13998</v>
      </c>
    </row>
    <row r="1500">
      <c r="A1500" s="2" t="s">
        <v>13999</v>
      </c>
    </row>
    <row r="1502">
      <c r="A1502" s="2" t="s">
        <v>14000</v>
      </c>
    </row>
    <row r="1504">
      <c r="A1504" s="2" t="s">
        <v>14001</v>
      </c>
    </row>
    <row r="1505">
      <c r="A1505" s="2" t="s">
        <v>14002</v>
      </c>
    </row>
    <row r="1507">
      <c r="A1507" s="2" t="s">
        <v>14003</v>
      </c>
    </row>
    <row r="1508">
      <c r="A1508" s="2" t="s">
        <v>14004</v>
      </c>
    </row>
    <row r="1510">
      <c r="A1510" s="2" t="s">
        <v>14005</v>
      </c>
    </row>
    <row r="1512">
      <c r="A1512" s="2" t="s">
        <v>14006</v>
      </c>
    </row>
    <row r="1514">
      <c r="A1514" s="2" t="s">
        <v>14007</v>
      </c>
    </row>
    <row r="1515">
      <c r="A1515" s="2" t="s">
        <v>14008</v>
      </c>
    </row>
    <row r="1517">
      <c r="A1517" s="2" t="s">
        <v>14009</v>
      </c>
    </row>
    <row r="1519">
      <c r="A1519" s="2" t="s">
        <v>14010</v>
      </c>
    </row>
    <row r="1520">
      <c r="A1520" s="2" t="s">
        <v>14011</v>
      </c>
    </row>
    <row r="1522">
      <c r="A1522" s="2" t="s">
        <v>14012</v>
      </c>
    </row>
    <row r="1524">
      <c r="A1524" s="2" t="s">
        <v>14013</v>
      </c>
    </row>
    <row r="1526">
      <c r="A1526" s="2" t="s">
        <v>14014</v>
      </c>
    </row>
    <row r="1527">
      <c r="A1527" s="2" t="s">
        <v>14015</v>
      </c>
    </row>
    <row r="1529">
      <c r="A1529" s="2" t="s">
        <v>14016</v>
      </c>
    </row>
    <row r="1531">
      <c r="A1531" s="2" t="s">
        <v>14017</v>
      </c>
    </row>
    <row r="1532">
      <c r="A1532" s="2" t="s">
        <v>14018</v>
      </c>
    </row>
    <row r="1534">
      <c r="A1534" s="2" t="s">
        <v>14019</v>
      </c>
    </row>
    <row r="1536">
      <c r="A1536" s="2" t="s">
        <v>14020</v>
      </c>
    </row>
    <row r="1538">
      <c r="A1538" s="2" t="s">
        <v>14021</v>
      </c>
    </row>
    <row r="1539">
      <c r="A1539" s="2" t="s">
        <v>14022</v>
      </c>
    </row>
    <row r="1541">
      <c r="A1541" s="2" t="s">
        <v>14023</v>
      </c>
    </row>
    <row r="1543">
      <c r="A1543" s="2" t="s">
        <v>14024</v>
      </c>
    </row>
    <row r="1545">
      <c r="A1545" s="2" t="s">
        <v>14025</v>
      </c>
    </row>
    <row r="1546">
      <c r="A1546" s="2" t="s">
        <v>14026</v>
      </c>
    </row>
    <row r="1548">
      <c r="A1548" s="2" t="s">
        <v>14027</v>
      </c>
    </row>
    <row r="1550">
      <c r="A1550" s="2" t="s">
        <v>14028</v>
      </c>
    </row>
    <row r="1552">
      <c r="A1552" s="2" t="s">
        <v>14029</v>
      </c>
    </row>
    <row r="1553">
      <c r="A1553" s="2" t="s">
        <v>14030</v>
      </c>
    </row>
    <row r="1555">
      <c r="A1555" s="2" t="s">
        <v>7462</v>
      </c>
    </row>
    <row r="1556">
      <c r="A1556" s="2" t="s">
        <v>14031</v>
      </c>
    </row>
    <row r="1558">
      <c r="A1558" s="2" t="s">
        <v>14032</v>
      </c>
    </row>
    <row r="1560">
      <c r="A1560" s="2" t="s">
        <v>14033</v>
      </c>
    </row>
    <row r="1562">
      <c r="A1562" s="2" t="s">
        <v>14034</v>
      </c>
    </row>
    <row r="1563">
      <c r="A1563" s="2" t="s">
        <v>14035</v>
      </c>
    </row>
    <row r="1565">
      <c r="A1565" s="2" t="s">
        <v>14036</v>
      </c>
    </row>
    <row r="1566">
      <c r="A1566" s="2" t="s">
        <v>14037</v>
      </c>
    </row>
    <row r="1568">
      <c r="A1568" s="2" t="s">
        <v>14038</v>
      </c>
    </row>
    <row r="1569">
      <c r="A1569" s="2" t="s">
        <v>14039</v>
      </c>
    </row>
    <row r="1571">
      <c r="A1571" s="2" t="s">
        <v>14040</v>
      </c>
    </row>
    <row r="1573">
      <c r="A1573" s="2" t="s">
        <v>14041</v>
      </c>
    </row>
    <row r="1575">
      <c r="A1575" s="2" t="s">
        <v>14042</v>
      </c>
    </row>
    <row r="1576">
      <c r="A1576" s="2" t="s">
        <v>14043</v>
      </c>
    </row>
    <row r="1578">
      <c r="A1578" s="2" t="s">
        <v>7577</v>
      </c>
    </row>
    <row r="1579">
      <c r="A1579" s="2" t="s">
        <v>14044</v>
      </c>
    </row>
    <row r="1581">
      <c r="A1581" s="2" t="s">
        <v>7770</v>
      </c>
    </row>
    <row r="1582">
      <c r="A1582" s="2" t="s">
        <v>14045</v>
      </c>
    </row>
    <row r="1584">
      <c r="A1584" s="2" t="s">
        <v>10085</v>
      </c>
    </row>
    <row r="1585">
      <c r="A1585" s="2" t="s">
        <v>14046</v>
      </c>
    </row>
    <row r="1586">
      <c r="A1586" s="2" t="s">
        <v>14047</v>
      </c>
    </row>
    <row r="1588">
      <c r="A1588" s="2" t="s">
        <v>14048</v>
      </c>
    </row>
    <row r="1590">
      <c r="A1590" s="2" t="s">
        <v>14049</v>
      </c>
    </row>
    <row r="1592">
      <c r="A1592" s="2" t="s">
        <v>14050</v>
      </c>
    </row>
    <row r="1593">
      <c r="A1593" s="2" t="s">
        <v>14051</v>
      </c>
    </row>
    <row r="1595">
      <c r="A1595" s="2" t="s">
        <v>14052</v>
      </c>
    </row>
    <row r="1597">
      <c r="A1597" s="2" t="s">
        <v>14053</v>
      </c>
    </row>
    <row r="1598">
      <c r="A1598" s="2" t="s">
        <v>14054</v>
      </c>
    </row>
    <row r="1600">
      <c r="A1600" s="2" t="s">
        <v>14055</v>
      </c>
    </row>
    <row r="1602">
      <c r="A1602" s="2" t="s">
        <v>14056</v>
      </c>
    </row>
    <row r="1604">
      <c r="A1604" s="2" t="s">
        <v>14057</v>
      </c>
    </row>
    <row r="1605">
      <c r="A1605" s="2" t="s">
        <v>14058</v>
      </c>
    </row>
    <row r="1607">
      <c r="A1607" s="2" t="s">
        <v>14059</v>
      </c>
    </row>
    <row r="1609">
      <c r="A1609" s="2" t="s">
        <v>14060</v>
      </c>
    </row>
    <row r="1611">
      <c r="A1611" s="2" t="s">
        <v>14061</v>
      </c>
    </row>
    <row r="1612">
      <c r="A1612" s="2" t="s">
        <v>14062</v>
      </c>
    </row>
    <row r="1614">
      <c r="A1614" s="2" t="s">
        <v>14063</v>
      </c>
    </row>
    <row r="1616">
      <c r="A1616" s="2" t="s">
        <v>14064</v>
      </c>
    </row>
    <row r="1617">
      <c r="A1617" s="2" t="s">
        <v>14065</v>
      </c>
    </row>
    <row r="1619">
      <c r="A1619" s="2" t="s">
        <v>14066</v>
      </c>
    </row>
    <row r="1621">
      <c r="A1621" s="2" t="s">
        <v>14067</v>
      </c>
    </row>
    <row r="1622">
      <c r="A1622" s="2" t="s">
        <v>14068</v>
      </c>
    </row>
    <row r="1624">
      <c r="A1624" s="2" t="s">
        <v>7462</v>
      </c>
    </row>
    <row r="1625">
      <c r="A1625" s="2" t="s">
        <v>14069</v>
      </c>
    </row>
    <row r="1627">
      <c r="A1627" s="2" t="s">
        <v>14070</v>
      </c>
    </row>
    <row r="1629">
      <c r="A1629" s="2" t="s">
        <v>14071</v>
      </c>
    </row>
    <row r="1631">
      <c r="A1631" s="2" t="s">
        <v>14072</v>
      </c>
    </row>
    <row r="1632">
      <c r="A1632" s="2" t="s">
        <v>14073</v>
      </c>
    </row>
    <row r="1634">
      <c r="A1634" s="2" t="s">
        <v>14074</v>
      </c>
    </row>
    <row r="1636">
      <c r="A1636" s="2" t="s">
        <v>14075</v>
      </c>
    </row>
    <row r="1638">
      <c r="A1638" s="2" t="s">
        <v>14076</v>
      </c>
    </row>
    <row r="1639">
      <c r="A1639" s="2" t="s">
        <v>14077</v>
      </c>
    </row>
    <row r="1641">
      <c r="A1641" s="2" t="s">
        <v>14078</v>
      </c>
    </row>
    <row r="1643">
      <c r="A1643" s="2" t="s">
        <v>14079</v>
      </c>
    </row>
    <row r="1645">
      <c r="A1645" s="2" t="s">
        <v>14080</v>
      </c>
    </row>
    <row r="1646">
      <c r="A1646" s="2" t="s">
        <v>14081</v>
      </c>
    </row>
    <row r="1648">
      <c r="A1648" s="2" t="s">
        <v>14082</v>
      </c>
    </row>
    <row r="1650">
      <c r="A1650" s="2" t="s">
        <v>14083</v>
      </c>
    </row>
    <row r="1651">
      <c r="A1651" s="2" t="s">
        <v>14084</v>
      </c>
    </row>
    <row r="1653">
      <c r="A1653" s="2" t="s">
        <v>14085</v>
      </c>
    </row>
    <row r="1655">
      <c r="A1655" s="2" t="s">
        <v>14086</v>
      </c>
    </row>
    <row r="1657">
      <c r="A1657" s="2" t="s">
        <v>14087</v>
      </c>
    </row>
    <row r="1658">
      <c r="A1658" s="2" t="s">
        <v>14088</v>
      </c>
    </row>
    <row r="1659">
      <c r="A1659" s="2" t="s">
        <v>14089</v>
      </c>
    </row>
    <row r="1661">
      <c r="A1661" s="2" t="s">
        <v>14090</v>
      </c>
    </row>
    <row r="1663">
      <c r="A1663" s="2" t="s">
        <v>14091</v>
      </c>
    </row>
    <row r="1664">
      <c r="A1664" s="2" t="s">
        <v>14092</v>
      </c>
    </row>
    <row r="1666">
      <c r="A1666" s="2" t="s">
        <v>14093</v>
      </c>
    </row>
    <row r="1668">
      <c r="A1668" s="2" t="s">
        <v>14094</v>
      </c>
    </row>
    <row r="1670">
      <c r="A1670" s="2" t="s">
        <v>14095</v>
      </c>
    </row>
    <row r="1671">
      <c r="A1671" s="2" t="s">
        <v>14096</v>
      </c>
    </row>
    <row r="1673">
      <c r="A1673" s="2" t="s">
        <v>14097</v>
      </c>
    </row>
    <row r="1675">
      <c r="A1675" s="2" t="s">
        <v>14098</v>
      </c>
    </row>
    <row r="1676">
      <c r="A1676" s="2" t="s">
        <v>14099</v>
      </c>
    </row>
    <row r="1678">
      <c r="A1678" s="2" t="s">
        <v>14100</v>
      </c>
    </row>
    <row r="1680">
      <c r="A1680" s="2" t="s">
        <v>14101</v>
      </c>
    </row>
    <row r="1681">
      <c r="A1681" s="2" t="s">
        <v>14102</v>
      </c>
    </row>
    <row r="1683">
      <c r="A1683" s="2" t="s">
        <v>14103</v>
      </c>
    </row>
    <row r="1685">
      <c r="A1685" s="2" t="s">
        <v>14104</v>
      </c>
    </row>
    <row r="1687">
      <c r="A1687" s="2" t="s">
        <v>14105</v>
      </c>
    </row>
    <row r="1688">
      <c r="A1688" s="2" t="s">
        <v>14106</v>
      </c>
    </row>
    <row r="1690">
      <c r="A1690" s="2" t="s">
        <v>8078</v>
      </c>
    </row>
    <row r="1691">
      <c r="A1691" s="2" t="s">
        <v>14107</v>
      </c>
    </row>
    <row r="1693">
      <c r="A1693" s="2" t="s">
        <v>14108</v>
      </c>
    </row>
    <row r="1694">
      <c r="A1694" s="2" t="s">
        <v>14109</v>
      </c>
    </row>
    <row r="1696">
      <c r="A1696" s="2" t="s">
        <v>14110</v>
      </c>
    </row>
    <row r="1697">
      <c r="A1697" s="2" t="s">
        <v>14111</v>
      </c>
    </row>
    <row r="1698">
      <c r="A1698" s="2" t="s">
        <v>14112</v>
      </c>
    </row>
    <row r="1700">
      <c r="A1700" s="2" t="s">
        <v>14113</v>
      </c>
    </row>
    <row r="1702">
      <c r="A1702" s="2" t="s">
        <v>14114</v>
      </c>
    </row>
    <row r="1704">
      <c r="A1704" s="2" t="s">
        <v>14115</v>
      </c>
    </row>
    <row r="1705">
      <c r="A1705" s="2" t="s">
        <v>14116</v>
      </c>
    </row>
    <row r="1707">
      <c r="A1707" s="2" t="s">
        <v>14117</v>
      </c>
    </row>
    <row r="1709">
      <c r="A1709" s="2" t="s">
        <v>14118</v>
      </c>
    </row>
    <row r="1711">
      <c r="A1711" s="2" t="s">
        <v>14119</v>
      </c>
    </row>
    <row r="1712">
      <c r="A1712" s="2" t="s">
        <v>14120</v>
      </c>
    </row>
    <row r="1713">
      <c r="A1713" s="2" t="s">
        <v>14121</v>
      </c>
    </row>
    <row r="1715">
      <c r="A1715" s="2" t="s">
        <v>7462</v>
      </c>
    </row>
    <row r="1716">
      <c r="A1716" s="2" t="s">
        <v>14122</v>
      </c>
    </row>
    <row r="1718">
      <c r="A1718" s="2" t="s">
        <v>14123</v>
      </c>
    </row>
    <row r="1720">
      <c r="A1720" s="2" t="s">
        <v>14124</v>
      </c>
    </row>
    <row r="1721">
      <c r="A1721" s="2" t="s">
        <v>14125</v>
      </c>
    </row>
    <row r="1723">
      <c r="A1723" s="2" t="s">
        <v>14126</v>
      </c>
    </row>
    <row r="1725">
      <c r="A1725" s="2" t="s">
        <v>14127</v>
      </c>
    </row>
    <row r="1727">
      <c r="A1727" s="2" t="s">
        <v>14128</v>
      </c>
    </row>
    <row r="1728">
      <c r="A1728" s="2" t="s">
        <v>14129</v>
      </c>
    </row>
    <row r="1730">
      <c r="A1730" s="2" t="s">
        <v>14130</v>
      </c>
    </row>
    <row r="1732">
      <c r="A1732" s="2" t="s">
        <v>14131</v>
      </c>
    </row>
    <row r="1734">
      <c r="A1734" s="2" t="s">
        <v>14132</v>
      </c>
    </row>
    <row r="1735">
      <c r="A1735" s="2" t="s">
        <v>14133</v>
      </c>
    </row>
    <row r="1737">
      <c r="A1737" s="2" t="s">
        <v>14134</v>
      </c>
    </row>
    <row r="1738">
      <c r="A1738" s="2" t="s">
        <v>14135</v>
      </c>
    </row>
    <row r="1740">
      <c r="A1740" s="2" t="s">
        <v>7691</v>
      </c>
    </row>
    <row r="1741">
      <c r="A1741" s="2" t="s">
        <v>14136</v>
      </c>
    </row>
    <row r="1743">
      <c r="A1743" s="2" t="s">
        <v>7770</v>
      </c>
    </row>
    <row r="1744">
      <c r="A1744" s="2" t="s">
        <v>14137</v>
      </c>
    </row>
    <row r="1746">
      <c r="A1746" s="2" t="s">
        <v>13353</v>
      </c>
    </row>
    <row r="1747">
      <c r="A1747" s="2" t="s">
        <v>14138</v>
      </c>
    </row>
    <row r="1748">
      <c r="A1748" s="2" t="s">
        <v>14139</v>
      </c>
    </row>
    <row r="1750">
      <c r="A1750" s="2" t="s">
        <v>14140</v>
      </c>
    </row>
    <row r="1752">
      <c r="A1752" s="2" t="s">
        <v>14141</v>
      </c>
    </row>
    <row r="1753">
      <c r="A1753" s="2" t="s">
        <v>14142</v>
      </c>
    </row>
    <row r="1755">
      <c r="A1755" s="2" t="s">
        <v>14143</v>
      </c>
    </row>
    <row r="1757">
      <c r="A1757" s="2" t="s">
        <v>14144</v>
      </c>
    </row>
    <row r="1758">
      <c r="A1758" s="2" t="s">
        <v>14145</v>
      </c>
    </row>
    <row r="1760">
      <c r="A1760" s="2" t="s">
        <v>14146</v>
      </c>
    </row>
    <row r="1762">
      <c r="A1762" s="2" t="s">
        <v>14147</v>
      </c>
    </row>
    <row r="1763">
      <c r="A1763" s="2" t="s">
        <v>14148</v>
      </c>
    </row>
    <row r="1765">
      <c r="A1765" s="2" t="s">
        <v>14149</v>
      </c>
    </row>
    <row r="1767">
      <c r="A1767" s="2" t="s">
        <v>14150</v>
      </c>
    </row>
    <row r="1769">
      <c r="A1769" s="2" t="s">
        <v>14151</v>
      </c>
    </row>
    <row r="1770">
      <c r="A1770" s="2" t="s">
        <v>14152</v>
      </c>
    </row>
    <row r="1772">
      <c r="A1772" s="2" t="s">
        <v>14153</v>
      </c>
    </row>
    <row r="1774">
      <c r="A1774" s="2" t="s">
        <v>14154</v>
      </c>
    </row>
    <row r="1775">
      <c r="A1775" s="2" t="s">
        <v>14155</v>
      </c>
    </row>
    <row r="1777">
      <c r="A1777" s="2" t="s">
        <v>8078</v>
      </c>
    </row>
    <row r="1778">
      <c r="A1778" s="2" t="s">
        <v>14156</v>
      </c>
    </row>
    <row r="1780">
      <c r="A1780" s="2" t="s">
        <v>7770</v>
      </c>
    </row>
    <row r="1781">
      <c r="A1781" s="2" t="s">
        <v>14157</v>
      </c>
    </row>
    <row r="1783">
      <c r="A1783" s="2" t="s">
        <v>14110</v>
      </c>
    </row>
    <row r="1784">
      <c r="A1784" s="2" t="s">
        <v>14158</v>
      </c>
    </row>
    <row r="1785">
      <c r="A1785" s="2" t="s">
        <v>14159</v>
      </c>
    </row>
    <row r="1787">
      <c r="A1787" s="2" t="s">
        <v>14160</v>
      </c>
    </row>
    <row r="1789">
      <c r="A1789" s="2" t="s">
        <v>14161</v>
      </c>
    </row>
    <row r="1790">
      <c r="A1790" s="2" t="s">
        <v>14162</v>
      </c>
    </row>
    <row r="1792">
      <c r="A1792" s="2" t="s">
        <v>14163</v>
      </c>
    </row>
    <row r="1794">
      <c r="A1794" s="2" t="s">
        <v>14164</v>
      </c>
    </row>
    <row r="1795">
      <c r="A1795" s="2" t="s">
        <v>14165</v>
      </c>
    </row>
    <row r="1797">
      <c r="A1797" s="2" t="s">
        <v>14166</v>
      </c>
    </row>
    <row r="1799">
      <c r="A1799" s="2" t="s">
        <v>14167</v>
      </c>
    </row>
    <row r="1801">
      <c r="A1801" s="2" t="s">
        <v>14168</v>
      </c>
    </row>
    <row r="1802">
      <c r="A1802" s="2" t="s">
        <v>14169</v>
      </c>
    </row>
    <row r="1804">
      <c r="A1804" s="2" t="s">
        <v>14170</v>
      </c>
    </row>
    <row r="1806">
      <c r="A1806" s="2" t="s">
        <v>14171</v>
      </c>
    </row>
    <row r="1808">
      <c r="A1808" s="2" t="s">
        <v>14172</v>
      </c>
    </row>
    <row r="1809">
      <c r="A1809" s="2" t="s">
        <v>14173</v>
      </c>
    </row>
    <row r="1811">
      <c r="A1811" s="2" t="s">
        <v>14174</v>
      </c>
    </row>
    <row r="1813">
      <c r="A1813" s="2" t="s">
        <v>14175</v>
      </c>
    </row>
    <row r="1815">
      <c r="A1815" s="2" t="s">
        <v>14176</v>
      </c>
    </row>
    <row r="1816">
      <c r="A1816" s="2" t="s">
        <v>14177</v>
      </c>
    </row>
    <row r="1818">
      <c r="A1818" s="2" t="s">
        <v>7691</v>
      </c>
    </row>
    <row r="1819">
      <c r="A1819" s="2" t="s">
        <v>14178</v>
      </c>
    </row>
    <row r="1821">
      <c r="A1821" s="2" t="s">
        <v>7579</v>
      </c>
    </row>
    <row r="1822">
      <c r="A1822" s="2" t="s">
        <v>14179</v>
      </c>
    </row>
    <row r="1823">
      <c r="A1823" s="2" t="s">
        <v>14180</v>
      </c>
    </row>
    <row r="1825">
      <c r="A1825" s="2" t="s">
        <v>14181</v>
      </c>
    </row>
    <row r="1827">
      <c r="A1827" s="2" t="s">
        <v>14182</v>
      </c>
    </row>
    <row r="1829">
      <c r="A1829" s="2" t="s">
        <v>14183</v>
      </c>
    </row>
    <row r="1830">
      <c r="A1830" s="2" t="s">
        <v>14184</v>
      </c>
    </row>
    <row r="1832">
      <c r="A1832" s="2" t="s">
        <v>14185</v>
      </c>
    </row>
    <row r="1834">
      <c r="A1834" s="2" t="s">
        <v>14186</v>
      </c>
    </row>
    <row r="1835">
      <c r="A1835" s="2" t="s">
        <v>14187</v>
      </c>
    </row>
    <row r="1836">
      <c r="A1836" s="2" t="s">
        <v>14188</v>
      </c>
    </row>
    <row r="1838">
      <c r="A1838" s="2" t="s">
        <v>7462</v>
      </c>
    </row>
    <row r="1839">
      <c r="A1839" s="2" t="s">
        <v>14189</v>
      </c>
    </row>
    <row r="1841">
      <c r="A1841" s="2" t="s">
        <v>14190</v>
      </c>
    </row>
    <row r="1843">
      <c r="A1843" s="2" t="s">
        <v>14191</v>
      </c>
    </row>
    <row r="1845">
      <c r="A1845" s="2" t="s">
        <v>14192</v>
      </c>
    </row>
    <row r="1846">
      <c r="A1846" s="2" t="s">
        <v>14193</v>
      </c>
    </row>
    <row r="1848">
      <c r="A1848" s="2" t="s">
        <v>14194</v>
      </c>
    </row>
    <row r="1849">
      <c r="A1849" s="2" t="s">
        <v>14195</v>
      </c>
    </row>
    <row r="1851">
      <c r="A1851" s="2" t="s">
        <v>14196</v>
      </c>
    </row>
    <row r="1853">
      <c r="A1853" s="2" t="s">
        <v>14197</v>
      </c>
    </row>
    <row r="1855">
      <c r="A1855" s="2" t="s">
        <v>14198</v>
      </c>
    </row>
    <row r="1856">
      <c r="A1856" s="2" t="s">
        <v>14199</v>
      </c>
    </row>
    <row r="1858">
      <c r="A1858" s="2" t="s">
        <v>14200</v>
      </c>
    </row>
    <row r="1860">
      <c r="A1860" s="2" t="s">
        <v>14201</v>
      </c>
    </row>
    <row r="1862">
      <c r="A1862" s="2" t="s">
        <v>14202</v>
      </c>
    </row>
    <row r="1863">
      <c r="A1863" s="2" t="s">
        <v>14203</v>
      </c>
    </row>
    <row r="1865">
      <c r="A1865" s="2" t="s">
        <v>14204</v>
      </c>
    </row>
    <row r="1867">
      <c r="A1867" s="2" t="s">
        <v>14205</v>
      </c>
    </row>
    <row r="1869">
      <c r="A1869" s="2" t="s">
        <v>14206</v>
      </c>
    </row>
    <row r="1870">
      <c r="A1870" s="2" t="s">
        <v>14207</v>
      </c>
    </row>
    <row r="1872">
      <c r="A1872" s="2" t="s">
        <v>14208</v>
      </c>
    </row>
    <row r="1873">
      <c r="A1873" s="2" t="s">
        <v>14209</v>
      </c>
    </row>
    <row r="1875">
      <c r="A1875" s="2" t="s">
        <v>14210</v>
      </c>
    </row>
    <row r="1877">
      <c r="A1877" s="2" t="s">
        <v>14211</v>
      </c>
    </row>
    <row r="1879">
      <c r="A1879" s="2" t="s">
        <v>14212</v>
      </c>
    </row>
    <row r="1880">
      <c r="A1880" s="2" t="s">
        <v>14213</v>
      </c>
    </row>
    <row r="1882">
      <c r="A1882" s="2" t="s">
        <v>14214</v>
      </c>
    </row>
    <row r="1884">
      <c r="A1884" s="2" t="s">
        <v>14215</v>
      </c>
    </row>
    <row r="1886">
      <c r="A1886" s="2" t="s">
        <v>14216</v>
      </c>
    </row>
    <row r="1887">
      <c r="A1887" s="2" t="s">
        <v>14217</v>
      </c>
    </row>
    <row r="1889">
      <c r="A1889" s="2" t="s">
        <v>14218</v>
      </c>
    </row>
    <row r="1890">
      <c r="A1890" s="2" t="s">
        <v>14219</v>
      </c>
    </row>
    <row r="1892">
      <c r="A1892" s="2" t="s">
        <v>7577</v>
      </c>
    </row>
    <row r="1893">
      <c r="A1893" s="2" t="s">
        <v>14220</v>
      </c>
    </row>
    <row r="1895">
      <c r="A1895" s="2" t="s">
        <v>7770</v>
      </c>
    </row>
    <row r="1896">
      <c r="A1896" s="2" t="s">
        <v>14221</v>
      </c>
    </row>
    <row r="1898">
      <c r="A1898" s="2" t="s">
        <v>13432</v>
      </c>
    </row>
    <row r="1899">
      <c r="A1899" s="2" t="s">
        <v>14222</v>
      </c>
    </row>
    <row r="1900">
      <c r="A1900" s="2" t="s">
        <v>14223</v>
      </c>
    </row>
    <row r="1902">
      <c r="A1902" s="2" t="s">
        <v>14224</v>
      </c>
    </row>
    <row r="1904">
      <c r="A1904" s="2" t="s">
        <v>14225</v>
      </c>
    </row>
    <row r="1906">
      <c r="A1906" s="2" t="s">
        <v>14226</v>
      </c>
    </row>
    <row r="1907">
      <c r="A1907" s="2" t="s">
        <v>14227</v>
      </c>
    </row>
    <row r="1909">
      <c r="A1909" s="2" t="s">
        <v>14228</v>
      </c>
    </row>
    <row r="1911">
      <c r="A1911" s="2" t="s">
        <v>14229</v>
      </c>
    </row>
    <row r="1913">
      <c r="A1913" s="2" t="s">
        <v>14230</v>
      </c>
    </row>
    <row r="1914">
      <c r="A1914" s="2" t="s">
        <v>14231</v>
      </c>
    </row>
    <row r="1916">
      <c r="A1916" s="2" t="s">
        <v>14232</v>
      </c>
    </row>
    <row r="1918">
      <c r="A1918" s="2" t="s">
        <v>14233</v>
      </c>
    </row>
    <row r="1919">
      <c r="A1919" s="2" t="s">
        <v>14234</v>
      </c>
    </row>
    <row r="1921">
      <c r="A1921" s="2" t="s">
        <v>14235</v>
      </c>
    </row>
    <row r="1923">
      <c r="A1923" s="2" t="s">
        <v>14236</v>
      </c>
    </row>
    <row r="1925">
      <c r="A1925" s="2" t="s">
        <v>14237</v>
      </c>
    </row>
    <row r="1926">
      <c r="A1926" s="2" t="s">
        <v>14238</v>
      </c>
    </row>
    <row r="1928">
      <c r="A1928" s="2" t="s">
        <v>14239</v>
      </c>
    </row>
    <row r="1930">
      <c r="A1930" s="2" t="s">
        <v>14240</v>
      </c>
    </row>
    <row r="1931">
      <c r="A1931" s="2" t="s">
        <v>14241</v>
      </c>
    </row>
    <row r="1933">
      <c r="A1933" s="2" t="s">
        <v>14242</v>
      </c>
    </row>
    <row r="1935">
      <c r="A1935" s="2" t="s">
        <v>14243</v>
      </c>
    </row>
    <row r="1937">
      <c r="A1937" s="2" t="s">
        <v>14244</v>
      </c>
    </row>
    <row r="1938">
      <c r="A1938" s="2" t="s">
        <v>14245</v>
      </c>
    </row>
    <row r="1940">
      <c r="A1940" s="2" t="s">
        <v>14246</v>
      </c>
    </row>
    <row r="1941">
      <c r="A1941" s="2" t="s">
        <v>14247</v>
      </c>
    </row>
    <row r="1943">
      <c r="A1943" s="2" t="s">
        <v>14248</v>
      </c>
    </row>
    <row r="1945">
      <c r="A1945" s="2" t="s">
        <v>14249</v>
      </c>
    </row>
    <row r="1947">
      <c r="A1947" s="2" t="s">
        <v>14250</v>
      </c>
    </row>
    <row r="1948">
      <c r="A1948" s="2" t="s">
        <v>14251</v>
      </c>
    </row>
    <row r="1950">
      <c r="A1950" s="2" t="s">
        <v>14252</v>
      </c>
    </row>
    <row r="1952">
      <c r="A1952" s="2" t="s">
        <v>14253</v>
      </c>
    </row>
    <row r="1954">
      <c r="A1954" s="2" t="s">
        <v>14254</v>
      </c>
    </row>
    <row r="1955">
      <c r="A1955" s="2" t="s">
        <v>14255</v>
      </c>
    </row>
    <row r="1957">
      <c r="A1957" s="2" t="s">
        <v>14256</v>
      </c>
    </row>
    <row r="1959">
      <c r="A1959" s="2" t="s">
        <v>14257</v>
      </c>
    </row>
    <row r="1961">
      <c r="A1961" s="2" t="s">
        <v>14258</v>
      </c>
    </row>
    <row r="1962">
      <c r="A1962" s="2" t="s">
        <v>14259</v>
      </c>
    </row>
    <row r="1964">
      <c r="A1964" s="2" t="s">
        <v>14260</v>
      </c>
    </row>
    <row r="1965">
      <c r="A1965" s="2" t="s">
        <v>14261</v>
      </c>
    </row>
    <row r="1967">
      <c r="A1967" s="2" t="s">
        <v>14262</v>
      </c>
    </row>
    <row r="1969">
      <c r="A1969" s="2" t="s">
        <v>14263</v>
      </c>
    </row>
    <row r="1971">
      <c r="A1971" s="2" t="s">
        <v>14264</v>
      </c>
    </row>
    <row r="1972">
      <c r="A1972" s="2" t="s">
        <v>14265</v>
      </c>
    </row>
    <row r="1974">
      <c r="A1974" s="2" t="s">
        <v>7691</v>
      </c>
    </row>
    <row r="1975">
      <c r="A1975" s="2" t="s">
        <v>14266</v>
      </c>
    </row>
    <row r="1977">
      <c r="A1977" s="2" t="s">
        <v>14267</v>
      </c>
    </row>
    <row r="1978">
      <c r="A1978" s="2" t="s">
        <v>14268</v>
      </c>
    </row>
    <row r="1980">
      <c r="A1980" s="2" t="s">
        <v>14269</v>
      </c>
    </row>
    <row r="1982">
      <c r="A1982" s="2" t="s">
        <v>14270</v>
      </c>
    </row>
    <row r="1983">
      <c r="A1983" s="2" t="s">
        <v>14271</v>
      </c>
    </row>
    <row r="1985">
      <c r="A1985" s="2" t="s">
        <v>14272</v>
      </c>
    </row>
    <row r="1987">
      <c r="A1987" s="2" t="s">
        <v>14273</v>
      </c>
    </row>
    <row r="1988">
      <c r="A1988" s="2" t="s">
        <v>14274</v>
      </c>
    </row>
    <row r="1990">
      <c r="A1990" s="2" t="s">
        <v>14275</v>
      </c>
    </row>
    <row r="1992">
      <c r="A1992" s="2" t="s">
        <v>14276</v>
      </c>
    </row>
    <row r="1993">
      <c r="A1993" s="2" t="s">
        <v>14277</v>
      </c>
    </row>
    <row r="1995">
      <c r="A1995" s="2" t="s">
        <v>14278</v>
      </c>
    </row>
    <row r="1997">
      <c r="A1997" s="2" t="s">
        <v>14279</v>
      </c>
    </row>
    <row r="1999">
      <c r="A1999" s="2" t="s">
        <v>14280</v>
      </c>
    </row>
    <row r="2000">
      <c r="A2000" s="2" t="s">
        <v>14281</v>
      </c>
    </row>
    <row r="2002">
      <c r="A2002" s="2" t="s">
        <v>14282</v>
      </c>
    </row>
    <row r="2004">
      <c r="A2004" s="2" t="s">
        <v>14283</v>
      </c>
    </row>
    <row r="2006">
      <c r="A2006" s="2" t="s">
        <v>14284</v>
      </c>
    </row>
    <row r="2007">
      <c r="A2007" s="2" t="s">
        <v>14285</v>
      </c>
    </row>
    <row r="2009">
      <c r="A2009" s="2" t="s">
        <v>14286</v>
      </c>
    </row>
    <row r="2011">
      <c r="A2011" s="2" t="s">
        <v>14287</v>
      </c>
    </row>
    <row r="2012">
      <c r="A2012" s="2" t="s">
        <v>14288</v>
      </c>
    </row>
    <row r="2014">
      <c r="A2014" s="2" t="s">
        <v>14289</v>
      </c>
    </row>
    <row r="2016">
      <c r="A2016" s="2" t="s">
        <v>14290</v>
      </c>
    </row>
    <row r="2017">
      <c r="A2017" s="2" t="s">
        <v>14291</v>
      </c>
    </row>
    <row r="2019">
      <c r="A2019" s="2" t="s">
        <v>14292</v>
      </c>
    </row>
    <row r="2021">
      <c r="A2021" s="2" t="s">
        <v>14293</v>
      </c>
    </row>
    <row r="2022">
      <c r="A2022" s="2" t="s">
        <v>14294</v>
      </c>
    </row>
    <row r="2024">
      <c r="A2024" s="2" t="s">
        <v>14295</v>
      </c>
    </row>
    <row r="2026">
      <c r="A2026" s="2" t="s">
        <v>14296</v>
      </c>
    </row>
    <row r="2027">
      <c r="A2027" s="2" t="s">
        <v>14297</v>
      </c>
    </row>
    <row r="2029">
      <c r="A2029" s="2" t="s">
        <v>14298</v>
      </c>
    </row>
    <row r="2031">
      <c r="A2031" s="2" t="s">
        <v>14299</v>
      </c>
    </row>
    <row r="2033">
      <c r="A2033" s="2" t="s">
        <v>14300</v>
      </c>
    </row>
    <row r="2034">
      <c r="A2034" s="2" t="s">
        <v>14301</v>
      </c>
    </row>
    <row r="2036">
      <c r="A2036" s="2" t="s">
        <v>14302</v>
      </c>
    </row>
    <row r="2038">
      <c r="A2038" s="2" t="s">
        <v>14303</v>
      </c>
    </row>
    <row r="2039">
      <c r="A2039" s="2" t="s">
        <v>14304</v>
      </c>
    </row>
    <row r="2041">
      <c r="A2041" s="2" t="s">
        <v>14305</v>
      </c>
    </row>
    <row r="2042">
      <c r="A2042" s="2" t="s">
        <v>14306</v>
      </c>
    </row>
    <row r="2044">
      <c r="A2044" s="2" t="s">
        <v>8078</v>
      </c>
    </row>
    <row r="2045">
      <c r="A2045" s="2" t="s">
        <v>14307</v>
      </c>
    </row>
    <row r="2047">
      <c r="A2047" s="2" t="s">
        <v>7770</v>
      </c>
    </row>
    <row r="2048">
      <c r="A2048" s="2" t="s">
        <v>14308</v>
      </c>
    </row>
    <row r="2050">
      <c r="A2050" s="2" t="s">
        <v>13432</v>
      </c>
    </row>
    <row r="2051">
      <c r="A2051" s="2" t="s">
        <v>14309</v>
      </c>
    </row>
    <row r="2052">
      <c r="A2052" s="2" t="s">
        <v>14310</v>
      </c>
    </row>
    <row r="2054">
      <c r="A2054" s="2" t="s">
        <v>14311</v>
      </c>
    </row>
    <row r="2056">
      <c r="A2056" s="2" t="s">
        <v>14312</v>
      </c>
    </row>
    <row r="2058">
      <c r="A2058" s="2" t="s">
        <v>14313</v>
      </c>
    </row>
    <row r="2059">
      <c r="A2059" s="2" t="s">
        <v>14314</v>
      </c>
    </row>
    <row r="2061">
      <c r="A2061" s="2" t="s">
        <v>14315</v>
      </c>
    </row>
    <row r="2063">
      <c r="A2063" s="2" t="s">
        <v>14316</v>
      </c>
    </row>
    <row r="2064">
      <c r="A2064" s="2" t="s">
        <v>14317</v>
      </c>
    </row>
    <row r="2066">
      <c r="A2066" s="2" t="s">
        <v>14318</v>
      </c>
    </row>
    <row r="2068">
      <c r="A2068" s="2" t="s">
        <v>14319</v>
      </c>
    </row>
    <row r="2070">
      <c r="A2070" s="2" t="s">
        <v>14320</v>
      </c>
    </row>
    <row r="2071">
      <c r="A2071" s="2" t="s">
        <v>14321</v>
      </c>
    </row>
    <row r="2072">
      <c r="A2072" s="2" t="s">
        <v>14322</v>
      </c>
    </row>
    <row r="2074">
      <c r="A2074" s="2" t="s">
        <v>7462</v>
      </c>
    </row>
    <row r="2075">
      <c r="A2075" s="2" t="s">
        <v>14323</v>
      </c>
    </row>
    <row r="2077">
      <c r="A2077" s="2" t="s">
        <v>14324</v>
      </c>
    </row>
    <row r="2078">
      <c r="A2078" s="2" t="s">
        <v>14325</v>
      </c>
    </row>
    <row r="2080">
      <c r="A2080" s="2" t="s">
        <v>14326</v>
      </c>
    </row>
    <row r="2082">
      <c r="A2082" s="2" t="s">
        <v>14327</v>
      </c>
    </row>
    <row r="2083">
      <c r="A2083" s="2" t="s">
        <v>14328</v>
      </c>
    </row>
    <row r="2085">
      <c r="A2085" s="2" t="s">
        <v>14329</v>
      </c>
    </row>
    <row r="2087">
      <c r="A2087" s="2" t="s">
        <v>14330</v>
      </c>
    </row>
    <row r="2088">
      <c r="A2088" s="2" t="s">
        <v>14331</v>
      </c>
    </row>
    <row r="2090">
      <c r="A2090" s="2" t="s">
        <v>14332</v>
      </c>
    </row>
    <row r="2092">
      <c r="A2092" s="2" t="s">
        <v>14333</v>
      </c>
    </row>
    <row r="2093">
      <c r="A2093" s="2" t="s">
        <v>14334</v>
      </c>
    </row>
    <row r="2094">
      <c r="A2094" s="2" t="s">
        <v>14335</v>
      </c>
    </row>
    <row r="2096">
      <c r="A2096" s="2" t="s">
        <v>14336</v>
      </c>
    </row>
    <row r="2098">
      <c r="A2098" s="2" t="s">
        <v>14337</v>
      </c>
    </row>
    <row r="2100">
      <c r="A2100" s="2" t="s">
        <v>14338</v>
      </c>
    </row>
    <row r="2101">
      <c r="A2101" s="2" t="s">
        <v>14339</v>
      </c>
    </row>
    <row r="2103">
      <c r="A2103" s="2" t="s">
        <v>14340</v>
      </c>
    </row>
    <row r="2104">
      <c r="A2104" s="2" t="s">
        <v>14341</v>
      </c>
    </row>
    <row r="2106">
      <c r="A2106" s="2" t="s">
        <v>14342</v>
      </c>
    </row>
    <row r="2108">
      <c r="A2108" s="2" t="s">
        <v>14343</v>
      </c>
    </row>
    <row r="2110">
      <c r="A2110" s="2" t="s">
        <v>14344</v>
      </c>
    </row>
    <row r="2111">
      <c r="A2111" s="2" t="s">
        <v>14345</v>
      </c>
    </row>
    <row r="2113">
      <c r="A2113" s="2" t="s">
        <v>14346</v>
      </c>
    </row>
    <row r="2115">
      <c r="A2115" s="2" t="s">
        <v>14347</v>
      </c>
    </row>
    <row r="2116">
      <c r="A2116" s="2" t="s">
        <v>14348</v>
      </c>
    </row>
    <row r="2118">
      <c r="A2118" s="2" t="s">
        <v>14349</v>
      </c>
    </row>
    <row r="2120">
      <c r="A2120" s="2" t="s">
        <v>14350</v>
      </c>
    </row>
    <row r="2122">
      <c r="A2122" s="2" t="s">
        <v>14351</v>
      </c>
    </row>
    <row r="2123">
      <c r="A2123" s="2" t="s">
        <v>14352</v>
      </c>
    </row>
    <row r="2125">
      <c r="A2125" s="2" t="s">
        <v>14353</v>
      </c>
    </row>
    <row r="2126">
      <c r="A2126" s="2" t="s">
        <v>14354</v>
      </c>
    </row>
    <row r="2128">
      <c r="A2128" s="2" t="s">
        <v>14355</v>
      </c>
    </row>
    <row r="2130">
      <c r="A2130" s="2" t="s">
        <v>14356</v>
      </c>
    </row>
    <row r="2132">
      <c r="A2132" s="2" t="s">
        <v>14357</v>
      </c>
    </row>
    <row r="2133">
      <c r="A2133" s="2" t="s">
        <v>14358</v>
      </c>
    </row>
    <row r="2135">
      <c r="A2135" s="2" t="s">
        <v>14359</v>
      </c>
    </row>
    <row r="2137">
      <c r="A2137" s="2" t="s">
        <v>14360</v>
      </c>
    </row>
    <row r="2139">
      <c r="A2139" s="2" t="s">
        <v>14361</v>
      </c>
    </row>
    <row r="2140">
      <c r="A2140" s="2" t="s">
        <v>14362</v>
      </c>
    </row>
    <row r="2142">
      <c r="A2142" s="2" t="s">
        <v>14363</v>
      </c>
    </row>
    <row r="2144">
      <c r="A2144" s="2" t="s">
        <v>14364</v>
      </c>
    </row>
    <row r="2145">
      <c r="A2145" s="2" t="s">
        <v>14365</v>
      </c>
    </row>
    <row r="2147">
      <c r="A2147" s="2" t="s">
        <v>14366</v>
      </c>
    </row>
    <row r="2149">
      <c r="A2149" s="2" t="s">
        <v>14367</v>
      </c>
    </row>
    <row r="2151">
      <c r="A2151" s="2" t="s">
        <v>14368</v>
      </c>
    </row>
    <row r="2152">
      <c r="A2152" s="2" t="s">
        <v>14369</v>
      </c>
    </row>
    <row r="2154">
      <c r="A2154" s="2" t="s">
        <v>14370</v>
      </c>
    </row>
    <row r="2156">
      <c r="A2156" s="2" t="s">
        <v>14371</v>
      </c>
    </row>
    <row r="2157">
      <c r="A2157" s="2" t="s">
        <v>14372</v>
      </c>
    </row>
    <row r="2159">
      <c r="A2159" s="2" t="s">
        <v>14373</v>
      </c>
    </row>
    <row r="2160">
      <c r="A2160" s="2" t="s">
        <v>14374</v>
      </c>
    </row>
    <row r="2162">
      <c r="A2162" s="2" t="s">
        <v>14375</v>
      </c>
    </row>
    <row r="2164">
      <c r="A2164" s="2" t="s">
        <v>14376</v>
      </c>
    </row>
    <row r="2165">
      <c r="A2165" s="2" t="s">
        <v>14377</v>
      </c>
    </row>
    <row r="2166">
      <c r="A2166" s="2" t="s">
        <v>7462</v>
      </c>
    </row>
    <row r="2167">
      <c r="A2167" s="2" t="s">
        <v>14378</v>
      </c>
    </row>
    <row r="2169">
      <c r="A2169" s="2" t="s">
        <v>14379</v>
      </c>
    </row>
    <row r="2171">
      <c r="A2171" s="2" t="s">
        <v>14380</v>
      </c>
    </row>
    <row r="2172">
      <c r="A2172" s="2" t="s">
        <v>14381</v>
      </c>
    </row>
    <row r="2174">
      <c r="A2174" s="2" t="s">
        <v>14382</v>
      </c>
    </row>
    <row r="2176">
      <c r="A2176" s="2" t="s">
        <v>14383</v>
      </c>
    </row>
    <row r="2178">
      <c r="A2178" s="2" t="s">
        <v>14384</v>
      </c>
    </row>
    <row r="2179">
      <c r="A2179" s="2" t="s">
        <v>14385</v>
      </c>
    </row>
    <row r="2181">
      <c r="A2181" s="2" t="s">
        <v>14386</v>
      </c>
    </row>
    <row r="2183">
      <c r="A2183" s="2" t="s">
        <v>14387</v>
      </c>
    </row>
    <row r="2185">
      <c r="A2185" s="2" t="s">
        <v>14388</v>
      </c>
    </row>
    <row r="2186">
      <c r="A2186" s="2" t="s">
        <v>14389</v>
      </c>
    </row>
    <row r="2188">
      <c r="A2188" s="2" t="s">
        <v>14390</v>
      </c>
    </row>
    <row r="2189">
      <c r="A2189" s="2" t="s">
        <v>14391</v>
      </c>
    </row>
    <row r="2190">
      <c r="A2190" s="2" t="s">
        <v>7462</v>
      </c>
    </row>
    <row r="2191">
      <c r="A2191" s="2" t="s">
        <v>14392</v>
      </c>
    </row>
    <row r="2193">
      <c r="A2193" s="2" t="s">
        <v>14393</v>
      </c>
    </row>
    <row r="2195">
      <c r="A2195" s="2" t="s">
        <v>14394</v>
      </c>
    </row>
    <row r="2196">
      <c r="A2196" s="2" t="s">
        <v>14395</v>
      </c>
    </row>
    <row r="2198">
      <c r="A2198" s="2" t="s">
        <v>14396</v>
      </c>
    </row>
    <row r="2199">
      <c r="A2199" s="2" t="s">
        <v>14397</v>
      </c>
    </row>
    <row r="2201">
      <c r="A2201" s="2" t="s">
        <v>14398</v>
      </c>
    </row>
    <row r="2203">
      <c r="A2203" s="2" t="s">
        <v>14399</v>
      </c>
    </row>
    <row r="2204">
      <c r="A2204" s="2" t="s">
        <v>14400</v>
      </c>
    </row>
    <row r="2206">
      <c r="A2206" s="2" t="s">
        <v>14401</v>
      </c>
    </row>
    <row r="2208">
      <c r="A2208" s="2" t="s">
        <v>14402</v>
      </c>
    </row>
    <row r="2210">
      <c r="A2210" s="2" t="s">
        <v>14403</v>
      </c>
    </row>
    <row r="2211">
      <c r="A2211" s="2" t="s">
        <v>14404</v>
      </c>
    </row>
    <row r="2213">
      <c r="A2213" s="2" t="s">
        <v>14405</v>
      </c>
    </row>
    <row r="2215">
      <c r="A2215" s="2" t="s">
        <v>14406</v>
      </c>
    </row>
    <row r="2216">
      <c r="A2216" s="2" t="s">
        <v>14407</v>
      </c>
    </row>
    <row r="2218">
      <c r="A2218" s="2" t="s">
        <v>14408</v>
      </c>
    </row>
    <row r="2220">
      <c r="A2220" s="2" t="s">
        <v>14409</v>
      </c>
    </row>
    <row r="2221">
      <c r="A2221" s="2" t="s">
        <v>14410</v>
      </c>
    </row>
    <row r="2223">
      <c r="A2223" s="2" t="s">
        <v>14411</v>
      </c>
    </row>
    <row r="2225">
      <c r="A2225" s="2" t="s">
        <v>14412</v>
      </c>
    </row>
    <row r="2226">
      <c r="A2226" s="2" t="s">
        <v>14413</v>
      </c>
    </row>
    <row r="2228">
      <c r="A2228" s="2" t="s">
        <v>14414</v>
      </c>
    </row>
    <row r="2230">
      <c r="A2230" s="2" t="s">
        <v>14415</v>
      </c>
    </row>
    <row r="2232">
      <c r="A2232" s="2" t="s">
        <v>14416</v>
      </c>
    </row>
    <row r="2233">
      <c r="A2233" s="2" t="s">
        <v>14417</v>
      </c>
    </row>
    <row r="2235">
      <c r="A2235" s="2" t="s">
        <v>14418</v>
      </c>
    </row>
    <row r="2237">
      <c r="A2237" s="2" t="s">
        <v>14419</v>
      </c>
    </row>
    <row r="2239">
      <c r="A2239" s="2" t="s">
        <v>14420</v>
      </c>
    </row>
    <row r="2240">
      <c r="A2240" s="2" t="s">
        <v>14421</v>
      </c>
    </row>
    <row r="2242">
      <c r="A2242" s="2" t="s">
        <v>14422</v>
      </c>
    </row>
    <row r="2244">
      <c r="A2244" s="2" t="s">
        <v>14423</v>
      </c>
    </row>
    <row r="2245">
      <c r="A2245" s="2" t="s">
        <v>14424</v>
      </c>
    </row>
    <row r="2247">
      <c r="A2247" s="2" t="s">
        <v>14425</v>
      </c>
    </row>
    <row r="2249">
      <c r="A2249" s="2" t="s">
        <v>14426</v>
      </c>
    </row>
    <row r="2250">
      <c r="A2250" s="2" t="s">
        <v>14427</v>
      </c>
    </row>
    <row r="2252">
      <c r="A2252" s="2" t="s">
        <v>14428</v>
      </c>
    </row>
    <row r="2253">
      <c r="A2253" s="2" t="s">
        <v>14429</v>
      </c>
    </row>
    <row r="2255">
      <c r="A2255" s="2" t="s">
        <v>14430</v>
      </c>
    </row>
    <row r="2257">
      <c r="A2257" s="2" t="s">
        <v>14431</v>
      </c>
    </row>
    <row r="2258">
      <c r="A2258" s="2" t="s">
        <v>14432</v>
      </c>
    </row>
    <row r="2260">
      <c r="A2260" s="2" t="s">
        <v>14433</v>
      </c>
    </row>
    <row r="2262">
      <c r="A2262" s="2" t="s">
        <v>14434</v>
      </c>
    </row>
    <row r="2264">
      <c r="A2264" s="2" t="s">
        <v>14435</v>
      </c>
    </row>
    <row r="2265">
      <c r="A2265" s="2" t="s">
        <v>14436</v>
      </c>
    </row>
    <row r="2267">
      <c r="A2267" s="2" t="s">
        <v>14437</v>
      </c>
    </row>
    <row r="2269">
      <c r="A2269" s="2" t="s">
        <v>14438</v>
      </c>
    </row>
    <row r="2270">
      <c r="A2270" s="2" t="s">
        <v>14439</v>
      </c>
    </row>
    <row r="2272">
      <c r="A2272" s="2" t="s">
        <v>14440</v>
      </c>
    </row>
    <row r="2274">
      <c r="A2274" s="2" t="s">
        <v>14441</v>
      </c>
    </row>
    <row r="2276">
      <c r="A2276" s="2" t="s">
        <v>14442</v>
      </c>
    </row>
    <row r="2277">
      <c r="A2277" s="2" t="s">
        <v>14443</v>
      </c>
    </row>
    <row r="2279">
      <c r="A2279" s="2" t="s">
        <v>14444</v>
      </c>
    </row>
    <row r="2280">
      <c r="A2280" s="2" t="s">
        <v>14445</v>
      </c>
    </row>
    <row r="2282">
      <c r="A2282" s="2" t="s">
        <v>14446</v>
      </c>
    </row>
    <row r="2284">
      <c r="A2284" s="2" t="s">
        <v>14447</v>
      </c>
    </row>
    <row r="2285">
      <c r="A2285" s="2" t="s">
        <v>14448</v>
      </c>
    </row>
    <row r="2287">
      <c r="A2287" s="2" t="s">
        <v>14449</v>
      </c>
    </row>
    <row r="2288">
      <c r="A2288" s="2" t="s">
        <v>14450</v>
      </c>
    </row>
    <row r="2290">
      <c r="A2290" s="2" t="s">
        <v>14451</v>
      </c>
    </row>
    <row r="2291">
      <c r="A2291" s="2" t="s">
        <v>14452</v>
      </c>
    </row>
    <row r="2293">
      <c r="A2293" s="2" t="s">
        <v>14453</v>
      </c>
    </row>
    <row r="2295">
      <c r="A2295" s="2" t="s">
        <v>14454</v>
      </c>
    </row>
    <row r="2296">
      <c r="A2296" s="2" t="s">
        <v>14455</v>
      </c>
    </row>
    <row r="2298">
      <c r="A2298" s="2" t="s">
        <v>14456</v>
      </c>
    </row>
    <row r="2300">
      <c r="A2300" s="2" t="s">
        <v>14457</v>
      </c>
    </row>
    <row r="2302">
      <c r="A2302" s="2" t="s">
        <v>14458</v>
      </c>
    </row>
    <row r="2303">
      <c r="A2303" s="2" t="s">
        <v>14459</v>
      </c>
    </row>
    <row r="2305">
      <c r="A2305" s="2" t="s">
        <v>14460</v>
      </c>
    </row>
    <row r="2307">
      <c r="A2307" s="2" t="s">
        <v>14461</v>
      </c>
    </row>
    <row r="2308">
      <c r="A2308" s="2" t="s">
        <v>14462</v>
      </c>
    </row>
    <row r="2310">
      <c r="A2310" s="2" t="s">
        <v>7691</v>
      </c>
    </row>
    <row r="2311">
      <c r="A2311" s="2" t="s">
        <v>14463</v>
      </c>
    </row>
    <row r="2313">
      <c r="A2313" s="2" t="s">
        <v>14464</v>
      </c>
    </row>
    <row r="2315">
      <c r="A2315" s="2" t="s">
        <v>7579</v>
      </c>
    </row>
    <row r="2316">
      <c r="A2316" s="2" t="s">
        <v>14465</v>
      </c>
    </row>
    <row r="2317">
      <c r="A2317" s="2" t="s">
        <v>14466</v>
      </c>
    </row>
    <row r="2319">
      <c r="A2319" s="2" t="s">
        <v>14467</v>
      </c>
    </row>
    <row r="2321">
      <c r="A2321" s="2" t="s">
        <v>14468</v>
      </c>
    </row>
    <row r="2322">
      <c r="A2322" s="2" t="s">
        <v>14469</v>
      </c>
    </row>
    <row r="2323">
      <c r="A2323" s="2" t="s">
        <v>14470</v>
      </c>
    </row>
    <row r="2324">
      <c r="A2324" s="2" t="s">
        <v>14471</v>
      </c>
    </row>
    <row r="2326">
      <c r="A2326" s="2" t="s">
        <v>14472</v>
      </c>
    </row>
    <row r="2328">
      <c r="A2328" s="2" t="s">
        <v>14473</v>
      </c>
    </row>
    <row r="2330">
      <c r="A2330" s="2" t="s">
        <v>14474</v>
      </c>
    </row>
    <row r="2331">
      <c r="A2331" s="2" t="s">
        <v>14475</v>
      </c>
    </row>
    <row r="2333">
      <c r="A2333" s="2" t="s">
        <v>14476</v>
      </c>
    </row>
    <row r="2335">
      <c r="A2335" s="2" t="s">
        <v>14477</v>
      </c>
    </row>
    <row r="2336">
      <c r="A2336" s="2" t="s">
        <v>14478</v>
      </c>
    </row>
    <row r="2338">
      <c r="A2338" s="2" t="s">
        <v>14479</v>
      </c>
    </row>
    <row r="2340">
      <c r="A2340" s="2" t="s">
        <v>14480</v>
      </c>
    </row>
    <row r="2341">
      <c r="A2341" s="2" t="s">
        <v>14481</v>
      </c>
    </row>
    <row r="2343">
      <c r="A2343" s="2" t="s">
        <v>14482</v>
      </c>
    </row>
    <row r="2345">
      <c r="A2345" s="2" t="s">
        <v>14483</v>
      </c>
    </row>
    <row r="2346">
      <c r="A2346" s="2" t="s">
        <v>14484</v>
      </c>
    </row>
    <row r="2348">
      <c r="A2348" s="2" t="s">
        <v>14485</v>
      </c>
    </row>
    <row r="2350">
      <c r="A2350" s="2" t="s">
        <v>14486</v>
      </c>
    </row>
    <row r="2352">
      <c r="A2352" s="2" t="s">
        <v>14487</v>
      </c>
    </row>
    <row r="2353">
      <c r="A2353" s="2" t="s">
        <v>14488</v>
      </c>
    </row>
    <row r="2355">
      <c r="A2355" s="2" t="s">
        <v>14489</v>
      </c>
    </row>
    <row r="2357">
      <c r="A2357" s="2" t="s">
        <v>14490</v>
      </c>
    </row>
    <row r="2358">
      <c r="A2358" s="2" t="s">
        <v>14491</v>
      </c>
    </row>
    <row r="2360">
      <c r="A2360" s="2" t="s">
        <v>14492</v>
      </c>
    </row>
    <row r="2362">
      <c r="A2362" s="2" t="s">
        <v>14493</v>
      </c>
    </row>
    <row r="2364">
      <c r="A2364" s="2" t="s">
        <v>14494</v>
      </c>
    </row>
    <row r="2365">
      <c r="A2365" s="2" t="s">
        <v>14495</v>
      </c>
    </row>
    <row r="2367">
      <c r="A2367" s="2" t="s">
        <v>14496</v>
      </c>
    </row>
    <row r="2369">
      <c r="A2369" s="2" t="s">
        <v>14497</v>
      </c>
    </row>
    <row r="2371">
      <c r="A2371" s="2" t="s">
        <v>14498</v>
      </c>
    </row>
    <row r="2372">
      <c r="A2372" s="2" t="s">
        <v>14499</v>
      </c>
    </row>
    <row r="2374">
      <c r="A2374" s="2" t="s">
        <v>14500</v>
      </c>
    </row>
    <row r="2375">
      <c r="A2375" s="2" t="s">
        <v>14501</v>
      </c>
    </row>
    <row r="2377">
      <c r="A2377" s="2" t="s">
        <v>14502</v>
      </c>
    </row>
    <row r="2378">
      <c r="A2378" s="2" t="s">
        <v>14503</v>
      </c>
    </row>
    <row r="2380">
      <c r="A2380" s="2" t="s">
        <v>14504</v>
      </c>
    </row>
    <row r="2382">
      <c r="A2382" s="2" t="s">
        <v>14505</v>
      </c>
    </row>
    <row r="2383">
      <c r="A2383" s="2" t="s">
        <v>14506</v>
      </c>
    </row>
    <row r="2385">
      <c r="A2385" s="2" t="s">
        <v>7691</v>
      </c>
    </row>
    <row r="2386">
      <c r="A2386" s="2" t="s">
        <v>14507</v>
      </c>
    </row>
    <row r="2388">
      <c r="A2388" s="2" t="s">
        <v>14508</v>
      </c>
    </row>
    <row r="2389">
      <c r="A2389" s="2" t="s">
        <v>14509</v>
      </c>
    </row>
    <row r="2391">
      <c r="A2391" s="2" t="s">
        <v>14510</v>
      </c>
    </row>
    <row r="2393">
      <c r="A2393" s="2" t="s">
        <v>14511</v>
      </c>
    </row>
    <row r="2395">
      <c r="A2395" s="2" t="s">
        <v>14512</v>
      </c>
    </row>
    <row r="2396">
      <c r="A2396" s="2" t="s">
        <v>14513</v>
      </c>
    </row>
    <row r="2398">
      <c r="A2398" s="2" t="s">
        <v>14514</v>
      </c>
    </row>
    <row r="2400">
      <c r="A2400" s="2" t="s">
        <v>14515</v>
      </c>
    </row>
    <row r="2401">
      <c r="A2401" s="2" t="s">
        <v>14516</v>
      </c>
    </row>
    <row r="2403">
      <c r="A2403" s="2" t="s">
        <v>14517</v>
      </c>
    </row>
    <row r="2405">
      <c r="A2405" s="2" t="s">
        <v>14518</v>
      </c>
    </row>
    <row r="2406">
      <c r="A2406" s="2" t="s">
        <v>14519</v>
      </c>
    </row>
    <row r="2408">
      <c r="A2408" s="2" t="s">
        <v>14520</v>
      </c>
    </row>
    <row r="2410">
      <c r="A2410" s="2" t="s">
        <v>14521</v>
      </c>
    </row>
    <row r="2411">
      <c r="A2411" s="2" t="s">
        <v>14522</v>
      </c>
    </row>
    <row r="2413">
      <c r="A2413" s="2" t="s">
        <v>14523</v>
      </c>
    </row>
    <row r="2415">
      <c r="A2415" s="2" t="s">
        <v>14524</v>
      </c>
    </row>
    <row r="2416">
      <c r="A2416" s="2" t="s">
        <v>14525</v>
      </c>
    </row>
    <row r="2418">
      <c r="A2418" s="2" t="s">
        <v>7691</v>
      </c>
    </row>
    <row r="2419">
      <c r="A2419" s="2" t="s">
        <v>14526</v>
      </c>
    </row>
    <row r="2420">
      <c r="A2420" s="2" t="s">
        <v>14527</v>
      </c>
    </row>
    <row r="2422">
      <c r="A2422" s="2" t="s">
        <v>14528</v>
      </c>
    </row>
    <row r="2424">
      <c r="A2424" s="2" t="s">
        <v>14529</v>
      </c>
    </row>
    <row r="2426">
      <c r="A2426" s="2" t="s">
        <v>14530</v>
      </c>
    </row>
    <row r="2427">
      <c r="A2427" s="2" t="s">
        <v>14531</v>
      </c>
    </row>
    <row r="2429">
      <c r="A2429" s="2" t="s">
        <v>14532</v>
      </c>
    </row>
    <row r="2431">
      <c r="A2431" s="2" t="s">
        <v>14533</v>
      </c>
    </row>
    <row r="2432">
      <c r="A2432" s="2" t="s">
        <v>14534</v>
      </c>
    </row>
    <row r="2434">
      <c r="A2434" s="2" t="s">
        <v>14535</v>
      </c>
    </row>
    <row r="2436">
      <c r="A2436" s="2" t="s">
        <v>14536</v>
      </c>
    </row>
    <row r="2438">
      <c r="A2438" s="2" t="s">
        <v>14537</v>
      </c>
    </row>
    <row r="2439">
      <c r="A2439" s="2" t="s">
        <v>14538</v>
      </c>
    </row>
    <row r="2441">
      <c r="A2441" s="2" t="s">
        <v>14539</v>
      </c>
    </row>
    <row r="2443">
      <c r="A2443" s="2" t="s">
        <v>14540</v>
      </c>
    </row>
    <row r="2444">
      <c r="A2444" s="2" t="s">
        <v>14541</v>
      </c>
    </row>
    <row r="2446">
      <c r="A2446" s="2" t="s">
        <v>14542</v>
      </c>
    </row>
    <row r="2448">
      <c r="A2448" s="2" t="s">
        <v>14543</v>
      </c>
    </row>
    <row r="2450">
      <c r="A2450" s="2" t="s">
        <v>14544</v>
      </c>
    </row>
    <row r="2451">
      <c r="A2451" s="2" t="s">
        <v>14545</v>
      </c>
    </row>
    <row r="2453">
      <c r="A2453" s="2" t="s">
        <v>14546</v>
      </c>
    </row>
    <row r="2455">
      <c r="A2455" s="2" t="s">
        <v>14547</v>
      </c>
    </row>
    <row r="2456">
      <c r="A2456" s="2" t="s">
        <v>14548</v>
      </c>
    </row>
    <row r="2458">
      <c r="A2458" s="2" t="s">
        <v>14549</v>
      </c>
    </row>
    <row r="2460">
      <c r="A2460" s="2" t="s">
        <v>14550</v>
      </c>
    </row>
    <row r="2461">
      <c r="A2461" s="2" t="s">
        <v>14551</v>
      </c>
    </row>
    <row r="2463">
      <c r="A2463" s="2" t="s">
        <v>14552</v>
      </c>
    </row>
    <row r="2464">
      <c r="A2464" s="2" t="s">
        <v>14553</v>
      </c>
    </row>
    <row r="2466">
      <c r="A2466" s="2" t="s">
        <v>14554</v>
      </c>
    </row>
    <row r="2468">
      <c r="A2468" s="2" t="s">
        <v>14555</v>
      </c>
    </row>
    <row r="2469">
      <c r="A2469" s="2" t="s">
        <v>14556</v>
      </c>
    </row>
    <row r="2471">
      <c r="A2471" s="2" t="s">
        <v>14557</v>
      </c>
    </row>
    <row r="2473">
      <c r="A2473" s="2" t="s">
        <v>14558</v>
      </c>
    </row>
    <row r="2474">
      <c r="A2474" s="2" t="s">
        <v>14559</v>
      </c>
    </row>
    <row r="2476">
      <c r="A2476" s="2" t="s">
        <v>14560</v>
      </c>
    </row>
    <row r="2478">
      <c r="A2478" s="2" t="s">
        <v>14561</v>
      </c>
    </row>
    <row r="2479">
      <c r="A2479" s="2" t="s">
        <v>14562</v>
      </c>
    </row>
    <row r="2481">
      <c r="A2481" s="2" t="s">
        <v>14563</v>
      </c>
    </row>
    <row r="2483">
      <c r="A2483" s="2" t="s">
        <v>14564</v>
      </c>
    </row>
    <row r="2485">
      <c r="A2485" s="2" t="s">
        <v>14565</v>
      </c>
    </row>
    <row r="2486">
      <c r="A2486" s="2" t="s">
        <v>14566</v>
      </c>
    </row>
    <row r="2488">
      <c r="A2488" s="2" t="s">
        <v>14567</v>
      </c>
    </row>
    <row r="2490">
      <c r="A2490" s="2" t="s">
        <v>14568</v>
      </c>
    </row>
    <row r="2492">
      <c r="A2492" s="2" t="s">
        <v>14569</v>
      </c>
    </row>
    <row r="2494">
      <c r="A2494" s="2" t="s">
        <v>14570</v>
      </c>
    </row>
    <row r="2495">
      <c r="A2495" s="2" t="s">
        <v>14571</v>
      </c>
    </row>
    <row r="2497">
      <c r="A2497" s="2" t="s">
        <v>14572</v>
      </c>
    </row>
    <row r="2499">
      <c r="A2499" s="2" t="s">
        <v>14573</v>
      </c>
    </row>
    <row r="2501">
      <c r="A2501" s="2" t="s">
        <v>14574</v>
      </c>
    </row>
    <row r="2503">
      <c r="A2503" s="2" t="s">
        <v>14575</v>
      </c>
    </row>
    <row r="2504">
      <c r="A2504" s="2" t="s">
        <v>14576</v>
      </c>
    </row>
    <row r="2506">
      <c r="A2506" s="2" t="s">
        <v>14577</v>
      </c>
    </row>
    <row r="2508">
      <c r="A2508" s="2" t="s">
        <v>14578</v>
      </c>
    </row>
    <row r="2510">
      <c r="A2510" s="2" t="s">
        <v>14579</v>
      </c>
    </row>
    <row r="2511">
      <c r="A2511" s="2" t="s">
        <v>14580</v>
      </c>
    </row>
    <row r="2513">
      <c r="A2513" s="2" t="s">
        <v>7691</v>
      </c>
    </row>
    <row r="2514">
      <c r="A2514" s="2" t="s">
        <v>14581</v>
      </c>
    </row>
    <row r="2515">
      <c r="A2515" s="2" t="s">
        <v>14582</v>
      </c>
    </row>
    <row r="2516">
      <c r="A2516" s="2" t="s">
        <v>14583</v>
      </c>
    </row>
    <row r="2518">
      <c r="A2518" s="2" t="s">
        <v>14584</v>
      </c>
    </row>
    <row r="2520">
      <c r="A2520" s="2" t="s">
        <v>14585</v>
      </c>
    </row>
    <row r="2522">
      <c r="A2522" s="2" t="s">
        <v>14586</v>
      </c>
    </row>
    <row r="2523">
      <c r="A2523" s="2" t="s">
        <v>14587</v>
      </c>
    </row>
    <row r="2525">
      <c r="A2525" s="2" t="s">
        <v>14588</v>
      </c>
    </row>
    <row r="2527">
      <c r="A2527" s="2" t="s">
        <v>14589</v>
      </c>
    </row>
    <row r="2528">
      <c r="A2528" s="2" t="s">
        <v>14590</v>
      </c>
    </row>
    <row r="2530">
      <c r="A2530" s="2" t="s">
        <v>14591</v>
      </c>
    </row>
    <row r="2531">
      <c r="A2531" s="2" t="s">
        <v>14592</v>
      </c>
    </row>
    <row r="2533">
      <c r="A2533" s="2" t="s">
        <v>14593</v>
      </c>
    </row>
    <row r="2535">
      <c r="A2535" s="2" t="s">
        <v>14594</v>
      </c>
    </row>
    <row r="2536">
      <c r="A2536" s="2" t="s">
        <v>14595</v>
      </c>
    </row>
    <row r="2538">
      <c r="A2538" s="2" t="s">
        <v>14596</v>
      </c>
    </row>
    <row r="2539">
      <c r="A2539" s="2" t="s">
        <v>14597</v>
      </c>
    </row>
    <row r="2541">
      <c r="A2541" s="2" t="s">
        <v>14598</v>
      </c>
    </row>
    <row r="2542">
      <c r="A2542" s="2" t="s">
        <v>14599</v>
      </c>
    </row>
    <row r="2544">
      <c r="A2544" s="2" t="s">
        <v>14600</v>
      </c>
    </row>
    <row r="2546">
      <c r="A2546" s="2" t="s">
        <v>14601</v>
      </c>
    </row>
    <row r="2548">
      <c r="A2548" s="2" t="s">
        <v>14602</v>
      </c>
    </row>
    <row r="2549">
      <c r="A2549" s="2" t="s">
        <v>14603</v>
      </c>
    </row>
    <row r="2551">
      <c r="A2551" s="2" t="s">
        <v>14604</v>
      </c>
    </row>
    <row r="2553">
      <c r="A2553" s="2" t="s">
        <v>14605</v>
      </c>
    </row>
    <row r="2554">
      <c r="A2554" s="2" t="s">
        <v>14606</v>
      </c>
    </row>
    <row r="2556">
      <c r="A2556" s="2" t="s">
        <v>14607</v>
      </c>
    </row>
    <row r="2558">
      <c r="A2558" s="2" t="s">
        <v>14108</v>
      </c>
    </row>
    <row r="2559">
      <c r="A2559" s="2" t="s">
        <v>14608</v>
      </c>
    </row>
    <row r="2560">
      <c r="A2560" s="2" t="s">
        <v>14609</v>
      </c>
    </row>
    <row r="2562">
      <c r="A2562" s="2" t="s">
        <v>14610</v>
      </c>
    </row>
    <row r="2564">
      <c r="A2564" s="2" t="s">
        <v>14611</v>
      </c>
    </row>
    <row r="2565">
      <c r="A2565" s="2" t="s">
        <v>14612</v>
      </c>
    </row>
    <row r="2567">
      <c r="A2567" s="2" t="s">
        <v>14613</v>
      </c>
    </row>
    <row r="2568">
      <c r="A2568" s="2" t="s">
        <v>14614</v>
      </c>
    </row>
    <row r="2570">
      <c r="A2570" s="2" t="s">
        <v>14615</v>
      </c>
    </row>
    <row r="2572">
      <c r="A2572" s="2" t="s">
        <v>14616</v>
      </c>
    </row>
    <row r="2573">
      <c r="A2573" s="2" t="s">
        <v>14617</v>
      </c>
    </row>
    <row r="2575">
      <c r="A2575" s="2" t="s">
        <v>14618</v>
      </c>
    </row>
    <row r="2577">
      <c r="A2577" s="2" t="s">
        <v>14619</v>
      </c>
    </row>
    <row r="2579">
      <c r="A2579" s="2" t="s">
        <v>14620</v>
      </c>
    </row>
    <row r="2580">
      <c r="A2580" s="2" t="s">
        <v>14621</v>
      </c>
    </row>
    <row r="2582">
      <c r="A2582" s="2" t="s">
        <v>14622</v>
      </c>
    </row>
    <row r="2584">
      <c r="A2584" s="2" t="s">
        <v>14623</v>
      </c>
    </row>
    <row r="2586">
      <c r="A2586" s="2" t="s">
        <v>14624</v>
      </c>
    </row>
    <row r="2587">
      <c r="A2587" s="2" t="s">
        <v>14625</v>
      </c>
    </row>
    <row r="2589">
      <c r="A2589" s="2" t="s">
        <v>14626</v>
      </c>
    </row>
    <row r="2591">
      <c r="A2591" s="2" t="s">
        <v>14627</v>
      </c>
    </row>
    <row r="2592">
      <c r="A2592" s="2" t="s">
        <v>14628</v>
      </c>
    </row>
    <row r="2594">
      <c r="A2594" s="2" t="s">
        <v>14629</v>
      </c>
    </row>
    <row r="2596">
      <c r="A2596" s="2" t="s">
        <v>14630</v>
      </c>
    </row>
    <row r="2597">
      <c r="A2597" s="2" t="s">
        <v>14631</v>
      </c>
    </row>
    <row r="2599">
      <c r="A2599" s="2" t="s">
        <v>14632</v>
      </c>
    </row>
    <row r="2601">
      <c r="A2601" s="2" t="s">
        <v>14633</v>
      </c>
    </row>
    <row r="2602">
      <c r="A2602" s="2" t="s">
        <v>14634</v>
      </c>
    </row>
    <row r="2603">
      <c r="A2603" s="2" t="s">
        <v>14635</v>
      </c>
    </row>
    <row r="2605">
      <c r="A2605" s="2" t="s">
        <v>14636</v>
      </c>
    </row>
    <row r="2607">
      <c r="A2607" s="2" t="s">
        <v>14637</v>
      </c>
    </row>
    <row r="2608">
      <c r="A2608" s="2" t="s">
        <v>14638</v>
      </c>
    </row>
    <row r="2610">
      <c r="A2610" s="2" t="s">
        <v>14639</v>
      </c>
    </row>
    <row r="2612">
      <c r="A2612" s="2" t="s">
        <v>14640</v>
      </c>
    </row>
    <row r="2613">
      <c r="A2613" s="2" t="s">
        <v>14641</v>
      </c>
    </row>
    <row r="2615">
      <c r="A2615" s="2" t="s">
        <v>14642</v>
      </c>
    </row>
    <row r="2617">
      <c r="A2617" s="2" t="s">
        <v>14643</v>
      </c>
    </row>
    <row r="2618">
      <c r="A2618" s="2" t="s">
        <v>14644</v>
      </c>
    </row>
    <row r="2620">
      <c r="A2620" s="2" t="s">
        <v>14645</v>
      </c>
    </row>
    <row r="2622">
      <c r="A2622" s="2" t="s">
        <v>14646</v>
      </c>
    </row>
    <row r="2623">
      <c r="A2623" s="2" t="s">
        <v>14647</v>
      </c>
    </row>
    <row r="2625">
      <c r="A2625" s="2" t="s">
        <v>14648</v>
      </c>
    </row>
    <row r="2627">
      <c r="A2627" s="2" t="s">
        <v>14649</v>
      </c>
    </row>
    <row r="2628">
      <c r="A2628" s="2" t="s">
        <v>14650</v>
      </c>
    </row>
    <row r="2630">
      <c r="A2630" s="2" t="s">
        <v>14651</v>
      </c>
    </row>
    <row r="2632">
      <c r="A2632" s="2" t="s">
        <v>14652</v>
      </c>
    </row>
    <row r="2633">
      <c r="A2633" s="2" t="s">
        <v>14653</v>
      </c>
    </row>
    <row r="2635">
      <c r="A2635" s="2" t="s">
        <v>14654</v>
      </c>
    </row>
    <row r="2636">
      <c r="A2636" s="2" t="s">
        <v>14655</v>
      </c>
    </row>
    <row r="2638">
      <c r="A2638" s="2" t="s">
        <v>14656</v>
      </c>
    </row>
    <row r="2640">
      <c r="A2640" s="2" t="s">
        <v>14657</v>
      </c>
    </row>
    <row r="2641">
      <c r="A2641" s="2" t="s">
        <v>14658</v>
      </c>
    </row>
    <row r="2643">
      <c r="A2643" s="2" t="s">
        <v>14659</v>
      </c>
    </row>
    <row r="2645">
      <c r="A2645" s="2" t="s">
        <v>14660</v>
      </c>
    </row>
    <row r="2646">
      <c r="A2646" s="2" t="s">
        <v>14661</v>
      </c>
    </row>
    <row r="2648">
      <c r="A2648" s="2" t="s">
        <v>14662</v>
      </c>
    </row>
    <row r="2650">
      <c r="A2650" s="2" t="s">
        <v>14663</v>
      </c>
    </row>
    <row r="2651">
      <c r="A2651" s="2" t="s">
        <v>14664</v>
      </c>
    </row>
    <row r="2653">
      <c r="A2653" s="2" t="s">
        <v>7691</v>
      </c>
    </row>
    <row r="2654">
      <c r="A2654" s="2" t="s">
        <v>14665</v>
      </c>
    </row>
    <row r="2655">
      <c r="A2655" s="2" t="s">
        <v>14666</v>
      </c>
    </row>
    <row r="2657">
      <c r="A2657" s="2" t="s">
        <v>14667</v>
      </c>
    </row>
    <row r="2659">
      <c r="A2659" s="2" t="s">
        <v>14668</v>
      </c>
    </row>
    <row r="2660">
      <c r="A2660" s="2" t="s">
        <v>14669</v>
      </c>
    </row>
    <row r="2662">
      <c r="A2662" s="2" t="s">
        <v>14670</v>
      </c>
    </row>
    <row r="2663">
      <c r="A2663" s="2" t="s">
        <v>14671</v>
      </c>
    </row>
    <row r="2665">
      <c r="A2665" s="2" t="s">
        <v>14672</v>
      </c>
    </row>
    <row r="2667">
      <c r="A2667" s="2" t="s">
        <v>14673</v>
      </c>
    </row>
    <row r="2668">
      <c r="A2668" s="2" t="s">
        <v>14674</v>
      </c>
    </row>
    <row r="2670">
      <c r="A2670" s="2" t="s">
        <v>14675</v>
      </c>
    </row>
    <row r="2671">
      <c r="A2671" s="2" t="s">
        <v>14676</v>
      </c>
    </row>
    <row r="2673">
      <c r="A2673" s="2" t="s">
        <v>7691</v>
      </c>
    </row>
    <row r="2674">
      <c r="A2674" s="2" t="s">
        <v>14677</v>
      </c>
    </row>
    <row r="2675">
      <c r="A2675" s="2" t="s">
        <v>14678</v>
      </c>
    </row>
    <row r="2677">
      <c r="A2677" s="2" t="s">
        <v>14679</v>
      </c>
    </row>
    <row r="2678">
      <c r="A2678" s="2" t="s">
        <v>14680</v>
      </c>
    </row>
    <row r="2680">
      <c r="A2680" s="2" t="s">
        <v>14681</v>
      </c>
    </row>
    <row r="2682">
      <c r="A2682" s="2" t="s">
        <v>14682</v>
      </c>
    </row>
    <row r="2683">
      <c r="A2683" s="2" t="s">
        <v>14683</v>
      </c>
    </row>
    <row r="2685">
      <c r="A2685" s="2" t="s">
        <v>14684</v>
      </c>
    </row>
    <row r="2686">
      <c r="A2686" s="2" t="s">
        <v>14685</v>
      </c>
    </row>
    <row r="2688">
      <c r="A2688" s="2" t="s">
        <v>14686</v>
      </c>
    </row>
    <row r="2690">
      <c r="A2690" s="2" t="s">
        <v>14687</v>
      </c>
    </row>
    <row r="2692">
      <c r="A2692" s="2" t="s">
        <v>14688</v>
      </c>
    </row>
    <row r="2693">
      <c r="A2693" s="2" t="s">
        <v>14689</v>
      </c>
    </row>
    <row r="2695">
      <c r="A2695" s="2" t="s">
        <v>7691</v>
      </c>
    </row>
    <row r="2696">
      <c r="A2696" s="2" t="s">
        <v>14690</v>
      </c>
    </row>
    <row r="2698">
      <c r="A2698" s="2" t="s">
        <v>14691</v>
      </c>
    </row>
    <row r="2699">
      <c r="A2699" s="2" t="s">
        <v>14692</v>
      </c>
    </row>
    <row r="2701">
      <c r="A2701" s="2" t="s">
        <v>14693</v>
      </c>
    </row>
    <row r="2703">
      <c r="A2703" s="2" t="s">
        <v>14694</v>
      </c>
    </row>
    <row r="2705">
      <c r="A2705" s="2" t="s">
        <v>14695</v>
      </c>
    </row>
    <row r="2706">
      <c r="A2706" s="2" t="s">
        <v>14696</v>
      </c>
    </row>
    <row r="2708">
      <c r="A2708" s="2" t="s">
        <v>14697</v>
      </c>
    </row>
    <row r="2710">
      <c r="A2710" s="2" t="s">
        <v>14698</v>
      </c>
    </row>
    <row r="2711">
      <c r="A2711" s="2" t="s">
        <v>14699</v>
      </c>
    </row>
    <row r="2713">
      <c r="A2713" s="2" t="s">
        <v>14700</v>
      </c>
    </row>
    <row r="2715">
      <c r="A2715" s="2" t="s">
        <v>14701</v>
      </c>
    </row>
    <row r="2717">
      <c r="A2717" s="2" t="s">
        <v>14702</v>
      </c>
    </row>
    <row r="2718">
      <c r="A2718" s="2" t="s">
        <v>14703</v>
      </c>
    </row>
    <row r="2720">
      <c r="A2720" s="2" t="s">
        <v>14704</v>
      </c>
    </row>
    <row r="2722">
      <c r="A2722" s="2" t="s">
        <v>14705</v>
      </c>
    </row>
    <row r="2723">
      <c r="A2723" s="2" t="s">
        <v>14706</v>
      </c>
    </row>
    <row r="2725">
      <c r="A2725" s="2" t="s">
        <v>14707</v>
      </c>
    </row>
    <row r="2727">
      <c r="A2727" s="2" t="s">
        <v>14708</v>
      </c>
    </row>
    <row r="2728">
      <c r="A2728" s="2" t="s">
        <v>14709</v>
      </c>
    </row>
    <row r="2730">
      <c r="A2730" s="2" t="s">
        <v>14710</v>
      </c>
    </row>
    <row r="2732">
      <c r="A2732" s="2" t="s">
        <v>14711</v>
      </c>
    </row>
    <row r="2734">
      <c r="A2734" s="2" t="s">
        <v>14712</v>
      </c>
    </row>
    <row r="2735">
      <c r="A2735" s="2" t="s">
        <v>14713</v>
      </c>
    </row>
    <row r="2737">
      <c r="A2737" s="2" t="s">
        <v>14714</v>
      </c>
    </row>
    <row r="2738">
      <c r="A2738" s="2" t="s">
        <v>14715</v>
      </c>
    </row>
    <row r="2740">
      <c r="A2740" s="2" t="s">
        <v>14716</v>
      </c>
    </row>
    <row r="2742">
      <c r="A2742" s="2" t="s">
        <v>14717</v>
      </c>
    </row>
    <row r="2743">
      <c r="A2743" s="2" t="s">
        <v>14718</v>
      </c>
    </row>
    <row r="2745">
      <c r="A2745" s="2" t="s">
        <v>14719</v>
      </c>
    </row>
    <row r="2746">
      <c r="A2746" s="2" t="s">
        <v>14720</v>
      </c>
    </row>
    <row r="2748">
      <c r="A2748" s="2" t="s">
        <v>14721</v>
      </c>
    </row>
    <row r="2750">
      <c r="A2750" s="2" t="s">
        <v>14722</v>
      </c>
    </row>
    <row r="2751">
      <c r="A2751" s="2" t="s">
        <v>14723</v>
      </c>
    </row>
    <row r="2753">
      <c r="A2753" s="2" t="s">
        <v>14724</v>
      </c>
    </row>
    <row r="2755">
      <c r="A2755" s="2" t="s">
        <v>14725</v>
      </c>
    </row>
    <row r="2756">
      <c r="A2756" s="2" t="s">
        <v>14726</v>
      </c>
    </row>
    <row r="2758">
      <c r="A2758" s="2" t="s">
        <v>14727</v>
      </c>
    </row>
    <row r="2760">
      <c r="A2760" s="2" t="s">
        <v>14728</v>
      </c>
    </row>
    <row r="2762">
      <c r="A2762" s="2" t="s">
        <v>14729</v>
      </c>
    </row>
    <row r="2763">
      <c r="A2763" s="2" t="s">
        <v>14730</v>
      </c>
    </row>
    <row r="2765">
      <c r="A2765" s="2" t="s">
        <v>14731</v>
      </c>
    </row>
    <row r="2767">
      <c r="A2767" s="2" t="s">
        <v>14732</v>
      </c>
    </row>
    <row r="2769">
      <c r="A2769" s="2" t="s">
        <v>14733</v>
      </c>
    </row>
    <row r="2770">
      <c r="A2770" s="2" t="s">
        <v>14734</v>
      </c>
    </row>
    <row r="2772">
      <c r="A2772" s="2" t="s">
        <v>14735</v>
      </c>
    </row>
    <row r="2774">
      <c r="A2774" s="2" t="s">
        <v>14736</v>
      </c>
    </row>
    <row r="2776">
      <c r="A2776" s="2" t="s">
        <v>14737</v>
      </c>
    </row>
    <row r="2777">
      <c r="A2777" s="2" t="s">
        <v>14738</v>
      </c>
    </row>
    <row r="2779">
      <c r="A2779" s="2" t="s">
        <v>14739</v>
      </c>
    </row>
    <row r="2781">
      <c r="A2781" s="2" t="s">
        <v>14740</v>
      </c>
    </row>
    <row r="2783">
      <c r="A2783" s="2" t="s">
        <v>14741</v>
      </c>
    </row>
    <row r="2785">
      <c r="A2785" s="2" t="s">
        <v>14742</v>
      </c>
    </row>
    <row r="2787">
      <c r="A2787" s="2" t="s">
        <v>14743</v>
      </c>
    </row>
    <row r="2788">
      <c r="A2788" s="2" t="s">
        <v>14744</v>
      </c>
    </row>
    <row r="2790">
      <c r="A2790" s="2" t="s">
        <v>14745</v>
      </c>
    </row>
    <row r="2791">
      <c r="A2791" s="2" t="s">
        <v>14746</v>
      </c>
    </row>
    <row r="2793">
      <c r="A2793" s="2" t="s">
        <v>14747</v>
      </c>
    </row>
    <row r="2795">
      <c r="A2795" s="2" t="s">
        <v>14748</v>
      </c>
    </row>
    <row r="2796">
      <c r="A2796" s="2" t="s">
        <v>14749</v>
      </c>
    </row>
    <row r="2798">
      <c r="A2798" s="2" t="s">
        <v>14750</v>
      </c>
    </row>
    <row r="2799">
      <c r="A2799" s="2" t="s">
        <v>14751</v>
      </c>
    </row>
    <row r="2801">
      <c r="A2801" s="2" t="s">
        <v>14752</v>
      </c>
    </row>
    <row r="2802">
      <c r="A2802" s="2" t="s">
        <v>14753</v>
      </c>
    </row>
    <row r="2804">
      <c r="A2804" s="2" t="s">
        <v>14754</v>
      </c>
    </row>
    <row r="2805">
      <c r="A2805" s="2" t="s">
        <v>14755</v>
      </c>
    </row>
    <row r="2807">
      <c r="A2807" s="2" t="s">
        <v>14756</v>
      </c>
    </row>
    <row r="2808">
      <c r="A2808" s="2" t="s">
        <v>14757</v>
      </c>
    </row>
    <row r="2810">
      <c r="A2810" s="2" t="s">
        <v>14758</v>
      </c>
    </row>
    <row r="2812">
      <c r="A2812" s="2" t="s">
        <v>14759</v>
      </c>
    </row>
    <row r="2814">
      <c r="A2814" s="2" t="s">
        <v>14760</v>
      </c>
    </row>
    <row r="2815">
      <c r="A2815" s="2" t="s">
        <v>14761</v>
      </c>
    </row>
    <row r="2817">
      <c r="A2817" s="2" t="s">
        <v>14762</v>
      </c>
    </row>
    <row r="2819">
      <c r="A2819" s="2" t="s">
        <v>14763</v>
      </c>
    </row>
    <row r="2820">
      <c r="A2820" s="2" t="s">
        <v>14764</v>
      </c>
    </row>
    <row r="2822">
      <c r="A2822" s="2" t="s">
        <v>14765</v>
      </c>
    </row>
    <row r="2824">
      <c r="A2824" s="2" t="s">
        <v>14766</v>
      </c>
    </row>
    <row r="2826">
      <c r="A2826" s="2" t="s">
        <v>14767</v>
      </c>
    </row>
    <row r="2827">
      <c r="A2827" s="2" t="s">
        <v>14768</v>
      </c>
    </row>
    <row r="2829">
      <c r="A2829" s="2" t="s">
        <v>14769</v>
      </c>
    </row>
    <row r="2831">
      <c r="A2831" s="2" t="s">
        <v>14770</v>
      </c>
    </row>
    <row r="2832">
      <c r="A2832" s="2" t="s">
        <v>14771</v>
      </c>
    </row>
    <row r="2834">
      <c r="A2834" s="2" t="s">
        <v>14772</v>
      </c>
    </row>
    <row r="2835">
      <c r="A2835" s="2" t="s">
        <v>14773</v>
      </c>
    </row>
    <row r="2837">
      <c r="A2837" s="2" t="s">
        <v>14774</v>
      </c>
    </row>
    <row r="2838">
      <c r="A2838" s="2" t="s">
        <v>14775</v>
      </c>
    </row>
    <row r="2840">
      <c r="A2840" s="2" t="s">
        <v>14776</v>
      </c>
    </row>
    <row r="2842">
      <c r="A2842" s="2" t="s">
        <v>14777</v>
      </c>
    </row>
    <row r="2844">
      <c r="A2844" s="2" t="s">
        <v>14778</v>
      </c>
    </row>
    <row r="2845">
      <c r="A2845" s="2" t="s">
        <v>14779</v>
      </c>
    </row>
    <row r="2847">
      <c r="A2847" s="2" t="s">
        <v>14780</v>
      </c>
    </row>
    <row r="2848">
      <c r="A2848" s="2" t="s">
        <v>14781</v>
      </c>
    </row>
    <row r="2850">
      <c r="A2850" s="2" t="s">
        <v>14782</v>
      </c>
    </row>
    <row r="2851">
      <c r="A2851" s="2" t="s">
        <v>14783</v>
      </c>
    </row>
    <row r="2853">
      <c r="A2853" s="2" t="s">
        <v>14784</v>
      </c>
    </row>
    <row r="2855">
      <c r="A2855" s="2" t="s">
        <v>14785</v>
      </c>
    </row>
    <row r="2856">
      <c r="A2856" s="2" t="s">
        <v>14786</v>
      </c>
    </row>
    <row r="2858">
      <c r="A2858" s="2" t="s">
        <v>14787</v>
      </c>
    </row>
    <row r="2860">
      <c r="A2860" s="2" t="s">
        <v>14788</v>
      </c>
    </row>
    <row r="2861">
      <c r="A2861" s="2" t="s">
        <v>14789</v>
      </c>
    </row>
    <row r="2863">
      <c r="A2863" s="2" t="s">
        <v>14790</v>
      </c>
    </row>
    <row r="2865">
      <c r="A2865" s="2" t="s">
        <v>14791</v>
      </c>
    </row>
    <row r="2866">
      <c r="A2866" s="2" t="s">
        <v>14792</v>
      </c>
    </row>
    <row r="2868">
      <c r="A2868" s="2" t="s">
        <v>14793</v>
      </c>
    </row>
    <row r="2870">
      <c r="A2870" s="2" t="s">
        <v>14794</v>
      </c>
    </row>
    <row r="2872">
      <c r="A2872" s="2" t="s">
        <v>14795</v>
      </c>
    </row>
    <row r="2873">
      <c r="A2873" s="2" t="s">
        <v>14796</v>
      </c>
    </row>
    <row r="2875">
      <c r="A2875" s="2" t="s">
        <v>14797</v>
      </c>
    </row>
    <row r="2877">
      <c r="A2877" s="2" t="s">
        <v>14798</v>
      </c>
    </row>
    <row r="2878">
      <c r="A2878" s="2" t="s">
        <v>14799</v>
      </c>
    </row>
    <row r="2880">
      <c r="A2880" s="2" t="s">
        <v>14800</v>
      </c>
    </row>
    <row r="2881">
      <c r="A2881" s="2" t="s">
        <v>14801</v>
      </c>
    </row>
    <row r="2882">
      <c r="A2882" s="2" t="s">
        <v>14802</v>
      </c>
    </row>
    <row r="2884">
      <c r="A2884" s="2" t="s">
        <v>7462</v>
      </c>
    </row>
    <row r="2885">
      <c r="A2885" s="2" t="s">
        <v>14803</v>
      </c>
    </row>
    <row r="2886">
      <c r="A2886" s="2" t="s">
        <v>14804</v>
      </c>
    </row>
    <row r="2888">
      <c r="A2888" s="2" t="s">
        <v>14805</v>
      </c>
    </row>
    <row r="2890">
      <c r="A2890" s="2" t="s">
        <v>14806</v>
      </c>
    </row>
    <row r="2892">
      <c r="A2892" s="2" t="s">
        <v>14807</v>
      </c>
    </row>
    <row r="2893">
      <c r="A2893" s="2" t="s">
        <v>14808</v>
      </c>
    </row>
    <row r="2895">
      <c r="A2895" s="2" t="s">
        <v>14809</v>
      </c>
    </row>
    <row r="2897">
      <c r="A2897" s="2" t="s">
        <v>14810</v>
      </c>
    </row>
    <row r="2898">
      <c r="A2898" s="2" t="s">
        <v>14811</v>
      </c>
    </row>
    <row r="2900">
      <c r="A2900" s="2" t="s">
        <v>14812</v>
      </c>
    </row>
    <row r="2901">
      <c r="A2901" s="2" t="s">
        <v>14813</v>
      </c>
    </row>
    <row r="2903">
      <c r="A2903" s="2" t="s">
        <v>14814</v>
      </c>
    </row>
    <row r="2904">
      <c r="A2904" s="2" t="s">
        <v>14815</v>
      </c>
    </row>
    <row r="2906">
      <c r="A2906" s="2" t="s">
        <v>14816</v>
      </c>
    </row>
    <row r="2908">
      <c r="A2908" s="2" t="s">
        <v>14817</v>
      </c>
    </row>
    <row r="2910">
      <c r="A2910" s="2" t="s">
        <v>14818</v>
      </c>
    </row>
    <row r="2911">
      <c r="A2911" s="2" t="s">
        <v>14819</v>
      </c>
    </row>
    <row r="2913">
      <c r="A2913" s="2" t="s">
        <v>14820</v>
      </c>
    </row>
    <row r="2915">
      <c r="A2915" s="2" t="s">
        <v>14821</v>
      </c>
    </row>
    <row r="2917">
      <c r="A2917" s="2" t="s">
        <v>14822</v>
      </c>
    </row>
    <row r="2918">
      <c r="A2918" s="2" t="s">
        <v>14823</v>
      </c>
    </row>
    <row r="2920">
      <c r="A2920" s="2" t="s">
        <v>14824</v>
      </c>
    </row>
    <row r="2921">
      <c r="A2921" s="2" t="s">
        <v>14825</v>
      </c>
    </row>
    <row r="2923">
      <c r="A2923" s="2" t="s">
        <v>14826</v>
      </c>
    </row>
    <row r="2925">
      <c r="A2925" s="2" t="s">
        <v>14827</v>
      </c>
    </row>
    <row r="2926">
      <c r="A2926" s="2" t="s">
        <v>14828</v>
      </c>
    </row>
    <row r="2928">
      <c r="A2928" s="2" t="s">
        <v>14829</v>
      </c>
    </row>
    <row r="2930">
      <c r="A2930" s="2" t="s">
        <v>14830</v>
      </c>
    </row>
    <row r="2932">
      <c r="A2932" s="2" t="s">
        <v>14831</v>
      </c>
    </row>
    <row r="2934">
      <c r="A2934" s="2" t="s">
        <v>14832</v>
      </c>
    </row>
  </sheetData>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6288</v>
      </c>
    </row>
    <row r="2">
      <c r="A2" s="2" t="s">
        <v>14833</v>
      </c>
    </row>
    <row r="3">
      <c r="A3" s="2" t="s">
        <v>14834</v>
      </c>
    </row>
    <row r="4">
      <c r="A4" s="2" t="s">
        <v>14835</v>
      </c>
    </row>
    <row r="5">
      <c r="A5" s="2" t="s">
        <v>14836</v>
      </c>
    </row>
    <row r="6">
      <c r="A6" s="2" t="s">
        <v>14837</v>
      </c>
    </row>
    <row r="7">
      <c r="A7" s="2" t="s">
        <v>14838</v>
      </c>
    </row>
    <row r="8">
      <c r="A8" s="2" t="s">
        <v>14839</v>
      </c>
    </row>
    <row r="9">
      <c r="A9" s="2" t="s">
        <v>14840</v>
      </c>
    </row>
    <row r="10">
      <c r="A10" s="2" t="s">
        <v>14841</v>
      </c>
    </row>
    <row r="11">
      <c r="A11" s="2" t="s">
        <v>14842</v>
      </c>
    </row>
    <row r="12">
      <c r="A12" s="2" t="s">
        <v>14843</v>
      </c>
    </row>
    <row r="13">
      <c r="A13" s="2" t="s">
        <v>14844</v>
      </c>
    </row>
    <row r="14">
      <c r="A14" s="2" t="s">
        <v>14845</v>
      </c>
    </row>
    <row r="15">
      <c r="A15" s="2" t="s">
        <v>14846</v>
      </c>
    </row>
    <row r="16">
      <c r="A16" s="2" t="s">
        <v>14847</v>
      </c>
    </row>
    <row r="17">
      <c r="A17" s="2" t="s">
        <v>14848</v>
      </c>
    </row>
    <row r="18">
      <c r="A18" s="2" t="s">
        <v>14849</v>
      </c>
    </row>
    <row r="19">
      <c r="A19" s="2" t="s">
        <v>14850</v>
      </c>
    </row>
    <row r="20">
      <c r="A20" s="2" t="s">
        <v>14851</v>
      </c>
    </row>
    <row r="21">
      <c r="A21" s="2" t="s">
        <v>14852</v>
      </c>
    </row>
    <row r="22">
      <c r="A22" s="2" t="s">
        <v>14853</v>
      </c>
    </row>
    <row r="23">
      <c r="A23" s="2" t="s">
        <v>14854</v>
      </c>
    </row>
    <row r="24">
      <c r="A24" s="2" t="s">
        <v>14855</v>
      </c>
    </row>
    <row r="25">
      <c r="A25" s="2" t="s">
        <v>14856</v>
      </c>
    </row>
    <row r="26">
      <c r="A26" s="2" t="s">
        <v>14857</v>
      </c>
    </row>
    <row r="27">
      <c r="A27" s="2" t="s">
        <v>14858</v>
      </c>
    </row>
    <row r="28">
      <c r="A28" s="2" t="s">
        <v>14859</v>
      </c>
    </row>
    <row r="29">
      <c r="A29" s="2" t="s">
        <v>14860</v>
      </c>
    </row>
    <row r="30">
      <c r="A30" s="2" t="s">
        <v>14861</v>
      </c>
    </row>
    <row r="31">
      <c r="A31" s="2" t="s">
        <v>14862</v>
      </c>
    </row>
    <row r="32">
      <c r="A32" s="2" t="s">
        <v>14863</v>
      </c>
    </row>
    <row r="33">
      <c r="A33" s="2" t="s">
        <v>14864</v>
      </c>
    </row>
    <row r="34">
      <c r="A34" s="2" t="s">
        <v>14865</v>
      </c>
    </row>
    <row r="35">
      <c r="A35" s="2" t="s">
        <v>14866</v>
      </c>
    </row>
    <row r="36">
      <c r="A36" s="2" t="s">
        <v>14867</v>
      </c>
    </row>
    <row r="37">
      <c r="A37" s="2" t="s">
        <v>14868</v>
      </c>
    </row>
    <row r="38">
      <c r="A38" s="2" t="s">
        <v>14869</v>
      </c>
    </row>
    <row r="39">
      <c r="A39" s="2" t="s">
        <v>14870</v>
      </c>
    </row>
    <row r="40">
      <c r="A40" s="2" t="s">
        <v>14871</v>
      </c>
    </row>
    <row r="41">
      <c r="A41" s="2" t="s">
        <v>14872</v>
      </c>
    </row>
    <row r="42">
      <c r="A42" s="2" t="s">
        <v>14873</v>
      </c>
    </row>
    <row r="43">
      <c r="A43" s="2" t="s">
        <v>14874</v>
      </c>
    </row>
    <row r="44">
      <c r="A44" s="2" t="s">
        <v>14875</v>
      </c>
    </row>
    <row r="45">
      <c r="A45" s="2" t="s">
        <v>14876</v>
      </c>
    </row>
    <row r="46">
      <c r="A46" s="2" t="s">
        <v>14877</v>
      </c>
    </row>
    <row r="47">
      <c r="A47" s="2" t="s">
        <v>14878</v>
      </c>
    </row>
    <row r="48">
      <c r="A48" s="2" t="s">
        <v>14879</v>
      </c>
    </row>
    <row r="49">
      <c r="A49" s="2" t="s">
        <v>14880</v>
      </c>
    </row>
    <row r="50">
      <c r="A50" s="2" t="s">
        <v>14881</v>
      </c>
    </row>
    <row r="51">
      <c r="A51" s="2" t="s">
        <v>14882</v>
      </c>
    </row>
    <row r="52">
      <c r="A52" s="2" t="s">
        <v>14883</v>
      </c>
    </row>
    <row r="53">
      <c r="A53" s="2" t="s">
        <v>14884</v>
      </c>
    </row>
    <row r="54">
      <c r="A54" s="2" t="s">
        <v>14885</v>
      </c>
    </row>
    <row r="55">
      <c r="A55" s="2" t="s">
        <v>14886</v>
      </c>
    </row>
    <row r="56">
      <c r="A56" s="2" t="s">
        <v>14887</v>
      </c>
    </row>
    <row r="57">
      <c r="A57" s="2" t="s">
        <v>14888</v>
      </c>
    </row>
    <row r="58">
      <c r="A58" s="2" t="s">
        <v>14889</v>
      </c>
    </row>
    <row r="59">
      <c r="A59" s="2" t="s">
        <v>14890</v>
      </c>
    </row>
    <row r="60">
      <c r="A60" s="2" t="s">
        <v>14891</v>
      </c>
    </row>
    <row r="61">
      <c r="A61" s="2" t="s">
        <v>14892</v>
      </c>
    </row>
    <row r="62">
      <c r="A62" s="2" t="s">
        <v>14893</v>
      </c>
    </row>
    <row r="63">
      <c r="A63" s="2" t="s">
        <v>14894</v>
      </c>
    </row>
    <row r="64">
      <c r="A64" s="2" t="s">
        <v>14895</v>
      </c>
    </row>
    <row r="65">
      <c r="A65" s="2" t="s">
        <v>14896</v>
      </c>
    </row>
    <row r="66">
      <c r="A66" s="2" t="s">
        <v>14897</v>
      </c>
    </row>
    <row r="67">
      <c r="A67" s="2" t="s">
        <v>14898</v>
      </c>
    </row>
    <row r="68">
      <c r="A68" s="2" t="s">
        <v>14899</v>
      </c>
    </row>
    <row r="69">
      <c r="A69" s="2" t="s">
        <v>14900</v>
      </c>
    </row>
    <row r="70">
      <c r="A70" s="2" t="s">
        <v>14901</v>
      </c>
    </row>
    <row r="71">
      <c r="A71" s="2" t="s">
        <v>14902</v>
      </c>
    </row>
    <row r="72">
      <c r="A72" s="2" t="s">
        <v>14903</v>
      </c>
    </row>
    <row r="73">
      <c r="A73" s="2" t="s">
        <v>14904</v>
      </c>
    </row>
    <row r="74">
      <c r="A74" s="2" t="s">
        <v>14905</v>
      </c>
    </row>
    <row r="75">
      <c r="A75" s="2" t="s">
        <v>14906</v>
      </c>
    </row>
    <row r="76">
      <c r="A76" s="2" t="s">
        <v>14907</v>
      </c>
    </row>
  </sheetData>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7447</v>
      </c>
    </row>
    <row r="2">
      <c r="A2" s="2" t="s">
        <v>14908</v>
      </c>
    </row>
    <row r="3">
      <c r="A3" s="2" t="s">
        <v>7462</v>
      </c>
    </row>
    <row r="4">
      <c r="A4" s="2" t="s">
        <v>14909</v>
      </c>
    </row>
    <row r="6">
      <c r="A6" s="2" t="s">
        <v>14910</v>
      </c>
    </row>
    <row r="8">
      <c r="A8" s="2" t="s">
        <v>14911</v>
      </c>
    </row>
    <row r="10">
      <c r="A10" s="2" t="s">
        <v>14912</v>
      </c>
    </row>
    <row r="12">
      <c r="A12" s="2" t="s">
        <v>14913</v>
      </c>
    </row>
    <row r="13">
      <c r="A13" s="2" t="s">
        <v>14914</v>
      </c>
    </row>
    <row r="14">
      <c r="A14" s="2" t="s">
        <v>7462</v>
      </c>
    </row>
    <row r="15">
      <c r="A15" s="2" t="s">
        <v>14915</v>
      </c>
    </row>
    <row r="17">
      <c r="A17" s="2" t="s">
        <v>14916</v>
      </c>
    </row>
    <row r="19">
      <c r="A19" s="2" t="s">
        <v>14917</v>
      </c>
    </row>
    <row r="21">
      <c r="A21" s="2" t="s">
        <v>14918</v>
      </c>
    </row>
    <row r="23">
      <c r="A23" s="2" t="s">
        <v>14913</v>
      </c>
    </row>
    <row r="24">
      <c r="A24" s="2" t="s">
        <v>14919</v>
      </c>
    </row>
    <row r="25">
      <c r="A25" s="2" t="s">
        <v>7462</v>
      </c>
    </row>
    <row r="26">
      <c r="A26" s="2" t="s">
        <v>14920</v>
      </c>
    </row>
    <row r="28">
      <c r="A28" s="2" t="s">
        <v>14921</v>
      </c>
    </row>
    <row r="30">
      <c r="A30" s="2" t="s">
        <v>14922</v>
      </c>
    </row>
    <row r="32">
      <c r="A32" s="2" t="s">
        <v>14913</v>
      </c>
    </row>
    <row r="33">
      <c r="A33" s="2" t="s">
        <v>14923</v>
      </c>
    </row>
    <row r="34">
      <c r="A34" s="2" t="s">
        <v>7462</v>
      </c>
    </row>
    <row r="35">
      <c r="A35" s="2" t="s">
        <v>14924</v>
      </c>
    </row>
    <row r="37">
      <c r="A37" s="2" t="s">
        <v>14925</v>
      </c>
    </row>
    <row r="39">
      <c r="A39" s="2" t="s">
        <v>14926</v>
      </c>
    </row>
    <row r="41">
      <c r="A41" s="2" t="s">
        <v>14927</v>
      </c>
    </row>
    <row r="43">
      <c r="A43" s="2" t="s">
        <v>14913</v>
      </c>
    </row>
    <row r="44">
      <c r="A44" s="2" t="s">
        <v>14928</v>
      </c>
    </row>
    <row r="45">
      <c r="A45" s="2" t="s">
        <v>7462</v>
      </c>
    </row>
    <row r="46">
      <c r="A46" s="2" t="s">
        <v>14929</v>
      </c>
    </row>
    <row r="48">
      <c r="A48" s="2" t="s">
        <v>14930</v>
      </c>
    </row>
    <row r="50">
      <c r="A50" s="2" t="s">
        <v>14931</v>
      </c>
    </row>
    <row r="52">
      <c r="A52" s="2" t="s">
        <v>14932</v>
      </c>
    </row>
    <row r="53">
      <c r="A53" s="2" t="s">
        <v>14933</v>
      </c>
    </row>
    <row r="54">
      <c r="A54" s="2" t="s">
        <v>7462</v>
      </c>
    </row>
    <row r="55">
      <c r="A55" s="2" t="s">
        <v>14934</v>
      </c>
    </row>
    <row r="57">
      <c r="A57" s="2" t="s">
        <v>14935</v>
      </c>
    </row>
    <row r="59">
      <c r="A59" s="2" t="s">
        <v>14936</v>
      </c>
    </row>
    <row r="61">
      <c r="A61" s="2" t="s">
        <v>14937</v>
      </c>
    </row>
    <row r="63">
      <c r="A63" s="2" t="s">
        <v>14932</v>
      </c>
    </row>
    <row r="64">
      <c r="A64" s="2" t="s">
        <v>14938</v>
      </c>
    </row>
    <row r="65">
      <c r="A65" s="2" t="s">
        <v>7462</v>
      </c>
    </row>
    <row r="66">
      <c r="A66" s="2" t="s">
        <v>14939</v>
      </c>
    </row>
    <row r="68">
      <c r="A68" s="2" t="s">
        <v>14940</v>
      </c>
    </row>
    <row r="70">
      <c r="A70" s="2" t="s">
        <v>14941</v>
      </c>
    </row>
    <row r="72">
      <c r="A72" s="2" t="s">
        <v>14932</v>
      </c>
    </row>
    <row r="73">
      <c r="A73" s="2" t="s">
        <v>14942</v>
      </c>
    </row>
    <row r="74">
      <c r="A74" s="2" t="s">
        <v>7462</v>
      </c>
    </row>
    <row r="75">
      <c r="A75" s="2" t="s">
        <v>14943</v>
      </c>
    </row>
    <row r="77">
      <c r="A77" s="2" t="s">
        <v>14944</v>
      </c>
    </row>
    <row r="79">
      <c r="A79" s="2" t="s">
        <v>14932</v>
      </c>
    </row>
    <row r="80">
      <c r="A80" s="2" t="s">
        <v>14945</v>
      </c>
    </row>
    <row r="81">
      <c r="A81" s="2" t="s">
        <v>7462</v>
      </c>
    </row>
    <row r="82">
      <c r="A82" s="2" t="s">
        <v>14946</v>
      </c>
    </row>
    <row r="84">
      <c r="A84" s="2" t="s">
        <v>14947</v>
      </c>
    </row>
    <row r="86">
      <c r="A86" s="2" t="s">
        <v>14948</v>
      </c>
    </row>
    <row r="88">
      <c r="A88" s="2" t="s">
        <v>14949</v>
      </c>
    </row>
    <row r="90">
      <c r="A90" s="2" t="s">
        <v>14932</v>
      </c>
    </row>
    <row r="91">
      <c r="A91" s="2" t="s">
        <v>14950</v>
      </c>
    </row>
    <row r="92">
      <c r="A92" s="2" t="s">
        <v>7462</v>
      </c>
    </row>
    <row r="93">
      <c r="A93" s="2" t="s">
        <v>14951</v>
      </c>
    </row>
    <row r="95">
      <c r="A95" s="2" t="s">
        <v>14952</v>
      </c>
    </row>
    <row r="97">
      <c r="A97" s="2" t="s">
        <v>14953</v>
      </c>
    </row>
    <row r="99">
      <c r="A99" s="2" t="s">
        <v>14954</v>
      </c>
    </row>
    <row r="101">
      <c r="A101" s="2" t="s">
        <v>14932</v>
      </c>
    </row>
    <row r="102">
      <c r="A102" s="2" t="s">
        <v>14955</v>
      </c>
    </row>
    <row r="103">
      <c r="A103" s="2" t="s">
        <v>7462</v>
      </c>
    </row>
    <row r="104">
      <c r="A104" s="2" t="s">
        <v>14956</v>
      </c>
    </row>
    <row r="106">
      <c r="A106" s="2" t="s">
        <v>14957</v>
      </c>
    </row>
    <row r="108">
      <c r="A108" s="2" t="s">
        <v>14958</v>
      </c>
    </row>
    <row r="110">
      <c r="A110" s="2" t="s">
        <v>14959</v>
      </c>
    </row>
    <row r="112">
      <c r="A112" s="2" t="s">
        <v>14932</v>
      </c>
    </row>
    <row r="113">
      <c r="A113" s="2" t="s">
        <v>14960</v>
      </c>
    </row>
    <row r="114">
      <c r="A114" s="2" t="s">
        <v>7462</v>
      </c>
    </row>
    <row r="115">
      <c r="A115" s="2" t="s">
        <v>14961</v>
      </c>
    </row>
    <row r="117">
      <c r="A117" s="2" t="s">
        <v>14962</v>
      </c>
    </row>
    <row r="119">
      <c r="A119" s="2" t="s">
        <v>14963</v>
      </c>
    </row>
    <row r="121">
      <c r="A121" s="2" t="s">
        <v>14964</v>
      </c>
    </row>
    <row r="123">
      <c r="A123" s="2" t="s">
        <v>14932</v>
      </c>
    </row>
    <row r="124">
      <c r="A124" s="2" t="s">
        <v>14965</v>
      </c>
    </row>
    <row r="125">
      <c r="A125" s="2" t="s">
        <v>7462</v>
      </c>
    </row>
    <row r="126">
      <c r="A126" s="2" t="s">
        <v>14966</v>
      </c>
    </row>
    <row r="128">
      <c r="A128" s="2" t="s">
        <v>14967</v>
      </c>
    </row>
    <row r="130">
      <c r="A130" s="2" t="s">
        <v>14968</v>
      </c>
    </row>
    <row r="132">
      <c r="A132" s="2" t="s">
        <v>14932</v>
      </c>
    </row>
    <row r="133">
      <c r="A133" s="2" t="s">
        <v>14969</v>
      </c>
    </row>
    <row r="134">
      <c r="A134" s="2" t="s">
        <v>7462</v>
      </c>
    </row>
    <row r="135">
      <c r="A135" s="2" t="s">
        <v>14970</v>
      </c>
    </row>
    <row r="137">
      <c r="A137" s="2" t="s">
        <v>14971</v>
      </c>
    </row>
    <row r="139">
      <c r="A139" s="2" t="s">
        <v>14972</v>
      </c>
    </row>
    <row r="141">
      <c r="A141" s="2" t="s">
        <v>14973</v>
      </c>
    </row>
    <row r="143">
      <c r="A143" s="2" t="s">
        <v>14932</v>
      </c>
    </row>
    <row r="144">
      <c r="A144" s="2" t="s">
        <v>14974</v>
      </c>
    </row>
    <row r="145">
      <c r="A145" s="2" t="s">
        <v>7462</v>
      </c>
    </row>
    <row r="146">
      <c r="A146" s="2" t="s">
        <v>14975</v>
      </c>
    </row>
    <row r="148">
      <c r="A148" s="2" t="s">
        <v>14976</v>
      </c>
    </row>
    <row r="150">
      <c r="A150" s="2" t="s">
        <v>14977</v>
      </c>
    </row>
    <row r="152">
      <c r="A152" s="2" t="s">
        <v>14978</v>
      </c>
    </row>
    <row r="154">
      <c r="A154" s="2" t="s">
        <v>14932</v>
      </c>
    </row>
    <row r="155">
      <c r="A155" s="2" t="s">
        <v>14979</v>
      </c>
    </row>
    <row r="156">
      <c r="A156" s="2" t="s">
        <v>7462</v>
      </c>
    </row>
    <row r="157">
      <c r="A157" s="2" t="s">
        <v>14980</v>
      </c>
    </row>
    <row r="159">
      <c r="A159" s="2" t="s">
        <v>14981</v>
      </c>
    </row>
    <row r="161">
      <c r="A161" s="2" t="s">
        <v>14982</v>
      </c>
    </row>
    <row r="163">
      <c r="A163" s="2" t="s">
        <v>14983</v>
      </c>
    </row>
    <row r="165">
      <c r="A165" s="2" t="s">
        <v>14932</v>
      </c>
    </row>
    <row r="166">
      <c r="A166" s="2" t="s">
        <v>14984</v>
      </c>
    </row>
    <row r="167">
      <c r="A167" s="2" t="s">
        <v>7462</v>
      </c>
    </row>
    <row r="168">
      <c r="A168" s="2" t="s">
        <v>14985</v>
      </c>
    </row>
    <row r="170">
      <c r="A170" s="2" t="s">
        <v>14986</v>
      </c>
    </row>
    <row r="172">
      <c r="A172" s="2" t="s">
        <v>14987</v>
      </c>
    </row>
    <row r="174">
      <c r="A174" s="2" t="s">
        <v>14988</v>
      </c>
    </row>
    <row r="176">
      <c r="A176" s="2" t="s">
        <v>14932</v>
      </c>
    </row>
    <row r="177">
      <c r="A177" s="2" t="s">
        <v>14989</v>
      </c>
    </row>
    <row r="179">
      <c r="A179" s="2" t="s">
        <v>7462</v>
      </c>
    </row>
    <row r="180">
      <c r="A180" s="2" t="s">
        <v>14990</v>
      </c>
    </row>
    <row r="182">
      <c r="A182" s="2" t="s">
        <v>14991</v>
      </c>
    </row>
    <row r="184">
      <c r="A184" s="2" t="s">
        <v>14992</v>
      </c>
    </row>
    <row r="186">
      <c r="A186" s="2" t="s">
        <v>14993</v>
      </c>
    </row>
    <row r="188">
      <c r="A188" s="2" t="s">
        <v>14932</v>
      </c>
    </row>
    <row r="189">
      <c r="A189" s="2" t="s">
        <v>14994</v>
      </c>
    </row>
    <row r="190">
      <c r="A190" s="2" t="s">
        <v>7462</v>
      </c>
    </row>
    <row r="191">
      <c r="A191" s="2" t="s">
        <v>14995</v>
      </c>
    </row>
    <row r="193">
      <c r="A193" s="2" t="s">
        <v>14996</v>
      </c>
    </row>
    <row r="195">
      <c r="A195" s="2" t="s">
        <v>14997</v>
      </c>
    </row>
    <row r="197">
      <c r="A197" s="2" t="s">
        <v>14932</v>
      </c>
    </row>
    <row r="198">
      <c r="A198" s="2" t="s">
        <v>14998</v>
      </c>
    </row>
    <row r="199">
      <c r="A199" s="2" t="s">
        <v>7462</v>
      </c>
    </row>
    <row r="200">
      <c r="A200" s="2" t="s">
        <v>14999</v>
      </c>
    </row>
    <row r="202">
      <c r="A202" s="2" t="s">
        <v>15000</v>
      </c>
    </row>
    <row r="204">
      <c r="A204" s="2" t="s">
        <v>15001</v>
      </c>
    </row>
    <row r="206">
      <c r="A206" s="2" t="s">
        <v>14932</v>
      </c>
    </row>
    <row r="207">
      <c r="A207" s="2" t="s">
        <v>15002</v>
      </c>
    </row>
    <row r="209">
      <c r="A209" s="2" t="s">
        <v>7462</v>
      </c>
    </row>
    <row r="210">
      <c r="A210" s="2" t="s">
        <v>15003</v>
      </c>
    </row>
    <row r="212">
      <c r="A212" s="2" t="s">
        <v>15004</v>
      </c>
    </row>
    <row r="214">
      <c r="A214" s="2" t="s">
        <v>15005</v>
      </c>
    </row>
    <row r="216">
      <c r="A216" s="2" t="s">
        <v>15006</v>
      </c>
    </row>
    <row r="218">
      <c r="A218" s="2" t="s">
        <v>14932</v>
      </c>
    </row>
    <row r="219">
      <c r="A219" s="2" t="s">
        <v>15007</v>
      </c>
    </row>
    <row r="220">
      <c r="A220" s="2" t="s">
        <v>7462</v>
      </c>
    </row>
    <row r="221">
      <c r="A221" s="2" t="s">
        <v>15008</v>
      </c>
    </row>
    <row r="223">
      <c r="A223" s="2" t="s">
        <v>15009</v>
      </c>
    </row>
    <row r="225">
      <c r="A225" s="2" t="s">
        <v>15010</v>
      </c>
    </row>
    <row r="227">
      <c r="A227" s="2" t="s">
        <v>14932</v>
      </c>
    </row>
    <row r="228">
      <c r="A228" s="2" t="s">
        <v>15011</v>
      </c>
    </row>
    <row r="229">
      <c r="A229" s="2" t="s">
        <v>7462</v>
      </c>
    </row>
    <row r="230">
      <c r="A230" s="2" t="s">
        <v>15012</v>
      </c>
    </row>
    <row r="232">
      <c r="A232" s="2" t="s">
        <v>15013</v>
      </c>
    </row>
    <row r="234">
      <c r="A234" s="2" t="s">
        <v>15014</v>
      </c>
    </row>
    <row r="236">
      <c r="A236" s="2" t="s">
        <v>14932</v>
      </c>
    </row>
    <row r="237">
      <c r="A237" s="2" t="s">
        <v>15015</v>
      </c>
    </row>
    <row r="238">
      <c r="A238" s="2" t="s">
        <v>7462</v>
      </c>
    </row>
    <row r="239">
      <c r="A239" s="2" t="s">
        <v>15016</v>
      </c>
    </row>
    <row r="241">
      <c r="A241" s="2" t="s">
        <v>15017</v>
      </c>
    </row>
    <row r="243">
      <c r="A243" s="2" t="s">
        <v>15018</v>
      </c>
    </row>
    <row r="245">
      <c r="A245" s="2" t="s">
        <v>15019</v>
      </c>
    </row>
    <row r="247">
      <c r="A247" s="2" t="s">
        <v>14932</v>
      </c>
    </row>
    <row r="248">
      <c r="A248" s="2" t="s">
        <v>15020</v>
      </c>
    </row>
    <row r="249">
      <c r="A249" s="2" t="s">
        <v>7462</v>
      </c>
    </row>
    <row r="250">
      <c r="A250" s="2" t="s">
        <v>15021</v>
      </c>
    </row>
    <row r="252">
      <c r="A252" s="2" t="s">
        <v>15022</v>
      </c>
    </row>
    <row r="254">
      <c r="A254" s="2" t="s">
        <v>15023</v>
      </c>
    </row>
    <row r="256">
      <c r="A256" s="2" t="s">
        <v>14932</v>
      </c>
    </row>
    <row r="257">
      <c r="A257" s="2" t="s">
        <v>15024</v>
      </c>
    </row>
    <row r="258">
      <c r="A258" s="2" t="s">
        <v>7462</v>
      </c>
    </row>
    <row r="259">
      <c r="A259" s="2" t="s">
        <v>15025</v>
      </c>
    </row>
    <row r="261">
      <c r="A261" s="2" t="s">
        <v>15026</v>
      </c>
    </row>
    <row r="263">
      <c r="A263" s="2" t="s">
        <v>15027</v>
      </c>
    </row>
    <row r="265">
      <c r="A265" s="2" t="s">
        <v>15028</v>
      </c>
    </row>
    <row r="267">
      <c r="A267" s="2" t="s">
        <v>14932</v>
      </c>
    </row>
    <row r="268">
      <c r="A268" s="2" t="s">
        <v>15029</v>
      </c>
    </row>
    <row r="269">
      <c r="A269" s="2" t="s">
        <v>7462</v>
      </c>
    </row>
    <row r="270">
      <c r="A270" s="2" t="s">
        <v>15030</v>
      </c>
    </row>
    <row r="272">
      <c r="A272" s="2" t="s">
        <v>15031</v>
      </c>
    </row>
    <row r="274">
      <c r="A274" s="2" t="s">
        <v>15032</v>
      </c>
    </row>
    <row r="276">
      <c r="A276" s="2" t="s">
        <v>15033</v>
      </c>
    </row>
    <row r="278">
      <c r="A278" s="2" t="s">
        <v>14932</v>
      </c>
    </row>
    <row r="279">
      <c r="A279" s="2" t="s">
        <v>15034</v>
      </c>
    </row>
    <row r="280">
      <c r="A280" s="2" t="s">
        <v>7462</v>
      </c>
    </row>
    <row r="281">
      <c r="A281" s="2" t="s">
        <v>15035</v>
      </c>
    </row>
    <row r="283">
      <c r="A283" s="2" t="s">
        <v>15036</v>
      </c>
    </row>
    <row r="285">
      <c r="A285" s="2" t="s">
        <v>15037</v>
      </c>
    </row>
    <row r="287">
      <c r="A287" s="2" t="s">
        <v>14932</v>
      </c>
    </row>
    <row r="288">
      <c r="A288" s="2" t="s">
        <v>15038</v>
      </c>
    </row>
    <row r="289">
      <c r="A289" s="2" t="s">
        <v>7462</v>
      </c>
    </row>
    <row r="290">
      <c r="A290" s="2" t="s">
        <v>15039</v>
      </c>
    </row>
    <row r="292">
      <c r="A292" s="2" t="s">
        <v>15040</v>
      </c>
    </row>
    <row r="294">
      <c r="A294" s="2" t="s">
        <v>15041</v>
      </c>
    </row>
    <row r="296">
      <c r="A296" s="2" t="s">
        <v>15042</v>
      </c>
    </row>
    <row r="298">
      <c r="A298" s="2" t="s">
        <v>14932</v>
      </c>
    </row>
    <row r="299">
      <c r="A299" s="2" t="s">
        <v>15043</v>
      </c>
    </row>
    <row r="300">
      <c r="A300" s="2" t="s">
        <v>7462</v>
      </c>
    </row>
    <row r="301">
      <c r="A301" s="2" t="s">
        <v>15044</v>
      </c>
    </row>
    <row r="303">
      <c r="A303" s="2" t="s">
        <v>15045</v>
      </c>
    </row>
    <row r="305">
      <c r="A305" s="2" t="s">
        <v>15046</v>
      </c>
    </row>
    <row r="307">
      <c r="A307" s="2" t="s">
        <v>15047</v>
      </c>
    </row>
    <row r="309">
      <c r="A309" s="2" t="s">
        <v>14932</v>
      </c>
    </row>
    <row r="310">
      <c r="A310" s="2" t="s">
        <v>15048</v>
      </c>
    </row>
    <row r="311">
      <c r="A311" s="2" t="s">
        <v>7462</v>
      </c>
    </row>
    <row r="312">
      <c r="A312" s="2" t="s">
        <v>15049</v>
      </c>
    </row>
    <row r="314">
      <c r="A314" s="2" t="s">
        <v>15050</v>
      </c>
    </row>
    <row r="316">
      <c r="A316" s="2" t="s">
        <v>15051</v>
      </c>
    </row>
    <row r="318">
      <c r="A318" s="2" t="s">
        <v>15052</v>
      </c>
    </row>
    <row r="320">
      <c r="A320" s="2" t="s">
        <v>14932</v>
      </c>
    </row>
    <row r="321">
      <c r="A321" s="2" t="s">
        <v>15053</v>
      </c>
    </row>
    <row r="323">
      <c r="A323" s="2" t="s">
        <v>7462</v>
      </c>
    </row>
    <row r="324">
      <c r="A324" s="2" t="s">
        <v>15054</v>
      </c>
    </row>
    <row r="326">
      <c r="A326" s="2" t="s">
        <v>15055</v>
      </c>
    </row>
    <row r="328">
      <c r="A328" s="2" t="s">
        <v>15056</v>
      </c>
    </row>
    <row r="330">
      <c r="A330" s="2" t="s">
        <v>15057</v>
      </c>
    </row>
    <row r="332">
      <c r="A332" s="2" t="s">
        <v>14932</v>
      </c>
    </row>
    <row r="333">
      <c r="A333" s="2" t="s">
        <v>15058</v>
      </c>
    </row>
    <row r="334">
      <c r="A334" s="2" t="s">
        <v>7462</v>
      </c>
    </row>
    <row r="335">
      <c r="A335" s="2" t="s">
        <v>15059</v>
      </c>
    </row>
    <row r="337">
      <c r="A337" s="2" t="s">
        <v>15060</v>
      </c>
    </row>
    <row r="339">
      <c r="A339" s="2" t="s">
        <v>15061</v>
      </c>
    </row>
    <row r="341">
      <c r="A341" s="2" t="s">
        <v>15062</v>
      </c>
    </row>
    <row r="343">
      <c r="A343" s="2" t="s">
        <v>14932</v>
      </c>
    </row>
    <row r="344">
      <c r="A344" s="2" t="s">
        <v>15063</v>
      </c>
    </row>
    <row r="345">
      <c r="A345" s="2" t="s">
        <v>7462</v>
      </c>
    </row>
    <row r="346">
      <c r="A346" s="2" t="s">
        <v>15064</v>
      </c>
    </row>
    <row r="348">
      <c r="A348" s="2" t="s">
        <v>15065</v>
      </c>
    </row>
    <row r="350">
      <c r="A350" s="2" t="s">
        <v>15066</v>
      </c>
    </row>
    <row r="352">
      <c r="A352" s="2" t="s">
        <v>15067</v>
      </c>
    </row>
    <row r="354">
      <c r="A354" s="2" t="s">
        <v>14932</v>
      </c>
    </row>
    <row r="355">
      <c r="A355" s="2" t="s">
        <v>15068</v>
      </c>
    </row>
    <row r="356">
      <c r="A356" s="2" t="s">
        <v>7462</v>
      </c>
    </row>
    <row r="357">
      <c r="A357" s="2" t="s">
        <v>15069</v>
      </c>
    </row>
    <row r="359">
      <c r="A359" s="2" t="s">
        <v>14932</v>
      </c>
    </row>
    <row r="360">
      <c r="A360" s="2" t="s">
        <v>15070</v>
      </c>
    </row>
    <row r="361">
      <c r="A361" s="2" t="s">
        <v>7462</v>
      </c>
    </row>
    <row r="362">
      <c r="A362" s="2" t="s">
        <v>15071</v>
      </c>
    </row>
    <row r="364">
      <c r="A364" s="2" t="s">
        <v>15072</v>
      </c>
    </row>
    <row r="366">
      <c r="A366" s="2" t="s">
        <v>15073</v>
      </c>
    </row>
    <row r="368">
      <c r="A368" s="2" t="s">
        <v>14932</v>
      </c>
    </row>
    <row r="369">
      <c r="A369" s="2" t="s">
        <v>15074</v>
      </c>
    </row>
    <row r="370">
      <c r="A370" s="2" t="s">
        <v>7462</v>
      </c>
    </row>
    <row r="371">
      <c r="A371" s="2" t="s">
        <v>15075</v>
      </c>
    </row>
    <row r="373">
      <c r="A373" s="2" t="s">
        <v>15076</v>
      </c>
    </row>
    <row r="375">
      <c r="A375" s="2" t="s">
        <v>15077</v>
      </c>
    </row>
    <row r="377">
      <c r="A377" s="2" t="s">
        <v>15078</v>
      </c>
    </row>
    <row r="379">
      <c r="A379" s="2" t="s">
        <v>14932</v>
      </c>
    </row>
    <row r="380">
      <c r="A380" s="2" t="s">
        <v>15079</v>
      </c>
    </row>
    <row r="381">
      <c r="A381" s="2" t="s">
        <v>7462</v>
      </c>
    </row>
    <row r="382">
      <c r="A382" s="2" t="s">
        <v>15080</v>
      </c>
    </row>
    <row r="384">
      <c r="A384" s="2" t="s">
        <v>15081</v>
      </c>
    </row>
    <row r="386">
      <c r="A386" s="2" t="s">
        <v>15082</v>
      </c>
    </row>
    <row r="388">
      <c r="A388" s="2" t="s">
        <v>14932</v>
      </c>
    </row>
    <row r="389">
      <c r="A389" s="2" t="s">
        <v>15083</v>
      </c>
    </row>
    <row r="390">
      <c r="A390" s="2" t="s">
        <v>7462</v>
      </c>
    </row>
    <row r="391">
      <c r="A391" s="2" t="s">
        <v>15084</v>
      </c>
    </row>
    <row r="393">
      <c r="A393" s="2" t="s">
        <v>15085</v>
      </c>
    </row>
    <row r="395">
      <c r="A395" s="2" t="s">
        <v>15086</v>
      </c>
    </row>
    <row r="397">
      <c r="A397" s="2" t="s">
        <v>15087</v>
      </c>
    </row>
    <row r="399">
      <c r="A399" s="2" t="s">
        <v>14932</v>
      </c>
    </row>
    <row r="400">
      <c r="A400" s="2" t="s">
        <v>15088</v>
      </c>
    </row>
    <row r="401">
      <c r="A401" s="2" t="s">
        <v>7462</v>
      </c>
    </row>
    <row r="402">
      <c r="A402" s="2" t="s">
        <v>15089</v>
      </c>
    </row>
    <row r="404">
      <c r="A404" s="2" t="s">
        <v>15090</v>
      </c>
    </row>
    <row r="406">
      <c r="A406" s="2" t="s">
        <v>15091</v>
      </c>
    </row>
    <row r="408">
      <c r="A408" s="2" t="s">
        <v>14932</v>
      </c>
    </row>
    <row r="409">
      <c r="A409" s="2" t="s">
        <v>15092</v>
      </c>
    </row>
    <row r="410">
      <c r="A410" s="2" t="s">
        <v>7462</v>
      </c>
    </row>
    <row r="411">
      <c r="A411" s="2" t="s">
        <v>15093</v>
      </c>
    </row>
    <row r="413">
      <c r="A413" s="2" t="s">
        <v>15094</v>
      </c>
    </row>
    <row r="415">
      <c r="A415" s="2" t="s">
        <v>15095</v>
      </c>
    </row>
    <row r="417">
      <c r="A417" s="2" t="s">
        <v>14932</v>
      </c>
    </row>
    <row r="418">
      <c r="A418" s="2" t="s">
        <v>15096</v>
      </c>
    </row>
    <row r="419">
      <c r="A419" s="2" t="s">
        <v>7462</v>
      </c>
    </row>
    <row r="420">
      <c r="A420" s="2" t="s">
        <v>15097</v>
      </c>
    </row>
    <row r="422">
      <c r="A422" s="2" t="s">
        <v>15098</v>
      </c>
    </row>
    <row r="424">
      <c r="A424" s="2" t="s">
        <v>15099</v>
      </c>
    </row>
    <row r="426">
      <c r="A426" s="2" t="s">
        <v>14932</v>
      </c>
    </row>
    <row r="427">
      <c r="A427" s="2" t="s">
        <v>15100</v>
      </c>
    </row>
    <row r="428">
      <c r="A428" s="2" t="s">
        <v>7462</v>
      </c>
    </row>
    <row r="429">
      <c r="A429" s="2" t="s">
        <v>15101</v>
      </c>
    </row>
    <row r="431">
      <c r="A431" s="2" t="s">
        <v>15102</v>
      </c>
    </row>
    <row r="433">
      <c r="A433" s="2" t="s">
        <v>15103</v>
      </c>
    </row>
    <row r="435">
      <c r="A435" s="2" t="s">
        <v>15104</v>
      </c>
    </row>
    <row r="437">
      <c r="A437" s="2" t="s">
        <v>14932</v>
      </c>
    </row>
    <row r="438">
      <c r="A438" s="2" t="s">
        <v>15105</v>
      </c>
    </row>
    <row r="439">
      <c r="A439" s="2" t="s">
        <v>7462</v>
      </c>
    </row>
    <row r="440">
      <c r="A440" s="2" t="s">
        <v>15106</v>
      </c>
    </row>
    <row r="442">
      <c r="A442" s="2" t="s">
        <v>15107</v>
      </c>
    </row>
    <row r="444">
      <c r="A444" s="2" t="s">
        <v>15108</v>
      </c>
    </row>
    <row r="446">
      <c r="A446" s="2" t="s">
        <v>15109</v>
      </c>
    </row>
    <row r="448">
      <c r="A448" s="2" t="s">
        <v>14932</v>
      </c>
    </row>
    <row r="449">
      <c r="A449" s="2" t="s">
        <v>15110</v>
      </c>
    </row>
    <row r="451">
      <c r="A451" s="2" t="s">
        <v>7462</v>
      </c>
    </row>
    <row r="452">
      <c r="A452" s="2" t="s">
        <v>15111</v>
      </c>
    </row>
    <row r="454">
      <c r="A454" s="2" t="s">
        <v>15112</v>
      </c>
    </row>
    <row r="456">
      <c r="A456" s="2" t="s">
        <v>15113</v>
      </c>
    </row>
    <row r="458">
      <c r="A458" s="2" t="s">
        <v>14932</v>
      </c>
    </row>
    <row r="459">
      <c r="A459" s="2" t="s">
        <v>15114</v>
      </c>
    </row>
    <row r="460">
      <c r="A460" s="2" t="s">
        <v>7462</v>
      </c>
    </row>
    <row r="461">
      <c r="A461" s="2" t="s">
        <v>15115</v>
      </c>
    </row>
    <row r="463">
      <c r="A463" s="2" t="s">
        <v>15116</v>
      </c>
    </row>
    <row r="465">
      <c r="A465" s="2" t="s">
        <v>15117</v>
      </c>
    </row>
    <row r="467">
      <c r="A467" s="2" t="s">
        <v>15118</v>
      </c>
    </row>
    <row r="469">
      <c r="A469" s="2" t="s">
        <v>14932</v>
      </c>
    </row>
    <row r="470">
      <c r="A470" s="2" t="s">
        <v>15119</v>
      </c>
    </row>
    <row r="471">
      <c r="A471" s="2" t="s">
        <v>7462</v>
      </c>
    </row>
    <row r="472">
      <c r="A472" s="2" t="s">
        <v>15120</v>
      </c>
    </row>
    <row r="474">
      <c r="A474" s="2" t="s">
        <v>15121</v>
      </c>
    </row>
    <row r="476">
      <c r="A476" s="2" t="s">
        <v>15122</v>
      </c>
    </row>
    <row r="478">
      <c r="A478" s="2" t="s">
        <v>14932</v>
      </c>
    </row>
    <row r="479">
      <c r="A479" s="2" t="s">
        <v>15123</v>
      </c>
    </row>
    <row r="480">
      <c r="A480" s="2" t="s">
        <v>7462</v>
      </c>
    </row>
    <row r="481">
      <c r="A481" s="2" t="s">
        <v>15124</v>
      </c>
    </row>
    <row r="483">
      <c r="A483" s="2" t="s">
        <v>15125</v>
      </c>
    </row>
    <row r="485">
      <c r="A485" s="2" t="s">
        <v>15126</v>
      </c>
    </row>
    <row r="487">
      <c r="A487" s="2" t="s">
        <v>15127</v>
      </c>
    </row>
    <row r="489">
      <c r="A489" s="2" t="s">
        <v>14932</v>
      </c>
    </row>
    <row r="490">
      <c r="A490" s="2" t="s">
        <v>15128</v>
      </c>
    </row>
    <row r="492">
      <c r="A492" s="2" t="s">
        <v>7462</v>
      </c>
    </row>
    <row r="493">
      <c r="A493" s="2" t="s">
        <v>15129</v>
      </c>
    </row>
    <row r="495">
      <c r="A495" s="2" t="s">
        <v>15130</v>
      </c>
    </row>
    <row r="497">
      <c r="A497" s="2" t="s">
        <v>15131</v>
      </c>
    </row>
    <row r="499">
      <c r="A499" s="2" t="s">
        <v>14932</v>
      </c>
    </row>
    <row r="500">
      <c r="A500" s="2" t="s">
        <v>15132</v>
      </c>
    </row>
    <row r="501">
      <c r="A501" s="2" t="s">
        <v>7462</v>
      </c>
    </row>
    <row r="502">
      <c r="A502" s="2" t="s">
        <v>15133</v>
      </c>
    </row>
    <row r="504">
      <c r="A504" s="2" t="s">
        <v>15134</v>
      </c>
    </row>
    <row r="506">
      <c r="A506" s="2" t="s">
        <v>15135</v>
      </c>
    </row>
    <row r="508">
      <c r="A508" s="2" t="s">
        <v>14932</v>
      </c>
    </row>
    <row r="509">
      <c r="A509" s="2" t="s">
        <v>15136</v>
      </c>
    </row>
    <row r="510">
      <c r="A510" s="2" t="s">
        <v>7462</v>
      </c>
    </row>
    <row r="511">
      <c r="A511" s="2" t="s">
        <v>15137</v>
      </c>
    </row>
    <row r="513">
      <c r="A513" s="2" t="s">
        <v>15138</v>
      </c>
    </row>
    <row r="515">
      <c r="A515" s="2" t="s">
        <v>14932</v>
      </c>
    </row>
    <row r="516">
      <c r="A516" s="2" t="s">
        <v>15139</v>
      </c>
    </row>
    <row r="517">
      <c r="A517" s="2" t="s">
        <v>7462</v>
      </c>
    </row>
    <row r="518">
      <c r="A518" s="2" t="s">
        <v>15140</v>
      </c>
    </row>
    <row r="520">
      <c r="A520" s="2" t="s">
        <v>15141</v>
      </c>
    </row>
    <row r="522">
      <c r="A522" s="2" t="s">
        <v>15142</v>
      </c>
    </row>
    <row r="524">
      <c r="A524" s="2" t="s">
        <v>15143</v>
      </c>
    </row>
    <row r="526">
      <c r="A526" s="2" t="s">
        <v>14932</v>
      </c>
    </row>
    <row r="527">
      <c r="A527" s="2" t="s">
        <v>15144</v>
      </c>
    </row>
    <row r="528">
      <c r="A528" s="2" t="s">
        <v>7462</v>
      </c>
    </row>
    <row r="529">
      <c r="A529" s="2" t="s">
        <v>15145</v>
      </c>
    </row>
    <row r="531">
      <c r="A531" s="2" t="s">
        <v>15146</v>
      </c>
    </row>
    <row r="533">
      <c r="A533" s="2" t="s">
        <v>15147</v>
      </c>
    </row>
    <row r="535">
      <c r="A535" s="2" t="s">
        <v>15148</v>
      </c>
    </row>
    <row r="537">
      <c r="A537" s="2" t="s">
        <v>14932</v>
      </c>
    </row>
    <row r="538">
      <c r="A538" s="2" t="s">
        <v>15149</v>
      </c>
    </row>
    <row r="539">
      <c r="A539" s="2" t="s">
        <v>7462</v>
      </c>
    </row>
    <row r="540">
      <c r="A540" s="2" t="s">
        <v>15150</v>
      </c>
    </row>
    <row r="542">
      <c r="A542" s="2" t="s">
        <v>15151</v>
      </c>
    </row>
    <row r="544">
      <c r="A544" s="2" t="s">
        <v>15152</v>
      </c>
    </row>
    <row r="546">
      <c r="A546" s="2" t="s">
        <v>14932</v>
      </c>
    </row>
    <row r="547">
      <c r="A547" s="2" t="s">
        <v>15153</v>
      </c>
    </row>
    <row r="548">
      <c r="A548" s="2" t="s">
        <v>7462</v>
      </c>
    </row>
    <row r="549">
      <c r="A549" s="2" t="s">
        <v>15154</v>
      </c>
    </row>
    <row r="551">
      <c r="A551" s="2" t="s">
        <v>15155</v>
      </c>
    </row>
    <row r="553">
      <c r="A553" s="2" t="s">
        <v>15156</v>
      </c>
    </row>
    <row r="555">
      <c r="A555" s="2" t="s">
        <v>14932</v>
      </c>
    </row>
    <row r="556">
      <c r="A556" s="2" t="s">
        <v>15157</v>
      </c>
    </row>
    <row r="557">
      <c r="A557" s="2" t="s">
        <v>7462</v>
      </c>
    </row>
    <row r="558">
      <c r="A558" s="2" t="s">
        <v>15158</v>
      </c>
    </row>
    <row r="560">
      <c r="A560" s="2" t="s">
        <v>15159</v>
      </c>
    </row>
    <row r="562">
      <c r="A562" s="2" t="s">
        <v>15160</v>
      </c>
    </row>
    <row r="564">
      <c r="A564" s="2" t="s">
        <v>15161</v>
      </c>
    </row>
    <row r="566">
      <c r="A566" s="2" t="s">
        <v>15162</v>
      </c>
    </row>
    <row r="568">
      <c r="A568" s="2" t="s">
        <v>14932</v>
      </c>
    </row>
    <row r="569">
      <c r="A569" s="2" t="s">
        <v>15163</v>
      </c>
    </row>
    <row r="570">
      <c r="A570" s="2" t="s">
        <v>7462</v>
      </c>
    </row>
    <row r="571">
      <c r="A571" s="2" t="s">
        <v>15164</v>
      </c>
    </row>
    <row r="573">
      <c r="A573" s="2" t="s">
        <v>15165</v>
      </c>
    </row>
    <row r="575">
      <c r="A575" s="2" t="s">
        <v>15166</v>
      </c>
    </row>
    <row r="577">
      <c r="A577" s="2" t="s">
        <v>15167</v>
      </c>
    </row>
    <row r="579">
      <c r="A579" s="2" t="s">
        <v>14932</v>
      </c>
    </row>
    <row r="580">
      <c r="A580" s="2" t="s">
        <v>15168</v>
      </c>
    </row>
    <row r="581">
      <c r="A581" s="2" t="s">
        <v>7462</v>
      </c>
    </row>
    <row r="582">
      <c r="A582" s="2" t="s">
        <v>15169</v>
      </c>
    </row>
    <row r="584">
      <c r="A584" s="2" t="s">
        <v>15170</v>
      </c>
    </row>
    <row r="586">
      <c r="A586" s="2" t="s">
        <v>15171</v>
      </c>
    </row>
    <row r="588">
      <c r="A588" s="2" t="s">
        <v>15172</v>
      </c>
    </row>
    <row r="590">
      <c r="A590" s="2" t="s">
        <v>14932</v>
      </c>
    </row>
    <row r="591">
      <c r="A591" s="2" t="s">
        <v>15173</v>
      </c>
    </row>
    <row r="592">
      <c r="A592" s="2" t="s">
        <v>7462</v>
      </c>
    </row>
    <row r="593">
      <c r="A593" s="2" t="s">
        <v>15174</v>
      </c>
    </row>
    <row r="595">
      <c r="A595" s="2" t="s">
        <v>15175</v>
      </c>
    </row>
    <row r="597">
      <c r="A597" s="2" t="s">
        <v>15176</v>
      </c>
    </row>
    <row r="599">
      <c r="A599" s="2" t="s">
        <v>14932</v>
      </c>
    </row>
    <row r="600">
      <c r="A600" s="2" t="s">
        <v>15177</v>
      </c>
    </row>
    <row r="601">
      <c r="A601" s="2" t="s">
        <v>7462</v>
      </c>
    </row>
    <row r="602">
      <c r="A602" s="2" t="s">
        <v>15178</v>
      </c>
    </row>
    <row r="604">
      <c r="A604" s="2" t="s">
        <v>15179</v>
      </c>
    </row>
    <row r="606">
      <c r="A606" s="2" t="s">
        <v>15180</v>
      </c>
    </row>
    <row r="608">
      <c r="A608" s="2" t="s">
        <v>15181</v>
      </c>
    </row>
    <row r="610">
      <c r="A610" s="2" t="s">
        <v>14932</v>
      </c>
    </row>
    <row r="611">
      <c r="A611" s="2" t="s">
        <v>15182</v>
      </c>
    </row>
    <row r="612">
      <c r="A612" s="2" t="s">
        <v>7462</v>
      </c>
    </row>
    <row r="613">
      <c r="A613" s="2" t="s">
        <v>15183</v>
      </c>
    </row>
    <row r="615">
      <c r="A615" s="2" t="s">
        <v>15184</v>
      </c>
    </row>
    <row r="617">
      <c r="A617" s="2" t="s">
        <v>15185</v>
      </c>
    </row>
    <row r="619">
      <c r="A619" s="2" t="s">
        <v>14932</v>
      </c>
    </row>
    <row r="620">
      <c r="A620" s="2" t="s">
        <v>15186</v>
      </c>
    </row>
    <row r="621">
      <c r="A621" s="2" t="s">
        <v>7462</v>
      </c>
    </row>
    <row r="622">
      <c r="A622" s="2" t="s">
        <v>15187</v>
      </c>
    </row>
    <row r="624">
      <c r="A624" s="2" t="s">
        <v>15188</v>
      </c>
    </row>
    <row r="626">
      <c r="A626" s="2" t="s">
        <v>15189</v>
      </c>
    </row>
    <row r="628">
      <c r="A628" s="2" t="s">
        <v>15190</v>
      </c>
    </row>
    <row r="630">
      <c r="A630" s="2" t="s">
        <v>14932</v>
      </c>
    </row>
    <row r="631">
      <c r="A631" s="2" t="s">
        <v>15191</v>
      </c>
    </row>
    <row r="632">
      <c r="A632" s="2" t="s">
        <v>7462</v>
      </c>
    </row>
    <row r="633">
      <c r="A633" s="2" t="s">
        <v>15192</v>
      </c>
    </row>
    <row r="635">
      <c r="A635" s="2" t="s">
        <v>15193</v>
      </c>
    </row>
    <row r="637">
      <c r="A637" s="2" t="s">
        <v>14932</v>
      </c>
    </row>
    <row r="638">
      <c r="A638" s="2" t="s">
        <v>15194</v>
      </c>
    </row>
    <row r="639">
      <c r="A639" s="2" t="s">
        <v>7462</v>
      </c>
    </row>
    <row r="640">
      <c r="A640" s="2" t="s">
        <v>15195</v>
      </c>
    </row>
    <row r="642">
      <c r="A642" s="2" t="s">
        <v>15196</v>
      </c>
    </row>
    <row r="644">
      <c r="A644" s="2" t="s">
        <v>15197</v>
      </c>
    </row>
    <row r="646">
      <c r="A646" s="2" t="s">
        <v>14932</v>
      </c>
    </row>
    <row r="647">
      <c r="A647" s="2" t="s">
        <v>15198</v>
      </c>
    </row>
    <row r="648">
      <c r="A648" s="2" t="s">
        <v>7462</v>
      </c>
    </row>
    <row r="649">
      <c r="A649" s="2" t="s">
        <v>15199</v>
      </c>
    </row>
    <row r="651">
      <c r="A651" s="2" t="s">
        <v>15200</v>
      </c>
    </row>
    <row r="653">
      <c r="A653" s="2" t="s">
        <v>15201</v>
      </c>
    </row>
    <row r="655">
      <c r="A655" s="2" t="s">
        <v>14932</v>
      </c>
    </row>
    <row r="656">
      <c r="A656" s="2" t="s">
        <v>15202</v>
      </c>
    </row>
    <row r="657">
      <c r="A657" s="2" t="s">
        <v>7462</v>
      </c>
    </row>
    <row r="658">
      <c r="A658" s="2" t="s">
        <v>15203</v>
      </c>
    </row>
    <row r="660">
      <c r="A660" s="2" t="s">
        <v>15204</v>
      </c>
    </row>
    <row r="662">
      <c r="A662" s="2" t="s">
        <v>15205</v>
      </c>
    </row>
    <row r="664">
      <c r="A664" s="2" t="s">
        <v>15206</v>
      </c>
    </row>
    <row r="666">
      <c r="A666" s="2" t="s">
        <v>14932</v>
      </c>
    </row>
    <row r="667">
      <c r="A667" s="2" t="s">
        <v>15207</v>
      </c>
    </row>
    <row r="668">
      <c r="A668" s="2" t="s">
        <v>7462</v>
      </c>
    </row>
    <row r="669">
      <c r="A669" s="2" t="s">
        <v>15208</v>
      </c>
    </row>
    <row r="671">
      <c r="A671" s="2" t="s">
        <v>15209</v>
      </c>
    </row>
    <row r="673">
      <c r="A673" s="2" t="s">
        <v>15210</v>
      </c>
    </row>
    <row r="675">
      <c r="A675" s="2" t="s">
        <v>15211</v>
      </c>
    </row>
    <row r="677">
      <c r="A677" s="2" t="s">
        <v>14932</v>
      </c>
    </row>
    <row r="678">
      <c r="A678" s="2" t="s">
        <v>15212</v>
      </c>
    </row>
    <row r="679">
      <c r="A679" s="2" t="s">
        <v>7462</v>
      </c>
    </row>
    <row r="680">
      <c r="A680" s="2" t="s">
        <v>15213</v>
      </c>
    </row>
    <row r="682">
      <c r="A682" s="2" t="s">
        <v>15214</v>
      </c>
    </row>
    <row r="684">
      <c r="A684" s="2" t="s">
        <v>15215</v>
      </c>
    </row>
    <row r="686">
      <c r="A686" s="2" t="s">
        <v>14932</v>
      </c>
    </row>
    <row r="687">
      <c r="A687" s="2" t="s">
        <v>15216</v>
      </c>
    </row>
    <row r="688">
      <c r="A688" s="2" t="s">
        <v>7462</v>
      </c>
    </row>
    <row r="689">
      <c r="A689" s="2" t="s">
        <v>15217</v>
      </c>
    </row>
    <row r="691">
      <c r="A691" s="2" t="s">
        <v>15218</v>
      </c>
    </row>
    <row r="693">
      <c r="A693" s="2" t="s">
        <v>15219</v>
      </c>
    </row>
    <row r="695">
      <c r="A695" s="2" t="s">
        <v>15220</v>
      </c>
    </row>
    <row r="697">
      <c r="A697" s="2" t="s">
        <v>14932</v>
      </c>
    </row>
    <row r="698">
      <c r="A698" s="2" t="s">
        <v>15221</v>
      </c>
    </row>
    <row r="700">
      <c r="A700" s="2" t="s">
        <v>7462</v>
      </c>
    </row>
    <row r="701">
      <c r="A701" s="2" t="s">
        <v>15222</v>
      </c>
    </row>
    <row r="703">
      <c r="A703" s="2" t="s">
        <v>15223</v>
      </c>
    </row>
    <row r="705">
      <c r="A705" s="2" t="s">
        <v>15224</v>
      </c>
    </row>
    <row r="707">
      <c r="A707" s="2" t="s">
        <v>15225</v>
      </c>
    </row>
    <row r="709">
      <c r="A709" s="2" t="s">
        <v>14932</v>
      </c>
    </row>
    <row r="710">
      <c r="A710" s="2" t="s">
        <v>15226</v>
      </c>
    </row>
    <row r="711">
      <c r="A711" s="2" t="s">
        <v>7462</v>
      </c>
    </row>
    <row r="712">
      <c r="A712" s="2" t="s">
        <v>15227</v>
      </c>
    </row>
    <row r="714">
      <c r="A714" s="2" t="s">
        <v>15228</v>
      </c>
    </row>
    <row r="716">
      <c r="A716" s="2" t="s">
        <v>15229</v>
      </c>
    </row>
    <row r="718">
      <c r="A718" s="2" t="s">
        <v>15230</v>
      </c>
    </row>
    <row r="720">
      <c r="A720" s="2" t="s">
        <v>14932</v>
      </c>
    </row>
    <row r="721">
      <c r="A721" s="2" t="s">
        <v>15231</v>
      </c>
    </row>
    <row r="722">
      <c r="A722" s="2" t="s">
        <v>15232</v>
      </c>
    </row>
    <row r="724">
      <c r="A724" s="2" t="s">
        <v>15233</v>
      </c>
    </row>
    <row r="726">
      <c r="A726" s="2" t="s">
        <v>15234</v>
      </c>
    </row>
    <row r="728">
      <c r="A728" s="2" t="s">
        <v>15235</v>
      </c>
    </row>
    <row r="730">
      <c r="A730" s="2" t="s">
        <v>15236</v>
      </c>
    </row>
    <row r="732">
      <c r="A732" s="2" t="s">
        <v>14932</v>
      </c>
    </row>
    <row r="733">
      <c r="A733" s="2" t="s">
        <v>15237</v>
      </c>
    </row>
    <row r="734">
      <c r="A734" s="2" t="s">
        <v>7462</v>
      </c>
    </row>
    <row r="735">
      <c r="A735" s="2" t="s">
        <v>15238</v>
      </c>
    </row>
    <row r="737">
      <c r="A737" s="2" t="s">
        <v>15239</v>
      </c>
    </row>
    <row r="739">
      <c r="A739" s="2" t="s">
        <v>15240</v>
      </c>
    </row>
    <row r="741">
      <c r="A741" s="2" t="s">
        <v>14932</v>
      </c>
    </row>
    <row r="742">
      <c r="A742" s="2" t="s">
        <v>15241</v>
      </c>
    </row>
    <row r="743">
      <c r="A743" s="2" t="s">
        <v>7462</v>
      </c>
    </row>
    <row r="744">
      <c r="A744" s="2" t="s">
        <v>15242</v>
      </c>
    </row>
    <row r="746">
      <c r="A746" s="2" t="s">
        <v>15243</v>
      </c>
    </row>
    <row r="748">
      <c r="A748" s="2" t="s">
        <v>15244</v>
      </c>
    </row>
    <row r="750">
      <c r="A750" s="2" t="s">
        <v>14932</v>
      </c>
    </row>
    <row r="751">
      <c r="A751" s="2" t="s">
        <v>15245</v>
      </c>
    </row>
    <row r="752">
      <c r="A752" s="2" t="s">
        <v>7462</v>
      </c>
    </row>
    <row r="753">
      <c r="A753" s="2" t="s">
        <v>15246</v>
      </c>
    </row>
    <row r="755">
      <c r="A755" s="2" t="s">
        <v>15247</v>
      </c>
    </row>
    <row r="757">
      <c r="A757" s="2" t="s">
        <v>15248</v>
      </c>
    </row>
    <row r="759">
      <c r="A759" s="2" t="s">
        <v>15249</v>
      </c>
    </row>
    <row r="761">
      <c r="A761" s="2" t="s">
        <v>14932</v>
      </c>
    </row>
    <row r="762">
      <c r="A762" s="2" t="s">
        <v>15250</v>
      </c>
    </row>
    <row r="763">
      <c r="A763" s="2" t="s">
        <v>7462</v>
      </c>
    </row>
    <row r="764">
      <c r="A764" s="2" t="s">
        <v>15251</v>
      </c>
    </row>
    <row r="766">
      <c r="A766" s="2" t="s">
        <v>15252</v>
      </c>
    </row>
    <row r="768">
      <c r="A768" s="2" t="s">
        <v>15253</v>
      </c>
    </row>
    <row r="770">
      <c r="A770" s="2" t="s">
        <v>14932</v>
      </c>
    </row>
    <row r="771">
      <c r="A771" s="2" t="s">
        <v>15254</v>
      </c>
    </row>
    <row r="772">
      <c r="A772" s="2" t="s">
        <v>7462</v>
      </c>
    </row>
    <row r="773">
      <c r="A773" s="2" t="s">
        <v>15255</v>
      </c>
    </row>
    <row r="775">
      <c r="A775" s="2" t="s">
        <v>15256</v>
      </c>
    </row>
    <row r="777">
      <c r="A777" s="2" t="s">
        <v>15257</v>
      </c>
    </row>
    <row r="779">
      <c r="A779" s="2" t="s">
        <v>15258</v>
      </c>
    </row>
    <row r="781">
      <c r="A781" s="2" t="s">
        <v>14932</v>
      </c>
    </row>
    <row r="782">
      <c r="A782" s="2" t="s">
        <v>15259</v>
      </c>
    </row>
    <row r="783">
      <c r="A783" s="2" t="s">
        <v>7462</v>
      </c>
    </row>
    <row r="784">
      <c r="A784" s="2" t="s">
        <v>15260</v>
      </c>
    </row>
    <row r="786">
      <c r="A786" s="2" t="s">
        <v>15261</v>
      </c>
    </row>
    <row r="788">
      <c r="A788" s="2" t="s">
        <v>15262</v>
      </c>
    </row>
    <row r="790">
      <c r="A790" s="2" t="s">
        <v>14932</v>
      </c>
    </row>
    <row r="791">
      <c r="A791" s="2" t="s">
        <v>15263</v>
      </c>
    </row>
    <row r="792">
      <c r="A792" s="2" t="s">
        <v>7462</v>
      </c>
    </row>
    <row r="793">
      <c r="A793" s="2" t="s">
        <v>15264</v>
      </c>
    </row>
    <row r="795">
      <c r="A795" s="2" t="s">
        <v>15265</v>
      </c>
    </row>
    <row r="797">
      <c r="A797" s="2" t="s">
        <v>15266</v>
      </c>
    </row>
    <row r="799">
      <c r="A799" s="2" t="s">
        <v>15267</v>
      </c>
    </row>
    <row r="801">
      <c r="A801" s="2" t="s">
        <v>14932</v>
      </c>
    </row>
    <row r="802">
      <c r="A802" s="2" t="s">
        <v>15268</v>
      </c>
    </row>
    <row r="803">
      <c r="A803" s="2" t="s">
        <v>7462</v>
      </c>
    </row>
    <row r="804">
      <c r="A804" s="2" t="s">
        <v>15269</v>
      </c>
    </row>
    <row r="806">
      <c r="A806" s="2" t="s">
        <v>15270</v>
      </c>
    </row>
    <row r="808">
      <c r="A808" s="2" t="s">
        <v>15271</v>
      </c>
    </row>
    <row r="810">
      <c r="A810" s="2" t="s">
        <v>15272</v>
      </c>
    </row>
    <row r="812">
      <c r="A812" s="2" t="s">
        <v>14932</v>
      </c>
    </row>
    <row r="813">
      <c r="A813" s="2" t="s">
        <v>15273</v>
      </c>
    </row>
    <row r="814">
      <c r="A814" s="2" t="s">
        <v>7462</v>
      </c>
    </row>
    <row r="815">
      <c r="A815" s="2" t="s">
        <v>15274</v>
      </c>
    </row>
    <row r="817">
      <c r="A817" s="2" t="s">
        <v>15275</v>
      </c>
    </row>
    <row r="819">
      <c r="A819" s="2" t="s">
        <v>15276</v>
      </c>
    </row>
    <row r="821">
      <c r="A821" s="2" t="s">
        <v>15277</v>
      </c>
    </row>
    <row r="823">
      <c r="A823" s="2" t="s">
        <v>15278</v>
      </c>
    </row>
    <row r="825">
      <c r="A825" s="2" t="s">
        <v>14932</v>
      </c>
    </row>
    <row r="826">
      <c r="A826" s="2" t="s">
        <v>15279</v>
      </c>
    </row>
    <row r="827">
      <c r="A827" s="2" t="s">
        <v>7462</v>
      </c>
    </row>
    <row r="828">
      <c r="A828" s="2" t="s">
        <v>15280</v>
      </c>
    </row>
    <row r="830">
      <c r="A830" s="2" t="s">
        <v>15281</v>
      </c>
    </row>
    <row r="832">
      <c r="A832" s="2" t="s">
        <v>15282</v>
      </c>
    </row>
    <row r="834">
      <c r="A834" s="2" t="s">
        <v>15283</v>
      </c>
    </row>
    <row r="836">
      <c r="A836" s="2" t="s">
        <v>14932</v>
      </c>
    </row>
    <row r="837">
      <c r="A837" s="2" t="s">
        <v>15284</v>
      </c>
    </row>
    <row r="838">
      <c r="A838" s="2" t="s">
        <v>7462</v>
      </c>
    </row>
    <row r="839">
      <c r="A839" s="2" t="s">
        <v>15285</v>
      </c>
    </row>
    <row r="841">
      <c r="A841" s="2" t="s">
        <v>15286</v>
      </c>
    </row>
    <row r="843">
      <c r="A843" s="2" t="s">
        <v>15287</v>
      </c>
    </row>
    <row r="845">
      <c r="A845" s="2" t="s">
        <v>14932</v>
      </c>
    </row>
    <row r="846">
      <c r="A846" s="2" t="s">
        <v>15288</v>
      </c>
    </row>
    <row r="847">
      <c r="A847" s="2" t="s">
        <v>7462</v>
      </c>
    </row>
    <row r="849">
      <c r="A849" s="2" t="s">
        <v>15289</v>
      </c>
    </row>
    <row r="851">
      <c r="A851" s="2" t="s">
        <v>15290</v>
      </c>
    </row>
    <row r="853">
      <c r="A853" s="2" t="s">
        <v>15291</v>
      </c>
    </row>
    <row r="855">
      <c r="A855" s="2" t="s">
        <v>14932</v>
      </c>
    </row>
    <row r="856">
      <c r="A856" s="2" t="s">
        <v>15292</v>
      </c>
    </row>
    <row r="858">
      <c r="A858" s="2" t="s">
        <v>7462</v>
      </c>
    </row>
    <row r="859">
      <c r="A859" s="2" t="s">
        <v>15293</v>
      </c>
    </row>
    <row r="861">
      <c r="A861" s="2" t="s">
        <v>15294</v>
      </c>
    </row>
    <row r="863">
      <c r="A863" s="2" t="s">
        <v>15295</v>
      </c>
    </row>
    <row r="865">
      <c r="A865" s="2" t="s">
        <v>14932</v>
      </c>
    </row>
    <row r="866">
      <c r="A866" s="2" t="s">
        <v>15296</v>
      </c>
    </row>
    <row r="867">
      <c r="A867" s="2" t="s">
        <v>7462</v>
      </c>
    </row>
    <row r="868">
      <c r="A868" s="2" t="s">
        <v>15297</v>
      </c>
    </row>
    <row r="870">
      <c r="A870" s="2" t="s">
        <v>15298</v>
      </c>
    </row>
    <row r="872">
      <c r="A872" s="2" t="s">
        <v>15299</v>
      </c>
    </row>
    <row r="874">
      <c r="A874" s="2" t="s">
        <v>15300</v>
      </c>
    </row>
    <row r="876">
      <c r="A876" s="2" t="s">
        <v>14932</v>
      </c>
    </row>
    <row r="877">
      <c r="A877" s="2" t="s">
        <v>15301</v>
      </c>
    </row>
    <row r="878">
      <c r="A878" s="2" t="s">
        <v>7462</v>
      </c>
    </row>
    <row r="879">
      <c r="A879" s="2" t="s">
        <v>15302</v>
      </c>
    </row>
    <row r="881">
      <c r="A881" s="2" t="s">
        <v>15303</v>
      </c>
    </row>
    <row r="883">
      <c r="A883" s="2" t="s">
        <v>15304</v>
      </c>
    </row>
    <row r="885">
      <c r="A885" s="2" t="s">
        <v>14932</v>
      </c>
    </row>
    <row r="886">
      <c r="A886" s="2" t="s">
        <v>15305</v>
      </c>
    </row>
    <row r="887">
      <c r="A887" s="2" t="s">
        <v>7462</v>
      </c>
    </row>
    <row r="888">
      <c r="A888" s="2" t="s">
        <v>15306</v>
      </c>
    </row>
    <row r="890">
      <c r="A890" s="2" t="s">
        <v>14932</v>
      </c>
    </row>
    <row r="891">
      <c r="A891" s="2" t="s">
        <v>15307</v>
      </c>
    </row>
    <row r="892">
      <c r="A892" s="2" t="s">
        <v>7462</v>
      </c>
    </row>
    <row r="893">
      <c r="A893" s="2" t="s">
        <v>15308</v>
      </c>
    </row>
    <row r="895">
      <c r="A895" s="2" t="s">
        <v>15309</v>
      </c>
    </row>
    <row r="897">
      <c r="A897" s="2" t="s">
        <v>15310</v>
      </c>
    </row>
    <row r="899">
      <c r="A899" s="2" t="s">
        <v>14932</v>
      </c>
    </row>
    <row r="900">
      <c r="A900" s="2" t="s">
        <v>15311</v>
      </c>
    </row>
    <row r="901">
      <c r="A901" s="2" t="s">
        <v>7462</v>
      </c>
    </row>
    <row r="902">
      <c r="A902" s="2" t="s">
        <v>15312</v>
      </c>
    </row>
    <row r="904">
      <c r="A904" s="2" t="s">
        <v>15313</v>
      </c>
    </row>
    <row r="906">
      <c r="A906" s="2" t="s">
        <v>15314</v>
      </c>
    </row>
    <row r="908">
      <c r="A908" s="2" t="s">
        <v>15315</v>
      </c>
    </row>
    <row r="910">
      <c r="A910" s="2" t="s">
        <v>14932</v>
      </c>
    </row>
    <row r="911">
      <c r="A911" s="2" t="s">
        <v>15316</v>
      </c>
    </row>
    <row r="912">
      <c r="A912" s="2" t="s">
        <v>7462</v>
      </c>
    </row>
    <row r="913">
      <c r="A913" s="2" t="s">
        <v>15317</v>
      </c>
    </row>
    <row r="915">
      <c r="A915" s="2" t="s">
        <v>15318</v>
      </c>
    </row>
    <row r="917">
      <c r="A917" s="2" t="s">
        <v>15319</v>
      </c>
    </row>
    <row r="919">
      <c r="A919" s="2" t="s">
        <v>14932</v>
      </c>
    </row>
    <row r="920">
      <c r="A920" s="2" t="s">
        <v>15320</v>
      </c>
    </row>
    <row r="921">
      <c r="A921" s="2" t="s">
        <v>7462</v>
      </c>
    </row>
    <row r="922">
      <c r="A922" s="2" t="s">
        <v>15321</v>
      </c>
    </row>
    <row r="924">
      <c r="A924" s="2" t="s">
        <v>15322</v>
      </c>
    </row>
    <row r="926">
      <c r="A926" s="2" t="s">
        <v>15323</v>
      </c>
    </row>
    <row r="928">
      <c r="A928" s="2" t="s">
        <v>15324</v>
      </c>
    </row>
    <row r="930">
      <c r="A930" s="2" t="s">
        <v>14932</v>
      </c>
    </row>
    <row r="931">
      <c r="A931" s="2" t="s">
        <v>15325</v>
      </c>
    </row>
    <row r="932">
      <c r="A932" s="2" t="s">
        <v>7462</v>
      </c>
    </row>
    <row r="933">
      <c r="A933" s="2" t="s">
        <v>15326</v>
      </c>
    </row>
    <row r="935">
      <c r="A935" s="2" t="s">
        <v>15327</v>
      </c>
    </row>
    <row r="937">
      <c r="A937" s="2" t="s">
        <v>15328</v>
      </c>
    </row>
    <row r="939">
      <c r="A939" s="2" t="s">
        <v>14932</v>
      </c>
    </row>
    <row r="940">
      <c r="A940" s="2" t="s">
        <v>15329</v>
      </c>
    </row>
    <row r="941">
      <c r="A941" s="2" t="s">
        <v>7462</v>
      </c>
    </row>
    <row r="942">
      <c r="A942" s="2" t="s">
        <v>15330</v>
      </c>
    </row>
    <row r="944">
      <c r="A944" s="2" t="s">
        <v>15331</v>
      </c>
    </row>
    <row r="946">
      <c r="A946" s="2" t="s">
        <v>15332</v>
      </c>
    </row>
    <row r="948">
      <c r="A948" s="2" t="s">
        <v>15333</v>
      </c>
    </row>
    <row r="950">
      <c r="A950" s="2" t="s">
        <v>14932</v>
      </c>
    </row>
    <row r="951">
      <c r="A951" s="2" t="s">
        <v>15334</v>
      </c>
    </row>
    <row r="952">
      <c r="A952" s="2" t="s">
        <v>7462</v>
      </c>
    </row>
    <row r="953">
      <c r="A953" s="2" t="s">
        <v>15335</v>
      </c>
    </row>
    <row r="955">
      <c r="A955" s="2" t="s">
        <v>15336</v>
      </c>
    </row>
    <row r="957">
      <c r="A957" s="2" t="s">
        <v>15337</v>
      </c>
    </row>
    <row r="959">
      <c r="A959" s="2" t="s">
        <v>14932</v>
      </c>
    </row>
    <row r="960">
      <c r="A960" s="2" t="s">
        <v>15338</v>
      </c>
    </row>
    <row r="961">
      <c r="A961" s="2" t="s">
        <v>7462</v>
      </c>
    </row>
    <row r="962">
      <c r="A962" s="2" t="s">
        <v>15339</v>
      </c>
    </row>
    <row r="964">
      <c r="A964" s="2" t="s">
        <v>15340</v>
      </c>
    </row>
    <row r="966">
      <c r="A966" s="2" t="s">
        <v>15341</v>
      </c>
    </row>
    <row r="968">
      <c r="A968" s="2" t="s">
        <v>15342</v>
      </c>
    </row>
    <row r="970">
      <c r="A970" s="2" t="s">
        <v>14932</v>
      </c>
    </row>
    <row r="971">
      <c r="A971" s="2" t="s">
        <v>15343</v>
      </c>
    </row>
    <row r="972">
      <c r="A972" s="2" t="s">
        <v>7462</v>
      </c>
    </row>
    <row r="973">
      <c r="A973" s="2" t="s">
        <v>15344</v>
      </c>
    </row>
    <row r="975">
      <c r="A975" s="2" t="s">
        <v>15345</v>
      </c>
    </row>
    <row r="977">
      <c r="A977" s="2" t="s">
        <v>15346</v>
      </c>
    </row>
    <row r="979">
      <c r="A979" s="2" t="s">
        <v>14932</v>
      </c>
    </row>
    <row r="980">
      <c r="A980" s="2" t="s">
        <v>15347</v>
      </c>
    </row>
    <row r="981">
      <c r="A981" s="2" t="s">
        <v>15348</v>
      </c>
    </row>
    <row r="983">
      <c r="A983" s="2" t="s">
        <v>15349</v>
      </c>
    </row>
    <row r="985">
      <c r="A985" s="2" t="s">
        <v>15350</v>
      </c>
    </row>
    <row r="987">
      <c r="A987" s="2" t="s">
        <v>15351</v>
      </c>
    </row>
    <row r="989">
      <c r="A989" s="2" t="s">
        <v>14932</v>
      </c>
    </row>
    <row r="990">
      <c r="A990" s="2" t="s">
        <v>15352</v>
      </c>
    </row>
    <row r="991">
      <c r="A991" s="2" t="s">
        <v>7462</v>
      </c>
    </row>
    <row r="992">
      <c r="A992" s="2" t="s">
        <v>15353</v>
      </c>
    </row>
    <row r="994">
      <c r="A994" s="2" t="s">
        <v>15354</v>
      </c>
    </row>
    <row r="996">
      <c r="A996" s="2" t="s">
        <v>15355</v>
      </c>
    </row>
    <row r="998">
      <c r="A998" s="2" t="s">
        <v>15356</v>
      </c>
    </row>
    <row r="1000">
      <c r="A1000" s="2" t="s">
        <v>14932</v>
      </c>
    </row>
    <row r="1001">
      <c r="A1001" s="2" t="s">
        <v>15357</v>
      </c>
    </row>
    <row r="1002">
      <c r="A1002" s="2" t="s">
        <v>7462</v>
      </c>
    </row>
    <row r="1003">
      <c r="A1003" s="2" t="s">
        <v>15358</v>
      </c>
    </row>
    <row r="1005">
      <c r="A1005" s="2" t="s">
        <v>15359</v>
      </c>
    </row>
    <row r="1007">
      <c r="A1007" s="2" t="s">
        <v>15360</v>
      </c>
    </row>
    <row r="1009">
      <c r="A1009" s="2" t="s">
        <v>14932</v>
      </c>
    </row>
    <row r="1010">
      <c r="A1010" s="2" t="s">
        <v>15361</v>
      </c>
    </row>
    <row r="1011">
      <c r="A1011" s="2" t="s">
        <v>7462</v>
      </c>
    </row>
    <row r="1012">
      <c r="A1012" s="2" t="s">
        <v>15362</v>
      </c>
    </row>
    <row r="1014">
      <c r="A1014" s="2" t="s">
        <v>14932</v>
      </c>
    </row>
    <row r="1015">
      <c r="A1015" s="2" t="s">
        <v>15363</v>
      </c>
    </row>
    <row r="1016">
      <c r="A1016" s="2" t="s">
        <v>7462</v>
      </c>
    </row>
    <row r="1017">
      <c r="A1017" s="2" t="s">
        <v>15364</v>
      </c>
    </row>
    <row r="1019">
      <c r="A1019" s="2" t="s">
        <v>15365</v>
      </c>
    </row>
    <row r="1021">
      <c r="A1021" s="2" t="s">
        <v>15366</v>
      </c>
    </row>
    <row r="1023">
      <c r="A1023" s="2" t="s">
        <v>15367</v>
      </c>
    </row>
    <row r="1025">
      <c r="A1025" s="2" t="s">
        <v>14932</v>
      </c>
    </row>
    <row r="1026">
      <c r="A1026" s="2" t="s">
        <v>15368</v>
      </c>
    </row>
    <row r="1027">
      <c r="A1027" s="2" t="s">
        <v>7462</v>
      </c>
    </row>
    <row r="1028">
      <c r="A1028" s="2" t="s">
        <v>15369</v>
      </c>
    </row>
    <row r="1030">
      <c r="A1030" s="2" t="s">
        <v>15370</v>
      </c>
    </row>
    <row r="1032">
      <c r="A1032" s="2" t="s">
        <v>15371</v>
      </c>
    </row>
    <row r="1034">
      <c r="A1034" s="2" t="s">
        <v>14932</v>
      </c>
    </row>
    <row r="1035">
      <c r="A1035" s="2" t="s">
        <v>15372</v>
      </c>
    </row>
    <row r="1036">
      <c r="A1036" s="2" t="s">
        <v>7462</v>
      </c>
    </row>
    <row r="1037">
      <c r="A1037" s="2" t="s">
        <v>15373</v>
      </c>
    </row>
    <row r="1039">
      <c r="A1039" s="2" t="s">
        <v>14932</v>
      </c>
    </row>
    <row r="1040">
      <c r="A1040" s="2" t="s">
        <v>15374</v>
      </c>
    </row>
    <row r="1041">
      <c r="A1041" s="2" t="s">
        <v>7462</v>
      </c>
    </row>
    <row r="1042">
      <c r="A1042" s="2" t="s">
        <v>15375</v>
      </c>
    </row>
    <row r="1044">
      <c r="A1044" s="2" t="s">
        <v>15376</v>
      </c>
    </row>
    <row r="1046">
      <c r="A1046" s="2" t="s">
        <v>15377</v>
      </c>
    </row>
    <row r="1048">
      <c r="A1048" s="2" t="s">
        <v>14932</v>
      </c>
    </row>
    <row r="1049">
      <c r="A1049" s="2" t="s">
        <v>15378</v>
      </c>
    </row>
    <row r="1050">
      <c r="A1050" s="2" t="s">
        <v>7462</v>
      </c>
    </row>
    <row r="1051">
      <c r="A1051" s="2" t="s">
        <v>15379</v>
      </c>
    </row>
    <row r="1053">
      <c r="A1053" s="2" t="s">
        <v>15380</v>
      </c>
    </row>
    <row r="1055">
      <c r="A1055" s="2" t="s">
        <v>15381</v>
      </c>
    </row>
    <row r="1057">
      <c r="A1057" s="2" t="s">
        <v>15382</v>
      </c>
    </row>
    <row r="1059">
      <c r="A1059" s="2" t="s">
        <v>14932</v>
      </c>
    </row>
    <row r="1060">
      <c r="A1060" s="2" t="s">
        <v>15383</v>
      </c>
    </row>
    <row r="1061">
      <c r="A1061" s="2" t="s">
        <v>7462</v>
      </c>
    </row>
    <row r="1062">
      <c r="A1062" s="2" t="s">
        <v>15384</v>
      </c>
    </row>
    <row r="1064">
      <c r="A1064" s="2" t="s">
        <v>15385</v>
      </c>
    </row>
    <row r="1066">
      <c r="A1066" s="2" t="s">
        <v>15386</v>
      </c>
    </row>
    <row r="1068">
      <c r="A1068" s="2" t="s">
        <v>15387</v>
      </c>
    </row>
    <row r="1070">
      <c r="A1070" s="2" t="s">
        <v>14932</v>
      </c>
    </row>
    <row r="1071">
      <c r="A1071" s="2" t="s">
        <v>15388</v>
      </c>
    </row>
    <row r="1072">
      <c r="A1072" s="2" t="s">
        <v>7462</v>
      </c>
    </row>
    <row r="1073">
      <c r="A1073" s="2" t="s">
        <v>15389</v>
      </c>
    </row>
    <row r="1075">
      <c r="A1075" s="2" t="s">
        <v>15390</v>
      </c>
    </row>
    <row r="1077">
      <c r="A1077" s="2" t="s">
        <v>14932</v>
      </c>
    </row>
    <row r="1078">
      <c r="A1078" s="2" t="s">
        <v>15391</v>
      </c>
    </row>
    <row r="1079">
      <c r="A1079" s="2" t="s">
        <v>7462</v>
      </c>
    </row>
    <row r="1080">
      <c r="A1080" s="2" t="s">
        <v>15392</v>
      </c>
    </row>
    <row r="1082">
      <c r="A1082" s="2" t="s">
        <v>15393</v>
      </c>
    </row>
    <row r="1084">
      <c r="A1084" s="2" t="s">
        <v>15394</v>
      </c>
    </row>
    <row r="1086">
      <c r="A1086" s="2" t="s">
        <v>15395</v>
      </c>
    </row>
    <row r="1088">
      <c r="A1088" s="2" t="s">
        <v>14932</v>
      </c>
    </row>
    <row r="1089">
      <c r="A1089" s="2" t="s">
        <v>15396</v>
      </c>
    </row>
    <row r="1090">
      <c r="A1090" s="2" t="s">
        <v>7462</v>
      </c>
    </row>
    <row r="1091">
      <c r="A1091" s="2" t="s">
        <v>15397</v>
      </c>
    </row>
    <row r="1093">
      <c r="A1093" s="2" t="s">
        <v>15398</v>
      </c>
    </row>
    <row r="1095">
      <c r="A1095" s="2" t="s">
        <v>15399</v>
      </c>
    </row>
    <row r="1097">
      <c r="A1097" s="2" t="s">
        <v>15400</v>
      </c>
    </row>
    <row r="1099">
      <c r="A1099" s="2" t="s">
        <v>14932</v>
      </c>
    </row>
    <row r="1100">
      <c r="A1100" s="2" t="s">
        <v>15401</v>
      </c>
    </row>
    <row r="1101">
      <c r="A1101" s="2" t="s">
        <v>7462</v>
      </c>
    </row>
    <row r="1102">
      <c r="A1102" s="2" t="s">
        <v>15402</v>
      </c>
    </row>
    <row r="1104">
      <c r="A1104" s="2" t="s">
        <v>15403</v>
      </c>
    </row>
    <row r="1106">
      <c r="A1106" s="2" t="s">
        <v>15404</v>
      </c>
    </row>
    <row r="1108">
      <c r="A1108" s="2" t="s">
        <v>14932</v>
      </c>
    </row>
    <row r="1109">
      <c r="A1109" s="2" t="s">
        <v>15405</v>
      </c>
    </row>
    <row r="1111">
      <c r="A1111" s="2" t="s">
        <v>7462</v>
      </c>
    </row>
    <row r="1112">
      <c r="A1112" s="2" t="s">
        <v>15406</v>
      </c>
    </row>
    <row r="1114">
      <c r="A1114" s="2" t="s">
        <v>15407</v>
      </c>
    </row>
    <row r="1116">
      <c r="A1116" s="2" t="s">
        <v>15408</v>
      </c>
    </row>
    <row r="1118">
      <c r="A1118" s="2" t="s">
        <v>15409</v>
      </c>
    </row>
    <row r="1120">
      <c r="A1120" s="2" t="s">
        <v>14932</v>
      </c>
    </row>
    <row r="1121">
      <c r="A1121" s="2" t="s">
        <v>15410</v>
      </c>
    </row>
    <row r="1123">
      <c r="A1123" s="2" t="s">
        <v>7462</v>
      </c>
    </row>
    <row r="1124">
      <c r="A1124" s="2" t="s">
        <v>15411</v>
      </c>
    </row>
    <row r="1126">
      <c r="A1126" s="2" t="s">
        <v>15412</v>
      </c>
    </row>
    <row r="1128">
      <c r="A1128" s="2" t="s">
        <v>15413</v>
      </c>
    </row>
    <row r="1130">
      <c r="A1130" s="2" t="s">
        <v>14932</v>
      </c>
    </row>
    <row r="1131">
      <c r="A1131" s="2" t="s">
        <v>15414</v>
      </c>
    </row>
    <row r="1133">
      <c r="A1133" s="2" t="s">
        <v>7462</v>
      </c>
    </row>
    <row r="1134">
      <c r="A1134" s="2" t="s">
        <v>15415</v>
      </c>
    </row>
    <row r="1136">
      <c r="A1136" s="2" t="s">
        <v>15416</v>
      </c>
    </row>
    <row r="1138">
      <c r="A1138" s="2" t="s">
        <v>15417</v>
      </c>
    </row>
    <row r="1140">
      <c r="A1140" s="2" t="s">
        <v>14932</v>
      </c>
    </row>
    <row r="1141">
      <c r="A1141" s="2" t="s">
        <v>15418</v>
      </c>
    </row>
    <row r="1142">
      <c r="A1142" s="2" t="s">
        <v>7462</v>
      </c>
    </row>
    <row r="1143">
      <c r="A1143" s="2" t="s">
        <v>15419</v>
      </c>
    </row>
    <row r="1145">
      <c r="A1145" s="2" t="s">
        <v>15420</v>
      </c>
    </row>
    <row r="1147">
      <c r="A1147" s="2" t="s">
        <v>15421</v>
      </c>
    </row>
    <row r="1149">
      <c r="A1149" s="2" t="s">
        <v>14932</v>
      </c>
    </row>
    <row r="1150">
      <c r="A1150" s="2" t="s">
        <v>15422</v>
      </c>
    </row>
    <row r="1151">
      <c r="A1151" s="2" t="s">
        <v>7462</v>
      </c>
    </row>
    <row r="1152">
      <c r="A1152" s="2" t="s">
        <v>15423</v>
      </c>
    </row>
    <row r="1154">
      <c r="A1154" s="2" t="s">
        <v>15424</v>
      </c>
    </row>
    <row r="1156">
      <c r="A1156" s="2" t="s">
        <v>15425</v>
      </c>
    </row>
    <row r="1158">
      <c r="A1158" s="2" t="s">
        <v>14932</v>
      </c>
    </row>
    <row r="1159">
      <c r="A1159" s="2" t="s">
        <v>15426</v>
      </c>
    </row>
    <row r="1160">
      <c r="A1160" s="2" t="s">
        <v>7462</v>
      </c>
    </row>
    <row r="1161">
      <c r="A1161" s="2" t="s">
        <v>15427</v>
      </c>
    </row>
    <row r="1163">
      <c r="A1163" s="2" t="s">
        <v>15428</v>
      </c>
    </row>
    <row r="1165">
      <c r="A1165" s="2" t="s">
        <v>15429</v>
      </c>
    </row>
    <row r="1167">
      <c r="A1167" s="2" t="s">
        <v>14932</v>
      </c>
    </row>
    <row r="1168">
      <c r="A1168" s="2" t="s">
        <v>15430</v>
      </c>
    </row>
    <row r="1169">
      <c r="A1169" s="2" t="s">
        <v>7462</v>
      </c>
    </row>
    <row r="1170">
      <c r="A1170" s="2" t="s">
        <v>15431</v>
      </c>
    </row>
    <row r="1172">
      <c r="A1172" s="2" t="s">
        <v>15432</v>
      </c>
    </row>
    <row r="1174">
      <c r="A1174" s="2" t="s">
        <v>15433</v>
      </c>
    </row>
    <row r="1176">
      <c r="A1176" s="2" t="s">
        <v>15434</v>
      </c>
    </row>
    <row r="1178">
      <c r="A1178" s="2" t="s">
        <v>14932</v>
      </c>
    </row>
    <row r="1179">
      <c r="A1179" s="2" t="s">
        <v>15435</v>
      </c>
    </row>
    <row r="1180">
      <c r="A1180" s="2" t="s">
        <v>7462</v>
      </c>
    </row>
    <row r="1181">
      <c r="A1181" s="2" t="s">
        <v>15436</v>
      </c>
    </row>
    <row r="1183">
      <c r="A1183" s="2" t="s">
        <v>15437</v>
      </c>
    </row>
    <row r="1185">
      <c r="A1185" s="2" t="s">
        <v>15438</v>
      </c>
    </row>
    <row r="1187">
      <c r="A1187" s="2" t="s">
        <v>14932</v>
      </c>
    </row>
    <row r="1188">
      <c r="A1188" s="2" t="s">
        <v>15439</v>
      </c>
    </row>
    <row r="1189">
      <c r="A1189" s="2" t="s">
        <v>7462</v>
      </c>
    </row>
    <row r="1190">
      <c r="A1190" s="2" t="s">
        <v>15440</v>
      </c>
    </row>
    <row r="1192">
      <c r="A1192" s="2" t="s">
        <v>15441</v>
      </c>
    </row>
    <row r="1194">
      <c r="A1194" s="2" t="s">
        <v>15442</v>
      </c>
    </row>
    <row r="1196">
      <c r="A1196" s="2" t="s">
        <v>15443</v>
      </c>
    </row>
    <row r="1198">
      <c r="A1198" s="2" t="s">
        <v>14932</v>
      </c>
    </row>
    <row r="1199">
      <c r="A1199" s="2" t="s">
        <v>15444</v>
      </c>
    </row>
    <row r="1200">
      <c r="A1200" s="2" t="s">
        <v>7462</v>
      </c>
    </row>
    <row r="1201">
      <c r="A1201" s="2" t="s">
        <v>15445</v>
      </c>
    </row>
    <row r="1203">
      <c r="A1203" s="2" t="s">
        <v>15446</v>
      </c>
    </row>
    <row r="1205">
      <c r="A1205" s="2" t="s">
        <v>15447</v>
      </c>
    </row>
    <row r="1207">
      <c r="A1207" s="2" t="s">
        <v>14932</v>
      </c>
    </row>
    <row r="1208">
      <c r="A1208" s="2" t="s">
        <v>15448</v>
      </c>
    </row>
    <row r="1209">
      <c r="A1209" s="2" t="s">
        <v>7462</v>
      </c>
    </row>
    <row r="1210">
      <c r="A1210" s="2" t="s">
        <v>15449</v>
      </c>
    </row>
    <row r="1212">
      <c r="A1212" s="2" t="s">
        <v>14932</v>
      </c>
    </row>
    <row r="1213">
      <c r="A1213" s="2" t="s">
        <v>15450</v>
      </c>
    </row>
    <row r="1214">
      <c r="A1214" s="2" t="s">
        <v>7462</v>
      </c>
    </row>
    <row r="1215">
      <c r="A1215" s="2" t="s">
        <v>15451</v>
      </c>
    </row>
    <row r="1217">
      <c r="A1217" s="2" t="s">
        <v>14932</v>
      </c>
    </row>
    <row r="1218">
      <c r="A1218" s="2" t="s">
        <v>15452</v>
      </c>
    </row>
    <row r="1219">
      <c r="A1219" s="2" t="s">
        <v>7462</v>
      </c>
    </row>
    <row r="1220">
      <c r="A1220" s="2" t="s">
        <v>15453</v>
      </c>
    </row>
    <row r="1222">
      <c r="A1222" s="2" t="s">
        <v>15454</v>
      </c>
    </row>
    <row r="1224">
      <c r="A1224" s="2" t="s">
        <v>14932</v>
      </c>
    </row>
    <row r="1225">
      <c r="A1225" s="2" t="s">
        <v>15455</v>
      </c>
    </row>
    <row r="1226">
      <c r="A1226" s="2" t="s">
        <v>7462</v>
      </c>
    </row>
    <row r="1227">
      <c r="A1227" s="2" t="s">
        <v>15456</v>
      </c>
    </row>
    <row r="1229">
      <c r="A1229" s="2" t="s">
        <v>15457</v>
      </c>
    </row>
    <row r="1231">
      <c r="A1231" s="2" t="s">
        <v>15458</v>
      </c>
    </row>
    <row r="1233">
      <c r="A1233" s="2" t="s">
        <v>15459</v>
      </c>
    </row>
    <row r="1235">
      <c r="A1235" s="2" t="s">
        <v>14932</v>
      </c>
    </row>
    <row r="1236">
      <c r="A1236" s="2" t="s">
        <v>15460</v>
      </c>
    </row>
    <row r="1237">
      <c r="A1237" s="2" t="s">
        <v>7462</v>
      </c>
    </row>
    <row r="1238">
      <c r="A1238" s="2" t="s">
        <v>15461</v>
      </c>
    </row>
    <row r="1240">
      <c r="A1240" s="2" t="s">
        <v>15462</v>
      </c>
    </row>
    <row r="1242">
      <c r="A1242" s="2" t="s">
        <v>15463</v>
      </c>
    </row>
    <row r="1244">
      <c r="A1244" s="2" t="s">
        <v>14932</v>
      </c>
    </row>
    <row r="1245">
      <c r="A1245" s="2" t="s">
        <v>15464</v>
      </c>
    </row>
    <row r="1246">
      <c r="A1246" s="2" t="s">
        <v>7462</v>
      </c>
    </row>
    <row r="1247">
      <c r="A1247" s="2" t="s">
        <v>15465</v>
      </c>
    </row>
    <row r="1249">
      <c r="A1249" s="2" t="s">
        <v>15466</v>
      </c>
    </row>
    <row r="1251">
      <c r="A1251" s="2" t="s">
        <v>15467</v>
      </c>
    </row>
    <row r="1253">
      <c r="A1253" s="2" t="s">
        <v>14932</v>
      </c>
    </row>
    <row r="1254">
      <c r="A1254" s="2" t="s">
        <v>15468</v>
      </c>
    </row>
    <row r="1255">
      <c r="A1255" s="2" t="s">
        <v>7462</v>
      </c>
    </row>
    <row r="1256">
      <c r="A1256" s="2" t="s">
        <v>15469</v>
      </c>
    </row>
    <row r="1258">
      <c r="A1258" s="2" t="s">
        <v>15470</v>
      </c>
    </row>
    <row r="1260">
      <c r="A1260" s="2" t="s">
        <v>15471</v>
      </c>
    </row>
    <row r="1262">
      <c r="A1262" s="2" t="s">
        <v>14932</v>
      </c>
    </row>
    <row r="1263">
      <c r="A1263" s="2" t="s">
        <v>15472</v>
      </c>
    </row>
    <row r="1265">
      <c r="A1265" s="2" t="s">
        <v>7462</v>
      </c>
    </row>
    <row r="1266">
      <c r="A1266" s="2" t="s">
        <v>15473</v>
      </c>
    </row>
    <row r="1268">
      <c r="A1268" s="2" t="s">
        <v>15474</v>
      </c>
    </row>
    <row r="1270">
      <c r="A1270" s="2" t="s">
        <v>15475</v>
      </c>
    </row>
    <row r="1272">
      <c r="A1272" s="2" t="s">
        <v>14932</v>
      </c>
    </row>
    <row r="1273">
      <c r="A1273" s="2" t="s">
        <v>15476</v>
      </c>
    </row>
    <row r="1274">
      <c r="A1274" s="2" t="s">
        <v>7462</v>
      </c>
    </row>
    <row r="1275">
      <c r="A1275" s="2" t="s">
        <v>15477</v>
      </c>
    </row>
    <row r="1277">
      <c r="A1277" s="2" t="s">
        <v>15478</v>
      </c>
    </row>
    <row r="1279">
      <c r="A1279" s="2" t="s">
        <v>15479</v>
      </c>
    </row>
    <row r="1281">
      <c r="A1281" s="2" t="s">
        <v>15480</v>
      </c>
    </row>
    <row r="1283">
      <c r="A1283" s="2" t="s">
        <v>14932</v>
      </c>
    </row>
    <row r="1284">
      <c r="A1284" s="2" t="s">
        <v>15481</v>
      </c>
    </row>
    <row r="1285">
      <c r="A1285" s="2" t="s">
        <v>7462</v>
      </c>
    </row>
    <row r="1286">
      <c r="A1286" s="2" t="s">
        <v>15482</v>
      </c>
    </row>
    <row r="1288">
      <c r="A1288" s="2" t="s">
        <v>15483</v>
      </c>
    </row>
    <row r="1290">
      <c r="A1290" s="2" t="s">
        <v>15484</v>
      </c>
    </row>
    <row r="1292">
      <c r="A1292" s="2" t="s">
        <v>15485</v>
      </c>
    </row>
    <row r="1294">
      <c r="A1294" s="2" t="s">
        <v>14932</v>
      </c>
    </row>
    <row r="1295">
      <c r="A1295" s="2" t="s">
        <v>15486</v>
      </c>
    </row>
    <row r="1296">
      <c r="A1296" s="2" t="s">
        <v>7462</v>
      </c>
    </row>
    <row r="1297">
      <c r="A1297" s="2" t="s">
        <v>15487</v>
      </c>
    </row>
    <row r="1299">
      <c r="A1299" s="2" t="s">
        <v>15488</v>
      </c>
    </row>
    <row r="1301">
      <c r="A1301" s="2" t="s">
        <v>15489</v>
      </c>
    </row>
    <row r="1303">
      <c r="A1303" s="2" t="s">
        <v>14932</v>
      </c>
    </row>
    <row r="1304">
      <c r="A1304" s="2" t="s">
        <v>15490</v>
      </c>
    </row>
    <row r="1305">
      <c r="A1305" s="2" t="s">
        <v>15491</v>
      </c>
    </row>
    <row r="1307">
      <c r="A1307" s="2" t="s">
        <v>14932</v>
      </c>
    </row>
    <row r="1308">
      <c r="A1308" s="2" t="s">
        <v>15492</v>
      </c>
    </row>
    <row r="1309">
      <c r="A1309" s="2" t="s">
        <v>7462</v>
      </c>
    </row>
    <row r="1310">
      <c r="A1310" s="2" t="s">
        <v>15493</v>
      </c>
    </row>
    <row r="1312">
      <c r="A1312" s="2" t="s">
        <v>15494</v>
      </c>
    </row>
    <row r="1314">
      <c r="A1314" s="2" t="s">
        <v>15495</v>
      </c>
    </row>
    <row r="1316">
      <c r="A1316" s="2" t="s">
        <v>15496</v>
      </c>
    </row>
    <row r="1318">
      <c r="A1318" s="2" t="s">
        <v>14932</v>
      </c>
    </row>
    <row r="1319">
      <c r="A1319" s="2" t="s">
        <v>15497</v>
      </c>
    </row>
    <row r="1320">
      <c r="A1320" s="2" t="s">
        <v>7462</v>
      </c>
    </row>
    <row r="1321">
      <c r="A1321" s="2" t="s">
        <v>15498</v>
      </c>
    </row>
    <row r="1323">
      <c r="A1323" s="2" t="s">
        <v>15499</v>
      </c>
    </row>
    <row r="1325">
      <c r="A1325" s="2" t="s">
        <v>15500</v>
      </c>
    </row>
    <row r="1327">
      <c r="A1327" s="2" t="s">
        <v>15501</v>
      </c>
    </row>
    <row r="1329">
      <c r="A1329" s="2" t="s">
        <v>14932</v>
      </c>
    </row>
    <row r="1330">
      <c r="A1330" s="2" t="s">
        <v>15502</v>
      </c>
    </row>
    <row r="1331">
      <c r="A1331" s="2" t="s">
        <v>7462</v>
      </c>
    </row>
    <row r="1332">
      <c r="A1332" s="2" t="s">
        <v>15503</v>
      </c>
    </row>
    <row r="1334">
      <c r="A1334" s="2" t="s">
        <v>15504</v>
      </c>
    </row>
    <row r="1336">
      <c r="A1336" s="2" t="s">
        <v>15505</v>
      </c>
    </row>
    <row r="1338">
      <c r="A1338" s="2" t="s">
        <v>14932</v>
      </c>
    </row>
    <row r="1339">
      <c r="A1339" s="2" t="s">
        <v>15506</v>
      </c>
    </row>
    <row r="1340">
      <c r="A1340" s="2" t="s">
        <v>7462</v>
      </c>
    </row>
    <row r="1341">
      <c r="A1341" s="2" t="s">
        <v>15507</v>
      </c>
    </row>
    <row r="1343">
      <c r="A1343" s="2" t="s">
        <v>15508</v>
      </c>
    </row>
    <row r="1345">
      <c r="A1345" s="2" t="s">
        <v>15509</v>
      </c>
    </row>
    <row r="1347">
      <c r="A1347" s="2" t="s">
        <v>15510</v>
      </c>
    </row>
    <row r="1349">
      <c r="A1349" s="2" t="s">
        <v>14932</v>
      </c>
    </row>
    <row r="1350">
      <c r="A1350" s="2" t="s">
        <v>15511</v>
      </c>
    </row>
    <row r="1351">
      <c r="A1351" s="2" t="s">
        <v>7462</v>
      </c>
    </row>
    <row r="1352">
      <c r="A1352" s="2" t="s">
        <v>15512</v>
      </c>
    </row>
    <row r="1354">
      <c r="A1354" s="2" t="s">
        <v>15513</v>
      </c>
    </row>
    <row r="1356">
      <c r="A1356" s="2" t="s">
        <v>15514</v>
      </c>
    </row>
    <row r="1358">
      <c r="A1358" s="2" t="s">
        <v>14932</v>
      </c>
    </row>
    <row r="1359">
      <c r="A1359" s="2" t="s">
        <v>15515</v>
      </c>
    </row>
    <row r="1360">
      <c r="A1360" s="2" t="s">
        <v>7462</v>
      </c>
    </row>
    <row r="1361">
      <c r="A1361" s="2" t="s">
        <v>15516</v>
      </c>
    </row>
    <row r="1363">
      <c r="A1363" s="2" t="s">
        <v>15517</v>
      </c>
    </row>
    <row r="1365">
      <c r="A1365" s="2" t="s">
        <v>15518</v>
      </c>
    </row>
    <row r="1367">
      <c r="A1367" s="2" t="s">
        <v>15519</v>
      </c>
    </row>
    <row r="1369">
      <c r="A1369" s="2" t="s">
        <v>14932</v>
      </c>
    </row>
    <row r="1370">
      <c r="A1370" s="2" t="s">
        <v>15520</v>
      </c>
    </row>
    <row r="1371">
      <c r="A1371" s="2" t="s">
        <v>15521</v>
      </c>
    </row>
    <row r="1373">
      <c r="A1373" s="2" t="s">
        <v>7462</v>
      </c>
    </row>
    <row r="1374">
      <c r="A1374" s="2" t="s">
        <v>15522</v>
      </c>
    </row>
    <row r="1376">
      <c r="A1376" s="2" t="s">
        <v>15523</v>
      </c>
    </row>
    <row r="1378">
      <c r="A1378" s="2" t="s">
        <v>14932</v>
      </c>
    </row>
    <row r="1379">
      <c r="A1379" s="2" t="s">
        <v>15524</v>
      </c>
    </row>
    <row r="1380">
      <c r="A1380" s="2" t="s">
        <v>7462</v>
      </c>
    </row>
    <row r="1381">
      <c r="A1381" s="2" t="s">
        <v>15525</v>
      </c>
    </row>
    <row r="1383">
      <c r="A1383" s="2" t="s">
        <v>15526</v>
      </c>
    </row>
    <row r="1385">
      <c r="A1385" s="2" t="s">
        <v>14932</v>
      </c>
    </row>
    <row r="1386">
      <c r="A1386" s="2" t="s">
        <v>15527</v>
      </c>
    </row>
    <row r="1387">
      <c r="A1387" s="2" t="s">
        <v>7462</v>
      </c>
    </row>
    <row r="1388">
      <c r="A1388" s="2" t="s">
        <v>15528</v>
      </c>
    </row>
    <row r="1390">
      <c r="A1390" s="2" t="s">
        <v>15529</v>
      </c>
    </row>
    <row r="1392">
      <c r="A1392" s="2" t="s">
        <v>15530</v>
      </c>
    </row>
    <row r="1393">
      <c r="A1393" s="2" t="s">
        <v>15531</v>
      </c>
    </row>
    <row r="1394">
      <c r="A1394" s="2" t="s">
        <v>7462</v>
      </c>
    </row>
    <row r="1395">
      <c r="A1395" s="2" t="s">
        <v>15532</v>
      </c>
    </row>
    <row r="1397">
      <c r="A1397" s="2" t="s">
        <v>15533</v>
      </c>
    </row>
    <row r="1399">
      <c r="A1399" s="2" t="s">
        <v>15534</v>
      </c>
    </row>
    <row r="1401">
      <c r="A1401" s="2" t="s">
        <v>15535</v>
      </c>
    </row>
    <row r="1403">
      <c r="A1403" s="2" t="s">
        <v>14932</v>
      </c>
    </row>
    <row r="1404">
      <c r="A1404" s="2" t="s">
        <v>15536</v>
      </c>
    </row>
    <row r="1405">
      <c r="A1405" s="2" t="s">
        <v>7462</v>
      </c>
    </row>
    <row r="1406">
      <c r="A1406" s="2" t="s">
        <v>15537</v>
      </c>
    </row>
    <row r="1408">
      <c r="A1408" s="2" t="s">
        <v>15538</v>
      </c>
    </row>
    <row r="1410">
      <c r="A1410" s="2" t="s">
        <v>15539</v>
      </c>
    </row>
    <row r="1412">
      <c r="A1412" s="2" t="s">
        <v>14932</v>
      </c>
    </row>
    <row r="1413">
      <c r="A1413" s="2" t="s">
        <v>15540</v>
      </c>
    </row>
    <row r="1414">
      <c r="A1414" s="2" t="s">
        <v>7462</v>
      </c>
    </row>
    <row r="1415">
      <c r="A1415" s="2" t="s">
        <v>15541</v>
      </c>
    </row>
    <row r="1417">
      <c r="A1417" s="2" t="s">
        <v>15542</v>
      </c>
    </row>
    <row r="1419">
      <c r="A1419" s="2" t="s">
        <v>15543</v>
      </c>
    </row>
    <row r="1421">
      <c r="A1421" s="2" t="s">
        <v>14932</v>
      </c>
    </row>
    <row r="1422">
      <c r="A1422" s="2" t="s">
        <v>15544</v>
      </c>
    </row>
    <row r="1423">
      <c r="A1423" s="2" t="s">
        <v>7462</v>
      </c>
    </row>
    <row r="1424">
      <c r="A1424" s="2" t="s">
        <v>15545</v>
      </c>
    </row>
    <row r="1426">
      <c r="A1426" s="2" t="s">
        <v>15546</v>
      </c>
    </row>
    <row r="1428">
      <c r="A1428" s="2" t="s">
        <v>15547</v>
      </c>
    </row>
    <row r="1430">
      <c r="A1430" s="2" t="s">
        <v>14932</v>
      </c>
    </row>
    <row r="1431">
      <c r="A1431" s="2" t="s">
        <v>15548</v>
      </c>
    </row>
    <row r="1433">
      <c r="A1433" s="2" t="s">
        <v>15549</v>
      </c>
    </row>
    <row r="1435">
      <c r="A1435" s="2" t="s">
        <v>15550</v>
      </c>
    </row>
    <row r="1437">
      <c r="A1437" s="2" t="s">
        <v>15551</v>
      </c>
    </row>
    <row r="1439">
      <c r="A1439" s="2" t="s">
        <v>14932</v>
      </c>
    </row>
    <row r="1440">
      <c r="A1440" s="2" t="s">
        <v>15552</v>
      </c>
    </row>
    <row r="1441">
      <c r="A1441" s="2" t="s">
        <v>15553</v>
      </c>
    </row>
    <row r="1443">
      <c r="A1443" s="2" t="s">
        <v>15554</v>
      </c>
    </row>
    <row r="1445">
      <c r="A1445" s="2" t="s">
        <v>15555</v>
      </c>
    </row>
    <row r="1447">
      <c r="A1447" s="2" t="s">
        <v>15556</v>
      </c>
    </row>
    <row r="1449">
      <c r="A1449" s="2" t="s">
        <v>14932</v>
      </c>
    </row>
    <row r="1450">
      <c r="A1450" s="2" t="s">
        <v>15557</v>
      </c>
    </row>
    <row r="1451">
      <c r="A1451" s="2" t="s">
        <v>7462</v>
      </c>
    </row>
    <row r="1452">
      <c r="A1452" s="2" t="s">
        <v>15558</v>
      </c>
    </row>
    <row r="1454">
      <c r="A1454" s="2" t="s">
        <v>15559</v>
      </c>
    </row>
    <row r="1456">
      <c r="A1456" s="2" t="s">
        <v>15560</v>
      </c>
    </row>
    <row r="1458">
      <c r="A1458" s="2" t="s">
        <v>15561</v>
      </c>
    </row>
    <row r="1460">
      <c r="A1460" s="2" t="s">
        <v>14932</v>
      </c>
    </row>
    <row r="1461">
      <c r="A1461" s="2" t="s">
        <v>15562</v>
      </c>
    </row>
    <row r="1462">
      <c r="A1462" s="2" t="s">
        <v>7462</v>
      </c>
    </row>
    <row r="1463">
      <c r="A1463" s="2" t="s">
        <v>15563</v>
      </c>
    </row>
    <row r="1465">
      <c r="A1465" s="2" t="s">
        <v>15564</v>
      </c>
    </row>
    <row r="1467">
      <c r="A1467" s="2" t="s">
        <v>15565</v>
      </c>
    </row>
    <row r="1469">
      <c r="A1469" s="2" t="s">
        <v>15566</v>
      </c>
    </row>
    <row r="1471">
      <c r="A1471" s="2" t="s">
        <v>14932</v>
      </c>
    </row>
    <row r="1472">
      <c r="A1472" s="2" t="s">
        <v>15567</v>
      </c>
    </row>
    <row r="1473">
      <c r="A1473" s="2" t="s">
        <v>7462</v>
      </c>
    </row>
    <row r="1474">
      <c r="A1474" s="2" t="s">
        <v>15568</v>
      </c>
    </row>
    <row r="1476">
      <c r="A1476" s="2" t="s">
        <v>15569</v>
      </c>
    </row>
    <row r="1478">
      <c r="A1478" s="2" t="s">
        <v>15570</v>
      </c>
    </row>
    <row r="1480">
      <c r="A1480" s="2" t="s">
        <v>14932</v>
      </c>
    </row>
    <row r="1481">
      <c r="A1481" s="2" t="s">
        <v>15571</v>
      </c>
    </row>
    <row r="1482">
      <c r="A1482" s="2" t="s">
        <v>7462</v>
      </c>
    </row>
    <row r="1483">
      <c r="A1483" s="2" t="s">
        <v>15572</v>
      </c>
    </row>
    <row r="1485">
      <c r="A1485" s="2" t="s">
        <v>15573</v>
      </c>
    </row>
    <row r="1487">
      <c r="A1487" s="2" t="s">
        <v>15574</v>
      </c>
    </row>
    <row r="1489">
      <c r="A1489" s="2" t="s">
        <v>15575</v>
      </c>
    </row>
    <row r="1491">
      <c r="A1491" s="2" t="s">
        <v>14932</v>
      </c>
    </row>
    <row r="1492">
      <c r="A1492" s="2" t="s">
        <v>15576</v>
      </c>
    </row>
    <row r="1493">
      <c r="A1493" s="2" t="s">
        <v>7462</v>
      </c>
    </row>
    <row r="1494">
      <c r="A1494" s="2" t="s">
        <v>15577</v>
      </c>
    </row>
    <row r="1496">
      <c r="A1496" s="2" t="s">
        <v>15578</v>
      </c>
    </row>
    <row r="1498">
      <c r="A1498" s="2" t="s">
        <v>15579</v>
      </c>
    </row>
    <row r="1500">
      <c r="A1500" s="2" t="s">
        <v>15580</v>
      </c>
    </row>
    <row r="1502">
      <c r="A1502" s="2" t="s">
        <v>14932</v>
      </c>
    </row>
    <row r="1503">
      <c r="A1503" s="2" t="s">
        <v>15581</v>
      </c>
    </row>
    <row r="1504">
      <c r="A1504" s="2" t="s">
        <v>7462</v>
      </c>
    </row>
    <row r="1505">
      <c r="A1505" s="2" t="s">
        <v>15582</v>
      </c>
    </row>
    <row r="1507">
      <c r="A1507" s="2" t="s">
        <v>7577</v>
      </c>
    </row>
    <row r="1508">
      <c r="A1508" s="2" t="s">
        <v>15583</v>
      </c>
    </row>
    <row r="1510">
      <c r="A1510" s="2" t="s">
        <v>15584</v>
      </c>
    </row>
    <row r="1511">
      <c r="A1511" s="2" t="s">
        <v>15585</v>
      </c>
    </row>
    <row r="1513">
      <c r="A1513" s="2" t="s">
        <v>14932</v>
      </c>
    </row>
    <row r="1514">
      <c r="A1514" s="2" t="s">
        <v>15586</v>
      </c>
    </row>
    <row r="1515">
      <c r="A1515" s="2" t="s">
        <v>7462</v>
      </c>
    </row>
    <row r="1516">
      <c r="A1516" s="2" t="s">
        <v>15587</v>
      </c>
    </row>
    <row r="1518">
      <c r="A1518" s="2" t="s">
        <v>15588</v>
      </c>
    </row>
    <row r="1520">
      <c r="A1520" s="2" t="s">
        <v>15589</v>
      </c>
    </row>
    <row r="1522">
      <c r="A1522" s="2" t="s">
        <v>15590</v>
      </c>
    </row>
    <row r="1524">
      <c r="A1524" s="2" t="s">
        <v>14932</v>
      </c>
    </row>
    <row r="1525">
      <c r="A1525" s="2" t="s">
        <v>15591</v>
      </c>
    </row>
    <row r="1526">
      <c r="A1526" s="2" t="s">
        <v>7462</v>
      </c>
    </row>
    <row r="1527">
      <c r="A1527" s="2" t="s">
        <v>15592</v>
      </c>
    </row>
    <row r="1529">
      <c r="A1529" s="2" t="s">
        <v>15593</v>
      </c>
    </row>
    <row r="1531">
      <c r="A1531" s="2" t="s">
        <v>15594</v>
      </c>
    </row>
    <row r="1533">
      <c r="A1533" s="2" t="s">
        <v>15595</v>
      </c>
    </row>
    <row r="1535">
      <c r="A1535" s="2" t="s">
        <v>14932</v>
      </c>
    </row>
    <row r="1536">
      <c r="A1536" s="2" t="s">
        <v>15596</v>
      </c>
    </row>
    <row r="1537">
      <c r="A1537" s="2" t="s">
        <v>7462</v>
      </c>
    </row>
    <row r="1538">
      <c r="A1538" s="2" t="s">
        <v>15597</v>
      </c>
    </row>
    <row r="1540">
      <c r="A1540" s="2" t="s">
        <v>15598</v>
      </c>
    </row>
    <row r="1542">
      <c r="A1542" s="2" t="s">
        <v>15599</v>
      </c>
    </row>
    <row r="1544">
      <c r="A1544" s="2" t="s">
        <v>15600</v>
      </c>
    </row>
    <row r="1546">
      <c r="A1546" s="2" t="s">
        <v>14932</v>
      </c>
    </row>
    <row r="1547">
      <c r="A1547" s="2" t="s">
        <v>15601</v>
      </c>
    </row>
    <row r="1548">
      <c r="A1548" s="2" t="s">
        <v>7462</v>
      </c>
    </row>
    <row r="1549">
      <c r="A1549" s="2" t="s">
        <v>15602</v>
      </c>
    </row>
    <row r="1551">
      <c r="A1551" s="2" t="s">
        <v>15603</v>
      </c>
    </row>
    <row r="1553">
      <c r="A1553" s="2" t="s">
        <v>15604</v>
      </c>
    </row>
    <row r="1555">
      <c r="A1555" s="2" t="s">
        <v>15605</v>
      </c>
    </row>
    <row r="1557">
      <c r="A1557" s="2" t="s">
        <v>14932</v>
      </c>
    </row>
    <row r="1558">
      <c r="A1558" s="2" t="s">
        <v>15606</v>
      </c>
    </row>
    <row r="1559">
      <c r="A1559" s="2" t="s">
        <v>7462</v>
      </c>
    </row>
    <row r="1560">
      <c r="A1560" s="2" t="s">
        <v>15607</v>
      </c>
    </row>
    <row r="1562">
      <c r="A1562" s="2" t="s">
        <v>15608</v>
      </c>
    </row>
    <row r="1564">
      <c r="A1564" s="2" t="s">
        <v>15609</v>
      </c>
    </row>
    <row r="1566">
      <c r="A1566" s="2" t="s">
        <v>14932</v>
      </c>
    </row>
    <row r="1567">
      <c r="A1567" s="2" t="s">
        <v>15610</v>
      </c>
    </row>
    <row r="1568">
      <c r="A1568" s="2" t="s">
        <v>7462</v>
      </c>
    </row>
    <row r="1569">
      <c r="A1569" s="2" t="s">
        <v>15611</v>
      </c>
    </row>
    <row r="1571">
      <c r="A1571" s="2" t="s">
        <v>15612</v>
      </c>
    </row>
    <row r="1573">
      <c r="A1573" s="2" t="s">
        <v>15613</v>
      </c>
    </row>
    <row r="1575">
      <c r="A1575" s="2" t="s">
        <v>14932</v>
      </c>
    </row>
    <row r="1576">
      <c r="A1576" s="2" t="s">
        <v>15614</v>
      </c>
    </row>
    <row r="1577">
      <c r="A1577" s="2" t="s">
        <v>7462</v>
      </c>
    </row>
    <row r="1578">
      <c r="A1578" s="2" t="s">
        <v>15615</v>
      </c>
    </row>
    <row r="1580">
      <c r="A1580" s="2" t="s">
        <v>15616</v>
      </c>
    </row>
    <row r="1582">
      <c r="A1582" s="2" t="s">
        <v>15617</v>
      </c>
    </row>
    <row r="1584">
      <c r="A1584" s="2" t="s">
        <v>14932</v>
      </c>
    </row>
    <row r="1585">
      <c r="A1585" s="2" t="s">
        <v>15618</v>
      </c>
    </row>
    <row r="1586">
      <c r="A1586" s="2" t="s">
        <v>7462</v>
      </c>
    </row>
    <row r="1587">
      <c r="A1587" s="2" t="s">
        <v>15619</v>
      </c>
    </row>
    <row r="1589">
      <c r="A1589" s="2" t="s">
        <v>14932</v>
      </c>
    </row>
    <row r="1590">
      <c r="A1590" s="2" t="s">
        <v>15620</v>
      </c>
    </row>
    <row r="1591">
      <c r="A1591" s="2" t="s">
        <v>7462</v>
      </c>
    </row>
    <row r="1592">
      <c r="A1592" s="2" t="s">
        <v>15621</v>
      </c>
    </row>
    <row r="1594">
      <c r="A1594" s="2" t="s">
        <v>15622</v>
      </c>
    </row>
    <row r="1596">
      <c r="A1596" s="2" t="s">
        <v>15623</v>
      </c>
    </row>
    <row r="1598">
      <c r="A1598" s="2" t="s">
        <v>14932</v>
      </c>
    </row>
    <row r="1599">
      <c r="A1599" s="2" t="s">
        <v>15624</v>
      </c>
    </row>
    <row r="1600">
      <c r="A1600" s="2" t="s">
        <v>7462</v>
      </c>
    </row>
    <row r="1601">
      <c r="A1601" s="2" t="s">
        <v>15625</v>
      </c>
    </row>
    <row r="1603">
      <c r="A1603" s="2" t="s">
        <v>15626</v>
      </c>
    </row>
    <row r="1605">
      <c r="A1605" s="2" t="s">
        <v>15627</v>
      </c>
    </row>
    <row r="1607">
      <c r="A1607" s="2" t="s">
        <v>14932</v>
      </c>
    </row>
    <row r="1608">
      <c r="A1608" s="2" t="s">
        <v>15628</v>
      </c>
    </row>
    <row r="1609">
      <c r="A1609" s="2" t="s">
        <v>7462</v>
      </c>
    </row>
    <row r="1610">
      <c r="A1610" s="2" t="s">
        <v>15629</v>
      </c>
    </row>
    <row r="1612">
      <c r="A1612" s="2" t="s">
        <v>15630</v>
      </c>
    </row>
    <row r="1614">
      <c r="A1614" s="2" t="s">
        <v>15631</v>
      </c>
    </row>
    <row r="1616">
      <c r="A1616" s="2" t="s">
        <v>15632</v>
      </c>
    </row>
    <row r="1618">
      <c r="A1618" s="2" t="s">
        <v>14932</v>
      </c>
    </row>
    <row r="1619">
      <c r="A1619" s="2" t="s">
        <v>15633</v>
      </c>
    </row>
    <row r="1620">
      <c r="A1620" s="2" t="s">
        <v>7462</v>
      </c>
    </row>
    <row r="1621">
      <c r="A1621" s="2" t="s">
        <v>15634</v>
      </c>
    </row>
    <row r="1623">
      <c r="A1623" s="2" t="s">
        <v>15635</v>
      </c>
    </row>
    <row r="1625">
      <c r="A1625" s="2" t="s">
        <v>15636</v>
      </c>
    </row>
    <row r="1627">
      <c r="A1627" s="2" t="s">
        <v>15637</v>
      </c>
    </row>
    <row r="1629">
      <c r="A1629" s="2" t="s">
        <v>14932</v>
      </c>
    </row>
    <row r="1630">
      <c r="A1630" s="2" t="s">
        <v>15638</v>
      </c>
    </row>
    <row r="1631">
      <c r="A1631" s="2" t="s">
        <v>7462</v>
      </c>
    </row>
    <row r="1632">
      <c r="A1632" s="2" t="s">
        <v>15639</v>
      </c>
    </row>
    <row r="1634">
      <c r="A1634" s="2" t="s">
        <v>15640</v>
      </c>
    </row>
    <row r="1636">
      <c r="A1636" s="2" t="s">
        <v>15641</v>
      </c>
    </row>
    <row r="1638">
      <c r="A1638" s="2" t="s">
        <v>15642</v>
      </c>
    </row>
    <row r="1640">
      <c r="A1640" s="2" t="s">
        <v>14932</v>
      </c>
    </row>
    <row r="1641">
      <c r="A1641" s="2" t="s">
        <v>15643</v>
      </c>
    </row>
    <row r="1643">
      <c r="A1643" s="2" t="s">
        <v>7462</v>
      </c>
    </row>
    <row r="1644">
      <c r="A1644" s="2" t="s">
        <v>15644</v>
      </c>
    </row>
    <row r="1646">
      <c r="A1646" s="2" t="s">
        <v>15645</v>
      </c>
    </row>
    <row r="1648">
      <c r="A1648" s="2" t="s">
        <v>15646</v>
      </c>
    </row>
    <row r="1650">
      <c r="A1650" s="2" t="s">
        <v>14932</v>
      </c>
    </row>
    <row r="1651">
      <c r="A1651" s="2" t="s">
        <v>15647</v>
      </c>
    </row>
    <row r="1652">
      <c r="A1652" s="2" t="s">
        <v>15648</v>
      </c>
    </row>
    <row r="1654">
      <c r="A1654" s="2" t="s">
        <v>14932</v>
      </c>
    </row>
    <row r="1655">
      <c r="A1655" s="2" t="s">
        <v>15649</v>
      </c>
    </row>
    <row r="1656">
      <c r="A1656" s="2" t="s">
        <v>7462</v>
      </c>
    </row>
    <row r="1657">
      <c r="A1657" s="2" t="s">
        <v>15650</v>
      </c>
    </row>
    <row r="1659">
      <c r="A1659" s="2" t="s">
        <v>15651</v>
      </c>
    </row>
    <row r="1661">
      <c r="A1661" s="2" t="s">
        <v>15652</v>
      </c>
    </row>
    <row r="1663">
      <c r="A1663" s="2" t="s">
        <v>15653</v>
      </c>
    </row>
    <row r="1665">
      <c r="A1665" s="2" t="s">
        <v>14932</v>
      </c>
    </row>
    <row r="1666">
      <c r="A1666" s="2" t="s">
        <v>15654</v>
      </c>
    </row>
    <row r="1667">
      <c r="A1667" s="2" t="s">
        <v>7462</v>
      </c>
    </row>
    <row r="1668">
      <c r="A1668" s="2" t="s">
        <v>15655</v>
      </c>
    </row>
    <row r="1670">
      <c r="A1670" s="2" t="s">
        <v>15656</v>
      </c>
    </row>
    <row r="1672">
      <c r="A1672" s="2" t="s">
        <v>15657</v>
      </c>
    </row>
    <row r="1674">
      <c r="A1674" s="2" t="s">
        <v>15658</v>
      </c>
    </row>
    <row r="1676">
      <c r="A1676" s="2" t="s">
        <v>14932</v>
      </c>
    </row>
    <row r="1677">
      <c r="A1677" s="2" t="s">
        <v>15659</v>
      </c>
    </row>
    <row r="1678">
      <c r="A1678" s="2" t="s">
        <v>7462</v>
      </c>
    </row>
    <row r="1679">
      <c r="A1679" s="2" t="s">
        <v>15660</v>
      </c>
    </row>
    <row r="1681">
      <c r="A1681" s="2" t="s">
        <v>15661</v>
      </c>
    </row>
    <row r="1683">
      <c r="A1683" s="2" t="s">
        <v>15662</v>
      </c>
    </row>
    <row r="1685">
      <c r="A1685" s="2" t="s">
        <v>15663</v>
      </c>
    </row>
    <row r="1687">
      <c r="A1687" s="2" t="s">
        <v>14932</v>
      </c>
    </row>
    <row r="1688">
      <c r="A1688" s="2" t="s">
        <v>15664</v>
      </c>
    </row>
    <row r="1689">
      <c r="A1689" s="2" t="s">
        <v>7462</v>
      </c>
    </row>
    <row r="1690">
      <c r="A1690" s="2" t="s">
        <v>15665</v>
      </c>
    </row>
    <row r="1692">
      <c r="A1692" s="2" t="s">
        <v>15666</v>
      </c>
    </row>
    <row r="1694">
      <c r="A1694" s="2" t="s">
        <v>15667</v>
      </c>
    </row>
    <row r="1696">
      <c r="A1696" s="2" t="s">
        <v>15668</v>
      </c>
    </row>
    <row r="1698">
      <c r="A1698" s="2" t="s">
        <v>14932</v>
      </c>
    </row>
    <row r="1699">
      <c r="A1699" s="2" t="s">
        <v>15669</v>
      </c>
    </row>
    <row r="1700">
      <c r="A1700" s="2" t="s">
        <v>7462</v>
      </c>
    </row>
    <row r="1701">
      <c r="A1701" s="2" t="s">
        <v>15670</v>
      </c>
    </row>
    <row r="1703">
      <c r="A1703" s="2" t="s">
        <v>15671</v>
      </c>
    </row>
    <row r="1705">
      <c r="A1705" s="2" t="s">
        <v>15672</v>
      </c>
    </row>
    <row r="1707">
      <c r="A1707" s="2" t="s">
        <v>14932</v>
      </c>
    </row>
    <row r="1708">
      <c r="A1708" s="2" t="s">
        <v>15673</v>
      </c>
    </row>
    <row r="1709">
      <c r="A1709" s="2" t="s">
        <v>7462</v>
      </c>
    </row>
    <row r="1710">
      <c r="A1710" s="2" t="s">
        <v>15674</v>
      </c>
    </row>
    <row r="1712">
      <c r="A1712" s="2" t="s">
        <v>15675</v>
      </c>
    </row>
    <row r="1714">
      <c r="A1714" s="2" t="s">
        <v>15676</v>
      </c>
    </row>
    <row r="1716">
      <c r="A1716" s="2" t="s">
        <v>14932</v>
      </c>
    </row>
    <row r="1717">
      <c r="A1717" s="2" t="s">
        <v>15677</v>
      </c>
    </row>
    <row r="1719">
      <c r="A1719" s="2" t="s">
        <v>7462</v>
      </c>
    </row>
    <row r="1720">
      <c r="A1720" s="2" t="s">
        <v>15678</v>
      </c>
    </row>
    <row r="1722">
      <c r="A1722" s="2" t="s">
        <v>15679</v>
      </c>
    </row>
    <row r="1724">
      <c r="A1724" s="2" t="s">
        <v>15680</v>
      </c>
    </row>
    <row r="1726">
      <c r="A1726" s="2" t="s">
        <v>14932</v>
      </c>
    </row>
    <row r="1727">
      <c r="A1727" s="2" t="s">
        <v>15681</v>
      </c>
    </row>
    <row r="1728">
      <c r="A1728" s="2" t="s">
        <v>7462</v>
      </c>
    </row>
    <row r="1729">
      <c r="A1729" s="2" t="s">
        <v>15682</v>
      </c>
    </row>
    <row r="1731">
      <c r="A1731" s="2" t="s">
        <v>15683</v>
      </c>
    </row>
    <row r="1733">
      <c r="A1733" s="2" t="s">
        <v>15684</v>
      </c>
    </row>
    <row r="1735">
      <c r="A1735" s="2" t="s">
        <v>15685</v>
      </c>
    </row>
    <row r="1737">
      <c r="A1737" s="2" t="s">
        <v>15686</v>
      </c>
    </row>
    <row r="1739">
      <c r="A1739" s="2" t="s">
        <v>14932</v>
      </c>
    </row>
    <row r="1740">
      <c r="A1740" s="2" t="s">
        <v>15687</v>
      </c>
    </row>
    <row r="1741">
      <c r="A1741" s="2" t="s">
        <v>7462</v>
      </c>
    </row>
    <row r="1742">
      <c r="A1742" s="2" t="s">
        <v>15688</v>
      </c>
    </row>
    <row r="1744">
      <c r="A1744" s="2" t="s">
        <v>15689</v>
      </c>
    </row>
    <row r="1746">
      <c r="A1746" s="2" t="s">
        <v>15690</v>
      </c>
    </row>
    <row r="1748">
      <c r="A1748" s="2" t="s">
        <v>15691</v>
      </c>
    </row>
    <row r="1750">
      <c r="A1750" s="2" t="s">
        <v>14932</v>
      </c>
    </row>
    <row r="1751">
      <c r="A1751" s="2" t="s">
        <v>15692</v>
      </c>
    </row>
    <row r="1752">
      <c r="A1752" s="2" t="s">
        <v>7462</v>
      </c>
    </row>
    <row r="1753">
      <c r="A1753" s="2" t="s">
        <v>15693</v>
      </c>
    </row>
    <row r="1755">
      <c r="A1755" s="2" t="s">
        <v>15694</v>
      </c>
    </row>
    <row r="1757">
      <c r="A1757" s="2" t="s">
        <v>14932</v>
      </c>
    </row>
    <row r="1758">
      <c r="A1758" s="2" t="s">
        <v>15695</v>
      </c>
    </row>
    <row r="1759">
      <c r="A1759" s="2" t="s">
        <v>7462</v>
      </c>
    </row>
    <row r="1760">
      <c r="A1760" s="2" t="s">
        <v>15696</v>
      </c>
    </row>
    <row r="1762">
      <c r="A1762" s="2" t="s">
        <v>15697</v>
      </c>
    </row>
    <row r="1764">
      <c r="A1764" s="2" t="s">
        <v>15698</v>
      </c>
    </row>
    <row r="1766">
      <c r="A1766" s="2" t="s">
        <v>15699</v>
      </c>
    </row>
    <row r="1768">
      <c r="A1768" s="2" t="s">
        <v>14932</v>
      </c>
    </row>
    <row r="1769">
      <c r="A1769" s="2" t="s">
        <v>15700</v>
      </c>
    </row>
    <row r="1770">
      <c r="A1770" s="2" t="s">
        <v>7462</v>
      </c>
    </row>
    <row r="1771">
      <c r="A1771" s="2" t="s">
        <v>15701</v>
      </c>
    </row>
    <row r="1773">
      <c r="A1773" s="2" t="s">
        <v>15702</v>
      </c>
    </row>
    <row r="1775">
      <c r="A1775" s="2" t="s">
        <v>15703</v>
      </c>
    </row>
    <row r="1777">
      <c r="A1777" s="2" t="s">
        <v>14932</v>
      </c>
    </row>
    <row r="1778">
      <c r="A1778" s="2" t="s">
        <v>15704</v>
      </c>
    </row>
    <row r="1779">
      <c r="A1779" s="2" t="s">
        <v>7462</v>
      </c>
    </row>
    <row r="1780">
      <c r="A1780" s="2" t="s">
        <v>15705</v>
      </c>
    </row>
    <row r="1782">
      <c r="A1782" s="2" t="s">
        <v>15706</v>
      </c>
    </row>
    <row r="1784">
      <c r="A1784" s="2" t="s">
        <v>15707</v>
      </c>
    </row>
    <row r="1786">
      <c r="A1786" s="2" t="s">
        <v>15708</v>
      </c>
    </row>
    <row r="1788">
      <c r="A1788" s="2" t="s">
        <v>14932</v>
      </c>
    </row>
    <row r="1789">
      <c r="A1789" s="2" t="s">
        <v>15709</v>
      </c>
    </row>
    <row r="1790">
      <c r="A1790" s="2" t="s">
        <v>7462</v>
      </c>
    </row>
    <row r="1791">
      <c r="A1791" s="2" t="s">
        <v>15710</v>
      </c>
    </row>
    <row r="1793">
      <c r="A1793" s="2" t="s">
        <v>15711</v>
      </c>
    </row>
    <row r="1795">
      <c r="A1795" s="2" t="s">
        <v>15712</v>
      </c>
    </row>
    <row r="1797">
      <c r="A1797" s="2" t="s">
        <v>15713</v>
      </c>
    </row>
    <row r="1799">
      <c r="A1799" s="2" t="s">
        <v>14932</v>
      </c>
    </row>
    <row r="1800">
      <c r="A1800" s="2" t="s">
        <v>15714</v>
      </c>
    </row>
    <row r="1801">
      <c r="A1801" s="2" t="s">
        <v>7462</v>
      </c>
    </row>
    <row r="1802">
      <c r="A1802" s="2" t="s">
        <v>15715</v>
      </c>
    </row>
    <row r="1804">
      <c r="A1804" s="2" t="s">
        <v>15716</v>
      </c>
    </row>
    <row r="1806">
      <c r="A1806" s="2" t="s">
        <v>15717</v>
      </c>
    </row>
    <row r="1808">
      <c r="A1808" s="2" t="s">
        <v>14932</v>
      </c>
    </row>
    <row r="1809">
      <c r="A1809" s="2" t="s">
        <v>15718</v>
      </c>
    </row>
    <row r="1810">
      <c r="A1810" s="2" t="s">
        <v>7462</v>
      </c>
    </row>
    <row r="1811">
      <c r="A1811" s="2" t="s">
        <v>15719</v>
      </c>
    </row>
    <row r="1813">
      <c r="A1813" s="2" t="s">
        <v>15720</v>
      </c>
    </row>
    <row r="1815">
      <c r="A1815" s="2" t="s">
        <v>15721</v>
      </c>
    </row>
    <row r="1817">
      <c r="A1817" s="2" t="s">
        <v>14932</v>
      </c>
    </row>
    <row r="1818">
      <c r="A1818" s="2" t="s">
        <v>15722</v>
      </c>
    </row>
    <row r="1819">
      <c r="A1819" s="2" t="s">
        <v>7462</v>
      </c>
    </row>
    <row r="1820">
      <c r="A1820" s="2" t="s">
        <v>15723</v>
      </c>
    </row>
    <row r="1822">
      <c r="A1822" s="2" t="s">
        <v>15724</v>
      </c>
    </row>
    <row r="1824">
      <c r="A1824" s="2" t="s">
        <v>15725</v>
      </c>
    </row>
    <row r="1826">
      <c r="A1826" s="2" t="s">
        <v>15726</v>
      </c>
    </row>
    <row r="1828">
      <c r="A1828" s="2" t="s">
        <v>14932</v>
      </c>
    </row>
    <row r="1829">
      <c r="A1829" s="2" t="s">
        <v>15727</v>
      </c>
    </row>
    <row r="1830">
      <c r="A1830" s="2" t="s">
        <v>7462</v>
      </c>
    </row>
    <row r="1831">
      <c r="A1831" s="2" t="s">
        <v>15728</v>
      </c>
    </row>
    <row r="1833">
      <c r="A1833" s="2" t="s">
        <v>15729</v>
      </c>
    </row>
    <row r="1835">
      <c r="A1835" s="2" t="s">
        <v>15730</v>
      </c>
    </row>
    <row r="1837">
      <c r="A1837" s="2" t="s">
        <v>15731</v>
      </c>
    </row>
    <row r="1839">
      <c r="A1839" s="2" t="s">
        <v>14932</v>
      </c>
    </row>
    <row r="1840">
      <c r="A1840" s="2" t="s">
        <v>15732</v>
      </c>
    </row>
    <row r="1842">
      <c r="A1842" s="2" t="s">
        <v>15733</v>
      </c>
    </row>
    <row r="1844">
      <c r="A1844" s="2" t="s">
        <v>15734</v>
      </c>
    </row>
    <row r="1846">
      <c r="A1846" s="2" t="s">
        <v>15735</v>
      </c>
    </row>
    <row r="1848">
      <c r="A1848" s="2" t="s">
        <v>15736</v>
      </c>
    </row>
    <row r="1850">
      <c r="A1850" s="2" t="s">
        <v>15737</v>
      </c>
    </row>
    <row r="1852">
      <c r="A1852" s="2" t="s">
        <v>14932</v>
      </c>
    </row>
    <row r="1853">
      <c r="A1853" s="2" t="s">
        <v>15738</v>
      </c>
    </row>
    <row r="1854">
      <c r="A1854" s="2" t="s">
        <v>7462</v>
      </c>
    </row>
    <row r="1855">
      <c r="A1855" s="2" t="s">
        <v>15739</v>
      </c>
    </row>
    <row r="1857">
      <c r="A1857" s="2" t="s">
        <v>15740</v>
      </c>
    </row>
    <row r="1859">
      <c r="A1859" s="2" t="s">
        <v>15741</v>
      </c>
    </row>
    <row r="1861">
      <c r="A1861" s="2" t="s">
        <v>15742</v>
      </c>
    </row>
    <row r="1863">
      <c r="A1863" s="2" t="s">
        <v>14932</v>
      </c>
    </row>
    <row r="1864">
      <c r="A1864" s="2" t="s">
        <v>15743</v>
      </c>
    </row>
    <row r="1865">
      <c r="A1865" s="2" t="s">
        <v>7462</v>
      </c>
    </row>
    <row r="1866">
      <c r="A1866" s="2" t="s">
        <v>15744</v>
      </c>
    </row>
    <row r="1868">
      <c r="A1868" s="2" t="s">
        <v>15745</v>
      </c>
    </row>
    <row r="1870">
      <c r="A1870" s="2" t="s">
        <v>15746</v>
      </c>
    </row>
    <row r="1872">
      <c r="A1872" s="2" t="s">
        <v>15747</v>
      </c>
    </row>
    <row r="1874">
      <c r="A1874" s="2" t="s">
        <v>14932</v>
      </c>
    </row>
    <row r="1875">
      <c r="A1875" s="2" t="s">
        <v>15748</v>
      </c>
    </row>
    <row r="1876">
      <c r="A1876" s="2" t="s">
        <v>7462</v>
      </c>
    </row>
    <row r="1877">
      <c r="A1877" s="2" t="s">
        <v>15749</v>
      </c>
    </row>
    <row r="1879">
      <c r="A1879" s="2" t="s">
        <v>15750</v>
      </c>
    </row>
    <row r="1881">
      <c r="A1881" s="2" t="s">
        <v>15751</v>
      </c>
    </row>
    <row r="1883">
      <c r="A1883" s="2" t="s">
        <v>15752</v>
      </c>
    </row>
    <row r="1885">
      <c r="A1885" s="2" t="s">
        <v>14932</v>
      </c>
    </row>
    <row r="1886">
      <c r="A1886" s="2" t="s">
        <v>15753</v>
      </c>
    </row>
    <row r="1887">
      <c r="A1887" s="2" t="s">
        <v>7462</v>
      </c>
    </row>
    <row r="1888">
      <c r="A1888" s="2" t="s">
        <v>15754</v>
      </c>
    </row>
    <row r="1890">
      <c r="A1890" s="2" t="s">
        <v>15755</v>
      </c>
    </row>
    <row r="1892">
      <c r="A1892" s="2" t="s">
        <v>15756</v>
      </c>
    </row>
    <row r="1894">
      <c r="A1894" s="2" t="s">
        <v>14932</v>
      </c>
    </row>
    <row r="1895">
      <c r="A1895" s="2" t="s">
        <v>15757</v>
      </c>
    </row>
    <row r="1896">
      <c r="A1896" s="2" t="s">
        <v>7462</v>
      </c>
    </row>
    <row r="1897">
      <c r="A1897" s="2" t="s">
        <v>15758</v>
      </c>
    </row>
    <row r="1899">
      <c r="A1899" s="2" t="s">
        <v>15759</v>
      </c>
    </row>
    <row r="1901">
      <c r="A1901" s="2" t="s">
        <v>15760</v>
      </c>
    </row>
    <row r="1903">
      <c r="A1903" s="2" t="s">
        <v>14932</v>
      </c>
    </row>
    <row r="1904">
      <c r="A1904" s="2" t="s">
        <v>15761</v>
      </c>
    </row>
    <row r="1905">
      <c r="A1905" s="2" t="s">
        <v>7462</v>
      </c>
    </row>
    <row r="1906">
      <c r="A1906" s="2" t="s">
        <v>15762</v>
      </c>
    </row>
    <row r="1908">
      <c r="A1908" s="2" t="s">
        <v>15763</v>
      </c>
    </row>
    <row r="1910">
      <c r="A1910" s="2" t="s">
        <v>15764</v>
      </c>
    </row>
    <row r="1912">
      <c r="A1912" s="2" t="s">
        <v>15765</v>
      </c>
    </row>
    <row r="1914">
      <c r="A1914" s="2" t="s">
        <v>14932</v>
      </c>
    </row>
    <row r="1915">
      <c r="A1915" s="2" t="s">
        <v>15766</v>
      </c>
    </row>
    <row r="1916">
      <c r="A1916" s="2" t="s">
        <v>15767</v>
      </c>
    </row>
    <row r="1918">
      <c r="A1918" s="2" t="s">
        <v>15768</v>
      </c>
    </row>
    <row r="1920">
      <c r="A1920" s="2" t="s">
        <v>15769</v>
      </c>
    </row>
    <row r="1922">
      <c r="A1922" s="2" t="s">
        <v>14932</v>
      </c>
    </row>
    <row r="1923">
      <c r="A1923" s="2" t="s">
        <v>15770</v>
      </c>
    </row>
    <row r="1924">
      <c r="A1924" s="2" t="s">
        <v>7462</v>
      </c>
    </row>
    <row r="1925">
      <c r="A1925" s="2" t="s">
        <v>15771</v>
      </c>
    </row>
    <row r="1927">
      <c r="A1927" s="2" t="s">
        <v>15772</v>
      </c>
    </row>
    <row r="1929">
      <c r="A1929" s="2" t="s">
        <v>15773</v>
      </c>
    </row>
    <row r="1931">
      <c r="A1931" s="2" t="s">
        <v>15774</v>
      </c>
    </row>
    <row r="1933">
      <c r="A1933" s="2" t="s">
        <v>14932</v>
      </c>
    </row>
    <row r="1934">
      <c r="A1934" s="2" t="s">
        <v>15775</v>
      </c>
    </row>
    <row r="1935">
      <c r="A1935" s="2" t="s">
        <v>7462</v>
      </c>
    </row>
    <row r="1936">
      <c r="A1936" s="2" t="s">
        <v>15776</v>
      </c>
    </row>
    <row r="1938">
      <c r="A1938" s="2" t="s">
        <v>15777</v>
      </c>
    </row>
    <row r="1940">
      <c r="A1940" s="2" t="s">
        <v>14932</v>
      </c>
    </row>
    <row r="1941">
      <c r="A1941" s="2" t="s">
        <v>15778</v>
      </c>
    </row>
    <row r="1943">
      <c r="A1943" s="2" t="s">
        <v>7462</v>
      </c>
    </row>
    <row r="1944">
      <c r="A1944" s="2" t="s">
        <v>15779</v>
      </c>
    </row>
    <row r="1946">
      <c r="A1946" s="2" t="s">
        <v>15780</v>
      </c>
    </row>
    <row r="1948">
      <c r="A1948" s="2" t="s">
        <v>15781</v>
      </c>
    </row>
    <row r="1950">
      <c r="A1950" s="2" t="s">
        <v>15782</v>
      </c>
    </row>
    <row r="1952">
      <c r="A1952" s="2" t="s">
        <v>14932</v>
      </c>
    </row>
    <row r="1953">
      <c r="A1953" s="2" t="s">
        <v>15783</v>
      </c>
    </row>
    <row r="1954">
      <c r="A1954" s="2" t="s">
        <v>7462</v>
      </c>
    </row>
    <row r="1955">
      <c r="A1955" s="2" t="s">
        <v>15784</v>
      </c>
    </row>
    <row r="1957">
      <c r="A1957" s="2" t="s">
        <v>15785</v>
      </c>
    </row>
    <row r="1959">
      <c r="A1959" s="2" t="s">
        <v>15786</v>
      </c>
    </row>
    <row r="1961">
      <c r="A1961" s="2" t="s">
        <v>14932</v>
      </c>
    </row>
    <row r="1962">
      <c r="A1962" s="2" t="s">
        <v>15787</v>
      </c>
    </row>
    <row r="1963">
      <c r="A1963" s="2" t="s">
        <v>7462</v>
      </c>
    </row>
    <row r="1964">
      <c r="A1964" s="2" t="s">
        <v>15788</v>
      </c>
    </row>
    <row r="1966">
      <c r="A1966" s="2" t="s">
        <v>15789</v>
      </c>
    </row>
    <row r="1968">
      <c r="A1968" s="2" t="s">
        <v>15790</v>
      </c>
    </row>
    <row r="1970">
      <c r="A1970" s="2" t="s">
        <v>14932</v>
      </c>
    </row>
    <row r="1971">
      <c r="A1971" s="2" t="s">
        <v>15791</v>
      </c>
    </row>
    <row r="1972">
      <c r="A1972" s="2" t="s">
        <v>7462</v>
      </c>
    </row>
    <row r="1973">
      <c r="A1973" s="2" t="s">
        <v>15792</v>
      </c>
    </row>
    <row r="1975">
      <c r="A1975" s="2" t="s">
        <v>15793</v>
      </c>
    </row>
    <row r="1977">
      <c r="A1977" s="2" t="s">
        <v>15794</v>
      </c>
    </row>
    <row r="1979">
      <c r="A1979" s="2" t="s">
        <v>15795</v>
      </c>
    </row>
    <row r="1981">
      <c r="A1981" s="2" t="s">
        <v>14932</v>
      </c>
    </row>
    <row r="1982">
      <c r="A1982" s="2" t="s">
        <v>15796</v>
      </c>
    </row>
    <row r="1983">
      <c r="A1983" s="2" t="s">
        <v>7462</v>
      </c>
    </row>
    <row r="1984">
      <c r="A1984" s="2" t="s">
        <v>15797</v>
      </c>
    </row>
    <row r="1986">
      <c r="A1986" s="2" t="s">
        <v>15798</v>
      </c>
    </row>
    <row r="1988">
      <c r="A1988" s="2" t="s">
        <v>15799</v>
      </c>
    </row>
    <row r="1990">
      <c r="A1990" s="2" t="s">
        <v>14932</v>
      </c>
    </row>
    <row r="1991">
      <c r="A1991" s="2" t="s">
        <v>15800</v>
      </c>
    </row>
    <row r="1992">
      <c r="A1992" s="2" t="s">
        <v>7462</v>
      </c>
    </row>
    <row r="1993">
      <c r="A1993" s="2" t="s">
        <v>15801</v>
      </c>
    </row>
    <row r="1995">
      <c r="A1995" s="2" t="s">
        <v>15802</v>
      </c>
    </row>
    <row r="1997">
      <c r="A1997" s="2" t="s">
        <v>15803</v>
      </c>
    </row>
    <row r="1999">
      <c r="A1999" s="2" t="s">
        <v>15804</v>
      </c>
    </row>
    <row r="2001">
      <c r="A2001" s="2" t="s">
        <v>14932</v>
      </c>
    </row>
    <row r="2002">
      <c r="A2002" s="2" t="s">
        <v>15805</v>
      </c>
    </row>
    <row r="2003">
      <c r="A2003" s="2" t="s">
        <v>7462</v>
      </c>
    </row>
    <row r="2004">
      <c r="A2004" s="2" t="s">
        <v>15806</v>
      </c>
    </row>
    <row r="2006">
      <c r="A2006" s="2" t="s">
        <v>15807</v>
      </c>
    </row>
    <row r="2008">
      <c r="A2008" s="2" t="s">
        <v>15808</v>
      </c>
    </row>
    <row r="2010">
      <c r="A2010" s="2" t="s">
        <v>14932</v>
      </c>
    </row>
    <row r="2011">
      <c r="A2011" s="2" t="s">
        <v>15809</v>
      </c>
    </row>
    <row r="2013">
      <c r="A2013" s="2" t="s">
        <v>7462</v>
      </c>
    </row>
    <row r="2014">
      <c r="A2014" s="2" t="s">
        <v>15810</v>
      </c>
    </row>
    <row r="2016">
      <c r="A2016" s="2" t="s">
        <v>15811</v>
      </c>
    </row>
    <row r="2018">
      <c r="A2018" s="2" t="s">
        <v>15812</v>
      </c>
    </row>
    <row r="2020">
      <c r="A2020" s="2" t="s">
        <v>14932</v>
      </c>
    </row>
    <row r="2021">
      <c r="A2021" s="2" t="s">
        <v>15813</v>
      </c>
    </row>
    <row r="2022">
      <c r="A2022" s="2" t="s">
        <v>7462</v>
      </c>
    </row>
    <row r="2023">
      <c r="A2023" s="2" t="s">
        <v>15814</v>
      </c>
    </row>
    <row r="2025">
      <c r="A2025" s="2" t="s">
        <v>15815</v>
      </c>
    </row>
    <row r="2027">
      <c r="A2027" s="2" t="s">
        <v>15816</v>
      </c>
    </row>
    <row r="2029">
      <c r="A2029" s="2" t="s">
        <v>15817</v>
      </c>
    </row>
    <row r="2031">
      <c r="A2031" s="2" t="s">
        <v>14932</v>
      </c>
    </row>
    <row r="2032">
      <c r="A2032" s="2" t="s">
        <v>15818</v>
      </c>
    </row>
    <row r="2033">
      <c r="A2033" s="2" t="s">
        <v>7462</v>
      </c>
    </row>
    <row r="2034">
      <c r="A2034" s="2" t="s">
        <v>15819</v>
      </c>
    </row>
    <row r="2036">
      <c r="A2036" s="2" t="s">
        <v>15820</v>
      </c>
    </row>
    <row r="2038">
      <c r="A2038" s="2" t="s">
        <v>15821</v>
      </c>
    </row>
    <row r="2040">
      <c r="A2040" s="2" t="s">
        <v>15822</v>
      </c>
    </row>
    <row r="2042">
      <c r="A2042" s="2" t="s">
        <v>14932</v>
      </c>
    </row>
    <row r="2043">
      <c r="A2043" s="2" t="s">
        <v>15823</v>
      </c>
    </row>
    <row r="2044">
      <c r="A2044" s="2" t="s">
        <v>7462</v>
      </c>
    </row>
    <row r="2045">
      <c r="A2045" s="2" t="s">
        <v>15824</v>
      </c>
    </row>
    <row r="2047">
      <c r="A2047" s="2" t="s">
        <v>15825</v>
      </c>
    </row>
    <row r="2049">
      <c r="A2049" s="2" t="s">
        <v>15826</v>
      </c>
    </row>
    <row r="2051">
      <c r="A2051" s="2" t="s">
        <v>15827</v>
      </c>
    </row>
    <row r="2053">
      <c r="A2053" s="2" t="s">
        <v>14932</v>
      </c>
    </row>
    <row r="2054">
      <c r="A2054" s="2" t="s">
        <v>15828</v>
      </c>
    </row>
    <row r="2055">
      <c r="A2055" s="2" t="s">
        <v>7462</v>
      </c>
    </row>
    <row r="2056">
      <c r="A2056" s="2" t="s">
        <v>15829</v>
      </c>
    </row>
    <row r="2058">
      <c r="A2058" s="2" t="s">
        <v>15830</v>
      </c>
    </row>
    <row r="2060">
      <c r="A2060" s="2" t="s">
        <v>15831</v>
      </c>
    </row>
    <row r="2062">
      <c r="A2062" s="2" t="s">
        <v>15832</v>
      </c>
    </row>
    <row r="2064">
      <c r="A2064" s="2" t="s">
        <v>14932</v>
      </c>
    </row>
    <row r="2065">
      <c r="A2065" s="2" t="s">
        <v>15833</v>
      </c>
    </row>
    <row r="2066">
      <c r="A2066" s="2" t="s">
        <v>7462</v>
      </c>
    </row>
    <row r="2067">
      <c r="A2067" s="2" t="s">
        <v>15834</v>
      </c>
    </row>
    <row r="2069">
      <c r="A2069" s="2" t="s">
        <v>15835</v>
      </c>
    </row>
    <row r="2071">
      <c r="A2071" s="2" t="s">
        <v>15836</v>
      </c>
    </row>
    <row r="2073">
      <c r="A2073" s="2" t="s">
        <v>15837</v>
      </c>
    </row>
    <row r="2075">
      <c r="A2075" s="2" t="s">
        <v>14932</v>
      </c>
    </row>
    <row r="2076">
      <c r="A2076" s="2" t="s">
        <v>15838</v>
      </c>
    </row>
    <row r="2077">
      <c r="A2077" s="2" t="s">
        <v>7462</v>
      </c>
    </row>
    <row r="2078">
      <c r="A2078" s="2" t="s">
        <v>15839</v>
      </c>
    </row>
    <row r="2080">
      <c r="A2080" s="2" t="s">
        <v>15840</v>
      </c>
    </row>
    <row r="2082">
      <c r="A2082" s="2" t="s">
        <v>15841</v>
      </c>
    </row>
    <row r="2084">
      <c r="A2084" s="2" t="s">
        <v>14932</v>
      </c>
    </row>
    <row r="2085">
      <c r="A2085" s="2" t="s">
        <v>15842</v>
      </c>
    </row>
    <row r="2086">
      <c r="A2086" s="2" t="s">
        <v>7462</v>
      </c>
    </row>
    <row r="2087">
      <c r="A2087" s="2" t="s">
        <v>15843</v>
      </c>
    </row>
    <row r="2089">
      <c r="A2089" s="2" t="s">
        <v>15844</v>
      </c>
    </row>
    <row r="2091">
      <c r="A2091" s="2" t="s">
        <v>15845</v>
      </c>
    </row>
    <row r="2093">
      <c r="A2093" s="2" t="s">
        <v>15846</v>
      </c>
    </row>
    <row r="2095">
      <c r="A2095" s="2" t="s">
        <v>14932</v>
      </c>
    </row>
    <row r="2096">
      <c r="A2096" s="2" t="s">
        <v>15847</v>
      </c>
    </row>
    <row r="2097">
      <c r="A2097" s="2" t="s">
        <v>7462</v>
      </c>
    </row>
    <row r="2098">
      <c r="A2098" s="2" t="s">
        <v>15848</v>
      </c>
    </row>
    <row r="2100">
      <c r="A2100" s="2" t="s">
        <v>15849</v>
      </c>
    </row>
    <row r="2102">
      <c r="A2102" s="2" t="s">
        <v>15850</v>
      </c>
    </row>
    <row r="2104">
      <c r="A2104" s="2" t="s">
        <v>14932</v>
      </c>
    </row>
    <row r="2105">
      <c r="A2105" s="2" t="s">
        <v>15851</v>
      </c>
    </row>
    <row r="2106">
      <c r="A2106" s="2" t="s">
        <v>7462</v>
      </c>
    </row>
    <row r="2107">
      <c r="A2107" s="2" t="s">
        <v>15852</v>
      </c>
    </row>
    <row r="2109">
      <c r="A2109" s="2" t="s">
        <v>15853</v>
      </c>
    </row>
    <row r="2111">
      <c r="A2111" s="2" t="s">
        <v>15854</v>
      </c>
    </row>
    <row r="2113">
      <c r="A2113" s="2" t="s">
        <v>15855</v>
      </c>
    </row>
    <row r="2115">
      <c r="A2115" s="2" t="s">
        <v>14932</v>
      </c>
    </row>
    <row r="2116">
      <c r="A2116" s="2" t="s">
        <v>15856</v>
      </c>
    </row>
    <row r="2118">
      <c r="A2118" s="2" t="s">
        <v>7462</v>
      </c>
    </row>
    <row r="2119">
      <c r="A2119" s="2" t="s">
        <v>15857</v>
      </c>
    </row>
    <row r="2121">
      <c r="A2121" s="2" t="s">
        <v>15858</v>
      </c>
    </row>
    <row r="2123">
      <c r="A2123" s="2" t="s">
        <v>15859</v>
      </c>
    </row>
    <row r="2125">
      <c r="A2125" s="2" t="s">
        <v>15860</v>
      </c>
    </row>
    <row r="2127">
      <c r="A2127" s="2" t="s">
        <v>14932</v>
      </c>
    </row>
    <row r="2128">
      <c r="A2128" s="2" t="s">
        <v>15861</v>
      </c>
    </row>
    <row r="2129">
      <c r="A2129" s="2" t="s">
        <v>15862</v>
      </c>
    </row>
    <row r="2131">
      <c r="A2131" s="2" t="s">
        <v>15863</v>
      </c>
    </row>
    <row r="2133">
      <c r="A2133" s="2" t="s">
        <v>15864</v>
      </c>
    </row>
    <row r="2134">
      <c r="A2134" s="2" t="s">
        <v>15865</v>
      </c>
    </row>
    <row r="2135">
      <c r="A2135" s="2" t="s">
        <v>7462</v>
      </c>
    </row>
    <row r="2136">
      <c r="A2136" s="2" t="s">
        <v>15866</v>
      </c>
    </row>
    <row r="2138">
      <c r="A2138" s="2" t="s">
        <v>15867</v>
      </c>
    </row>
    <row r="2140">
      <c r="A2140" s="2" t="s">
        <v>15868</v>
      </c>
    </row>
    <row r="2142">
      <c r="A2142" s="2" t="s">
        <v>15869</v>
      </c>
    </row>
    <row r="2144">
      <c r="A2144" s="2" t="s">
        <v>14932</v>
      </c>
    </row>
    <row r="2145">
      <c r="A2145" s="2" t="s">
        <v>15870</v>
      </c>
    </row>
    <row r="2146">
      <c r="A2146" s="2" t="s">
        <v>7462</v>
      </c>
    </row>
    <row r="2147">
      <c r="A2147" s="2" t="s">
        <v>15871</v>
      </c>
    </row>
    <row r="2149">
      <c r="A2149" s="2" t="s">
        <v>15872</v>
      </c>
    </row>
    <row r="2151">
      <c r="A2151" s="2" t="s">
        <v>15873</v>
      </c>
    </row>
    <row r="2153">
      <c r="A2153" s="2" t="s">
        <v>15874</v>
      </c>
    </row>
    <row r="2155">
      <c r="A2155" s="2" t="s">
        <v>14932</v>
      </c>
    </row>
    <row r="2156">
      <c r="A2156" s="2" t="s">
        <v>15875</v>
      </c>
    </row>
    <row r="2158">
      <c r="A2158" s="2" t="s">
        <v>7462</v>
      </c>
    </row>
    <row r="2159">
      <c r="A2159" s="2" t="s">
        <v>15876</v>
      </c>
    </row>
    <row r="2161">
      <c r="A2161" s="2" t="s">
        <v>14932</v>
      </c>
    </row>
    <row r="2162">
      <c r="A2162" s="2" t="s">
        <v>15877</v>
      </c>
    </row>
    <row r="2163">
      <c r="A2163" s="2" t="s">
        <v>7462</v>
      </c>
    </row>
    <row r="2164">
      <c r="A2164" s="2" t="s">
        <v>15878</v>
      </c>
    </row>
    <row r="2166">
      <c r="A2166" s="2" t="s">
        <v>15879</v>
      </c>
    </row>
    <row r="2168">
      <c r="A2168" s="2" t="s">
        <v>15880</v>
      </c>
    </row>
    <row r="2170">
      <c r="A2170" s="2" t="s">
        <v>15881</v>
      </c>
    </row>
    <row r="2172">
      <c r="A2172" s="2" t="s">
        <v>14932</v>
      </c>
    </row>
    <row r="2173">
      <c r="A2173" s="2" t="s">
        <v>15882</v>
      </c>
    </row>
    <row r="2174">
      <c r="A2174" s="2" t="s">
        <v>7462</v>
      </c>
    </row>
    <row r="2175">
      <c r="A2175" s="2" t="s">
        <v>15883</v>
      </c>
    </row>
    <row r="2177">
      <c r="A2177" s="2" t="s">
        <v>15884</v>
      </c>
    </row>
    <row r="2179">
      <c r="A2179" s="2" t="s">
        <v>15885</v>
      </c>
    </row>
    <row r="2181">
      <c r="A2181" s="2" t="s">
        <v>15886</v>
      </c>
    </row>
    <row r="2183">
      <c r="A2183" s="2" t="s">
        <v>14932</v>
      </c>
    </row>
    <row r="2184">
      <c r="A2184" s="2" t="s">
        <v>15887</v>
      </c>
    </row>
    <row r="2185">
      <c r="A2185" s="2" t="s">
        <v>7462</v>
      </c>
    </row>
    <row r="2186">
      <c r="A2186" s="2" t="s">
        <v>15888</v>
      </c>
    </row>
    <row r="2188">
      <c r="A2188" s="2" t="s">
        <v>15889</v>
      </c>
    </row>
    <row r="2190">
      <c r="A2190" s="2" t="s">
        <v>15890</v>
      </c>
    </row>
    <row r="2192">
      <c r="A2192" s="2" t="s">
        <v>14932</v>
      </c>
    </row>
    <row r="2193">
      <c r="A2193" s="2" t="s">
        <v>15891</v>
      </c>
    </row>
    <row r="2194">
      <c r="A2194" s="2" t="s">
        <v>7462</v>
      </c>
    </row>
    <row r="2195">
      <c r="A2195" s="2" t="s">
        <v>15892</v>
      </c>
    </row>
    <row r="2197">
      <c r="A2197" s="2" t="s">
        <v>15893</v>
      </c>
    </row>
    <row r="2199">
      <c r="A2199" s="2" t="s">
        <v>15894</v>
      </c>
    </row>
    <row r="2201">
      <c r="A2201" s="2" t="s">
        <v>15895</v>
      </c>
    </row>
    <row r="2203">
      <c r="A2203" s="2" t="s">
        <v>14932</v>
      </c>
    </row>
    <row r="2204">
      <c r="A2204" s="2" t="s">
        <v>15896</v>
      </c>
    </row>
    <row r="2205">
      <c r="A2205" s="2" t="s">
        <v>15897</v>
      </c>
    </row>
    <row r="2207">
      <c r="A2207" s="2" t="s">
        <v>15898</v>
      </c>
    </row>
    <row r="2209">
      <c r="A2209" s="2" t="s">
        <v>15899</v>
      </c>
    </row>
    <row r="2211">
      <c r="A2211" s="2" t="s">
        <v>14932</v>
      </c>
    </row>
    <row r="2212">
      <c r="A2212" s="2" t="s">
        <v>15900</v>
      </c>
    </row>
    <row r="2213">
      <c r="A2213" s="2" t="s">
        <v>15901</v>
      </c>
    </row>
    <row r="2215">
      <c r="A2215" s="2" t="s">
        <v>14932</v>
      </c>
    </row>
    <row r="2216">
      <c r="A2216" s="2" t="s">
        <v>15902</v>
      </c>
    </row>
    <row r="2217">
      <c r="A2217" s="2" t="s">
        <v>7462</v>
      </c>
    </row>
    <row r="2218">
      <c r="A2218" s="2" t="s">
        <v>15903</v>
      </c>
    </row>
    <row r="2220">
      <c r="A2220" s="2" t="s">
        <v>15904</v>
      </c>
    </row>
    <row r="2222">
      <c r="A2222" s="2" t="s">
        <v>15905</v>
      </c>
    </row>
    <row r="2224">
      <c r="A2224" s="2" t="s">
        <v>14932</v>
      </c>
    </row>
    <row r="2225">
      <c r="A2225" s="2" t="s">
        <v>15906</v>
      </c>
    </row>
    <row r="2226">
      <c r="A2226" s="2" t="s">
        <v>7462</v>
      </c>
    </row>
    <row r="2227">
      <c r="A2227" s="2" t="s">
        <v>15907</v>
      </c>
    </row>
    <row r="2229">
      <c r="A2229" s="2" t="s">
        <v>15908</v>
      </c>
    </row>
    <row r="2231">
      <c r="A2231" s="2" t="s">
        <v>15909</v>
      </c>
    </row>
    <row r="2233">
      <c r="A2233" s="2" t="s">
        <v>14932</v>
      </c>
    </row>
    <row r="2234">
      <c r="A2234" s="2" t="s">
        <v>15910</v>
      </c>
    </row>
    <row r="2235">
      <c r="A2235" s="2" t="s">
        <v>7462</v>
      </c>
    </row>
    <row r="2236">
      <c r="A2236" s="2" t="s">
        <v>15911</v>
      </c>
    </row>
    <row r="2238">
      <c r="A2238" s="2" t="s">
        <v>15912</v>
      </c>
    </row>
    <row r="2240">
      <c r="A2240" s="2" t="s">
        <v>14932</v>
      </c>
    </row>
    <row r="2241">
      <c r="A2241" s="2" t="s">
        <v>15913</v>
      </c>
    </row>
    <row r="2242">
      <c r="A2242" s="2" t="s">
        <v>7462</v>
      </c>
    </row>
    <row r="2243">
      <c r="A2243" s="2" t="s">
        <v>15914</v>
      </c>
    </row>
    <row r="2245">
      <c r="A2245" s="2" t="s">
        <v>15915</v>
      </c>
    </row>
    <row r="2247">
      <c r="A2247" s="2" t="s">
        <v>15916</v>
      </c>
    </row>
    <row r="2249">
      <c r="A2249" s="2" t="s">
        <v>15917</v>
      </c>
    </row>
    <row r="2251">
      <c r="A2251" s="2" t="s">
        <v>14932</v>
      </c>
    </row>
    <row r="2252">
      <c r="A2252" s="2" t="s">
        <v>15918</v>
      </c>
    </row>
    <row r="2253">
      <c r="A2253" s="2" t="s">
        <v>7462</v>
      </c>
    </row>
    <row r="2254">
      <c r="A2254" s="2" t="s">
        <v>15919</v>
      </c>
    </row>
    <row r="2256">
      <c r="A2256" s="2" t="s">
        <v>15920</v>
      </c>
    </row>
    <row r="2258">
      <c r="A2258" s="2" t="s">
        <v>15921</v>
      </c>
    </row>
    <row r="2260">
      <c r="A2260" s="2" t="s">
        <v>14932</v>
      </c>
    </row>
    <row r="2261">
      <c r="A2261" s="2" t="s">
        <v>15922</v>
      </c>
    </row>
    <row r="2263">
      <c r="A2263" s="2" t="s">
        <v>7462</v>
      </c>
    </row>
    <row r="2264">
      <c r="A2264" s="2" t="s">
        <v>15923</v>
      </c>
    </row>
    <row r="2266">
      <c r="A2266" s="2" t="s">
        <v>15924</v>
      </c>
    </row>
    <row r="2268">
      <c r="A2268" s="2" t="s">
        <v>15925</v>
      </c>
    </row>
    <row r="2270">
      <c r="A2270" s="2" t="s">
        <v>15926</v>
      </c>
    </row>
    <row r="2272">
      <c r="A2272" s="2" t="s">
        <v>14932</v>
      </c>
    </row>
    <row r="2273">
      <c r="A2273" s="2" t="s">
        <v>15927</v>
      </c>
    </row>
    <row r="2274">
      <c r="A2274" s="2" t="s">
        <v>7462</v>
      </c>
    </row>
    <row r="2275">
      <c r="A2275" s="2" t="s">
        <v>15928</v>
      </c>
    </row>
    <row r="2277">
      <c r="A2277" s="2" t="s">
        <v>15929</v>
      </c>
    </row>
    <row r="2279">
      <c r="A2279" s="2" t="s">
        <v>15930</v>
      </c>
    </row>
    <row r="2281">
      <c r="A2281" s="2" t="s">
        <v>14932</v>
      </c>
    </row>
    <row r="2282">
      <c r="A2282" s="2" t="s">
        <v>15931</v>
      </c>
    </row>
    <row r="2283">
      <c r="A2283" s="2" t="s">
        <v>7462</v>
      </c>
    </row>
    <row r="2284">
      <c r="A2284" s="2" t="s">
        <v>15932</v>
      </c>
    </row>
    <row r="2286">
      <c r="A2286" s="2" t="s">
        <v>15933</v>
      </c>
    </row>
    <row r="2288">
      <c r="A2288" s="2" t="s">
        <v>15934</v>
      </c>
    </row>
    <row r="2290">
      <c r="A2290" s="2" t="s">
        <v>15935</v>
      </c>
    </row>
    <row r="2292">
      <c r="A2292" s="2" t="s">
        <v>14932</v>
      </c>
    </row>
    <row r="2293">
      <c r="A2293" s="2" t="s">
        <v>15936</v>
      </c>
    </row>
    <row r="2294">
      <c r="A2294" s="2" t="s">
        <v>7462</v>
      </c>
    </row>
    <row r="2295">
      <c r="A2295" s="2" t="s">
        <v>15937</v>
      </c>
    </row>
    <row r="2297">
      <c r="A2297" s="2" t="s">
        <v>15938</v>
      </c>
    </row>
    <row r="2299">
      <c r="A2299" s="2" t="s">
        <v>15939</v>
      </c>
    </row>
    <row r="2301">
      <c r="A2301" s="2" t="s">
        <v>15940</v>
      </c>
    </row>
    <row r="2303">
      <c r="A2303" s="2" t="s">
        <v>14932</v>
      </c>
    </row>
    <row r="2304">
      <c r="A2304" s="2" t="s">
        <v>15941</v>
      </c>
    </row>
    <row r="2305">
      <c r="A2305" s="2" t="s">
        <v>7462</v>
      </c>
    </row>
    <row r="2306">
      <c r="A2306" s="2" t="s">
        <v>15942</v>
      </c>
    </row>
    <row r="2308">
      <c r="A2308" s="2" t="s">
        <v>15943</v>
      </c>
    </row>
    <row r="2310">
      <c r="A2310" s="2" t="s">
        <v>15944</v>
      </c>
    </row>
    <row r="2312">
      <c r="A2312" s="2" t="s">
        <v>14932</v>
      </c>
    </row>
    <row r="2313">
      <c r="A2313" s="2" t="s">
        <v>15945</v>
      </c>
    </row>
    <row r="2314">
      <c r="A2314" s="2" t="s">
        <v>7462</v>
      </c>
    </row>
    <row r="2315">
      <c r="A2315" s="2" t="s">
        <v>15946</v>
      </c>
    </row>
    <row r="2317">
      <c r="A2317" s="2" t="s">
        <v>15947</v>
      </c>
    </row>
    <row r="2319">
      <c r="A2319" s="2" t="s">
        <v>15948</v>
      </c>
    </row>
    <row r="2321">
      <c r="A2321" s="2" t="s">
        <v>15949</v>
      </c>
    </row>
    <row r="2323">
      <c r="A2323" s="2" t="s">
        <v>14932</v>
      </c>
    </row>
    <row r="2324">
      <c r="A2324" s="2" t="s">
        <v>15950</v>
      </c>
    </row>
    <row r="2325">
      <c r="A2325" s="2" t="s">
        <v>7462</v>
      </c>
    </row>
    <row r="2326">
      <c r="A2326" s="2" t="s">
        <v>15951</v>
      </c>
    </row>
    <row r="2328">
      <c r="A2328" s="2" t="s">
        <v>15952</v>
      </c>
    </row>
    <row r="2330">
      <c r="A2330" s="2" t="s">
        <v>15953</v>
      </c>
    </row>
    <row r="2332">
      <c r="A2332" s="2" t="s">
        <v>14932</v>
      </c>
    </row>
    <row r="2333">
      <c r="A2333" s="2" t="s">
        <v>15954</v>
      </c>
    </row>
    <row r="2334">
      <c r="A2334" s="2" t="s">
        <v>7462</v>
      </c>
    </row>
    <row r="2335">
      <c r="A2335" s="2" t="s">
        <v>15955</v>
      </c>
    </row>
    <row r="2337">
      <c r="A2337" s="2" t="s">
        <v>15956</v>
      </c>
    </row>
    <row r="2339">
      <c r="A2339" s="2" t="s">
        <v>15957</v>
      </c>
    </row>
    <row r="2341">
      <c r="A2341" s="2" t="s">
        <v>14932</v>
      </c>
    </row>
    <row r="2342">
      <c r="A2342" s="2" t="s">
        <v>15958</v>
      </c>
    </row>
    <row r="2343">
      <c r="A2343" s="2" t="s">
        <v>7462</v>
      </c>
    </row>
    <row r="2344">
      <c r="A2344" s="2" t="s">
        <v>15959</v>
      </c>
    </row>
    <row r="2346">
      <c r="A2346" s="2" t="s">
        <v>15960</v>
      </c>
    </row>
    <row r="2348">
      <c r="A2348" s="2" t="s">
        <v>14932</v>
      </c>
    </row>
    <row r="2349">
      <c r="A2349" s="2" t="s">
        <v>15961</v>
      </c>
    </row>
    <row r="2350">
      <c r="A2350" s="2" t="s">
        <v>7462</v>
      </c>
    </row>
    <row r="2351">
      <c r="A2351" s="2" t="s">
        <v>15962</v>
      </c>
    </row>
    <row r="2353">
      <c r="A2353" s="2" t="s">
        <v>15963</v>
      </c>
    </row>
    <row r="2355">
      <c r="A2355" s="2" t="s">
        <v>15964</v>
      </c>
    </row>
    <row r="2357">
      <c r="A2357" s="2" t="s">
        <v>14932</v>
      </c>
    </row>
    <row r="2358">
      <c r="A2358" s="2" t="s">
        <v>15965</v>
      </c>
    </row>
    <row r="2359">
      <c r="A2359" s="2" t="s">
        <v>7462</v>
      </c>
    </row>
    <row r="2360">
      <c r="A2360" s="2" t="s">
        <v>15966</v>
      </c>
    </row>
    <row r="2362">
      <c r="A2362" s="2" t="s">
        <v>15967</v>
      </c>
    </row>
    <row r="2364">
      <c r="A2364" s="2" t="s">
        <v>14932</v>
      </c>
    </row>
    <row r="2365">
      <c r="A2365" s="2" t="s">
        <v>15968</v>
      </c>
    </row>
    <row r="2366">
      <c r="A2366" s="2" t="s">
        <v>7462</v>
      </c>
    </row>
    <row r="2367">
      <c r="A2367" s="2" t="s">
        <v>15969</v>
      </c>
    </row>
    <row r="2369">
      <c r="A2369" s="2" t="s">
        <v>15970</v>
      </c>
    </row>
    <row r="2371">
      <c r="A2371" s="2" t="s">
        <v>15971</v>
      </c>
    </row>
    <row r="2373">
      <c r="A2373" s="2" t="s">
        <v>15972</v>
      </c>
    </row>
    <row r="2375">
      <c r="A2375" s="2" t="s">
        <v>14932</v>
      </c>
    </row>
    <row r="2376">
      <c r="A2376" s="2" t="s">
        <v>15973</v>
      </c>
    </row>
    <row r="2377">
      <c r="A2377" s="2" t="s">
        <v>7462</v>
      </c>
    </row>
    <row r="2378">
      <c r="A2378" s="2" t="s">
        <v>15974</v>
      </c>
    </row>
    <row r="2380">
      <c r="A2380" s="2" t="s">
        <v>15975</v>
      </c>
    </row>
    <row r="2382">
      <c r="A2382" s="2" t="s">
        <v>15976</v>
      </c>
    </row>
    <row r="2384">
      <c r="A2384" s="2" t="s">
        <v>14932</v>
      </c>
    </row>
    <row r="2385">
      <c r="A2385" s="2" t="s">
        <v>15977</v>
      </c>
    </row>
    <row r="2386">
      <c r="A2386" s="2" t="s">
        <v>7462</v>
      </c>
    </row>
    <row r="2387">
      <c r="A2387" s="2" t="s">
        <v>15978</v>
      </c>
    </row>
    <row r="2389">
      <c r="A2389" s="2" t="s">
        <v>15979</v>
      </c>
    </row>
    <row r="2391">
      <c r="A2391" s="2" t="s">
        <v>15980</v>
      </c>
    </row>
    <row r="2393">
      <c r="A2393" s="2" t="s">
        <v>14932</v>
      </c>
    </row>
    <row r="2394">
      <c r="A2394" s="2" t="s">
        <v>15981</v>
      </c>
    </row>
    <row r="2395">
      <c r="A2395" s="2" t="s">
        <v>7462</v>
      </c>
    </row>
    <row r="2396">
      <c r="A2396" s="2" t="s">
        <v>15982</v>
      </c>
    </row>
    <row r="2398">
      <c r="A2398" s="2" t="s">
        <v>15983</v>
      </c>
    </row>
    <row r="2400">
      <c r="A2400" s="2" t="s">
        <v>15984</v>
      </c>
    </row>
    <row r="2402">
      <c r="A2402" s="2" t="s">
        <v>15985</v>
      </c>
    </row>
    <row r="2404">
      <c r="A2404" s="2" t="s">
        <v>14932</v>
      </c>
    </row>
    <row r="2405">
      <c r="A2405" s="2" t="s">
        <v>15986</v>
      </c>
    </row>
    <row r="2406">
      <c r="A2406" s="2" t="s">
        <v>7462</v>
      </c>
    </row>
    <row r="2407">
      <c r="A2407" s="2" t="s">
        <v>15987</v>
      </c>
    </row>
    <row r="2409">
      <c r="A2409" s="2" t="s">
        <v>15988</v>
      </c>
    </row>
    <row r="2411">
      <c r="A2411" s="2" t="s">
        <v>15989</v>
      </c>
    </row>
    <row r="2413">
      <c r="A2413" s="2" t="s">
        <v>14932</v>
      </c>
    </row>
    <row r="2414">
      <c r="A2414" s="2" t="s">
        <v>15990</v>
      </c>
    </row>
    <row r="2415">
      <c r="A2415" s="2" t="s">
        <v>7462</v>
      </c>
    </row>
    <row r="2416">
      <c r="A2416" s="2" t="s">
        <v>15991</v>
      </c>
    </row>
    <row r="2418">
      <c r="A2418" s="2" t="s">
        <v>15992</v>
      </c>
    </row>
    <row r="2420">
      <c r="A2420" s="2" t="s">
        <v>15993</v>
      </c>
    </row>
    <row r="2422">
      <c r="A2422" s="2" t="s">
        <v>15994</v>
      </c>
    </row>
    <row r="2424">
      <c r="A2424" s="2" t="s">
        <v>14932</v>
      </c>
    </row>
    <row r="2425">
      <c r="A2425" s="2" t="s">
        <v>15995</v>
      </c>
    </row>
    <row r="2426">
      <c r="A2426" s="2" t="s">
        <v>7462</v>
      </c>
    </row>
    <row r="2427">
      <c r="A2427" s="2" t="s">
        <v>15996</v>
      </c>
    </row>
    <row r="2429">
      <c r="A2429" s="2" t="s">
        <v>7691</v>
      </c>
    </row>
    <row r="2430">
      <c r="A2430" s="2" t="s">
        <v>15997</v>
      </c>
    </row>
    <row r="2432">
      <c r="A2432" s="2" t="s">
        <v>14932</v>
      </c>
    </row>
    <row r="2433">
      <c r="A2433" s="2" t="s">
        <v>15998</v>
      </c>
    </row>
    <row r="2435">
      <c r="A2435" s="2" t="s">
        <v>7462</v>
      </c>
    </row>
    <row r="2436">
      <c r="A2436" s="2" t="s">
        <v>15999</v>
      </c>
    </row>
    <row r="2438">
      <c r="A2438" s="2" t="s">
        <v>16000</v>
      </c>
    </row>
    <row r="2440">
      <c r="A2440" s="2" t="s">
        <v>14932</v>
      </c>
    </row>
    <row r="2441">
      <c r="A2441" s="2" t="s">
        <v>16001</v>
      </c>
    </row>
    <row r="2442">
      <c r="A2442" s="2" t="s">
        <v>7462</v>
      </c>
    </row>
    <row r="2443">
      <c r="A2443" s="2" t="s">
        <v>16002</v>
      </c>
    </row>
    <row r="2445">
      <c r="A2445" s="2" t="s">
        <v>16003</v>
      </c>
    </row>
    <row r="2447">
      <c r="A2447" s="2" t="s">
        <v>16004</v>
      </c>
    </row>
    <row r="2449">
      <c r="A2449" s="2" t="s">
        <v>16005</v>
      </c>
    </row>
    <row r="2451">
      <c r="A2451" s="2" t="s">
        <v>14932</v>
      </c>
    </row>
    <row r="2452">
      <c r="A2452" s="2" t="s">
        <v>16006</v>
      </c>
    </row>
    <row r="2454">
      <c r="A2454" s="2" t="s">
        <v>7462</v>
      </c>
    </row>
    <row r="2455">
      <c r="A2455" s="2" t="s">
        <v>16007</v>
      </c>
    </row>
    <row r="2457">
      <c r="A2457" s="2" t="s">
        <v>16008</v>
      </c>
    </row>
    <row r="2459">
      <c r="A2459" s="2" t="s">
        <v>16009</v>
      </c>
    </row>
    <row r="2461">
      <c r="A2461" s="2" t="s">
        <v>14932</v>
      </c>
    </row>
    <row r="2462">
      <c r="A2462" s="2" t="s">
        <v>16010</v>
      </c>
    </row>
    <row r="2463">
      <c r="A2463" s="2" t="s">
        <v>7462</v>
      </c>
    </row>
    <row r="2464">
      <c r="A2464" s="2" t="s">
        <v>16011</v>
      </c>
    </row>
    <row r="2466">
      <c r="A2466" s="2" t="s">
        <v>16012</v>
      </c>
    </row>
    <row r="2468">
      <c r="A2468" s="2" t="s">
        <v>16013</v>
      </c>
    </row>
    <row r="2470">
      <c r="A2470" s="2" t="s">
        <v>16014</v>
      </c>
    </row>
    <row r="2472">
      <c r="A2472" s="2" t="s">
        <v>14932</v>
      </c>
    </row>
    <row r="2473">
      <c r="A2473" s="2" t="s">
        <v>16015</v>
      </c>
    </row>
    <row r="2474">
      <c r="A2474" s="2" t="s">
        <v>7462</v>
      </c>
    </row>
    <row r="2475">
      <c r="A2475" s="2" t="s">
        <v>16016</v>
      </c>
    </row>
    <row r="2477">
      <c r="A2477" s="2" t="s">
        <v>16017</v>
      </c>
    </row>
    <row r="2479">
      <c r="A2479" s="2" t="s">
        <v>16018</v>
      </c>
    </row>
    <row r="2481">
      <c r="A2481" s="2" t="s">
        <v>16019</v>
      </c>
    </row>
    <row r="2483">
      <c r="A2483" s="2" t="s">
        <v>14932</v>
      </c>
    </row>
    <row r="2484">
      <c r="A2484" s="2" t="s">
        <v>16020</v>
      </c>
    </row>
    <row r="2485">
      <c r="A2485" s="2" t="s">
        <v>16021</v>
      </c>
    </row>
    <row r="2487">
      <c r="A2487" s="2" t="s">
        <v>16022</v>
      </c>
    </row>
    <row r="2489">
      <c r="A2489" s="2" t="s">
        <v>7691</v>
      </c>
    </row>
    <row r="2490">
      <c r="A2490" s="2" t="s">
        <v>16023</v>
      </c>
    </row>
    <row r="2492">
      <c r="A2492" s="2" t="s">
        <v>16024</v>
      </c>
    </row>
    <row r="2494">
      <c r="A2494" s="2" t="s">
        <v>7579</v>
      </c>
    </row>
    <row r="2495">
      <c r="A2495" s="2" t="s">
        <v>16025</v>
      </c>
    </row>
    <row r="2497">
      <c r="A2497" s="2" t="s">
        <v>14932</v>
      </c>
    </row>
    <row r="2498">
      <c r="A2498" s="2" t="s">
        <v>16026</v>
      </c>
    </row>
    <row r="2499">
      <c r="A2499" s="2" t="s">
        <v>7462</v>
      </c>
    </row>
    <row r="2500">
      <c r="A2500" s="2" t="s">
        <v>16027</v>
      </c>
    </row>
    <row r="2502">
      <c r="A2502" s="2" t="s">
        <v>16028</v>
      </c>
    </row>
    <row r="2504">
      <c r="A2504" s="2" t="s">
        <v>16029</v>
      </c>
    </row>
    <row r="2506">
      <c r="A2506" s="2" t="s">
        <v>16030</v>
      </c>
    </row>
    <row r="2508">
      <c r="A2508" s="2" t="s">
        <v>14932</v>
      </c>
    </row>
    <row r="2509">
      <c r="A2509" s="2" t="s">
        <v>16031</v>
      </c>
    </row>
    <row r="2510">
      <c r="A2510" s="2" t="s">
        <v>7462</v>
      </c>
    </row>
    <row r="2511">
      <c r="A2511" s="2" t="s">
        <v>16032</v>
      </c>
    </row>
    <row r="2513">
      <c r="A2513" s="2" t="s">
        <v>16033</v>
      </c>
    </row>
    <row r="2515">
      <c r="A2515" s="2" t="s">
        <v>16034</v>
      </c>
    </row>
    <row r="2517">
      <c r="A2517" s="2" t="s">
        <v>16035</v>
      </c>
    </row>
    <row r="2519">
      <c r="A2519" s="2" t="s">
        <v>14932</v>
      </c>
    </row>
    <row r="2520">
      <c r="A2520" s="2" t="s">
        <v>16036</v>
      </c>
    </row>
    <row r="2521">
      <c r="A2521" s="2" t="s">
        <v>7462</v>
      </c>
    </row>
    <row r="2522">
      <c r="A2522" s="2" t="s">
        <v>16037</v>
      </c>
    </row>
    <row r="2524">
      <c r="A2524" s="2" t="s">
        <v>16038</v>
      </c>
    </row>
    <row r="2526">
      <c r="A2526" s="2" t="s">
        <v>16039</v>
      </c>
    </row>
    <row r="2528">
      <c r="A2528" s="2" t="s">
        <v>16040</v>
      </c>
    </row>
    <row r="2530">
      <c r="A2530" s="2" t="s">
        <v>14932</v>
      </c>
    </row>
    <row r="2531">
      <c r="A2531" s="2" t="s">
        <v>16041</v>
      </c>
    </row>
    <row r="2532">
      <c r="A2532" s="2" t="s">
        <v>7462</v>
      </c>
    </row>
    <row r="2533">
      <c r="A2533" s="2" t="s">
        <v>16042</v>
      </c>
    </row>
    <row r="2535">
      <c r="A2535" s="2" t="s">
        <v>16043</v>
      </c>
    </row>
    <row r="2537">
      <c r="A2537" s="2" t="s">
        <v>16044</v>
      </c>
    </row>
    <row r="2539">
      <c r="A2539" s="2" t="s">
        <v>16045</v>
      </c>
    </row>
    <row r="2541">
      <c r="A2541" s="2" t="s">
        <v>14932</v>
      </c>
    </row>
    <row r="2542">
      <c r="A2542" s="2" t="s">
        <v>16046</v>
      </c>
    </row>
    <row r="2543">
      <c r="A2543" s="2" t="s">
        <v>7462</v>
      </c>
    </row>
    <row r="2544">
      <c r="A2544" s="2" t="s">
        <v>16047</v>
      </c>
    </row>
    <row r="2546">
      <c r="A2546" s="2" t="s">
        <v>16048</v>
      </c>
    </row>
    <row r="2548">
      <c r="A2548" s="2" t="s">
        <v>16049</v>
      </c>
    </row>
    <row r="2550">
      <c r="A2550" s="2" t="s">
        <v>16050</v>
      </c>
    </row>
    <row r="2552">
      <c r="A2552" s="2" t="s">
        <v>14932</v>
      </c>
    </row>
    <row r="2553">
      <c r="A2553" s="2" t="s">
        <v>16051</v>
      </c>
    </row>
    <row r="2554">
      <c r="A2554" s="2" t="s">
        <v>7462</v>
      </c>
    </row>
    <row r="2555">
      <c r="A2555" s="2" t="s">
        <v>16052</v>
      </c>
    </row>
    <row r="2557">
      <c r="A2557" s="2" t="s">
        <v>16053</v>
      </c>
    </row>
    <row r="2559">
      <c r="A2559" s="2" t="s">
        <v>16054</v>
      </c>
    </row>
    <row r="2561">
      <c r="A2561" s="2" t="s">
        <v>16055</v>
      </c>
    </row>
    <row r="2563">
      <c r="A2563" s="2" t="s">
        <v>14932</v>
      </c>
    </row>
    <row r="2564">
      <c r="A2564" s="2" t="s">
        <v>16056</v>
      </c>
    </row>
    <row r="2565">
      <c r="A2565" s="2" t="s">
        <v>7462</v>
      </c>
    </row>
    <row r="2566">
      <c r="A2566" s="2" t="s">
        <v>16057</v>
      </c>
    </row>
    <row r="2568">
      <c r="A2568" s="2" t="s">
        <v>16058</v>
      </c>
    </row>
    <row r="2570">
      <c r="A2570" s="2" t="s">
        <v>16059</v>
      </c>
    </row>
    <row r="2572">
      <c r="A2572" s="2" t="s">
        <v>16060</v>
      </c>
    </row>
    <row r="2574">
      <c r="A2574" s="2" t="s">
        <v>14932</v>
      </c>
    </row>
    <row r="2575">
      <c r="A2575" s="2" t="s">
        <v>16061</v>
      </c>
    </row>
    <row r="2576">
      <c r="A2576" s="2" t="s">
        <v>7462</v>
      </c>
    </row>
    <row r="2577">
      <c r="A2577" s="2" t="s">
        <v>16062</v>
      </c>
    </row>
    <row r="2579">
      <c r="A2579" s="2" t="s">
        <v>16063</v>
      </c>
    </row>
    <row r="2581">
      <c r="A2581" s="2" t="s">
        <v>16064</v>
      </c>
    </row>
    <row r="2583">
      <c r="A2583" s="2" t="s">
        <v>14932</v>
      </c>
    </row>
    <row r="2584">
      <c r="A2584" s="2" t="s">
        <v>16065</v>
      </c>
    </row>
    <row r="2585">
      <c r="A2585" s="2" t="s">
        <v>7462</v>
      </c>
    </row>
    <row r="2586">
      <c r="A2586" s="2" t="s">
        <v>16066</v>
      </c>
    </row>
    <row r="2588">
      <c r="A2588" s="2" t="s">
        <v>16067</v>
      </c>
    </row>
    <row r="2590">
      <c r="A2590" s="2" t="s">
        <v>16068</v>
      </c>
    </row>
    <row r="2592">
      <c r="A2592" s="2" t="s">
        <v>16069</v>
      </c>
    </row>
    <row r="2594">
      <c r="A2594" s="2" t="s">
        <v>14932</v>
      </c>
    </row>
    <row r="2595">
      <c r="A2595" s="2" t="s">
        <v>16070</v>
      </c>
    </row>
    <row r="2596">
      <c r="A2596" s="2" t="s">
        <v>7462</v>
      </c>
    </row>
    <row r="2597">
      <c r="A2597" s="2" t="s">
        <v>16071</v>
      </c>
    </row>
    <row r="2599">
      <c r="A2599" s="2" t="s">
        <v>16072</v>
      </c>
    </row>
    <row r="2601">
      <c r="A2601" s="2" t="s">
        <v>16073</v>
      </c>
    </row>
    <row r="2603">
      <c r="A2603" s="2" t="s">
        <v>14932</v>
      </c>
    </row>
    <row r="2604">
      <c r="A2604" s="2" t="s">
        <v>16074</v>
      </c>
    </row>
    <row r="2605">
      <c r="A2605" s="2" t="s">
        <v>7462</v>
      </c>
    </row>
    <row r="2606">
      <c r="A2606" s="2" t="s">
        <v>16075</v>
      </c>
    </row>
    <row r="2608">
      <c r="A2608" s="2" t="s">
        <v>16076</v>
      </c>
    </row>
    <row r="2610">
      <c r="A2610" s="2" t="s">
        <v>16077</v>
      </c>
    </row>
    <row r="2612">
      <c r="A2612" s="2" t="s">
        <v>16078</v>
      </c>
    </row>
    <row r="2614">
      <c r="A2614" s="2" t="s">
        <v>14932</v>
      </c>
    </row>
    <row r="2615">
      <c r="A2615" s="2" t="s">
        <v>16079</v>
      </c>
    </row>
    <row r="2616">
      <c r="A2616" s="2" t="s">
        <v>7462</v>
      </c>
    </row>
    <row r="2617">
      <c r="A2617" s="2" t="s">
        <v>16080</v>
      </c>
    </row>
    <row r="2619">
      <c r="A2619" s="2" t="s">
        <v>16081</v>
      </c>
    </row>
    <row r="2621">
      <c r="A2621" s="2" t="s">
        <v>16082</v>
      </c>
    </row>
    <row r="2623">
      <c r="A2623" s="2" t="s">
        <v>16083</v>
      </c>
    </row>
    <row r="2625">
      <c r="A2625" s="2" t="s">
        <v>14932</v>
      </c>
    </row>
    <row r="2626">
      <c r="A2626" s="2" t="s">
        <v>16084</v>
      </c>
    </row>
    <row r="2628">
      <c r="A2628" s="2" t="s">
        <v>16085</v>
      </c>
    </row>
    <row r="2630">
      <c r="A2630" s="2" t="s">
        <v>16086</v>
      </c>
    </row>
    <row r="2632">
      <c r="A2632" s="2" t="s">
        <v>16087</v>
      </c>
    </row>
    <row r="2634">
      <c r="A2634" s="2" t="s">
        <v>16088</v>
      </c>
    </row>
    <row r="2636">
      <c r="A2636" s="2" t="s">
        <v>16089</v>
      </c>
    </row>
    <row r="2638">
      <c r="A2638" s="2" t="s">
        <v>14932</v>
      </c>
    </row>
    <row r="2639">
      <c r="A2639" s="2" t="s">
        <v>16090</v>
      </c>
    </row>
    <row r="2640">
      <c r="A2640" s="2" t="s">
        <v>7462</v>
      </c>
    </row>
    <row r="2641">
      <c r="A2641" s="2" t="s">
        <v>16091</v>
      </c>
    </row>
    <row r="2643">
      <c r="A2643" s="2" t="s">
        <v>16092</v>
      </c>
    </row>
    <row r="2645">
      <c r="A2645" s="2" t="s">
        <v>16093</v>
      </c>
    </row>
    <row r="2647">
      <c r="A2647" s="2" t="s">
        <v>14932</v>
      </c>
    </row>
    <row r="2648">
      <c r="A2648" s="2" t="s">
        <v>16094</v>
      </c>
    </row>
    <row r="2649">
      <c r="A2649" s="2" t="s">
        <v>7462</v>
      </c>
    </row>
    <row r="2650">
      <c r="A2650" s="2" t="s">
        <v>16095</v>
      </c>
    </row>
    <row r="2652">
      <c r="A2652" s="2" t="s">
        <v>16096</v>
      </c>
    </row>
    <row r="2654">
      <c r="A2654" s="2" t="s">
        <v>16097</v>
      </c>
    </row>
    <row r="2656">
      <c r="A2656" s="2" t="s">
        <v>14932</v>
      </c>
    </row>
    <row r="2657">
      <c r="A2657" s="2" t="s">
        <v>16098</v>
      </c>
    </row>
    <row r="2658">
      <c r="A2658" s="2" t="s">
        <v>7462</v>
      </c>
    </row>
    <row r="2659">
      <c r="A2659" s="2" t="s">
        <v>16099</v>
      </c>
    </row>
    <row r="2661">
      <c r="A2661" s="2" t="s">
        <v>16100</v>
      </c>
    </row>
    <row r="2663">
      <c r="A2663" s="2" t="s">
        <v>16101</v>
      </c>
    </row>
    <row r="2665">
      <c r="A2665" s="2" t="s">
        <v>16102</v>
      </c>
    </row>
    <row r="2667">
      <c r="A2667" s="2" t="s">
        <v>14932</v>
      </c>
    </row>
    <row r="2668">
      <c r="A2668" s="2" t="s">
        <v>16103</v>
      </c>
    </row>
    <row r="2669">
      <c r="A2669" s="2" t="s">
        <v>7462</v>
      </c>
    </row>
    <row r="2670">
      <c r="A2670" s="2" t="s">
        <v>16104</v>
      </c>
    </row>
    <row r="2672">
      <c r="A2672" s="2" t="s">
        <v>16105</v>
      </c>
    </row>
    <row r="2674">
      <c r="A2674" s="2" t="s">
        <v>16106</v>
      </c>
    </row>
    <row r="2676">
      <c r="A2676" s="2" t="s">
        <v>14932</v>
      </c>
    </row>
    <row r="2677">
      <c r="A2677" s="2" t="s">
        <v>16107</v>
      </c>
    </row>
    <row r="2678">
      <c r="A2678" s="2" t="s">
        <v>7462</v>
      </c>
    </row>
    <row r="2679">
      <c r="A2679" s="2" t="s">
        <v>16108</v>
      </c>
    </row>
    <row r="2681">
      <c r="A2681" s="2" t="s">
        <v>16109</v>
      </c>
    </row>
    <row r="2683">
      <c r="A2683" s="2" t="s">
        <v>16110</v>
      </c>
    </row>
    <row r="2685">
      <c r="A2685" s="2" t="s">
        <v>16111</v>
      </c>
    </row>
    <row r="2687">
      <c r="A2687" s="2" t="s">
        <v>14932</v>
      </c>
    </row>
    <row r="2688">
      <c r="A2688" s="2" t="s">
        <v>16112</v>
      </c>
    </row>
    <row r="2690">
      <c r="A2690" s="2" t="s">
        <v>16113</v>
      </c>
    </row>
    <row r="2692">
      <c r="A2692" s="2" t="s">
        <v>16114</v>
      </c>
    </row>
    <row r="2694">
      <c r="A2694" s="2" t="s">
        <v>16115</v>
      </c>
    </row>
    <row r="2696">
      <c r="A2696" s="2" t="s">
        <v>14932</v>
      </c>
    </row>
    <row r="2697">
      <c r="A2697" s="2" t="s">
        <v>16116</v>
      </c>
    </row>
    <row r="2698">
      <c r="A2698" s="2" t="s">
        <v>7462</v>
      </c>
    </row>
    <row r="2699">
      <c r="A2699" s="2" t="s">
        <v>16117</v>
      </c>
    </row>
    <row r="2701">
      <c r="A2701" s="2" t="s">
        <v>16118</v>
      </c>
    </row>
    <row r="2703">
      <c r="A2703" s="2" t="s">
        <v>16119</v>
      </c>
    </row>
    <row r="2705">
      <c r="A2705" s="2" t="s">
        <v>14932</v>
      </c>
    </row>
    <row r="2706">
      <c r="A2706" s="2" t="s">
        <v>16120</v>
      </c>
    </row>
    <row r="2707">
      <c r="A2707" s="2" t="s">
        <v>7462</v>
      </c>
    </row>
    <row r="2708">
      <c r="A2708" s="2" t="s">
        <v>16121</v>
      </c>
    </row>
    <row r="2710">
      <c r="A2710" s="2" t="s">
        <v>16122</v>
      </c>
    </row>
    <row r="2712">
      <c r="A2712" s="2" t="s">
        <v>16123</v>
      </c>
    </row>
    <row r="2714">
      <c r="A2714" s="2" t="s">
        <v>14932</v>
      </c>
    </row>
    <row r="2715">
      <c r="A2715" s="2" t="s">
        <v>16124</v>
      </c>
    </row>
    <row r="2716">
      <c r="A2716" s="2" t="s">
        <v>16125</v>
      </c>
    </row>
    <row r="2718">
      <c r="A2718" s="2" t="s">
        <v>16126</v>
      </c>
    </row>
    <row r="2720">
      <c r="A2720" s="2" t="s">
        <v>16127</v>
      </c>
    </row>
    <row r="2722">
      <c r="A2722" s="2" t="s">
        <v>16128</v>
      </c>
    </row>
    <row r="2724">
      <c r="A2724" s="2" t="s">
        <v>14932</v>
      </c>
    </row>
    <row r="2725">
      <c r="A2725" s="2" t="s">
        <v>16129</v>
      </c>
    </row>
    <row r="2726">
      <c r="A2726" s="2" t="s">
        <v>7462</v>
      </c>
    </row>
    <row r="2727">
      <c r="A2727" s="2" t="s">
        <v>16130</v>
      </c>
    </row>
    <row r="2729">
      <c r="A2729" s="2" t="s">
        <v>16131</v>
      </c>
    </row>
    <row r="2731">
      <c r="A2731" s="2" t="s">
        <v>16132</v>
      </c>
    </row>
    <row r="2732">
      <c r="A2732" s="2" t="s">
        <v>16133</v>
      </c>
    </row>
    <row r="2733">
      <c r="A2733" s="2" t="s">
        <v>7462</v>
      </c>
    </row>
    <row r="2734">
      <c r="A2734" s="2" t="s">
        <v>16134</v>
      </c>
    </row>
    <row r="2736">
      <c r="A2736" s="2" t="s">
        <v>16135</v>
      </c>
    </row>
    <row r="2738">
      <c r="A2738" s="2" t="s">
        <v>16136</v>
      </c>
    </row>
    <row r="2740">
      <c r="A2740" s="2" t="s">
        <v>16137</v>
      </c>
    </row>
    <row r="2742">
      <c r="A2742" s="2" t="s">
        <v>14932</v>
      </c>
    </row>
    <row r="2743">
      <c r="A2743" s="2" t="s">
        <v>16138</v>
      </c>
    </row>
    <row r="2745">
      <c r="A2745" s="2" t="s">
        <v>7462</v>
      </c>
    </row>
    <row r="2746">
      <c r="A2746" s="2" t="s">
        <v>16139</v>
      </c>
    </row>
    <row r="2748">
      <c r="A2748" s="2" t="s">
        <v>16140</v>
      </c>
    </row>
    <row r="2750">
      <c r="A2750" s="2" t="s">
        <v>16141</v>
      </c>
    </row>
    <row r="2752">
      <c r="A2752" s="2" t="s">
        <v>16142</v>
      </c>
    </row>
    <row r="2754">
      <c r="A2754" s="2" t="s">
        <v>14932</v>
      </c>
    </row>
    <row r="2755">
      <c r="A2755" s="2" t="s">
        <v>16143</v>
      </c>
    </row>
    <row r="2756">
      <c r="A2756" s="2" t="s">
        <v>7462</v>
      </c>
    </row>
    <row r="2757">
      <c r="A2757" s="2" t="s">
        <v>16144</v>
      </c>
    </row>
    <row r="2759">
      <c r="A2759" s="2" t="s">
        <v>16145</v>
      </c>
    </row>
    <row r="2761">
      <c r="A2761" s="2" t="s">
        <v>16146</v>
      </c>
    </row>
    <row r="2763">
      <c r="A2763" s="2" t="s">
        <v>14932</v>
      </c>
    </row>
    <row r="2764">
      <c r="A2764" s="2" t="s">
        <v>16147</v>
      </c>
    </row>
    <row r="2765">
      <c r="A2765" s="2" t="s">
        <v>7462</v>
      </c>
    </row>
    <row r="2766">
      <c r="A2766" s="2" t="s">
        <v>16148</v>
      </c>
    </row>
    <row r="2768">
      <c r="A2768" s="2" t="s">
        <v>16149</v>
      </c>
    </row>
    <row r="2770">
      <c r="A2770" s="2" t="s">
        <v>16150</v>
      </c>
    </row>
    <row r="2772">
      <c r="A2772" s="2" t="s">
        <v>16151</v>
      </c>
    </row>
    <row r="2774">
      <c r="A2774" s="2" t="s">
        <v>14932</v>
      </c>
    </row>
    <row r="2775">
      <c r="A2775" s="2" t="s">
        <v>16152</v>
      </c>
    </row>
    <row r="2776">
      <c r="A2776" s="2" t="s">
        <v>7462</v>
      </c>
    </row>
    <row r="2777">
      <c r="A2777" s="2" t="s">
        <v>16153</v>
      </c>
    </row>
    <row r="2779">
      <c r="A2779" s="2" t="s">
        <v>16154</v>
      </c>
    </row>
    <row r="2781">
      <c r="A2781" s="2" t="s">
        <v>16155</v>
      </c>
    </row>
    <row r="2783">
      <c r="A2783" s="2" t="s">
        <v>14932</v>
      </c>
    </row>
    <row r="2784">
      <c r="A2784" s="2" t="s">
        <v>16156</v>
      </c>
    </row>
    <row r="2785">
      <c r="A2785" s="2" t="s">
        <v>7462</v>
      </c>
    </row>
    <row r="2786">
      <c r="A2786" s="2" t="s">
        <v>16157</v>
      </c>
    </row>
    <row r="2788">
      <c r="A2788" s="2" t="s">
        <v>16158</v>
      </c>
    </row>
    <row r="2790">
      <c r="A2790" s="2" t="s">
        <v>16159</v>
      </c>
    </row>
    <row r="2792">
      <c r="A2792" s="2" t="s">
        <v>16160</v>
      </c>
    </row>
    <row r="2794">
      <c r="A2794" s="2" t="s">
        <v>14932</v>
      </c>
    </row>
    <row r="2795">
      <c r="A2795" s="2" t="s">
        <v>16161</v>
      </c>
    </row>
    <row r="2796">
      <c r="A2796" s="2" t="s">
        <v>7462</v>
      </c>
    </row>
    <row r="2797">
      <c r="A2797" s="2" t="s">
        <v>16162</v>
      </c>
    </row>
    <row r="2799">
      <c r="A2799" s="2" t="s">
        <v>16163</v>
      </c>
    </row>
    <row r="2801">
      <c r="A2801" s="2" t="s">
        <v>16164</v>
      </c>
    </row>
    <row r="2803">
      <c r="A2803" s="2" t="s">
        <v>16165</v>
      </c>
    </row>
    <row r="2805">
      <c r="A2805" s="2" t="s">
        <v>14932</v>
      </c>
    </row>
    <row r="2806">
      <c r="A2806" s="2" t="s">
        <v>16166</v>
      </c>
    </row>
    <row r="2807">
      <c r="A2807" s="2" t="s">
        <v>7462</v>
      </c>
    </row>
    <row r="2808">
      <c r="A2808" s="2" t="s">
        <v>16167</v>
      </c>
    </row>
    <row r="2810">
      <c r="A2810" s="2" t="s">
        <v>16168</v>
      </c>
    </row>
    <row r="2812">
      <c r="A2812" s="2" t="s">
        <v>16169</v>
      </c>
    </row>
    <row r="2814">
      <c r="A2814" s="2" t="s">
        <v>16170</v>
      </c>
    </row>
    <row r="2816">
      <c r="A2816" s="2" t="s">
        <v>14932</v>
      </c>
    </row>
    <row r="2817">
      <c r="A2817" s="2" t="s">
        <v>16171</v>
      </c>
    </row>
    <row r="2818">
      <c r="A2818" s="2" t="s">
        <v>7462</v>
      </c>
    </row>
    <row r="2819">
      <c r="A2819" s="2" t="s">
        <v>16172</v>
      </c>
    </row>
    <row r="2821">
      <c r="A2821" s="2" t="s">
        <v>16173</v>
      </c>
    </row>
    <row r="2823">
      <c r="A2823" s="2" t="s">
        <v>16174</v>
      </c>
    </row>
    <row r="2825">
      <c r="A2825" s="2" t="s">
        <v>16175</v>
      </c>
    </row>
    <row r="2827">
      <c r="A2827" s="2" t="s">
        <v>14932</v>
      </c>
    </row>
    <row r="2828">
      <c r="A2828" s="2" t="s">
        <v>16176</v>
      </c>
    </row>
    <row r="2829">
      <c r="A2829" s="2" t="s">
        <v>7462</v>
      </c>
    </row>
    <row r="2830">
      <c r="A2830" s="2" t="s">
        <v>16177</v>
      </c>
    </row>
    <row r="2832">
      <c r="A2832" s="2" t="s">
        <v>16178</v>
      </c>
    </row>
    <row r="2834">
      <c r="A2834" s="2" t="s">
        <v>16179</v>
      </c>
    </row>
    <row r="2836">
      <c r="A2836" s="2" t="s">
        <v>16180</v>
      </c>
    </row>
    <row r="2838">
      <c r="A2838" s="2" t="s">
        <v>14932</v>
      </c>
    </row>
    <row r="2839">
      <c r="A2839" s="2" t="s">
        <v>16181</v>
      </c>
    </row>
    <row r="2841">
      <c r="A2841" s="2" t="s">
        <v>7462</v>
      </c>
    </row>
    <row r="2842">
      <c r="A2842" s="2" t="s">
        <v>16182</v>
      </c>
    </row>
    <row r="2844">
      <c r="A2844" s="2" t="s">
        <v>14932</v>
      </c>
    </row>
    <row r="2845">
      <c r="A2845" s="2" t="s">
        <v>16183</v>
      </c>
    </row>
    <row r="2846">
      <c r="A2846" s="2" t="s">
        <v>7462</v>
      </c>
    </row>
    <row r="2847">
      <c r="A2847" s="2" t="s">
        <v>16184</v>
      </c>
    </row>
    <row r="2849">
      <c r="A2849" s="2" t="s">
        <v>16185</v>
      </c>
    </row>
    <row r="2851">
      <c r="A2851" s="2" t="s">
        <v>16186</v>
      </c>
    </row>
    <row r="2853">
      <c r="A2853" s="2" t="s">
        <v>16187</v>
      </c>
    </row>
    <row r="2855">
      <c r="A2855" s="2" t="s">
        <v>14932</v>
      </c>
    </row>
    <row r="2856">
      <c r="A2856" s="2" t="s">
        <v>16188</v>
      </c>
    </row>
    <row r="2857">
      <c r="A2857" s="2" t="s">
        <v>7462</v>
      </c>
    </row>
    <row r="2858">
      <c r="A2858" s="2" t="s">
        <v>16189</v>
      </c>
    </row>
    <row r="2860">
      <c r="A2860" s="2" t="s">
        <v>16190</v>
      </c>
    </row>
    <row r="2862">
      <c r="A2862" s="2" t="s">
        <v>16191</v>
      </c>
    </row>
    <row r="2864">
      <c r="A2864" s="2" t="s">
        <v>16192</v>
      </c>
    </row>
    <row r="2866">
      <c r="A2866" s="2" t="s">
        <v>14932</v>
      </c>
    </row>
    <row r="2867">
      <c r="A2867" s="2" t="s">
        <v>16193</v>
      </c>
    </row>
    <row r="2868">
      <c r="A2868" s="2" t="s">
        <v>7462</v>
      </c>
    </row>
    <row r="2869">
      <c r="A2869" s="2" t="s">
        <v>16194</v>
      </c>
    </row>
    <row r="2871">
      <c r="A2871" s="2" t="s">
        <v>16195</v>
      </c>
    </row>
    <row r="2873">
      <c r="A2873" s="2" t="s">
        <v>16196</v>
      </c>
    </row>
    <row r="2875">
      <c r="A2875" s="2" t="s">
        <v>14932</v>
      </c>
    </row>
    <row r="2876">
      <c r="A2876" s="2" t="s">
        <v>16197</v>
      </c>
    </row>
    <row r="2877">
      <c r="A2877" s="2" t="s">
        <v>7462</v>
      </c>
    </row>
    <row r="2878">
      <c r="A2878" s="2" t="s">
        <v>16198</v>
      </c>
    </row>
    <row r="2880">
      <c r="A2880" s="2" t="s">
        <v>16199</v>
      </c>
    </row>
    <row r="2882">
      <c r="A2882" s="2" t="s">
        <v>16200</v>
      </c>
    </row>
    <row r="2884">
      <c r="A2884" s="2" t="s">
        <v>16201</v>
      </c>
    </row>
    <row r="2886">
      <c r="A2886" s="2" t="s">
        <v>14932</v>
      </c>
    </row>
    <row r="2887">
      <c r="A2887" s="2" t="s">
        <v>16202</v>
      </c>
    </row>
    <row r="2888">
      <c r="A2888" s="2" t="s">
        <v>7462</v>
      </c>
    </row>
    <row r="2889">
      <c r="A2889" s="2" t="s">
        <v>16203</v>
      </c>
    </row>
    <row r="2891">
      <c r="A2891" s="2" t="s">
        <v>14932</v>
      </c>
    </row>
    <row r="2892">
      <c r="A2892" s="2" t="s">
        <v>16204</v>
      </c>
    </row>
    <row r="2893">
      <c r="A2893" s="2" t="s">
        <v>7462</v>
      </c>
    </row>
    <row r="2894">
      <c r="A2894" s="2" t="s">
        <v>16205</v>
      </c>
    </row>
    <row r="2896">
      <c r="A2896" s="2" t="s">
        <v>16206</v>
      </c>
    </row>
    <row r="2898">
      <c r="A2898" s="2" t="s">
        <v>16207</v>
      </c>
    </row>
    <row r="2900">
      <c r="A2900" s="2" t="s">
        <v>16208</v>
      </c>
    </row>
    <row r="2902">
      <c r="A2902" s="2" t="s">
        <v>14932</v>
      </c>
    </row>
    <row r="2903">
      <c r="A2903" s="2" t="s">
        <v>16209</v>
      </c>
    </row>
    <row r="2904">
      <c r="A2904" s="2" t="s">
        <v>7462</v>
      </c>
    </row>
    <row r="2905">
      <c r="A2905" s="2" t="s">
        <v>16210</v>
      </c>
    </row>
    <row r="2907">
      <c r="A2907" s="2" t="s">
        <v>16211</v>
      </c>
    </row>
    <row r="2909">
      <c r="A2909" s="2" t="s">
        <v>16212</v>
      </c>
    </row>
    <row r="2911">
      <c r="A2911" s="2" t="s">
        <v>16213</v>
      </c>
    </row>
    <row r="2913">
      <c r="A2913" s="2" t="s">
        <v>14932</v>
      </c>
    </row>
    <row r="2914">
      <c r="A2914" s="2" t="s">
        <v>16214</v>
      </c>
    </row>
    <row r="2915">
      <c r="A2915" s="2" t="s">
        <v>7462</v>
      </c>
    </row>
    <row r="2916">
      <c r="A2916" s="2" t="s">
        <v>16215</v>
      </c>
    </row>
    <row r="2918">
      <c r="A2918" s="2" t="s">
        <v>16216</v>
      </c>
    </row>
    <row r="2920">
      <c r="A2920" s="2" t="s">
        <v>16217</v>
      </c>
    </row>
    <row r="2922">
      <c r="A2922" s="2" t="s">
        <v>14932</v>
      </c>
    </row>
    <row r="2923">
      <c r="A2923" s="2" t="s">
        <v>16218</v>
      </c>
    </row>
    <row r="2924">
      <c r="A2924" s="2" t="s">
        <v>7462</v>
      </c>
    </row>
    <row r="2925">
      <c r="A2925" s="2" t="s">
        <v>16219</v>
      </c>
    </row>
    <row r="2927">
      <c r="A2927" s="2" t="s">
        <v>16220</v>
      </c>
    </row>
    <row r="2929">
      <c r="A2929" s="2" t="s">
        <v>16221</v>
      </c>
    </row>
    <row r="2931">
      <c r="A2931" s="2" t="s">
        <v>16222</v>
      </c>
    </row>
    <row r="2933">
      <c r="A2933" s="2" t="s">
        <v>14932</v>
      </c>
    </row>
    <row r="2934">
      <c r="A2934" s="2" t="s">
        <v>16223</v>
      </c>
    </row>
    <row r="2935">
      <c r="A2935" s="2" t="s">
        <v>7462</v>
      </c>
    </row>
    <row r="2936">
      <c r="A2936" s="2" t="s">
        <v>16224</v>
      </c>
    </row>
    <row r="2938">
      <c r="A2938" s="2" t="s">
        <v>16225</v>
      </c>
    </row>
    <row r="2940">
      <c r="A2940" s="2" t="s">
        <v>16226</v>
      </c>
    </row>
    <row r="2942">
      <c r="A2942" s="2" t="s">
        <v>16227</v>
      </c>
    </row>
    <row r="2944">
      <c r="A2944" s="2" t="s">
        <v>14932</v>
      </c>
    </row>
    <row r="2945">
      <c r="A2945" s="2" t="s">
        <v>16228</v>
      </c>
    </row>
    <row r="2946">
      <c r="A2946" s="2" t="s">
        <v>7462</v>
      </c>
    </row>
    <row r="2947">
      <c r="A2947" s="2" t="s">
        <v>16229</v>
      </c>
    </row>
    <row r="2949">
      <c r="A2949" s="2" t="s">
        <v>16230</v>
      </c>
    </row>
    <row r="2951">
      <c r="A2951" s="2" t="s">
        <v>16231</v>
      </c>
    </row>
    <row r="2953">
      <c r="A2953" s="2" t="s">
        <v>14932</v>
      </c>
    </row>
    <row r="2954">
      <c r="A2954" s="2" t="s">
        <v>16232</v>
      </c>
    </row>
    <row r="2955">
      <c r="A2955" s="2" t="s">
        <v>7462</v>
      </c>
    </row>
    <row r="2956">
      <c r="A2956" s="2" t="s">
        <v>16233</v>
      </c>
    </row>
    <row r="2958">
      <c r="A2958" s="2" t="s">
        <v>16234</v>
      </c>
    </row>
    <row r="2960">
      <c r="A2960" s="2" t="s">
        <v>16235</v>
      </c>
    </row>
    <row r="2962">
      <c r="A2962" s="2" t="s">
        <v>16236</v>
      </c>
    </row>
    <row r="2964">
      <c r="A2964" s="2" t="s">
        <v>14932</v>
      </c>
    </row>
    <row r="2965">
      <c r="A2965" s="2" t="s">
        <v>16237</v>
      </c>
    </row>
    <row r="2966">
      <c r="A2966" s="2" t="s">
        <v>7462</v>
      </c>
    </row>
    <row r="2967">
      <c r="A2967" s="2" t="s">
        <v>16238</v>
      </c>
    </row>
    <row r="2969">
      <c r="A2969" s="2" t="s">
        <v>16239</v>
      </c>
    </row>
    <row r="2971">
      <c r="A2971" s="2" t="s">
        <v>16240</v>
      </c>
    </row>
    <row r="2973">
      <c r="A2973" s="2" t="s">
        <v>16241</v>
      </c>
    </row>
    <row r="2975">
      <c r="A2975" s="2" t="s">
        <v>14932</v>
      </c>
    </row>
    <row r="2976">
      <c r="A2976" s="2" t="s">
        <v>16242</v>
      </c>
    </row>
    <row r="2977">
      <c r="A2977" s="2" t="s">
        <v>7462</v>
      </c>
    </row>
    <row r="2978">
      <c r="A2978" s="2" t="s">
        <v>16243</v>
      </c>
    </row>
    <row r="2980">
      <c r="A2980" s="2" t="s">
        <v>16244</v>
      </c>
    </row>
    <row r="2982">
      <c r="A2982" s="2" t="s">
        <v>16245</v>
      </c>
    </row>
    <row r="2984">
      <c r="A2984" s="2" t="s">
        <v>16246</v>
      </c>
    </row>
    <row r="2986">
      <c r="A2986" s="2" t="s">
        <v>14932</v>
      </c>
    </row>
    <row r="2987">
      <c r="A2987" s="2" t="s">
        <v>16247</v>
      </c>
    </row>
    <row r="2988">
      <c r="A2988" s="2" t="s">
        <v>7462</v>
      </c>
    </row>
    <row r="2989">
      <c r="A2989" s="2" t="s">
        <v>16248</v>
      </c>
    </row>
    <row r="2991">
      <c r="A2991" s="2" t="s">
        <v>16249</v>
      </c>
    </row>
    <row r="2993">
      <c r="A2993" s="2" t="s">
        <v>16250</v>
      </c>
    </row>
    <row r="2995">
      <c r="A2995" s="2" t="s">
        <v>16251</v>
      </c>
    </row>
    <row r="2997">
      <c r="A2997" s="2" t="s">
        <v>14932</v>
      </c>
    </row>
    <row r="2998">
      <c r="A2998" s="2" t="s">
        <v>16252</v>
      </c>
    </row>
    <row r="2999">
      <c r="A2999" s="2" t="s">
        <v>7462</v>
      </c>
    </row>
    <row r="3000">
      <c r="A3000" s="2" t="s">
        <v>16253</v>
      </c>
    </row>
    <row r="3002">
      <c r="A3002" s="2" t="s">
        <v>16254</v>
      </c>
    </row>
    <row r="3004">
      <c r="A3004" s="2" t="s">
        <v>16255</v>
      </c>
    </row>
    <row r="3006">
      <c r="A3006" s="2" t="s">
        <v>16256</v>
      </c>
    </row>
    <row r="3008">
      <c r="A3008" s="2" t="s">
        <v>14932</v>
      </c>
    </row>
    <row r="3009">
      <c r="A3009" s="2" t="s">
        <v>16257</v>
      </c>
    </row>
    <row r="3011">
      <c r="A3011" s="2" t="s">
        <v>7462</v>
      </c>
    </row>
    <row r="3012">
      <c r="A3012" s="2" t="s">
        <v>16258</v>
      </c>
    </row>
    <row r="3014">
      <c r="A3014" s="2" t="s">
        <v>16259</v>
      </c>
    </row>
    <row r="3016">
      <c r="A3016" s="2" t="s">
        <v>16260</v>
      </c>
    </row>
    <row r="3018">
      <c r="A3018" s="2" t="s">
        <v>14932</v>
      </c>
    </row>
    <row r="3019">
      <c r="A3019" s="2" t="s">
        <v>16261</v>
      </c>
    </row>
    <row r="3020">
      <c r="A3020" s="2" t="s">
        <v>7462</v>
      </c>
    </row>
    <row r="3021">
      <c r="A3021" s="2" t="s">
        <v>16262</v>
      </c>
    </row>
    <row r="3023">
      <c r="A3023" s="2" t="s">
        <v>16263</v>
      </c>
    </row>
    <row r="3025">
      <c r="A3025" s="2" t="s">
        <v>16264</v>
      </c>
    </row>
    <row r="3027">
      <c r="A3027" s="2" t="s">
        <v>16265</v>
      </c>
    </row>
    <row r="3029">
      <c r="A3029" s="2" t="s">
        <v>14932</v>
      </c>
    </row>
    <row r="3030">
      <c r="A3030" s="2" t="s">
        <v>16266</v>
      </c>
    </row>
    <row r="3031">
      <c r="A3031" s="2" t="s">
        <v>16267</v>
      </c>
    </row>
    <row r="3033">
      <c r="A3033" s="2" t="s">
        <v>7462</v>
      </c>
    </row>
    <row r="3034">
      <c r="A3034" s="2" t="s">
        <v>16268</v>
      </c>
    </row>
    <row r="3036">
      <c r="A3036" s="2" t="s">
        <v>16269</v>
      </c>
    </row>
    <row r="3038">
      <c r="A3038" s="2" t="s">
        <v>16270</v>
      </c>
    </row>
    <row r="3040">
      <c r="A3040" s="2" t="s">
        <v>14932</v>
      </c>
    </row>
    <row r="3041">
      <c r="A3041" s="2" t="s">
        <v>16271</v>
      </c>
    </row>
    <row r="3042">
      <c r="A3042" s="2" t="s">
        <v>7462</v>
      </c>
    </row>
    <row r="3043">
      <c r="A3043" s="2" t="s">
        <v>16272</v>
      </c>
    </row>
    <row r="3045">
      <c r="A3045" s="2" t="s">
        <v>16273</v>
      </c>
    </row>
    <row r="3047">
      <c r="A3047" s="2" t="s">
        <v>16274</v>
      </c>
    </row>
    <row r="3049">
      <c r="A3049" s="2" t="s">
        <v>16275</v>
      </c>
    </row>
    <row r="3051">
      <c r="A3051" s="2" t="s">
        <v>14932</v>
      </c>
    </row>
    <row r="3052">
      <c r="A3052" s="2" t="s">
        <v>16276</v>
      </c>
    </row>
    <row r="3053">
      <c r="A3053" s="2" t="s">
        <v>7462</v>
      </c>
    </row>
    <row r="3054">
      <c r="A3054" s="2" t="s">
        <v>16277</v>
      </c>
    </row>
    <row r="3056">
      <c r="A3056" s="2" t="s">
        <v>16278</v>
      </c>
    </row>
    <row r="3058">
      <c r="A3058" s="2" t="s">
        <v>16279</v>
      </c>
    </row>
    <row r="3060">
      <c r="A3060" s="2" t="s">
        <v>16280</v>
      </c>
    </row>
    <row r="3062">
      <c r="A3062" s="2" t="s">
        <v>14932</v>
      </c>
    </row>
    <row r="3063">
      <c r="A3063" s="2" t="s">
        <v>16281</v>
      </c>
    </row>
    <row r="3064">
      <c r="A3064" s="2" t="s">
        <v>7462</v>
      </c>
    </row>
    <row r="3065">
      <c r="A3065" s="2" t="s">
        <v>16282</v>
      </c>
    </row>
    <row r="3067">
      <c r="A3067" s="2" t="s">
        <v>16283</v>
      </c>
    </row>
    <row r="3069">
      <c r="A3069" s="2" t="s">
        <v>16284</v>
      </c>
    </row>
    <row r="3071">
      <c r="A3071" s="2" t="s">
        <v>16285</v>
      </c>
    </row>
    <row r="3073">
      <c r="A3073" s="2" t="s">
        <v>14932</v>
      </c>
    </row>
    <row r="3074">
      <c r="A3074" s="2" t="s">
        <v>16286</v>
      </c>
    </row>
    <row r="3075">
      <c r="A3075" s="2" t="s">
        <v>7462</v>
      </c>
    </row>
    <row r="3076">
      <c r="A3076" s="2" t="s">
        <v>16287</v>
      </c>
    </row>
    <row r="3078">
      <c r="A3078" s="2" t="s">
        <v>16288</v>
      </c>
    </row>
    <row r="3080">
      <c r="A3080" s="2" t="s">
        <v>16289</v>
      </c>
    </row>
    <row r="3082">
      <c r="A3082" s="2" t="s">
        <v>14932</v>
      </c>
    </row>
    <row r="3083">
      <c r="A3083" s="2" t="s">
        <v>16290</v>
      </c>
    </row>
    <row r="3084">
      <c r="A3084" s="2" t="s">
        <v>7462</v>
      </c>
    </row>
    <row r="3085">
      <c r="A3085" s="2" t="s">
        <v>16291</v>
      </c>
    </row>
    <row r="3087">
      <c r="A3087" s="2" t="s">
        <v>16292</v>
      </c>
    </row>
    <row r="3089">
      <c r="A3089" s="2" t="s">
        <v>16293</v>
      </c>
    </row>
    <row r="3090">
      <c r="A3090" s="2" t="s">
        <v>16294</v>
      </c>
    </row>
    <row r="3091">
      <c r="A3091" s="2" t="s">
        <v>16295</v>
      </c>
    </row>
    <row r="3093">
      <c r="A3093" s="2" t="s">
        <v>16296</v>
      </c>
    </row>
    <row r="3095">
      <c r="A3095" s="2" t="s">
        <v>16297</v>
      </c>
    </row>
    <row r="3097">
      <c r="A3097" s="2" t="s">
        <v>16298</v>
      </c>
    </row>
    <row r="3099">
      <c r="A3099" s="2" t="s">
        <v>16299</v>
      </c>
    </row>
    <row r="3101">
      <c r="A3101" s="2" t="s">
        <v>14932</v>
      </c>
    </row>
    <row r="3102">
      <c r="A3102" s="2" t="s">
        <v>16300</v>
      </c>
    </row>
    <row r="3103">
      <c r="A3103" s="2" t="s">
        <v>7462</v>
      </c>
    </row>
    <row r="3104">
      <c r="A3104" s="2" t="s">
        <v>16301</v>
      </c>
    </row>
    <row r="3106">
      <c r="A3106" s="2" t="s">
        <v>16302</v>
      </c>
    </row>
    <row r="3108">
      <c r="A3108" s="2" t="s">
        <v>16303</v>
      </c>
    </row>
    <row r="3110">
      <c r="A3110" s="2" t="s">
        <v>14932</v>
      </c>
    </row>
    <row r="3111">
      <c r="A3111" s="2" t="s">
        <v>16304</v>
      </c>
    </row>
    <row r="3112">
      <c r="A3112" s="2" t="s">
        <v>7462</v>
      </c>
    </row>
    <row r="3113">
      <c r="A3113" s="2" t="s">
        <v>16305</v>
      </c>
    </row>
    <row r="3115">
      <c r="A3115" s="2" t="s">
        <v>16306</v>
      </c>
    </row>
    <row r="3117">
      <c r="A3117" s="2" t="s">
        <v>16307</v>
      </c>
    </row>
    <row r="3119">
      <c r="A3119" s="2" t="s">
        <v>16308</v>
      </c>
    </row>
    <row r="3121">
      <c r="A3121" s="2" t="s">
        <v>14932</v>
      </c>
    </row>
    <row r="3122">
      <c r="A3122" s="2" t="s">
        <v>16309</v>
      </c>
    </row>
    <row r="3123">
      <c r="A3123" s="2" t="s">
        <v>7462</v>
      </c>
    </row>
    <row r="3124">
      <c r="A3124" s="2" t="s">
        <v>16310</v>
      </c>
    </row>
    <row r="3126">
      <c r="A3126" s="2" t="s">
        <v>16311</v>
      </c>
    </row>
    <row r="3128">
      <c r="A3128" s="2" t="s">
        <v>16312</v>
      </c>
    </row>
    <row r="3130">
      <c r="A3130" s="2" t="s">
        <v>16313</v>
      </c>
    </row>
    <row r="3132">
      <c r="A3132" s="2" t="s">
        <v>14932</v>
      </c>
    </row>
    <row r="3133">
      <c r="A3133" s="2" t="s">
        <v>16314</v>
      </c>
    </row>
    <row r="3134">
      <c r="A3134" s="2" t="s">
        <v>7462</v>
      </c>
    </row>
    <row r="3135">
      <c r="A3135" s="2" t="s">
        <v>16315</v>
      </c>
    </row>
    <row r="3137">
      <c r="A3137" s="2" t="s">
        <v>16316</v>
      </c>
    </row>
    <row r="3139">
      <c r="A3139" s="2" t="s">
        <v>16317</v>
      </c>
    </row>
    <row r="3141">
      <c r="A3141" s="2" t="s">
        <v>16318</v>
      </c>
    </row>
    <row r="3143">
      <c r="A3143" s="2" t="s">
        <v>14932</v>
      </c>
    </row>
    <row r="3144">
      <c r="A3144" s="2" t="s">
        <v>16319</v>
      </c>
    </row>
    <row r="3146">
      <c r="A3146" s="2" t="s">
        <v>7462</v>
      </c>
    </row>
    <row r="3147">
      <c r="A3147" s="2" t="s">
        <v>16320</v>
      </c>
    </row>
    <row r="3149">
      <c r="A3149" s="2" t="s">
        <v>16321</v>
      </c>
    </row>
    <row r="3151">
      <c r="A3151" s="2" t="s">
        <v>16322</v>
      </c>
    </row>
    <row r="3153">
      <c r="A3153" s="2" t="s">
        <v>14932</v>
      </c>
    </row>
    <row r="3154">
      <c r="A3154" s="2" t="s">
        <v>16323</v>
      </c>
    </row>
    <row r="3155">
      <c r="A3155" s="2" t="s">
        <v>7462</v>
      </c>
    </row>
    <row r="3156">
      <c r="A3156" s="2" t="s">
        <v>16324</v>
      </c>
    </row>
    <row r="3158">
      <c r="A3158" s="2" t="s">
        <v>16325</v>
      </c>
    </row>
    <row r="3160">
      <c r="A3160" s="2" t="s">
        <v>16326</v>
      </c>
    </row>
    <row r="3162">
      <c r="A3162" s="2" t="s">
        <v>16327</v>
      </c>
    </row>
    <row r="3164">
      <c r="A3164" s="2" t="s">
        <v>14932</v>
      </c>
    </row>
    <row r="3165">
      <c r="A3165" s="2" t="s">
        <v>16328</v>
      </c>
    </row>
    <row r="3166">
      <c r="A3166" s="2" t="s">
        <v>7462</v>
      </c>
    </row>
    <row r="3167">
      <c r="A3167" s="2" t="s">
        <v>16329</v>
      </c>
    </row>
    <row r="3169">
      <c r="A3169" s="2" t="s">
        <v>7665</v>
      </c>
    </row>
    <row r="3170">
      <c r="A3170" s="2" t="s">
        <v>16330</v>
      </c>
    </row>
    <row r="3171">
      <c r="A3171" s="2" t="s">
        <v>16331</v>
      </c>
    </row>
    <row r="3172">
      <c r="A3172" s="2" t="s">
        <v>16332</v>
      </c>
    </row>
    <row r="3173">
      <c r="A3173" s="2" t="s">
        <v>16333</v>
      </c>
    </row>
    <row r="3174">
      <c r="A3174" s="2" t="s">
        <v>16334</v>
      </c>
    </row>
    <row r="3175">
      <c r="A3175" s="2" t="s">
        <v>16335</v>
      </c>
    </row>
    <row r="3176">
      <c r="A3176" s="2" t="s">
        <v>16336</v>
      </c>
    </row>
    <row r="3177">
      <c r="A3177" s="2" t="s">
        <v>16337</v>
      </c>
    </row>
    <row r="3179">
      <c r="A3179" s="2" t="s">
        <v>14932</v>
      </c>
    </row>
    <row r="3180">
      <c r="A3180" s="2" t="s">
        <v>16338</v>
      </c>
    </row>
    <row r="3181">
      <c r="A3181" s="2" t="s">
        <v>7462</v>
      </c>
    </row>
    <row r="3182">
      <c r="A3182" s="2" t="s">
        <v>16339</v>
      </c>
    </row>
    <row r="3184">
      <c r="A3184" s="2" t="s">
        <v>16340</v>
      </c>
    </row>
    <row r="3186">
      <c r="A3186" s="2" t="s">
        <v>16341</v>
      </c>
    </row>
    <row r="3188">
      <c r="A3188" s="2" t="s">
        <v>16342</v>
      </c>
    </row>
    <row r="3190">
      <c r="A3190" s="2" t="s">
        <v>14932</v>
      </c>
    </row>
    <row r="3191">
      <c r="A3191" s="2" t="s">
        <v>16343</v>
      </c>
    </row>
    <row r="3192">
      <c r="A3192" s="2" t="s">
        <v>7462</v>
      </c>
    </row>
    <row r="3193">
      <c r="A3193" s="2" t="s">
        <v>16344</v>
      </c>
    </row>
    <row r="3195">
      <c r="A3195" s="2" t="s">
        <v>16345</v>
      </c>
    </row>
    <row r="3197">
      <c r="A3197" s="2" t="s">
        <v>16346</v>
      </c>
    </row>
    <row r="3199">
      <c r="A3199" s="2" t="s">
        <v>14932</v>
      </c>
    </row>
    <row r="3200">
      <c r="A3200" s="2" t="s">
        <v>16347</v>
      </c>
    </row>
    <row r="3201">
      <c r="A3201" s="2" t="s">
        <v>7462</v>
      </c>
    </row>
    <row r="3202">
      <c r="A3202" s="2" t="s">
        <v>16348</v>
      </c>
    </row>
    <row r="3204">
      <c r="A3204" s="2" t="s">
        <v>16349</v>
      </c>
    </row>
    <row r="3206">
      <c r="A3206" s="2" t="s">
        <v>16350</v>
      </c>
    </row>
    <row r="3208">
      <c r="A3208" s="2" t="s">
        <v>16351</v>
      </c>
    </row>
    <row r="3210">
      <c r="A3210" s="2" t="s">
        <v>16352</v>
      </c>
    </row>
    <row r="3212">
      <c r="A3212" s="2" t="s">
        <v>14932</v>
      </c>
    </row>
    <row r="3213">
      <c r="A3213" s="2" t="s">
        <v>16353</v>
      </c>
    </row>
    <row r="3215">
      <c r="A3215" s="2" t="s">
        <v>16354</v>
      </c>
    </row>
    <row r="3217">
      <c r="A3217" s="2" t="s">
        <v>16355</v>
      </c>
    </row>
    <row r="3219">
      <c r="A3219" s="2" t="s">
        <v>16356</v>
      </c>
    </row>
    <row r="3221">
      <c r="A3221" s="2" t="s">
        <v>16357</v>
      </c>
    </row>
    <row r="3223">
      <c r="A3223" s="2" t="s">
        <v>16358</v>
      </c>
    </row>
    <row r="3225">
      <c r="A3225" s="2" t="s">
        <v>14932</v>
      </c>
    </row>
    <row r="3226">
      <c r="A3226" s="2" t="s">
        <v>16359</v>
      </c>
    </row>
    <row r="3227">
      <c r="A3227" s="2" t="s">
        <v>7462</v>
      </c>
    </row>
    <row r="3228">
      <c r="A3228" s="2" t="s">
        <v>16360</v>
      </c>
    </row>
    <row r="3230">
      <c r="A3230" s="2" t="s">
        <v>16361</v>
      </c>
    </row>
    <row r="3232">
      <c r="A3232" s="2" t="s">
        <v>16362</v>
      </c>
    </row>
    <row r="3234">
      <c r="A3234" s="2" t="s">
        <v>14932</v>
      </c>
    </row>
    <row r="3235">
      <c r="A3235" s="2" t="s">
        <v>16363</v>
      </c>
    </row>
    <row r="3236">
      <c r="A3236" s="2" t="s">
        <v>7462</v>
      </c>
    </row>
    <row r="3237">
      <c r="A3237" s="2" t="s">
        <v>16364</v>
      </c>
    </row>
    <row r="3239">
      <c r="A3239" s="2" t="s">
        <v>16365</v>
      </c>
    </row>
    <row r="3241">
      <c r="A3241" s="2" t="s">
        <v>16366</v>
      </c>
    </row>
    <row r="3243">
      <c r="A3243" s="2" t="s">
        <v>14932</v>
      </c>
    </row>
    <row r="3244">
      <c r="A3244" s="2" t="s">
        <v>16367</v>
      </c>
    </row>
    <row r="3245">
      <c r="A3245" s="2" t="s">
        <v>7462</v>
      </c>
    </row>
    <row r="3246">
      <c r="A3246" s="2" t="s">
        <v>16368</v>
      </c>
    </row>
    <row r="3248">
      <c r="A3248" s="2" t="s">
        <v>16369</v>
      </c>
    </row>
    <row r="3250">
      <c r="A3250" s="2" t="s">
        <v>16370</v>
      </c>
    </row>
    <row r="3252">
      <c r="A3252" s="2" t="s">
        <v>14932</v>
      </c>
    </row>
    <row r="3253">
      <c r="A3253" s="2" t="s">
        <v>16371</v>
      </c>
    </row>
    <row r="3254">
      <c r="A3254" s="2" t="s">
        <v>7462</v>
      </c>
    </row>
    <row r="3255">
      <c r="A3255" s="2" t="s">
        <v>16372</v>
      </c>
    </row>
    <row r="3257">
      <c r="A3257" s="2" t="s">
        <v>16373</v>
      </c>
    </row>
    <row r="3259">
      <c r="A3259" s="2" t="s">
        <v>16374</v>
      </c>
    </row>
    <row r="3261">
      <c r="A3261" s="2" t="s">
        <v>16375</v>
      </c>
    </row>
    <row r="3263">
      <c r="A3263" s="2" t="s">
        <v>14932</v>
      </c>
    </row>
    <row r="3264">
      <c r="A3264" s="2" t="s">
        <v>16376</v>
      </c>
    </row>
    <row r="3265">
      <c r="A3265" s="2" t="s">
        <v>7462</v>
      </c>
    </row>
    <row r="3266">
      <c r="A3266" s="2" t="s">
        <v>16377</v>
      </c>
    </row>
    <row r="3268">
      <c r="A3268" s="2" t="s">
        <v>16378</v>
      </c>
    </row>
    <row r="3270">
      <c r="A3270" s="2" t="s">
        <v>16379</v>
      </c>
    </row>
    <row r="3272">
      <c r="A3272" s="2" t="s">
        <v>16380</v>
      </c>
    </row>
    <row r="3274">
      <c r="A3274" s="2" t="s">
        <v>14932</v>
      </c>
    </row>
    <row r="3275">
      <c r="A3275" s="2" t="s">
        <v>16381</v>
      </c>
    </row>
    <row r="3276">
      <c r="A3276" s="2" t="s">
        <v>7462</v>
      </c>
    </row>
    <row r="3277">
      <c r="A3277" s="2" t="s">
        <v>16382</v>
      </c>
    </row>
    <row r="3279">
      <c r="A3279" s="2" t="s">
        <v>16383</v>
      </c>
    </row>
    <row r="3281">
      <c r="A3281" s="2" t="s">
        <v>16384</v>
      </c>
    </row>
    <row r="3283">
      <c r="A3283" s="2" t="s">
        <v>16385</v>
      </c>
    </row>
    <row r="3285">
      <c r="A3285" s="2" t="s">
        <v>14932</v>
      </c>
    </row>
    <row r="3286">
      <c r="A3286" s="2" t="s">
        <v>16386</v>
      </c>
    </row>
    <row r="3287">
      <c r="A3287" s="2" t="s">
        <v>7462</v>
      </c>
    </row>
    <row r="3288">
      <c r="A3288" s="2" t="s">
        <v>16387</v>
      </c>
    </row>
    <row r="3290">
      <c r="A3290" s="2" t="s">
        <v>16388</v>
      </c>
    </row>
    <row r="3292">
      <c r="A3292" s="2" t="s">
        <v>16389</v>
      </c>
    </row>
    <row r="3294">
      <c r="A3294" s="2" t="s">
        <v>16390</v>
      </c>
    </row>
    <row r="3296">
      <c r="A3296" s="2" t="s">
        <v>14932</v>
      </c>
    </row>
    <row r="3297">
      <c r="A3297" s="2" t="s">
        <v>16391</v>
      </c>
    </row>
    <row r="3298">
      <c r="A3298" s="2" t="s">
        <v>7462</v>
      </c>
    </row>
    <row r="3299">
      <c r="A3299" s="2" t="s">
        <v>16392</v>
      </c>
    </row>
    <row r="3301">
      <c r="A3301" s="2" t="s">
        <v>16393</v>
      </c>
    </row>
    <row r="3303">
      <c r="A3303" s="2" t="s">
        <v>16394</v>
      </c>
    </row>
    <row r="3305">
      <c r="A3305" s="2" t="s">
        <v>16395</v>
      </c>
    </row>
    <row r="3306">
      <c r="A3306" s="2" t="s">
        <v>16396</v>
      </c>
    </row>
    <row r="3308">
      <c r="A3308" s="2" t="s">
        <v>16397</v>
      </c>
    </row>
    <row r="3310">
      <c r="A3310" s="2" t="s">
        <v>16398</v>
      </c>
    </row>
    <row r="3312">
      <c r="A3312" s="2" t="s">
        <v>16399</v>
      </c>
    </row>
    <row r="3314">
      <c r="A3314" s="2" t="s">
        <v>16400</v>
      </c>
    </row>
    <row r="3316">
      <c r="A3316" s="2" t="s">
        <v>16395</v>
      </c>
    </row>
    <row r="3317">
      <c r="A3317" s="2" t="s">
        <v>16401</v>
      </c>
    </row>
    <row r="3318">
      <c r="A3318" s="2" t="s">
        <v>7462</v>
      </c>
    </row>
    <row r="3319">
      <c r="A3319" s="2" t="s">
        <v>16402</v>
      </c>
    </row>
    <row r="3321">
      <c r="A3321" s="2" t="s">
        <v>16403</v>
      </c>
    </row>
    <row r="3323">
      <c r="A3323" s="2" t="s">
        <v>16404</v>
      </c>
    </row>
    <row r="3325">
      <c r="A3325" s="2" t="s">
        <v>16395</v>
      </c>
    </row>
    <row r="3326">
      <c r="A3326" s="2" t="s">
        <v>16405</v>
      </c>
    </row>
    <row r="3327">
      <c r="A3327" s="2" t="s">
        <v>7462</v>
      </c>
    </row>
    <row r="3328">
      <c r="A3328" s="2" t="s">
        <v>16406</v>
      </c>
    </row>
    <row r="3330">
      <c r="A3330" s="2" t="s">
        <v>16407</v>
      </c>
    </row>
    <row r="3332">
      <c r="A3332" s="2" t="s">
        <v>16408</v>
      </c>
    </row>
    <row r="3333">
      <c r="A3333" s="2" t="s">
        <v>16409</v>
      </c>
    </row>
    <row r="3334">
      <c r="A3334" s="2" t="s">
        <v>7462</v>
      </c>
    </row>
    <row r="3335">
      <c r="A3335" s="2" t="s">
        <v>16410</v>
      </c>
    </row>
    <row r="3337">
      <c r="A3337" s="2" t="s">
        <v>16411</v>
      </c>
    </row>
    <row r="3339">
      <c r="A3339" s="2" t="s">
        <v>16412</v>
      </c>
    </row>
    <row r="3341">
      <c r="A3341" s="2" t="s">
        <v>16395</v>
      </c>
    </row>
    <row r="3342">
      <c r="A3342" s="2" t="s">
        <v>16413</v>
      </c>
    </row>
    <row r="3343">
      <c r="A3343" s="2" t="s">
        <v>14322</v>
      </c>
    </row>
    <row r="3345">
      <c r="A3345" s="2" t="s">
        <v>7462</v>
      </c>
    </row>
    <row r="3346">
      <c r="A3346" s="2" t="s">
        <v>16414</v>
      </c>
    </row>
    <row r="3348">
      <c r="A3348" s="2" t="s">
        <v>16395</v>
      </c>
    </row>
    <row r="3349">
      <c r="A3349" s="2" t="s">
        <v>16415</v>
      </c>
    </row>
    <row r="3350">
      <c r="A3350" s="2" t="s">
        <v>7462</v>
      </c>
    </row>
    <row r="3351">
      <c r="A3351" s="2" t="s">
        <v>16416</v>
      </c>
    </row>
    <row r="3353">
      <c r="A3353" s="2" t="s">
        <v>16417</v>
      </c>
    </row>
    <row r="3355">
      <c r="A3355" s="2" t="s">
        <v>16418</v>
      </c>
    </row>
    <row r="3357">
      <c r="A3357" s="2" t="s">
        <v>16419</v>
      </c>
    </row>
    <row r="3359">
      <c r="A3359" s="2" t="s">
        <v>16395</v>
      </c>
    </row>
    <row r="3360">
      <c r="A3360" s="2" t="s">
        <v>16420</v>
      </c>
    </row>
    <row r="3362">
      <c r="A3362" s="2" t="s">
        <v>7462</v>
      </c>
    </row>
    <row r="3363">
      <c r="A3363" s="2" t="s">
        <v>16421</v>
      </c>
    </row>
    <row r="3365">
      <c r="A3365" s="2" t="s">
        <v>16422</v>
      </c>
    </row>
    <row r="3367">
      <c r="A3367" s="2" t="s">
        <v>16423</v>
      </c>
    </row>
    <row r="3369">
      <c r="A3369" s="2" t="s">
        <v>16424</v>
      </c>
    </row>
    <row r="3371">
      <c r="A3371" s="2" t="s">
        <v>16395</v>
      </c>
    </row>
    <row r="3372">
      <c r="A3372" s="2" t="s">
        <v>16425</v>
      </c>
    </row>
    <row r="3373">
      <c r="A3373" s="2" t="s">
        <v>7462</v>
      </c>
    </row>
    <row r="3374">
      <c r="A3374" s="2" t="s">
        <v>16426</v>
      </c>
    </row>
    <row r="3376">
      <c r="A3376" s="2" t="s">
        <v>16427</v>
      </c>
    </row>
    <row r="3378">
      <c r="A3378" s="2" t="s">
        <v>16428</v>
      </c>
    </row>
    <row r="3380">
      <c r="A3380" s="2" t="s">
        <v>16429</v>
      </c>
    </row>
    <row r="3382">
      <c r="A3382" s="2" t="s">
        <v>16395</v>
      </c>
    </row>
    <row r="3383">
      <c r="A3383" s="2" t="s">
        <v>16430</v>
      </c>
    </row>
    <row r="3384">
      <c r="A3384" s="2" t="s">
        <v>7462</v>
      </c>
    </row>
    <row r="3385">
      <c r="A3385" s="2" t="s">
        <v>16431</v>
      </c>
    </row>
    <row r="3387">
      <c r="A3387" s="2" t="s">
        <v>16432</v>
      </c>
    </row>
    <row r="3389">
      <c r="A3389" s="2" t="s">
        <v>16395</v>
      </c>
    </row>
    <row r="3390">
      <c r="A3390" s="2" t="s">
        <v>16433</v>
      </c>
    </row>
    <row r="3391">
      <c r="A3391" s="2" t="s">
        <v>7462</v>
      </c>
    </row>
    <row r="3392">
      <c r="A3392" s="2" t="s">
        <v>16434</v>
      </c>
    </row>
    <row r="3394">
      <c r="A3394" s="2" t="s">
        <v>16435</v>
      </c>
    </row>
    <row r="3396">
      <c r="A3396" s="2" t="s">
        <v>16436</v>
      </c>
    </row>
    <row r="3398">
      <c r="A3398" s="2" t="s">
        <v>16395</v>
      </c>
    </row>
    <row r="3399">
      <c r="A3399" s="2" t="s">
        <v>16437</v>
      </c>
    </row>
    <row r="3400">
      <c r="A3400" s="2" t="s">
        <v>7462</v>
      </c>
    </row>
    <row r="3401">
      <c r="A3401" s="2" t="s">
        <v>16438</v>
      </c>
    </row>
    <row r="3403">
      <c r="A3403" s="2" t="s">
        <v>16439</v>
      </c>
    </row>
    <row r="3405">
      <c r="A3405" s="2" t="s">
        <v>16440</v>
      </c>
    </row>
    <row r="3406">
      <c r="A3406" s="2" t="s">
        <v>16441</v>
      </c>
    </row>
    <row r="3407">
      <c r="A3407" s="2" t="s">
        <v>7462</v>
      </c>
    </row>
    <row r="3408">
      <c r="A3408" s="2" t="s">
        <v>16442</v>
      </c>
    </row>
    <row r="3410">
      <c r="A3410" s="2" t="s">
        <v>16443</v>
      </c>
    </row>
    <row r="3412">
      <c r="A3412" s="2" t="s">
        <v>16444</v>
      </c>
    </row>
    <row r="3414">
      <c r="A3414" s="2" t="s">
        <v>16445</v>
      </c>
    </row>
    <row r="3416">
      <c r="A3416" s="2" t="s">
        <v>16395</v>
      </c>
    </row>
    <row r="3417">
      <c r="A3417" s="2" t="s">
        <v>16446</v>
      </c>
    </row>
    <row r="3418">
      <c r="A3418" s="2" t="s">
        <v>7462</v>
      </c>
    </row>
    <row r="3419">
      <c r="A3419" s="2" t="s">
        <v>16447</v>
      </c>
    </row>
    <row r="3421">
      <c r="A3421" s="2" t="s">
        <v>16448</v>
      </c>
    </row>
    <row r="3423">
      <c r="A3423" s="2" t="s">
        <v>16449</v>
      </c>
    </row>
    <row r="3425">
      <c r="A3425" s="2" t="s">
        <v>16450</v>
      </c>
    </row>
    <row r="3427">
      <c r="A3427" s="2" t="s">
        <v>16395</v>
      </c>
    </row>
    <row r="3428">
      <c r="A3428" s="2" t="s">
        <v>16451</v>
      </c>
    </row>
    <row r="3429">
      <c r="A3429" s="2" t="s">
        <v>7462</v>
      </c>
    </row>
    <row r="3430">
      <c r="A3430" s="2" t="s">
        <v>16452</v>
      </c>
    </row>
    <row r="3432">
      <c r="A3432" s="2" t="s">
        <v>16453</v>
      </c>
    </row>
    <row r="3434">
      <c r="A3434" s="2" t="s">
        <v>16454</v>
      </c>
    </row>
    <row r="3436">
      <c r="A3436" s="2" t="s">
        <v>16455</v>
      </c>
    </row>
    <row r="3438">
      <c r="A3438" s="2" t="s">
        <v>16395</v>
      </c>
    </row>
    <row r="3439">
      <c r="A3439" s="2" t="s">
        <v>16456</v>
      </c>
    </row>
    <row r="3440">
      <c r="A3440" s="2" t="s">
        <v>7462</v>
      </c>
    </row>
    <row r="3441">
      <c r="A3441" s="2" t="s">
        <v>16457</v>
      </c>
    </row>
    <row r="3443">
      <c r="A3443" s="2" t="s">
        <v>16458</v>
      </c>
    </row>
    <row r="3445">
      <c r="A3445" s="2" t="s">
        <v>16459</v>
      </c>
    </row>
    <row r="3447">
      <c r="A3447" s="2" t="s">
        <v>16460</v>
      </c>
    </row>
    <row r="3449">
      <c r="A3449" s="2" t="s">
        <v>16395</v>
      </c>
    </row>
    <row r="3450">
      <c r="A3450" s="2" t="s">
        <v>16461</v>
      </c>
    </row>
    <row r="3451">
      <c r="A3451" s="2" t="s">
        <v>7462</v>
      </c>
    </row>
    <row r="3452">
      <c r="A3452" s="2" t="s">
        <v>16462</v>
      </c>
    </row>
    <row r="3454">
      <c r="A3454" s="2" t="s">
        <v>16463</v>
      </c>
    </row>
    <row r="3456">
      <c r="A3456" s="2" t="s">
        <v>16464</v>
      </c>
    </row>
    <row r="3458">
      <c r="A3458" s="2" t="s">
        <v>16395</v>
      </c>
    </row>
    <row r="3459">
      <c r="A3459" s="2" t="s">
        <v>16465</v>
      </c>
    </row>
    <row r="3460">
      <c r="A3460" s="2" t="s">
        <v>7462</v>
      </c>
    </row>
    <row r="3461">
      <c r="A3461" s="2" t="s">
        <v>16466</v>
      </c>
    </row>
    <row r="3463">
      <c r="A3463" s="2" t="s">
        <v>16467</v>
      </c>
    </row>
    <row r="3465">
      <c r="A3465" s="2" t="s">
        <v>16468</v>
      </c>
    </row>
    <row r="3467">
      <c r="A3467" s="2" t="s">
        <v>16469</v>
      </c>
    </row>
    <row r="3468">
      <c r="A3468" s="2" t="s">
        <v>16470</v>
      </c>
    </row>
    <row r="3469">
      <c r="A3469" s="2" t="s">
        <v>7462</v>
      </c>
    </row>
    <row r="3470">
      <c r="A3470" s="2" t="s">
        <v>16471</v>
      </c>
    </row>
    <row r="3472">
      <c r="A3472" s="2" t="s">
        <v>16472</v>
      </c>
    </row>
    <row r="3474">
      <c r="A3474" s="2" t="s">
        <v>16473</v>
      </c>
    </row>
    <row r="3476">
      <c r="A3476" s="2" t="s">
        <v>16474</v>
      </c>
    </row>
    <row r="3478">
      <c r="A3478" s="2" t="s">
        <v>16395</v>
      </c>
    </row>
    <row r="3479">
      <c r="A3479" s="2" t="s">
        <v>16475</v>
      </c>
    </row>
    <row r="3480">
      <c r="A3480" s="2" t="s">
        <v>7462</v>
      </c>
    </row>
    <row r="3481">
      <c r="A3481" s="2" t="s">
        <v>16476</v>
      </c>
    </row>
    <row r="3483">
      <c r="A3483" s="2" t="s">
        <v>8078</v>
      </c>
    </row>
    <row r="3484">
      <c r="A3484" s="2" t="s">
        <v>16477</v>
      </c>
    </row>
    <row r="3486">
      <c r="A3486" s="2" t="s">
        <v>7770</v>
      </c>
    </row>
    <row r="3487">
      <c r="A3487" s="2" t="s">
        <v>16478</v>
      </c>
    </row>
    <row r="3489">
      <c r="A3489" s="2" t="s">
        <v>16395</v>
      </c>
    </row>
    <row r="3490">
      <c r="A3490" s="2" t="s">
        <v>16479</v>
      </c>
    </row>
    <row r="3491">
      <c r="A3491" s="2" t="s">
        <v>7462</v>
      </c>
    </row>
    <row r="3492">
      <c r="A3492" s="2" t="s">
        <v>16480</v>
      </c>
    </row>
    <row r="3494">
      <c r="A3494" s="2" t="s">
        <v>7577</v>
      </c>
    </row>
    <row r="3495">
      <c r="A3495" s="2" t="s">
        <v>16481</v>
      </c>
    </row>
    <row r="3497">
      <c r="A3497" s="2" t="s">
        <v>16482</v>
      </c>
    </row>
    <row r="3499">
      <c r="A3499" s="2" t="s">
        <v>16483</v>
      </c>
    </row>
    <row r="3501">
      <c r="A3501" s="2" t="s">
        <v>16395</v>
      </c>
    </row>
    <row r="3502">
      <c r="A3502" s="2" t="s">
        <v>16484</v>
      </c>
    </row>
    <row r="3503">
      <c r="A3503" s="2" t="s">
        <v>7462</v>
      </c>
    </row>
    <row r="3504">
      <c r="A3504" s="2" t="s">
        <v>16485</v>
      </c>
    </row>
    <row r="3506">
      <c r="A3506" s="2" t="s">
        <v>16486</v>
      </c>
    </row>
    <row r="3508">
      <c r="A3508" s="2" t="s">
        <v>16487</v>
      </c>
    </row>
    <row r="3510">
      <c r="A3510" s="2" t="s">
        <v>16395</v>
      </c>
    </row>
    <row r="3511">
      <c r="A3511" s="2" t="s">
        <v>16488</v>
      </c>
    </row>
    <row r="3512">
      <c r="A3512" s="2" t="s">
        <v>7462</v>
      </c>
    </row>
    <row r="3513">
      <c r="A3513" s="2" t="s">
        <v>16489</v>
      </c>
    </row>
    <row r="3515">
      <c r="A3515" s="2" t="s">
        <v>16490</v>
      </c>
    </row>
    <row r="3517">
      <c r="A3517" s="2" t="s">
        <v>16491</v>
      </c>
    </row>
    <row r="3519">
      <c r="A3519" s="2" t="s">
        <v>16395</v>
      </c>
    </row>
    <row r="3520">
      <c r="A3520" s="2" t="s">
        <v>16492</v>
      </c>
    </row>
    <row r="3521">
      <c r="A3521" s="2" t="s">
        <v>7462</v>
      </c>
    </row>
    <row r="3522">
      <c r="A3522" s="2" t="s">
        <v>16493</v>
      </c>
    </row>
    <row r="3524">
      <c r="A3524" s="2" t="s">
        <v>16395</v>
      </c>
    </row>
    <row r="3525">
      <c r="A3525" s="2" t="s">
        <v>16494</v>
      </c>
    </row>
    <row r="3526">
      <c r="A3526" s="2" t="s">
        <v>7462</v>
      </c>
    </row>
    <row r="3527">
      <c r="A3527" s="2" t="s">
        <v>16495</v>
      </c>
    </row>
    <row r="3529">
      <c r="A3529" s="2" t="s">
        <v>16496</v>
      </c>
    </row>
    <row r="3531">
      <c r="A3531" s="2" t="s">
        <v>16497</v>
      </c>
    </row>
    <row r="3533">
      <c r="A3533" s="2" t="s">
        <v>16395</v>
      </c>
    </row>
    <row r="3534">
      <c r="A3534" s="2" t="s">
        <v>16498</v>
      </c>
    </row>
    <row r="3535">
      <c r="A3535" s="2" t="s">
        <v>7462</v>
      </c>
    </row>
    <row r="3536">
      <c r="A3536" s="2" t="s">
        <v>16499</v>
      </c>
    </row>
    <row r="3538">
      <c r="A3538" s="2" t="s">
        <v>16500</v>
      </c>
    </row>
    <row r="3540">
      <c r="A3540" s="2" t="s">
        <v>16501</v>
      </c>
    </row>
    <row r="3542">
      <c r="A3542" s="2" t="s">
        <v>16395</v>
      </c>
    </row>
    <row r="3543">
      <c r="A3543" s="2" t="s">
        <v>16502</v>
      </c>
    </row>
    <row r="3544">
      <c r="A3544" s="2" t="s">
        <v>7462</v>
      </c>
    </row>
    <row r="3545">
      <c r="A3545" s="2" t="s">
        <v>16503</v>
      </c>
    </row>
    <row r="3547">
      <c r="A3547" s="2" t="s">
        <v>16504</v>
      </c>
    </row>
    <row r="3549">
      <c r="A3549" s="2" t="s">
        <v>16505</v>
      </c>
    </row>
    <row r="3551">
      <c r="A3551" s="2" t="s">
        <v>16395</v>
      </c>
    </row>
    <row r="3552">
      <c r="A3552" s="2" t="s">
        <v>16506</v>
      </c>
    </row>
    <row r="3553">
      <c r="A3553" s="2" t="s">
        <v>7462</v>
      </c>
    </row>
    <row r="3554">
      <c r="A3554" s="2" t="s">
        <v>16507</v>
      </c>
    </row>
    <row r="3556">
      <c r="A3556" s="2" t="s">
        <v>16508</v>
      </c>
    </row>
    <row r="3558">
      <c r="A3558" s="2" t="s">
        <v>16509</v>
      </c>
    </row>
    <row r="3560">
      <c r="A3560" s="2" t="s">
        <v>16395</v>
      </c>
    </row>
    <row r="3561">
      <c r="A3561" s="2" t="s">
        <v>16510</v>
      </c>
    </row>
    <row r="3562">
      <c r="A3562" s="2" t="s">
        <v>7462</v>
      </c>
    </row>
    <row r="3563">
      <c r="A3563" s="2" t="s">
        <v>16511</v>
      </c>
    </row>
    <row r="3565">
      <c r="A3565" s="2" t="s">
        <v>16512</v>
      </c>
    </row>
    <row r="3567">
      <c r="A3567" s="2" t="s">
        <v>16513</v>
      </c>
    </row>
    <row r="3569">
      <c r="A3569" s="2" t="s">
        <v>16395</v>
      </c>
    </row>
    <row r="3570">
      <c r="A3570" s="2" t="s">
        <v>16514</v>
      </c>
    </row>
    <row r="3571">
      <c r="A3571" s="2" t="s">
        <v>7462</v>
      </c>
    </row>
    <row r="3572">
      <c r="A3572" s="2" t="s">
        <v>16515</v>
      </c>
    </row>
    <row r="3574">
      <c r="A3574" s="2" t="s">
        <v>16516</v>
      </c>
    </row>
    <row r="3576">
      <c r="A3576" s="2" t="s">
        <v>16517</v>
      </c>
    </row>
    <row r="3578">
      <c r="A3578" s="2" t="s">
        <v>16518</v>
      </c>
    </row>
    <row r="3580">
      <c r="A3580" s="2" t="s">
        <v>16395</v>
      </c>
    </row>
    <row r="3581">
      <c r="A3581" s="2" t="s">
        <v>16519</v>
      </c>
    </row>
    <row r="3582">
      <c r="A3582" s="2" t="s">
        <v>7462</v>
      </c>
    </row>
    <row r="3583">
      <c r="A3583" s="2" t="s">
        <v>16520</v>
      </c>
    </row>
    <row r="3585">
      <c r="A3585" s="2" t="s">
        <v>16521</v>
      </c>
    </row>
    <row r="3587">
      <c r="A3587" s="2" t="s">
        <v>16522</v>
      </c>
    </row>
    <row r="3589">
      <c r="A3589" s="2" t="s">
        <v>16395</v>
      </c>
    </row>
    <row r="3590">
      <c r="A3590" s="2" t="s">
        <v>16523</v>
      </c>
    </row>
    <row r="3591">
      <c r="A3591" s="2" t="s">
        <v>7462</v>
      </c>
    </row>
    <row r="3592">
      <c r="A3592" s="2" t="s">
        <v>16524</v>
      </c>
    </row>
    <row r="3594">
      <c r="A3594" s="2" t="s">
        <v>16525</v>
      </c>
    </row>
    <row r="3596">
      <c r="A3596" s="2" t="s">
        <v>16526</v>
      </c>
    </row>
    <row r="3598">
      <c r="A3598" s="2" t="s">
        <v>16527</v>
      </c>
    </row>
    <row r="3600">
      <c r="A3600" s="2" t="s">
        <v>16395</v>
      </c>
    </row>
    <row r="3601">
      <c r="A3601" s="2" t="s">
        <v>16528</v>
      </c>
    </row>
    <row r="3602">
      <c r="A3602" s="2" t="s">
        <v>7462</v>
      </c>
    </row>
    <row r="3603">
      <c r="A3603" s="2" t="s">
        <v>16529</v>
      </c>
    </row>
    <row r="3605">
      <c r="A3605" s="2" t="s">
        <v>16530</v>
      </c>
    </row>
    <row r="3607">
      <c r="A3607" s="2" t="s">
        <v>16531</v>
      </c>
    </row>
    <row r="3609">
      <c r="A3609" s="2" t="s">
        <v>16532</v>
      </c>
    </row>
    <row r="3611">
      <c r="A3611" s="2" t="s">
        <v>16395</v>
      </c>
    </row>
    <row r="3612">
      <c r="A3612" s="2" t="s">
        <v>16533</v>
      </c>
    </row>
    <row r="3613">
      <c r="A3613" s="2" t="s">
        <v>7462</v>
      </c>
    </row>
    <row r="3614">
      <c r="A3614" s="2" t="s">
        <v>16534</v>
      </c>
    </row>
    <row r="3616">
      <c r="A3616" s="2" t="s">
        <v>16535</v>
      </c>
    </row>
    <row r="3618">
      <c r="A3618" s="2" t="s">
        <v>16536</v>
      </c>
    </row>
    <row r="3620">
      <c r="A3620" s="2" t="s">
        <v>16537</v>
      </c>
    </row>
    <row r="3622">
      <c r="A3622" s="2" t="s">
        <v>16395</v>
      </c>
    </row>
    <row r="3623">
      <c r="A3623" s="2" t="s">
        <v>16538</v>
      </c>
    </row>
    <row r="3624">
      <c r="A3624" s="2" t="s">
        <v>7462</v>
      </c>
    </row>
    <row r="3625">
      <c r="A3625" s="2" t="s">
        <v>16539</v>
      </c>
    </row>
    <row r="3627">
      <c r="A3627" s="2" t="s">
        <v>16540</v>
      </c>
    </row>
    <row r="3629">
      <c r="A3629" s="2" t="s">
        <v>16541</v>
      </c>
    </row>
    <row r="3631">
      <c r="A3631" s="2" t="s">
        <v>16395</v>
      </c>
    </row>
    <row r="3632">
      <c r="A3632" s="2" t="s">
        <v>16542</v>
      </c>
    </row>
    <row r="3633">
      <c r="A3633" s="2" t="s">
        <v>7462</v>
      </c>
    </row>
    <row r="3634">
      <c r="A3634" s="2" t="s">
        <v>16543</v>
      </c>
    </row>
    <row r="3636">
      <c r="A3636" s="2" t="s">
        <v>16544</v>
      </c>
    </row>
    <row r="3638">
      <c r="A3638" s="2" t="s">
        <v>16545</v>
      </c>
    </row>
    <row r="3640">
      <c r="A3640" s="2" t="s">
        <v>16395</v>
      </c>
    </row>
    <row r="3641">
      <c r="A3641" s="2" t="s">
        <v>16546</v>
      </c>
    </row>
    <row r="3642">
      <c r="A3642" s="2" t="s">
        <v>7462</v>
      </c>
    </row>
    <row r="3643">
      <c r="A3643" s="2" t="s">
        <v>16547</v>
      </c>
    </row>
    <row r="3645">
      <c r="A3645" s="2" t="s">
        <v>16548</v>
      </c>
    </row>
    <row r="3647">
      <c r="A3647" s="2" t="s">
        <v>16549</v>
      </c>
    </row>
    <row r="3649">
      <c r="A3649" s="2" t="s">
        <v>16550</v>
      </c>
    </row>
    <row r="3651">
      <c r="A3651" s="2" t="s">
        <v>16395</v>
      </c>
    </row>
    <row r="3652">
      <c r="A3652" s="2" t="s">
        <v>16551</v>
      </c>
    </row>
    <row r="3653">
      <c r="A3653" s="2" t="s">
        <v>16552</v>
      </c>
    </row>
    <row r="3655">
      <c r="A3655" s="2" t="s">
        <v>16553</v>
      </c>
    </row>
    <row r="3657">
      <c r="A3657" s="2" t="s">
        <v>16554</v>
      </c>
    </row>
    <row r="3659">
      <c r="A3659" s="2" t="s">
        <v>16555</v>
      </c>
    </row>
    <row r="3661">
      <c r="A3661" s="2" t="s">
        <v>16556</v>
      </c>
    </row>
    <row r="3663">
      <c r="A3663" s="2" t="s">
        <v>16395</v>
      </c>
    </row>
    <row r="3664">
      <c r="A3664" s="2" t="s">
        <v>16557</v>
      </c>
    </row>
    <row r="3665">
      <c r="A3665" s="2" t="s">
        <v>7462</v>
      </c>
    </row>
    <row r="3666">
      <c r="A3666" s="2" t="s">
        <v>16558</v>
      </c>
    </row>
    <row r="3668">
      <c r="A3668" s="2" t="s">
        <v>16559</v>
      </c>
    </row>
    <row r="3670">
      <c r="A3670" s="2" t="s">
        <v>16560</v>
      </c>
    </row>
    <row r="3672">
      <c r="A3672" s="2" t="s">
        <v>16395</v>
      </c>
    </row>
    <row r="3673">
      <c r="A3673" s="2" t="s">
        <v>16561</v>
      </c>
    </row>
    <row r="3674">
      <c r="A3674" s="2" t="s">
        <v>7462</v>
      </c>
    </row>
    <row r="3675">
      <c r="A3675" s="2" t="s">
        <v>16562</v>
      </c>
    </row>
    <row r="3677">
      <c r="A3677" s="2" t="s">
        <v>16563</v>
      </c>
    </row>
    <row r="3679">
      <c r="A3679" s="2" t="s">
        <v>16564</v>
      </c>
    </row>
    <row r="3681">
      <c r="A3681" s="2" t="s">
        <v>16395</v>
      </c>
    </row>
    <row r="3682">
      <c r="A3682" s="2" t="s">
        <v>16565</v>
      </c>
    </row>
    <row r="3683">
      <c r="A3683" s="2" t="s">
        <v>7462</v>
      </c>
    </row>
    <row r="3685">
      <c r="A3685" s="2" t="s">
        <v>16566</v>
      </c>
    </row>
    <row r="3687">
      <c r="A3687" s="2" t="s">
        <v>7577</v>
      </c>
    </row>
    <row r="3688">
      <c r="A3688" s="2" t="s">
        <v>16567</v>
      </c>
    </row>
    <row r="3690">
      <c r="A3690" s="2" t="s">
        <v>16568</v>
      </c>
    </row>
    <row r="3691">
      <c r="A3691" s="2" t="s">
        <v>16569</v>
      </c>
    </row>
    <row r="3693">
      <c r="A3693" s="2" t="s">
        <v>7579</v>
      </c>
    </row>
    <row r="3694">
      <c r="A3694" s="2" t="s">
        <v>16570</v>
      </c>
    </row>
    <row r="3696">
      <c r="A3696" s="2" t="s">
        <v>16395</v>
      </c>
    </row>
    <row r="3697">
      <c r="A3697" s="2" t="s">
        <v>16571</v>
      </c>
    </row>
    <row r="3698">
      <c r="A3698" s="2" t="s">
        <v>16572</v>
      </c>
    </row>
    <row r="3700">
      <c r="A3700" s="2" t="s">
        <v>16395</v>
      </c>
    </row>
    <row r="3701">
      <c r="A3701" s="2" t="s">
        <v>16573</v>
      </c>
    </row>
    <row r="3702">
      <c r="A3702" s="2" t="s">
        <v>7462</v>
      </c>
    </row>
    <row r="3703">
      <c r="A3703" s="2" t="s">
        <v>16574</v>
      </c>
    </row>
    <row r="3705">
      <c r="A3705" s="2" t="s">
        <v>16575</v>
      </c>
    </row>
    <row r="3707">
      <c r="A3707" s="2" t="s">
        <v>16576</v>
      </c>
    </row>
    <row r="3709">
      <c r="A3709" s="2" t="s">
        <v>16395</v>
      </c>
    </row>
    <row r="3710">
      <c r="A3710" s="2" t="s">
        <v>16577</v>
      </c>
    </row>
    <row r="3711">
      <c r="A3711" s="2" t="s">
        <v>7462</v>
      </c>
    </row>
    <row r="3712">
      <c r="A3712" s="2" t="s">
        <v>16578</v>
      </c>
    </row>
    <row r="3714">
      <c r="A3714" s="2" t="s">
        <v>16579</v>
      </c>
    </row>
    <row r="3716">
      <c r="A3716" s="2" t="s">
        <v>16580</v>
      </c>
    </row>
    <row r="3718">
      <c r="A3718" s="2" t="s">
        <v>16581</v>
      </c>
    </row>
    <row r="3720">
      <c r="A3720" s="2" t="s">
        <v>16395</v>
      </c>
    </row>
    <row r="3721">
      <c r="A3721" s="2" t="s">
        <v>16582</v>
      </c>
    </row>
    <row r="3722">
      <c r="A3722" s="2" t="s">
        <v>7462</v>
      </c>
    </row>
    <row r="3723">
      <c r="A3723" s="2" t="s">
        <v>16583</v>
      </c>
    </row>
    <row r="3725">
      <c r="A3725" s="2" t="s">
        <v>16584</v>
      </c>
    </row>
    <row r="3727">
      <c r="A3727" s="2" t="s">
        <v>16585</v>
      </c>
    </row>
    <row r="3729">
      <c r="A3729" s="2" t="s">
        <v>16395</v>
      </c>
    </row>
    <row r="3730">
      <c r="A3730" s="2" t="s">
        <v>16586</v>
      </c>
    </row>
    <row r="3731">
      <c r="A3731" s="2" t="s">
        <v>7462</v>
      </c>
    </row>
    <row r="3732">
      <c r="A3732" s="2" t="s">
        <v>16587</v>
      </c>
    </row>
    <row r="3734">
      <c r="A3734" s="2" t="s">
        <v>16588</v>
      </c>
    </row>
    <row r="3736">
      <c r="A3736" s="2" t="s">
        <v>16589</v>
      </c>
    </row>
    <row r="3738">
      <c r="A3738" s="2" t="s">
        <v>16590</v>
      </c>
    </row>
    <row r="3740">
      <c r="A3740" s="2" t="s">
        <v>16395</v>
      </c>
    </row>
    <row r="3741">
      <c r="A3741" s="2" t="s">
        <v>16591</v>
      </c>
    </row>
    <row r="3742">
      <c r="A3742" s="2" t="s">
        <v>7462</v>
      </c>
    </row>
    <row r="3743">
      <c r="A3743" s="2" t="s">
        <v>16592</v>
      </c>
    </row>
    <row r="3745">
      <c r="A3745" s="2" t="s">
        <v>16593</v>
      </c>
    </row>
    <row r="3747">
      <c r="A3747" s="2" t="s">
        <v>16594</v>
      </c>
    </row>
    <row r="3749">
      <c r="A3749" s="2" t="s">
        <v>16395</v>
      </c>
    </row>
    <row r="3750">
      <c r="A3750" s="2" t="s">
        <v>16595</v>
      </c>
    </row>
    <row r="3751">
      <c r="A3751" s="2" t="s">
        <v>7462</v>
      </c>
    </row>
    <row r="3752">
      <c r="A3752" s="2" t="s">
        <v>16596</v>
      </c>
    </row>
    <row r="3754">
      <c r="A3754" s="2" t="s">
        <v>16597</v>
      </c>
    </row>
    <row r="3756">
      <c r="A3756" s="2" t="s">
        <v>16598</v>
      </c>
    </row>
    <row r="3758">
      <c r="A3758" s="2" t="s">
        <v>16395</v>
      </c>
    </row>
    <row r="3759">
      <c r="A3759" s="2" t="s">
        <v>16599</v>
      </c>
    </row>
    <row r="3760">
      <c r="A3760" s="2" t="s">
        <v>7462</v>
      </c>
    </row>
    <row r="3761">
      <c r="A3761" s="2" t="s">
        <v>16600</v>
      </c>
    </row>
    <row r="3763">
      <c r="A3763" s="2" t="s">
        <v>16601</v>
      </c>
    </row>
    <row r="3765">
      <c r="A3765" s="2" t="s">
        <v>16602</v>
      </c>
    </row>
    <row r="3767">
      <c r="A3767" s="2" t="s">
        <v>16603</v>
      </c>
    </row>
    <row r="3769">
      <c r="A3769" s="2" t="s">
        <v>16395</v>
      </c>
    </row>
    <row r="3770">
      <c r="A3770" s="2" t="s">
        <v>16604</v>
      </c>
    </row>
    <row r="3771">
      <c r="A3771" s="2" t="s">
        <v>16605</v>
      </c>
    </row>
    <row r="3773">
      <c r="A3773" s="2" t="s">
        <v>16606</v>
      </c>
    </row>
    <row r="3775">
      <c r="A3775" s="2" t="s">
        <v>16607</v>
      </c>
    </row>
    <row r="3777">
      <c r="A3777" s="2" t="s">
        <v>16608</v>
      </c>
    </row>
    <row r="3779">
      <c r="A3779" s="2" t="s">
        <v>16395</v>
      </c>
    </row>
    <row r="3780">
      <c r="A3780" s="2" t="s">
        <v>16609</v>
      </c>
    </row>
    <row r="3781">
      <c r="A3781" s="2" t="s">
        <v>16610</v>
      </c>
    </row>
    <row r="3783">
      <c r="A3783" s="2" t="s">
        <v>16611</v>
      </c>
    </row>
    <row r="3785">
      <c r="A3785" s="2" t="s">
        <v>16612</v>
      </c>
    </row>
    <row r="3786">
      <c r="A3786" s="2" t="s">
        <v>16613</v>
      </c>
    </row>
    <row r="3787">
      <c r="A3787" s="2" t="s">
        <v>7462</v>
      </c>
    </row>
    <row r="3788">
      <c r="A3788" s="2" t="s">
        <v>16614</v>
      </c>
    </row>
    <row r="3790">
      <c r="A3790" s="2" t="s">
        <v>16615</v>
      </c>
    </row>
    <row r="3792">
      <c r="A3792" s="2" t="s">
        <v>16616</v>
      </c>
    </row>
    <row r="3794">
      <c r="A3794" s="2" t="s">
        <v>16617</v>
      </c>
    </row>
    <row r="3796">
      <c r="A3796" s="2" t="s">
        <v>16395</v>
      </c>
    </row>
    <row r="3797">
      <c r="A3797" s="2" t="s">
        <v>16618</v>
      </c>
    </row>
    <row r="3798">
      <c r="A3798" s="2" t="s">
        <v>7462</v>
      </c>
    </row>
    <row r="3799">
      <c r="A3799" s="2" t="s">
        <v>16619</v>
      </c>
    </row>
    <row r="3801">
      <c r="A3801" s="2" t="s">
        <v>16620</v>
      </c>
    </row>
    <row r="3803">
      <c r="A3803" s="2" t="s">
        <v>16621</v>
      </c>
    </row>
    <row r="3805">
      <c r="A3805" s="2" t="s">
        <v>16622</v>
      </c>
    </row>
    <row r="3807">
      <c r="A3807" s="2" t="s">
        <v>16395</v>
      </c>
    </row>
    <row r="3808">
      <c r="A3808" s="2" t="s">
        <v>16623</v>
      </c>
    </row>
    <row r="3809">
      <c r="A3809" s="2" t="s">
        <v>7462</v>
      </c>
    </row>
    <row r="3810">
      <c r="A3810" s="2" t="s">
        <v>16624</v>
      </c>
    </row>
    <row r="3812">
      <c r="A3812" s="2" t="s">
        <v>16625</v>
      </c>
    </row>
    <row r="3814">
      <c r="A3814" s="2" t="s">
        <v>16626</v>
      </c>
    </row>
    <row r="3816">
      <c r="A3816" s="2" t="s">
        <v>16627</v>
      </c>
    </row>
    <row r="3817">
      <c r="A3817" s="2" t="s">
        <v>16628</v>
      </c>
    </row>
    <row r="3818">
      <c r="A3818" s="2" t="s">
        <v>7462</v>
      </c>
    </row>
    <row r="3819">
      <c r="A3819" s="2" t="s">
        <v>16629</v>
      </c>
    </row>
    <row r="3821">
      <c r="A3821" s="2" t="s">
        <v>16630</v>
      </c>
    </row>
    <row r="3823">
      <c r="A3823" s="2" t="s">
        <v>16631</v>
      </c>
    </row>
    <row r="3825">
      <c r="A3825" s="2" t="s">
        <v>16627</v>
      </c>
    </row>
    <row r="3826">
      <c r="A3826" s="2" t="s">
        <v>16632</v>
      </c>
    </row>
    <row r="3827">
      <c r="A3827" s="2" t="s">
        <v>7462</v>
      </c>
    </row>
    <row r="3828">
      <c r="A3828" s="2" t="s">
        <v>16633</v>
      </c>
    </row>
    <row r="3830">
      <c r="A3830" s="2" t="s">
        <v>16634</v>
      </c>
    </row>
    <row r="3832">
      <c r="A3832" s="2" t="s">
        <v>16635</v>
      </c>
    </row>
    <row r="3834">
      <c r="A3834" s="2" t="s">
        <v>16636</v>
      </c>
    </row>
    <row r="3836">
      <c r="A3836" s="2" t="s">
        <v>16627</v>
      </c>
    </row>
    <row r="3837">
      <c r="A3837" s="2" t="s">
        <v>16637</v>
      </c>
    </row>
    <row r="3838">
      <c r="A3838" s="2" t="s">
        <v>7462</v>
      </c>
    </row>
    <row r="3839">
      <c r="A3839" s="2" t="s">
        <v>16638</v>
      </c>
    </row>
    <row r="3841">
      <c r="A3841" s="2" t="s">
        <v>16639</v>
      </c>
    </row>
    <row r="3843">
      <c r="A3843" s="2" t="s">
        <v>16640</v>
      </c>
    </row>
    <row r="3845">
      <c r="A3845" s="2" t="s">
        <v>16641</v>
      </c>
    </row>
    <row r="3847">
      <c r="A3847" s="2" t="s">
        <v>16627</v>
      </c>
    </row>
    <row r="3848">
      <c r="A3848" s="2" t="s">
        <v>16642</v>
      </c>
    </row>
    <row r="3849">
      <c r="A3849" s="2" t="s">
        <v>7462</v>
      </c>
    </row>
    <row r="3850">
      <c r="A3850" s="2" t="s">
        <v>16643</v>
      </c>
    </row>
    <row r="3852">
      <c r="A3852" s="2" t="s">
        <v>16644</v>
      </c>
    </row>
    <row r="3854">
      <c r="A3854" s="2" t="s">
        <v>16645</v>
      </c>
    </row>
    <row r="3856">
      <c r="A3856" s="2" t="s">
        <v>16627</v>
      </c>
    </row>
    <row r="3857">
      <c r="A3857" s="2" t="s">
        <v>16646</v>
      </c>
    </row>
    <row r="3858">
      <c r="A3858" s="2" t="s">
        <v>7462</v>
      </c>
    </row>
    <row r="3859">
      <c r="A3859" s="2" t="s">
        <v>16647</v>
      </c>
    </row>
    <row r="3861">
      <c r="A3861" s="2" t="s">
        <v>16648</v>
      </c>
    </row>
    <row r="3863">
      <c r="A3863" s="2" t="s">
        <v>16649</v>
      </c>
    </row>
    <row r="3865">
      <c r="A3865" s="2" t="s">
        <v>16627</v>
      </c>
    </row>
    <row r="3866">
      <c r="A3866" s="2" t="s">
        <v>16650</v>
      </c>
    </row>
    <row r="3867">
      <c r="A3867" s="2" t="s">
        <v>7462</v>
      </c>
    </row>
    <row r="3868">
      <c r="A3868" s="2" t="s">
        <v>16651</v>
      </c>
    </row>
    <row r="3870">
      <c r="A3870" s="2" t="s">
        <v>16652</v>
      </c>
    </row>
    <row r="3872">
      <c r="A3872" s="2" t="s">
        <v>16653</v>
      </c>
    </row>
    <row r="3874">
      <c r="A3874" s="2" t="s">
        <v>16627</v>
      </c>
    </row>
    <row r="3875">
      <c r="A3875" s="2" t="s">
        <v>16654</v>
      </c>
    </row>
    <row r="3876">
      <c r="A3876" s="2" t="s">
        <v>7462</v>
      </c>
    </row>
    <row r="3877">
      <c r="A3877" s="2" t="s">
        <v>16655</v>
      </c>
    </row>
    <row r="3879">
      <c r="A3879" s="2" t="s">
        <v>16656</v>
      </c>
    </row>
    <row r="3881">
      <c r="A3881" s="2" t="s">
        <v>16657</v>
      </c>
    </row>
    <row r="3883">
      <c r="A3883" s="2" t="s">
        <v>16627</v>
      </c>
    </row>
    <row r="3884">
      <c r="A3884" s="2" t="s">
        <v>16658</v>
      </c>
    </row>
    <row r="3885">
      <c r="A3885" s="2" t="s">
        <v>7462</v>
      </c>
    </row>
    <row r="3886">
      <c r="A3886" s="2" t="s">
        <v>16659</v>
      </c>
    </row>
    <row r="3888">
      <c r="A3888" s="2" t="s">
        <v>16660</v>
      </c>
    </row>
    <row r="3890">
      <c r="A3890" s="2" t="s">
        <v>16661</v>
      </c>
    </row>
    <row r="3892">
      <c r="A3892" s="2" t="s">
        <v>16627</v>
      </c>
    </row>
    <row r="3893">
      <c r="A3893" s="2" t="s">
        <v>16662</v>
      </c>
    </row>
    <row r="3894">
      <c r="A3894" s="2" t="s">
        <v>7462</v>
      </c>
    </row>
    <row r="3895">
      <c r="A3895" s="2" t="s">
        <v>16663</v>
      </c>
    </row>
    <row r="3897">
      <c r="A3897" s="2" t="s">
        <v>16664</v>
      </c>
    </row>
    <row r="3899">
      <c r="A3899" s="2" t="s">
        <v>16665</v>
      </c>
    </row>
    <row r="3901">
      <c r="A3901" s="2" t="s">
        <v>16627</v>
      </c>
    </row>
    <row r="3902">
      <c r="A3902" s="2" t="s">
        <v>16666</v>
      </c>
    </row>
    <row r="3903">
      <c r="A3903" s="2" t="s">
        <v>16667</v>
      </c>
    </row>
    <row r="3905">
      <c r="A3905" s="2" t="s">
        <v>16668</v>
      </c>
    </row>
    <row r="3907">
      <c r="A3907" s="2" t="s">
        <v>16669</v>
      </c>
    </row>
    <row r="3909">
      <c r="A3909" s="2" t="s">
        <v>16627</v>
      </c>
    </row>
    <row r="3910">
      <c r="A3910" s="2" t="s">
        <v>16670</v>
      </c>
    </row>
    <row r="3911">
      <c r="A3911" s="2" t="s">
        <v>7462</v>
      </c>
    </row>
    <row r="3912">
      <c r="A3912" s="2" t="s">
        <v>16671</v>
      </c>
    </row>
    <row r="3914">
      <c r="A3914" s="2" t="s">
        <v>16672</v>
      </c>
    </row>
    <row r="3916">
      <c r="A3916" s="2" t="s">
        <v>16673</v>
      </c>
    </row>
    <row r="3918">
      <c r="A3918" s="2" t="s">
        <v>16627</v>
      </c>
    </row>
    <row r="3919">
      <c r="A3919" s="2" t="s">
        <v>16674</v>
      </c>
    </row>
    <row r="3920">
      <c r="A3920" s="2" t="s">
        <v>7462</v>
      </c>
    </row>
    <row r="3921">
      <c r="A3921" s="2" t="s">
        <v>16675</v>
      </c>
    </row>
    <row r="3923">
      <c r="A3923" s="2" t="s">
        <v>16676</v>
      </c>
    </row>
    <row r="3925">
      <c r="A3925" s="2" t="s">
        <v>16677</v>
      </c>
    </row>
    <row r="3927">
      <c r="A3927" s="2" t="s">
        <v>16627</v>
      </c>
    </row>
    <row r="3928">
      <c r="A3928" s="2" t="s">
        <v>16678</v>
      </c>
    </row>
    <row r="3929">
      <c r="A3929" s="2" t="s">
        <v>7462</v>
      </c>
    </row>
    <row r="3930">
      <c r="A3930" s="2" t="s">
        <v>16679</v>
      </c>
    </row>
    <row r="3932">
      <c r="A3932" s="2" t="s">
        <v>16680</v>
      </c>
    </row>
    <row r="3934">
      <c r="A3934" s="2" t="s">
        <v>16681</v>
      </c>
    </row>
    <row r="3936">
      <c r="A3936" s="2" t="s">
        <v>16682</v>
      </c>
    </row>
    <row r="3938">
      <c r="A3938" s="2" t="s">
        <v>16627</v>
      </c>
    </row>
    <row r="3939">
      <c r="A3939" s="2" t="s">
        <v>16683</v>
      </c>
    </row>
    <row r="3940">
      <c r="A3940" s="2" t="s">
        <v>7462</v>
      </c>
    </row>
    <row r="3941">
      <c r="A3941" s="2" t="s">
        <v>16684</v>
      </c>
    </row>
    <row r="3943">
      <c r="A3943" s="2" t="s">
        <v>16685</v>
      </c>
    </row>
    <row r="3945">
      <c r="A3945" s="2" t="s">
        <v>16686</v>
      </c>
    </row>
    <row r="3947">
      <c r="A3947" s="2" t="s">
        <v>16627</v>
      </c>
    </row>
    <row r="3948">
      <c r="A3948" s="2" t="s">
        <v>16687</v>
      </c>
    </row>
    <row r="3949">
      <c r="A3949" s="2" t="s">
        <v>7462</v>
      </c>
    </row>
    <row r="3950">
      <c r="A3950" s="2" t="s">
        <v>16688</v>
      </c>
    </row>
    <row r="3952">
      <c r="A3952" s="2" t="s">
        <v>16689</v>
      </c>
    </row>
    <row r="3954">
      <c r="A3954" s="2" t="s">
        <v>16690</v>
      </c>
    </row>
    <row r="3956">
      <c r="A3956" s="2" t="s">
        <v>16627</v>
      </c>
    </row>
    <row r="3957">
      <c r="A3957" s="2" t="s">
        <v>16691</v>
      </c>
    </row>
    <row r="3958">
      <c r="A3958" s="2" t="s">
        <v>7462</v>
      </c>
    </row>
    <row r="3959">
      <c r="A3959" s="2" t="s">
        <v>16692</v>
      </c>
    </row>
    <row r="3961">
      <c r="A3961" s="2" t="s">
        <v>16693</v>
      </c>
    </row>
    <row r="3963">
      <c r="A3963" s="2" t="s">
        <v>16694</v>
      </c>
    </row>
    <row r="3965">
      <c r="A3965" s="2" t="s">
        <v>16627</v>
      </c>
    </row>
    <row r="3966">
      <c r="A3966" s="2" t="s">
        <v>16695</v>
      </c>
    </row>
    <row r="3967">
      <c r="A3967" s="2" t="s">
        <v>7462</v>
      </c>
    </row>
    <row r="3968">
      <c r="A3968" s="2" t="s">
        <v>16696</v>
      </c>
    </row>
    <row r="3970">
      <c r="A3970" s="2" t="s">
        <v>16697</v>
      </c>
    </row>
    <row r="3972">
      <c r="A3972" s="2" t="s">
        <v>16698</v>
      </c>
    </row>
    <row r="3974">
      <c r="A3974" s="2" t="s">
        <v>16627</v>
      </c>
    </row>
    <row r="3975">
      <c r="A3975" s="2" t="s">
        <v>16699</v>
      </c>
    </row>
    <row r="3976">
      <c r="A3976" s="2" t="s">
        <v>7462</v>
      </c>
    </row>
    <row r="3977">
      <c r="A3977" s="2" t="s">
        <v>16700</v>
      </c>
    </row>
    <row r="3979">
      <c r="A3979" s="2" t="s">
        <v>16701</v>
      </c>
    </row>
    <row r="3981">
      <c r="A3981" s="2" t="s">
        <v>16702</v>
      </c>
    </row>
    <row r="3983">
      <c r="A3983" s="2" t="s">
        <v>16703</v>
      </c>
    </row>
    <row r="3985">
      <c r="A3985" s="2" t="s">
        <v>16627</v>
      </c>
    </row>
    <row r="3986">
      <c r="A3986" s="2" t="s">
        <v>16704</v>
      </c>
    </row>
    <row r="3987">
      <c r="A3987" s="2" t="s">
        <v>7462</v>
      </c>
    </row>
    <row r="3988">
      <c r="A3988" s="2" t="s">
        <v>16705</v>
      </c>
    </row>
    <row r="3990">
      <c r="A3990" s="2" t="s">
        <v>16706</v>
      </c>
    </row>
    <row r="3992">
      <c r="A3992" s="2" t="s">
        <v>16707</v>
      </c>
    </row>
    <row r="3994">
      <c r="A3994" s="2" t="s">
        <v>16627</v>
      </c>
    </row>
    <row r="3995">
      <c r="A3995" s="2" t="s">
        <v>16708</v>
      </c>
    </row>
    <row r="3996">
      <c r="A3996" s="2" t="s">
        <v>7462</v>
      </c>
    </row>
    <row r="3997">
      <c r="A3997" s="2" t="s">
        <v>16709</v>
      </c>
    </row>
    <row r="3999">
      <c r="A3999" s="2" t="s">
        <v>16710</v>
      </c>
    </row>
    <row r="4001">
      <c r="A4001" s="2" t="s">
        <v>16627</v>
      </c>
    </row>
    <row r="4002">
      <c r="A4002" s="2" t="s">
        <v>16711</v>
      </c>
    </row>
    <row r="4003">
      <c r="A4003" s="2" t="s">
        <v>16712</v>
      </c>
    </row>
    <row r="4005">
      <c r="A4005" s="2" t="s">
        <v>16627</v>
      </c>
    </row>
    <row r="4006">
      <c r="A4006" s="2" t="s">
        <v>16713</v>
      </c>
    </row>
    <row r="4007">
      <c r="A4007" s="2" t="s">
        <v>7462</v>
      </c>
    </row>
    <row r="4008">
      <c r="A4008" s="2" t="s">
        <v>16714</v>
      </c>
    </row>
    <row r="4010">
      <c r="A4010" s="2" t="s">
        <v>16715</v>
      </c>
    </row>
    <row r="4012">
      <c r="A4012" s="2" t="s">
        <v>16716</v>
      </c>
    </row>
    <row r="4014">
      <c r="A4014" s="2" t="s">
        <v>16627</v>
      </c>
    </row>
    <row r="4015">
      <c r="A4015" s="2" t="s">
        <v>16717</v>
      </c>
    </row>
    <row r="4016">
      <c r="A4016" s="2" t="s">
        <v>7462</v>
      </c>
    </row>
    <row r="4017">
      <c r="A4017" s="2" t="s">
        <v>16718</v>
      </c>
    </row>
    <row r="4019">
      <c r="A4019" s="2" t="s">
        <v>16719</v>
      </c>
    </row>
    <row r="4021">
      <c r="A4021" s="2" t="s">
        <v>16720</v>
      </c>
    </row>
    <row r="4023">
      <c r="A4023" s="2" t="s">
        <v>16721</v>
      </c>
    </row>
    <row r="4025">
      <c r="A4025" s="2" t="s">
        <v>16627</v>
      </c>
    </row>
    <row r="4026">
      <c r="A4026" s="2" t="s">
        <v>16722</v>
      </c>
    </row>
    <row r="4027">
      <c r="A4027" s="2" t="s">
        <v>7462</v>
      </c>
    </row>
    <row r="4028">
      <c r="A4028" s="2" t="s">
        <v>16723</v>
      </c>
    </row>
    <row r="4030">
      <c r="A4030" s="2" t="s">
        <v>16724</v>
      </c>
    </row>
    <row r="4032">
      <c r="A4032" s="2" t="s">
        <v>16725</v>
      </c>
    </row>
    <row r="4034">
      <c r="A4034" s="2" t="s">
        <v>16627</v>
      </c>
    </row>
    <row r="4035">
      <c r="A4035" s="2" t="s">
        <v>16726</v>
      </c>
    </row>
    <row r="4036">
      <c r="A4036" s="2" t="s">
        <v>7462</v>
      </c>
    </row>
    <row r="4037">
      <c r="A4037" s="2" t="s">
        <v>16727</v>
      </c>
    </row>
    <row r="4039">
      <c r="A4039" s="2" t="s">
        <v>16728</v>
      </c>
    </row>
    <row r="4041">
      <c r="A4041" s="2" t="s">
        <v>16729</v>
      </c>
    </row>
    <row r="4043">
      <c r="A4043" s="2" t="s">
        <v>16627</v>
      </c>
    </row>
    <row r="4044">
      <c r="A4044" s="2" t="s">
        <v>16730</v>
      </c>
    </row>
    <row r="4045">
      <c r="A4045" s="2" t="s">
        <v>7462</v>
      </c>
    </row>
    <row r="4046">
      <c r="A4046" s="2" t="s">
        <v>16731</v>
      </c>
    </row>
    <row r="4048">
      <c r="A4048" s="2" t="s">
        <v>16732</v>
      </c>
    </row>
    <row r="4050">
      <c r="A4050" s="2" t="s">
        <v>16733</v>
      </c>
    </row>
    <row r="4052">
      <c r="A4052" s="2" t="s">
        <v>16734</v>
      </c>
    </row>
    <row r="4054">
      <c r="A4054" s="2" t="s">
        <v>16627</v>
      </c>
    </row>
    <row r="4055">
      <c r="A4055" s="2" t="s">
        <v>16735</v>
      </c>
    </row>
    <row r="4056">
      <c r="A4056" s="2" t="s">
        <v>7462</v>
      </c>
    </row>
    <row r="4057">
      <c r="A4057" s="2" t="s">
        <v>16736</v>
      </c>
    </row>
    <row r="4059">
      <c r="A4059" s="2" t="s">
        <v>16737</v>
      </c>
    </row>
    <row r="4061">
      <c r="A4061" s="2" t="s">
        <v>16738</v>
      </c>
    </row>
    <row r="4063">
      <c r="A4063" s="2" t="s">
        <v>16627</v>
      </c>
    </row>
    <row r="4064">
      <c r="A4064" s="2" t="s">
        <v>16739</v>
      </c>
    </row>
    <row r="4065">
      <c r="A4065" s="2" t="s">
        <v>7462</v>
      </c>
    </row>
    <row r="4066">
      <c r="A4066" s="2" t="s">
        <v>16740</v>
      </c>
    </row>
    <row r="4068">
      <c r="A4068" s="2" t="s">
        <v>7691</v>
      </c>
    </row>
    <row r="4069">
      <c r="A4069" s="2" t="s">
        <v>16741</v>
      </c>
    </row>
    <row r="4071">
      <c r="A4071" s="2" t="s">
        <v>16627</v>
      </c>
    </row>
    <row r="4072">
      <c r="A4072" s="2" t="s">
        <v>16742</v>
      </c>
    </row>
    <row r="4073">
      <c r="A4073" s="2" t="s">
        <v>7462</v>
      </c>
    </row>
    <row r="4074">
      <c r="A4074" s="2" t="s">
        <v>16743</v>
      </c>
    </row>
    <row r="4076">
      <c r="A4076" s="2" t="s">
        <v>16744</v>
      </c>
    </row>
    <row r="4078">
      <c r="A4078" s="2" t="s">
        <v>16627</v>
      </c>
    </row>
    <row r="4079">
      <c r="A4079" s="2" t="s">
        <v>16745</v>
      </c>
    </row>
    <row r="4080">
      <c r="A4080" s="2" t="s">
        <v>7462</v>
      </c>
    </row>
    <row r="4081">
      <c r="A4081" s="2" t="s">
        <v>16746</v>
      </c>
    </row>
    <row r="4083">
      <c r="A4083" s="2" t="s">
        <v>16747</v>
      </c>
    </row>
    <row r="4085">
      <c r="A4085" s="2" t="s">
        <v>16748</v>
      </c>
    </row>
    <row r="4087">
      <c r="A4087" s="2" t="s">
        <v>16749</v>
      </c>
    </row>
    <row r="4089">
      <c r="A4089" s="2" t="s">
        <v>16627</v>
      </c>
    </row>
    <row r="4090">
      <c r="A4090" s="2" t="s">
        <v>16750</v>
      </c>
    </row>
    <row r="4091">
      <c r="A4091" s="2" t="s">
        <v>7462</v>
      </c>
    </row>
    <row r="4092">
      <c r="A4092" s="2" t="s">
        <v>16751</v>
      </c>
    </row>
    <row r="4094">
      <c r="A4094" s="2" t="s">
        <v>16627</v>
      </c>
    </row>
    <row r="4095">
      <c r="A4095" s="2" t="s">
        <v>16752</v>
      </c>
    </row>
    <row r="4096">
      <c r="A4096" s="2" t="s">
        <v>7462</v>
      </c>
    </row>
    <row r="4097">
      <c r="A4097" s="2" t="s">
        <v>16753</v>
      </c>
    </row>
    <row r="4099">
      <c r="A4099" s="2" t="s">
        <v>16754</v>
      </c>
    </row>
    <row r="4101">
      <c r="A4101" s="2" t="s">
        <v>16755</v>
      </c>
    </row>
    <row r="4102">
      <c r="A4102" s="2" t="s">
        <v>16756</v>
      </c>
    </row>
    <row r="4103">
      <c r="A4103" s="2" t="s">
        <v>7462</v>
      </c>
    </row>
    <row r="4104">
      <c r="A4104" s="2" t="s">
        <v>16757</v>
      </c>
    </row>
    <row r="4106">
      <c r="A4106" s="2" t="s">
        <v>16758</v>
      </c>
    </row>
    <row r="4108">
      <c r="A4108" s="2" t="s">
        <v>16627</v>
      </c>
    </row>
    <row r="4109">
      <c r="A4109" s="2" t="s">
        <v>16759</v>
      </c>
    </row>
    <row r="4110">
      <c r="A4110" s="2" t="s">
        <v>7462</v>
      </c>
    </row>
    <row r="4111">
      <c r="A4111" s="2" t="s">
        <v>16760</v>
      </c>
    </row>
    <row r="4113">
      <c r="A4113" s="2" t="s">
        <v>16761</v>
      </c>
    </row>
    <row r="4115">
      <c r="A4115" s="2" t="s">
        <v>16762</v>
      </c>
    </row>
    <row r="4117">
      <c r="A4117" s="2" t="s">
        <v>16627</v>
      </c>
    </row>
    <row r="4118">
      <c r="A4118" s="2" t="s">
        <v>16763</v>
      </c>
    </row>
    <row r="4119">
      <c r="A4119" s="2" t="s">
        <v>7462</v>
      </c>
    </row>
    <row r="4120">
      <c r="A4120" s="2" t="s">
        <v>16764</v>
      </c>
    </row>
    <row r="4122">
      <c r="A4122" s="2" t="s">
        <v>16765</v>
      </c>
    </row>
    <row r="4124">
      <c r="A4124" s="2" t="s">
        <v>16627</v>
      </c>
    </row>
    <row r="4125">
      <c r="A4125" s="2" t="s">
        <v>16766</v>
      </c>
    </row>
    <row r="4126">
      <c r="A4126" s="2" t="s">
        <v>7462</v>
      </c>
    </row>
    <row r="4127">
      <c r="A4127" s="2" t="s">
        <v>16767</v>
      </c>
    </row>
    <row r="4129">
      <c r="A4129" s="2" t="s">
        <v>16768</v>
      </c>
    </row>
    <row r="4131">
      <c r="A4131" s="2" t="s">
        <v>16769</v>
      </c>
    </row>
    <row r="4133">
      <c r="A4133" s="2" t="s">
        <v>16770</v>
      </c>
    </row>
    <row r="4135">
      <c r="A4135" s="2" t="s">
        <v>16627</v>
      </c>
    </row>
    <row r="4136">
      <c r="A4136" s="2" t="s">
        <v>16771</v>
      </c>
    </row>
    <row r="4137">
      <c r="A4137" s="2" t="s">
        <v>7462</v>
      </c>
    </row>
    <row r="4138">
      <c r="A4138" s="2" t="s">
        <v>16772</v>
      </c>
    </row>
    <row r="4140">
      <c r="A4140" s="2" t="s">
        <v>16773</v>
      </c>
    </row>
    <row r="4142">
      <c r="A4142" s="2" t="s">
        <v>16774</v>
      </c>
    </row>
    <row r="4144">
      <c r="A4144" s="2" t="s">
        <v>16775</v>
      </c>
    </row>
    <row r="4146">
      <c r="A4146" s="2" t="s">
        <v>16627</v>
      </c>
    </row>
    <row r="4147">
      <c r="A4147" s="2" t="s">
        <v>16776</v>
      </c>
    </row>
    <row r="4148">
      <c r="A4148" s="2" t="s">
        <v>7462</v>
      </c>
    </row>
    <row r="4150">
      <c r="A4150" s="2" t="s">
        <v>16777</v>
      </c>
    </row>
    <row r="4152">
      <c r="A4152" s="2" t="s">
        <v>16778</v>
      </c>
    </row>
    <row r="4154">
      <c r="A4154" s="2" t="s">
        <v>16779</v>
      </c>
    </row>
    <row r="4156">
      <c r="A4156" s="2" t="s">
        <v>16780</v>
      </c>
    </row>
    <row r="4158">
      <c r="A4158" s="2" t="s">
        <v>16627</v>
      </c>
    </row>
    <row r="4159">
      <c r="A4159" s="2" t="s">
        <v>16781</v>
      </c>
    </row>
    <row r="4160">
      <c r="A4160" s="2" t="s">
        <v>7462</v>
      </c>
    </row>
    <row r="4161">
      <c r="A4161" s="2" t="s">
        <v>16782</v>
      </c>
    </row>
    <row r="4163">
      <c r="A4163" s="2" t="s">
        <v>16783</v>
      </c>
    </row>
    <row r="4165">
      <c r="A4165" s="2" t="s">
        <v>16784</v>
      </c>
    </row>
    <row r="4167">
      <c r="A4167" s="2" t="s">
        <v>16785</v>
      </c>
    </row>
    <row r="4169">
      <c r="A4169" s="2" t="s">
        <v>16627</v>
      </c>
    </row>
    <row r="4170">
      <c r="A4170" s="2" t="s">
        <v>16786</v>
      </c>
    </row>
    <row r="4171">
      <c r="A4171" s="2" t="s">
        <v>7462</v>
      </c>
    </row>
    <row r="4172">
      <c r="A4172" s="2" t="s">
        <v>16787</v>
      </c>
    </row>
    <row r="4174">
      <c r="A4174" s="2" t="s">
        <v>16627</v>
      </c>
    </row>
    <row r="4175">
      <c r="A4175" s="2" t="s">
        <v>16788</v>
      </c>
    </row>
    <row r="4176">
      <c r="A4176" s="2" t="s">
        <v>7462</v>
      </c>
    </row>
    <row r="4177">
      <c r="A4177" s="2" t="s">
        <v>16789</v>
      </c>
    </row>
    <row r="4179">
      <c r="A4179" s="2" t="s">
        <v>16790</v>
      </c>
    </row>
    <row r="4181">
      <c r="A4181" s="2" t="s">
        <v>16791</v>
      </c>
    </row>
    <row r="4183">
      <c r="A4183" s="2" t="s">
        <v>16627</v>
      </c>
    </row>
    <row r="4184">
      <c r="A4184" s="2" t="s">
        <v>16792</v>
      </c>
    </row>
    <row r="4185">
      <c r="A4185" s="2" t="s">
        <v>7462</v>
      </c>
    </row>
    <row r="4186">
      <c r="A4186" s="2" t="s">
        <v>16793</v>
      </c>
    </row>
    <row r="4188">
      <c r="A4188" s="2" t="s">
        <v>16794</v>
      </c>
    </row>
    <row r="4190">
      <c r="A4190" s="2" t="s">
        <v>16795</v>
      </c>
    </row>
    <row r="4192">
      <c r="A4192" s="2" t="s">
        <v>16796</v>
      </c>
    </row>
    <row r="4194">
      <c r="A4194" s="2" t="s">
        <v>16627</v>
      </c>
    </row>
    <row r="4195">
      <c r="A4195" s="2" t="s">
        <v>16797</v>
      </c>
    </row>
    <row r="4196">
      <c r="A4196" s="2" t="s">
        <v>7462</v>
      </c>
    </row>
    <row r="4197">
      <c r="A4197" s="2" t="s">
        <v>16798</v>
      </c>
    </row>
    <row r="4199">
      <c r="A4199" s="2" t="s">
        <v>16799</v>
      </c>
    </row>
    <row r="4201">
      <c r="A4201" s="2" t="s">
        <v>16800</v>
      </c>
    </row>
    <row r="4203">
      <c r="A4203" s="2" t="s">
        <v>16627</v>
      </c>
    </row>
    <row r="4204">
      <c r="A4204" s="2" t="s">
        <v>16801</v>
      </c>
    </row>
    <row r="4205">
      <c r="A4205" s="2" t="s">
        <v>7462</v>
      </c>
    </row>
    <row r="4206">
      <c r="A4206" s="2" t="s">
        <v>16802</v>
      </c>
    </row>
    <row r="4208">
      <c r="A4208" s="2" t="s">
        <v>16803</v>
      </c>
    </row>
    <row r="4210">
      <c r="A4210" s="2" t="s">
        <v>16627</v>
      </c>
    </row>
    <row r="4211">
      <c r="A4211" s="2" t="s">
        <v>16804</v>
      </c>
    </row>
    <row r="4212">
      <c r="A4212" s="2" t="s">
        <v>7462</v>
      </c>
    </row>
    <row r="4213">
      <c r="A4213" s="2" t="s">
        <v>16805</v>
      </c>
    </row>
    <row r="4215">
      <c r="A4215" s="2" t="s">
        <v>16806</v>
      </c>
    </row>
    <row r="4217">
      <c r="A4217" s="2" t="s">
        <v>16807</v>
      </c>
    </row>
    <row r="4219">
      <c r="A4219" s="2" t="s">
        <v>16808</v>
      </c>
    </row>
    <row r="4221">
      <c r="A4221" s="2" t="s">
        <v>16627</v>
      </c>
    </row>
    <row r="4222">
      <c r="A4222" s="2" t="s">
        <v>16809</v>
      </c>
    </row>
    <row r="4223">
      <c r="A4223" s="2" t="s">
        <v>7462</v>
      </c>
    </row>
    <row r="4224">
      <c r="A4224" s="2" t="s">
        <v>16810</v>
      </c>
    </row>
    <row r="4226">
      <c r="A4226" s="2" t="s">
        <v>16811</v>
      </c>
    </row>
    <row r="4228">
      <c r="A4228" s="2" t="s">
        <v>16812</v>
      </c>
    </row>
    <row r="4230">
      <c r="A4230" s="2" t="s">
        <v>16627</v>
      </c>
    </row>
    <row r="4231">
      <c r="A4231" s="2" t="s">
        <v>16813</v>
      </c>
    </row>
    <row r="4232">
      <c r="A4232" s="2" t="s">
        <v>7462</v>
      </c>
    </row>
    <row r="4233">
      <c r="A4233" s="2" t="s">
        <v>16814</v>
      </c>
    </row>
    <row r="4235">
      <c r="A4235" s="2" t="s">
        <v>16815</v>
      </c>
    </row>
    <row r="4237">
      <c r="A4237" s="2" t="s">
        <v>16627</v>
      </c>
    </row>
    <row r="4238">
      <c r="A4238" s="2" t="s">
        <v>16816</v>
      </c>
    </row>
    <row r="4239">
      <c r="A4239" s="2" t="s">
        <v>7462</v>
      </c>
    </row>
    <row r="4240">
      <c r="A4240" s="2" t="s">
        <v>16817</v>
      </c>
    </row>
    <row r="4242">
      <c r="A4242" s="2" t="s">
        <v>16818</v>
      </c>
    </row>
    <row r="4244">
      <c r="A4244" s="2" t="s">
        <v>16819</v>
      </c>
    </row>
    <row r="4246">
      <c r="A4246" s="2" t="s">
        <v>16820</v>
      </c>
    </row>
    <row r="4248">
      <c r="A4248" s="2" t="s">
        <v>16627</v>
      </c>
    </row>
    <row r="4249">
      <c r="A4249" s="2" t="s">
        <v>16821</v>
      </c>
    </row>
    <row r="4251">
      <c r="A4251" s="2" t="s">
        <v>7462</v>
      </c>
    </row>
    <row r="4252">
      <c r="A4252" s="2" t="s">
        <v>16822</v>
      </c>
    </row>
    <row r="4254">
      <c r="A4254" s="2" t="s">
        <v>16823</v>
      </c>
    </row>
    <row r="4256">
      <c r="A4256" s="2" t="s">
        <v>16824</v>
      </c>
    </row>
    <row r="4258">
      <c r="A4258" s="2" t="s">
        <v>16825</v>
      </c>
    </row>
    <row r="4260">
      <c r="A4260" s="2" t="s">
        <v>16627</v>
      </c>
    </row>
    <row r="4261">
      <c r="A4261" s="2" t="s">
        <v>16826</v>
      </c>
    </row>
    <row r="4262">
      <c r="A4262" s="2" t="s">
        <v>7462</v>
      </c>
    </row>
    <row r="4263">
      <c r="A4263" s="2" t="s">
        <v>16827</v>
      </c>
    </row>
    <row r="4265">
      <c r="A4265" s="2" t="s">
        <v>16828</v>
      </c>
    </row>
    <row r="4267">
      <c r="A4267" s="2" t="s">
        <v>16627</v>
      </c>
    </row>
    <row r="4268">
      <c r="A4268" s="2" t="s">
        <v>16829</v>
      </c>
    </row>
    <row r="4269">
      <c r="A4269" s="2" t="s">
        <v>7462</v>
      </c>
    </row>
    <row r="4270">
      <c r="A4270" s="2" t="s">
        <v>16830</v>
      </c>
    </row>
    <row r="4272">
      <c r="A4272" s="2" t="s">
        <v>16831</v>
      </c>
    </row>
    <row r="4274">
      <c r="A4274" s="2" t="s">
        <v>16832</v>
      </c>
    </row>
    <row r="4276">
      <c r="A4276" s="2" t="s">
        <v>16627</v>
      </c>
    </row>
    <row r="4277">
      <c r="A4277" s="2" t="s">
        <v>16833</v>
      </c>
    </row>
    <row r="4278">
      <c r="A4278" s="2" t="s">
        <v>7462</v>
      </c>
    </row>
    <row r="4279">
      <c r="A4279" s="2" t="s">
        <v>16834</v>
      </c>
    </row>
    <row r="4281">
      <c r="A4281" s="2" t="s">
        <v>16835</v>
      </c>
    </row>
    <row r="4283">
      <c r="A4283" s="2" t="s">
        <v>16836</v>
      </c>
    </row>
    <row r="4285">
      <c r="A4285" s="2" t="s">
        <v>16627</v>
      </c>
    </row>
    <row r="4286">
      <c r="A4286" s="2" t="s">
        <v>16837</v>
      </c>
    </row>
    <row r="4287">
      <c r="A4287" s="2" t="s">
        <v>7462</v>
      </c>
    </row>
    <row r="4288">
      <c r="A4288" s="2" t="s">
        <v>16838</v>
      </c>
    </row>
    <row r="4290">
      <c r="A4290" s="2" t="s">
        <v>16839</v>
      </c>
    </row>
    <row r="4292">
      <c r="A4292" s="2" t="s">
        <v>16840</v>
      </c>
    </row>
    <row r="4294">
      <c r="A4294" s="2" t="s">
        <v>16627</v>
      </c>
    </row>
    <row r="4295">
      <c r="A4295" s="2" t="s">
        <v>16841</v>
      </c>
    </row>
    <row r="4296">
      <c r="A4296" s="2" t="s">
        <v>7462</v>
      </c>
    </row>
    <row r="4297">
      <c r="A4297" s="2" t="s">
        <v>16842</v>
      </c>
    </row>
    <row r="4299">
      <c r="A4299" s="2" t="s">
        <v>16843</v>
      </c>
    </row>
    <row r="4301">
      <c r="A4301" s="2" t="s">
        <v>16844</v>
      </c>
    </row>
    <row r="4303">
      <c r="A4303" s="2" t="s">
        <v>16845</v>
      </c>
    </row>
    <row r="4305">
      <c r="A4305" s="2" t="s">
        <v>16627</v>
      </c>
    </row>
    <row r="4306">
      <c r="A4306" s="2" t="s">
        <v>16846</v>
      </c>
    </row>
    <row r="4307">
      <c r="A4307" s="2" t="s">
        <v>7462</v>
      </c>
    </row>
    <row r="4308">
      <c r="A4308" s="2" t="s">
        <v>16847</v>
      </c>
    </row>
    <row r="4310">
      <c r="A4310" s="2" t="s">
        <v>16848</v>
      </c>
    </row>
    <row r="4312">
      <c r="A4312" s="2" t="s">
        <v>16627</v>
      </c>
    </row>
    <row r="4313">
      <c r="A4313" s="2" t="s">
        <v>16849</v>
      </c>
    </row>
    <row r="4314">
      <c r="A4314" s="2" t="s">
        <v>7462</v>
      </c>
    </row>
    <row r="4315">
      <c r="A4315" s="2" t="s">
        <v>16850</v>
      </c>
    </row>
    <row r="4317">
      <c r="A4317" s="2" t="s">
        <v>16851</v>
      </c>
    </row>
    <row r="4319">
      <c r="A4319" s="2" t="s">
        <v>16627</v>
      </c>
    </row>
    <row r="4320">
      <c r="A4320" s="2" t="s">
        <v>16852</v>
      </c>
    </row>
    <row r="4321">
      <c r="A4321" s="2" t="s">
        <v>7462</v>
      </c>
    </row>
    <row r="4322">
      <c r="A4322" s="2" t="s">
        <v>16853</v>
      </c>
    </row>
    <row r="4324">
      <c r="A4324" s="2" t="s">
        <v>16854</v>
      </c>
    </row>
    <row r="4326">
      <c r="A4326" s="2" t="s">
        <v>16855</v>
      </c>
    </row>
    <row r="4328">
      <c r="A4328" s="2" t="s">
        <v>16627</v>
      </c>
    </row>
    <row r="4329">
      <c r="A4329" s="2" t="s">
        <v>16856</v>
      </c>
    </row>
    <row r="4330">
      <c r="A4330" s="2" t="s">
        <v>7462</v>
      </c>
    </row>
    <row r="4331">
      <c r="A4331" s="2" t="s">
        <v>16857</v>
      </c>
    </row>
    <row r="4333">
      <c r="A4333" s="2" t="s">
        <v>16858</v>
      </c>
    </row>
    <row r="4335">
      <c r="A4335" s="2" t="s">
        <v>16859</v>
      </c>
    </row>
    <row r="4337">
      <c r="A4337" s="2" t="s">
        <v>16627</v>
      </c>
    </row>
    <row r="4338">
      <c r="A4338" s="2" t="s">
        <v>16860</v>
      </c>
    </row>
    <row r="4339">
      <c r="A4339" s="2" t="s">
        <v>7462</v>
      </c>
    </row>
    <row r="4340">
      <c r="A4340" s="2" t="s">
        <v>16861</v>
      </c>
    </row>
    <row r="4342">
      <c r="A4342" s="2" t="s">
        <v>16862</v>
      </c>
    </row>
    <row r="4344">
      <c r="A4344" s="2" t="s">
        <v>16863</v>
      </c>
    </row>
    <row r="4346">
      <c r="A4346" s="2" t="s">
        <v>16627</v>
      </c>
    </row>
    <row r="4347">
      <c r="A4347" s="2" t="s">
        <v>16864</v>
      </c>
    </row>
    <row r="4348">
      <c r="A4348" s="2" t="s">
        <v>7462</v>
      </c>
    </row>
    <row r="4349">
      <c r="A4349" s="2" t="s">
        <v>16865</v>
      </c>
    </row>
    <row r="4351">
      <c r="A4351" s="2" t="s">
        <v>16866</v>
      </c>
    </row>
    <row r="4353">
      <c r="A4353" s="2" t="s">
        <v>16867</v>
      </c>
    </row>
    <row r="4355">
      <c r="A4355" s="2" t="s">
        <v>16627</v>
      </c>
    </row>
    <row r="4356">
      <c r="A4356" s="2" t="s">
        <v>16868</v>
      </c>
    </row>
    <row r="4357">
      <c r="A4357" s="2" t="s">
        <v>7462</v>
      </c>
    </row>
    <row r="4358">
      <c r="A4358" s="2" t="s">
        <v>16869</v>
      </c>
    </row>
    <row r="4360">
      <c r="A4360" s="2" t="s">
        <v>16870</v>
      </c>
    </row>
    <row r="4362">
      <c r="A4362" s="2" t="s">
        <v>16871</v>
      </c>
    </row>
    <row r="4364">
      <c r="A4364" s="2" t="s">
        <v>16872</v>
      </c>
    </row>
    <row r="4366">
      <c r="A4366" s="2" t="s">
        <v>16627</v>
      </c>
    </row>
    <row r="4367">
      <c r="A4367" s="2" t="s">
        <v>16873</v>
      </c>
    </row>
    <row r="4368">
      <c r="A4368" s="2" t="s">
        <v>7462</v>
      </c>
    </row>
    <row r="4369">
      <c r="A4369" s="2" t="s">
        <v>16874</v>
      </c>
    </row>
    <row r="4371">
      <c r="A4371" s="2" t="s">
        <v>16875</v>
      </c>
    </row>
    <row r="4373">
      <c r="A4373" s="2" t="s">
        <v>16627</v>
      </c>
    </row>
    <row r="4374">
      <c r="A4374" s="2" t="s">
        <v>16876</v>
      </c>
    </row>
    <row r="4375">
      <c r="A4375" s="2" t="s">
        <v>7462</v>
      </c>
    </row>
    <row r="4376">
      <c r="A4376" s="2" t="s">
        <v>16877</v>
      </c>
    </row>
    <row r="4378">
      <c r="A4378" s="2" t="s">
        <v>16878</v>
      </c>
    </row>
    <row r="4380">
      <c r="A4380" s="2" t="s">
        <v>16879</v>
      </c>
    </row>
    <row r="4382">
      <c r="A4382" s="2" t="s">
        <v>16880</v>
      </c>
    </row>
    <row r="4384">
      <c r="A4384" s="2" t="s">
        <v>16627</v>
      </c>
    </row>
    <row r="4385">
      <c r="A4385" s="2" t="s">
        <v>16881</v>
      </c>
    </row>
    <row r="4386">
      <c r="A4386" s="2" t="s">
        <v>7462</v>
      </c>
    </row>
    <row r="4387">
      <c r="A4387" s="2" t="s">
        <v>16882</v>
      </c>
    </row>
    <row r="4389">
      <c r="A4389" s="2" t="s">
        <v>16883</v>
      </c>
    </row>
    <row r="4391">
      <c r="A4391" s="2" t="s">
        <v>16884</v>
      </c>
    </row>
    <row r="4393">
      <c r="A4393" s="2" t="s">
        <v>16885</v>
      </c>
    </row>
    <row r="4395">
      <c r="A4395" s="2" t="s">
        <v>16627</v>
      </c>
    </row>
    <row r="4396">
      <c r="A4396" s="2" t="s">
        <v>16886</v>
      </c>
    </row>
    <row r="4397">
      <c r="A4397" s="2" t="s">
        <v>7462</v>
      </c>
    </row>
    <row r="4398">
      <c r="A4398" s="2" t="s">
        <v>16887</v>
      </c>
    </row>
    <row r="4400">
      <c r="A4400" s="2" t="s">
        <v>16888</v>
      </c>
    </row>
    <row r="4402">
      <c r="A4402" s="2" t="s">
        <v>16889</v>
      </c>
    </row>
    <row r="4404">
      <c r="A4404" s="2" t="s">
        <v>16627</v>
      </c>
    </row>
    <row r="4405">
      <c r="A4405" s="2" t="s">
        <v>16890</v>
      </c>
    </row>
    <row r="4406">
      <c r="A4406" s="2" t="s">
        <v>7462</v>
      </c>
    </row>
    <row r="4407">
      <c r="A4407" s="2" t="s">
        <v>16891</v>
      </c>
    </row>
    <row r="4409">
      <c r="A4409" s="2" t="s">
        <v>16892</v>
      </c>
    </row>
    <row r="4411">
      <c r="A4411" s="2" t="s">
        <v>16893</v>
      </c>
    </row>
    <row r="4413">
      <c r="A4413" s="2" t="s">
        <v>16894</v>
      </c>
    </row>
    <row r="4415">
      <c r="A4415" s="2" t="s">
        <v>16627</v>
      </c>
    </row>
    <row r="4416">
      <c r="A4416" s="2" t="s">
        <v>16895</v>
      </c>
    </row>
    <row r="4417">
      <c r="A4417" s="2" t="s">
        <v>7462</v>
      </c>
    </row>
    <row r="4418">
      <c r="A4418" s="2" t="s">
        <v>16896</v>
      </c>
    </row>
    <row r="4420">
      <c r="A4420" s="2" t="s">
        <v>16897</v>
      </c>
    </row>
    <row r="4422">
      <c r="A4422" s="2" t="s">
        <v>16898</v>
      </c>
    </row>
    <row r="4424">
      <c r="A4424" s="2" t="s">
        <v>16899</v>
      </c>
    </row>
    <row r="4426">
      <c r="A4426" s="2" t="s">
        <v>16627</v>
      </c>
    </row>
    <row r="4427">
      <c r="A4427" s="2" t="s">
        <v>16900</v>
      </c>
    </row>
    <row r="4428">
      <c r="A4428" s="2" t="s">
        <v>7462</v>
      </c>
    </row>
    <row r="4429">
      <c r="A4429" s="2" t="s">
        <v>16901</v>
      </c>
    </row>
    <row r="4431">
      <c r="A4431" s="2" t="s">
        <v>16902</v>
      </c>
    </row>
    <row r="4433">
      <c r="A4433" s="2" t="s">
        <v>16903</v>
      </c>
    </row>
    <row r="4435">
      <c r="A4435" s="2" t="s">
        <v>16904</v>
      </c>
    </row>
    <row r="4437">
      <c r="A4437" s="2" t="s">
        <v>16627</v>
      </c>
    </row>
    <row r="4438">
      <c r="A4438" s="2" t="s">
        <v>16905</v>
      </c>
    </row>
    <row r="4439">
      <c r="A4439" s="2" t="s">
        <v>7462</v>
      </c>
    </row>
    <row r="4440">
      <c r="A4440" s="2" t="s">
        <v>16906</v>
      </c>
    </row>
    <row r="4442">
      <c r="A4442" s="2" t="s">
        <v>16907</v>
      </c>
    </row>
    <row r="4444">
      <c r="A4444" s="2" t="s">
        <v>16908</v>
      </c>
    </row>
    <row r="4445">
      <c r="A4445" s="2" t="s">
        <v>16909</v>
      </c>
    </row>
    <row r="4446">
      <c r="A4446" s="2" t="s">
        <v>7462</v>
      </c>
    </row>
    <row r="4447">
      <c r="A4447" s="2" t="s">
        <v>16910</v>
      </c>
    </row>
    <row r="4449">
      <c r="A4449" s="2" t="s">
        <v>16911</v>
      </c>
    </row>
    <row r="4451">
      <c r="A4451" s="2" t="s">
        <v>16912</v>
      </c>
    </row>
    <row r="4453">
      <c r="A4453" s="2" t="s">
        <v>16627</v>
      </c>
    </row>
    <row r="4454">
      <c r="A4454" s="2" t="s">
        <v>16913</v>
      </c>
    </row>
    <row r="4455">
      <c r="A4455" s="2" t="s">
        <v>7462</v>
      </c>
    </row>
    <row r="4456">
      <c r="A4456" s="2" t="s">
        <v>16914</v>
      </c>
    </row>
    <row r="4458">
      <c r="A4458" s="2" t="s">
        <v>16915</v>
      </c>
    </row>
    <row r="4460">
      <c r="A4460" s="2" t="s">
        <v>16916</v>
      </c>
    </row>
    <row r="4461">
      <c r="A4461" s="2" t="s">
        <v>16917</v>
      </c>
    </row>
    <row r="4462">
      <c r="A4462" s="2" t="s">
        <v>7462</v>
      </c>
    </row>
    <row r="4463">
      <c r="A4463" s="2" t="s">
        <v>16918</v>
      </c>
    </row>
    <row r="4465">
      <c r="A4465" s="2" t="s">
        <v>16919</v>
      </c>
    </row>
    <row r="4467">
      <c r="A4467" s="2" t="s">
        <v>16920</v>
      </c>
    </row>
    <row r="4469">
      <c r="A4469" s="2" t="s">
        <v>16921</v>
      </c>
    </row>
    <row r="4471">
      <c r="A4471" s="2" t="s">
        <v>16627</v>
      </c>
    </row>
    <row r="4472">
      <c r="A4472" s="2" t="s">
        <v>16922</v>
      </c>
    </row>
    <row r="4473">
      <c r="A4473" s="2" t="s">
        <v>7462</v>
      </c>
    </row>
    <row r="4474">
      <c r="A4474" s="2" t="s">
        <v>16923</v>
      </c>
    </row>
    <row r="4476">
      <c r="A4476" s="2" t="s">
        <v>16924</v>
      </c>
    </row>
    <row r="4478">
      <c r="A4478" s="2" t="s">
        <v>16627</v>
      </c>
    </row>
    <row r="4479">
      <c r="A4479" s="2" t="s">
        <v>16925</v>
      </c>
    </row>
    <row r="4480">
      <c r="A4480" s="2" t="s">
        <v>7462</v>
      </c>
    </row>
    <row r="4481">
      <c r="A4481" s="2" t="s">
        <v>16926</v>
      </c>
    </row>
    <row r="4483">
      <c r="A4483" s="2" t="s">
        <v>16927</v>
      </c>
    </row>
    <row r="4485">
      <c r="A4485" s="2" t="s">
        <v>16627</v>
      </c>
    </row>
    <row r="4486">
      <c r="A4486" s="2" t="s">
        <v>16928</v>
      </c>
    </row>
    <row r="4487">
      <c r="A4487" s="2" t="s">
        <v>7462</v>
      </c>
    </row>
    <row r="4488">
      <c r="A4488" s="2" t="s">
        <v>16929</v>
      </c>
    </row>
    <row r="4490">
      <c r="A4490" s="2" t="s">
        <v>16930</v>
      </c>
    </row>
    <row r="4492">
      <c r="A4492" s="2" t="s">
        <v>16931</v>
      </c>
    </row>
    <row r="4494">
      <c r="A4494" s="2" t="s">
        <v>16932</v>
      </c>
    </row>
    <row r="4496">
      <c r="A4496" s="2" t="s">
        <v>16627</v>
      </c>
    </row>
    <row r="4497">
      <c r="A4497" s="2" t="s">
        <v>16933</v>
      </c>
    </row>
    <row r="4498">
      <c r="A4498" s="2" t="s">
        <v>7462</v>
      </c>
    </row>
    <row r="4499">
      <c r="A4499" s="2" t="s">
        <v>16934</v>
      </c>
    </row>
    <row r="4501">
      <c r="A4501" s="2" t="s">
        <v>16935</v>
      </c>
    </row>
    <row r="4503">
      <c r="A4503" s="2" t="s">
        <v>16936</v>
      </c>
    </row>
    <row r="4505">
      <c r="A4505" s="2" t="s">
        <v>16937</v>
      </c>
    </row>
    <row r="4507">
      <c r="A4507" s="2" t="s">
        <v>16627</v>
      </c>
    </row>
    <row r="4508">
      <c r="A4508" s="2" t="s">
        <v>16938</v>
      </c>
    </row>
    <row r="4509">
      <c r="A4509" s="2" t="s">
        <v>7462</v>
      </c>
    </row>
    <row r="4510">
      <c r="A4510" s="2" t="s">
        <v>16939</v>
      </c>
    </row>
    <row r="4512">
      <c r="A4512" s="2" t="s">
        <v>16940</v>
      </c>
    </row>
    <row r="4514">
      <c r="A4514" s="2" t="s">
        <v>16941</v>
      </c>
    </row>
    <row r="4516">
      <c r="A4516" s="2" t="s">
        <v>16627</v>
      </c>
    </row>
    <row r="4517">
      <c r="A4517" s="2" t="s">
        <v>16942</v>
      </c>
    </row>
    <row r="4518">
      <c r="A4518" s="2" t="s">
        <v>7462</v>
      </c>
    </row>
    <row r="4519">
      <c r="A4519" s="2" t="s">
        <v>16943</v>
      </c>
    </row>
    <row r="4521">
      <c r="A4521" s="2" t="s">
        <v>16944</v>
      </c>
    </row>
    <row r="4522">
      <c r="A4522" s="2" t="s">
        <v>16945</v>
      </c>
    </row>
    <row r="4523">
      <c r="A4523" s="2" t="s">
        <v>7462</v>
      </c>
    </row>
    <row r="4524">
      <c r="A4524" s="2" t="s">
        <v>16946</v>
      </c>
    </row>
    <row r="4526">
      <c r="A4526" s="2" t="s">
        <v>16947</v>
      </c>
    </row>
    <row r="4528">
      <c r="A4528" s="2" t="s">
        <v>16948</v>
      </c>
    </row>
    <row r="4530">
      <c r="A4530" s="2" t="s">
        <v>16627</v>
      </c>
    </row>
    <row r="4531">
      <c r="A4531" s="2" t="s">
        <v>16949</v>
      </c>
    </row>
    <row r="4532">
      <c r="A4532" s="2" t="s">
        <v>16950</v>
      </c>
    </row>
    <row r="4534">
      <c r="A4534" s="2" t="s">
        <v>16951</v>
      </c>
    </row>
    <row r="4536">
      <c r="A4536" s="2" t="s">
        <v>16952</v>
      </c>
    </row>
    <row r="4538">
      <c r="A4538" s="2" t="s">
        <v>16953</v>
      </c>
    </row>
    <row r="4540">
      <c r="A4540" s="2" t="s">
        <v>16954</v>
      </c>
    </row>
    <row r="4542">
      <c r="A4542" s="2" t="s">
        <v>16627</v>
      </c>
    </row>
    <row r="4543">
      <c r="A4543" s="2" t="s">
        <v>16955</v>
      </c>
    </row>
    <row r="4544">
      <c r="A4544" s="2" t="s">
        <v>7462</v>
      </c>
    </row>
    <row r="4545">
      <c r="A4545" s="2" t="s">
        <v>16956</v>
      </c>
    </row>
    <row r="4547">
      <c r="A4547" s="2" t="s">
        <v>16957</v>
      </c>
    </row>
    <row r="4549">
      <c r="A4549" s="2" t="s">
        <v>16958</v>
      </c>
    </row>
    <row r="4551">
      <c r="A4551" s="2" t="s">
        <v>16959</v>
      </c>
    </row>
    <row r="4552">
      <c r="A4552" s="2" t="s">
        <v>16960</v>
      </c>
    </row>
    <row r="4553">
      <c r="A4553" s="2" t="s">
        <v>7462</v>
      </c>
    </row>
    <row r="4554">
      <c r="A4554" s="2" t="s">
        <v>16961</v>
      </c>
    </row>
    <row r="4556">
      <c r="A4556" s="2" t="s">
        <v>16962</v>
      </c>
    </row>
    <row r="4558">
      <c r="A4558" s="2" t="s">
        <v>16963</v>
      </c>
    </row>
    <row r="4560">
      <c r="A4560" s="2" t="s">
        <v>16959</v>
      </c>
    </row>
    <row r="4561">
      <c r="A4561" s="2" t="s">
        <v>16964</v>
      </c>
    </row>
    <row r="4562">
      <c r="A4562" s="2" t="s">
        <v>7462</v>
      </c>
    </row>
    <row r="4563">
      <c r="A4563" s="2" t="s">
        <v>16965</v>
      </c>
    </row>
    <row r="4565">
      <c r="A4565" s="2" t="s">
        <v>16966</v>
      </c>
    </row>
    <row r="4567">
      <c r="A4567" s="2" t="s">
        <v>16959</v>
      </c>
    </row>
    <row r="4568">
      <c r="A4568" s="2" t="s">
        <v>16967</v>
      </c>
    </row>
    <row r="4569">
      <c r="A4569" s="2" t="s">
        <v>7462</v>
      </c>
    </row>
    <row r="4570">
      <c r="A4570" s="2" t="s">
        <v>16968</v>
      </c>
    </row>
    <row r="4572">
      <c r="A4572" s="2" t="s">
        <v>16969</v>
      </c>
    </row>
    <row r="4574">
      <c r="A4574" s="2" t="s">
        <v>16970</v>
      </c>
    </row>
    <row r="4576">
      <c r="A4576" s="2" t="s">
        <v>16971</v>
      </c>
    </row>
    <row r="4578">
      <c r="A4578" s="2" t="s">
        <v>16959</v>
      </c>
    </row>
    <row r="4579">
      <c r="A4579" s="2" t="s">
        <v>16972</v>
      </c>
    </row>
    <row r="4580">
      <c r="A4580" s="2" t="s">
        <v>7462</v>
      </c>
    </row>
    <row r="4581">
      <c r="A4581" s="2" t="s">
        <v>16973</v>
      </c>
    </row>
    <row r="4583">
      <c r="A4583" s="2" t="s">
        <v>16974</v>
      </c>
    </row>
    <row r="4585">
      <c r="A4585" s="2" t="s">
        <v>16975</v>
      </c>
    </row>
    <row r="4587">
      <c r="A4587" s="2" t="s">
        <v>16959</v>
      </c>
    </row>
    <row r="4588">
      <c r="A4588" s="2" t="s">
        <v>16976</v>
      </c>
    </row>
    <row r="4589">
      <c r="A4589" s="2" t="s">
        <v>7462</v>
      </c>
    </row>
    <row r="4590">
      <c r="A4590" s="2" t="s">
        <v>16977</v>
      </c>
    </row>
    <row r="4592">
      <c r="A4592" s="2" t="s">
        <v>16978</v>
      </c>
    </row>
    <row r="4594">
      <c r="A4594" s="2" t="s">
        <v>16959</v>
      </c>
    </row>
    <row r="4595">
      <c r="A4595" s="2" t="s">
        <v>16979</v>
      </c>
    </row>
    <row r="4596">
      <c r="A4596" s="2" t="s">
        <v>7462</v>
      </c>
    </row>
    <row r="4597">
      <c r="A4597" s="2" t="s">
        <v>16980</v>
      </c>
    </row>
    <row r="4599">
      <c r="A4599" s="2" t="s">
        <v>16981</v>
      </c>
    </row>
    <row r="4601">
      <c r="A4601" s="2" t="s">
        <v>16982</v>
      </c>
    </row>
    <row r="4603">
      <c r="A4603" s="2" t="s">
        <v>16959</v>
      </c>
    </row>
    <row r="4604">
      <c r="A4604" s="2" t="s">
        <v>16983</v>
      </c>
    </row>
    <row r="4605">
      <c r="A4605" s="2" t="s">
        <v>7462</v>
      </c>
    </row>
    <row r="4606">
      <c r="A4606" s="2" t="s">
        <v>16984</v>
      </c>
    </row>
    <row r="4608">
      <c r="A4608" s="2" t="s">
        <v>16985</v>
      </c>
    </row>
    <row r="4610">
      <c r="A4610" s="2" t="s">
        <v>16959</v>
      </c>
    </row>
    <row r="4611">
      <c r="A4611" s="2" t="s">
        <v>16986</v>
      </c>
    </row>
    <row r="4612">
      <c r="A4612" s="2" t="s">
        <v>7462</v>
      </c>
    </row>
    <row r="4613">
      <c r="A4613" s="2" t="s">
        <v>16987</v>
      </c>
    </row>
    <row r="4615">
      <c r="A4615" s="2" t="s">
        <v>16988</v>
      </c>
    </row>
    <row r="4617">
      <c r="A4617" s="2" t="s">
        <v>16989</v>
      </c>
    </row>
    <row r="4619">
      <c r="A4619" s="2" t="s">
        <v>16990</v>
      </c>
    </row>
    <row r="4621">
      <c r="A4621" s="2" t="s">
        <v>16959</v>
      </c>
    </row>
    <row r="4622">
      <c r="A4622" s="2" t="s">
        <v>16991</v>
      </c>
    </row>
    <row r="4623">
      <c r="A4623" s="2" t="s">
        <v>7462</v>
      </c>
    </row>
    <row r="4624">
      <c r="A4624" s="2" t="s">
        <v>16992</v>
      </c>
    </row>
    <row r="4626">
      <c r="A4626" s="2" t="s">
        <v>16993</v>
      </c>
    </row>
    <row r="4628">
      <c r="A4628" s="2" t="s">
        <v>16994</v>
      </c>
    </row>
    <row r="4630">
      <c r="A4630" s="2" t="s">
        <v>16959</v>
      </c>
    </row>
    <row r="4631">
      <c r="A4631" s="2" t="s">
        <v>16995</v>
      </c>
    </row>
    <row r="4632">
      <c r="A4632" s="2" t="s">
        <v>7462</v>
      </c>
    </row>
    <row r="4633">
      <c r="A4633" s="2" t="s">
        <v>16996</v>
      </c>
    </row>
    <row r="4635">
      <c r="A4635" s="2" t="s">
        <v>16997</v>
      </c>
    </row>
    <row r="4637">
      <c r="A4637" s="2" t="s">
        <v>16998</v>
      </c>
    </row>
    <row r="4639">
      <c r="A4639" s="2" t="s">
        <v>16959</v>
      </c>
    </row>
    <row r="4640">
      <c r="A4640" s="2" t="s">
        <v>16999</v>
      </c>
    </row>
    <row r="4641">
      <c r="A4641" s="2" t="s">
        <v>7462</v>
      </c>
    </row>
    <row r="4642">
      <c r="A4642" s="2" t="s">
        <v>17000</v>
      </c>
    </row>
    <row r="4644">
      <c r="A4644" s="2" t="s">
        <v>17001</v>
      </c>
    </row>
    <row r="4646">
      <c r="A4646" s="2" t="s">
        <v>17002</v>
      </c>
    </row>
    <row r="4648">
      <c r="A4648" s="2" t="s">
        <v>17003</v>
      </c>
    </row>
    <row r="4650">
      <c r="A4650" s="2" t="s">
        <v>16959</v>
      </c>
    </row>
    <row r="4651">
      <c r="A4651" s="2" t="s">
        <v>17004</v>
      </c>
    </row>
    <row r="4652">
      <c r="A4652" s="2" t="s">
        <v>7462</v>
      </c>
    </row>
    <row r="4653">
      <c r="A4653" s="2" t="s">
        <v>17005</v>
      </c>
    </row>
    <row r="4655">
      <c r="A4655" s="2" t="s">
        <v>17006</v>
      </c>
    </row>
    <row r="4657">
      <c r="A4657" s="2" t="s">
        <v>17007</v>
      </c>
    </row>
    <row r="4659">
      <c r="A4659" s="2" t="s">
        <v>16959</v>
      </c>
    </row>
    <row r="4660">
      <c r="A4660" s="2" t="s">
        <v>17008</v>
      </c>
    </row>
    <row r="4661">
      <c r="A4661" s="2" t="s">
        <v>7462</v>
      </c>
    </row>
    <row r="4662">
      <c r="A4662" s="2" t="s">
        <v>17009</v>
      </c>
    </row>
    <row r="4664">
      <c r="A4664" s="2" t="s">
        <v>17010</v>
      </c>
    </row>
    <row r="4666">
      <c r="A4666" s="2" t="s">
        <v>17011</v>
      </c>
    </row>
    <row r="4668">
      <c r="A4668" s="2" t="s">
        <v>17012</v>
      </c>
    </row>
    <row r="4670">
      <c r="A4670" s="2" t="s">
        <v>16959</v>
      </c>
    </row>
    <row r="4671">
      <c r="A4671" s="2" t="s">
        <v>17013</v>
      </c>
    </row>
    <row r="4672">
      <c r="A4672" s="2" t="s">
        <v>7462</v>
      </c>
    </row>
    <row r="4673">
      <c r="A4673" s="2" t="s">
        <v>17014</v>
      </c>
    </row>
    <row r="4675">
      <c r="A4675" s="2" t="s">
        <v>17015</v>
      </c>
    </row>
    <row r="4677">
      <c r="A4677" s="2" t="s">
        <v>17016</v>
      </c>
    </row>
    <row r="4679">
      <c r="A4679" s="2" t="s">
        <v>17017</v>
      </c>
    </row>
    <row r="4680">
      <c r="A4680" s="2" t="s">
        <v>17018</v>
      </c>
    </row>
    <row r="4681">
      <c r="A4681" s="2" t="s">
        <v>7462</v>
      </c>
    </row>
    <row r="4682">
      <c r="A4682" s="2" t="s">
        <v>17019</v>
      </c>
    </row>
    <row r="4684">
      <c r="A4684" s="2" t="s">
        <v>17017</v>
      </c>
    </row>
    <row r="4685">
      <c r="A4685" s="2" t="s">
        <v>17020</v>
      </c>
    </row>
    <row r="4686">
      <c r="A4686" s="2" t="s">
        <v>7462</v>
      </c>
    </row>
    <row r="4687">
      <c r="A4687" s="2" t="s">
        <v>17021</v>
      </c>
    </row>
    <row r="4689">
      <c r="A4689" s="2" t="s">
        <v>17022</v>
      </c>
    </row>
    <row r="4691">
      <c r="A4691" s="2" t="s">
        <v>17017</v>
      </c>
    </row>
    <row r="4692">
      <c r="A4692" s="2" t="s">
        <v>17023</v>
      </c>
    </row>
    <row r="4693">
      <c r="A4693" s="2" t="s">
        <v>7462</v>
      </c>
    </row>
    <row r="4694">
      <c r="A4694" s="2" t="s">
        <v>17024</v>
      </c>
    </row>
    <row r="4696">
      <c r="A4696" s="2" t="s">
        <v>17025</v>
      </c>
    </row>
    <row r="4698">
      <c r="A4698" s="2" t="s">
        <v>17026</v>
      </c>
    </row>
    <row r="4700">
      <c r="A4700" s="2" t="s">
        <v>17017</v>
      </c>
    </row>
    <row r="4701">
      <c r="A4701" s="2" t="s">
        <v>17027</v>
      </c>
    </row>
    <row r="4702">
      <c r="A4702" s="2" t="s">
        <v>7462</v>
      </c>
    </row>
    <row r="4703">
      <c r="A4703" s="2" t="s">
        <v>17028</v>
      </c>
    </row>
    <row r="4705">
      <c r="A4705" s="2" t="s">
        <v>17029</v>
      </c>
    </row>
    <row r="4707">
      <c r="A4707" s="2" t="s">
        <v>17017</v>
      </c>
    </row>
    <row r="4708">
      <c r="A4708" s="2" t="s">
        <v>17030</v>
      </c>
    </row>
    <row r="4709">
      <c r="A4709" s="2" t="s">
        <v>7462</v>
      </c>
    </row>
    <row r="4710">
      <c r="A4710" s="2" t="s">
        <v>17031</v>
      </c>
    </row>
    <row r="4712">
      <c r="A4712" s="2" t="s">
        <v>17032</v>
      </c>
    </row>
    <row r="4714">
      <c r="A4714" s="2" t="s">
        <v>17033</v>
      </c>
    </row>
    <row r="4716">
      <c r="A4716" s="2" t="s">
        <v>17017</v>
      </c>
    </row>
    <row r="4717">
      <c r="A4717" s="2" t="s">
        <v>17034</v>
      </c>
    </row>
    <row r="4718">
      <c r="A4718" s="2" t="s">
        <v>7462</v>
      </c>
    </row>
    <row r="4719">
      <c r="A4719" s="2" t="s">
        <v>17035</v>
      </c>
    </row>
    <row r="4721">
      <c r="A4721" s="2" t="s">
        <v>17036</v>
      </c>
    </row>
    <row r="4723">
      <c r="A4723" s="2" t="s">
        <v>17037</v>
      </c>
    </row>
    <row r="4725">
      <c r="A4725" s="2" t="s">
        <v>17017</v>
      </c>
    </row>
    <row r="4726">
      <c r="A4726" s="2" t="s">
        <v>17038</v>
      </c>
    </row>
    <row r="4727">
      <c r="A4727" s="2" t="s">
        <v>7462</v>
      </c>
    </row>
    <row r="4728">
      <c r="A4728" s="2" t="s">
        <v>17039</v>
      </c>
    </row>
    <row r="4730">
      <c r="A4730" s="2" t="s">
        <v>17017</v>
      </c>
    </row>
    <row r="4731">
      <c r="A4731" s="2" t="s">
        <v>17040</v>
      </c>
    </row>
    <row r="4732">
      <c r="A4732" s="2" t="s">
        <v>7462</v>
      </c>
    </row>
    <row r="4733">
      <c r="A4733" s="2" t="s">
        <v>17041</v>
      </c>
    </row>
    <row r="4735">
      <c r="A4735" s="2" t="s">
        <v>17042</v>
      </c>
    </row>
    <row r="4737">
      <c r="A4737" s="2" t="s">
        <v>17043</v>
      </c>
    </row>
    <row r="4739">
      <c r="A4739" s="2" t="s">
        <v>17044</v>
      </c>
    </row>
    <row r="4741">
      <c r="A4741" s="2" t="s">
        <v>17017</v>
      </c>
    </row>
    <row r="4742">
      <c r="A4742" s="2" t="s">
        <v>17045</v>
      </c>
    </row>
    <row r="4743">
      <c r="A4743" s="2" t="s">
        <v>7462</v>
      </c>
    </row>
    <row r="4744">
      <c r="A4744" s="2" t="s">
        <v>17046</v>
      </c>
    </row>
    <row r="4746">
      <c r="A4746" s="2" t="s">
        <v>17047</v>
      </c>
    </row>
    <row r="4748">
      <c r="A4748" s="2" t="s">
        <v>17048</v>
      </c>
    </row>
    <row r="4750">
      <c r="A4750" s="2" t="s">
        <v>17017</v>
      </c>
    </row>
    <row r="4751">
      <c r="A4751" s="2" t="s">
        <v>17049</v>
      </c>
    </row>
    <row r="4752">
      <c r="A4752" s="2" t="s">
        <v>7462</v>
      </c>
    </row>
    <row r="4753">
      <c r="A4753" s="2" t="s">
        <v>17050</v>
      </c>
    </row>
    <row r="4755">
      <c r="A4755" s="2" t="s">
        <v>17051</v>
      </c>
    </row>
    <row r="4757">
      <c r="A4757" s="2" t="s">
        <v>17017</v>
      </c>
    </row>
    <row r="4758">
      <c r="A4758" s="2" t="s">
        <v>17052</v>
      </c>
    </row>
    <row r="4759">
      <c r="A4759" s="2" t="s">
        <v>7462</v>
      </c>
    </row>
    <row r="4760">
      <c r="A4760" s="2" t="s">
        <v>17053</v>
      </c>
    </row>
    <row r="4762">
      <c r="A4762" s="2" t="s">
        <v>17054</v>
      </c>
    </row>
    <row r="4764">
      <c r="A4764" s="2" t="s">
        <v>17055</v>
      </c>
    </row>
    <row r="4766">
      <c r="A4766" s="2" t="s">
        <v>17017</v>
      </c>
    </row>
    <row r="4767">
      <c r="A4767" s="2" t="s">
        <v>17056</v>
      </c>
    </row>
    <row r="4768">
      <c r="A4768" s="2" t="s">
        <v>7462</v>
      </c>
    </row>
    <row r="4769">
      <c r="A4769" s="2" t="s">
        <v>17057</v>
      </c>
    </row>
    <row r="4771">
      <c r="A4771" s="2" t="s">
        <v>17058</v>
      </c>
    </row>
    <row r="4773">
      <c r="A4773" s="2" t="s">
        <v>17059</v>
      </c>
    </row>
    <row r="4774">
      <c r="A4774" s="2" t="s">
        <v>17060</v>
      </c>
    </row>
    <row r="4775">
      <c r="A4775" s="2" t="s">
        <v>7462</v>
      </c>
    </row>
    <row r="4776">
      <c r="A4776" s="2" t="s">
        <v>17061</v>
      </c>
    </row>
    <row r="4778">
      <c r="A4778" s="2" t="s">
        <v>17059</v>
      </c>
    </row>
    <row r="4779">
      <c r="A4779" s="2" t="s">
        <v>17062</v>
      </c>
    </row>
    <row r="4780">
      <c r="A4780" s="2" t="s">
        <v>7462</v>
      </c>
    </row>
    <row r="4781">
      <c r="A4781" s="2" t="s">
        <v>17063</v>
      </c>
    </row>
    <row r="4783">
      <c r="A4783" s="2" t="s">
        <v>17064</v>
      </c>
    </row>
    <row r="4785">
      <c r="A4785" s="2" t="s">
        <v>17065</v>
      </c>
    </row>
    <row r="4787">
      <c r="A4787" s="2" t="s">
        <v>17059</v>
      </c>
    </row>
    <row r="4788">
      <c r="A4788" s="2" t="s">
        <v>17066</v>
      </c>
    </row>
    <row r="4789">
      <c r="A4789" s="2" t="s">
        <v>7462</v>
      </c>
    </row>
    <row r="4790">
      <c r="A4790" s="2" t="s">
        <v>17067</v>
      </c>
    </row>
    <row r="4792">
      <c r="A4792" s="2" t="s">
        <v>17059</v>
      </c>
    </row>
    <row r="4793">
      <c r="A4793" s="2" t="s">
        <v>17068</v>
      </c>
    </row>
    <row r="4794">
      <c r="A4794" s="2" t="s">
        <v>7462</v>
      </c>
    </row>
    <row r="4795">
      <c r="A4795" s="2" t="s">
        <v>17069</v>
      </c>
    </row>
    <row r="4797">
      <c r="A4797" s="2" t="s">
        <v>17059</v>
      </c>
    </row>
    <row r="4798">
      <c r="A4798" s="2" t="s">
        <v>17070</v>
      </c>
    </row>
    <row r="4799">
      <c r="A4799" s="2" t="s">
        <v>7462</v>
      </c>
    </row>
    <row r="4800">
      <c r="A4800" s="2" t="s">
        <v>17071</v>
      </c>
    </row>
    <row r="4802">
      <c r="A4802" s="2" t="s">
        <v>17072</v>
      </c>
    </row>
    <row r="4804">
      <c r="A4804" s="2" t="s">
        <v>17073</v>
      </c>
    </row>
    <row r="4806">
      <c r="A4806" s="2" t="s">
        <v>17059</v>
      </c>
    </row>
    <row r="4807">
      <c r="A4807" s="2" t="s">
        <v>17074</v>
      </c>
    </row>
    <row r="4808">
      <c r="A4808" s="2" t="s">
        <v>7462</v>
      </c>
    </row>
    <row r="4809">
      <c r="A4809" s="2" t="s">
        <v>17075</v>
      </c>
    </row>
    <row r="4811">
      <c r="A4811" s="2" t="s">
        <v>17076</v>
      </c>
    </row>
    <row r="4813">
      <c r="A4813" s="2" t="s">
        <v>17077</v>
      </c>
    </row>
    <row r="4815">
      <c r="A4815" s="2" t="s">
        <v>17059</v>
      </c>
    </row>
    <row r="4816">
      <c r="A4816" s="2" t="s">
        <v>17078</v>
      </c>
    </row>
    <row r="4817">
      <c r="A4817" s="2" t="s">
        <v>7462</v>
      </c>
    </row>
    <row r="4818">
      <c r="A4818" s="2" t="s">
        <v>17079</v>
      </c>
    </row>
    <row r="4820">
      <c r="A4820" s="2" t="s">
        <v>17080</v>
      </c>
    </row>
    <row r="4822">
      <c r="A4822" s="2" t="s">
        <v>17081</v>
      </c>
    </row>
    <row r="4824">
      <c r="A4824" s="2" t="s">
        <v>17059</v>
      </c>
    </row>
    <row r="4825">
      <c r="A4825" s="2" t="s">
        <v>17082</v>
      </c>
    </row>
    <row r="4826">
      <c r="A4826" s="2" t="s">
        <v>7462</v>
      </c>
    </row>
    <row r="4827">
      <c r="A4827" s="2" t="s">
        <v>17083</v>
      </c>
    </row>
    <row r="4829">
      <c r="A4829" s="2" t="s">
        <v>17084</v>
      </c>
    </row>
    <row r="4831">
      <c r="A4831" s="2" t="s">
        <v>17085</v>
      </c>
    </row>
    <row r="4833">
      <c r="A4833" s="2" t="s">
        <v>17059</v>
      </c>
    </row>
    <row r="4834">
      <c r="A4834" s="2" t="s">
        <v>17086</v>
      </c>
    </row>
    <row r="4835">
      <c r="A4835" s="2" t="s">
        <v>7462</v>
      </c>
    </row>
    <row r="4836">
      <c r="A4836" s="2" t="s">
        <v>17087</v>
      </c>
    </row>
    <row r="4838">
      <c r="A4838" s="2" t="s">
        <v>17088</v>
      </c>
    </row>
    <row r="4840">
      <c r="A4840" s="2" t="s">
        <v>17059</v>
      </c>
    </row>
    <row r="4841">
      <c r="A4841" s="2" t="s">
        <v>17089</v>
      </c>
    </row>
    <row r="4842">
      <c r="A4842" s="2" t="s">
        <v>7462</v>
      </c>
    </row>
    <row r="4843">
      <c r="A4843" s="2" t="s">
        <v>17090</v>
      </c>
    </row>
    <row r="4845">
      <c r="A4845" s="2" t="s">
        <v>17091</v>
      </c>
    </row>
    <row r="4847">
      <c r="A4847" s="2" t="s">
        <v>17092</v>
      </c>
    </row>
    <row r="4849">
      <c r="A4849" s="2" t="s">
        <v>17059</v>
      </c>
    </row>
    <row r="4850">
      <c r="A4850" s="2" t="s">
        <v>17093</v>
      </c>
    </row>
    <row r="4851">
      <c r="A4851" s="2" t="s">
        <v>17094</v>
      </c>
    </row>
    <row r="4853">
      <c r="A4853" s="2" t="s">
        <v>17095</v>
      </c>
    </row>
    <row r="4855">
      <c r="A4855" s="2" t="s">
        <v>17096</v>
      </c>
    </row>
    <row r="4857">
      <c r="A4857" s="2" t="s">
        <v>17097</v>
      </c>
    </row>
    <row r="4859">
      <c r="A4859" s="2" t="s">
        <v>9321</v>
      </c>
    </row>
  </sheetData>
  <drawing r:id="rId1"/>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8.88"/>
    <col customWidth="1" min="2" max="2" width="26.38"/>
  </cols>
  <sheetData>
    <row r="1">
      <c r="A1" s="2" t="s">
        <v>623</v>
      </c>
      <c r="B1" s="2" t="s">
        <v>624</v>
      </c>
      <c r="C1" s="2" t="s">
        <v>625</v>
      </c>
      <c r="D1" s="2" t="s">
        <v>626</v>
      </c>
    </row>
    <row r="2">
      <c r="A2" s="11" t="s">
        <v>103</v>
      </c>
      <c r="B2" s="11" t="s">
        <v>104</v>
      </c>
      <c r="C2" s="11">
        <v>80.0</v>
      </c>
      <c r="D2" s="55">
        <v>45267.0</v>
      </c>
    </row>
    <row r="3">
      <c r="A3" s="11" t="s">
        <v>107</v>
      </c>
      <c r="B3" s="11" t="s">
        <v>108</v>
      </c>
      <c r="C3" s="11">
        <v>80.0</v>
      </c>
      <c r="D3" s="55">
        <v>45267.0</v>
      </c>
      <c r="E3" s="2"/>
    </row>
    <row r="4">
      <c r="A4" s="11" t="s">
        <v>111</v>
      </c>
      <c r="B4" s="11" t="s">
        <v>112</v>
      </c>
      <c r="C4" s="11">
        <v>80.0</v>
      </c>
      <c r="D4" s="55">
        <v>45267.0</v>
      </c>
      <c r="E4" s="2"/>
    </row>
    <row r="5">
      <c r="A5" s="11" t="s">
        <v>115</v>
      </c>
      <c r="B5" s="11" t="s">
        <v>116</v>
      </c>
      <c r="C5" s="11">
        <v>80.0</v>
      </c>
      <c r="D5" s="55">
        <v>45267.0</v>
      </c>
      <c r="E5" s="2"/>
    </row>
    <row r="6">
      <c r="A6" s="11" t="s">
        <v>119</v>
      </c>
      <c r="B6" s="11" t="s">
        <v>120</v>
      </c>
      <c r="C6" s="11">
        <v>80.0</v>
      </c>
      <c r="D6" s="55">
        <v>45267.0</v>
      </c>
      <c r="E6" s="2"/>
    </row>
    <row r="7">
      <c r="A7" s="2" t="s">
        <v>173</v>
      </c>
      <c r="B7" s="2" t="s">
        <v>17098</v>
      </c>
      <c r="C7" s="2">
        <v>80.0</v>
      </c>
      <c r="D7" s="54">
        <v>45267.0</v>
      </c>
      <c r="E7" s="2"/>
    </row>
    <row r="8">
      <c r="A8" s="2" t="s">
        <v>658</v>
      </c>
      <c r="B8" s="2" t="s">
        <v>17099</v>
      </c>
      <c r="C8" s="2">
        <v>75.0</v>
      </c>
      <c r="D8" s="54">
        <v>45267.0</v>
      </c>
      <c r="E8" s="2"/>
    </row>
    <row r="9">
      <c r="A9" s="2" t="s">
        <v>194</v>
      </c>
      <c r="B9" s="2" t="s">
        <v>17100</v>
      </c>
      <c r="C9" s="2">
        <v>75.0</v>
      </c>
      <c r="D9" s="54">
        <v>45267.0</v>
      </c>
      <c r="E9" s="2"/>
    </row>
    <row r="10">
      <c r="A10" s="2" t="s">
        <v>203</v>
      </c>
      <c r="B10" s="2" t="s">
        <v>17101</v>
      </c>
      <c r="C10" s="2">
        <v>75.0</v>
      </c>
      <c r="D10" s="54">
        <v>45267.0</v>
      </c>
    </row>
    <row r="11">
      <c r="A11" s="2" t="s">
        <v>642</v>
      </c>
      <c r="B11" s="2" t="s">
        <v>17102</v>
      </c>
      <c r="C11" s="2">
        <v>75.0</v>
      </c>
      <c r="D11" s="54">
        <v>45267.0</v>
      </c>
      <c r="E11" s="2"/>
    </row>
    <row r="12">
      <c r="A12" s="2" t="s">
        <v>156</v>
      </c>
      <c r="B12" s="2" t="s">
        <v>17103</v>
      </c>
      <c r="C12" s="2">
        <v>75.0</v>
      </c>
      <c r="D12" s="54">
        <v>45267.0</v>
      </c>
      <c r="E12" s="2"/>
    </row>
    <row r="13">
      <c r="A13" s="2" t="s">
        <v>636</v>
      </c>
      <c r="B13" s="2" t="s">
        <v>17104</v>
      </c>
      <c r="C13" s="2">
        <v>75.0</v>
      </c>
      <c r="D13" s="54">
        <v>45267.0</v>
      </c>
      <c r="E13" s="2"/>
    </row>
    <row r="14">
      <c r="A14" s="2" t="s">
        <v>670</v>
      </c>
      <c r="B14" s="2" t="s">
        <v>17105</v>
      </c>
      <c r="C14" s="2">
        <v>75.0</v>
      </c>
      <c r="D14" s="54">
        <v>45267.0</v>
      </c>
      <c r="E14" s="2"/>
    </row>
    <row r="15">
      <c r="A15" s="2" t="s">
        <v>704</v>
      </c>
      <c r="B15" s="2" t="s">
        <v>17106</v>
      </c>
      <c r="C15" s="2">
        <v>75.0</v>
      </c>
      <c r="D15" s="54">
        <v>45267.0</v>
      </c>
      <c r="E15" s="2"/>
    </row>
    <row r="16">
      <c r="A16" s="2" t="s">
        <v>188</v>
      </c>
      <c r="B16" s="2" t="s">
        <v>17107</v>
      </c>
      <c r="C16" s="2">
        <v>75.0</v>
      </c>
      <c r="D16" s="54">
        <v>45267.0</v>
      </c>
      <c r="E16" s="2"/>
    </row>
    <row r="17">
      <c r="A17" s="2" t="s">
        <v>634</v>
      </c>
      <c r="B17" s="2" t="s">
        <v>17108</v>
      </c>
      <c r="C17" s="2">
        <v>75.0</v>
      </c>
      <c r="D17" s="54">
        <v>45267.0</v>
      </c>
      <c r="E17" s="2"/>
    </row>
    <row r="18">
      <c r="A18" s="2" t="s">
        <v>660</v>
      </c>
      <c r="B18" s="2" t="s">
        <v>17109</v>
      </c>
      <c r="C18" s="2">
        <v>75.0</v>
      </c>
      <c r="D18" s="54">
        <v>45267.0</v>
      </c>
      <c r="E18" s="2"/>
    </row>
    <row r="19">
      <c r="A19" s="2" t="s">
        <v>682</v>
      </c>
      <c r="B19" s="2" t="s">
        <v>17110</v>
      </c>
      <c r="C19" s="2">
        <v>70.0</v>
      </c>
      <c r="D19" s="54">
        <v>45267.0</v>
      </c>
      <c r="E19" s="2"/>
    </row>
    <row r="20">
      <c r="A20" s="2" t="s">
        <v>675</v>
      </c>
      <c r="B20" s="2" t="s">
        <v>17111</v>
      </c>
      <c r="C20" s="2">
        <v>70.0</v>
      </c>
      <c r="D20" s="54">
        <v>45267.0</v>
      </c>
      <c r="E20" s="2"/>
    </row>
    <row r="21">
      <c r="A21" s="2" t="s">
        <v>751</v>
      </c>
      <c r="B21" s="2" t="s">
        <v>17112</v>
      </c>
      <c r="C21" s="2">
        <v>70.0</v>
      </c>
      <c r="D21" s="54">
        <v>45267.0</v>
      </c>
      <c r="E21" s="2"/>
    </row>
    <row r="22">
      <c r="A22" s="2" t="s">
        <v>312</v>
      </c>
      <c r="B22" s="2" t="s">
        <v>17113</v>
      </c>
      <c r="C22" s="2">
        <v>70.0</v>
      </c>
      <c r="D22" s="54">
        <v>45267.0</v>
      </c>
      <c r="E22" s="2"/>
    </row>
    <row r="23">
      <c r="A23" s="2" t="s">
        <v>662</v>
      </c>
      <c r="B23" s="2" t="s">
        <v>17114</v>
      </c>
      <c r="C23" s="2">
        <v>70.0</v>
      </c>
      <c r="D23" s="54">
        <v>45267.0</v>
      </c>
      <c r="E23" s="2"/>
    </row>
    <row r="24">
      <c r="A24" s="2" t="s">
        <v>757</v>
      </c>
      <c r="B24" s="2" t="s">
        <v>17115</v>
      </c>
      <c r="C24" s="2">
        <v>70.0</v>
      </c>
      <c r="D24" s="54">
        <v>45267.0</v>
      </c>
      <c r="E24" s="2"/>
    </row>
    <row r="25">
      <c r="A25" s="2" t="s">
        <v>656</v>
      </c>
      <c r="B25" s="2" t="s">
        <v>17116</v>
      </c>
      <c r="C25" s="2">
        <v>70.0</v>
      </c>
      <c r="D25" s="54">
        <v>45267.0</v>
      </c>
      <c r="E25" s="2"/>
    </row>
    <row r="26">
      <c r="A26" s="2" t="s">
        <v>747</v>
      </c>
      <c r="B26" s="2" t="s">
        <v>17117</v>
      </c>
      <c r="C26" s="2">
        <v>70.0</v>
      </c>
      <c r="D26" s="54">
        <v>45267.0</v>
      </c>
      <c r="E26" s="2"/>
    </row>
    <row r="27">
      <c r="A27" s="2" t="s">
        <v>725</v>
      </c>
      <c r="B27" s="2" t="s">
        <v>17118</v>
      </c>
      <c r="C27" s="2">
        <v>70.0</v>
      </c>
      <c r="D27" s="54">
        <v>45267.0</v>
      </c>
      <c r="E27" s="2"/>
    </row>
    <row r="28">
      <c r="A28" s="2" t="s">
        <v>749</v>
      </c>
      <c r="B28" s="2" t="s">
        <v>17119</v>
      </c>
      <c r="C28" s="2">
        <v>70.0</v>
      </c>
      <c r="D28" s="54">
        <v>45267.0</v>
      </c>
      <c r="E28" s="2"/>
    </row>
    <row r="29">
      <c r="A29" s="2" t="s">
        <v>714</v>
      </c>
      <c r="B29" s="2" t="s">
        <v>17120</v>
      </c>
      <c r="C29" s="2">
        <v>70.0</v>
      </c>
      <c r="D29" s="54">
        <v>45267.0</v>
      </c>
      <c r="E29" s="2"/>
    </row>
    <row r="30">
      <c r="A30" s="2" t="s">
        <v>649</v>
      </c>
      <c r="B30" s="2" t="s">
        <v>17121</v>
      </c>
      <c r="C30" s="2">
        <v>70.0</v>
      </c>
      <c r="D30" s="54">
        <v>45267.0</v>
      </c>
      <c r="E30" s="2"/>
    </row>
    <row r="31">
      <c r="A31" s="2" t="s">
        <v>652</v>
      </c>
      <c r="B31" s="2" t="s">
        <v>17122</v>
      </c>
      <c r="C31" s="2">
        <v>70.0</v>
      </c>
      <c r="D31" s="54">
        <v>45267.0</v>
      </c>
      <c r="E31" s="2"/>
    </row>
    <row r="32">
      <c r="A32" s="2" t="s">
        <v>736</v>
      </c>
      <c r="B32" s="2" t="s">
        <v>17123</v>
      </c>
      <c r="C32" s="2">
        <v>70.0</v>
      </c>
      <c r="D32" s="54">
        <v>45267.0</v>
      </c>
      <c r="E32" s="2"/>
    </row>
    <row r="33">
      <c r="A33" s="2" t="s">
        <v>664</v>
      </c>
      <c r="B33" s="2" t="s">
        <v>17124</v>
      </c>
      <c r="C33" s="2">
        <v>70.0</v>
      </c>
      <c r="D33" s="54">
        <v>45267.0</v>
      </c>
      <c r="E33" s="2"/>
    </row>
    <row r="34">
      <c r="A34" s="2" t="s">
        <v>727</v>
      </c>
      <c r="B34" s="2" t="s">
        <v>17125</v>
      </c>
      <c r="C34" s="2">
        <v>70.0</v>
      </c>
      <c r="D34" s="54">
        <v>45267.0</v>
      </c>
      <c r="E34" s="2"/>
    </row>
    <row r="35">
      <c r="A35" s="2" t="s">
        <v>666</v>
      </c>
      <c r="B35" s="2" t="s">
        <v>17126</v>
      </c>
      <c r="C35" s="2">
        <v>70.0</v>
      </c>
      <c r="D35" s="54">
        <v>45267.0</v>
      </c>
      <c r="E35" s="2"/>
    </row>
    <row r="36">
      <c r="A36" s="2" t="s">
        <v>309</v>
      </c>
      <c r="B36" s="2" t="s">
        <v>17127</v>
      </c>
      <c r="C36" s="2">
        <v>70.0</v>
      </c>
      <c r="D36" s="54">
        <v>45267.0</v>
      </c>
      <c r="E36" s="2"/>
    </row>
    <row r="37">
      <c r="A37" s="2" t="s">
        <v>740</v>
      </c>
      <c r="B37" s="2" t="s">
        <v>17128</v>
      </c>
      <c r="C37" s="2">
        <v>70.0</v>
      </c>
      <c r="D37" s="54">
        <v>45267.0</v>
      </c>
      <c r="E37" s="2"/>
    </row>
    <row r="38">
      <c r="A38" s="2" t="s">
        <v>647</v>
      </c>
      <c r="B38" s="2" t="s">
        <v>17129</v>
      </c>
      <c r="C38" s="2">
        <v>70.0</v>
      </c>
      <c r="D38" s="54">
        <v>45267.0</v>
      </c>
      <c r="E38" s="2"/>
    </row>
    <row r="39">
      <c r="A39" s="2" t="s">
        <v>640</v>
      </c>
      <c r="B39" s="2" t="s">
        <v>17130</v>
      </c>
      <c r="C39" s="2">
        <v>70.0</v>
      </c>
      <c r="D39" s="54">
        <v>45267.0</v>
      </c>
      <c r="E39" s="2"/>
    </row>
    <row r="40">
      <c r="A40" s="2" t="s">
        <v>729</v>
      </c>
      <c r="B40" s="2" t="s">
        <v>17131</v>
      </c>
      <c r="C40" s="2">
        <v>70.0</v>
      </c>
      <c r="D40" s="54">
        <v>45267.0</v>
      </c>
      <c r="E40" s="2"/>
    </row>
    <row r="41">
      <c r="A41" s="2" t="s">
        <v>686</v>
      </c>
      <c r="B41" s="2" t="s">
        <v>17132</v>
      </c>
      <c r="C41" s="2">
        <v>70.0</v>
      </c>
      <c r="D41" s="54">
        <v>45267.0</v>
      </c>
      <c r="E41" s="2"/>
    </row>
    <row r="42">
      <c r="A42" s="2" t="s">
        <v>7432</v>
      </c>
      <c r="B42" s="2" t="s">
        <v>7433</v>
      </c>
      <c r="C42" s="2" t="s">
        <v>17133</v>
      </c>
      <c r="D42" s="2">
        <v>70.0</v>
      </c>
      <c r="E42" s="54">
        <v>45267.0</v>
      </c>
    </row>
    <row r="43">
      <c r="A43" s="2" t="s">
        <v>690</v>
      </c>
      <c r="B43" s="2" t="s">
        <v>17134</v>
      </c>
      <c r="C43" s="2">
        <v>70.0</v>
      </c>
      <c r="D43" s="54">
        <v>45267.0</v>
      </c>
      <c r="E43" s="2"/>
    </row>
    <row r="44">
      <c r="A44" s="2" t="s">
        <v>702</v>
      </c>
      <c r="B44" s="2" t="s">
        <v>17135</v>
      </c>
      <c r="C44" s="2">
        <v>70.0</v>
      </c>
      <c r="D44" s="54">
        <v>45267.0</v>
      </c>
      <c r="E44" s="2"/>
    </row>
    <row r="45">
      <c r="A45" s="2" t="s">
        <v>684</v>
      </c>
      <c r="B45" s="2" t="s">
        <v>17136</v>
      </c>
      <c r="C45" s="2">
        <v>65.0</v>
      </c>
      <c r="D45" s="54">
        <v>45267.0</v>
      </c>
      <c r="E45" s="2"/>
    </row>
    <row r="46">
      <c r="A46" s="2" t="s">
        <v>692</v>
      </c>
      <c r="B46" s="2" t="s">
        <v>17137</v>
      </c>
      <c r="C46" s="2">
        <v>65.0</v>
      </c>
      <c r="D46" s="54">
        <v>45267.0</v>
      </c>
      <c r="E46" s="2"/>
    </row>
    <row r="47">
      <c r="A47" s="2" t="s">
        <v>721</v>
      </c>
      <c r="B47" s="2" t="s">
        <v>17138</v>
      </c>
      <c r="C47" s="2">
        <v>65.0</v>
      </c>
      <c r="D47" s="54">
        <v>45267.0</v>
      </c>
      <c r="E47" s="2"/>
    </row>
    <row r="48">
      <c r="A48" s="2" t="s">
        <v>708</v>
      </c>
      <c r="B48" s="2" t="s">
        <v>17139</v>
      </c>
      <c r="C48" s="2">
        <v>65.0</v>
      </c>
      <c r="D48" s="54">
        <v>45267.0</v>
      </c>
      <c r="E48" s="2"/>
    </row>
    <row r="49">
      <c r="A49" s="2" t="s">
        <v>7375</v>
      </c>
      <c r="B49" s="2" t="s">
        <v>7376</v>
      </c>
      <c r="C49" s="2" t="s">
        <v>17140</v>
      </c>
      <c r="D49" s="2">
        <v>65.0</v>
      </c>
      <c r="E49" s="54">
        <v>45267.0</v>
      </c>
    </row>
    <row r="50">
      <c r="A50" s="2" t="s">
        <v>314</v>
      </c>
      <c r="B50" s="2" t="s">
        <v>17141</v>
      </c>
      <c r="C50" s="2">
        <v>65.0</v>
      </c>
      <c r="D50" s="54">
        <v>45267.0</v>
      </c>
      <c r="E50" s="2"/>
    </row>
    <row r="51">
      <c r="A51" s="2" t="s">
        <v>745</v>
      </c>
      <c r="B51" s="2" t="s">
        <v>17142</v>
      </c>
      <c r="C51" s="2">
        <v>65.0</v>
      </c>
      <c r="D51" s="54">
        <v>45267.0</v>
      </c>
      <c r="E51" s="2"/>
    </row>
    <row r="52">
      <c r="A52" s="2" t="s">
        <v>734</v>
      </c>
      <c r="B52" s="2" t="s">
        <v>17143</v>
      </c>
      <c r="C52" s="2">
        <v>65.0</v>
      </c>
      <c r="D52" s="54">
        <v>45267.0</v>
      </c>
      <c r="E52" s="2"/>
    </row>
    <row r="53">
      <c r="A53" s="2" t="s">
        <v>723</v>
      </c>
      <c r="B53" s="2" t="s">
        <v>17144</v>
      </c>
      <c r="C53" s="2">
        <v>65.0</v>
      </c>
      <c r="D53" s="54">
        <v>45267.0</v>
      </c>
      <c r="E53" s="2"/>
    </row>
    <row r="54">
      <c r="A54" s="2" t="s">
        <v>638</v>
      </c>
      <c r="B54" s="2" t="s">
        <v>17145</v>
      </c>
      <c r="C54" s="2">
        <v>65.0</v>
      </c>
      <c r="D54" s="54">
        <v>45267.0</v>
      </c>
      <c r="E54" s="2"/>
    </row>
    <row r="55">
      <c r="A55" s="2" t="s">
        <v>668</v>
      </c>
      <c r="B55" s="2" t="s">
        <v>17146</v>
      </c>
      <c r="C55" s="2">
        <v>65.0</v>
      </c>
      <c r="D55" s="54">
        <v>45267.0</v>
      </c>
      <c r="E55" s="2"/>
    </row>
    <row r="56">
      <c r="A56" s="2" t="s">
        <v>678</v>
      </c>
      <c r="B56" s="2" t="s">
        <v>17147</v>
      </c>
      <c r="C56" s="2">
        <v>65.0</v>
      </c>
      <c r="D56" s="54">
        <v>45267.0</v>
      </c>
      <c r="E56" s="2"/>
    </row>
    <row r="57">
      <c r="A57" s="2" t="s">
        <v>13096</v>
      </c>
      <c r="B57" s="2" t="s">
        <v>7373</v>
      </c>
      <c r="C57" s="2" t="s">
        <v>17148</v>
      </c>
      <c r="D57" s="2">
        <v>65.0</v>
      </c>
      <c r="E57" s="54">
        <v>45267.0</v>
      </c>
    </row>
    <row r="58">
      <c r="A58" s="2" t="s">
        <v>672</v>
      </c>
      <c r="B58" s="2" t="s">
        <v>17149</v>
      </c>
      <c r="C58" s="2">
        <v>65.0</v>
      </c>
      <c r="D58" s="54">
        <v>45267.0</v>
      </c>
      <c r="E58" s="2"/>
    </row>
    <row r="59">
      <c r="A59" s="2" t="s">
        <v>710</v>
      </c>
      <c r="B59" s="2" t="s">
        <v>17150</v>
      </c>
      <c r="C59" s="2">
        <v>65.0</v>
      </c>
      <c r="D59" s="54">
        <v>45267.0</v>
      </c>
      <c r="E59" s="2"/>
    </row>
    <row r="60">
      <c r="A60" s="2" t="s">
        <v>706</v>
      </c>
      <c r="B60" s="2" t="s">
        <v>17151</v>
      </c>
      <c r="C60" s="2">
        <v>65.0</v>
      </c>
      <c r="D60" s="54">
        <v>45267.0</v>
      </c>
      <c r="E60" s="2"/>
    </row>
    <row r="61">
      <c r="A61" s="2" t="s">
        <v>148</v>
      </c>
      <c r="B61" s="2" t="s">
        <v>17152</v>
      </c>
      <c r="C61" s="2">
        <v>65.0</v>
      </c>
      <c r="D61" s="54">
        <v>45267.0</v>
      </c>
      <c r="E61" s="2"/>
    </row>
    <row r="62">
      <c r="A62" s="2" t="s">
        <v>159</v>
      </c>
      <c r="B62" s="2" t="s">
        <v>17153</v>
      </c>
      <c r="C62" s="2">
        <v>65.0</v>
      </c>
      <c r="D62" s="54">
        <v>45267.0</v>
      </c>
      <c r="E62" s="2"/>
    </row>
    <row r="63">
      <c r="A63" s="2" t="s">
        <v>698</v>
      </c>
      <c r="B63" s="2" t="s">
        <v>17154</v>
      </c>
      <c r="C63" s="2">
        <v>65.0</v>
      </c>
      <c r="D63" s="54">
        <v>45267.0</v>
      </c>
      <c r="E63" s="2"/>
    </row>
    <row r="64">
      <c r="A64" s="2" t="s">
        <v>753</v>
      </c>
      <c r="B64" s="2" t="s">
        <v>17155</v>
      </c>
      <c r="C64" s="2">
        <v>65.0</v>
      </c>
      <c r="D64" s="54">
        <v>45267.0</v>
      </c>
      <c r="E64" s="2"/>
    </row>
    <row r="65">
      <c r="A65" s="2" t="s">
        <v>755</v>
      </c>
      <c r="B65" s="2" t="s">
        <v>17156</v>
      </c>
      <c r="C65" s="2">
        <v>65.0</v>
      </c>
      <c r="D65" s="54">
        <v>45267.0</v>
      </c>
      <c r="E65" s="2"/>
    </row>
    <row r="66">
      <c r="A66" s="2" t="s">
        <v>150</v>
      </c>
      <c r="B66" s="2" t="s">
        <v>17157</v>
      </c>
      <c r="C66" s="2">
        <v>65.0</v>
      </c>
      <c r="D66" s="54">
        <v>45267.0</v>
      </c>
      <c r="E66" s="2"/>
    </row>
    <row r="67">
      <c r="A67" s="2" t="s">
        <v>688</v>
      </c>
      <c r="B67" s="2" t="s">
        <v>17158</v>
      </c>
      <c r="C67" s="2">
        <v>60.0</v>
      </c>
      <c r="D67" s="54">
        <v>45267.0</v>
      </c>
      <c r="E67" s="2"/>
    </row>
    <row r="68">
      <c r="A68" s="2" t="s">
        <v>7425</v>
      </c>
      <c r="B68" s="2" t="s">
        <v>7426</v>
      </c>
      <c r="C68" s="2" t="s">
        <v>17159</v>
      </c>
      <c r="D68" s="2">
        <v>60.0</v>
      </c>
      <c r="E68" s="54">
        <v>45267.0</v>
      </c>
    </row>
    <row r="69">
      <c r="A69" s="2" t="s">
        <v>712</v>
      </c>
      <c r="B69" s="2" t="s">
        <v>17160</v>
      </c>
      <c r="C69" s="2">
        <v>60.0</v>
      </c>
      <c r="D69" s="54">
        <v>45267.0</v>
      </c>
      <c r="E69" s="2"/>
    </row>
    <row r="70">
      <c r="A70" s="2" t="s">
        <v>719</v>
      </c>
      <c r="B70" s="2" t="s">
        <v>17161</v>
      </c>
      <c r="C70" s="2">
        <v>60.0</v>
      </c>
      <c r="D70" s="54">
        <v>45267.0</v>
      </c>
      <c r="E70" s="2"/>
    </row>
    <row r="71">
      <c r="A71" s="2" t="s">
        <v>694</v>
      </c>
      <c r="B71" s="2" t="s">
        <v>17162</v>
      </c>
      <c r="C71" s="2">
        <v>60.0</v>
      </c>
      <c r="D71" s="54">
        <v>45267.0</v>
      </c>
      <c r="E71" s="2"/>
    </row>
    <row r="72">
      <c r="A72" s="2" t="s">
        <v>177</v>
      </c>
      <c r="B72" s="2" t="s">
        <v>17163</v>
      </c>
      <c r="C72" s="2">
        <v>60.0</v>
      </c>
      <c r="D72" s="54">
        <v>45267.0</v>
      </c>
      <c r="E72" s="2"/>
    </row>
    <row r="73">
      <c r="A73" s="2" t="s">
        <v>153</v>
      </c>
      <c r="B73" s="2" t="s">
        <v>17164</v>
      </c>
      <c r="C73" s="2">
        <v>60.0</v>
      </c>
      <c r="D73" s="54">
        <v>45267.0</v>
      </c>
      <c r="E73" s="2"/>
    </row>
    <row r="74">
      <c r="A74" s="2" t="s">
        <v>717</v>
      </c>
      <c r="B74" s="2" t="s">
        <v>17165</v>
      </c>
      <c r="C74" s="2">
        <v>60.0</v>
      </c>
      <c r="D74" s="54">
        <v>45267.0</v>
      </c>
      <c r="E74" s="2"/>
    </row>
    <row r="75">
      <c r="A75" s="2" t="s">
        <v>645</v>
      </c>
      <c r="B75" s="2" t="s">
        <v>17166</v>
      </c>
      <c r="C75" s="2">
        <v>60.0</v>
      </c>
      <c r="D75" s="54">
        <v>45267.0</v>
      </c>
      <c r="E75" s="2"/>
    </row>
    <row r="76">
      <c r="A76" s="2" t="s">
        <v>7439</v>
      </c>
      <c r="B76" s="2" t="s">
        <v>17167</v>
      </c>
      <c r="C76" s="2">
        <v>50.0</v>
      </c>
      <c r="D76" s="54">
        <v>45267.0</v>
      </c>
      <c r="E76" s="2"/>
    </row>
  </sheetData>
  <drawing r:id="rId1"/>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7447</v>
      </c>
    </row>
    <row r="2">
      <c r="A2" s="2" t="s">
        <v>17168</v>
      </c>
    </row>
    <row r="4">
      <c r="A4" s="2" t="s">
        <v>14910</v>
      </c>
    </row>
    <row r="6">
      <c r="A6" s="2" t="s">
        <v>14911</v>
      </c>
    </row>
    <row r="8">
      <c r="A8" s="2" t="s">
        <v>17169</v>
      </c>
    </row>
    <row r="9">
      <c r="A9" s="2" t="s">
        <v>17170</v>
      </c>
    </row>
    <row r="11">
      <c r="A11" s="2" t="s">
        <v>14916</v>
      </c>
    </row>
    <row r="13">
      <c r="A13" s="2" t="s">
        <v>14917</v>
      </c>
    </row>
    <row r="15">
      <c r="A15" s="2" t="s">
        <v>17171</v>
      </c>
    </row>
    <row r="16">
      <c r="A16" s="2" t="s">
        <v>17172</v>
      </c>
    </row>
    <row r="18">
      <c r="A18" s="2" t="s">
        <v>14921</v>
      </c>
    </row>
    <row r="20">
      <c r="A20" s="2" t="s">
        <v>17173</v>
      </c>
    </row>
    <row r="21">
      <c r="A21" s="2" t="s">
        <v>17174</v>
      </c>
    </row>
    <row r="23">
      <c r="A23" s="2" t="s">
        <v>14925</v>
      </c>
    </row>
    <row r="25">
      <c r="A25" s="2" t="s">
        <v>14926</v>
      </c>
    </row>
    <row r="27">
      <c r="A27" s="2" t="s">
        <v>17175</v>
      </c>
    </row>
    <row r="28">
      <c r="A28" s="2" t="s">
        <v>17176</v>
      </c>
    </row>
    <row r="30">
      <c r="A30" s="2" t="s">
        <v>14930</v>
      </c>
    </row>
    <row r="32">
      <c r="A32" s="2" t="s">
        <v>17177</v>
      </c>
    </row>
    <row r="33">
      <c r="A33" s="2" t="s">
        <v>17178</v>
      </c>
    </row>
    <row r="35">
      <c r="A35" s="2" t="s">
        <v>14935</v>
      </c>
    </row>
    <row r="37">
      <c r="A37" s="2" t="s">
        <v>14936</v>
      </c>
    </row>
    <row r="39">
      <c r="A39" s="2" t="s">
        <v>17179</v>
      </c>
    </row>
    <row r="40">
      <c r="A40" s="2" t="s">
        <v>17180</v>
      </c>
    </row>
    <row r="42">
      <c r="A42" s="2" t="s">
        <v>14940</v>
      </c>
    </row>
    <row r="44">
      <c r="A44" s="2" t="s">
        <v>17181</v>
      </c>
    </row>
    <row r="45">
      <c r="A45" s="2" t="s">
        <v>17182</v>
      </c>
    </row>
    <row r="47">
      <c r="A47" s="2" t="s">
        <v>17183</v>
      </c>
    </row>
    <row r="48">
      <c r="A48" s="2" t="s">
        <v>17184</v>
      </c>
    </row>
    <row r="50">
      <c r="A50" s="2" t="s">
        <v>14947</v>
      </c>
    </row>
    <row r="52">
      <c r="A52" s="2" t="s">
        <v>14948</v>
      </c>
    </row>
    <row r="54">
      <c r="A54" s="2" t="s">
        <v>17185</v>
      </c>
    </row>
    <row r="55">
      <c r="A55" s="2" t="s">
        <v>17186</v>
      </c>
    </row>
    <row r="57">
      <c r="A57" s="2" t="s">
        <v>14952</v>
      </c>
    </row>
    <row r="59">
      <c r="A59" s="2" t="s">
        <v>14953</v>
      </c>
    </row>
    <row r="61">
      <c r="A61" s="2" t="s">
        <v>17187</v>
      </c>
    </row>
    <row r="62">
      <c r="A62" s="2" t="s">
        <v>17188</v>
      </c>
    </row>
    <row r="64">
      <c r="A64" s="2" t="s">
        <v>14957</v>
      </c>
    </row>
    <row r="66">
      <c r="A66" s="2" t="s">
        <v>14958</v>
      </c>
    </row>
    <row r="68">
      <c r="A68" s="2" t="s">
        <v>17189</v>
      </c>
    </row>
    <row r="69">
      <c r="A69" s="2" t="s">
        <v>17190</v>
      </c>
    </row>
    <row r="71">
      <c r="A71" s="2" t="s">
        <v>14962</v>
      </c>
    </row>
    <row r="73">
      <c r="A73" s="2" t="s">
        <v>14963</v>
      </c>
    </row>
    <row r="75">
      <c r="A75" s="2" t="s">
        <v>17191</v>
      </c>
    </row>
    <row r="76">
      <c r="A76" s="2" t="s">
        <v>17192</v>
      </c>
    </row>
    <row r="78">
      <c r="A78" s="2" t="s">
        <v>14967</v>
      </c>
    </row>
    <row r="80">
      <c r="A80" s="2" t="s">
        <v>17193</v>
      </c>
    </row>
    <row r="81">
      <c r="A81" s="2" t="s">
        <v>17194</v>
      </c>
    </row>
    <row r="83">
      <c r="A83" s="2" t="s">
        <v>14971</v>
      </c>
    </row>
    <row r="85">
      <c r="A85" s="2" t="s">
        <v>14972</v>
      </c>
    </row>
    <row r="87">
      <c r="A87" s="2" t="s">
        <v>17195</v>
      </c>
    </row>
    <row r="88">
      <c r="A88" s="2" t="s">
        <v>17196</v>
      </c>
    </row>
    <row r="90">
      <c r="A90" s="2" t="s">
        <v>14976</v>
      </c>
    </row>
    <row r="92">
      <c r="A92" s="2" t="s">
        <v>14977</v>
      </c>
    </row>
    <row r="94">
      <c r="A94" s="2" t="s">
        <v>17197</v>
      </c>
    </row>
    <row r="95">
      <c r="A95" s="2" t="s">
        <v>17198</v>
      </c>
    </row>
    <row r="97">
      <c r="A97" s="2" t="s">
        <v>14981</v>
      </c>
    </row>
    <row r="99">
      <c r="A99" s="2" t="s">
        <v>14982</v>
      </c>
    </row>
    <row r="101">
      <c r="A101" s="2" t="s">
        <v>17199</v>
      </c>
    </row>
    <row r="102">
      <c r="A102" s="2" t="s">
        <v>17200</v>
      </c>
    </row>
    <row r="104">
      <c r="A104" s="2" t="s">
        <v>14986</v>
      </c>
    </row>
    <row r="106">
      <c r="A106" s="2" t="s">
        <v>14987</v>
      </c>
    </row>
    <row r="108">
      <c r="A108" s="2" t="s">
        <v>17201</v>
      </c>
    </row>
    <row r="109">
      <c r="A109" s="2" t="s">
        <v>17202</v>
      </c>
    </row>
    <row r="111">
      <c r="A111" s="2" t="s">
        <v>7462</v>
      </c>
    </row>
    <row r="112">
      <c r="A112" s="2" t="s">
        <v>14990</v>
      </c>
    </row>
    <row r="114">
      <c r="A114" s="2" t="s">
        <v>14991</v>
      </c>
    </row>
    <row r="116">
      <c r="A116" s="2" t="s">
        <v>14992</v>
      </c>
    </row>
    <row r="118">
      <c r="A118" s="2" t="s">
        <v>17203</v>
      </c>
    </row>
    <row r="119">
      <c r="A119" s="2" t="s">
        <v>17204</v>
      </c>
    </row>
    <row r="121">
      <c r="A121" s="2" t="s">
        <v>14996</v>
      </c>
    </row>
    <row r="123">
      <c r="A123" s="2" t="s">
        <v>17205</v>
      </c>
    </row>
    <row r="124">
      <c r="A124" s="2" t="s">
        <v>17206</v>
      </c>
    </row>
    <row r="126">
      <c r="A126" s="2" t="s">
        <v>15000</v>
      </c>
    </row>
    <row r="128">
      <c r="A128" s="2" t="s">
        <v>17207</v>
      </c>
    </row>
    <row r="129">
      <c r="A129" s="2" t="s">
        <v>17208</v>
      </c>
    </row>
    <row r="131">
      <c r="A131" s="2" t="s">
        <v>7462</v>
      </c>
    </row>
    <row r="132">
      <c r="A132" s="2" t="s">
        <v>15003</v>
      </c>
    </row>
    <row r="134">
      <c r="A134" s="2" t="s">
        <v>15004</v>
      </c>
    </row>
    <row r="136">
      <c r="A136" s="2" t="s">
        <v>15005</v>
      </c>
    </row>
    <row r="138">
      <c r="A138" s="2" t="s">
        <v>17209</v>
      </c>
    </row>
    <row r="139">
      <c r="A139" s="2" t="s">
        <v>17210</v>
      </c>
    </row>
    <row r="141">
      <c r="A141" s="2" t="s">
        <v>15009</v>
      </c>
    </row>
    <row r="143">
      <c r="A143" s="2" t="s">
        <v>17211</v>
      </c>
    </row>
    <row r="144">
      <c r="A144" s="2" t="s">
        <v>17212</v>
      </c>
    </row>
    <row r="146">
      <c r="A146" s="2" t="s">
        <v>15013</v>
      </c>
    </row>
    <row r="148">
      <c r="A148" s="2" t="s">
        <v>17213</v>
      </c>
    </row>
    <row r="149">
      <c r="A149" s="2" t="s">
        <v>17214</v>
      </c>
    </row>
    <row r="151">
      <c r="A151" s="2" t="s">
        <v>15017</v>
      </c>
    </row>
    <row r="153">
      <c r="A153" s="2" t="s">
        <v>15018</v>
      </c>
    </row>
    <row r="155">
      <c r="A155" s="2" t="s">
        <v>17215</v>
      </c>
    </row>
    <row r="156">
      <c r="A156" s="2" t="s">
        <v>17216</v>
      </c>
    </row>
    <row r="158">
      <c r="A158" s="2" t="s">
        <v>15022</v>
      </c>
    </row>
    <row r="160">
      <c r="A160" s="2" t="s">
        <v>17217</v>
      </c>
    </row>
    <row r="161">
      <c r="A161" s="2" t="s">
        <v>17218</v>
      </c>
    </row>
    <row r="163">
      <c r="A163" s="2" t="s">
        <v>15026</v>
      </c>
    </row>
    <row r="165">
      <c r="A165" s="2" t="s">
        <v>15027</v>
      </c>
    </row>
    <row r="167">
      <c r="A167" s="2" t="s">
        <v>17219</v>
      </c>
    </row>
    <row r="168">
      <c r="A168" s="2" t="s">
        <v>17220</v>
      </c>
    </row>
    <row r="170">
      <c r="A170" s="2" t="s">
        <v>15031</v>
      </c>
    </row>
    <row r="172">
      <c r="A172" s="2" t="s">
        <v>15032</v>
      </c>
    </row>
    <row r="174">
      <c r="A174" s="2" t="s">
        <v>17221</v>
      </c>
    </row>
    <row r="175">
      <c r="A175" s="2" t="s">
        <v>17222</v>
      </c>
    </row>
    <row r="177">
      <c r="A177" s="2" t="s">
        <v>15036</v>
      </c>
    </row>
    <row r="179">
      <c r="A179" s="2" t="s">
        <v>17223</v>
      </c>
    </row>
    <row r="180">
      <c r="A180" s="2" t="s">
        <v>17224</v>
      </c>
    </row>
    <row r="182">
      <c r="A182" s="2" t="s">
        <v>15040</v>
      </c>
    </row>
    <row r="184">
      <c r="A184" s="2" t="s">
        <v>15041</v>
      </c>
    </row>
    <row r="186">
      <c r="A186" s="2" t="s">
        <v>17225</v>
      </c>
    </row>
    <row r="187">
      <c r="A187" s="2" t="s">
        <v>17226</v>
      </c>
    </row>
    <row r="189">
      <c r="A189" s="2" t="s">
        <v>15045</v>
      </c>
    </row>
    <row r="191">
      <c r="A191" s="2" t="s">
        <v>15046</v>
      </c>
    </row>
    <row r="193">
      <c r="A193" s="2" t="s">
        <v>17227</v>
      </c>
    </row>
    <row r="194">
      <c r="A194" s="2" t="s">
        <v>17228</v>
      </c>
    </row>
    <row r="196">
      <c r="A196" s="2" t="s">
        <v>15050</v>
      </c>
    </row>
    <row r="198">
      <c r="A198" s="2" t="s">
        <v>15051</v>
      </c>
    </row>
    <row r="200">
      <c r="A200" s="2" t="s">
        <v>17229</v>
      </c>
    </row>
    <row r="201">
      <c r="A201" s="2" t="s">
        <v>17230</v>
      </c>
    </row>
    <row r="203">
      <c r="A203" s="2" t="s">
        <v>7462</v>
      </c>
    </row>
    <row r="204">
      <c r="A204" s="2" t="s">
        <v>15054</v>
      </c>
    </row>
    <row r="206">
      <c r="A206" s="2" t="s">
        <v>15055</v>
      </c>
    </row>
    <row r="208">
      <c r="A208" s="2" t="s">
        <v>15056</v>
      </c>
    </row>
    <row r="210">
      <c r="A210" s="2" t="s">
        <v>17231</v>
      </c>
    </row>
    <row r="211">
      <c r="A211" s="2" t="s">
        <v>17232</v>
      </c>
    </row>
    <row r="213">
      <c r="A213" s="2" t="s">
        <v>15060</v>
      </c>
    </row>
    <row r="215">
      <c r="A215" s="2" t="s">
        <v>15061</v>
      </c>
    </row>
    <row r="217">
      <c r="A217" s="2" t="s">
        <v>17233</v>
      </c>
    </row>
    <row r="218">
      <c r="A218" s="2" t="s">
        <v>17234</v>
      </c>
    </row>
    <row r="220">
      <c r="A220" s="2" t="s">
        <v>15065</v>
      </c>
    </row>
    <row r="222">
      <c r="A222" s="2" t="s">
        <v>15066</v>
      </c>
    </row>
    <row r="224">
      <c r="A224" s="2" t="s">
        <v>17235</v>
      </c>
    </row>
    <row r="225">
      <c r="A225" s="2" t="s">
        <v>17236</v>
      </c>
    </row>
    <row r="226">
      <c r="A226" s="2" t="s">
        <v>17237</v>
      </c>
    </row>
    <row r="228">
      <c r="A228" s="2" t="s">
        <v>15072</v>
      </c>
    </row>
    <row r="230">
      <c r="A230" s="2" t="s">
        <v>17238</v>
      </c>
    </row>
    <row r="231">
      <c r="A231" s="2" t="s">
        <v>17239</v>
      </c>
    </row>
    <row r="233">
      <c r="A233" s="2" t="s">
        <v>15076</v>
      </c>
    </row>
    <row r="235">
      <c r="A235" s="2" t="s">
        <v>15077</v>
      </c>
    </row>
    <row r="237">
      <c r="A237" s="2" t="s">
        <v>17240</v>
      </c>
    </row>
    <row r="238">
      <c r="A238" s="2" t="s">
        <v>17241</v>
      </c>
    </row>
    <row r="240">
      <c r="A240" s="2" t="s">
        <v>15081</v>
      </c>
    </row>
    <row r="242">
      <c r="A242" s="2" t="s">
        <v>17242</v>
      </c>
    </row>
    <row r="243">
      <c r="A243" s="2" t="s">
        <v>17243</v>
      </c>
    </row>
    <row r="245">
      <c r="A245" s="2" t="s">
        <v>15085</v>
      </c>
    </row>
    <row r="247">
      <c r="A247" s="2" t="s">
        <v>15086</v>
      </c>
    </row>
    <row r="249">
      <c r="A249" s="2" t="s">
        <v>17244</v>
      </c>
    </row>
    <row r="250">
      <c r="A250" s="2" t="s">
        <v>17245</v>
      </c>
    </row>
    <row r="252">
      <c r="A252" s="2" t="s">
        <v>15090</v>
      </c>
    </row>
    <row r="254">
      <c r="A254" s="2" t="s">
        <v>17246</v>
      </c>
    </row>
    <row r="255">
      <c r="A255" s="2" t="s">
        <v>17247</v>
      </c>
    </row>
    <row r="257">
      <c r="A257" s="2" t="s">
        <v>15094</v>
      </c>
    </row>
    <row r="259">
      <c r="A259" s="2" t="s">
        <v>17248</v>
      </c>
    </row>
    <row r="260">
      <c r="A260" s="2" t="s">
        <v>17249</v>
      </c>
    </row>
    <row r="262">
      <c r="A262" s="2" t="s">
        <v>15098</v>
      </c>
    </row>
    <row r="264">
      <c r="A264" s="2" t="s">
        <v>17250</v>
      </c>
    </row>
    <row r="265">
      <c r="A265" s="2" t="s">
        <v>17251</v>
      </c>
    </row>
    <row r="267">
      <c r="A267" s="2" t="s">
        <v>15102</v>
      </c>
    </row>
    <row r="269">
      <c r="A269" s="2" t="s">
        <v>15103</v>
      </c>
    </row>
    <row r="271">
      <c r="A271" s="2" t="s">
        <v>17252</v>
      </c>
    </row>
    <row r="272">
      <c r="A272" s="2" t="s">
        <v>17253</v>
      </c>
    </row>
    <row r="274">
      <c r="A274" s="2" t="s">
        <v>15107</v>
      </c>
    </row>
    <row r="276">
      <c r="A276" s="2" t="s">
        <v>15108</v>
      </c>
    </row>
    <row r="278">
      <c r="A278" s="2" t="s">
        <v>17254</v>
      </c>
    </row>
    <row r="279">
      <c r="A279" s="2" t="s">
        <v>17255</v>
      </c>
    </row>
    <row r="281">
      <c r="A281" s="2" t="s">
        <v>7462</v>
      </c>
    </row>
    <row r="282">
      <c r="A282" s="2" t="s">
        <v>15111</v>
      </c>
    </row>
    <row r="284">
      <c r="A284" s="2" t="s">
        <v>15112</v>
      </c>
    </row>
    <row r="286">
      <c r="A286" s="2" t="s">
        <v>17256</v>
      </c>
    </row>
    <row r="287">
      <c r="A287" s="2" t="s">
        <v>17257</v>
      </c>
    </row>
    <row r="289">
      <c r="A289" s="2" t="s">
        <v>15116</v>
      </c>
    </row>
    <row r="291">
      <c r="A291" s="2" t="s">
        <v>15117</v>
      </c>
    </row>
    <row r="293">
      <c r="A293" s="2" t="s">
        <v>17258</v>
      </c>
    </row>
    <row r="294">
      <c r="A294" s="2" t="s">
        <v>17259</v>
      </c>
    </row>
    <row r="295">
      <c r="A295" s="2" t="s">
        <v>7462</v>
      </c>
    </row>
    <row r="296">
      <c r="A296" s="2" t="s">
        <v>15120</v>
      </c>
    </row>
    <row r="298">
      <c r="A298" s="2" t="s">
        <v>15121</v>
      </c>
    </row>
    <row r="300">
      <c r="A300" s="2" t="s">
        <v>17260</v>
      </c>
    </row>
    <row r="301">
      <c r="A301" s="2" t="s">
        <v>17261</v>
      </c>
    </row>
    <row r="303">
      <c r="A303" s="2" t="s">
        <v>15125</v>
      </c>
    </row>
    <row r="305">
      <c r="A305" s="2" t="s">
        <v>15126</v>
      </c>
    </row>
    <row r="307">
      <c r="A307" s="2" t="s">
        <v>17262</v>
      </c>
    </row>
    <row r="308">
      <c r="A308" s="2" t="s">
        <v>17263</v>
      </c>
    </row>
    <row r="310">
      <c r="A310" s="2" t="s">
        <v>7462</v>
      </c>
    </row>
    <row r="311">
      <c r="A311" s="2" t="s">
        <v>15129</v>
      </c>
    </row>
    <row r="313">
      <c r="A313" s="2" t="s">
        <v>15130</v>
      </c>
    </row>
    <row r="315">
      <c r="A315" s="2" t="s">
        <v>17264</v>
      </c>
    </row>
    <row r="316">
      <c r="A316" s="2" t="s">
        <v>17265</v>
      </c>
    </row>
    <row r="318">
      <c r="A318" s="2" t="s">
        <v>15134</v>
      </c>
    </row>
    <row r="320">
      <c r="A320" s="2" t="s">
        <v>17266</v>
      </c>
    </row>
    <row r="321">
      <c r="A321" s="2" t="s">
        <v>17267</v>
      </c>
    </row>
    <row r="323">
      <c r="A323" s="2" t="s">
        <v>17268</v>
      </c>
    </row>
    <row r="324">
      <c r="A324" s="2" t="s">
        <v>17269</v>
      </c>
    </row>
    <row r="326">
      <c r="A326" s="2" t="s">
        <v>15141</v>
      </c>
    </row>
    <row r="328">
      <c r="A328" s="2" t="s">
        <v>15142</v>
      </c>
    </row>
    <row r="330">
      <c r="A330" s="2" t="s">
        <v>17270</v>
      </c>
    </row>
    <row r="331">
      <c r="A331" s="2" t="s">
        <v>17271</v>
      </c>
    </row>
    <row r="333">
      <c r="A333" s="2" t="s">
        <v>15146</v>
      </c>
    </row>
    <row r="335">
      <c r="A335" s="2" t="s">
        <v>15147</v>
      </c>
    </row>
    <row r="337">
      <c r="A337" s="2" t="s">
        <v>17272</v>
      </c>
    </row>
    <row r="338">
      <c r="A338" s="2" t="s">
        <v>17273</v>
      </c>
    </row>
    <row r="340">
      <c r="A340" s="2" t="s">
        <v>15151</v>
      </c>
    </row>
    <row r="342">
      <c r="A342" s="2" t="s">
        <v>17274</v>
      </c>
    </row>
    <row r="343">
      <c r="A343" s="2" t="s">
        <v>17275</v>
      </c>
    </row>
    <row r="345">
      <c r="A345" s="2" t="s">
        <v>15155</v>
      </c>
    </row>
    <row r="347">
      <c r="A347" s="2" t="s">
        <v>17276</v>
      </c>
    </row>
    <row r="348">
      <c r="A348" s="2" t="s">
        <v>17277</v>
      </c>
    </row>
    <row r="350">
      <c r="A350" s="2" t="s">
        <v>15159</v>
      </c>
    </row>
    <row r="352">
      <c r="A352" s="2" t="s">
        <v>15160</v>
      </c>
    </row>
    <row r="354">
      <c r="A354" s="2" t="s">
        <v>15161</v>
      </c>
    </row>
    <row r="356">
      <c r="A356" s="2" t="s">
        <v>17278</v>
      </c>
    </row>
    <row r="357">
      <c r="A357" s="2" t="s">
        <v>17279</v>
      </c>
    </row>
    <row r="359">
      <c r="A359" s="2" t="s">
        <v>15165</v>
      </c>
    </row>
    <row r="361">
      <c r="A361" s="2" t="s">
        <v>15166</v>
      </c>
    </row>
    <row r="363">
      <c r="A363" s="2" t="s">
        <v>17280</v>
      </c>
    </row>
    <row r="364">
      <c r="A364" s="2" t="s">
        <v>17281</v>
      </c>
    </row>
    <row r="366">
      <c r="A366" s="2" t="s">
        <v>15170</v>
      </c>
    </row>
    <row r="368">
      <c r="A368" s="2" t="s">
        <v>15171</v>
      </c>
    </row>
    <row r="370">
      <c r="A370" s="2" t="s">
        <v>17282</v>
      </c>
    </row>
    <row r="371">
      <c r="A371" s="2" t="s">
        <v>17283</v>
      </c>
    </row>
    <row r="373">
      <c r="A373" s="2" t="s">
        <v>15175</v>
      </c>
    </row>
    <row r="375">
      <c r="A375" s="2" t="s">
        <v>17284</v>
      </c>
    </row>
    <row r="376">
      <c r="A376" s="2" t="s">
        <v>17285</v>
      </c>
    </row>
    <row r="378">
      <c r="A378" s="2" t="s">
        <v>15179</v>
      </c>
    </row>
    <row r="380">
      <c r="A380" s="2" t="s">
        <v>15180</v>
      </c>
    </row>
    <row r="382">
      <c r="A382" s="2" t="s">
        <v>17286</v>
      </c>
    </row>
    <row r="383">
      <c r="A383" s="2" t="s">
        <v>17287</v>
      </c>
    </row>
    <row r="385">
      <c r="A385" s="2" t="s">
        <v>15184</v>
      </c>
    </row>
    <row r="387">
      <c r="A387" s="2" t="s">
        <v>17288</v>
      </c>
    </row>
    <row r="388">
      <c r="A388" s="2" t="s">
        <v>17289</v>
      </c>
    </row>
    <row r="390">
      <c r="A390" s="2" t="s">
        <v>15188</v>
      </c>
    </row>
    <row r="392">
      <c r="A392" s="2" t="s">
        <v>15189</v>
      </c>
    </row>
    <row r="394">
      <c r="A394" s="2" t="s">
        <v>17290</v>
      </c>
    </row>
    <row r="395">
      <c r="A395" s="2" t="s">
        <v>17291</v>
      </c>
    </row>
    <row r="397">
      <c r="A397" s="2" t="s">
        <v>17292</v>
      </c>
    </row>
    <row r="398">
      <c r="A398" s="2" t="s">
        <v>17293</v>
      </c>
    </row>
    <row r="400">
      <c r="A400" s="2" t="s">
        <v>15196</v>
      </c>
    </row>
    <row r="402">
      <c r="A402" s="2" t="s">
        <v>17294</v>
      </c>
    </row>
    <row r="403">
      <c r="A403" s="2" t="s">
        <v>17295</v>
      </c>
    </row>
    <row r="405">
      <c r="A405" s="2" t="s">
        <v>15200</v>
      </c>
    </row>
    <row r="407">
      <c r="A407" s="2" t="s">
        <v>17296</v>
      </c>
    </row>
    <row r="408">
      <c r="A408" s="2" t="s">
        <v>17297</v>
      </c>
    </row>
    <row r="410">
      <c r="A410" s="2" t="s">
        <v>15204</v>
      </c>
    </row>
    <row r="412">
      <c r="A412" s="2" t="s">
        <v>15205</v>
      </c>
    </row>
    <row r="414">
      <c r="A414" s="2" t="s">
        <v>17298</v>
      </c>
    </row>
    <row r="415">
      <c r="A415" s="2" t="s">
        <v>17299</v>
      </c>
    </row>
    <row r="417">
      <c r="A417" s="2" t="s">
        <v>15209</v>
      </c>
    </row>
    <row r="419">
      <c r="A419" s="2" t="s">
        <v>15210</v>
      </c>
    </row>
    <row r="421">
      <c r="A421" s="2" t="s">
        <v>17300</v>
      </c>
    </row>
    <row r="422">
      <c r="A422" s="2" t="s">
        <v>17301</v>
      </c>
    </row>
    <row r="424">
      <c r="A424" s="2" t="s">
        <v>15214</v>
      </c>
    </row>
    <row r="426">
      <c r="A426" s="2" t="s">
        <v>17302</v>
      </c>
    </row>
    <row r="427">
      <c r="A427" s="2" t="s">
        <v>17303</v>
      </c>
    </row>
    <row r="429">
      <c r="A429" s="2" t="s">
        <v>15218</v>
      </c>
    </row>
    <row r="431">
      <c r="A431" s="2" t="s">
        <v>15219</v>
      </c>
    </row>
    <row r="433">
      <c r="A433" s="2" t="s">
        <v>17304</v>
      </c>
    </row>
    <row r="434">
      <c r="A434" s="2" t="s">
        <v>17305</v>
      </c>
    </row>
    <row r="436">
      <c r="A436" s="2" t="s">
        <v>7462</v>
      </c>
    </row>
    <row r="437">
      <c r="A437" s="2" t="s">
        <v>15222</v>
      </c>
    </row>
    <row r="439">
      <c r="A439" s="2" t="s">
        <v>15223</v>
      </c>
    </row>
    <row r="441">
      <c r="A441" s="2" t="s">
        <v>15224</v>
      </c>
    </row>
    <row r="443">
      <c r="A443" s="2" t="s">
        <v>17306</v>
      </c>
    </row>
    <row r="444">
      <c r="A444" s="2" t="s">
        <v>17307</v>
      </c>
    </row>
    <row r="446">
      <c r="A446" s="2" t="s">
        <v>15228</v>
      </c>
    </row>
    <row r="448">
      <c r="A448" s="2" t="s">
        <v>15229</v>
      </c>
    </row>
    <row r="450">
      <c r="A450" s="2" t="s">
        <v>17308</v>
      </c>
    </row>
    <row r="451">
      <c r="A451" s="2" t="s">
        <v>17309</v>
      </c>
    </row>
    <row r="453">
      <c r="A453" s="2" t="s">
        <v>15233</v>
      </c>
    </row>
    <row r="455">
      <c r="A455" s="2" t="s">
        <v>15234</v>
      </c>
    </row>
    <row r="457">
      <c r="A457" s="2" t="s">
        <v>15235</v>
      </c>
    </row>
    <row r="459">
      <c r="A459" s="2" t="s">
        <v>17310</v>
      </c>
    </row>
    <row r="460">
      <c r="A460" s="2" t="s">
        <v>17311</v>
      </c>
    </row>
    <row r="462">
      <c r="A462" s="2" t="s">
        <v>15239</v>
      </c>
    </row>
    <row r="464">
      <c r="A464" s="2" t="s">
        <v>17312</v>
      </c>
    </row>
    <row r="465">
      <c r="A465" s="2" t="s">
        <v>17313</v>
      </c>
    </row>
    <row r="467">
      <c r="A467" s="2" t="s">
        <v>15243</v>
      </c>
    </row>
    <row r="469">
      <c r="A469" s="2" t="s">
        <v>17314</v>
      </c>
    </row>
    <row r="470">
      <c r="A470" s="2" t="s">
        <v>17315</v>
      </c>
    </row>
    <row r="472">
      <c r="A472" s="2" t="s">
        <v>15247</v>
      </c>
    </row>
    <row r="474">
      <c r="A474" s="2" t="s">
        <v>15248</v>
      </c>
    </row>
    <row r="476">
      <c r="A476" s="2" t="s">
        <v>17316</v>
      </c>
    </row>
    <row r="477">
      <c r="A477" s="2" t="s">
        <v>17317</v>
      </c>
    </row>
    <row r="479">
      <c r="A479" s="2" t="s">
        <v>15252</v>
      </c>
    </row>
    <row r="481">
      <c r="A481" s="2" t="s">
        <v>17318</v>
      </c>
    </row>
    <row r="482">
      <c r="A482" s="2" t="s">
        <v>17319</v>
      </c>
    </row>
    <row r="484">
      <c r="A484" s="2" t="s">
        <v>15256</v>
      </c>
    </row>
    <row r="486">
      <c r="A486" s="2" t="s">
        <v>15257</v>
      </c>
    </row>
    <row r="488">
      <c r="A488" s="2" t="s">
        <v>17320</v>
      </c>
    </row>
    <row r="489">
      <c r="A489" s="2" t="s">
        <v>17321</v>
      </c>
    </row>
    <row r="491">
      <c r="A491" s="2" t="s">
        <v>15261</v>
      </c>
    </row>
    <row r="493">
      <c r="A493" s="2" t="s">
        <v>17322</v>
      </c>
    </row>
    <row r="494">
      <c r="A494" s="2" t="s">
        <v>17323</v>
      </c>
    </row>
    <row r="496">
      <c r="A496" s="2" t="s">
        <v>15265</v>
      </c>
    </row>
    <row r="498">
      <c r="A498" s="2" t="s">
        <v>15266</v>
      </c>
    </row>
    <row r="500">
      <c r="A500" s="2" t="s">
        <v>17324</v>
      </c>
    </row>
    <row r="501">
      <c r="A501" s="2" t="s">
        <v>17325</v>
      </c>
    </row>
    <row r="503">
      <c r="A503" s="2" t="s">
        <v>15270</v>
      </c>
    </row>
    <row r="505">
      <c r="A505" s="2" t="s">
        <v>15271</v>
      </c>
    </row>
    <row r="507">
      <c r="A507" s="2" t="s">
        <v>17326</v>
      </c>
    </row>
    <row r="508">
      <c r="A508" s="2" t="s">
        <v>17327</v>
      </c>
    </row>
    <row r="510">
      <c r="A510" s="2" t="s">
        <v>15275</v>
      </c>
    </row>
    <row r="512">
      <c r="A512" s="2" t="s">
        <v>15276</v>
      </c>
    </row>
    <row r="514">
      <c r="A514" s="2" t="s">
        <v>15277</v>
      </c>
    </row>
    <row r="516">
      <c r="A516" s="2" t="s">
        <v>17328</v>
      </c>
    </row>
    <row r="517">
      <c r="A517" s="2" t="s">
        <v>17329</v>
      </c>
    </row>
    <row r="519">
      <c r="A519" s="2" t="s">
        <v>15281</v>
      </c>
    </row>
    <row r="521">
      <c r="A521" s="2" t="s">
        <v>15282</v>
      </c>
    </row>
    <row r="523">
      <c r="A523" s="2" t="s">
        <v>17330</v>
      </c>
    </row>
    <row r="524">
      <c r="A524" s="2" t="s">
        <v>17331</v>
      </c>
    </row>
    <row r="526">
      <c r="A526" s="2" t="s">
        <v>15286</v>
      </c>
    </row>
    <row r="528">
      <c r="A528" s="2" t="s">
        <v>17332</v>
      </c>
    </row>
    <row r="529">
      <c r="A529" s="2" t="s">
        <v>17333</v>
      </c>
    </row>
    <row r="530">
      <c r="A530" s="2" t="s">
        <v>7462</v>
      </c>
    </row>
    <row r="532">
      <c r="A532" s="2" t="s">
        <v>15289</v>
      </c>
    </row>
    <row r="534">
      <c r="A534" s="2" t="s">
        <v>15290</v>
      </c>
    </row>
    <row r="536">
      <c r="A536" s="2" t="s">
        <v>17334</v>
      </c>
    </row>
    <row r="537">
      <c r="A537" s="2" t="s">
        <v>7764</v>
      </c>
    </row>
    <row r="539">
      <c r="A539" s="2" t="s">
        <v>7462</v>
      </c>
    </row>
    <row r="540">
      <c r="A540" s="2" t="s">
        <v>15293</v>
      </c>
    </row>
    <row r="542">
      <c r="A542" s="2" t="s">
        <v>15294</v>
      </c>
    </row>
    <row r="544">
      <c r="A544" s="2" t="s">
        <v>17335</v>
      </c>
    </row>
    <row r="545">
      <c r="A545" s="2" t="s">
        <v>17336</v>
      </c>
    </row>
    <row r="547">
      <c r="A547" s="2" t="s">
        <v>15298</v>
      </c>
    </row>
    <row r="549">
      <c r="A549" s="2" t="s">
        <v>15299</v>
      </c>
    </row>
    <row r="551">
      <c r="A551" s="2" t="s">
        <v>17337</v>
      </c>
    </row>
    <row r="552">
      <c r="A552" s="2" t="s">
        <v>17338</v>
      </c>
    </row>
    <row r="554">
      <c r="A554" s="2" t="s">
        <v>15303</v>
      </c>
    </row>
    <row r="556">
      <c r="A556" s="2" t="s">
        <v>17339</v>
      </c>
    </row>
    <row r="557">
      <c r="A557" s="2" t="s">
        <v>17340</v>
      </c>
    </row>
    <row r="558">
      <c r="A558" s="2" t="s">
        <v>17341</v>
      </c>
    </row>
    <row r="560">
      <c r="A560" s="2" t="s">
        <v>15309</v>
      </c>
    </row>
    <row r="562">
      <c r="A562" s="2" t="s">
        <v>17342</v>
      </c>
    </row>
    <row r="563">
      <c r="A563" s="2" t="s">
        <v>17343</v>
      </c>
    </row>
    <row r="565">
      <c r="A565" s="2" t="s">
        <v>15313</v>
      </c>
    </row>
    <row r="567">
      <c r="A567" s="2" t="s">
        <v>15314</v>
      </c>
    </row>
    <row r="569">
      <c r="A569" s="2" t="s">
        <v>17344</v>
      </c>
    </row>
    <row r="570">
      <c r="A570" s="2" t="s">
        <v>17345</v>
      </c>
    </row>
    <row r="572">
      <c r="A572" s="2" t="s">
        <v>15318</v>
      </c>
    </row>
    <row r="574">
      <c r="A574" s="2" t="s">
        <v>17346</v>
      </c>
    </row>
    <row r="575">
      <c r="A575" s="2" t="s">
        <v>17347</v>
      </c>
    </row>
    <row r="577">
      <c r="A577" s="2" t="s">
        <v>15322</v>
      </c>
    </row>
    <row r="579">
      <c r="A579" s="2" t="s">
        <v>15323</v>
      </c>
    </row>
    <row r="581">
      <c r="A581" s="2" t="s">
        <v>17348</v>
      </c>
    </row>
    <row r="582">
      <c r="A582" s="2" t="s">
        <v>17349</v>
      </c>
    </row>
    <row r="584">
      <c r="A584" s="2" t="s">
        <v>15327</v>
      </c>
    </row>
    <row r="586">
      <c r="A586" s="2" t="s">
        <v>17350</v>
      </c>
    </row>
    <row r="587">
      <c r="A587" s="2" t="s">
        <v>17351</v>
      </c>
    </row>
    <row r="589">
      <c r="A589" s="2" t="s">
        <v>15331</v>
      </c>
    </row>
    <row r="591">
      <c r="A591" s="2" t="s">
        <v>15332</v>
      </c>
    </row>
    <row r="593">
      <c r="A593" s="2" t="s">
        <v>17352</v>
      </c>
    </row>
    <row r="594">
      <c r="A594" s="2" t="s">
        <v>17353</v>
      </c>
    </row>
    <row r="596">
      <c r="A596" s="2" t="s">
        <v>15336</v>
      </c>
    </row>
    <row r="598">
      <c r="A598" s="2" t="s">
        <v>17354</v>
      </c>
    </row>
    <row r="599">
      <c r="A599" s="2" t="s">
        <v>17355</v>
      </c>
    </row>
    <row r="601">
      <c r="A601" s="2" t="s">
        <v>15340</v>
      </c>
    </row>
    <row r="603">
      <c r="A603" s="2" t="s">
        <v>15341</v>
      </c>
    </row>
    <row r="605">
      <c r="A605" s="2" t="s">
        <v>17356</v>
      </c>
    </row>
    <row r="606">
      <c r="A606" s="2" t="s">
        <v>17357</v>
      </c>
    </row>
    <row r="608">
      <c r="A608" s="2" t="s">
        <v>15345</v>
      </c>
    </row>
    <row r="610">
      <c r="A610" s="2" t="s">
        <v>17358</v>
      </c>
    </row>
    <row r="611">
      <c r="A611" s="2" t="s">
        <v>17359</v>
      </c>
    </row>
    <row r="613">
      <c r="A613" s="2" t="s">
        <v>15349</v>
      </c>
    </row>
    <row r="615">
      <c r="A615" s="2" t="s">
        <v>15350</v>
      </c>
    </row>
    <row r="617">
      <c r="A617" s="2" t="s">
        <v>17360</v>
      </c>
    </row>
    <row r="618">
      <c r="A618" s="2" t="s">
        <v>17361</v>
      </c>
    </row>
    <row r="620">
      <c r="A620" s="2" t="s">
        <v>15354</v>
      </c>
    </row>
    <row r="622">
      <c r="A622" s="2" t="s">
        <v>15355</v>
      </c>
    </row>
    <row r="624">
      <c r="A624" s="2" t="s">
        <v>17362</v>
      </c>
    </row>
    <row r="625">
      <c r="A625" s="2" t="s">
        <v>17363</v>
      </c>
    </row>
    <row r="627">
      <c r="A627" s="2" t="s">
        <v>15359</v>
      </c>
    </row>
    <row r="629">
      <c r="A629" s="2" t="s">
        <v>17364</v>
      </c>
    </row>
    <row r="630">
      <c r="A630" s="2" t="s">
        <v>17365</v>
      </c>
    </row>
    <row r="631">
      <c r="A631" s="2" t="s">
        <v>17366</v>
      </c>
    </row>
    <row r="632">
      <c r="A632" s="2" t="s">
        <v>7462</v>
      </c>
    </row>
    <row r="633">
      <c r="A633" s="2" t="s">
        <v>15364</v>
      </c>
    </row>
    <row r="635">
      <c r="A635" s="2" t="s">
        <v>15365</v>
      </c>
    </row>
    <row r="637">
      <c r="A637" s="2" t="s">
        <v>15366</v>
      </c>
    </row>
    <row r="639">
      <c r="A639" s="2" t="s">
        <v>17367</v>
      </c>
    </row>
    <row r="640">
      <c r="A640" s="2" t="s">
        <v>17368</v>
      </c>
    </row>
    <row r="642">
      <c r="A642" s="2" t="s">
        <v>15370</v>
      </c>
    </row>
    <row r="644">
      <c r="A644" s="2" t="s">
        <v>17369</v>
      </c>
    </row>
    <row r="645">
      <c r="A645" s="2" t="s">
        <v>17370</v>
      </c>
    </row>
    <row r="646">
      <c r="A646" s="2" t="s">
        <v>17371</v>
      </c>
    </row>
    <row r="648">
      <c r="A648" s="2" t="s">
        <v>15376</v>
      </c>
    </row>
    <row r="650">
      <c r="A650" s="2" t="s">
        <v>17372</v>
      </c>
    </row>
    <row r="651">
      <c r="A651" s="2" t="s">
        <v>17373</v>
      </c>
    </row>
    <row r="653">
      <c r="A653" s="2" t="s">
        <v>15380</v>
      </c>
    </row>
    <row r="655">
      <c r="A655" s="2" t="s">
        <v>15381</v>
      </c>
    </row>
    <row r="657">
      <c r="A657" s="2" t="s">
        <v>17374</v>
      </c>
    </row>
    <row r="658">
      <c r="A658" s="2" t="s">
        <v>17375</v>
      </c>
    </row>
    <row r="660">
      <c r="A660" s="2" t="s">
        <v>15385</v>
      </c>
    </row>
    <row r="662">
      <c r="A662" s="2" t="s">
        <v>15386</v>
      </c>
    </row>
    <row r="664">
      <c r="A664" s="2" t="s">
        <v>17376</v>
      </c>
    </row>
    <row r="665">
      <c r="A665" s="2" t="s">
        <v>17377</v>
      </c>
    </row>
    <row r="667">
      <c r="A667" s="2" t="s">
        <v>17378</v>
      </c>
    </row>
    <row r="668">
      <c r="A668" s="2" t="s">
        <v>17379</v>
      </c>
    </row>
    <row r="670">
      <c r="A670" s="2" t="s">
        <v>15393</v>
      </c>
    </row>
    <row r="672">
      <c r="A672" s="2" t="s">
        <v>15394</v>
      </c>
    </row>
    <row r="674">
      <c r="A674" s="2" t="s">
        <v>17380</v>
      </c>
    </row>
    <row r="675">
      <c r="A675" s="2" t="s">
        <v>17381</v>
      </c>
    </row>
    <row r="677">
      <c r="A677" s="2" t="s">
        <v>15398</v>
      </c>
    </row>
    <row r="679">
      <c r="A679" s="2" t="s">
        <v>15399</v>
      </c>
    </row>
    <row r="681">
      <c r="A681" s="2" t="s">
        <v>17382</v>
      </c>
    </row>
    <row r="682">
      <c r="A682" s="2" t="s">
        <v>17383</v>
      </c>
    </row>
    <row r="684">
      <c r="A684" s="2" t="s">
        <v>15403</v>
      </c>
    </row>
    <row r="686">
      <c r="A686" s="2" t="s">
        <v>17384</v>
      </c>
    </row>
    <row r="687">
      <c r="A687" s="2" t="s">
        <v>17385</v>
      </c>
    </row>
    <row r="689">
      <c r="A689" s="2" t="s">
        <v>7462</v>
      </c>
    </row>
    <row r="690">
      <c r="A690" s="2" t="s">
        <v>15406</v>
      </c>
    </row>
    <row r="692">
      <c r="A692" s="2" t="s">
        <v>15407</v>
      </c>
    </row>
    <row r="694">
      <c r="A694" s="2" t="s">
        <v>15408</v>
      </c>
    </row>
    <row r="696">
      <c r="A696" s="2" t="s">
        <v>17386</v>
      </c>
    </row>
    <row r="697">
      <c r="A697" s="2" t="s">
        <v>17387</v>
      </c>
    </row>
    <row r="699">
      <c r="A699" s="2" t="s">
        <v>7462</v>
      </c>
    </row>
    <row r="700">
      <c r="A700" s="2" t="s">
        <v>15411</v>
      </c>
    </row>
    <row r="702">
      <c r="A702" s="2" t="s">
        <v>15412</v>
      </c>
    </row>
    <row r="704">
      <c r="A704" s="2" t="s">
        <v>17388</v>
      </c>
    </row>
    <row r="705">
      <c r="A705" s="2" t="s">
        <v>17389</v>
      </c>
    </row>
    <row r="707">
      <c r="A707" s="2" t="s">
        <v>7462</v>
      </c>
    </row>
    <row r="708">
      <c r="A708" s="2" t="s">
        <v>15415</v>
      </c>
    </row>
    <row r="710">
      <c r="A710" s="2" t="s">
        <v>15416</v>
      </c>
    </row>
    <row r="712">
      <c r="A712" s="2" t="s">
        <v>17390</v>
      </c>
    </row>
    <row r="713">
      <c r="A713" s="2" t="s">
        <v>17391</v>
      </c>
    </row>
    <row r="715">
      <c r="A715" s="2" t="s">
        <v>15420</v>
      </c>
    </row>
    <row r="717">
      <c r="A717" s="2" t="s">
        <v>17392</v>
      </c>
    </row>
    <row r="718">
      <c r="A718" s="2" t="s">
        <v>17393</v>
      </c>
    </row>
    <row r="720">
      <c r="A720" s="2" t="s">
        <v>15424</v>
      </c>
    </row>
    <row r="722">
      <c r="A722" s="2" t="s">
        <v>17394</v>
      </c>
    </row>
    <row r="723">
      <c r="A723" s="2" t="s">
        <v>17395</v>
      </c>
    </row>
    <row r="725">
      <c r="A725" s="2" t="s">
        <v>15428</v>
      </c>
    </row>
    <row r="727">
      <c r="A727" s="2" t="s">
        <v>17396</v>
      </c>
    </row>
    <row r="728">
      <c r="A728" s="2" t="s">
        <v>17397</v>
      </c>
    </row>
    <row r="730">
      <c r="A730" s="2" t="s">
        <v>15432</v>
      </c>
    </row>
    <row r="732">
      <c r="A732" s="2" t="s">
        <v>15433</v>
      </c>
    </row>
    <row r="734">
      <c r="A734" s="2" t="s">
        <v>17398</v>
      </c>
    </row>
    <row r="735">
      <c r="A735" s="2" t="s">
        <v>17399</v>
      </c>
    </row>
    <row r="737">
      <c r="A737" s="2" t="s">
        <v>15437</v>
      </c>
    </row>
    <row r="739">
      <c r="A739" s="2" t="s">
        <v>17400</v>
      </c>
    </row>
    <row r="740">
      <c r="A740" s="2" t="s">
        <v>17401</v>
      </c>
    </row>
    <row r="742">
      <c r="A742" s="2" t="s">
        <v>15441</v>
      </c>
    </row>
    <row r="744">
      <c r="A744" s="2" t="s">
        <v>15442</v>
      </c>
    </row>
    <row r="746">
      <c r="A746" s="2" t="s">
        <v>17402</v>
      </c>
    </row>
    <row r="747">
      <c r="A747" s="2" t="s">
        <v>17403</v>
      </c>
    </row>
    <row r="749">
      <c r="A749" s="2" t="s">
        <v>15446</v>
      </c>
    </row>
    <row r="751">
      <c r="A751" s="2" t="s">
        <v>17404</v>
      </c>
    </row>
    <row r="752">
      <c r="A752" s="2" t="s">
        <v>17405</v>
      </c>
    </row>
    <row r="753">
      <c r="A753" s="2" t="s">
        <v>17406</v>
      </c>
    </row>
    <row r="754">
      <c r="A754" s="2" t="s">
        <v>17407</v>
      </c>
    </row>
    <row r="756">
      <c r="A756" s="2" t="s">
        <v>17408</v>
      </c>
    </row>
    <row r="757">
      <c r="A757" s="2" t="s">
        <v>17409</v>
      </c>
    </row>
    <row r="759">
      <c r="A759" s="2" t="s">
        <v>15457</v>
      </c>
    </row>
    <row r="761">
      <c r="A761" s="2" t="s">
        <v>15458</v>
      </c>
    </row>
    <row r="763">
      <c r="A763" s="2" t="s">
        <v>17410</v>
      </c>
    </row>
    <row r="764">
      <c r="A764" s="2" t="s">
        <v>17411</v>
      </c>
    </row>
    <row r="766">
      <c r="A766" s="2" t="s">
        <v>15462</v>
      </c>
    </row>
    <row r="768">
      <c r="A768" s="2" t="s">
        <v>17412</v>
      </c>
    </row>
    <row r="769">
      <c r="A769" s="2" t="s">
        <v>17413</v>
      </c>
    </row>
    <row r="771">
      <c r="A771" s="2" t="s">
        <v>15466</v>
      </c>
    </row>
    <row r="773">
      <c r="A773" s="2" t="s">
        <v>17414</v>
      </c>
    </row>
    <row r="774">
      <c r="A774" s="2" t="s">
        <v>17415</v>
      </c>
    </row>
    <row r="776">
      <c r="A776" s="2" t="s">
        <v>15470</v>
      </c>
    </row>
    <row r="778">
      <c r="A778" s="2" t="s">
        <v>17416</v>
      </c>
    </row>
    <row r="779">
      <c r="A779" s="2" t="s">
        <v>15472</v>
      </c>
    </row>
    <row r="781">
      <c r="A781" s="2" t="s">
        <v>7462</v>
      </c>
    </row>
    <row r="782">
      <c r="A782" s="2" t="s">
        <v>15473</v>
      </c>
    </row>
    <row r="784">
      <c r="A784" s="2" t="s">
        <v>15474</v>
      </c>
    </row>
    <row r="786">
      <c r="A786" s="2" t="s">
        <v>17417</v>
      </c>
    </row>
    <row r="787">
      <c r="A787" s="2" t="s">
        <v>17418</v>
      </c>
    </row>
    <row r="789">
      <c r="A789" s="2" t="s">
        <v>15478</v>
      </c>
    </row>
    <row r="791">
      <c r="A791" s="2" t="s">
        <v>15479</v>
      </c>
    </row>
    <row r="793">
      <c r="A793" s="2" t="s">
        <v>17419</v>
      </c>
    </row>
    <row r="794">
      <c r="A794" s="2" t="s">
        <v>17420</v>
      </c>
    </row>
    <row r="796">
      <c r="A796" s="2" t="s">
        <v>15483</v>
      </c>
    </row>
    <row r="798">
      <c r="A798" s="2" t="s">
        <v>15484</v>
      </c>
    </row>
    <row r="800">
      <c r="A800" s="2" t="s">
        <v>17421</v>
      </c>
    </row>
    <row r="801">
      <c r="A801" s="2" t="s">
        <v>17422</v>
      </c>
    </row>
    <row r="803">
      <c r="A803" s="2" t="s">
        <v>15488</v>
      </c>
    </row>
    <row r="805">
      <c r="A805" s="2" t="s">
        <v>17423</v>
      </c>
    </row>
    <row r="806">
      <c r="A806" s="2" t="s">
        <v>17424</v>
      </c>
    </row>
    <row r="807">
      <c r="A807" s="2" t="s">
        <v>17425</v>
      </c>
    </row>
    <row r="809">
      <c r="A809" s="2" t="s">
        <v>15494</v>
      </c>
    </row>
    <row r="811">
      <c r="A811" s="2" t="s">
        <v>15495</v>
      </c>
    </row>
    <row r="813">
      <c r="A813" s="2" t="s">
        <v>17426</v>
      </c>
    </row>
    <row r="814">
      <c r="A814" s="2" t="s">
        <v>17427</v>
      </c>
    </row>
    <row r="816">
      <c r="A816" s="2" t="s">
        <v>15499</v>
      </c>
    </row>
    <row r="818">
      <c r="A818" s="2" t="s">
        <v>15500</v>
      </c>
    </row>
    <row r="820">
      <c r="A820" s="2" t="s">
        <v>17428</v>
      </c>
    </row>
    <row r="821">
      <c r="A821" s="2" t="s">
        <v>17429</v>
      </c>
    </row>
    <row r="823">
      <c r="A823" s="2" t="s">
        <v>15504</v>
      </c>
    </row>
    <row r="825">
      <c r="A825" s="2" t="s">
        <v>17430</v>
      </c>
    </row>
    <row r="826">
      <c r="A826" s="2" t="s">
        <v>17431</v>
      </c>
    </row>
    <row r="828">
      <c r="A828" s="2" t="s">
        <v>15508</v>
      </c>
    </row>
    <row r="830">
      <c r="A830" s="2" t="s">
        <v>15509</v>
      </c>
    </row>
    <row r="832">
      <c r="A832" s="2" t="s">
        <v>17432</v>
      </c>
    </row>
    <row r="833">
      <c r="A833" s="2" t="s">
        <v>17433</v>
      </c>
    </row>
    <row r="835">
      <c r="A835" s="2" t="s">
        <v>15513</v>
      </c>
    </row>
    <row r="837">
      <c r="A837" s="2" t="s">
        <v>17434</v>
      </c>
    </row>
    <row r="838">
      <c r="A838" s="2" t="s">
        <v>17435</v>
      </c>
    </row>
    <row r="840">
      <c r="A840" s="2" t="s">
        <v>15517</v>
      </c>
    </row>
    <row r="842">
      <c r="A842" s="2" t="s">
        <v>15518</v>
      </c>
    </row>
    <row r="844">
      <c r="A844" s="2" t="s">
        <v>17436</v>
      </c>
    </row>
    <row r="845">
      <c r="A845" s="2" t="s">
        <v>17437</v>
      </c>
    </row>
    <row r="846">
      <c r="A846" s="2" t="s">
        <v>15521</v>
      </c>
    </row>
    <row r="848">
      <c r="A848" s="2" t="s">
        <v>7462</v>
      </c>
    </row>
    <row r="849">
      <c r="A849" s="2" t="s">
        <v>15522</v>
      </c>
    </row>
    <row r="851">
      <c r="A851" s="2" t="s">
        <v>17438</v>
      </c>
    </row>
    <row r="852">
      <c r="A852" s="2" t="s">
        <v>17439</v>
      </c>
    </row>
    <row r="854">
      <c r="A854" s="2" t="s">
        <v>17440</v>
      </c>
    </row>
    <row r="855">
      <c r="A855" s="2" t="s">
        <v>17441</v>
      </c>
    </row>
    <row r="856">
      <c r="A856" s="2" t="s">
        <v>7462</v>
      </c>
    </row>
    <row r="857">
      <c r="A857" s="2" t="s">
        <v>15528</v>
      </c>
    </row>
    <row r="859">
      <c r="A859" s="2" t="s">
        <v>15529</v>
      </c>
    </row>
    <row r="861">
      <c r="A861" s="2" t="s">
        <v>15530</v>
      </c>
    </row>
    <row r="862">
      <c r="A862" s="2" t="s">
        <v>17442</v>
      </c>
    </row>
    <row r="864">
      <c r="A864" s="2" t="s">
        <v>15533</v>
      </c>
    </row>
    <row r="866">
      <c r="A866" s="2" t="s">
        <v>15534</v>
      </c>
    </row>
    <row r="868">
      <c r="A868" s="2" t="s">
        <v>17443</v>
      </c>
    </row>
    <row r="869">
      <c r="A869" s="2" t="s">
        <v>17444</v>
      </c>
    </row>
    <row r="871">
      <c r="A871" s="2" t="s">
        <v>15538</v>
      </c>
    </row>
    <row r="873">
      <c r="A873" s="2" t="s">
        <v>17445</v>
      </c>
    </row>
    <row r="874">
      <c r="A874" s="2" t="s">
        <v>17446</v>
      </c>
    </row>
    <row r="876">
      <c r="A876" s="2" t="s">
        <v>15542</v>
      </c>
    </row>
    <row r="878">
      <c r="A878" s="2" t="s">
        <v>17447</v>
      </c>
    </row>
    <row r="879">
      <c r="A879" s="2" t="s">
        <v>17448</v>
      </c>
    </row>
    <row r="881">
      <c r="A881" s="2" t="s">
        <v>15546</v>
      </c>
    </row>
    <row r="883">
      <c r="A883" s="2" t="s">
        <v>17449</v>
      </c>
    </row>
    <row r="884">
      <c r="A884" s="2" t="s">
        <v>17450</v>
      </c>
    </row>
    <row r="886">
      <c r="A886" s="2" t="s">
        <v>15550</v>
      </c>
    </row>
    <row r="888">
      <c r="A888" s="2" t="s">
        <v>17451</v>
      </c>
    </row>
    <row r="889">
      <c r="A889" s="2" t="s">
        <v>17452</v>
      </c>
    </row>
    <row r="891">
      <c r="A891" s="2" t="s">
        <v>15554</v>
      </c>
    </row>
    <row r="893">
      <c r="A893" s="2" t="s">
        <v>15555</v>
      </c>
    </row>
    <row r="895">
      <c r="A895" s="2" t="s">
        <v>17453</v>
      </c>
    </row>
    <row r="896">
      <c r="A896" s="2" t="s">
        <v>17454</v>
      </c>
    </row>
    <row r="898">
      <c r="A898" s="2" t="s">
        <v>15559</v>
      </c>
    </row>
    <row r="900">
      <c r="A900" s="2" t="s">
        <v>15560</v>
      </c>
    </row>
    <row r="902">
      <c r="A902" s="2" t="s">
        <v>17455</v>
      </c>
    </row>
    <row r="903">
      <c r="A903" s="2" t="s">
        <v>17456</v>
      </c>
    </row>
    <row r="905">
      <c r="A905" s="2" t="s">
        <v>15564</v>
      </c>
    </row>
    <row r="907">
      <c r="A907" s="2" t="s">
        <v>15565</v>
      </c>
    </row>
    <row r="909">
      <c r="A909" s="2" t="s">
        <v>17457</v>
      </c>
    </row>
    <row r="910">
      <c r="A910" s="2" t="s">
        <v>17458</v>
      </c>
    </row>
    <row r="912">
      <c r="A912" s="2" t="s">
        <v>15569</v>
      </c>
    </row>
    <row r="914">
      <c r="A914" s="2" t="s">
        <v>17459</v>
      </c>
    </row>
    <row r="915">
      <c r="A915" s="2" t="s">
        <v>17460</v>
      </c>
    </row>
    <row r="917">
      <c r="A917" s="2" t="s">
        <v>15573</v>
      </c>
    </row>
    <row r="919">
      <c r="A919" s="2" t="s">
        <v>15574</v>
      </c>
    </row>
    <row r="921">
      <c r="A921" s="2" t="s">
        <v>17461</v>
      </c>
    </row>
    <row r="922">
      <c r="A922" s="2" t="s">
        <v>17462</v>
      </c>
    </row>
    <row r="924">
      <c r="A924" s="2" t="s">
        <v>15578</v>
      </c>
    </row>
    <row r="926">
      <c r="A926" s="2" t="s">
        <v>15579</v>
      </c>
    </row>
    <row r="928">
      <c r="A928" s="2" t="s">
        <v>17463</v>
      </c>
    </row>
    <row r="929">
      <c r="A929" s="2" t="s">
        <v>17464</v>
      </c>
    </row>
    <row r="931">
      <c r="A931" s="2" t="s">
        <v>7577</v>
      </c>
    </row>
    <row r="932">
      <c r="A932" s="2" t="s">
        <v>15583</v>
      </c>
    </row>
    <row r="934">
      <c r="A934" s="2" t="s">
        <v>15584</v>
      </c>
    </row>
    <row r="935">
      <c r="A935" s="2" t="s">
        <v>17465</v>
      </c>
    </row>
    <row r="936">
      <c r="A936" s="2" t="s">
        <v>17466</v>
      </c>
    </row>
    <row r="938">
      <c r="A938" s="2" t="s">
        <v>15588</v>
      </c>
    </row>
    <row r="940">
      <c r="A940" s="2" t="s">
        <v>15589</v>
      </c>
    </row>
    <row r="942">
      <c r="A942" s="2" t="s">
        <v>17467</v>
      </c>
    </row>
    <row r="943">
      <c r="A943" s="2" t="s">
        <v>17468</v>
      </c>
    </row>
    <row r="945">
      <c r="A945" s="2" t="s">
        <v>15593</v>
      </c>
    </row>
    <row r="947">
      <c r="A947" s="2" t="s">
        <v>15594</v>
      </c>
    </row>
    <row r="949">
      <c r="A949" s="2" t="s">
        <v>17469</v>
      </c>
    </row>
    <row r="950">
      <c r="A950" s="2" t="s">
        <v>17470</v>
      </c>
    </row>
    <row r="952">
      <c r="A952" s="2" t="s">
        <v>15598</v>
      </c>
    </row>
    <row r="954">
      <c r="A954" s="2" t="s">
        <v>15599</v>
      </c>
    </row>
    <row r="956">
      <c r="A956" s="2" t="s">
        <v>17471</v>
      </c>
    </row>
    <row r="957">
      <c r="A957" s="2" t="s">
        <v>17472</v>
      </c>
    </row>
    <row r="959">
      <c r="A959" s="2" t="s">
        <v>15603</v>
      </c>
    </row>
    <row r="961">
      <c r="A961" s="2" t="s">
        <v>15604</v>
      </c>
    </row>
    <row r="963">
      <c r="A963" s="2" t="s">
        <v>17473</v>
      </c>
    </row>
    <row r="964">
      <c r="A964" s="2" t="s">
        <v>17474</v>
      </c>
    </row>
    <row r="966">
      <c r="A966" s="2" t="s">
        <v>15608</v>
      </c>
    </row>
    <row r="968">
      <c r="A968" s="2" t="s">
        <v>17475</v>
      </c>
    </row>
    <row r="969">
      <c r="A969" s="2" t="s">
        <v>17476</v>
      </c>
    </row>
    <row r="971">
      <c r="A971" s="2" t="s">
        <v>15612</v>
      </c>
    </row>
    <row r="973">
      <c r="A973" s="2" t="s">
        <v>17477</v>
      </c>
    </row>
    <row r="974">
      <c r="A974" s="2" t="s">
        <v>17478</v>
      </c>
    </row>
    <row r="976">
      <c r="A976" s="2" t="s">
        <v>15616</v>
      </c>
    </row>
    <row r="978">
      <c r="A978" s="2" t="s">
        <v>17479</v>
      </c>
    </row>
    <row r="979">
      <c r="A979" s="2" t="s">
        <v>17480</v>
      </c>
    </row>
    <row r="980">
      <c r="A980" s="2" t="s">
        <v>17481</v>
      </c>
    </row>
    <row r="982">
      <c r="A982" s="2" t="s">
        <v>15622</v>
      </c>
    </row>
    <row r="984">
      <c r="A984" s="2" t="s">
        <v>17482</v>
      </c>
    </row>
    <row r="985">
      <c r="A985" s="2" t="s">
        <v>17483</v>
      </c>
    </row>
    <row r="987">
      <c r="A987" s="2" t="s">
        <v>15626</v>
      </c>
    </row>
    <row r="989">
      <c r="A989" s="2" t="s">
        <v>17484</v>
      </c>
    </row>
    <row r="990">
      <c r="A990" s="2" t="s">
        <v>17485</v>
      </c>
    </row>
    <row r="992">
      <c r="A992" s="2" t="s">
        <v>15630</v>
      </c>
    </row>
    <row r="994">
      <c r="A994" s="2" t="s">
        <v>15631</v>
      </c>
    </row>
    <row r="996">
      <c r="A996" s="2" t="s">
        <v>17486</v>
      </c>
    </row>
    <row r="997">
      <c r="A997" s="2" t="s">
        <v>17487</v>
      </c>
    </row>
    <row r="999">
      <c r="A999" s="2" t="s">
        <v>15635</v>
      </c>
    </row>
    <row r="1001">
      <c r="A1001" s="2" t="s">
        <v>15636</v>
      </c>
    </row>
    <row r="1003">
      <c r="A1003" s="2" t="s">
        <v>17488</v>
      </c>
    </row>
    <row r="1004">
      <c r="A1004" s="2" t="s">
        <v>17489</v>
      </c>
    </row>
    <row r="1006">
      <c r="A1006" s="2" t="s">
        <v>15640</v>
      </c>
    </row>
    <row r="1008">
      <c r="A1008" s="2" t="s">
        <v>15641</v>
      </c>
    </row>
    <row r="1010">
      <c r="A1010" s="2" t="s">
        <v>17490</v>
      </c>
    </row>
    <row r="1011">
      <c r="A1011" s="2" t="s">
        <v>17491</v>
      </c>
    </row>
    <row r="1013">
      <c r="A1013" s="2" t="s">
        <v>7462</v>
      </c>
    </row>
    <row r="1014">
      <c r="A1014" s="2" t="s">
        <v>15644</v>
      </c>
    </row>
    <row r="1016">
      <c r="A1016" s="2" t="s">
        <v>15645</v>
      </c>
    </row>
    <row r="1018">
      <c r="A1018" s="2" t="s">
        <v>17492</v>
      </c>
    </row>
    <row r="1019">
      <c r="A1019" s="2" t="s">
        <v>17493</v>
      </c>
    </row>
    <row r="1020">
      <c r="A1020" s="2" t="s">
        <v>17494</v>
      </c>
    </row>
    <row r="1022">
      <c r="A1022" s="2" t="s">
        <v>15651</v>
      </c>
    </row>
    <row r="1024">
      <c r="A1024" s="2" t="s">
        <v>15652</v>
      </c>
    </row>
    <row r="1026">
      <c r="A1026" s="2" t="s">
        <v>17495</v>
      </c>
    </row>
    <row r="1027">
      <c r="A1027" s="2" t="s">
        <v>17496</v>
      </c>
    </row>
    <row r="1029">
      <c r="A1029" s="2" t="s">
        <v>15656</v>
      </c>
    </row>
    <row r="1031">
      <c r="A1031" s="2" t="s">
        <v>15657</v>
      </c>
    </row>
    <row r="1033">
      <c r="A1033" s="2" t="s">
        <v>17497</v>
      </c>
    </row>
    <row r="1034">
      <c r="A1034" s="2" t="s">
        <v>17498</v>
      </c>
    </row>
    <row r="1036">
      <c r="A1036" s="2" t="s">
        <v>15661</v>
      </c>
    </row>
    <row r="1038">
      <c r="A1038" s="2" t="s">
        <v>15662</v>
      </c>
    </row>
    <row r="1040">
      <c r="A1040" s="2" t="s">
        <v>17499</v>
      </c>
    </row>
    <row r="1041">
      <c r="A1041" s="2" t="s">
        <v>17500</v>
      </c>
    </row>
    <row r="1043">
      <c r="A1043" s="2" t="s">
        <v>15666</v>
      </c>
    </row>
    <row r="1045">
      <c r="A1045" s="2" t="s">
        <v>15667</v>
      </c>
    </row>
    <row r="1047">
      <c r="A1047" s="2" t="s">
        <v>17501</v>
      </c>
    </row>
    <row r="1048">
      <c r="A1048" s="2" t="s">
        <v>17502</v>
      </c>
    </row>
    <row r="1050">
      <c r="A1050" s="2" t="s">
        <v>15671</v>
      </c>
    </row>
    <row r="1052">
      <c r="A1052" s="2" t="s">
        <v>17503</v>
      </c>
    </row>
    <row r="1053">
      <c r="A1053" s="2" t="s">
        <v>17504</v>
      </c>
    </row>
    <row r="1055">
      <c r="A1055" s="2" t="s">
        <v>15675</v>
      </c>
    </row>
    <row r="1057">
      <c r="A1057" s="2" t="s">
        <v>17505</v>
      </c>
    </row>
    <row r="1058">
      <c r="A1058" s="2" t="s">
        <v>15677</v>
      </c>
    </row>
    <row r="1060">
      <c r="A1060" s="2" t="s">
        <v>7462</v>
      </c>
    </row>
    <row r="1061">
      <c r="A1061" s="2" t="s">
        <v>15678</v>
      </c>
    </row>
    <row r="1063">
      <c r="A1063" s="2" t="s">
        <v>15679</v>
      </c>
    </row>
    <row r="1065">
      <c r="A1065" s="2" t="s">
        <v>17506</v>
      </c>
    </row>
    <row r="1066">
      <c r="A1066" s="2" t="s">
        <v>17507</v>
      </c>
    </row>
    <row r="1068">
      <c r="A1068" s="2" t="s">
        <v>15683</v>
      </c>
    </row>
    <row r="1070">
      <c r="A1070" s="2" t="s">
        <v>15684</v>
      </c>
    </row>
    <row r="1072">
      <c r="A1072" s="2" t="s">
        <v>15685</v>
      </c>
    </row>
    <row r="1074">
      <c r="A1074" s="2" t="s">
        <v>17508</v>
      </c>
    </row>
    <row r="1075">
      <c r="A1075" s="2" t="s">
        <v>17509</v>
      </c>
    </row>
    <row r="1077">
      <c r="A1077" s="2" t="s">
        <v>15689</v>
      </c>
    </row>
    <row r="1079">
      <c r="A1079" s="2" t="s">
        <v>15690</v>
      </c>
    </row>
    <row r="1081">
      <c r="A1081" s="2" t="s">
        <v>17510</v>
      </c>
    </row>
    <row r="1082">
      <c r="A1082" s="2" t="s">
        <v>17511</v>
      </c>
    </row>
    <row r="1084">
      <c r="A1084" s="2" t="s">
        <v>17512</v>
      </c>
    </row>
    <row r="1085">
      <c r="A1085" s="2" t="s">
        <v>17513</v>
      </c>
    </row>
    <row r="1087">
      <c r="A1087" s="2" t="s">
        <v>15697</v>
      </c>
    </row>
    <row r="1089">
      <c r="A1089" s="2" t="s">
        <v>15698</v>
      </c>
    </row>
    <row r="1091">
      <c r="A1091" s="2" t="s">
        <v>17514</v>
      </c>
    </row>
    <row r="1092">
      <c r="A1092" s="2" t="s">
        <v>17515</v>
      </c>
    </row>
    <row r="1094">
      <c r="A1094" s="2" t="s">
        <v>15702</v>
      </c>
    </row>
    <row r="1096">
      <c r="A1096" s="2" t="s">
        <v>17516</v>
      </c>
    </row>
    <row r="1097">
      <c r="A1097" s="2" t="s">
        <v>17517</v>
      </c>
    </row>
    <row r="1099">
      <c r="A1099" s="2" t="s">
        <v>15706</v>
      </c>
    </row>
    <row r="1101">
      <c r="A1101" s="2" t="s">
        <v>15707</v>
      </c>
    </row>
    <row r="1103">
      <c r="A1103" s="2" t="s">
        <v>17518</v>
      </c>
    </row>
    <row r="1104">
      <c r="A1104" s="2" t="s">
        <v>17519</v>
      </c>
    </row>
    <row r="1106">
      <c r="A1106" s="2" t="s">
        <v>15711</v>
      </c>
    </row>
    <row r="1108">
      <c r="A1108" s="2" t="s">
        <v>15712</v>
      </c>
    </row>
    <row r="1110">
      <c r="A1110" s="2" t="s">
        <v>17520</v>
      </c>
    </row>
    <row r="1111">
      <c r="A1111" s="2" t="s">
        <v>17521</v>
      </c>
    </row>
    <row r="1113">
      <c r="A1113" s="2" t="s">
        <v>15716</v>
      </c>
    </row>
    <row r="1115">
      <c r="A1115" s="2" t="s">
        <v>17522</v>
      </c>
    </row>
    <row r="1116">
      <c r="A1116" s="2" t="s">
        <v>17523</v>
      </c>
    </row>
    <row r="1118">
      <c r="A1118" s="2" t="s">
        <v>15720</v>
      </c>
    </row>
    <row r="1120">
      <c r="A1120" s="2" t="s">
        <v>17524</v>
      </c>
    </row>
    <row r="1121">
      <c r="A1121" s="2" t="s">
        <v>17525</v>
      </c>
    </row>
    <row r="1123">
      <c r="A1123" s="2" t="s">
        <v>15724</v>
      </c>
    </row>
    <row r="1125">
      <c r="A1125" s="2" t="s">
        <v>15725</v>
      </c>
    </row>
    <row r="1127">
      <c r="A1127" s="2" t="s">
        <v>17526</v>
      </c>
    </row>
    <row r="1128">
      <c r="A1128" s="2" t="s">
        <v>17527</v>
      </c>
    </row>
    <row r="1130">
      <c r="A1130" s="2" t="s">
        <v>15729</v>
      </c>
    </row>
    <row r="1132">
      <c r="A1132" s="2" t="s">
        <v>15730</v>
      </c>
    </row>
    <row r="1134">
      <c r="A1134" s="2" t="s">
        <v>17528</v>
      </c>
    </row>
    <row r="1135">
      <c r="A1135" s="2" t="s">
        <v>17529</v>
      </c>
    </row>
    <row r="1137">
      <c r="A1137" s="2" t="s">
        <v>15733</v>
      </c>
    </row>
    <row r="1139">
      <c r="A1139" s="2" t="s">
        <v>15734</v>
      </c>
    </row>
    <row r="1141">
      <c r="A1141" s="2" t="s">
        <v>15735</v>
      </c>
    </row>
    <row r="1143">
      <c r="A1143" s="2" t="s">
        <v>15736</v>
      </c>
    </row>
    <row r="1145">
      <c r="A1145" s="2" t="s">
        <v>17530</v>
      </c>
    </row>
    <row r="1146">
      <c r="A1146" s="2" t="s">
        <v>17531</v>
      </c>
    </row>
    <row r="1148">
      <c r="A1148" s="2" t="s">
        <v>15740</v>
      </c>
    </row>
    <row r="1150">
      <c r="A1150" s="2" t="s">
        <v>15741</v>
      </c>
    </row>
    <row r="1152">
      <c r="A1152" s="2" t="s">
        <v>17532</v>
      </c>
    </row>
    <row r="1153">
      <c r="A1153" s="2" t="s">
        <v>17533</v>
      </c>
    </row>
    <row r="1155">
      <c r="A1155" s="2" t="s">
        <v>15745</v>
      </c>
    </row>
    <row r="1157">
      <c r="A1157" s="2" t="s">
        <v>15746</v>
      </c>
    </row>
    <row r="1159">
      <c r="A1159" s="2" t="s">
        <v>17534</v>
      </c>
    </row>
    <row r="1160">
      <c r="A1160" s="2" t="s">
        <v>17535</v>
      </c>
    </row>
    <row r="1162">
      <c r="A1162" s="2" t="s">
        <v>15750</v>
      </c>
    </row>
    <row r="1164">
      <c r="A1164" s="2" t="s">
        <v>15751</v>
      </c>
    </row>
    <row r="1166">
      <c r="A1166" s="2" t="s">
        <v>17536</v>
      </c>
    </row>
    <row r="1167">
      <c r="A1167" s="2" t="s">
        <v>17537</v>
      </c>
    </row>
    <row r="1169">
      <c r="A1169" s="2" t="s">
        <v>15755</v>
      </c>
    </row>
    <row r="1171">
      <c r="A1171" s="2" t="s">
        <v>17538</v>
      </c>
    </row>
    <row r="1172">
      <c r="A1172" s="2" t="s">
        <v>17539</v>
      </c>
    </row>
    <row r="1174">
      <c r="A1174" s="2" t="s">
        <v>15759</v>
      </c>
    </row>
    <row r="1176">
      <c r="A1176" s="2" t="s">
        <v>17540</v>
      </c>
    </row>
    <row r="1177">
      <c r="A1177" s="2" t="s">
        <v>17541</v>
      </c>
    </row>
    <row r="1178">
      <c r="A1178" s="2" t="s">
        <v>7462</v>
      </c>
    </row>
    <row r="1179">
      <c r="A1179" s="2" t="s">
        <v>15762</v>
      </c>
    </row>
    <row r="1181">
      <c r="A1181" s="2" t="s">
        <v>15763</v>
      </c>
    </row>
    <row r="1183">
      <c r="A1183" s="2" t="s">
        <v>15764</v>
      </c>
    </row>
    <row r="1185">
      <c r="A1185" s="2" t="s">
        <v>17542</v>
      </c>
    </row>
    <row r="1186">
      <c r="A1186" s="2" t="s">
        <v>17543</v>
      </c>
    </row>
    <row r="1188">
      <c r="A1188" s="2" t="s">
        <v>15768</v>
      </c>
    </row>
    <row r="1190">
      <c r="A1190" s="2" t="s">
        <v>17544</v>
      </c>
    </row>
    <row r="1191">
      <c r="A1191" s="2" t="s">
        <v>17545</v>
      </c>
    </row>
    <row r="1193">
      <c r="A1193" s="2" t="s">
        <v>15772</v>
      </c>
    </row>
    <row r="1195">
      <c r="A1195" s="2" t="s">
        <v>15773</v>
      </c>
    </row>
    <row r="1197">
      <c r="A1197" s="2" t="s">
        <v>17546</v>
      </c>
    </row>
    <row r="1198">
      <c r="A1198" s="2" t="s">
        <v>17547</v>
      </c>
    </row>
    <row r="1200">
      <c r="A1200" s="2" t="s">
        <v>17548</v>
      </c>
    </row>
    <row r="1201">
      <c r="A1201" s="2" t="s">
        <v>17549</v>
      </c>
    </row>
    <row r="1203">
      <c r="A1203" s="2" t="s">
        <v>7462</v>
      </c>
    </row>
    <row r="1204">
      <c r="A1204" s="2" t="s">
        <v>15779</v>
      </c>
    </row>
    <row r="1206">
      <c r="A1206" s="2" t="s">
        <v>15780</v>
      </c>
    </row>
    <row r="1208">
      <c r="A1208" s="2" t="s">
        <v>15781</v>
      </c>
    </row>
    <row r="1210">
      <c r="A1210" s="2" t="s">
        <v>17550</v>
      </c>
    </row>
    <row r="1211">
      <c r="A1211" s="2" t="s">
        <v>17551</v>
      </c>
    </row>
    <row r="1213">
      <c r="A1213" s="2" t="s">
        <v>15785</v>
      </c>
    </row>
    <row r="1215">
      <c r="A1215" s="2" t="s">
        <v>17552</v>
      </c>
    </row>
    <row r="1216">
      <c r="A1216" s="2" t="s">
        <v>17553</v>
      </c>
    </row>
    <row r="1218">
      <c r="A1218" s="2" t="s">
        <v>15789</v>
      </c>
    </row>
    <row r="1220">
      <c r="A1220" s="2" t="s">
        <v>17554</v>
      </c>
    </row>
    <row r="1221">
      <c r="A1221" s="2" t="s">
        <v>17555</v>
      </c>
    </row>
    <row r="1223">
      <c r="A1223" s="2" t="s">
        <v>15793</v>
      </c>
    </row>
    <row r="1225">
      <c r="A1225" s="2" t="s">
        <v>15794</v>
      </c>
    </row>
    <row r="1227">
      <c r="A1227" s="2" t="s">
        <v>17556</v>
      </c>
    </row>
    <row r="1228">
      <c r="A1228" s="2" t="s">
        <v>17557</v>
      </c>
    </row>
    <row r="1230">
      <c r="A1230" s="2" t="s">
        <v>15798</v>
      </c>
    </row>
    <row r="1232">
      <c r="A1232" s="2" t="s">
        <v>17558</v>
      </c>
    </row>
    <row r="1233">
      <c r="A1233" s="2" t="s">
        <v>17559</v>
      </c>
    </row>
    <row r="1235">
      <c r="A1235" s="2" t="s">
        <v>15802</v>
      </c>
    </row>
    <row r="1237">
      <c r="A1237" s="2" t="s">
        <v>15803</v>
      </c>
    </row>
    <row r="1239">
      <c r="A1239" s="2" t="s">
        <v>17560</v>
      </c>
    </row>
    <row r="1240">
      <c r="A1240" s="2" t="s">
        <v>17561</v>
      </c>
    </row>
    <row r="1242">
      <c r="A1242" s="2" t="s">
        <v>15807</v>
      </c>
    </row>
    <row r="1244">
      <c r="A1244" s="2" t="s">
        <v>17562</v>
      </c>
    </row>
    <row r="1245">
      <c r="A1245" s="2" t="s">
        <v>17563</v>
      </c>
    </row>
    <row r="1247">
      <c r="A1247" s="2" t="s">
        <v>7462</v>
      </c>
    </row>
    <row r="1248">
      <c r="A1248" s="2" t="s">
        <v>15810</v>
      </c>
    </row>
    <row r="1250">
      <c r="A1250" s="2" t="s">
        <v>15811</v>
      </c>
    </row>
    <row r="1252">
      <c r="A1252" s="2" t="s">
        <v>17564</v>
      </c>
    </row>
    <row r="1253">
      <c r="A1253" s="2" t="s">
        <v>17565</v>
      </c>
    </row>
    <row r="1255">
      <c r="A1255" s="2" t="s">
        <v>15815</v>
      </c>
    </row>
    <row r="1257">
      <c r="A1257" s="2" t="s">
        <v>15816</v>
      </c>
    </row>
    <row r="1259">
      <c r="A1259" s="2" t="s">
        <v>17566</v>
      </c>
    </row>
    <row r="1260">
      <c r="A1260" s="2" t="s">
        <v>17567</v>
      </c>
    </row>
    <row r="1262">
      <c r="A1262" s="2" t="s">
        <v>15820</v>
      </c>
    </row>
    <row r="1264">
      <c r="A1264" s="2" t="s">
        <v>15821</v>
      </c>
    </row>
    <row r="1266">
      <c r="A1266" s="2" t="s">
        <v>17568</v>
      </c>
    </row>
    <row r="1267">
      <c r="A1267" s="2" t="s">
        <v>17569</v>
      </c>
    </row>
    <row r="1269">
      <c r="A1269" s="2" t="s">
        <v>15825</v>
      </c>
    </row>
    <row r="1271">
      <c r="A1271" s="2" t="s">
        <v>15826</v>
      </c>
    </row>
    <row r="1273">
      <c r="A1273" s="2" t="s">
        <v>17570</v>
      </c>
    </row>
    <row r="1274">
      <c r="A1274" s="2" t="s">
        <v>17571</v>
      </c>
    </row>
    <row r="1275">
      <c r="A1275" s="2" t="s">
        <v>7462</v>
      </c>
    </row>
    <row r="1276">
      <c r="A1276" s="2" t="s">
        <v>15829</v>
      </c>
    </row>
    <row r="1278">
      <c r="A1278" s="2" t="s">
        <v>15830</v>
      </c>
    </row>
    <row r="1280">
      <c r="A1280" s="2" t="s">
        <v>15831</v>
      </c>
    </row>
    <row r="1282">
      <c r="A1282" s="2" t="s">
        <v>17572</v>
      </c>
    </row>
    <row r="1283">
      <c r="A1283" s="2" t="s">
        <v>17573</v>
      </c>
    </row>
    <row r="1285">
      <c r="A1285" s="2" t="s">
        <v>15835</v>
      </c>
    </row>
    <row r="1287">
      <c r="A1287" s="2" t="s">
        <v>15836</v>
      </c>
    </row>
    <row r="1289">
      <c r="A1289" s="2" t="s">
        <v>17574</v>
      </c>
    </row>
    <row r="1290">
      <c r="A1290" s="2" t="s">
        <v>17575</v>
      </c>
    </row>
    <row r="1292">
      <c r="A1292" s="2" t="s">
        <v>15840</v>
      </c>
    </row>
    <row r="1294">
      <c r="A1294" s="2" t="s">
        <v>17576</v>
      </c>
    </row>
    <row r="1295">
      <c r="A1295" s="2" t="s">
        <v>17577</v>
      </c>
    </row>
    <row r="1297">
      <c r="A1297" s="2" t="s">
        <v>15844</v>
      </c>
    </row>
    <row r="1299">
      <c r="A1299" s="2" t="s">
        <v>15845</v>
      </c>
    </row>
    <row r="1301">
      <c r="A1301" s="2" t="s">
        <v>17578</v>
      </c>
    </row>
    <row r="1302">
      <c r="A1302" s="2" t="s">
        <v>17579</v>
      </c>
    </row>
    <row r="1304">
      <c r="A1304" s="2" t="s">
        <v>15849</v>
      </c>
    </row>
    <row r="1306">
      <c r="A1306" s="2" t="s">
        <v>17580</v>
      </c>
    </row>
    <row r="1307">
      <c r="A1307" s="2" t="s">
        <v>17581</v>
      </c>
    </row>
    <row r="1309">
      <c r="A1309" s="2" t="s">
        <v>15853</v>
      </c>
    </row>
    <row r="1311">
      <c r="A1311" s="2" t="s">
        <v>15854</v>
      </c>
    </row>
    <row r="1313">
      <c r="A1313" s="2" t="s">
        <v>17582</v>
      </c>
    </row>
    <row r="1314">
      <c r="A1314" s="2" t="s">
        <v>17583</v>
      </c>
    </row>
    <row r="1316">
      <c r="A1316" s="2" t="s">
        <v>7462</v>
      </c>
    </row>
    <row r="1317">
      <c r="A1317" s="2" t="s">
        <v>15857</v>
      </c>
    </row>
    <row r="1319">
      <c r="A1319" s="2" t="s">
        <v>15858</v>
      </c>
    </row>
    <row r="1321">
      <c r="A1321" s="2" t="s">
        <v>15859</v>
      </c>
    </row>
    <row r="1323">
      <c r="A1323" s="2" t="s">
        <v>17584</v>
      </c>
    </row>
    <row r="1324">
      <c r="A1324" s="2" t="s">
        <v>17585</v>
      </c>
    </row>
    <row r="1326">
      <c r="A1326" s="2" t="s">
        <v>15863</v>
      </c>
    </row>
    <row r="1328">
      <c r="A1328" s="2" t="s">
        <v>15864</v>
      </c>
    </row>
    <row r="1329">
      <c r="A1329" s="2" t="s">
        <v>17586</v>
      </c>
    </row>
    <row r="1331">
      <c r="A1331" s="2" t="s">
        <v>15867</v>
      </c>
    </row>
    <row r="1333">
      <c r="A1333" s="2" t="s">
        <v>15868</v>
      </c>
    </row>
    <row r="1335">
      <c r="A1335" s="2" t="s">
        <v>17587</v>
      </c>
    </row>
    <row r="1336">
      <c r="A1336" s="2" t="s">
        <v>17588</v>
      </c>
    </row>
    <row r="1338">
      <c r="A1338" s="2" t="s">
        <v>15872</v>
      </c>
    </row>
    <row r="1340">
      <c r="A1340" s="2" t="s">
        <v>15873</v>
      </c>
    </row>
    <row r="1342">
      <c r="A1342" s="2" t="s">
        <v>17589</v>
      </c>
    </row>
    <row r="1343">
      <c r="A1343" s="2" t="s">
        <v>17590</v>
      </c>
    </row>
    <row r="1345">
      <c r="A1345" s="2" t="s">
        <v>7462</v>
      </c>
    </row>
    <row r="1346">
      <c r="A1346" s="2" t="s">
        <v>17591</v>
      </c>
    </row>
    <row r="1347">
      <c r="A1347" s="2" t="s">
        <v>17592</v>
      </c>
    </row>
    <row r="1349">
      <c r="A1349" s="2" t="s">
        <v>15879</v>
      </c>
    </row>
    <row r="1351">
      <c r="A1351" s="2" t="s">
        <v>15880</v>
      </c>
    </row>
    <row r="1353">
      <c r="A1353" s="2" t="s">
        <v>17593</v>
      </c>
    </row>
    <row r="1354">
      <c r="A1354" s="2" t="s">
        <v>17594</v>
      </c>
    </row>
    <row r="1356">
      <c r="A1356" s="2" t="s">
        <v>15884</v>
      </c>
    </row>
    <row r="1358">
      <c r="A1358" s="2" t="s">
        <v>15885</v>
      </c>
    </row>
    <row r="1360">
      <c r="A1360" s="2" t="s">
        <v>17595</v>
      </c>
    </row>
    <row r="1361">
      <c r="A1361" s="2" t="s">
        <v>17596</v>
      </c>
    </row>
    <row r="1363">
      <c r="A1363" s="2" t="s">
        <v>15889</v>
      </c>
    </row>
    <row r="1365">
      <c r="A1365" s="2" t="s">
        <v>17597</v>
      </c>
    </row>
    <row r="1366">
      <c r="A1366" s="2" t="s">
        <v>17598</v>
      </c>
    </row>
    <row r="1368">
      <c r="A1368" s="2" t="s">
        <v>15893</v>
      </c>
    </row>
    <row r="1370">
      <c r="A1370" s="2" t="s">
        <v>15894</v>
      </c>
    </row>
    <row r="1372">
      <c r="A1372" s="2" t="s">
        <v>17599</v>
      </c>
    </row>
    <row r="1373">
      <c r="A1373" s="2" t="s">
        <v>17600</v>
      </c>
    </row>
    <row r="1375">
      <c r="A1375" s="2" t="s">
        <v>15898</v>
      </c>
    </row>
    <row r="1377">
      <c r="A1377" s="2" t="s">
        <v>17601</v>
      </c>
    </row>
    <row r="1378">
      <c r="A1378" s="2" t="s">
        <v>17602</v>
      </c>
    </row>
    <row r="1379">
      <c r="A1379" s="2" t="s">
        <v>17603</v>
      </c>
    </row>
    <row r="1381">
      <c r="A1381" s="2" t="s">
        <v>15904</v>
      </c>
    </row>
    <row r="1383">
      <c r="A1383" s="2" t="s">
        <v>17604</v>
      </c>
    </row>
    <row r="1384">
      <c r="A1384" s="2" t="s">
        <v>17605</v>
      </c>
    </row>
    <row r="1386">
      <c r="A1386" s="2" t="s">
        <v>15908</v>
      </c>
    </row>
    <row r="1388">
      <c r="A1388" s="2" t="s">
        <v>17606</v>
      </c>
    </row>
    <row r="1389">
      <c r="A1389" s="2" t="s">
        <v>17607</v>
      </c>
    </row>
    <row r="1391">
      <c r="A1391" s="2" t="s">
        <v>17608</v>
      </c>
    </row>
    <row r="1392">
      <c r="A1392" s="2" t="s">
        <v>17609</v>
      </c>
    </row>
    <row r="1394">
      <c r="A1394" s="2" t="s">
        <v>15915</v>
      </c>
    </row>
    <row r="1396">
      <c r="A1396" s="2" t="s">
        <v>15916</v>
      </c>
    </row>
    <row r="1398">
      <c r="A1398" s="2" t="s">
        <v>17610</v>
      </c>
    </row>
    <row r="1399">
      <c r="A1399" s="2" t="s">
        <v>17611</v>
      </c>
    </row>
    <row r="1401">
      <c r="A1401" s="2" t="s">
        <v>15920</v>
      </c>
    </row>
    <row r="1403">
      <c r="A1403" s="2" t="s">
        <v>17612</v>
      </c>
    </row>
    <row r="1404">
      <c r="A1404" s="2" t="s">
        <v>17613</v>
      </c>
    </row>
    <row r="1406">
      <c r="A1406" s="2" t="s">
        <v>7462</v>
      </c>
    </row>
    <row r="1407">
      <c r="A1407" s="2" t="s">
        <v>15923</v>
      </c>
    </row>
    <row r="1409">
      <c r="A1409" s="2" t="s">
        <v>15924</v>
      </c>
    </row>
    <row r="1411">
      <c r="A1411" s="2" t="s">
        <v>15925</v>
      </c>
    </row>
    <row r="1413">
      <c r="A1413" s="2" t="s">
        <v>17614</v>
      </c>
    </row>
    <row r="1414">
      <c r="A1414" s="2" t="s">
        <v>17615</v>
      </c>
    </row>
    <row r="1416">
      <c r="A1416" s="2" t="s">
        <v>15929</v>
      </c>
    </row>
    <row r="1418">
      <c r="A1418" s="2" t="s">
        <v>17616</v>
      </c>
    </row>
    <row r="1419">
      <c r="A1419" s="2" t="s">
        <v>17617</v>
      </c>
    </row>
    <row r="1421">
      <c r="A1421" s="2" t="s">
        <v>15933</v>
      </c>
    </row>
    <row r="1423">
      <c r="A1423" s="2" t="s">
        <v>15934</v>
      </c>
    </row>
    <row r="1425">
      <c r="A1425" s="2" t="s">
        <v>17618</v>
      </c>
    </row>
    <row r="1426">
      <c r="A1426" s="2" t="s">
        <v>17619</v>
      </c>
    </row>
    <row r="1428">
      <c r="A1428" s="2" t="s">
        <v>15938</v>
      </c>
    </row>
    <row r="1430">
      <c r="A1430" s="2" t="s">
        <v>15939</v>
      </c>
    </row>
    <row r="1432">
      <c r="A1432" s="2" t="s">
        <v>17620</v>
      </c>
    </row>
    <row r="1433">
      <c r="A1433" s="2" t="s">
        <v>17621</v>
      </c>
    </row>
    <row r="1435">
      <c r="A1435" s="2" t="s">
        <v>15943</v>
      </c>
    </row>
    <row r="1437">
      <c r="A1437" s="2" t="s">
        <v>17622</v>
      </c>
    </row>
    <row r="1438">
      <c r="A1438" s="2" t="s">
        <v>17623</v>
      </c>
    </row>
    <row r="1440">
      <c r="A1440" s="2" t="s">
        <v>15947</v>
      </c>
    </row>
    <row r="1442">
      <c r="A1442" s="2" t="s">
        <v>15948</v>
      </c>
    </row>
    <row r="1444">
      <c r="A1444" s="2" t="s">
        <v>17624</v>
      </c>
    </row>
    <row r="1445">
      <c r="A1445" s="2" t="s">
        <v>17625</v>
      </c>
    </row>
    <row r="1447">
      <c r="A1447" s="2" t="s">
        <v>15952</v>
      </c>
    </row>
    <row r="1449">
      <c r="A1449" s="2" t="s">
        <v>17626</v>
      </c>
    </row>
    <row r="1450">
      <c r="A1450" s="2" t="s">
        <v>17627</v>
      </c>
    </row>
    <row r="1452">
      <c r="A1452" s="2" t="s">
        <v>15956</v>
      </c>
    </row>
    <row r="1454">
      <c r="A1454" s="2" t="s">
        <v>17628</v>
      </c>
    </row>
    <row r="1455">
      <c r="A1455" s="2" t="s">
        <v>17629</v>
      </c>
    </row>
    <row r="1457">
      <c r="A1457" s="2" t="s">
        <v>17630</v>
      </c>
    </row>
    <row r="1458">
      <c r="A1458" s="2" t="s">
        <v>17631</v>
      </c>
    </row>
    <row r="1460">
      <c r="A1460" s="2" t="s">
        <v>15963</v>
      </c>
    </row>
    <row r="1462">
      <c r="A1462" s="2" t="s">
        <v>17632</v>
      </c>
    </row>
    <row r="1463">
      <c r="A1463" s="2" t="s">
        <v>17633</v>
      </c>
    </row>
    <row r="1465">
      <c r="A1465" s="2" t="s">
        <v>17634</v>
      </c>
    </row>
    <row r="1466">
      <c r="A1466" s="2" t="s">
        <v>17635</v>
      </c>
    </row>
    <row r="1468">
      <c r="A1468" s="2" t="s">
        <v>15970</v>
      </c>
    </row>
    <row r="1470">
      <c r="A1470" s="2" t="s">
        <v>15971</v>
      </c>
    </row>
    <row r="1472">
      <c r="A1472" s="2" t="s">
        <v>17636</v>
      </c>
    </row>
    <row r="1473">
      <c r="A1473" s="2" t="s">
        <v>17637</v>
      </c>
    </row>
    <row r="1475">
      <c r="A1475" s="2" t="s">
        <v>15975</v>
      </c>
    </row>
    <row r="1477">
      <c r="A1477" s="2" t="s">
        <v>17638</v>
      </c>
    </row>
    <row r="1478">
      <c r="A1478" s="2" t="s">
        <v>17639</v>
      </c>
    </row>
    <row r="1480">
      <c r="A1480" s="2" t="s">
        <v>15979</v>
      </c>
    </row>
    <row r="1482">
      <c r="A1482" s="2" t="s">
        <v>17640</v>
      </c>
    </row>
    <row r="1483">
      <c r="A1483" s="2" t="s">
        <v>17641</v>
      </c>
    </row>
    <row r="1485">
      <c r="A1485" s="2" t="s">
        <v>15983</v>
      </c>
    </row>
    <row r="1487">
      <c r="A1487" s="2" t="s">
        <v>15984</v>
      </c>
    </row>
    <row r="1489">
      <c r="A1489" s="2" t="s">
        <v>17642</v>
      </c>
    </row>
    <row r="1490">
      <c r="A1490" s="2" t="s">
        <v>17643</v>
      </c>
    </row>
    <row r="1492">
      <c r="A1492" s="2" t="s">
        <v>15988</v>
      </c>
    </row>
    <row r="1494">
      <c r="A1494" s="2" t="s">
        <v>17644</v>
      </c>
    </row>
    <row r="1495">
      <c r="A1495" s="2" t="s">
        <v>17645</v>
      </c>
    </row>
    <row r="1497">
      <c r="A1497" s="2" t="s">
        <v>15992</v>
      </c>
    </row>
    <row r="1499">
      <c r="A1499" s="2" t="s">
        <v>15993</v>
      </c>
    </row>
    <row r="1501">
      <c r="A1501" s="2" t="s">
        <v>17646</v>
      </c>
    </row>
    <row r="1502">
      <c r="A1502" s="2" t="s">
        <v>17647</v>
      </c>
    </row>
    <row r="1504">
      <c r="A1504" s="2" t="s">
        <v>7691</v>
      </c>
    </row>
    <row r="1505">
      <c r="A1505" s="2" t="s">
        <v>17648</v>
      </c>
    </row>
    <row r="1506">
      <c r="A1506" s="2" t="s">
        <v>17649</v>
      </c>
    </row>
    <row r="1508">
      <c r="A1508" s="2" t="s">
        <v>7462</v>
      </c>
    </row>
    <row r="1509">
      <c r="A1509" s="2" t="s">
        <v>15999</v>
      </c>
    </row>
    <row r="1511">
      <c r="A1511" s="2" t="s">
        <v>17650</v>
      </c>
    </row>
    <row r="1512">
      <c r="A1512" s="2" t="s">
        <v>17651</v>
      </c>
    </row>
    <row r="1514">
      <c r="A1514" s="2" t="s">
        <v>16003</v>
      </c>
    </row>
    <row r="1516">
      <c r="A1516" s="2" t="s">
        <v>16004</v>
      </c>
    </row>
    <row r="1518">
      <c r="A1518" s="2" t="s">
        <v>17652</v>
      </c>
    </row>
    <row r="1519">
      <c r="A1519" s="2" t="s">
        <v>17653</v>
      </c>
    </row>
    <row r="1521">
      <c r="A1521" s="2" t="s">
        <v>7462</v>
      </c>
    </row>
    <row r="1522">
      <c r="A1522" s="2" t="s">
        <v>16007</v>
      </c>
    </row>
    <row r="1524">
      <c r="A1524" s="2" t="s">
        <v>16008</v>
      </c>
    </row>
    <row r="1526">
      <c r="A1526" s="2" t="s">
        <v>17654</v>
      </c>
    </row>
    <row r="1527">
      <c r="A1527" s="2" t="s">
        <v>17655</v>
      </c>
    </row>
    <row r="1529">
      <c r="A1529" s="2" t="s">
        <v>16012</v>
      </c>
    </row>
    <row r="1531">
      <c r="A1531" s="2" t="s">
        <v>16013</v>
      </c>
    </row>
    <row r="1533">
      <c r="A1533" s="2" t="s">
        <v>17656</v>
      </c>
    </row>
    <row r="1534">
      <c r="A1534" s="2" t="s">
        <v>17657</v>
      </c>
    </row>
    <row r="1536">
      <c r="A1536" s="2" t="s">
        <v>16017</v>
      </c>
    </row>
    <row r="1538">
      <c r="A1538" s="2" t="s">
        <v>16018</v>
      </c>
    </row>
    <row r="1540">
      <c r="A1540" s="2" t="s">
        <v>17658</v>
      </c>
    </row>
    <row r="1541">
      <c r="A1541" s="2" t="s">
        <v>17659</v>
      </c>
    </row>
    <row r="1543">
      <c r="A1543" s="2" t="s">
        <v>16022</v>
      </c>
    </row>
    <row r="1545">
      <c r="A1545" s="2" t="s">
        <v>7691</v>
      </c>
    </row>
    <row r="1546">
      <c r="A1546" s="2" t="s">
        <v>16023</v>
      </c>
    </row>
    <row r="1548">
      <c r="A1548" s="2" t="s">
        <v>16024</v>
      </c>
    </row>
    <row r="1550">
      <c r="A1550" s="2" t="s">
        <v>7579</v>
      </c>
    </row>
    <row r="1551">
      <c r="A1551" s="2" t="s">
        <v>17660</v>
      </c>
    </row>
    <row r="1552">
      <c r="A1552" s="2" t="s">
        <v>17661</v>
      </c>
    </row>
    <row r="1554">
      <c r="A1554" s="2" t="s">
        <v>16028</v>
      </c>
    </row>
    <row r="1556">
      <c r="A1556" s="2" t="s">
        <v>16029</v>
      </c>
    </row>
    <row r="1558">
      <c r="A1558" s="2" t="s">
        <v>17662</v>
      </c>
    </row>
    <row r="1559">
      <c r="A1559" s="2" t="s">
        <v>17663</v>
      </c>
    </row>
    <row r="1561">
      <c r="A1561" s="2" t="s">
        <v>16033</v>
      </c>
    </row>
    <row r="1563">
      <c r="A1563" s="2" t="s">
        <v>16034</v>
      </c>
    </row>
    <row r="1565">
      <c r="A1565" s="2" t="s">
        <v>17664</v>
      </c>
    </row>
    <row r="1566">
      <c r="A1566" s="2" t="s">
        <v>17665</v>
      </c>
    </row>
    <row r="1568">
      <c r="A1568" s="2" t="s">
        <v>16038</v>
      </c>
    </row>
    <row r="1570">
      <c r="A1570" s="2" t="s">
        <v>16039</v>
      </c>
    </row>
    <row r="1572">
      <c r="A1572" s="2" t="s">
        <v>17666</v>
      </c>
    </row>
    <row r="1573">
      <c r="A1573" s="2" t="s">
        <v>17667</v>
      </c>
    </row>
    <row r="1575">
      <c r="A1575" s="2" t="s">
        <v>16043</v>
      </c>
    </row>
    <row r="1577">
      <c r="A1577" s="2" t="s">
        <v>16044</v>
      </c>
    </row>
    <row r="1579">
      <c r="A1579" s="2" t="s">
        <v>17668</v>
      </c>
    </row>
    <row r="1580">
      <c r="A1580" s="2" t="s">
        <v>17669</v>
      </c>
    </row>
    <row r="1582">
      <c r="A1582" s="2" t="s">
        <v>16048</v>
      </c>
    </row>
    <row r="1584">
      <c r="A1584" s="2" t="s">
        <v>16049</v>
      </c>
    </row>
    <row r="1586">
      <c r="A1586" s="2" t="s">
        <v>17670</v>
      </c>
    </row>
    <row r="1587">
      <c r="A1587" s="2" t="s">
        <v>17671</v>
      </c>
    </row>
    <row r="1589">
      <c r="A1589" s="2" t="s">
        <v>16053</v>
      </c>
    </row>
    <row r="1591">
      <c r="A1591" s="2" t="s">
        <v>16054</v>
      </c>
    </row>
    <row r="1593">
      <c r="A1593" s="2" t="s">
        <v>17672</v>
      </c>
    </row>
    <row r="1594">
      <c r="A1594" s="2" t="s">
        <v>17673</v>
      </c>
    </row>
    <row r="1596">
      <c r="A1596" s="2" t="s">
        <v>16058</v>
      </c>
    </row>
    <row r="1598">
      <c r="A1598" s="2" t="s">
        <v>16059</v>
      </c>
    </row>
    <row r="1600">
      <c r="A1600" s="2" t="s">
        <v>17674</v>
      </c>
    </row>
    <row r="1601">
      <c r="A1601" s="2" t="s">
        <v>17675</v>
      </c>
    </row>
    <row r="1603">
      <c r="A1603" s="2" t="s">
        <v>16063</v>
      </c>
    </row>
    <row r="1605">
      <c r="A1605" s="2" t="s">
        <v>17676</v>
      </c>
    </row>
    <row r="1606">
      <c r="A1606" s="2" t="s">
        <v>17677</v>
      </c>
    </row>
    <row r="1608">
      <c r="A1608" s="2" t="s">
        <v>16067</v>
      </c>
    </row>
    <row r="1610">
      <c r="A1610" s="2" t="s">
        <v>16068</v>
      </c>
    </row>
    <row r="1612">
      <c r="A1612" s="2" t="s">
        <v>17678</v>
      </c>
    </row>
    <row r="1613">
      <c r="A1613" s="2" t="s">
        <v>17679</v>
      </c>
    </row>
    <row r="1615">
      <c r="A1615" s="2" t="s">
        <v>16072</v>
      </c>
    </row>
    <row r="1617">
      <c r="A1617" s="2" t="s">
        <v>17680</v>
      </c>
    </row>
    <row r="1618">
      <c r="A1618" s="2" t="s">
        <v>17681</v>
      </c>
    </row>
    <row r="1620">
      <c r="A1620" s="2" t="s">
        <v>16076</v>
      </c>
    </row>
    <row r="1622">
      <c r="A1622" s="2" t="s">
        <v>16077</v>
      </c>
    </row>
    <row r="1624">
      <c r="A1624" s="2" t="s">
        <v>17682</v>
      </c>
    </row>
    <row r="1625">
      <c r="A1625" s="2" t="s">
        <v>17683</v>
      </c>
    </row>
    <row r="1627">
      <c r="A1627" s="2" t="s">
        <v>16081</v>
      </c>
    </row>
    <row r="1629">
      <c r="A1629" s="2" t="s">
        <v>16082</v>
      </c>
    </row>
    <row r="1631">
      <c r="A1631" s="2" t="s">
        <v>17684</v>
      </c>
    </row>
    <row r="1632">
      <c r="A1632" s="2" t="s">
        <v>17685</v>
      </c>
    </row>
    <row r="1634">
      <c r="A1634" s="2" t="s">
        <v>16085</v>
      </c>
    </row>
    <row r="1636">
      <c r="A1636" s="2" t="s">
        <v>16086</v>
      </c>
    </row>
    <row r="1638">
      <c r="A1638" s="2" t="s">
        <v>16087</v>
      </c>
    </row>
    <row r="1640">
      <c r="A1640" s="2" t="s">
        <v>16088</v>
      </c>
    </row>
    <row r="1642">
      <c r="A1642" s="2" t="s">
        <v>17686</v>
      </c>
    </row>
    <row r="1643">
      <c r="A1643" s="2" t="s">
        <v>17687</v>
      </c>
    </row>
    <row r="1645">
      <c r="A1645" s="2" t="s">
        <v>16092</v>
      </c>
    </row>
    <row r="1647">
      <c r="A1647" s="2" t="s">
        <v>17688</v>
      </c>
    </row>
    <row r="1648">
      <c r="A1648" s="2" t="s">
        <v>17689</v>
      </c>
    </row>
    <row r="1650">
      <c r="A1650" s="2" t="s">
        <v>16096</v>
      </c>
    </row>
    <row r="1652">
      <c r="A1652" s="2" t="s">
        <v>17690</v>
      </c>
    </row>
    <row r="1653">
      <c r="A1653" s="2" t="s">
        <v>17691</v>
      </c>
    </row>
    <row r="1655">
      <c r="A1655" s="2" t="s">
        <v>16100</v>
      </c>
    </row>
    <row r="1657">
      <c r="A1657" s="2" t="s">
        <v>16101</v>
      </c>
    </row>
    <row r="1659">
      <c r="A1659" s="2" t="s">
        <v>17692</v>
      </c>
    </row>
    <row r="1660">
      <c r="A1660" s="2" t="s">
        <v>17693</v>
      </c>
    </row>
    <row r="1662">
      <c r="A1662" s="2" t="s">
        <v>16105</v>
      </c>
    </row>
    <row r="1664">
      <c r="A1664" s="2" t="s">
        <v>17694</v>
      </c>
    </row>
    <row r="1665">
      <c r="A1665" s="2" t="s">
        <v>17695</v>
      </c>
    </row>
    <row r="1667">
      <c r="A1667" s="2" t="s">
        <v>16109</v>
      </c>
    </row>
    <row r="1669">
      <c r="A1669" s="2" t="s">
        <v>16110</v>
      </c>
    </row>
    <row r="1671">
      <c r="A1671" s="2" t="s">
        <v>17696</v>
      </c>
    </row>
    <row r="1672">
      <c r="A1672" s="2" t="s">
        <v>17697</v>
      </c>
    </row>
    <row r="1674">
      <c r="A1674" s="2" t="s">
        <v>16114</v>
      </c>
    </row>
    <row r="1676">
      <c r="A1676" s="2" t="s">
        <v>17698</v>
      </c>
    </row>
    <row r="1677">
      <c r="A1677" s="2" t="s">
        <v>17699</v>
      </c>
    </row>
    <row r="1679">
      <c r="A1679" s="2" t="s">
        <v>16118</v>
      </c>
    </row>
    <row r="1681">
      <c r="A1681" s="2" t="s">
        <v>17700</v>
      </c>
    </row>
    <row r="1682">
      <c r="A1682" s="2" t="s">
        <v>17701</v>
      </c>
    </row>
    <row r="1684">
      <c r="A1684" s="2" t="s">
        <v>16122</v>
      </c>
    </row>
    <row r="1686">
      <c r="A1686" s="2" t="s">
        <v>17702</v>
      </c>
    </row>
    <row r="1687">
      <c r="A1687" s="2" t="s">
        <v>17703</v>
      </c>
    </row>
    <row r="1689">
      <c r="A1689" s="2" t="s">
        <v>16126</v>
      </c>
    </row>
    <row r="1691">
      <c r="A1691" s="2" t="s">
        <v>16127</v>
      </c>
    </row>
    <row r="1693">
      <c r="A1693" s="2" t="s">
        <v>17704</v>
      </c>
    </row>
    <row r="1694">
      <c r="A1694" s="2" t="s">
        <v>17705</v>
      </c>
    </row>
    <row r="1696">
      <c r="A1696" s="2" t="s">
        <v>16131</v>
      </c>
    </row>
    <row r="1698">
      <c r="A1698" s="2" t="s">
        <v>16132</v>
      </c>
    </row>
    <row r="1699">
      <c r="A1699" s="2" t="s">
        <v>17706</v>
      </c>
    </row>
    <row r="1701">
      <c r="A1701" s="2" t="s">
        <v>16135</v>
      </c>
    </row>
    <row r="1703">
      <c r="A1703" s="2" t="s">
        <v>16136</v>
      </c>
    </row>
    <row r="1705">
      <c r="A1705" s="2" t="s">
        <v>17707</v>
      </c>
    </row>
    <row r="1706">
      <c r="A1706" s="2" t="s">
        <v>17708</v>
      </c>
    </row>
    <row r="1708">
      <c r="A1708" s="2" t="s">
        <v>7462</v>
      </c>
    </row>
    <row r="1709">
      <c r="A1709" s="2" t="s">
        <v>16139</v>
      </c>
    </row>
    <row r="1711">
      <c r="A1711" s="2" t="s">
        <v>16140</v>
      </c>
    </row>
    <row r="1713">
      <c r="A1713" s="2" t="s">
        <v>16141</v>
      </c>
    </row>
    <row r="1715">
      <c r="A1715" s="2" t="s">
        <v>17709</v>
      </c>
    </row>
    <row r="1716">
      <c r="A1716" s="2" t="s">
        <v>17710</v>
      </c>
    </row>
    <row r="1718">
      <c r="A1718" s="2" t="s">
        <v>16145</v>
      </c>
    </row>
    <row r="1720">
      <c r="A1720" s="2" t="s">
        <v>17711</v>
      </c>
    </row>
    <row r="1721">
      <c r="A1721" s="2" t="s">
        <v>17712</v>
      </c>
    </row>
    <row r="1723">
      <c r="A1723" s="2" t="s">
        <v>16149</v>
      </c>
    </row>
    <row r="1725">
      <c r="A1725" s="2" t="s">
        <v>16150</v>
      </c>
    </row>
    <row r="1727">
      <c r="A1727" s="2" t="s">
        <v>17713</v>
      </c>
    </row>
    <row r="1728">
      <c r="A1728" s="2" t="s">
        <v>17714</v>
      </c>
    </row>
    <row r="1730">
      <c r="A1730" s="2" t="s">
        <v>16154</v>
      </c>
    </row>
    <row r="1732">
      <c r="A1732" s="2" t="s">
        <v>17715</v>
      </c>
    </row>
    <row r="1733">
      <c r="A1733" s="2" t="s">
        <v>17716</v>
      </c>
    </row>
    <row r="1735">
      <c r="A1735" s="2" t="s">
        <v>16158</v>
      </c>
    </row>
    <row r="1737">
      <c r="A1737" s="2" t="s">
        <v>16159</v>
      </c>
    </row>
    <row r="1739">
      <c r="A1739" s="2" t="s">
        <v>17717</v>
      </c>
    </row>
    <row r="1740">
      <c r="A1740" s="2" t="s">
        <v>17718</v>
      </c>
    </row>
    <row r="1742">
      <c r="A1742" s="2" t="s">
        <v>16163</v>
      </c>
    </row>
    <row r="1744">
      <c r="A1744" s="2" t="s">
        <v>16164</v>
      </c>
    </row>
    <row r="1746">
      <c r="A1746" s="2" t="s">
        <v>17719</v>
      </c>
    </row>
    <row r="1747">
      <c r="A1747" s="2" t="s">
        <v>17720</v>
      </c>
    </row>
    <row r="1749">
      <c r="A1749" s="2" t="s">
        <v>16168</v>
      </c>
    </row>
    <row r="1751">
      <c r="A1751" s="2" t="s">
        <v>16169</v>
      </c>
    </row>
    <row r="1753">
      <c r="A1753" s="2" t="s">
        <v>17721</v>
      </c>
    </row>
    <row r="1754">
      <c r="A1754" s="2" t="s">
        <v>17722</v>
      </c>
    </row>
    <row r="1756">
      <c r="A1756" s="2" t="s">
        <v>16173</v>
      </c>
    </row>
    <row r="1758">
      <c r="A1758" s="2" t="s">
        <v>16174</v>
      </c>
    </row>
    <row r="1760">
      <c r="A1760" s="2" t="s">
        <v>17723</v>
      </c>
    </row>
    <row r="1761">
      <c r="A1761" s="2" t="s">
        <v>17724</v>
      </c>
    </row>
    <row r="1763">
      <c r="A1763" s="2" t="s">
        <v>16178</v>
      </c>
    </row>
    <row r="1765">
      <c r="A1765" s="2" t="s">
        <v>16179</v>
      </c>
    </row>
    <row r="1767">
      <c r="A1767" s="2" t="s">
        <v>17725</v>
      </c>
    </row>
    <row r="1768">
      <c r="A1768" s="2" t="s">
        <v>17726</v>
      </c>
    </row>
    <row r="1770">
      <c r="A1770" s="2" t="s">
        <v>7462</v>
      </c>
    </row>
    <row r="1771">
      <c r="A1771" s="2" t="s">
        <v>17727</v>
      </c>
    </row>
    <row r="1772">
      <c r="A1772" s="2" t="s">
        <v>17728</v>
      </c>
    </row>
    <row r="1774">
      <c r="A1774" s="2" t="s">
        <v>16185</v>
      </c>
    </row>
    <row r="1776">
      <c r="A1776" s="2" t="s">
        <v>16186</v>
      </c>
    </row>
    <row r="1778">
      <c r="A1778" s="2" t="s">
        <v>17729</v>
      </c>
    </row>
    <row r="1779">
      <c r="A1779" s="2" t="s">
        <v>17730</v>
      </c>
    </row>
    <row r="1781">
      <c r="A1781" s="2" t="s">
        <v>16190</v>
      </c>
    </row>
    <row r="1783">
      <c r="A1783" s="2" t="s">
        <v>16191</v>
      </c>
    </row>
    <row r="1785">
      <c r="A1785" s="2" t="s">
        <v>17731</v>
      </c>
    </row>
    <row r="1786">
      <c r="A1786" s="2" t="s">
        <v>17732</v>
      </c>
    </row>
    <row r="1788">
      <c r="A1788" s="2" t="s">
        <v>16195</v>
      </c>
    </row>
    <row r="1790">
      <c r="A1790" s="2" t="s">
        <v>17733</v>
      </c>
    </row>
    <row r="1791">
      <c r="A1791" s="2" t="s">
        <v>17734</v>
      </c>
    </row>
    <row r="1793">
      <c r="A1793" s="2" t="s">
        <v>16199</v>
      </c>
    </row>
    <row r="1795">
      <c r="A1795" s="2" t="s">
        <v>16200</v>
      </c>
    </row>
    <row r="1797">
      <c r="A1797" s="2" t="s">
        <v>17735</v>
      </c>
    </row>
    <row r="1798">
      <c r="A1798" s="2" t="s">
        <v>17736</v>
      </c>
    </row>
    <row r="1799">
      <c r="A1799" s="2" t="s">
        <v>17737</v>
      </c>
    </row>
    <row r="1801">
      <c r="A1801" s="2" t="s">
        <v>16206</v>
      </c>
    </row>
    <row r="1803">
      <c r="A1803" s="2" t="s">
        <v>16207</v>
      </c>
    </row>
    <row r="1805">
      <c r="A1805" s="2" t="s">
        <v>17738</v>
      </c>
    </row>
    <row r="1806">
      <c r="A1806" s="2" t="s">
        <v>17739</v>
      </c>
    </row>
    <row r="1808">
      <c r="A1808" s="2" t="s">
        <v>16211</v>
      </c>
    </row>
    <row r="1810">
      <c r="A1810" s="2" t="s">
        <v>16212</v>
      </c>
    </row>
    <row r="1812">
      <c r="A1812" s="2" t="s">
        <v>17740</v>
      </c>
    </row>
    <row r="1813">
      <c r="A1813" s="2" t="s">
        <v>17741</v>
      </c>
    </row>
    <row r="1815">
      <c r="A1815" s="2" t="s">
        <v>16216</v>
      </c>
    </row>
    <row r="1817">
      <c r="A1817" s="2" t="s">
        <v>17742</v>
      </c>
    </row>
    <row r="1818">
      <c r="A1818" s="2" t="s">
        <v>17743</v>
      </c>
    </row>
    <row r="1820">
      <c r="A1820" s="2" t="s">
        <v>16220</v>
      </c>
    </row>
    <row r="1822">
      <c r="A1822" s="2" t="s">
        <v>16221</v>
      </c>
    </row>
    <row r="1824">
      <c r="A1824" s="2" t="s">
        <v>17744</v>
      </c>
    </row>
    <row r="1825">
      <c r="A1825" s="2" t="s">
        <v>17745</v>
      </c>
    </row>
    <row r="1827">
      <c r="A1827" s="2" t="s">
        <v>16225</v>
      </c>
    </row>
    <row r="1829">
      <c r="A1829" s="2" t="s">
        <v>16226</v>
      </c>
    </row>
    <row r="1831">
      <c r="A1831" s="2" t="s">
        <v>17746</v>
      </c>
    </row>
    <row r="1832">
      <c r="A1832" s="2" t="s">
        <v>17747</v>
      </c>
    </row>
    <row r="1834">
      <c r="A1834" s="2" t="s">
        <v>16230</v>
      </c>
    </row>
    <row r="1836">
      <c r="A1836" s="2" t="s">
        <v>17748</v>
      </c>
    </row>
    <row r="1837">
      <c r="A1837" s="2" t="s">
        <v>17749</v>
      </c>
    </row>
    <row r="1839">
      <c r="A1839" s="2" t="s">
        <v>16234</v>
      </c>
    </row>
    <row r="1841">
      <c r="A1841" s="2" t="s">
        <v>16235</v>
      </c>
    </row>
    <row r="1843">
      <c r="A1843" s="2" t="s">
        <v>17750</v>
      </c>
    </row>
    <row r="1844">
      <c r="A1844" s="2" t="s">
        <v>17751</v>
      </c>
    </row>
    <row r="1846">
      <c r="A1846" s="2" t="s">
        <v>16239</v>
      </c>
    </row>
    <row r="1848">
      <c r="A1848" s="2" t="s">
        <v>16240</v>
      </c>
    </row>
    <row r="1850">
      <c r="A1850" s="2" t="s">
        <v>17752</v>
      </c>
    </row>
    <row r="1851">
      <c r="A1851" s="2" t="s">
        <v>17753</v>
      </c>
    </row>
    <row r="1853">
      <c r="A1853" s="2" t="s">
        <v>16244</v>
      </c>
    </row>
    <row r="1855">
      <c r="A1855" s="2" t="s">
        <v>16245</v>
      </c>
    </row>
    <row r="1857">
      <c r="A1857" s="2" t="s">
        <v>17754</v>
      </c>
    </row>
    <row r="1858">
      <c r="A1858" s="2" t="s">
        <v>17755</v>
      </c>
    </row>
    <row r="1859">
      <c r="A1859" s="2" t="s">
        <v>7462</v>
      </c>
    </row>
    <row r="1860">
      <c r="A1860" s="2" t="s">
        <v>16248</v>
      </c>
    </row>
    <row r="1862">
      <c r="A1862" s="2" t="s">
        <v>16249</v>
      </c>
    </row>
    <row r="1864">
      <c r="A1864" s="2" t="s">
        <v>16250</v>
      </c>
    </row>
    <row r="1866">
      <c r="A1866" s="2" t="s">
        <v>17756</v>
      </c>
    </row>
    <row r="1867">
      <c r="A1867" s="2" t="s">
        <v>17757</v>
      </c>
    </row>
    <row r="1869">
      <c r="A1869" s="2" t="s">
        <v>16254</v>
      </c>
    </row>
    <row r="1871">
      <c r="A1871" s="2" t="s">
        <v>16255</v>
      </c>
    </row>
    <row r="1873">
      <c r="A1873" s="2" t="s">
        <v>17758</v>
      </c>
    </row>
    <row r="1874">
      <c r="A1874" s="2" t="s">
        <v>17759</v>
      </c>
    </row>
    <row r="1876">
      <c r="A1876" s="2" t="s">
        <v>7462</v>
      </c>
    </row>
    <row r="1877">
      <c r="A1877" s="2" t="s">
        <v>16258</v>
      </c>
    </row>
    <row r="1879">
      <c r="A1879" s="2" t="s">
        <v>16259</v>
      </c>
    </row>
    <row r="1881">
      <c r="A1881" s="2" t="s">
        <v>17760</v>
      </c>
    </row>
    <row r="1882">
      <c r="A1882" s="2" t="s">
        <v>17761</v>
      </c>
    </row>
    <row r="1884">
      <c r="A1884" s="2" t="s">
        <v>16263</v>
      </c>
    </row>
    <row r="1886">
      <c r="A1886" s="2" t="s">
        <v>16264</v>
      </c>
    </row>
    <row r="1888">
      <c r="A1888" s="2" t="s">
        <v>17762</v>
      </c>
    </row>
    <row r="1889">
      <c r="A1889" s="2" t="s">
        <v>17763</v>
      </c>
    </row>
    <row r="1890">
      <c r="A1890" s="2" t="s">
        <v>16267</v>
      </c>
    </row>
    <row r="1892">
      <c r="A1892" s="2" t="s">
        <v>7462</v>
      </c>
    </row>
    <row r="1893">
      <c r="A1893" s="2" t="s">
        <v>16268</v>
      </c>
    </row>
    <row r="1895">
      <c r="A1895" s="2" t="s">
        <v>16269</v>
      </c>
    </row>
    <row r="1897">
      <c r="A1897" s="2" t="s">
        <v>17764</v>
      </c>
    </row>
    <row r="1898">
      <c r="A1898" s="2" t="s">
        <v>17765</v>
      </c>
    </row>
    <row r="1900">
      <c r="A1900" s="2" t="s">
        <v>16273</v>
      </c>
    </row>
    <row r="1902">
      <c r="A1902" s="2" t="s">
        <v>16274</v>
      </c>
    </row>
    <row r="1904">
      <c r="A1904" s="2" t="s">
        <v>17766</v>
      </c>
    </row>
    <row r="1905">
      <c r="A1905" s="2" t="s">
        <v>17767</v>
      </c>
    </row>
    <row r="1907">
      <c r="A1907" s="2" t="s">
        <v>16278</v>
      </c>
    </row>
    <row r="1909">
      <c r="A1909" s="2" t="s">
        <v>16279</v>
      </c>
    </row>
    <row r="1911">
      <c r="A1911" s="2" t="s">
        <v>17768</v>
      </c>
    </row>
    <row r="1912">
      <c r="A1912" s="2" t="s">
        <v>17769</v>
      </c>
    </row>
    <row r="1914">
      <c r="A1914" s="2" t="s">
        <v>16283</v>
      </c>
    </row>
    <row r="1916">
      <c r="A1916" s="2" t="s">
        <v>16284</v>
      </c>
    </row>
    <row r="1918">
      <c r="A1918" s="2" t="s">
        <v>17770</v>
      </c>
    </row>
    <row r="1919">
      <c r="A1919" s="2" t="s">
        <v>17771</v>
      </c>
    </row>
    <row r="1921">
      <c r="A1921" s="2" t="s">
        <v>16288</v>
      </c>
    </row>
    <row r="1923">
      <c r="A1923" s="2" t="s">
        <v>17772</v>
      </c>
    </row>
    <row r="1924">
      <c r="A1924" s="2" t="s">
        <v>17773</v>
      </c>
    </row>
    <row r="1926">
      <c r="A1926" s="2" t="s">
        <v>16292</v>
      </c>
    </row>
    <row r="1928">
      <c r="A1928" s="2" t="s">
        <v>16293</v>
      </c>
    </row>
    <row r="1929">
      <c r="A1929" s="2" t="s">
        <v>17774</v>
      </c>
    </row>
    <row r="1931">
      <c r="A1931" s="2" t="s">
        <v>16296</v>
      </c>
    </row>
    <row r="1933">
      <c r="A1933" s="2" t="s">
        <v>16297</v>
      </c>
    </row>
    <row r="1935">
      <c r="A1935" s="2" t="s">
        <v>16298</v>
      </c>
    </row>
    <row r="1937">
      <c r="A1937" s="2" t="s">
        <v>17775</v>
      </c>
    </row>
    <row r="1938">
      <c r="A1938" s="2" t="s">
        <v>17776</v>
      </c>
    </row>
    <row r="1940">
      <c r="A1940" s="2" t="s">
        <v>16302</v>
      </c>
    </row>
    <row r="1942">
      <c r="A1942" s="2" t="s">
        <v>17777</v>
      </c>
    </row>
    <row r="1943">
      <c r="A1943" s="2" t="s">
        <v>17778</v>
      </c>
    </row>
    <row r="1945">
      <c r="A1945" s="2" t="s">
        <v>16306</v>
      </c>
    </row>
    <row r="1947">
      <c r="A1947" s="2" t="s">
        <v>16307</v>
      </c>
    </row>
    <row r="1949">
      <c r="A1949" s="2" t="s">
        <v>17779</v>
      </c>
    </row>
    <row r="1950">
      <c r="A1950" s="2" t="s">
        <v>17780</v>
      </c>
    </row>
    <row r="1952">
      <c r="A1952" s="2" t="s">
        <v>16311</v>
      </c>
    </row>
    <row r="1954">
      <c r="A1954" s="2" t="s">
        <v>16312</v>
      </c>
    </row>
    <row r="1956">
      <c r="A1956" s="2" t="s">
        <v>17781</v>
      </c>
    </row>
    <row r="1957">
      <c r="A1957" s="2" t="s">
        <v>17782</v>
      </c>
    </row>
    <row r="1959">
      <c r="A1959" s="2" t="s">
        <v>16316</v>
      </c>
    </row>
    <row r="1961">
      <c r="A1961" s="2" t="s">
        <v>16317</v>
      </c>
    </row>
    <row r="1963">
      <c r="A1963" s="2" t="s">
        <v>17783</v>
      </c>
    </row>
    <row r="1964">
      <c r="A1964" s="2" t="s">
        <v>16319</v>
      </c>
    </row>
    <row r="1966">
      <c r="A1966" s="2" t="s">
        <v>7462</v>
      </c>
    </row>
    <row r="1967">
      <c r="A1967" s="2" t="s">
        <v>16320</v>
      </c>
    </row>
    <row r="1969">
      <c r="A1969" s="2" t="s">
        <v>16321</v>
      </c>
    </row>
    <row r="1971">
      <c r="A1971" s="2" t="s">
        <v>17784</v>
      </c>
    </row>
    <row r="1972">
      <c r="A1972" s="2" t="s">
        <v>17785</v>
      </c>
    </row>
    <row r="1974">
      <c r="A1974" s="2" t="s">
        <v>16325</v>
      </c>
    </row>
    <row r="1976">
      <c r="A1976" s="2" t="s">
        <v>16326</v>
      </c>
    </row>
    <row r="1978">
      <c r="A1978" s="2" t="s">
        <v>17786</v>
      </c>
    </row>
    <row r="1979">
      <c r="A1979" s="2" t="s">
        <v>17787</v>
      </c>
    </row>
    <row r="1981">
      <c r="A1981" s="2" t="s">
        <v>7665</v>
      </c>
    </row>
    <row r="1982">
      <c r="A1982" s="2" t="s">
        <v>16330</v>
      </c>
    </row>
    <row r="1983">
      <c r="A1983" s="2" t="s">
        <v>16331</v>
      </c>
    </row>
    <row r="1984">
      <c r="A1984" s="2" t="s">
        <v>16332</v>
      </c>
    </row>
    <row r="1985">
      <c r="A1985" s="2" t="s">
        <v>16333</v>
      </c>
    </row>
    <row r="1986">
      <c r="A1986" s="2" t="s">
        <v>16334</v>
      </c>
    </row>
    <row r="1987">
      <c r="A1987" s="2" t="s">
        <v>16335</v>
      </c>
    </row>
    <row r="1988">
      <c r="A1988" s="2" t="s">
        <v>16336</v>
      </c>
    </row>
    <row r="1989">
      <c r="A1989" s="2" t="s">
        <v>17788</v>
      </c>
    </row>
    <row r="1990">
      <c r="A1990" s="2" t="s">
        <v>17789</v>
      </c>
    </row>
    <row r="1992">
      <c r="A1992" s="2" t="s">
        <v>16340</v>
      </c>
    </row>
    <row r="1994">
      <c r="A1994" s="2" t="s">
        <v>16341</v>
      </c>
    </row>
    <row r="1996">
      <c r="A1996" s="2" t="s">
        <v>17790</v>
      </c>
    </row>
    <row r="1997">
      <c r="A1997" s="2" t="s">
        <v>17791</v>
      </c>
    </row>
    <row r="1999">
      <c r="A1999" s="2" t="s">
        <v>16345</v>
      </c>
    </row>
    <row r="2001">
      <c r="A2001" s="2" t="s">
        <v>17792</v>
      </c>
    </row>
    <row r="2002">
      <c r="A2002" s="2" t="s">
        <v>17793</v>
      </c>
    </row>
    <row r="2004">
      <c r="A2004" s="2" t="s">
        <v>16349</v>
      </c>
    </row>
    <row r="2006">
      <c r="A2006" s="2" t="s">
        <v>16350</v>
      </c>
    </row>
    <row r="2008">
      <c r="A2008" s="2" t="s">
        <v>16351</v>
      </c>
    </row>
    <row r="2010">
      <c r="A2010" s="2" t="s">
        <v>17794</v>
      </c>
    </row>
    <row r="2011">
      <c r="A2011" s="2" t="s">
        <v>17795</v>
      </c>
    </row>
    <row r="2013">
      <c r="A2013" s="2" t="s">
        <v>16354</v>
      </c>
    </row>
    <row r="2015">
      <c r="A2015" s="2" t="s">
        <v>16355</v>
      </c>
    </row>
    <row r="2017">
      <c r="A2017" s="2" t="s">
        <v>16356</v>
      </c>
    </row>
    <row r="2019">
      <c r="A2019" s="2" t="s">
        <v>16357</v>
      </c>
    </row>
    <row r="2021">
      <c r="A2021" s="2" t="s">
        <v>17796</v>
      </c>
    </row>
    <row r="2022">
      <c r="A2022" s="2" t="s">
        <v>17797</v>
      </c>
    </row>
    <row r="2024">
      <c r="A2024" s="2" t="s">
        <v>16361</v>
      </c>
    </row>
    <row r="2026">
      <c r="A2026" s="2" t="s">
        <v>17798</v>
      </c>
    </row>
    <row r="2027">
      <c r="A2027" s="2" t="s">
        <v>17799</v>
      </c>
    </row>
    <row r="2029">
      <c r="A2029" s="2" t="s">
        <v>16365</v>
      </c>
    </row>
    <row r="2031">
      <c r="A2031" s="2" t="s">
        <v>17800</v>
      </c>
    </row>
    <row r="2032">
      <c r="A2032" s="2" t="s">
        <v>17801</v>
      </c>
    </row>
    <row r="2034">
      <c r="A2034" s="2" t="s">
        <v>16369</v>
      </c>
    </row>
    <row r="2036">
      <c r="A2036" s="2" t="s">
        <v>17802</v>
      </c>
    </row>
    <row r="2037">
      <c r="A2037" s="2" t="s">
        <v>17803</v>
      </c>
    </row>
    <row r="2039">
      <c r="A2039" s="2" t="s">
        <v>16373</v>
      </c>
    </row>
    <row r="2041">
      <c r="A2041" s="2" t="s">
        <v>16374</v>
      </c>
    </row>
    <row r="2043">
      <c r="A2043" s="2" t="s">
        <v>17804</v>
      </c>
    </row>
    <row r="2044">
      <c r="A2044" s="2" t="s">
        <v>17805</v>
      </c>
    </row>
    <row r="2046">
      <c r="A2046" s="2" t="s">
        <v>16378</v>
      </c>
    </row>
    <row r="2048">
      <c r="A2048" s="2" t="s">
        <v>16379</v>
      </c>
    </row>
    <row r="2050">
      <c r="A2050" s="2" t="s">
        <v>17806</v>
      </c>
    </row>
    <row r="2051">
      <c r="A2051" s="2" t="s">
        <v>17807</v>
      </c>
    </row>
    <row r="2053">
      <c r="A2053" s="2" t="s">
        <v>16383</v>
      </c>
    </row>
    <row r="2055">
      <c r="A2055" s="2" t="s">
        <v>16384</v>
      </c>
    </row>
    <row r="2057">
      <c r="A2057" s="2" t="s">
        <v>17808</v>
      </c>
    </row>
    <row r="2058">
      <c r="A2058" s="2" t="s">
        <v>17809</v>
      </c>
    </row>
    <row r="2060">
      <c r="A2060" s="2" t="s">
        <v>16388</v>
      </c>
    </row>
    <row r="2062">
      <c r="A2062" s="2" t="s">
        <v>16389</v>
      </c>
    </row>
    <row r="2064">
      <c r="A2064" s="2" t="s">
        <v>17810</v>
      </c>
    </row>
    <row r="2065">
      <c r="A2065" s="2" t="s">
        <v>17811</v>
      </c>
    </row>
    <row r="2067">
      <c r="A2067" s="2" t="s">
        <v>16393</v>
      </c>
    </row>
    <row r="2069">
      <c r="A2069" s="2" t="s">
        <v>17812</v>
      </c>
    </row>
    <row r="2070">
      <c r="A2070" s="2" t="s">
        <v>17813</v>
      </c>
    </row>
    <row r="2072">
      <c r="A2072" s="2" t="s">
        <v>16398</v>
      </c>
    </row>
    <row r="2074">
      <c r="A2074" s="2" t="s">
        <v>16399</v>
      </c>
    </row>
    <row r="2076">
      <c r="A2076" s="2" t="s">
        <v>17814</v>
      </c>
    </row>
    <row r="2077">
      <c r="A2077" s="2" t="s">
        <v>17815</v>
      </c>
    </row>
    <row r="2079">
      <c r="A2079" s="2" t="s">
        <v>16403</v>
      </c>
    </row>
    <row r="2081">
      <c r="A2081" s="2" t="s">
        <v>17816</v>
      </c>
    </row>
    <row r="2082">
      <c r="A2082" s="2" t="s">
        <v>17817</v>
      </c>
    </row>
    <row r="2084">
      <c r="A2084" s="2" t="s">
        <v>16407</v>
      </c>
    </row>
    <row r="2086">
      <c r="A2086" s="2" t="s">
        <v>16408</v>
      </c>
    </row>
    <row r="2087">
      <c r="A2087" s="2" t="s">
        <v>17818</v>
      </c>
    </row>
    <row r="2089">
      <c r="A2089" s="2" t="s">
        <v>16411</v>
      </c>
    </row>
    <row r="2091">
      <c r="A2091" s="2" t="s">
        <v>17819</v>
      </c>
    </row>
    <row r="2092">
      <c r="A2092" s="2" t="s">
        <v>17820</v>
      </c>
    </row>
    <row r="2093">
      <c r="A2093" s="2" t="s">
        <v>14322</v>
      </c>
    </row>
    <row r="2095">
      <c r="A2095" s="2" t="s">
        <v>7462</v>
      </c>
    </row>
    <row r="2096">
      <c r="A2096" s="2" t="s">
        <v>17821</v>
      </c>
    </row>
    <row r="2097">
      <c r="A2097" s="2" t="s">
        <v>17822</v>
      </c>
    </row>
    <row r="2099">
      <c r="A2099" s="2" t="s">
        <v>16417</v>
      </c>
    </row>
    <row r="2101">
      <c r="A2101" s="2" t="s">
        <v>16418</v>
      </c>
    </row>
    <row r="2103">
      <c r="A2103" s="2" t="s">
        <v>17823</v>
      </c>
    </row>
    <row r="2104">
      <c r="A2104" s="2" t="s">
        <v>17824</v>
      </c>
    </row>
    <row r="2106">
      <c r="A2106" s="2" t="s">
        <v>7462</v>
      </c>
    </row>
    <row r="2107">
      <c r="A2107" s="2" t="s">
        <v>16421</v>
      </c>
    </row>
    <row r="2109">
      <c r="A2109" s="2" t="s">
        <v>16422</v>
      </c>
    </row>
    <row r="2111">
      <c r="A2111" s="2" t="s">
        <v>16423</v>
      </c>
    </row>
    <row r="2113">
      <c r="A2113" s="2" t="s">
        <v>17825</v>
      </c>
    </row>
    <row r="2114">
      <c r="A2114" s="2" t="s">
        <v>17826</v>
      </c>
    </row>
    <row r="2116">
      <c r="A2116" s="2" t="s">
        <v>16427</v>
      </c>
    </row>
    <row r="2118">
      <c r="A2118" s="2" t="s">
        <v>16428</v>
      </c>
    </row>
    <row r="2120">
      <c r="A2120" s="2" t="s">
        <v>17827</v>
      </c>
    </row>
    <row r="2121">
      <c r="A2121" s="2" t="s">
        <v>17828</v>
      </c>
    </row>
    <row r="2123">
      <c r="A2123" s="2" t="s">
        <v>17829</v>
      </c>
    </row>
    <row r="2124">
      <c r="A2124" s="2" t="s">
        <v>17830</v>
      </c>
    </row>
    <row r="2126">
      <c r="A2126" s="2" t="s">
        <v>16435</v>
      </c>
    </row>
    <row r="2128">
      <c r="A2128" s="2" t="s">
        <v>17831</v>
      </c>
    </row>
    <row r="2129">
      <c r="A2129" s="2" t="s">
        <v>17832</v>
      </c>
    </row>
    <row r="2131">
      <c r="A2131" s="2" t="s">
        <v>16439</v>
      </c>
    </row>
    <row r="2133">
      <c r="A2133" s="2" t="s">
        <v>16440</v>
      </c>
    </row>
    <row r="2134">
      <c r="A2134" s="2" t="s">
        <v>17833</v>
      </c>
    </row>
    <row r="2136">
      <c r="A2136" s="2" t="s">
        <v>16443</v>
      </c>
    </row>
    <row r="2138">
      <c r="A2138" s="2" t="s">
        <v>16444</v>
      </c>
    </row>
    <row r="2140">
      <c r="A2140" s="2" t="s">
        <v>17834</v>
      </c>
    </row>
    <row r="2141">
      <c r="A2141" s="2" t="s">
        <v>17835</v>
      </c>
    </row>
    <row r="2143">
      <c r="A2143" s="2" t="s">
        <v>16448</v>
      </c>
    </row>
    <row r="2145">
      <c r="A2145" s="2" t="s">
        <v>16449</v>
      </c>
    </row>
    <row r="2147">
      <c r="A2147" s="2" t="s">
        <v>17836</v>
      </c>
    </row>
    <row r="2148">
      <c r="A2148" s="2" t="s">
        <v>17837</v>
      </c>
    </row>
    <row r="2150">
      <c r="A2150" s="2" t="s">
        <v>16453</v>
      </c>
    </row>
    <row r="2152">
      <c r="A2152" s="2" t="s">
        <v>16454</v>
      </c>
    </row>
    <row r="2154">
      <c r="A2154" s="2" t="s">
        <v>17838</v>
      </c>
    </row>
    <row r="2155">
      <c r="A2155" s="2" t="s">
        <v>17839</v>
      </c>
    </row>
    <row r="2157">
      <c r="A2157" s="2" t="s">
        <v>16458</v>
      </c>
    </row>
    <row r="2159">
      <c r="A2159" s="2" t="s">
        <v>16459</v>
      </c>
    </row>
    <row r="2161">
      <c r="A2161" s="2" t="s">
        <v>17840</v>
      </c>
    </row>
    <row r="2162">
      <c r="A2162" s="2" t="s">
        <v>17841</v>
      </c>
    </row>
    <row r="2164">
      <c r="A2164" s="2" t="s">
        <v>16463</v>
      </c>
    </row>
    <row r="2166">
      <c r="A2166" s="2" t="s">
        <v>17842</v>
      </c>
    </row>
    <row r="2167">
      <c r="A2167" s="2" t="s">
        <v>17843</v>
      </c>
    </row>
    <row r="2169">
      <c r="A2169" s="2" t="s">
        <v>16467</v>
      </c>
    </row>
    <row r="2171">
      <c r="A2171" s="2" t="s">
        <v>16468</v>
      </c>
    </row>
    <row r="2173">
      <c r="A2173" s="2" t="s">
        <v>16469</v>
      </c>
    </row>
    <row r="2174">
      <c r="A2174" s="2" t="s">
        <v>17844</v>
      </c>
    </row>
    <row r="2176">
      <c r="A2176" s="2" t="s">
        <v>16472</v>
      </c>
    </row>
    <row r="2178">
      <c r="A2178" s="2" t="s">
        <v>16473</v>
      </c>
    </row>
    <row r="2180">
      <c r="A2180" s="2" t="s">
        <v>17845</v>
      </c>
    </row>
    <row r="2181">
      <c r="A2181" s="2" t="s">
        <v>17846</v>
      </c>
    </row>
    <row r="2183">
      <c r="A2183" s="2" t="s">
        <v>8078</v>
      </c>
    </row>
    <row r="2184">
      <c r="A2184" s="2" t="s">
        <v>16477</v>
      </c>
    </row>
    <row r="2186">
      <c r="A2186" s="2" t="s">
        <v>7770</v>
      </c>
    </row>
    <row r="2187">
      <c r="A2187" s="2" t="s">
        <v>17847</v>
      </c>
    </row>
    <row r="2188">
      <c r="A2188" s="2" t="s">
        <v>17848</v>
      </c>
    </row>
    <row r="2190">
      <c r="A2190" s="2" t="s">
        <v>7577</v>
      </c>
    </row>
    <row r="2191">
      <c r="A2191" s="2" t="s">
        <v>16481</v>
      </c>
    </row>
    <row r="2193">
      <c r="A2193" s="2" t="s">
        <v>16482</v>
      </c>
    </row>
    <row r="2195">
      <c r="A2195" s="2" t="s">
        <v>17849</v>
      </c>
    </row>
    <row r="2196">
      <c r="A2196" s="2" t="s">
        <v>17850</v>
      </c>
    </row>
    <row r="2198">
      <c r="A2198" s="2" t="s">
        <v>16486</v>
      </c>
    </row>
    <row r="2200">
      <c r="A2200" s="2" t="s">
        <v>17851</v>
      </c>
    </row>
    <row r="2201">
      <c r="A2201" s="2" t="s">
        <v>17852</v>
      </c>
    </row>
    <row r="2203">
      <c r="A2203" s="2" t="s">
        <v>16490</v>
      </c>
    </row>
    <row r="2205">
      <c r="A2205" s="2" t="s">
        <v>17853</v>
      </c>
    </row>
    <row r="2206">
      <c r="A2206" s="2" t="s">
        <v>17854</v>
      </c>
    </row>
    <row r="2207">
      <c r="A2207" s="2" t="s">
        <v>17855</v>
      </c>
    </row>
    <row r="2209">
      <c r="A2209" s="2" t="s">
        <v>16496</v>
      </c>
    </row>
    <row r="2211">
      <c r="A2211" s="2" t="s">
        <v>17856</v>
      </c>
    </row>
    <row r="2212">
      <c r="A2212" s="2" t="s">
        <v>17857</v>
      </c>
    </row>
    <row r="2214">
      <c r="A2214" s="2" t="s">
        <v>16500</v>
      </c>
    </row>
    <row r="2216">
      <c r="A2216" s="2" t="s">
        <v>17858</v>
      </c>
    </row>
    <row r="2217">
      <c r="A2217" s="2" t="s">
        <v>17859</v>
      </c>
    </row>
    <row r="2219">
      <c r="A2219" s="2" t="s">
        <v>16504</v>
      </c>
    </row>
    <row r="2221">
      <c r="A2221" s="2" t="s">
        <v>17860</v>
      </c>
    </row>
    <row r="2222">
      <c r="A2222" s="2" t="s">
        <v>17861</v>
      </c>
    </row>
    <row r="2224">
      <c r="A2224" s="2" t="s">
        <v>16508</v>
      </c>
    </row>
    <row r="2226">
      <c r="A2226" s="2" t="s">
        <v>17862</v>
      </c>
    </row>
    <row r="2227">
      <c r="A2227" s="2" t="s">
        <v>17863</v>
      </c>
    </row>
    <row r="2229">
      <c r="A2229" s="2" t="s">
        <v>16512</v>
      </c>
    </row>
    <row r="2231">
      <c r="A2231" s="2" t="s">
        <v>17864</v>
      </c>
    </row>
    <row r="2232">
      <c r="A2232" s="2" t="s">
        <v>17865</v>
      </c>
    </row>
    <row r="2234">
      <c r="A2234" s="2" t="s">
        <v>16516</v>
      </c>
    </row>
    <row r="2236">
      <c r="A2236" s="2" t="s">
        <v>16517</v>
      </c>
    </row>
    <row r="2238">
      <c r="A2238" s="2" t="s">
        <v>17866</v>
      </c>
    </row>
    <row r="2239">
      <c r="A2239" s="2" t="s">
        <v>17867</v>
      </c>
    </row>
    <row r="2241">
      <c r="A2241" s="2" t="s">
        <v>16521</v>
      </c>
    </row>
    <row r="2243">
      <c r="A2243" s="2" t="s">
        <v>17868</v>
      </c>
    </row>
    <row r="2244">
      <c r="A2244" s="2" t="s">
        <v>17869</v>
      </c>
    </row>
    <row r="2246">
      <c r="A2246" s="2" t="s">
        <v>16525</v>
      </c>
    </row>
    <row r="2248">
      <c r="A2248" s="2" t="s">
        <v>16526</v>
      </c>
    </row>
    <row r="2250">
      <c r="A2250" s="2" t="s">
        <v>17870</v>
      </c>
    </row>
    <row r="2251">
      <c r="A2251" s="2" t="s">
        <v>17871</v>
      </c>
    </row>
    <row r="2253">
      <c r="A2253" s="2" t="s">
        <v>16530</v>
      </c>
    </row>
    <row r="2255">
      <c r="A2255" s="2" t="s">
        <v>16531</v>
      </c>
    </row>
    <row r="2257">
      <c r="A2257" s="2" t="s">
        <v>17872</v>
      </c>
    </row>
    <row r="2258">
      <c r="A2258" s="2" t="s">
        <v>17873</v>
      </c>
    </row>
    <row r="2260">
      <c r="A2260" s="2" t="s">
        <v>16535</v>
      </c>
    </row>
    <row r="2262">
      <c r="A2262" s="2" t="s">
        <v>16536</v>
      </c>
    </row>
    <row r="2264">
      <c r="A2264" s="2" t="s">
        <v>17874</v>
      </c>
    </row>
    <row r="2265">
      <c r="A2265" s="2" t="s">
        <v>17875</v>
      </c>
    </row>
    <row r="2267">
      <c r="A2267" s="2" t="s">
        <v>16540</v>
      </c>
    </row>
    <row r="2269">
      <c r="A2269" s="2" t="s">
        <v>17876</v>
      </c>
    </row>
    <row r="2270">
      <c r="A2270" s="2" t="s">
        <v>17877</v>
      </c>
    </row>
    <row r="2272">
      <c r="A2272" s="2" t="s">
        <v>16544</v>
      </c>
    </row>
    <row r="2274">
      <c r="A2274" s="2" t="s">
        <v>17878</v>
      </c>
    </row>
    <row r="2275">
      <c r="A2275" s="2" t="s">
        <v>17879</v>
      </c>
    </row>
    <row r="2277">
      <c r="A2277" s="2" t="s">
        <v>16548</v>
      </c>
    </row>
    <row r="2279">
      <c r="A2279" s="2" t="s">
        <v>16549</v>
      </c>
    </row>
    <row r="2281">
      <c r="A2281" s="2" t="s">
        <v>17880</v>
      </c>
    </row>
    <row r="2282">
      <c r="A2282" s="2" t="s">
        <v>17881</v>
      </c>
    </row>
    <row r="2284">
      <c r="A2284" s="2" t="s">
        <v>16553</v>
      </c>
    </row>
    <row r="2286">
      <c r="A2286" s="2" t="s">
        <v>16554</v>
      </c>
    </row>
    <row r="2288">
      <c r="A2288" s="2" t="s">
        <v>16555</v>
      </c>
    </row>
    <row r="2290">
      <c r="A2290" s="2" t="s">
        <v>17882</v>
      </c>
    </row>
    <row r="2291">
      <c r="A2291" s="2" t="s">
        <v>17883</v>
      </c>
    </row>
    <row r="2293">
      <c r="A2293" s="2" t="s">
        <v>16559</v>
      </c>
    </row>
    <row r="2295">
      <c r="A2295" s="2" t="s">
        <v>17884</v>
      </c>
    </row>
    <row r="2296">
      <c r="A2296" s="2" t="s">
        <v>17885</v>
      </c>
    </row>
    <row r="2298">
      <c r="A2298" s="2" t="s">
        <v>16563</v>
      </c>
    </row>
    <row r="2300">
      <c r="A2300" s="2" t="s">
        <v>17886</v>
      </c>
    </row>
    <row r="2301">
      <c r="A2301" s="2" t="s">
        <v>17887</v>
      </c>
    </row>
    <row r="2303">
      <c r="A2303" s="2" t="s">
        <v>7577</v>
      </c>
    </row>
    <row r="2304">
      <c r="A2304" s="2" t="s">
        <v>16567</v>
      </c>
    </row>
    <row r="2306">
      <c r="A2306" s="2" t="s">
        <v>16568</v>
      </c>
    </row>
    <row r="2307">
      <c r="A2307" s="2" t="s">
        <v>16569</v>
      </c>
    </row>
    <row r="2309">
      <c r="A2309" s="2" t="s">
        <v>7579</v>
      </c>
    </row>
    <row r="2310">
      <c r="A2310" s="2" t="s">
        <v>17888</v>
      </c>
    </row>
    <row r="2311">
      <c r="A2311" s="2" t="s">
        <v>17889</v>
      </c>
    </row>
    <row r="2312">
      <c r="A2312" s="2" t="s">
        <v>17890</v>
      </c>
    </row>
    <row r="2314">
      <c r="A2314" s="2" t="s">
        <v>16575</v>
      </c>
    </row>
    <row r="2316">
      <c r="A2316" s="2" t="s">
        <v>17891</v>
      </c>
    </row>
    <row r="2317">
      <c r="A2317" s="2" t="s">
        <v>17892</v>
      </c>
    </row>
    <row r="2319">
      <c r="A2319" s="2" t="s">
        <v>16579</v>
      </c>
    </row>
    <row r="2321">
      <c r="A2321" s="2" t="s">
        <v>16580</v>
      </c>
    </row>
    <row r="2323">
      <c r="A2323" s="2" t="s">
        <v>17893</v>
      </c>
    </row>
    <row r="2324">
      <c r="A2324" s="2" t="s">
        <v>17894</v>
      </c>
    </row>
    <row r="2326">
      <c r="A2326" s="2" t="s">
        <v>16584</v>
      </c>
    </row>
    <row r="2328">
      <c r="A2328" s="2" t="s">
        <v>17895</v>
      </c>
    </row>
    <row r="2329">
      <c r="A2329" s="2" t="s">
        <v>17896</v>
      </c>
    </row>
    <row r="2331">
      <c r="A2331" s="2" t="s">
        <v>16588</v>
      </c>
    </row>
    <row r="2333">
      <c r="A2333" s="2" t="s">
        <v>16589</v>
      </c>
    </row>
    <row r="2335">
      <c r="A2335" s="2" t="s">
        <v>17897</v>
      </c>
    </row>
    <row r="2336">
      <c r="A2336" s="2" t="s">
        <v>17898</v>
      </c>
    </row>
    <row r="2338">
      <c r="A2338" s="2" t="s">
        <v>16593</v>
      </c>
    </row>
    <row r="2340">
      <c r="A2340" s="2" t="s">
        <v>17899</v>
      </c>
    </row>
    <row r="2341">
      <c r="A2341" s="2" t="s">
        <v>17900</v>
      </c>
    </row>
    <row r="2343">
      <c r="A2343" s="2" t="s">
        <v>16597</v>
      </c>
    </row>
    <row r="2345">
      <c r="A2345" s="2" t="s">
        <v>17901</v>
      </c>
    </row>
    <row r="2346">
      <c r="A2346" s="2" t="s">
        <v>17902</v>
      </c>
    </row>
    <row r="2348">
      <c r="A2348" s="2" t="s">
        <v>16601</v>
      </c>
    </row>
    <row r="2350">
      <c r="A2350" s="2" t="s">
        <v>16602</v>
      </c>
    </row>
    <row r="2352">
      <c r="A2352" s="2" t="s">
        <v>17903</v>
      </c>
    </row>
    <row r="2353">
      <c r="A2353" s="2" t="s">
        <v>17904</v>
      </c>
    </row>
    <row r="2355">
      <c r="A2355" s="2" t="s">
        <v>16606</v>
      </c>
    </row>
    <row r="2357">
      <c r="A2357" s="2" t="s">
        <v>16607</v>
      </c>
    </row>
    <row r="2359">
      <c r="A2359" s="2" t="s">
        <v>17905</v>
      </c>
    </row>
    <row r="2360">
      <c r="A2360" s="2" t="s">
        <v>17906</v>
      </c>
    </row>
    <row r="2362">
      <c r="A2362" s="2" t="s">
        <v>16611</v>
      </c>
    </row>
    <row r="2364">
      <c r="A2364" s="2" t="s">
        <v>16612</v>
      </c>
    </row>
    <row r="2365">
      <c r="A2365" s="2" t="s">
        <v>17907</v>
      </c>
    </row>
    <row r="2367">
      <c r="A2367" s="2" t="s">
        <v>16615</v>
      </c>
    </row>
    <row r="2369">
      <c r="A2369" s="2" t="s">
        <v>16616</v>
      </c>
    </row>
    <row r="2371">
      <c r="A2371" s="2" t="s">
        <v>17908</v>
      </c>
    </row>
    <row r="2372">
      <c r="A2372" s="2" t="s">
        <v>17909</v>
      </c>
    </row>
    <row r="2374">
      <c r="A2374" s="2" t="s">
        <v>16620</v>
      </c>
    </row>
    <row r="2376">
      <c r="A2376" s="2" t="s">
        <v>16621</v>
      </c>
    </row>
    <row r="2378">
      <c r="A2378" s="2" t="s">
        <v>17910</v>
      </c>
    </row>
    <row r="2379">
      <c r="A2379" s="2" t="s">
        <v>17911</v>
      </c>
    </row>
    <row r="2381">
      <c r="A2381" s="2" t="s">
        <v>16625</v>
      </c>
    </row>
    <row r="2383">
      <c r="A2383" s="2" t="s">
        <v>17912</v>
      </c>
    </row>
    <row r="2384">
      <c r="A2384" s="2" t="s">
        <v>17913</v>
      </c>
    </row>
    <row r="2386">
      <c r="A2386" s="2" t="s">
        <v>16630</v>
      </c>
    </row>
    <row r="2388">
      <c r="A2388" s="2" t="s">
        <v>17914</v>
      </c>
    </row>
    <row r="2389">
      <c r="A2389" s="2" t="s">
        <v>17915</v>
      </c>
    </row>
    <row r="2391">
      <c r="A2391" s="2" t="s">
        <v>16634</v>
      </c>
    </row>
    <row r="2393">
      <c r="A2393" s="2" t="s">
        <v>16635</v>
      </c>
    </row>
    <row r="2395">
      <c r="A2395" s="2" t="s">
        <v>17916</v>
      </c>
    </row>
    <row r="2396">
      <c r="A2396" s="2" t="s">
        <v>17917</v>
      </c>
    </row>
    <row r="2398">
      <c r="A2398" s="2" t="s">
        <v>16639</v>
      </c>
    </row>
    <row r="2400">
      <c r="A2400" s="2" t="s">
        <v>16640</v>
      </c>
    </row>
    <row r="2402">
      <c r="A2402" s="2" t="s">
        <v>17918</v>
      </c>
    </row>
    <row r="2403">
      <c r="A2403" s="2" t="s">
        <v>17919</v>
      </c>
    </row>
    <row r="2405">
      <c r="A2405" s="2" t="s">
        <v>16644</v>
      </c>
    </row>
    <row r="2407">
      <c r="A2407" s="2" t="s">
        <v>17920</v>
      </c>
    </row>
    <row r="2408">
      <c r="A2408" s="2" t="s">
        <v>17921</v>
      </c>
    </row>
    <row r="2410">
      <c r="A2410" s="2" t="s">
        <v>16648</v>
      </c>
    </row>
    <row r="2412">
      <c r="A2412" s="2" t="s">
        <v>17922</v>
      </c>
    </row>
    <row r="2413">
      <c r="A2413" s="2" t="s">
        <v>17923</v>
      </c>
    </row>
    <row r="2415">
      <c r="A2415" s="2" t="s">
        <v>16652</v>
      </c>
    </row>
    <row r="2417">
      <c r="A2417" s="2" t="s">
        <v>17924</v>
      </c>
    </row>
    <row r="2418">
      <c r="A2418" s="2" t="s">
        <v>17925</v>
      </c>
    </row>
    <row r="2420">
      <c r="A2420" s="2" t="s">
        <v>16656</v>
      </c>
    </row>
    <row r="2422">
      <c r="A2422" s="2" t="s">
        <v>17926</v>
      </c>
    </row>
    <row r="2423">
      <c r="A2423" s="2" t="s">
        <v>17927</v>
      </c>
    </row>
    <row r="2425">
      <c r="A2425" s="2" t="s">
        <v>16660</v>
      </c>
    </row>
    <row r="2427">
      <c r="A2427" s="2" t="s">
        <v>17928</v>
      </c>
    </row>
    <row r="2428">
      <c r="A2428" s="2" t="s">
        <v>17929</v>
      </c>
    </row>
    <row r="2430">
      <c r="A2430" s="2" t="s">
        <v>16664</v>
      </c>
    </row>
    <row r="2432">
      <c r="A2432" s="2" t="s">
        <v>17930</v>
      </c>
    </row>
    <row r="2433">
      <c r="A2433" s="2" t="s">
        <v>17931</v>
      </c>
    </row>
    <row r="2435">
      <c r="A2435" s="2" t="s">
        <v>16668</v>
      </c>
    </row>
    <row r="2437">
      <c r="A2437" s="2" t="s">
        <v>17932</v>
      </c>
    </row>
    <row r="2438">
      <c r="A2438" s="2" t="s">
        <v>17933</v>
      </c>
    </row>
    <row r="2440">
      <c r="A2440" s="2" t="s">
        <v>16672</v>
      </c>
    </row>
    <row r="2442">
      <c r="A2442" s="2" t="s">
        <v>17934</v>
      </c>
    </row>
    <row r="2443">
      <c r="A2443" s="2" t="s">
        <v>17935</v>
      </c>
    </row>
    <row r="2445">
      <c r="A2445" s="2" t="s">
        <v>16676</v>
      </c>
    </row>
    <row r="2447">
      <c r="A2447" s="2" t="s">
        <v>17936</v>
      </c>
    </row>
    <row r="2448">
      <c r="A2448" s="2" t="s">
        <v>17937</v>
      </c>
    </row>
    <row r="2450">
      <c r="A2450" s="2" t="s">
        <v>16680</v>
      </c>
    </row>
    <row r="2452">
      <c r="A2452" s="2" t="s">
        <v>16681</v>
      </c>
    </row>
    <row r="2454">
      <c r="A2454" s="2" t="s">
        <v>17938</v>
      </c>
    </row>
    <row r="2455">
      <c r="A2455" s="2" t="s">
        <v>17939</v>
      </c>
    </row>
    <row r="2457">
      <c r="A2457" s="2" t="s">
        <v>16685</v>
      </c>
    </row>
    <row r="2459">
      <c r="A2459" s="2" t="s">
        <v>17940</v>
      </c>
    </row>
    <row r="2460">
      <c r="A2460" s="2" t="s">
        <v>17941</v>
      </c>
    </row>
    <row r="2462">
      <c r="A2462" s="2" t="s">
        <v>16689</v>
      </c>
    </row>
    <row r="2464">
      <c r="A2464" s="2" t="s">
        <v>17942</v>
      </c>
    </row>
    <row r="2465">
      <c r="A2465" s="2" t="s">
        <v>17943</v>
      </c>
    </row>
    <row r="2467">
      <c r="A2467" s="2" t="s">
        <v>16693</v>
      </c>
    </row>
    <row r="2469">
      <c r="A2469" s="2" t="s">
        <v>17944</v>
      </c>
    </row>
    <row r="2470">
      <c r="A2470" s="2" t="s">
        <v>17945</v>
      </c>
    </row>
    <row r="2472">
      <c r="A2472" s="2" t="s">
        <v>16697</v>
      </c>
    </row>
    <row r="2474">
      <c r="A2474" s="2" t="s">
        <v>17946</v>
      </c>
    </row>
    <row r="2475">
      <c r="A2475" s="2" t="s">
        <v>17947</v>
      </c>
    </row>
    <row r="2477">
      <c r="A2477" s="2" t="s">
        <v>16701</v>
      </c>
    </row>
    <row r="2479">
      <c r="A2479" s="2" t="s">
        <v>16702</v>
      </c>
    </row>
    <row r="2481">
      <c r="A2481" s="2" t="s">
        <v>17948</v>
      </c>
    </row>
    <row r="2482">
      <c r="A2482" s="2" t="s">
        <v>17949</v>
      </c>
    </row>
    <row r="2484">
      <c r="A2484" s="2" t="s">
        <v>16706</v>
      </c>
    </row>
    <row r="2486">
      <c r="A2486" s="2" t="s">
        <v>17950</v>
      </c>
    </row>
    <row r="2487">
      <c r="A2487" s="2" t="s">
        <v>17951</v>
      </c>
    </row>
    <row r="2489">
      <c r="A2489" s="2" t="s">
        <v>17952</v>
      </c>
    </row>
    <row r="2490">
      <c r="A2490" s="2" t="s">
        <v>17953</v>
      </c>
    </row>
    <row r="2491">
      <c r="A2491" s="2" t="s">
        <v>17954</v>
      </c>
    </row>
    <row r="2493">
      <c r="A2493" s="2" t="s">
        <v>16715</v>
      </c>
    </row>
    <row r="2495">
      <c r="A2495" s="2" t="s">
        <v>17955</v>
      </c>
    </row>
    <row r="2496">
      <c r="A2496" s="2" t="s">
        <v>17956</v>
      </c>
    </row>
    <row r="2498">
      <c r="A2498" s="2" t="s">
        <v>16719</v>
      </c>
    </row>
    <row r="2500">
      <c r="A2500" s="2" t="s">
        <v>16720</v>
      </c>
    </row>
    <row r="2502">
      <c r="A2502" s="2" t="s">
        <v>17957</v>
      </c>
    </row>
    <row r="2503">
      <c r="A2503" s="2" t="s">
        <v>17958</v>
      </c>
    </row>
    <row r="2505">
      <c r="A2505" s="2" t="s">
        <v>16724</v>
      </c>
    </row>
    <row r="2507">
      <c r="A2507" s="2" t="s">
        <v>17959</v>
      </c>
    </row>
    <row r="2508">
      <c r="A2508" s="2" t="s">
        <v>17960</v>
      </c>
    </row>
    <row r="2510">
      <c r="A2510" s="2" t="s">
        <v>16728</v>
      </c>
    </row>
    <row r="2512">
      <c r="A2512" s="2" t="s">
        <v>13000</v>
      </c>
    </row>
    <row r="2513">
      <c r="A2513" s="2" t="s">
        <v>17961</v>
      </c>
    </row>
    <row r="2515">
      <c r="A2515" s="2" t="s">
        <v>16732</v>
      </c>
    </row>
    <row r="2517">
      <c r="A2517" s="2" t="s">
        <v>16733</v>
      </c>
    </row>
    <row r="2519">
      <c r="A2519" s="2" t="s">
        <v>17962</v>
      </c>
    </row>
    <row r="2520">
      <c r="A2520" s="2" t="s">
        <v>17963</v>
      </c>
    </row>
    <row r="2522">
      <c r="A2522" s="2" t="s">
        <v>16737</v>
      </c>
    </row>
    <row r="2524">
      <c r="A2524" s="2" t="s">
        <v>17964</v>
      </c>
    </row>
    <row r="2525">
      <c r="A2525" s="2" t="s">
        <v>17965</v>
      </c>
    </row>
    <row r="2527">
      <c r="A2527" s="2" t="s">
        <v>7691</v>
      </c>
    </row>
    <row r="2528">
      <c r="A2528" s="2" t="s">
        <v>17966</v>
      </c>
    </row>
    <row r="2529">
      <c r="A2529" s="2" t="s">
        <v>17967</v>
      </c>
    </row>
    <row r="2531">
      <c r="A2531" s="2" t="s">
        <v>17968</v>
      </c>
    </row>
    <row r="2532">
      <c r="A2532" s="2" t="s">
        <v>17969</v>
      </c>
    </row>
    <row r="2534">
      <c r="A2534" s="2" t="s">
        <v>16747</v>
      </c>
    </row>
    <row r="2536">
      <c r="A2536" s="2" t="s">
        <v>16748</v>
      </c>
    </row>
    <row r="2538">
      <c r="A2538" s="2" t="s">
        <v>17970</v>
      </c>
    </row>
    <row r="2539">
      <c r="A2539" s="2" t="s">
        <v>17971</v>
      </c>
    </row>
    <row r="2540">
      <c r="A2540" s="2" t="s">
        <v>17972</v>
      </c>
    </row>
    <row r="2542">
      <c r="A2542" s="2" t="s">
        <v>16754</v>
      </c>
    </row>
    <row r="2544">
      <c r="A2544" s="2" t="s">
        <v>16755</v>
      </c>
    </row>
    <row r="2545">
      <c r="A2545" s="2" t="s">
        <v>17973</v>
      </c>
    </row>
    <row r="2547">
      <c r="A2547" s="2" t="s">
        <v>17974</v>
      </c>
    </row>
    <row r="2548">
      <c r="A2548" s="2" t="s">
        <v>17975</v>
      </c>
    </row>
    <row r="2550">
      <c r="A2550" s="2" t="s">
        <v>16761</v>
      </c>
    </row>
    <row r="2552">
      <c r="A2552" s="2" t="s">
        <v>17976</v>
      </c>
    </row>
    <row r="2553">
      <c r="A2553" s="2" t="s">
        <v>17977</v>
      </c>
    </row>
    <row r="2555">
      <c r="A2555" s="2" t="s">
        <v>17978</v>
      </c>
    </row>
    <row r="2556">
      <c r="A2556" s="2" t="s">
        <v>17979</v>
      </c>
    </row>
    <row r="2558">
      <c r="A2558" s="2" t="s">
        <v>16768</v>
      </c>
    </row>
    <row r="2560">
      <c r="A2560" s="2" t="s">
        <v>16769</v>
      </c>
    </row>
    <row r="2562">
      <c r="A2562" s="2" t="s">
        <v>17980</v>
      </c>
    </row>
    <row r="2563">
      <c r="A2563" s="2" t="s">
        <v>17981</v>
      </c>
    </row>
    <row r="2565">
      <c r="A2565" s="2" t="s">
        <v>16773</v>
      </c>
    </row>
    <row r="2567">
      <c r="A2567" s="2" t="s">
        <v>16774</v>
      </c>
    </row>
    <row r="2569">
      <c r="A2569" s="2" t="s">
        <v>17982</v>
      </c>
    </row>
    <row r="2570">
      <c r="A2570" s="2" t="s">
        <v>17983</v>
      </c>
    </row>
    <row r="2572">
      <c r="A2572" s="2" t="s">
        <v>16778</v>
      </c>
    </row>
    <row r="2574">
      <c r="A2574" s="2" t="s">
        <v>16779</v>
      </c>
    </row>
    <row r="2576">
      <c r="A2576" s="2" t="s">
        <v>17984</v>
      </c>
    </row>
    <row r="2577">
      <c r="A2577" s="2" t="s">
        <v>17985</v>
      </c>
    </row>
    <row r="2579">
      <c r="A2579" s="2" t="s">
        <v>16783</v>
      </c>
    </row>
    <row r="2581">
      <c r="A2581" s="2" t="s">
        <v>16784</v>
      </c>
    </row>
    <row r="2583">
      <c r="A2583" s="2" t="s">
        <v>17986</v>
      </c>
    </row>
    <row r="2584">
      <c r="A2584" s="2" t="s">
        <v>17987</v>
      </c>
    </row>
    <row r="2585">
      <c r="A2585" s="2" t="s">
        <v>17988</v>
      </c>
    </row>
    <row r="2587">
      <c r="A2587" s="2" t="s">
        <v>16790</v>
      </c>
    </row>
    <row r="2589">
      <c r="A2589" s="2" t="s">
        <v>17989</v>
      </c>
    </row>
    <row r="2590">
      <c r="A2590" s="2" t="s">
        <v>17990</v>
      </c>
    </row>
    <row r="2592">
      <c r="A2592" s="2" t="s">
        <v>16794</v>
      </c>
    </row>
    <row r="2594">
      <c r="A2594" s="2" t="s">
        <v>16795</v>
      </c>
    </row>
    <row r="2596">
      <c r="A2596" s="2" t="s">
        <v>17991</v>
      </c>
    </row>
    <row r="2597">
      <c r="A2597" s="2" t="s">
        <v>17992</v>
      </c>
    </row>
    <row r="2599">
      <c r="A2599" s="2" t="s">
        <v>16799</v>
      </c>
    </row>
    <row r="2601">
      <c r="A2601" s="2" t="s">
        <v>17993</v>
      </c>
    </row>
    <row r="2602">
      <c r="A2602" s="2" t="s">
        <v>17994</v>
      </c>
    </row>
    <row r="2604">
      <c r="A2604" s="2" t="s">
        <v>17995</v>
      </c>
    </row>
    <row r="2605">
      <c r="A2605" s="2" t="s">
        <v>17996</v>
      </c>
    </row>
    <row r="2607">
      <c r="A2607" s="2" t="s">
        <v>16806</v>
      </c>
    </row>
    <row r="2609">
      <c r="A2609" s="2" t="s">
        <v>16807</v>
      </c>
    </row>
    <row r="2611">
      <c r="A2611" s="2" t="s">
        <v>17997</v>
      </c>
    </row>
    <row r="2612">
      <c r="A2612" s="2" t="s">
        <v>17998</v>
      </c>
    </row>
    <row r="2614">
      <c r="A2614" s="2" t="s">
        <v>16811</v>
      </c>
    </row>
    <row r="2616">
      <c r="A2616" s="2" t="s">
        <v>17999</v>
      </c>
    </row>
    <row r="2617">
      <c r="A2617" s="2" t="s">
        <v>18000</v>
      </c>
    </row>
    <row r="2619">
      <c r="A2619" s="2" t="s">
        <v>18001</v>
      </c>
    </row>
    <row r="2620">
      <c r="A2620" s="2" t="s">
        <v>18002</v>
      </c>
    </row>
    <row r="2622">
      <c r="A2622" s="2" t="s">
        <v>16818</v>
      </c>
    </row>
    <row r="2624">
      <c r="A2624" s="2" t="s">
        <v>16819</v>
      </c>
    </row>
    <row r="2626">
      <c r="A2626" s="2" t="s">
        <v>18003</v>
      </c>
    </row>
    <row r="2627">
      <c r="A2627" s="2" t="s">
        <v>18004</v>
      </c>
    </row>
    <row r="2629">
      <c r="A2629" s="2" t="s">
        <v>7462</v>
      </c>
    </row>
    <row r="2630">
      <c r="A2630" s="2" t="s">
        <v>16822</v>
      </c>
    </row>
    <row r="2632">
      <c r="A2632" s="2" t="s">
        <v>16823</v>
      </c>
    </row>
    <row r="2634">
      <c r="A2634" s="2" t="s">
        <v>16824</v>
      </c>
    </row>
    <row r="2636">
      <c r="A2636" s="2" t="s">
        <v>18005</v>
      </c>
    </row>
    <row r="2637">
      <c r="A2637" s="2" t="s">
        <v>18006</v>
      </c>
    </row>
    <row r="2639">
      <c r="A2639" s="2" t="s">
        <v>18007</v>
      </c>
    </row>
    <row r="2640">
      <c r="A2640" s="2" t="s">
        <v>18008</v>
      </c>
    </row>
    <row r="2642">
      <c r="A2642" s="2" t="s">
        <v>16831</v>
      </c>
    </row>
    <row r="2644">
      <c r="A2644" s="2" t="s">
        <v>18009</v>
      </c>
    </row>
    <row r="2645">
      <c r="A2645" s="2" t="s">
        <v>18010</v>
      </c>
    </row>
    <row r="2647">
      <c r="A2647" s="2" t="s">
        <v>16835</v>
      </c>
    </row>
    <row r="2649">
      <c r="A2649" s="2" t="s">
        <v>18011</v>
      </c>
    </row>
    <row r="2650">
      <c r="A2650" s="2" t="s">
        <v>18012</v>
      </c>
    </row>
    <row r="2652">
      <c r="A2652" s="2" t="s">
        <v>16839</v>
      </c>
    </row>
    <row r="2654">
      <c r="A2654" s="2" t="s">
        <v>18013</v>
      </c>
    </row>
    <row r="2655">
      <c r="A2655" s="2" t="s">
        <v>18014</v>
      </c>
    </row>
    <row r="2657">
      <c r="A2657" s="2" t="s">
        <v>16843</v>
      </c>
    </row>
    <row r="2659">
      <c r="A2659" s="2" t="s">
        <v>16844</v>
      </c>
    </row>
    <row r="2661">
      <c r="A2661" s="2" t="s">
        <v>18015</v>
      </c>
    </row>
    <row r="2662">
      <c r="A2662" s="2" t="s">
        <v>18016</v>
      </c>
    </row>
    <row r="2664">
      <c r="A2664" s="2" t="s">
        <v>18017</v>
      </c>
    </row>
    <row r="2665">
      <c r="A2665" s="2" t="s">
        <v>18018</v>
      </c>
    </row>
    <row r="2667">
      <c r="A2667" s="2" t="s">
        <v>18019</v>
      </c>
    </row>
    <row r="2668">
      <c r="A2668" s="2" t="s">
        <v>18020</v>
      </c>
    </row>
    <row r="2670">
      <c r="A2670" s="2" t="s">
        <v>16854</v>
      </c>
    </row>
    <row r="2672">
      <c r="A2672" s="2" t="s">
        <v>18021</v>
      </c>
    </row>
    <row r="2673">
      <c r="A2673" s="2" t="s">
        <v>18022</v>
      </c>
    </row>
    <row r="2675">
      <c r="A2675" s="2" t="s">
        <v>16858</v>
      </c>
    </row>
    <row r="2677">
      <c r="A2677" s="2" t="s">
        <v>18023</v>
      </c>
    </row>
    <row r="2678">
      <c r="A2678" s="2" t="s">
        <v>18024</v>
      </c>
    </row>
    <row r="2680">
      <c r="A2680" s="2" t="s">
        <v>16862</v>
      </c>
    </row>
    <row r="2682">
      <c r="A2682" s="2" t="s">
        <v>18025</v>
      </c>
    </row>
    <row r="2683">
      <c r="A2683" s="2" t="s">
        <v>18026</v>
      </c>
    </row>
    <row r="2685">
      <c r="A2685" s="2" t="s">
        <v>16866</v>
      </c>
    </row>
    <row r="2687">
      <c r="A2687" s="2" t="s">
        <v>18027</v>
      </c>
    </row>
    <row r="2688">
      <c r="A2688" s="2" t="s">
        <v>18028</v>
      </c>
    </row>
    <row r="2690">
      <c r="A2690" s="2" t="s">
        <v>16870</v>
      </c>
    </row>
    <row r="2692">
      <c r="A2692" s="2" t="s">
        <v>16871</v>
      </c>
    </row>
    <row r="2694">
      <c r="A2694" s="2" t="s">
        <v>18029</v>
      </c>
    </row>
    <row r="2695">
      <c r="A2695" s="2" t="s">
        <v>18030</v>
      </c>
    </row>
    <row r="2697">
      <c r="A2697" s="2" t="s">
        <v>18031</v>
      </c>
    </row>
    <row r="2698">
      <c r="A2698" s="2" t="s">
        <v>18032</v>
      </c>
    </row>
    <row r="2700">
      <c r="A2700" s="2" t="s">
        <v>16878</v>
      </c>
    </row>
    <row r="2702">
      <c r="A2702" s="2" t="s">
        <v>16879</v>
      </c>
    </row>
    <row r="2704">
      <c r="A2704" s="2" t="s">
        <v>18033</v>
      </c>
    </row>
    <row r="2705">
      <c r="A2705" s="2" t="s">
        <v>18034</v>
      </c>
    </row>
    <row r="2707">
      <c r="A2707" s="2" t="s">
        <v>16883</v>
      </c>
    </row>
    <row r="2709">
      <c r="A2709" s="2" t="s">
        <v>16884</v>
      </c>
    </row>
    <row r="2711">
      <c r="A2711" s="2" t="s">
        <v>18035</v>
      </c>
    </row>
    <row r="2712">
      <c r="A2712" s="2" t="s">
        <v>18036</v>
      </c>
    </row>
    <row r="2714">
      <c r="A2714" s="2" t="s">
        <v>16888</v>
      </c>
    </row>
    <row r="2716">
      <c r="A2716" s="2" t="s">
        <v>18037</v>
      </c>
    </row>
    <row r="2717">
      <c r="A2717" s="2" t="s">
        <v>18038</v>
      </c>
    </row>
    <row r="2719">
      <c r="A2719" s="2" t="s">
        <v>16892</v>
      </c>
    </row>
    <row r="2721">
      <c r="A2721" s="2" t="s">
        <v>16893</v>
      </c>
    </row>
    <row r="2723">
      <c r="A2723" s="2" t="s">
        <v>18039</v>
      </c>
    </row>
    <row r="2724">
      <c r="A2724" s="2" t="s">
        <v>18040</v>
      </c>
    </row>
    <row r="2726">
      <c r="A2726" s="2" t="s">
        <v>16897</v>
      </c>
    </row>
    <row r="2728">
      <c r="A2728" s="2" t="s">
        <v>16898</v>
      </c>
    </row>
    <row r="2730">
      <c r="A2730" s="2" t="s">
        <v>18041</v>
      </c>
    </row>
    <row r="2731">
      <c r="A2731" s="2" t="s">
        <v>18042</v>
      </c>
    </row>
    <row r="2733">
      <c r="A2733" s="2" t="s">
        <v>16902</v>
      </c>
    </row>
    <row r="2735">
      <c r="A2735" s="2" t="s">
        <v>16903</v>
      </c>
    </row>
    <row r="2737">
      <c r="A2737" s="2" t="s">
        <v>18043</v>
      </c>
    </row>
    <row r="2738">
      <c r="A2738" s="2" t="s">
        <v>18044</v>
      </c>
    </row>
    <row r="2740">
      <c r="A2740" s="2" t="s">
        <v>16907</v>
      </c>
    </row>
    <row r="2742">
      <c r="A2742" s="2" t="s">
        <v>16908</v>
      </c>
    </row>
    <row r="2743">
      <c r="A2743" s="2" t="s">
        <v>18045</v>
      </c>
    </row>
    <row r="2745">
      <c r="A2745" s="2" t="s">
        <v>16911</v>
      </c>
    </row>
    <row r="2747">
      <c r="A2747" s="2" t="s">
        <v>18046</v>
      </c>
    </row>
    <row r="2748">
      <c r="A2748" s="2" t="s">
        <v>18047</v>
      </c>
    </row>
    <row r="2750">
      <c r="A2750" s="2" t="s">
        <v>16915</v>
      </c>
    </row>
    <row r="2752">
      <c r="A2752" s="2" t="s">
        <v>16916</v>
      </c>
    </row>
    <row r="2753">
      <c r="A2753" s="2" t="s">
        <v>18048</v>
      </c>
    </row>
    <row r="2755">
      <c r="A2755" s="2" t="s">
        <v>16919</v>
      </c>
    </row>
    <row r="2757">
      <c r="A2757" s="2" t="s">
        <v>16920</v>
      </c>
    </row>
    <row r="2759">
      <c r="A2759" s="2" t="s">
        <v>18049</v>
      </c>
    </row>
    <row r="2760">
      <c r="A2760" s="2" t="s">
        <v>18050</v>
      </c>
    </row>
    <row r="2762">
      <c r="A2762" s="2" t="s">
        <v>18051</v>
      </c>
    </row>
    <row r="2763">
      <c r="A2763" s="2" t="s">
        <v>18052</v>
      </c>
    </row>
    <row r="2764">
      <c r="A2764" s="2" t="s">
        <v>7462</v>
      </c>
    </row>
    <row r="2765">
      <c r="A2765" s="2" t="s">
        <v>16926</v>
      </c>
    </row>
    <row r="2767">
      <c r="A2767" s="2" t="s">
        <v>18053</v>
      </c>
    </row>
    <row r="2768">
      <c r="A2768" s="2" t="s">
        <v>18054</v>
      </c>
    </row>
    <row r="2770">
      <c r="A2770" s="2" t="s">
        <v>16930</v>
      </c>
    </row>
    <row r="2772">
      <c r="A2772" s="2" t="s">
        <v>16931</v>
      </c>
    </row>
    <row r="2774">
      <c r="A2774" s="2" t="s">
        <v>18055</v>
      </c>
    </row>
    <row r="2775">
      <c r="A2775" s="2" t="s">
        <v>18056</v>
      </c>
    </row>
    <row r="2777">
      <c r="A2777" s="2" t="s">
        <v>16935</v>
      </c>
    </row>
    <row r="2779">
      <c r="A2779" s="2" t="s">
        <v>16936</v>
      </c>
    </row>
    <row r="2781">
      <c r="A2781" s="2" t="s">
        <v>18057</v>
      </c>
    </row>
    <row r="2782">
      <c r="A2782" s="2" t="s">
        <v>18058</v>
      </c>
    </row>
    <row r="2784">
      <c r="A2784" s="2" t="s">
        <v>16940</v>
      </c>
    </row>
    <row r="2786">
      <c r="A2786" s="2" t="s">
        <v>18059</v>
      </c>
    </row>
    <row r="2787">
      <c r="A2787" s="2" t="s">
        <v>18060</v>
      </c>
    </row>
    <row r="2789">
      <c r="A2789" s="2" t="s">
        <v>16944</v>
      </c>
    </row>
    <row r="2790">
      <c r="A2790" s="2" t="s">
        <v>18061</v>
      </c>
    </row>
    <row r="2792">
      <c r="A2792" s="2" t="s">
        <v>16947</v>
      </c>
    </row>
    <row r="2794">
      <c r="A2794" s="2" t="s">
        <v>18062</v>
      </c>
    </row>
    <row r="2795">
      <c r="A2795" s="2" t="s">
        <v>18063</v>
      </c>
    </row>
    <row r="2797">
      <c r="A2797" s="2" t="s">
        <v>16951</v>
      </c>
    </row>
    <row r="2799">
      <c r="A2799" s="2" t="s">
        <v>16952</v>
      </c>
    </row>
    <row r="2801">
      <c r="A2801" s="2" t="s">
        <v>16953</v>
      </c>
    </row>
    <row r="2803">
      <c r="A2803" s="2" t="s">
        <v>18064</v>
      </c>
    </row>
    <row r="2804">
      <c r="A2804" s="2" t="s">
        <v>18065</v>
      </c>
    </row>
    <row r="2806">
      <c r="A2806" s="2" t="s">
        <v>16957</v>
      </c>
    </row>
    <row r="2808">
      <c r="A2808" s="2" t="s">
        <v>18066</v>
      </c>
    </row>
    <row r="2809">
      <c r="A2809" s="2" t="s">
        <v>18067</v>
      </c>
    </row>
    <row r="2811">
      <c r="A2811" s="2" t="s">
        <v>16962</v>
      </c>
    </row>
    <row r="2813">
      <c r="A2813" s="2" t="s">
        <v>18068</v>
      </c>
    </row>
    <row r="2814">
      <c r="A2814" s="2" t="s">
        <v>18069</v>
      </c>
    </row>
    <row r="2816">
      <c r="A2816" s="2" t="s">
        <v>18070</v>
      </c>
    </row>
    <row r="2817">
      <c r="A2817" s="2" t="s">
        <v>18071</v>
      </c>
    </row>
    <row r="2819">
      <c r="A2819" s="2" t="s">
        <v>16969</v>
      </c>
    </row>
    <row r="2821">
      <c r="A2821" s="2" t="s">
        <v>16970</v>
      </c>
    </row>
    <row r="2823">
      <c r="A2823" s="2" t="s">
        <v>18072</v>
      </c>
    </row>
    <row r="2824">
      <c r="A2824" s="2" t="s">
        <v>18073</v>
      </c>
    </row>
    <row r="2826">
      <c r="A2826" s="2" t="s">
        <v>16974</v>
      </c>
    </row>
    <row r="2828">
      <c r="A2828" s="2" t="s">
        <v>18074</v>
      </c>
    </row>
    <row r="2829">
      <c r="A2829" s="2" t="s">
        <v>18075</v>
      </c>
    </row>
    <row r="2831">
      <c r="A2831" s="2" t="s">
        <v>18076</v>
      </c>
    </row>
    <row r="2832">
      <c r="A2832" s="2" t="s">
        <v>18077</v>
      </c>
    </row>
    <row r="2834">
      <c r="A2834" s="2" t="s">
        <v>16981</v>
      </c>
    </row>
    <row r="2836">
      <c r="A2836" s="2" t="s">
        <v>18078</v>
      </c>
    </row>
    <row r="2837">
      <c r="A2837" s="2" t="s">
        <v>18079</v>
      </c>
    </row>
    <row r="2839">
      <c r="A2839" s="2" t="s">
        <v>18080</v>
      </c>
    </row>
    <row r="2840">
      <c r="A2840" s="2" t="s">
        <v>18081</v>
      </c>
    </row>
    <row r="2842">
      <c r="A2842" s="2" t="s">
        <v>16988</v>
      </c>
    </row>
    <row r="2844">
      <c r="A2844" s="2" t="s">
        <v>16989</v>
      </c>
    </row>
    <row r="2846">
      <c r="A2846" s="2" t="s">
        <v>18082</v>
      </c>
    </row>
    <row r="2847">
      <c r="A2847" s="2" t="s">
        <v>18083</v>
      </c>
    </row>
    <row r="2849">
      <c r="A2849" s="2" t="s">
        <v>16993</v>
      </c>
    </row>
    <row r="2851">
      <c r="A2851" s="2" t="s">
        <v>18084</v>
      </c>
    </row>
    <row r="2852">
      <c r="A2852" s="2" t="s">
        <v>18085</v>
      </c>
    </row>
    <row r="2854">
      <c r="A2854" s="2" t="s">
        <v>16997</v>
      </c>
    </row>
    <row r="2856">
      <c r="A2856" s="2" t="s">
        <v>18086</v>
      </c>
    </row>
    <row r="2857">
      <c r="A2857" s="2" t="s">
        <v>18087</v>
      </c>
    </row>
    <row r="2859">
      <c r="A2859" s="2" t="s">
        <v>17001</v>
      </c>
    </row>
    <row r="2861">
      <c r="A2861" s="2" t="s">
        <v>17002</v>
      </c>
    </row>
    <row r="2863">
      <c r="A2863" s="2" t="s">
        <v>18088</v>
      </c>
    </row>
    <row r="2864">
      <c r="A2864" s="2" t="s">
        <v>18089</v>
      </c>
    </row>
    <row r="2866">
      <c r="A2866" s="2" t="s">
        <v>17006</v>
      </c>
    </row>
    <row r="2868">
      <c r="A2868" s="2" t="s">
        <v>18090</v>
      </c>
    </row>
    <row r="2869">
      <c r="A2869" s="2" t="s">
        <v>18091</v>
      </c>
    </row>
    <row r="2871">
      <c r="A2871" s="2" t="s">
        <v>17010</v>
      </c>
    </row>
    <row r="2873">
      <c r="A2873" s="2" t="s">
        <v>17011</v>
      </c>
    </row>
    <row r="2875">
      <c r="A2875" s="2" t="s">
        <v>18092</v>
      </c>
    </row>
    <row r="2876">
      <c r="A2876" s="2" t="s">
        <v>18093</v>
      </c>
    </row>
    <row r="2878">
      <c r="A2878" s="2" t="s">
        <v>17015</v>
      </c>
    </row>
    <row r="2880">
      <c r="A2880" s="2" t="s">
        <v>18094</v>
      </c>
    </row>
    <row r="2881">
      <c r="A2881" s="2" t="s">
        <v>18095</v>
      </c>
    </row>
    <row r="2882">
      <c r="A2882" s="2" t="s">
        <v>18096</v>
      </c>
    </row>
    <row r="2884">
      <c r="A2884" s="2" t="s">
        <v>18097</v>
      </c>
    </row>
    <row r="2885">
      <c r="A2885" s="2" t="s">
        <v>18098</v>
      </c>
    </row>
    <row r="2887">
      <c r="A2887" s="2" t="s">
        <v>17025</v>
      </c>
    </row>
    <row r="2889">
      <c r="A2889" s="2" t="s">
        <v>18099</v>
      </c>
    </row>
    <row r="2890">
      <c r="A2890" s="2" t="s">
        <v>18100</v>
      </c>
    </row>
    <row r="2892">
      <c r="A2892" s="2" t="s">
        <v>18101</v>
      </c>
    </row>
    <row r="2893">
      <c r="A2893" s="2" t="s">
        <v>18102</v>
      </c>
    </row>
    <row r="2895">
      <c r="A2895" s="2" t="s">
        <v>17032</v>
      </c>
    </row>
    <row r="2897">
      <c r="A2897" s="2" t="s">
        <v>18103</v>
      </c>
    </row>
    <row r="2898">
      <c r="A2898" s="2" t="s">
        <v>18104</v>
      </c>
    </row>
    <row r="2900">
      <c r="A2900" s="2" t="s">
        <v>17036</v>
      </c>
    </row>
    <row r="2902">
      <c r="A2902" s="2" t="s">
        <v>18105</v>
      </c>
    </row>
    <row r="2903">
      <c r="A2903" s="2" t="s">
        <v>18106</v>
      </c>
    </row>
    <row r="2904">
      <c r="A2904" s="2" t="s">
        <v>18107</v>
      </c>
    </row>
    <row r="2906">
      <c r="A2906" s="2" t="s">
        <v>17042</v>
      </c>
    </row>
    <row r="2908">
      <c r="A2908" s="2" t="s">
        <v>17043</v>
      </c>
    </row>
    <row r="2910">
      <c r="A2910" s="2" t="s">
        <v>18108</v>
      </c>
    </row>
    <row r="2911">
      <c r="A2911" s="2" t="s">
        <v>18109</v>
      </c>
    </row>
    <row r="2913">
      <c r="A2913" s="2" t="s">
        <v>17047</v>
      </c>
    </row>
    <row r="2915">
      <c r="A2915" s="2" t="s">
        <v>18110</v>
      </c>
    </row>
    <row r="2916">
      <c r="A2916" s="2" t="s">
        <v>18111</v>
      </c>
    </row>
    <row r="2917">
      <c r="A2917" s="2" t="s">
        <v>7462</v>
      </c>
    </row>
    <row r="2918">
      <c r="A2918" s="2" t="s">
        <v>17050</v>
      </c>
    </row>
    <row r="2920">
      <c r="A2920" s="2" t="s">
        <v>18112</v>
      </c>
    </row>
    <row r="2921">
      <c r="A2921" s="2" t="s">
        <v>18113</v>
      </c>
    </row>
    <row r="2923">
      <c r="A2923" s="2" t="s">
        <v>17054</v>
      </c>
    </row>
    <row r="2925">
      <c r="A2925" s="2" t="s">
        <v>18114</v>
      </c>
    </row>
    <row r="2926">
      <c r="A2926" s="2" t="s">
        <v>18115</v>
      </c>
    </row>
    <row r="2928">
      <c r="A2928" s="2" t="s">
        <v>18116</v>
      </c>
    </row>
    <row r="2929">
      <c r="A2929" s="2" t="s">
        <v>18117</v>
      </c>
    </row>
    <row r="2930">
      <c r="A2930" s="2" t="s">
        <v>18118</v>
      </c>
    </row>
    <row r="2932">
      <c r="A2932" s="2" t="s">
        <v>17064</v>
      </c>
    </row>
    <row r="2934">
      <c r="A2934" s="2" t="s">
        <v>18119</v>
      </c>
    </row>
    <row r="2935">
      <c r="A2935" s="2" t="s">
        <v>18120</v>
      </c>
    </row>
    <row r="2936">
      <c r="A2936" s="2" t="s">
        <v>18121</v>
      </c>
    </row>
    <row r="2937">
      <c r="A2937" s="2" t="s">
        <v>18122</v>
      </c>
    </row>
    <row r="2939">
      <c r="A2939" s="2" t="s">
        <v>17072</v>
      </c>
    </row>
    <row r="2941">
      <c r="A2941" s="2" t="s">
        <v>18123</v>
      </c>
    </row>
    <row r="2942">
      <c r="A2942" s="2" t="s">
        <v>18124</v>
      </c>
    </row>
    <row r="2944">
      <c r="A2944" s="2" t="s">
        <v>17076</v>
      </c>
    </row>
    <row r="2946">
      <c r="A2946" s="2" t="s">
        <v>18125</v>
      </c>
    </row>
    <row r="2947">
      <c r="A2947" s="2" t="s">
        <v>18126</v>
      </c>
    </row>
    <row r="2949">
      <c r="A2949" s="2" t="s">
        <v>17080</v>
      </c>
    </row>
    <row r="2951">
      <c r="A2951" s="2" t="s">
        <v>18127</v>
      </c>
    </row>
    <row r="2952">
      <c r="A2952" s="2" t="s">
        <v>18128</v>
      </c>
    </row>
    <row r="2954">
      <c r="A2954" s="2" t="s">
        <v>17084</v>
      </c>
    </row>
    <row r="2956">
      <c r="A2956" s="2" t="s">
        <v>18129</v>
      </c>
    </row>
    <row r="2957">
      <c r="A2957" s="2" t="s">
        <v>18130</v>
      </c>
    </row>
    <row r="2959">
      <c r="A2959" s="2" t="s">
        <v>18131</v>
      </c>
    </row>
    <row r="2960">
      <c r="A2960" s="2" t="s">
        <v>18132</v>
      </c>
    </row>
    <row r="2962">
      <c r="A2962" s="2" t="s">
        <v>17091</v>
      </c>
    </row>
    <row r="2964">
      <c r="A2964" s="2" t="s">
        <v>18133</v>
      </c>
    </row>
    <row r="2965">
      <c r="A2965" s="2" t="s">
        <v>18134</v>
      </c>
    </row>
    <row r="2967">
      <c r="A2967" s="2" t="s">
        <v>17095</v>
      </c>
    </row>
    <row r="2969">
      <c r="A2969" s="2" t="s">
        <v>17096</v>
      </c>
    </row>
    <row r="2971">
      <c r="A2971" s="2" t="s">
        <v>17097</v>
      </c>
    </row>
    <row r="2973">
      <c r="A2973" s="2" t="s">
        <v>9321</v>
      </c>
    </row>
  </sheetData>
  <drawing r:id="rId1"/>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759</v>
      </c>
      <c r="B1" s="13" t="s">
        <v>625</v>
      </c>
      <c r="C1" s="13" t="s">
        <v>624</v>
      </c>
    </row>
    <row r="2">
      <c r="A2" s="2" t="s">
        <v>18135</v>
      </c>
    </row>
    <row r="3">
      <c r="A3" s="2" t="s">
        <v>18136</v>
      </c>
    </row>
    <row r="5">
      <c r="A5" s="2" t="s">
        <v>18137</v>
      </c>
    </row>
    <row r="7">
      <c r="A7" s="2" t="s">
        <v>18138</v>
      </c>
    </row>
    <row r="9">
      <c r="A9" s="2" t="s">
        <v>18139</v>
      </c>
    </row>
    <row r="11">
      <c r="A11" s="2" t="s">
        <v>18140</v>
      </c>
    </row>
    <row r="12">
      <c r="A12" s="2" t="s">
        <v>18141</v>
      </c>
    </row>
    <row r="13">
      <c r="A13" s="2" t="s">
        <v>7462</v>
      </c>
    </row>
    <row r="14">
      <c r="A14" s="2" t="s">
        <v>50</v>
      </c>
    </row>
    <row r="16">
      <c r="A16" s="2" t="s">
        <v>18142</v>
      </c>
    </row>
    <row r="18">
      <c r="A18" s="2" t="s">
        <v>18143</v>
      </c>
    </row>
    <row r="20">
      <c r="A20" s="2" t="s">
        <v>18144</v>
      </c>
    </row>
    <row r="22">
      <c r="A22" s="2" t="s">
        <v>14913</v>
      </c>
    </row>
    <row r="23">
      <c r="A23" s="2" t="s">
        <v>18145</v>
      </c>
    </row>
    <row r="24">
      <c r="A24" s="2" t="s">
        <v>7462</v>
      </c>
    </row>
    <row r="25">
      <c r="A25" s="2" t="s">
        <v>52</v>
      </c>
    </row>
    <row r="27">
      <c r="A27" s="2" t="s">
        <v>18146</v>
      </c>
    </row>
    <row r="29">
      <c r="A29" s="2" t="s">
        <v>18147</v>
      </c>
    </row>
    <row r="31">
      <c r="A31" s="2" t="s">
        <v>18148</v>
      </c>
    </row>
    <row r="33">
      <c r="A33" s="2" t="s">
        <v>14913</v>
      </c>
    </row>
    <row r="34">
      <c r="A34" s="2" t="s">
        <v>18149</v>
      </c>
    </row>
    <row r="35">
      <c r="A35" s="2" t="s">
        <v>7462</v>
      </c>
    </row>
    <row r="37">
      <c r="A37" s="2" t="s">
        <v>54</v>
      </c>
    </row>
    <row r="39">
      <c r="A39" s="2" t="s">
        <v>18150</v>
      </c>
    </row>
    <row r="41">
      <c r="A41" s="2" t="s">
        <v>18151</v>
      </c>
    </row>
    <row r="43">
      <c r="A43" s="2" t="s">
        <v>18152</v>
      </c>
    </row>
    <row r="45">
      <c r="A45" s="2" t="s">
        <v>14913</v>
      </c>
    </row>
    <row r="46">
      <c r="A46" s="2" t="s">
        <v>18153</v>
      </c>
    </row>
    <row r="47">
      <c r="A47" s="2" t="s">
        <v>56</v>
      </c>
    </row>
    <row r="49">
      <c r="A49" s="2" t="s">
        <v>18154</v>
      </c>
    </row>
    <row r="51">
      <c r="A51" s="2" t="s">
        <v>18155</v>
      </c>
    </row>
    <row r="53">
      <c r="A53" s="2" t="s">
        <v>14913</v>
      </c>
    </row>
    <row r="54">
      <c r="A54" s="2" t="s">
        <v>18156</v>
      </c>
    </row>
    <row r="55">
      <c r="A55" s="2" t="s">
        <v>7462</v>
      </c>
    </row>
    <row r="56">
      <c r="A56" s="2" t="s">
        <v>58</v>
      </c>
    </row>
    <row r="58">
      <c r="A58" s="2" t="s">
        <v>18157</v>
      </c>
    </row>
    <row r="60">
      <c r="A60" s="2" t="s">
        <v>18158</v>
      </c>
    </row>
    <row r="62">
      <c r="A62" s="2" t="s">
        <v>14913</v>
      </c>
    </row>
    <row r="63">
      <c r="A63" s="2" t="s">
        <v>18159</v>
      </c>
    </row>
    <row r="64">
      <c r="A64" s="2" t="s">
        <v>7462</v>
      </c>
    </row>
    <row r="66">
      <c r="A66" s="2" t="s">
        <v>60</v>
      </c>
    </row>
    <row r="68">
      <c r="A68" s="2" t="s">
        <v>18160</v>
      </c>
    </row>
    <row r="70">
      <c r="A70" s="2" t="s">
        <v>18161</v>
      </c>
    </row>
    <row r="72">
      <c r="A72" s="2" t="s">
        <v>18162</v>
      </c>
    </row>
    <row r="74">
      <c r="A74" s="2" t="s">
        <v>14913</v>
      </c>
    </row>
    <row r="75">
      <c r="A75" s="2" t="s">
        <v>18163</v>
      </c>
    </row>
    <row r="76">
      <c r="A76" s="2" t="s">
        <v>7462</v>
      </c>
    </row>
    <row r="77">
      <c r="A77" s="2" t="s">
        <v>62</v>
      </c>
    </row>
    <row r="79">
      <c r="A79" s="2" t="s">
        <v>18164</v>
      </c>
    </row>
    <row r="80">
      <c r="A80" s="2" t="s">
        <v>18165</v>
      </c>
    </row>
    <row r="82">
      <c r="A82" s="2" t="s">
        <v>18166</v>
      </c>
    </row>
    <row r="84">
      <c r="A84" s="2" t="s">
        <v>14932</v>
      </c>
    </row>
    <row r="85">
      <c r="A85" s="2" t="s">
        <v>18167</v>
      </c>
    </row>
    <row r="86">
      <c r="A86" s="2" t="s">
        <v>18168</v>
      </c>
    </row>
    <row r="88">
      <c r="A88" s="2" t="s">
        <v>18169</v>
      </c>
    </row>
    <row r="90">
      <c r="A90" s="2" t="s">
        <v>18170</v>
      </c>
    </row>
    <row r="92">
      <c r="A92" s="2" t="s">
        <v>18171</v>
      </c>
    </row>
    <row r="94">
      <c r="A94" s="2" t="s">
        <v>14932</v>
      </c>
    </row>
    <row r="95">
      <c r="A95" s="2" t="s">
        <v>18172</v>
      </c>
    </row>
    <row r="96">
      <c r="A96" s="2" t="s">
        <v>7462</v>
      </c>
    </row>
    <row r="98">
      <c r="A98" s="2" t="s">
        <v>18173</v>
      </c>
    </row>
    <row r="100">
      <c r="A100" s="2" t="s">
        <v>18174</v>
      </c>
    </row>
    <row r="102">
      <c r="A102" s="2" t="s">
        <v>18175</v>
      </c>
    </row>
    <row r="104">
      <c r="A104" s="2" t="s">
        <v>18176</v>
      </c>
    </row>
    <row r="106">
      <c r="A106" s="2" t="s">
        <v>18177</v>
      </c>
    </row>
    <row r="108">
      <c r="A108" s="2" t="s">
        <v>14932</v>
      </c>
    </row>
    <row r="109">
      <c r="A109" s="2" t="s">
        <v>18178</v>
      </c>
    </row>
    <row r="110">
      <c r="A110" s="2" t="s">
        <v>18179</v>
      </c>
    </row>
    <row r="112">
      <c r="A112" s="2" t="s">
        <v>18180</v>
      </c>
    </row>
    <row r="114">
      <c r="A114" s="2" t="s">
        <v>18181</v>
      </c>
    </row>
    <row r="116">
      <c r="A116" s="2" t="s">
        <v>18182</v>
      </c>
    </row>
    <row r="118">
      <c r="A118" s="2" t="s">
        <v>14932</v>
      </c>
    </row>
    <row r="119">
      <c r="A119" s="2" t="s">
        <v>18183</v>
      </c>
    </row>
    <row r="121">
      <c r="A121" s="2" t="s">
        <v>67</v>
      </c>
    </row>
    <row r="123">
      <c r="A123" s="2" t="s">
        <v>18184</v>
      </c>
    </row>
    <row r="125">
      <c r="A125" s="2" t="s">
        <v>18185</v>
      </c>
    </row>
    <row r="127">
      <c r="A127" s="2" t="s">
        <v>18186</v>
      </c>
    </row>
    <row r="129">
      <c r="A129" s="2" t="s">
        <v>14932</v>
      </c>
    </row>
    <row r="130">
      <c r="A130" s="2" t="s">
        <v>18187</v>
      </c>
    </row>
    <row r="131">
      <c r="A131" s="2" t="s">
        <v>18188</v>
      </c>
    </row>
    <row r="133">
      <c r="A133" s="2" t="s">
        <v>14932</v>
      </c>
    </row>
    <row r="134">
      <c r="A134" s="2" t="s">
        <v>18189</v>
      </c>
    </row>
    <row r="135">
      <c r="A135" s="2" t="s">
        <v>18190</v>
      </c>
    </row>
    <row r="137">
      <c r="A137" s="2" t="s">
        <v>18191</v>
      </c>
    </row>
    <row r="139">
      <c r="A139" s="2" t="s">
        <v>18192</v>
      </c>
    </row>
    <row r="141">
      <c r="A141" s="2" t="s">
        <v>18193</v>
      </c>
    </row>
    <row r="143">
      <c r="A143" s="2" t="s">
        <v>18194</v>
      </c>
    </row>
    <row r="145">
      <c r="A145" s="2" t="s">
        <v>18195</v>
      </c>
    </row>
    <row r="147">
      <c r="A147" s="2" t="s">
        <v>14932</v>
      </c>
    </row>
    <row r="148">
      <c r="A148" s="2" t="s">
        <v>18196</v>
      </c>
    </row>
    <row r="149">
      <c r="A149" s="2" t="s">
        <v>18197</v>
      </c>
    </row>
    <row r="151">
      <c r="A151" s="2" t="s">
        <v>18198</v>
      </c>
    </row>
    <row r="153">
      <c r="A153" s="2" t="s">
        <v>7665</v>
      </c>
    </row>
    <row r="154">
      <c r="A154" s="2" t="s">
        <v>18199</v>
      </c>
    </row>
    <row r="156">
      <c r="A156" s="2" t="s">
        <v>18200</v>
      </c>
    </row>
    <row r="157">
      <c r="A157" s="2" t="s">
        <v>18201</v>
      </c>
    </row>
    <row r="159">
      <c r="A159" s="2" t="s">
        <v>14932</v>
      </c>
    </row>
    <row r="160">
      <c r="A160" s="2" t="s">
        <v>18202</v>
      </c>
    </row>
    <row r="161">
      <c r="A161" s="2" t="s">
        <v>7462</v>
      </c>
    </row>
    <row r="162">
      <c r="A162" s="2" t="s">
        <v>18203</v>
      </c>
    </row>
    <row r="164">
      <c r="A164" s="2" t="s">
        <v>18204</v>
      </c>
    </row>
    <row r="166">
      <c r="A166" s="2" t="s">
        <v>18205</v>
      </c>
    </row>
    <row r="168">
      <c r="A168" s="2" t="s">
        <v>18206</v>
      </c>
    </row>
    <row r="170">
      <c r="A170" s="2" t="s">
        <v>14932</v>
      </c>
    </row>
    <row r="171">
      <c r="A171" s="2" t="s">
        <v>18207</v>
      </c>
    </row>
    <row r="172">
      <c r="A172" s="2" t="s">
        <v>18208</v>
      </c>
    </row>
    <row r="174">
      <c r="A174" s="2" t="s">
        <v>18209</v>
      </c>
    </row>
    <row r="176">
      <c r="A176" s="2" t="s">
        <v>18210</v>
      </c>
    </row>
    <row r="178">
      <c r="A178" s="2" t="s">
        <v>18211</v>
      </c>
    </row>
    <row r="180">
      <c r="A180" s="2" t="s">
        <v>18212</v>
      </c>
    </row>
    <row r="182">
      <c r="A182" s="2" t="s">
        <v>18213</v>
      </c>
    </row>
    <row r="184">
      <c r="A184" s="2" t="s">
        <v>14932</v>
      </c>
    </row>
    <row r="185">
      <c r="A185" s="2" t="s">
        <v>18214</v>
      </c>
    </row>
    <row r="186">
      <c r="A186" s="2" t="s">
        <v>7462</v>
      </c>
    </row>
    <row r="187">
      <c r="A187" s="2" t="s">
        <v>64</v>
      </c>
    </row>
    <row r="189">
      <c r="A189" s="2" t="s">
        <v>18215</v>
      </c>
    </row>
    <row r="191">
      <c r="A191" s="2" t="s">
        <v>18216</v>
      </c>
    </row>
    <row r="193">
      <c r="A193" s="2" t="s">
        <v>18217</v>
      </c>
    </row>
    <row r="195">
      <c r="A195" s="2" t="s">
        <v>14932</v>
      </c>
    </row>
    <row r="196">
      <c r="A196" s="2" t="s">
        <v>18218</v>
      </c>
    </row>
    <row r="197">
      <c r="A197" s="2" t="s">
        <v>7462</v>
      </c>
    </row>
    <row r="199">
      <c r="A199" s="2" t="s">
        <v>18219</v>
      </c>
    </row>
    <row r="201">
      <c r="A201" s="2" t="s">
        <v>18220</v>
      </c>
    </row>
    <row r="203">
      <c r="A203" s="2" t="s">
        <v>18221</v>
      </c>
    </row>
    <row r="205">
      <c r="A205" s="2" t="s">
        <v>18222</v>
      </c>
    </row>
    <row r="207">
      <c r="A207" s="2" t="s">
        <v>14932</v>
      </c>
    </row>
    <row r="208">
      <c r="A208" s="2" t="s">
        <v>18223</v>
      </c>
    </row>
    <row r="209">
      <c r="A209" s="2" t="s">
        <v>18224</v>
      </c>
    </row>
    <row r="211">
      <c r="A211" s="2" t="s">
        <v>18225</v>
      </c>
    </row>
    <row r="213">
      <c r="A213" s="2" t="s">
        <v>18226</v>
      </c>
    </row>
    <row r="215">
      <c r="A215" s="2" t="s">
        <v>14932</v>
      </c>
    </row>
    <row r="216">
      <c r="A216" s="2" t="s">
        <v>18227</v>
      </c>
    </row>
    <row r="218">
      <c r="A218" s="2" t="s">
        <v>7462</v>
      </c>
    </row>
    <row r="219">
      <c r="A219" s="2" t="s">
        <v>18228</v>
      </c>
    </row>
    <row r="221">
      <c r="A221" s="2" t="s">
        <v>18229</v>
      </c>
    </row>
    <row r="223">
      <c r="A223" s="2" t="s">
        <v>18230</v>
      </c>
    </row>
    <row r="225">
      <c r="A225" s="2" t="s">
        <v>14932</v>
      </c>
    </row>
    <row r="226">
      <c r="A226" s="2" t="s">
        <v>18231</v>
      </c>
    </row>
    <row r="227">
      <c r="A227" s="2" t="s">
        <v>18232</v>
      </c>
    </row>
    <row r="229">
      <c r="A229" s="2" t="s">
        <v>18233</v>
      </c>
    </row>
    <row r="231">
      <c r="A231" s="2" t="s">
        <v>18234</v>
      </c>
    </row>
    <row r="233">
      <c r="A233" s="2" t="s">
        <v>18235</v>
      </c>
    </row>
    <row r="235">
      <c r="A235" s="2" t="s">
        <v>18236</v>
      </c>
    </row>
    <row r="237">
      <c r="A237" s="2" t="s">
        <v>14932</v>
      </c>
    </row>
    <row r="238">
      <c r="A238" s="2" t="s">
        <v>18237</v>
      </c>
    </row>
    <row r="239">
      <c r="A239" s="2" t="s">
        <v>7462</v>
      </c>
    </row>
    <row r="241">
      <c r="A241" s="2" t="s">
        <v>18238</v>
      </c>
    </row>
    <row r="243">
      <c r="A243" s="2" t="s">
        <v>18239</v>
      </c>
    </row>
    <row r="245">
      <c r="A245" s="2" t="s">
        <v>18240</v>
      </c>
    </row>
    <row r="247">
      <c r="A247" s="2" t="s">
        <v>18241</v>
      </c>
    </row>
    <row r="249">
      <c r="A249" s="2" t="s">
        <v>14932</v>
      </c>
    </row>
    <row r="250">
      <c r="A250" s="2" t="s">
        <v>18242</v>
      </c>
    </row>
    <row r="251">
      <c r="A251" s="2" t="s">
        <v>7462</v>
      </c>
    </row>
    <row r="252">
      <c r="A252" s="2" t="s">
        <v>18243</v>
      </c>
    </row>
    <row r="254">
      <c r="A254" s="2" t="s">
        <v>18244</v>
      </c>
    </row>
    <row r="256">
      <c r="A256" s="2" t="s">
        <v>18245</v>
      </c>
    </row>
    <row r="258">
      <c r="A258" s="2" t="s">
        <v>18246</v>
      </c>
    </row>
    <row r="260">
      <c r="A260" s="2" t="s">
        <v>14932</v>
      </c>
    </row>
    <row r="261">
      <c r="A261" s="2" t="s">
        <v>18247</v>
      </c>
    </row>
    <row r="262">
      <c r="A262" s="2" t="s">
        <v>7462</v>
      </c>
    </row>
    <row r="264">
      <c r="A264" s="2" t="s">
        <v>18248</v>
      </c>
    </row>
    <row r="266">
      <c r="A266" s="2" t="s">
        <v>18249</v>
      </c>
    </row>
    <row r="268">
      <c r="A268" s="2" t="s">
        <v>18250</v>
      </c>
    </row>
    <row r="270">
      <c r="A270" s="2" t="s">
        <v>18251</v>
      </c>
    </row>
    <row r="272">
      <c r="A272" s="2" t="s">
        <v>14932</v>
      </c>
    </row>
    <row r="273">
      <c r="A273" s="2" t="s">
        <v>18252</v>
      </c>
    </row>
    <row r="275">
      <c r="A275" s="2" t="s">
        <v>7462</v>
      </c>
    </row>
    <row r="276">
      <c r="A276" s="2" t="s">
        <v>18253</v>
      </c>
    </row>
    <row r="278">
      <c r="A278" s="2" t="s">
        <v>18254</v>
      </c>
    </row>
    <row r="280">
      <c r="A280" s="2" t="s">
        <v>18255</v>
      </c>
    </row>
    <row r="282">
      <c r="A282" s="2" t="s">
        <v>14932</v>
      </c>
    </row>
    <row r="283">
      <c r="A283" s="2" t="s">
        <v>18256</v>
      </c>
    </row>
    <row r="284">
      <c r="A284" s="2" t="s">
        <v>7462</v>
      </c>
    </row>
    <row r="285">
      <c r="A285" s="2" t="s">
        <v>18257</v>
      </c>
    </row>
    <row r="287">
      <c r="A287" s="2" t="s">
        <v>18258</v>
      </c>
    </row>
    <row r="289">
      <c r="A289" s="2" t="s">
        <v>18259</v>
      </c>
    </row>
    <row r="291">
      <c r="A291" s="2" t="s">
        <v>18260</v>
      </c>
    </row>
    <row r="293">
      <c r="A293" s="2" t="s">
        <v>14932</v>
      </c>
    </row>
    <row r="294">
      <c r="A294" s="2" t="s">
        <v>18261</v>
      </c>
    </row>
    <row r="295">
      <c r="A295" s="2" t="s">
        <v>7462</v>
      </c>
    </row>
    <row r="297">
      <c r="A297" s="2" t="s">
        <v>18262</v>
      </c>
    </row>
    <row r="299">
      <c r="A299" s="2" t="s">
        <v>18263</v>
      </c>
    </row>
    <row r="301">
      <c r="A301" s="2" t="s">
        <v>18264</v>
      </c>
    </row>
    <row r="303">
      <c r="A303" s="2" t="s">
        <v>18265</v>
      </c>
    </row>
    <row r="305">
      <c r="A305" s="2" t="s">
        <v>14932</v>
      </c>
    </row>
    <row r="306">
      <c r="A306" s="2" t="s">
        <v>18266</v>
      </c>
    </row>
    <row r="307">
      <c r="A307" s="2" t="s">
        <v>7462</v>
      </c>
    </row>
    <row r="308">
      <c r="A308" s="2" t="s">
        <v>18267</v>
      </c>
    </row>
    <row r="310">
      <c r="A310" s="2" t="s">
        <v>18268</v>
      </c>
    </row>
    <row r="312">
      <c r="A312" s="2" t="s">
        <v>14932</v>
      </c>
    </row>
    <row r="313">
      <c r="A313" s="2" t="s">
        <v>18269</v>
      </c>
    </row>
    <row r="314">
      <c r="A314" s="2" t="s">
        <v>7462</v>
      </c>
    </row>
    <row r="316">
      <c r="A316" s="2" t="s">
        <v>18270</v>
      </c>
    </row>
    <row r="318">
      <c r="A318" s="2" t="s">
        <v>18271</v>
      </c>
    </row>
    <row r="320">
      <c r="A320" s="2" t="s">
        <v>18272</v>
      </c>
    </row>
    <row r="322">
      <c r="A322" s="2" t="s">
        <v>18273</v>
      </c>
    </row>
    <row r="324">
      <c r="A324" s="2" t="s">
        <v>18274</v>
      </c>
    </row>
    <row r="326">
      <c r="A326" s="2" t="s">
        <v>14932</v>
      </c>
    </row>
    <row r="327">
      <c r="A327" s="2" t="s">
        <v>18275</v>
      </c>
    </row>
    <row r="328">
      <c r="A328" s="2" t="s">
        <v>18276</v>
      </c>
    </row>
    <row r="330">
      <c r="A330" s="2" t="s">
        <v>18277</v>
      </c>
    </row>
    <row r="332">
      <c r="A332" s="2" t="s">
        <v>18278</v>
      </c>
    </row>
    <row r="334">
      <c r="A334" s="2" t="s">
        <v>14932</v>
      </c>
    </row>
    <row r="335">
      <c r="A335" s="2" t="s">
        <v>18279</v>
      </c>
    </row>
    <row r="337">
      <c r="A337" s="2" t="s">
        <v>18280</v>
      </c>
    </row>
    <row r="339">
      <c r="A339" s="2" t="s">
        <v>18281</v>
      </c>
    </row>
    <row r="341">
      <c r="A341" s="2" t="s">
        <v>18282</v>
      </c>
    </row>
    <row r="343">
      <c r="A343" s="2" t="s">
        <v>18283</v>
      </c>
    </row>
    <row r="345">
      <c r="A345" s="2" t="s">
        <v>18284</v>
      </c>
    </row>
    <row r="347">
      <c r="A347" s="2" t="s">
        <v>18285</v>
      </c>
    </row>
    <row r="349">
      <c r="A349" s="2" t="s">
        <v>14932</v>
      </c>
    </row>
    <row r="350">
      <c r="A350" s="2" t="s">
        <v>18286</v>
      </c>
    </row>
    <row r="351">
      <c r="A351" s="2" t="s">
        <v>7462</v>
      </c>
    </row>
    <row r="352">
      <c r="A352" s="2" t="s">
        <v>18287</v>
      </c>
    </row>
    <row r="354">
      <c r="A354" s="2" t="s">
        <v>18288</v>
      </c>
    </row>
    <row r="356">
      <c r="A356" s="2" t="s">
        <v>18289</v>
      </c>
    </row>
    <row r="358">
      <c r="A358" s="2" t="s">
        <v>14932</v>
      </c>
    </row>
    <row r="359">
      <c r="A359" s="2" t="s">
        <v>18290</v>
      </c>
    </row>
    <row r="360">
      <c r="A360" s="2" t="s">
        <v>7462</v>
      </c>
    </row>
    <row r="361">
      <c r="A361" s="2" t="s">
        <v>18291</v>
      </c>
    </row>
    <row r="363">
      <c r="A363" s="2" t="s">
        <v>18292</v>
      </c>
    </row>
    <row r="365">
      <c r="A365" s="2" t="s">
        <v>18293</v>
      </c>
    </row>
    <row r="367">
      <c r="A367" s="2" t="s">
        <v>18294</v>
      </c>
    </row>
    <row r="369">
      <c r="A369" s="2" t="s">
        <v>14932</v>
      </c>
    </row>
    <row r="370">
      <c r="A370" s="2" t="s">
        <v>18295</v>
      </c>
    </row>
    <row r="371">
      <c r="A371" s="2" t="s">
        <v>7462</v>
      </c>
    </row>
    <row r="372">
      <c r="A372" s="2" t="s">
        <v>18296</v>
      </c>
    </row>
    <row r="374">
      <c r="A374" s="2" t="s">
        <v>18297</v>
      </c>
    </row>
    <row r="376">
      <c r="A376" s="2" t="s">
        <v>18298</v>
      </c>
    </row>
    <row r="378">
      <c r="A378" s="2" t="s">
        <v>18299</v>
      </c>
    </row>
    <row r="380">
      <c r="A380" s="2" t="s">
        <v>18300</v>
      </c>
    </row>
    <row r="382">
      <c r="A382" s="2" t="s">
        <v>14932</v>
      </c>
    </row>
    <row r="383">
      <c r="A383" s="2" t="s">
        <v>18301</v>
      </c>
    </row>
    <row r="384">
      <c r="A384" s="2" t="s">
        <v>7462</v>
      </c>
    </row>
    <row r="385">
      <c r="A385" s="2" t="s">
        <v>18302</v>
      </c>
    </row>
    <row r="387">
      <c r="A387" s="2" t="s">
        <v>18303</v>
      </c>
    </row>
    <row r="389">
      <c r="A389" s="2" t="s">
        <v>18304</v>
      </c>
    </row>
    <row r="391">
      <c r="A391" s="2" t="s">
        <v>18305</v>
      </c>
    </row>
    <row r="393">
      <c r="A393" s="2" t="s">
        <v>14932</v>
      </c>
    </row>
    <row r="394">
      <c r="A394" s="2" t="s">
        <v>18306</v>
      </c>
    </row>
    <row r="395">
      <c r="A395" s="2" t="s">
        <v>7462</v>
      </c>
    </row>
    <row r="397">
      <c r="A397" s="2" t="s">
        <v>18307</v>
      </c>
    </row>
    <row r="399">
      <c r="A399" s="2" t="s">
        <v>18308</v>
      </c>
    </row>
    <row r="401">
      <c r="A401" s="2" t="s">
        <v>18309</v>
      </c>
    </row>
    <row r="403">
      <c r="A403" s="2" t="s">
        <v>18310</v>
      </c>
    </row>
    <row r="405">
      <c r="A405" s="2" t="s">
        <v>14932</v>
      </c>
    </row>
    <row r="406">
      <c r="A406" s="2" t="s">
        <v>18311</v>
      </c>
    </row>
    <row r="407">
      <c r="A407" s="2" t="s">
        <v>7462</v>
      </c>
    </row>
    <row r="409">
      <c r="A409" s="2" t="s">
        <v>18312</v>
      </c>
    </row>
    <row r="411">
      <c r="A411" s="2" t="s">
        <v>18313</v>
      </c>
    </row>
    <row r="413">
      <c r="A413" s="2" t="s">
        <v>18314</v>
      </c>
    </row>
    <row r="415">
      <c r="A415" s="2" t="s">
        <v>14932</v>
      </c>
    </row>
    <row r="416">
      <c r="A416" s="2" t="s">
        <v>18315</v>
      </c>
    </row>
    <row r="417">
      <c r="A417" s="2" t="s">
        <v>7462</v>
      </c>
    </row>
    <row r="419">
      <c r="A419" s="2" t="s">
        <v>18316</v>
      </c>
    </row>
    <row r="421">
      <c r="A421" s="2" t="s">
        <v>18317</v>
      </c>
    </row>
    <row r="423">
      <c r="A423" s="2" t="s">
        <v>18318</v>
      </c>
    </row>
    <row r="425">
      <c r="A425" s="2" t="s">
        <v>14932</v>
      </c>
    </row>
    <row r="426">
      <c r="A426" s="2" t="s">
        <v>18319</v>
      </c>
    </row>
    <row r="427">
      <c r="A427" s="2" t="s">
        <v>7462</v>
      </c>
    </row>
    <row r="428">
      <c r="A428" s="2" t="s">
        <v>18320</v>
      </c>
    </row>
    <row r="430">
      <c r="A430" s="2" t="s">
        <v>18321</v>
      </c>
    </row>
    <row r="432">
      <c r="A432" s="2" t="s">
        <v>18322</v>
      </c>
    </row>
    <row r="434">
      <c r="A434" s="2" t="s">
        <v>18323</v>
      </c>
    </row>
    <row r="436">
      <c r="A436" s="2" t="s">
        <v>14932</v>
      </c>
    </row>
    <row r="437">
      <c r="A437" s="2" t="s">
        <v>18324</v>
      </c>
    </row>
    <row r="438">
      <c r="A438" s="2" t="s">
        <v>18325</v>
      </c>
    </row>
    <row r="440">
      <c r="A440" s="2" t="s">
        <v>18326</v>
      </c>
    </row>
    <row r="442">
      <c r="A442" s="2" t="s">
        <v>18327</v>
      </c>
    </row>
    <row r="444">
      <c r="A444" s="2" t="s">
        <v>18328</v>
      </c>
    </row>
    <row r="446">
      <c r="A446" s="2" t="s">
        <v>18329</v>
      </c>
    </row>
    <row r="448">
      <c r="A448" s="2" t="s">
        <v>14932</v>
      </c>
    </row>
    <row r="449">
      <c r="A449" s="2" t="s">
        <v>18330</v>
      </c>
    </row>
    <row r="450">
      <c r="A450" s="2" t="s">
        <v>7462</v>
      </c>
    </row>
    <row r="452">
      <c r="A452" s="2" t="s">
        <v>18331</v>
      </c>
    </row>
    <row r="454">
      <c r="A454" s="2" t="s">
        <v>18332</v>
      </c>
    </row>
    <row r="456">
      <c r="A456" s="2" t="s">
        <v>18333</v>
      </c>
    </row>
    <row r="458">
      <c r="A458" s="2" t="s">
        <v>18334</v>
      </c>
    </row>
    <row r="460">
      <c r="A460" s="2" t="s">
        <v>14932</v>
      </c>
    </row>
    <row r="461">
      <c r="A461" s="2" t="s">
        <v>18335</v>
      </c>
    </row>
    <row r="462">
      <c r="A462" s="2" t="s">
        <v>18336</v>
      </c>
    </row>
    <row r="464">
      <c r="A464" s="2" t="s">
        <v>18337</v>
      </c>
    </row>
    <row r="466">
      <c r="A466" s="2" t="s">
        <v>18338</v>
      </c>
    </row>
    <row r="468">
      <c r="A468" s="2" t="s">
        <v>18339</v>
      </c>
    </row>
    <row r="470">
      <c r="A470" s="2" t="s">
        <v>14932</v>
      </c>
    </row>
    <row r="471">
      <c r="A471" s="2" t="s">
        <v>18340</v>
      </c>
    </row>
    <row r="472">
      <c r="A472" s="2" t="s">
        <v>18341</v>
      </c>
    </row>
    <row r="474">
      <c r="A474" s="2" t="s">
        <v>18342</v>
      </c>
    </row>
    <row r="476">
      <c r="A476" s="2" t="s">
        <v>18343</v>
      </c>
    </row>
    <row r="478">
      <c r="A478" s="2" t="s">
        <v>18344</v>
      </c>
    </row>
    <row r="480">
      <c r="A480" s="2" t="s">
        <v>14932</v>
      </c>
    </row>
    <row r="481">
      <c r="A481" s="2" t="s">
        <v>18345</v>
      </c>
    </row>
    <row r="482">
      <c r="A482" s="2" t="s">
        <v>7462</v>
      </c>
    </row>
    <row r="483">
      <c r="A483" s="2" t="s">
        <v>18346</v>
      </c>
    </row>
    <row r="485">
      <c r="A485" s="2" t="s">
        <v>18347</v>
      </c>
    </row>
    <row r="487">
      <c r="A487" s="2" t="s">
        <v>18348</v>
      </c>
    </row>
    <row r="489">
      <c r="A489" s="2" t="s">
        <v>18349</v>
      </c>
    </row>
    <row r="491">
      <c r="A491" s="2" t="s">
        <v>14932</v>
      </c>
    </row>
    <row r="492">
      <c r="A492" s="2" t="s">
        <v>18350</v>
      </c>
    </row>
    <row r="493">
      <c r="A493" s="2" t="s">
        <v>7462</v>
      </c>
    </row>
    <row r="494">
      <c r="A494" s="2" t="s">
        <v>18351</v>
      </c>
    </row>
    <row r="496">
      <c r="A496" s="2" t="s">
        <v>18352</v>
      </c>
    </row>
    <row r="498">
      <c r="A498" s="2" t="s">
        <v>18353</v>
      </c>
    </row>
    <row r="500">
      <c r="A500" s="2" t="s">
        <v>18354</v>
      </c>
    </row>
    <row r="502">
      <c r="A502" s="2" t="s">
        <v>18355</v>
      </c>
    </row>
    <row r="504">
      <c r="A504" s="2" t="s">
        <v>14932</v>
      </c>
    </row>
    <row r="505">
      <c r="A505" s="2" t="s">
        <v>18356</v>
      </c>
    </row>
    <row r="506">
      <c r="A506" s="2" t="s">
        <v>7462</v>
      </c>
    </row>
    <row r="508">
      <c r="A508" s="2" t="s">
        <v>18357</v>
      </c>
    </row>
    <row r="510">
      <c r="A510" s="2" t="s">
        <v>18358</v>
      </c>
    </row>
    <row r="512">
      <c r="A512" s="2" t="s">
        <v>18359</v>
      </c>
    </row>
    <row r="514">
      <c r="A514" s="2" t="s">
        <v>18360</v>
      </c>
    </row>
    <row r="516">
      <c r="A516" s="2" t="s">
        <v>14932</v>
      </c>
    </row>
    <row r="517">
      <c r="A517" s="2" t="s">
        <v>18361</v>
      </c>
    </row>
    <row r="518">
      <c r="A518" s="2" t="s">
        <v>7462</v>
      </c>
    </row>
    <row r="520">
      <c r="A520" s="2" t="s">
        <v>18362</v>
      </c>
    </row>
    <row r="522">
      <c r="A522" s="2" t="s">
        <v>18363</v>
      </c>
    </row>
    <row r="524">
      <c r="A524" s="2" t="s">
        <v>18364</v>
      </c>
    </row>
    <row r="526">
      <c r="A526" s="2" t="s">
        <v>18365</v>
      </c>
    </row>
    <row r="528">
      <c r="A528" s="2" t="s">
        <v>14932</v>
      </c>
    </row>
    <row r="529">
      <c r="A529" s="2" t="s">
        <v>18366</v>
      </c>
    </row>
    <row r="530">
      <c r="A530" s="2" t="s">
        <v>18367</v>
      </c>
    </row>
    <row r="532">
      <c r="A532" s="2" t="s">
        <v>18368</v>
      </c>
    </row>
    <row r="534">
      <c r="A534" s="2" t="s">
        <v>18369</v>
      </c>
    </row>
    <row r="536">
      <c r="A536" s="2" t="s">
        <v>18370</v>
      </c>
    </row>
    <row r="538">
      <c r="A538" s="2" t="s">
        <v>14932</v>
      </c>
    </row>
    <row r="539">
      <c r="A539" s="2" t="s">
        <v>18371</v>
      </c>
    </row>
    <row r="540">
      <c r="A540" s="2" t="s">
        <v>18372</v>
      </c>
    </row>
    <row r="542">
      <c r="A542" s="2" t="s">
        <v>18373</v>
      </c>
    </row>
    <row r="544">
      <c r="A544" s="2" t="s">
        <v>18374</v>
      </c>
    </row>
    <row r="546">
      <c r="A546" s="2" t="s">
        <v>18375</v>
      </c>
    </row>
    <row r="548">
      <c r="A548" s="2" t="s">
        <v>14932</v>
      </c>
    </row>
    <row r="549">
      <c r="A549" s="2" t="s">
        <v>18376</v>
      </c>
    </row>
    <row r="550">
      <c r="A550" s="2" t="s">
        <v>7462</v>
      </c>
    </row>
    <row r="551">
      <c r="A551" s="2" t="s">
        <v>18377</v>
      </c>
    </row>
    <row r="553">
      <c r="A553" s="2" t="s">
        <v>18378</v>
      </c>
    </row>
    <row r="555">
      <c r="A555" s="2" t="s">
        <v>18379</v>
      </c>
    </row>
    <row r="557">
      <c r="A557" s="2" t="s">
        <v>18380</v>
      </c>
    </row>
    <row r="559">
      <c r="A559" s="2" t="s">
        <v>14932</v>
      </c>
    </row>
    <row r="560">
      <c r="A560" s="2" t="s">
        <v>18381</v>
      </c>
    </row>
    <row r="561">
      <c r="A561" s="2" t="s">
        <v>7462</v>
      </c>
    </row>
    <row r="562">
      <c r="A562" s="2" t="s">
        <v>18382</v>
      </c>
    </row>
    <row r="564">
      <c r="A564" s="2" t="s">
        <v>18383</v>
      </c>
    </row>
    <row r="566">
      <c r="A566" s="2" t="s">
        <v>18384</v>
      </c>
    </row>
    <row r="568">
      <c r="A568" s="2" t="s">
        <v>14932</v>
      </c>
    </row>
    <row r="569">
      <c r="A569" s="2" t="s">
        <v>18385</v>
      </c>
    </row>
    <row r="570">
      <c r="A570" s="2" t="s">
        <v>7462</v>
      </c>
    </row>
    <row r="571">
      <c r="A571" s="2" t="s">
        <v>18386</v>
      </c>
    </row>
    <row r="573">
      <c r="A573" s="2" t="s">
        <v>18387</v>
      </c>
    </row>
    <row r="575">
      <c r="A575" s="2" t="s">
        <v>18388</v>
      </c>
    </row>
    <row r="577">
      <c r="A577" s="2" t="s">
        <v>14932</v>
      </c>
    </row>
    <row r="578">
      <c r="A578" s="2" t="s">
        <v>18389</v>
      </c>
    </row>
    <row r="579">
      <c r="A579" s="2" t="s">
        <v>18390</v>
      </c>
    </row>
    <row r="581">
      <c r="A581" s="2" t="s">
        <v>18391</v>
      </c>
    </row>
    <row r="583">
      <c r="A583" s="2" t="s">
        <v>18392</v>
      </c>
    </row>
    <row r="585">
      <c r="A585" s="2" t="s">
        <v>18393</v>
      </c>
    </row>
    <row r="587">
      <c r="A587" s="2" t="s">
        <v>18394</v>
      </c>
    </row>
    <row r="589">
      <c r="A589" s="2" t="s">
        <v>14932</v>
      </c>
    </row>
    <row r="590">
      <c r="A590" s="2" t="s">
        <v>18395</v>
      </c>
    </row>
    <row r="591">
      <c r="A591" s="2" t="s">
        <v>18396</v>
      </c>
    </row>
    <row r="593">
      <c r="A593" s="2" t="s">
        <v>18397</v>
      </c>
    </row>
    <row r="595">
      <c r="A595" s="2" t="s">
        <v>18398</v>
      </c>
    </row>
    <row r="597">
      <c r="A597" s="2" t="s">
        <v>18399</v>
      </c>
    </row>
    <row r="599">
      <c r="A599" s="2" t="s">
        <v>14932</v>
      </c>
    </row>
    <row r="600">
      <c r="A600" s="2" t="s">
        <v>18400</v>
      </c>
    </row>
    <row r="601">
      <c r="A601" s="2" t="s">
        <v>7462</v>
      </c>
    </row>
    <row r="603">
      <c r="A603" s="2" t="s">
        <v>18401</v>
      </c>
    </row>
    <row r="605">
      <c r="A605" s="2" t="s">
        <v>18402</v>
      </c>
    </row>
    <row r="607">
      <c r="A607" s="2" t="s">
        <v>18403</v>
      </c>
    </row>
    <row r="609">
      <c r="A609" s="2" t="s">
        <v>18404</v>
      </c>
    </row>
    <row r="611">
      <c r="A611" s="2" t="s">
        <v>14932</v>
      </c>
    </row>
    <row r="612">
      <c r="A612" s="2" t="s">
        <v>18405</v>
      </c>
    </row>
    <row r="613">
      <c r="A613" s="2" t="s">
        <v>7462</v>
      </c>
    </row>
    <row r="614">
      <c r="A614" s="2" t="s">
        <v>18406</v>
      </c>
    </row>
    <row r="616">
      <c r="A616" s="2" t="s">
        <v>18407</v>
      </c>
    </row>
    <row r="618">
      <c r="A618" s="2" t="s">
        <v>18408</v>
      </c>
    </row>
    <row r="620">
      <c r="A620" s="2" t="s">
        <v>18409</v>
      </c>
    </row>
    <row r="622">
      <c r="A622" s="2" t="s">
        <v>14932</v>
      </c>
    </row>
    <row r="623">
      <c r="A623" s="2" t="s">
        <v>18410</v>
      </c>
    </row>
    <row r="624">
      <c r="A624" s="2" t="s">
        <v>18411</v>
      </c>
    </row>
    <row r="626">
      <c r="A626" s="2" t="s">
        <v>18412</v>
      </c>
    </row>
    <row r="628">
      <c r="A628" s="2" t="s">
        <v>14932</v>
      </c>
    </row>
    <row r="629">
      <c r="A629" s="2" t="s">
        <v>18413</v>
      </c>
    </row>
    <row r="630">
      <c r="A630" s="2" t="s">
        <v>18414</v>
      </c>
    </row>
    <row r="632">
      <c r="A632" s="2" t="s">
        <v>18415</v>
      </c>
    </row>
    <row r="634">
      <c r="A634" s="2" t="s">
        <v>18416</v>
      </c>
    </row>
    <row r="636">
      <c r="A636" s="2" t="s">
        <v>18417</v>
      </c>
    </row>
    <row r="638">
      <c r="A638" s="2" t="s">
        <v>14932</v>
      </c>
    </row>
    <row r="639">
      <c r="A639" s="2" t="s">
        <v>18418</v>
      </c>
    </row>
    <row r="640">
      <c r="A640" s="2" t="s">
        <v>7462</v>
      </c>
    </row>
    <row r="642">
      <c r="A642" s="2" t="s">
        <v>18419</v>
      </c>
    </row>
    <row r="644">
      <c r="A644" s="2" t="s">
        <v>18420</v>
      </c>
    </row>
    <row r="646">
      <c r="A646" s="2" t="s">
        <v>18421</v>
      </c>
    </row>
    <row r="648">
      <c r="A648" s="2" t="s">
        <v>14932</v>
      </c>
    </row>
    <row r="649">
      <c r="A649" s="2" t="s">
        <v>18422</v>
      </c>
    </row>
    <row r="650">
      <c r="A650" s="2" t="s">
        <v>7462</v>
      </c>
    </row>
    <row r="652">
      <c r="A652" s="2" t="s">
        <v>18423</v>
      </c>
    </row>
    <row r="654">
      <c r="A654" s="2" t="s">
        <v>14932</v>
      </c>
    </row>
    <row r="655">
      <c r="A655" s="2" t="s">
        <v>18424</v>
      </c>
    </row>
    <row r="656">
      <c r="A656" s="2" t="s">
        <v>7462</v>
      </c>
    </row>
    <row r="658">
      <c r="A658" s="2" t="s">
        <v>18425</v>
      </c>
    </row>
    <row r="660">
      <c r="A660" s="2" t="s">
        <v>18426</v>
      </c>
    </row>
    <row r="662">
      <c r="A662" s="2" t="s">
        <v>18427</v>
      </c>
    </row>
    <row r="664">
      <c r="A664" s="2" t="s">
        <v>18428</v>
      </c>
    </row>
    <row r="666">
      <c r="A666" s="2" t="s">
        <v>18429</v>
      </c>
    </row>
    <row r="668">
      <c r="A668" s="2" t="s">
        <v>14932</v>
      </c>
    </row>
    <row r="669">
      <c r="A669" s="2" t="s">
        <v>18430</v>
      </c>
    </row>
    <row r="670">
      <c r="A670" s="2" t="s">
        <v>18431</v>
      </c>
    </row>
    <row r="672">
      <c r="A672" s="2" t="s">
        <v>18432</v>
      </c>
    </row>
    <row r="674">
      <c r="A674" s="2" t="s">
        <v>18433</v>
      </c>
    </row>
    <row r="676">
      <c r="A676" s="2" t="s">
        <v>18434</v>
      </c>
    </row>
    <row r="678">
      <c r="A678" s="2" t="s">
        <v>14932</v>
      </c>
    </row>
    <row r="679">
      <c r="A679" s="2" t="s">
        <v>18435</v>
      </c>
    </row>
    <row r="680">
      <c r="A680" s="2" t="s">
        <v>7462</v>
      </c>
    </row>
    <row r="682">
      <c r="A682" s="2" t="s">
        <v>18436</v>
      </c>
    </row>
    <row r="684">
      <c r="A684" s="2" t="s">
        <v>18437</v>
      </c>
    </row>
    <row r="686">
      <c r="A686" s="2" t="s">
        <v>18438</v>
      </c>
    </row>
    <row r="688">
      <c r="A688" s="2" t="s">
        <v>18439</v>
      </c>
    </row>
    <row r="690">
      <c r="A690" s="2" t="s">
        <v>18440</v>
      </c>
    </row>
    <row r="692">
      <c r="A692" s="2" t="s">
        <v>14932</v>
      </c>
    </row>
    <row r="693">
      <c r="A693" s="2" t="s">
        <v>18441</v>
      </c>
    </row>
    <row r="694">
      <c r="A694" s="2" t="s">
        <v>14322</v>
      </c>
    </row>
    <row r="696">
      <c r="A696" s="2" t="s">
        <v>7462</v>
      </c>
    </row>
    <row r="697">
      <c r="A697" s="2" t="s">
        <v>18442</v>
      </c>
    </row>
    <row r="699">
      <c r="A699" s="2" t="s">
        <v>18443</v>
      </c>
    </row>
    <row r="701">
      <c r="A701" s="2" t="s">
        <v>18444</v>
      </c>
    </row>
    <row r="703">
      <c r="A703" s="2" t="s">
        <v>18445</v>
      </c>
    </row>
    <row r="705">
      <c r="A705" s="2" t="s">
        <v>14932</v>
      </c>
    </row>
    <row r="706">
      <c r="A706" s="2" t="s">
        <v>18446</v>
      </c>
    </row>
    <row r="707">
      <c r="A707" s="2" t="s">
        <v>18447</v>
      </c>
    </row>
    <row r="709">
      <c r="A709" s="2" t="s">
        <v>18448</v>
      </c>
    </row>
    <row r="711">
      <c r="A711" s="2" t="s">
        <v>18449</v>
      </c>
    </row>
    <row r="713">
      <c r="A713" s="2" t="s">
        <v>18450</v>
      </c>
    </row>
    <row r="715">
      <c r="A715" s="2" t="s">
        <v>14932</v>
      </c>
    </row>
    <row r="716">
      <c r="A716" s="2" t="s">
        <v>18451</v>
      </c>
    </row>
    <row r="717">
      <c r="A717" s="2" t="s">
        <v>7462</v>
      </c>
    </row>
    <row r="718">
      <c r="A718" s="2" t="s">
        <v>18452</v>
      </c>
    </row>
    <row r="720">
      <c r="A720" s="2" t="s">
        <v>18453</v>
      </c>
    </row>
    <row r="722">
      <c r="A722" s="2" t="s">
        <v>18454</v>
      </c>
    </row>
    <row r="724">
      <c r="A724" s="2" t="s">
        <v>18455</v>
      </c>
    </row>
    <row r="726">
      <c r="A726" s="2" t="s">
        <v>14932</v>
      </c>
    </row>
    <row r="727">
      <c r="A727" s="2" t="s">
        <v>18456</v>
      </c>
    </row>
    <row r="729">
      <c r="A729" s="2" t="s">
        <v>18457</v>
      </c>
    </row>
    <row r="731">
      <c r="A731" s="2" t="s">
        <v>18458</v>
      </c>
    </row>
    <row r="733">
      <c r="A733" s="2" t="s">
        <v>18459</v>
      </c>
    </row>
    <row r="735">
      <c r="A735" s="2" t="s">
        <v>18460</v>
      </c>
    </row>
    <row r="737">
      <c r="A737" s="2" t="s">
        <v>14932</v>
      </c>
    </row>
    <row r="738">
      <c r="A738" s="2" t="s">
        <v>18461</v>
      </c>
    </row>
    <row r="739">
      <c r="A739" s="2" t="s">
        <v>7462</v>
      </c>
    </row>
    <row r="740">
      <c r="A740" s="2" t="s">
        <v>18462</v>
      </c>
    </row>
    <row r="742">
      <c r="A742" s="2" t="s">
        <v>18463</v>
      </c>
    </row>
    <row r="744">
      <c r="A744" s="2" t="s">
        <v>18464</v>
      </c>
    </row>
    <row r="746">
      <c r="A746" s="2" t="s">
        <v>14932</v>
      </c>
    </row>
    <row r="747">
      <c r="A747" s="2" t="s">
        <v>18465</v>
      </c>
    </row>
    <row r="748">
      <c r="A748" s="2" t="s">
        <v>7462</v>
      </c>
    </row>
    <row r="750">
      <c r="A750" s="2" t="s">
        <v>18466</v>
      </c>
    </row>
    <row r="752">
      <c r="A752" s="2" t="s">
        <v>18467</v>
      </c>
    </row>
    <row r="754">
      <c r="A754" s="2" t="s">
        <v>18468</v>
      </c>
    </row>
    <row r="756">
      <c r="A756" s="2" t="s">
        <v>18469</v>
      </c>
    </row>
    <row r="758">
      <c r="A758" s="2" t="s">
        <v>14932</v>
      </c>
    </row>
    <row r="759">
      <c r="A759" s="2" t="s">
        <v>18470</v>
      </c>
    </row>
    <row r="760">
      <c r="A760" s="2" t="s">
        <v>7462</v>
      </c>
    </row>
    <row r="762">
      <c r="A762" s="2" t="s">
        <v>18471</v>
      </c>
    </row>
    <row r="764">
      <c r="A764" s="2" t="s">
        <v>18472</v>
      </c>
    </row>
    <row r="766">
      <c r="A766" s="2" t="s">
        <v>18473</v>
      </c>
    </row>
    <row r="768">
      <c r="A768" s="2" t="s">
        <v>18474</v>
      </c>
    </row>
    <row r="770">
      <c r="A770" s="2" t="s">
        <v>14932</v>
      </c>
    </row>
    <row r="771">
      <c r="A771" s="2" t="s">
        <v>18475</v>
      </c>
    </row>
    <row r="772">
      <c r="A772" s="2" t="s">
        <v>18476</v>
      </c>
    </row>
    <row r="774">
      <c r="A774" s="2" t="s">
        <v>18477</v>
      </c>
    </row>
    <row r="776">
      <c r="A776" s="2" t="s">
        <v>18478</v>
      </c>
    </row>
    <row r="778">
      <c r="A778" s="2" t="s">
        <v>18479</v>
      </c>
    </row>
    <row r="780">
      <c r="A780" s="2" t="s">
        <v>18480</v>
      </c>
    </row>
    <row r="782">
      <c r="A782" s="2" t="s">
        <v>14932</v>
      </c>
    </row>
    <row r="783">
      <c r="A783" s="2" t="s">
        <v>18481</v>
      </c>
    </row>
    <row r="784">
      <c r="A784" s="2" t="s">
        <v>7462</v>
      </c>
    </row>
    <row r="786">
      <c r="A786" s="2" t="s">
        <v>18482</v>
      </c>
    </row>
    <row r="788">
      <c r="A788" s="2" t="s">
        <v>18483</v>
      </c>
    </row>
    <row r="790">
      <c r="A790" s="2" t="s">
        <v>18484</v>
      </c>
    </row>
    <row r="792">
      <c r="A792" s="2" t="s">
        <v>18485</v>
      </c>
    </row>
    <row r="793">
      <c r="A793" s="2" t="s">
        <v>18486</v>
      </c>
    </row>
    <row r="794">
      <c r="A794" s="2" t="s">
        <v>18487</v>
      </c>
    </row>
    <row r="796">
      <c r="A796" s="2" t="s">
        <v>18488</v>
      </c>
    </row>
    <row r="798">
      <c r="A798" s="2" t="s">
        <v>14932</v>
      </c>
    </row>
    <row r="799">
      <c r="A799" s="2" t="s">
        <v>18489</v>
      </c>
    </row>
    <row r="800">
      <c r="A800" s="2" t="s">
        <v>7462</v>
      </c>
    </row>
    <row r="801">
      <c r="A801" s="2" t="s">
        <v>18490</v>
      </c>
    </row>
    <row r="803">
      <c r="A803" s="2" t="s">
        <v>18491</v>
      </c>
    </row>
    <row r="805">
      <c r="A805" s="2" t="s">
        <v>18492</v>
      </c>
    </row>
    <row r="807">
      <c r="A807" s="2" t="s">
        <v>14932</v>
      </c>
    </row>
    <row r="808">
      <c r="A808" s="2" t="s">
        <v>18493</v>
      </c>
    </row>
    <row r="809">
      <c r="A809" s="2" t="s">
        <v>7462</v>
      </c>
    </row>
    <row r="811">
      <c r="A811" s="2" t="s">
        <v>18494</v>
      </c>
    </row>
    <row r="813">
      <c r="A813" s="2" t="s">
        <v>18495</v>
      </c>
    </row>
    <row r="815">
      <c r="A815" s="2" t="s">
        <v>18496</v>
      </c>
    </row>
    <row r="817">
      <c r="A817" s="2" t="s">
        <v>18497</v>
      </c>
    </row>
    <row r="819">
      <c r="A819" s="2" t="s">
        <v>14932</v>
      </c>
    </row>
    <row r="820">
      <c r="A820" s="2" t="s">
        <v>18498</v>
      </c>
    </row>
    <row r="822">
      <c r="A822" s="2" t="s">
        <v>18499</v>
      </c>
    </row>
    <row r="824">
      <c r="A824" s="2" t="s">
        <v>18500</v>
      </c>
    </row>
    <row r="826">
      <c r="A826" s="2" t="s">
        <v>18501</v>
      </c>
    </row>
    <row r="828">
      <c r="A828" s="2" t="s">
        <v>18502</v>
      </c>
    </row>
    <row r="830">
      <c r="A830" s="2" t="s">
        <v>14932</v>
      </c>
    </row>
    <row r="831">
      <c r="A831" s="2" t="s">
        <v>18503</v>
      </c>
    </row>
    <row r="832">
      <c r="A832" s="2" t="s">
        <v>7462</v>
      </c>
    </row>
    <row r="833">
      <c r="A833" s="2" t="s">
        <v>18504</v>
      </c>
    </row>
    <row r="835">
      <c r="A835" s="2" t="s">
        <v>18505</v>
      </c>
    </row>
    <row r="837">
      <c r="A837" s="2" t="s">
        <v>18506</v>
      </c>
    </row>
    <row r="839">
      <c r="A839" s="2" t="s">
        <v>18507</v>
      </c>
    </row>
    <row r="841">
      <c r="A841" s="2" t="s">
        <v>18508</v>
      </c>
    </row>
    <row r="843">
      <c r="A843" s="2" t="s">
        <v>14932</v>
      </c>
    </row>
    <row r="844">
      <c r="A844" s="2" t="s">
        <v>18509</v>
      </c>
    </row>
    <row r="845">
      <c r="A845" s="2" t="s">
        <v>18510</v>
      </c>
    </row>
    <row r="847">
      <c r="A847" s="2" t="s">
        <v>18511</v>
      </c>
    </row>
    <row r="849">
      <c r="A849" s="2" t="s">
        <v>18512</v>
      </c>
    </row>
    <row r="851">
      <c r="A851" s="2" t="s">
        <v>18513</v>
      </c>
    </row>
    <row r="853">
      <c r="A853" s="2" t="s">
        <v>18514</v>
      </c>
    </row>
    <row r="855">
      <c r="A855" s="2" t="s">
        <v>18515</v>
      </c>
    </row>
    <row r="857">
      <c r="A857" s="2" t="s">
        <v>14932</v>
      </c>
    </row>
    <row r="858">
      <c r="A858" s="2" t="s">
        <v>18516</v>
      </c>
    </row>
    <row r="859">
      <c r="A859" s="2" t="s">
        <v>7462</v>
      </c>
    </row>
    <row r="861">
      <c r="A861" s="2" t="s">
        <v>18517</v>
      </c>
    </row>
    <row r="863">
      <c r="A863" s="2" t="s">
        <v>18518</v>
      </c>
    </row>
    <row r="865">
      <c r="A865" s="2" t="s">
        <v>18519</v>
      </c>
    </row>
    <row r="867">
      <c r="A867" s="2" t="s">
        <v>14932</v>
      </c>
    </row>
    <row r="868">
      <c r="A868" s="2" t="s">
        <v>18520</v>
      </c>
    </row>
    <row r="869">
      <c r="A869" s="2" t="s">
        <v>18521</v>
      </c>
    </row>
    <row r="871">
      <c r="A871" s="2" t="s">
        <v>18522</v>
      </c>
    </row>
    <row r="873">
      <c r="A873" s="2" t="s">
        <v>18523</v>
      </c>
    </row>
    <row r="875">
      <c r="A875" s="2" t="s">
        <v>18524</v>
      </c>
    </row>
    <row r="877">
      <c r="A877" s="2" t="s">
        <v>14932</v>
      </c>
    </row>
    <row r="878">
      <c r="A878" s="2" t="s">
        <v>18525</v>
      </c>
    </row>
    <row r="879">
      <c r="A879" s="2" t="s">
        <v>7462</v>
      </c>
    </row>
    <row r="880">
      <c r="A880" s="2" t="s">
        <v>18526</v>
      </c>
    </row>
    <row r="882">
      <c r="A882" s="2" t="s">
        <v>18527</v>
      </c>
    </row>
    <row r="884">
      <c r="A884" s="2" t="s">
        <v>18528</v>
      </c>
    </row>
    <row r="886">
      <c r="A886" s="2" t="s">
        <v>18529</v>
      </c>
    </row>
    <row r="888">
      <c r="A888" s="2" t="s">
        <v>18530</v>
      </c>
    </row>
    <row r="890">
      <c r="A890" s="2" t="s">
        <v>14932</v>
      </c>
    </row>
    <row r="891">
      <c r="A891" s="2" t="s">
        <v>18531</v>
      </c>
    </row>
    <row r="892">
      <c r="A892" s="2" t="s">
        <v>7462</v>
      </c>
    </row>
    <row r="893">
      <c r="A893" s="2" t="s">
        <v>18532</v>
      </c>
    </row>
    <row r="895">
      <c r="A895" s="2" t="s">
        <v>8078</v>
      </c>
    </row>
    <row r="896">
      <c r="A896" s="2" t="s">
        <v>18533</v>
      </c>
    </row>
    <row r="898">
      <c r="A898" s="2" t="s">
        <v>7770</v>
      </c>
    </row>
    <row r="899">
      <c r="A899" s="2" t="s">
        <v>18534</v>
      </c>
    </row>
    <row r="901">
      <c r="A901" s="2" t="s">
        <v>10085</v>
      </c>
    </row>
    <row r="902">
      <c r="A902" s="2" t="s">
        <v>18535</v>
      </c>
    </row>
    <row r="904">
      <c r="A904" s="2" t="s">
        <v>14932</v>
      </c>
    </row>
    <row r="905">
      <c r="A905" s="2" t="s">
        <v>18536</v>
      </c>
    </row>
    <row r="906">
      <c r="A906" s="2" t="s">
        <v>18537</v>
      </c>
    </row>
    <row r="908">
      <c r="A908" s="2" t="s">
        <v>18538</v>
      </c>
    </row>
    <row r="910">
      <c r="A910" s="2" t="s">
        <v>18539</v>
      </c>
    </row>
    <row r="912">
      <c r="A912" s="2" t="s">
        <v>18540</v>
      </c>
    </row>
    <row r="914">
      <c r="A914" s="2" t="s">
        <v>18541</v>
      </c>
    </row>
    <row r="916">
      <c r="A916" s="2" t="s">
        <v>18542</v>
      </c>
    </row>
    <row r="918">
      <c r="A918" s="2" t="s">
        <v>14932</v>
      </c>
    </row>
    <row r="919">
      <c r="A919" s="2" t="s">
        <v>18543</v>
      </c>
    </row>
    <row r="920">
      <c r="A920" s="2" t="s">
        <v>7462</v>
      </c>
    </row>
    <row r="922">
      <c r="A922" s="2" t="s">
        <v>18544</v>
      </c>
    </row>
    <row r="924">
      <c r="A924" s="2" t="s">
        <v>18545</v>
      </c>
    </row>
    <row r="926">
      <c r="A926" s="2" t="s">
        <v>18546</v>
      </c>
    </row>
    <row r="928">
      <c r="A928" s="2" t="s">
        <v>18547</v>
      </c>
    </row>
    <row r="930">
      <c r="A930" s="2" t="s">
        <v>14932</v>
      </c>
    </row>
    <row r="931">
      <c r="A931" s="2" t="s">
        <v>18548</v>
      </c>
    </row>
    <row r="932">
      <c r="A932" s="2" t="s">
        <v>7462</v>
      </c>
    </row>
    <row r="933">
      <c r="A933" s="2" t="s">
        <v>18549</v>
      </c>
    </row>
    <row r="935">
      <c r="A935" s="2" t="s">
        <v>18550</v>
      </c>
    </row>
    <row r="937">
      <c r="A937" s="2" t="s">
        <v>18551</v>
      </c>
    </row>
    <row r="939">
      <c r="A939" s="2" t="s">
        <v>18552</v>
      </c>
    </row>
    <row r="941">
      <c r="A941" s="2" t="s">
        <v>14932</v>
      </c>
    </row>
    <row r="942">
      <c r="A942" s="2" t="s">
        <v>18553</v>
      </c>
    </row>
    <row r="943">
      <c r="A943" s="2" t="s">
        <v>7462</v>
      </c>
    </row>
    <row r="945">
      <c r="A945" s="2" t="s">
        <v>18554</v>
      </c>
    </row>
    <row r="947">
      <c r="A947" s="2" t="s">
        <v>18555</v>
      </c>
    </row>
    <row r="949">
      <c r="A949" s="2" t="s">
        <v>18556</v>
      </c>
    </row>
    <row r="951">
      <c r="A951" s="2" t="s">
        <v>18557</v>
      </c>
    </row>
    <row r="953">
      <c r="A953" s="2" t="s">
        <v>18558</v>
      </c>
    </row>
    <row r="955">
      <c r="A955" s="2" t="s">
        <v>14932</v>
      </c>
    </row>
    <row r="956">
      <c r="A956" s="2" t="s">
        <v>18559</v>
      </c>
    </row>
    <row r="957">
      <c r="A957" s="2" t="s">
        <v>7462</v>
      </c>
    </row>
    <row r="959">
      <c r="A959" s="2" t="s">
        <v>18560</v>
      </c>
    </row>
    <row r="961">
      <c r="A961" s="2" t="s">
        <v>18561</v>
      </c>
    </row>
    <row r="963">
      <c r="A963" s="2" t="s">
        <v>18562</v>
      </c>
    </row>
    <row r="965">
      <c r="A965" s="2" t="s">
        <v>18563</v>
      </c>
    </row>
    <row r="967">
      <c r="A967" s="2" t="s">
        <v>14932</v>
      </c>
    </row>
    <row r="968">
      <c r="A968" s="2" t="s">
        <v>18564</v>
      </c>
    </row>
    <row r="969">
      <c r="A969" s="2" t="s">
        <v>7462</v>
      </c>
    </row>
    <row r="971">
      <c r="A971" s="2" t="s">
        <v>18565</v>
      </c>
    </row>
    <row r="973">
      <c r="A973" s="2" t="s">
        <v>18566</v>
      </c>
    </row>
    <row r="975">
      <c r="A975" s="2" t="s">
        <v>18567</v>
      </c>
    </row>
    <row r="977">
      <c r="A977" s="2" t="s">
        <v>18568</v>
      </c>
    </row>
    <row r="979">
      <c r="A979" s="2" t="s">
        <v>18569</v>
      </c>
    </row>
    <row r="981">
      <c r="A981" s="2" t="s">
        <v>14932</v>
      </c>
    </row>
    <row r="982">
      <c r="A982" s="2" t="s">
        <v>18570</v>
      </c>
    </row>
    <row r="983">
      <c r="A983" s="2" t="s">
        <v>7462</v>
      </c>
    </row>
    <row r="985">
      <c r="A985" s="2" t="s">
        <v>18571</v>
      </c>
    </row>
    <row r="987">
      <c r="A987" s="2" t="s">
        <v>18572</v>
      </c>
    </row>
    <row r="989">
      <c r="A989" s="2" t="s">
        <v>18573</v>
      </c>
    </row>
    <row r="991">
      <c r="A991" s="2" t="s">
        <v>18574</v>
      </c>
    </row>
    <row r="993">
      <c r="A993" s="2" t="s">
        <v>14932</v>
      </c>
    </row>
    <row r="994">
      <c r="A994" s="2" t="s">
        <v>18575</v>
      </c>
    </row>
    <row r="995">
      <c r="A995" s="2" t="s">
        <v>7462</v>
      </c>
    </row>
    <row r="997">
      <c r="A997" s="2" t="s">
        <v>18576</v>
      </c>
    </row>
    <row r="999">
      <c r="A999" s="2" t="s">
        <v>18577</v>
      </c>
    </row>
    <row r="1001">
      <c r="A1001" s="2" t="s">
        <v>18578</v>
      </c>
    </row>
    <row r="1003">
      <c r="A1003" s="2" t="s">
        <v>18579</v>
      </c>
    </row>
    <row r="1005">
      <c r="A1005" s="2" t="s">
        <v>14932</v>
      </c>
    </row>
    <row r="1006">
      <c r="A1006" s="2" t="s">
        <v>18580</v>
      </c>
    </row>
    <row r="1007">
      <c r="A1007" s="2" t="s">
        <v>18581</v>
      </c>
    </row>
    <row r="1009">
      <c r="A1009" s="2" t="s">
        <v>18582</v>
      </c>
    </row>
    <row r="1011">
      <c r="A1011" s="2" t="s">
        <v>18583</v>
      </c>
    </row>
    <row r="1013">
      <c r="A1013" s="2" t="s">
        <v>18584</v>
      </c>
    </row>
    <row r="1015">
      <c r="A1015" s="2" t="s">
        <v>14932</v>
      </c>
    </row>
    <row r="1016">
      <c r="A1016" s="2" t="s">
        <v>18585</v>
      </c>
    </row>
    <row r="1017">
      <c r="A1017" s="2" t="s">
        <v>7462</v>
      </c>
    </row>
    <row r="1018">
      <c r="A1018" s="2" t="s">
        <v>18586</v>
      </c>
    </row>
    <row r="1020">
      <c r="A1020" s="2" t="s">
        <v>18587</v>
      </c>
    </row>
    <row r="1022">
      <c r="A1022" s="2" t="s">
        <v>18588</v>
      </c>
    </row>
    <row r="1024">
      <c r="A1024" s="2" t="s">
        <v>18589</v>
      </c>
    </row>
    <row r="1026">
      <c r="A1026" s="2" t="s">
        <v>14932</v>
      </c>
    </row>
    <row r="1027">
      <c r="A1027" s="2" t="s">
        <v>18590</v>
      </c>
    </row>
    <row r="1028">
      <c r="A1028" s="2" t="s">
        <v>18591</v>
      </c>
    </row>
    <row r="1075">
      <c r="A1075" s="2" t="s">
        <v>18592</v>
      </c>
    </row>
    <row r="1076">
      <c r="A1076" s="2" t="s">
        <v>7462</v>
      </c>
    </row>
    <row r="1077">
      <c r="A1077" s="2" t="s">
        <v>18593</v>
      </c>
    </row>
    <row r="1079">
      <c r="A1079" s="2" t="s">
        <v>18594</v>
      </c>
    </row>
    <row r="1081">
      <c r="A1081" s="2" t="s">
        <v>18595</v>
      </c>
    </row>
    <row r="1083">
      <c r="A1083" s="2" t="s">
        <v>18596</v>
      </c>
    </row>
    <row r="1085">
      <c r="A1085" s="2" t="s">
        <v>16395</v>
      </c>
    </row>
    <row r="1086">
      <c r="A1086" s="2" t="s">
        <v>18597</v>
      </c>
    </row>
    <row r="1087">
      <c r="A1087" s="2" t="s">
        <v>7462</v>
      </c>
    </row>
    <row r="1089">
      <c r="A1089" s="2" t="s">
        <v>18598</v>
      </c>
    </row>
    <row r="1091">
      <c r="A1091" s="2" t="s">
        <v>18599</v>
      </c>
    </row>
    <row r="1093">
      <c r="A1093" s="2" t="s">
        <v>18600</v>
      </c>
    </row>
    <row r="1095">
      <c r="A1095" s="2" t="s">
        <v>18601</v>
      </c>
    </row>
    <row r="1097">
      <c r="A1097" s="2" t="s">
        <v>16395</v>
      </c>
    </row>
    <row r="1098">
      <c r="A1098" s="2" t="s">
        <v>18602</v>
      </c>
    </row>
    <row r="1099">
      <c r="A1099" s="2" t="s">
        <v>7462</v>
      </c>
    </row>
    <row r="1101">
      <c r="A1101" s="2" t="s">
        <v>18603</v>
      </c>
    </row>
    <row r="1103">
      <c r="A1103" s="2" t="s">
        <v>18604</v>
      </c>
    </row>
    <row r="1105">
      <c r="A1105" s="2" t="s">
        <v>18605</v>
      </c>
    </row>
    <row r="1107">
      <c r="A1107" s="2" t="s">
        <v>16395</v>
      </c>
    </row>
    <row r="1108">
      <c r="A1108" s="2" t="s">
        <v>18606</v>
      </c>
    </row>
    <row r="1109">
      <c r="A1109" s="2" t="s">
        <v>18607</v>
      </c>
    </row>
    <row r="1111">
      <c r="A1111" s="2" t="s">
        <v>16395</v>
      </c>
    </row>
    <row r="1112">
      <c r="A1112" s="2" t="s">
        <v>18608</v>
      </c>
    </row>
    <row r="1113">
      <c r="A1113" s="2" t="s">
        <v>7462</v>
      </c>
    </row>
    <row r="1115">
      <c r="A1115" s="2" t="s">
        <v>18609</v>
      </c>
    </row>
    <row r="1117">
      <c r="A1117" s="2" t="s">
        <v>18610</v>
      </c>
    </row>
    <row r="1119">
      <c r="A1119" s="2" t="s">
        <v>18611</v>
      </c>
    </row>
    <row r="1121">
      <c r="A1121" s="2" t="s">
        <v>18612</v>
      </c>
    </row>
    <row r="1123">
      <c r="A1123" s="2" t="s">
        <v>16627</v>
      </c>
    </row>
    <row r="1124">
      <c r="A1124" s="2" t="s">
        <v>18613</v>
      </c>
    </row>
    <row r="1125">
      <c r="A1125" s="2" t="s">
        <v>7462</v>
      </c>
    </row>
    <row r="1126">
      <c r="A1126" s="2" t="s">
        <v>18614</v>
      </c>
    </row>
    <row r="1128">
      <c r="A1128" s="2" t="s">
        <v>16627</v>
      </c>
    </row>
    <row r="1129">
      <c r="A1129" s="2" t="s">
        <v>18615</v>
      </c>
    </row>
    <row r="1130">
      <c r="A1130" s="2" t="s">
        <v>7462</v>
      </c>
    </row>
    <row r="1131">
      <c r="A1131" s="2" t="s">
        <v>18616</v>
      </c>
    </row>
    <row r="1133">
      <c r="A1133" s="2" t="s">
        <v>18617</v>
      </c>
    </row>
    <row r="1135">
      <c r="A1135" s="2" t="s">
        <v>18618</v>
      </c>
    </row>
    <row r="1137">
      <c r="A1137" s="2" t="s">
        <v>16627</v>
      </c>
    </row>
    <row r="1138">
      <c r="A1138" s="2" t="s">
        <v>18619</v>
      </c>
    </row>
    <row r="1139">
      <c r="A1139" s="2" t="s">
        <v>18620</v>
      </c>
    </row>
    <row r="1141">
      <c r="A1141" s="2" t="s">
        <v>16627</v>
      </c>
    </row>
    <row r="1142">
      <c r="A1142" s="2" t="s">
        <v>18621</v>
      </c>
    </row>
    <row r="1143">
      <c r="A1143" s="2" t="s">
        <v>7462</v>
      </c>
    </row>
    <row r="1144">
      <c r="A1144" s="2" t="s">
        <v>18622</v>
      </c>
    </row>
    <row r="1146">
      <c r="A1146" s="2" t="s">
        <v>7577</v>
      </c>
    </row>
    <row r="1147">
      <c r="A1147" s="2" t="s">
        <v>18623</v>
      </c>
    </row>
    <row r="1149">
      <c r="A1149" s="2" t="s">
        <v>18624</v>
      </c>
    </row>
    <row r="1151">
      <c r="A1151" s="2" t="s">
        <v>16627</v>
      </c>
    </row>
    <row r="1152">
      <c r="A1152" s="2" t="s">
        <v>18625</v>
      </c>
    </row>
    <row r="1153">
      <c r="A1153" s="2" t="s">
        <v>7462</v>
      </c>
    </row>
    <row r="1154">
      <c r="A1154" s="2" t="s">
        <v>18626</v>
      </c>
    </row>
    <row r="1156">
      <c r="A1156" s="2" t="s">
        <v>7691</v>
      </c>
    </row>
    <row r="1157">
      <c r="A1157" s="2" t="s">
        <v>18627</v>
      </c>
    </row>
    <row r="1159">
      <c r="A1159" s="2" t="s">
        <v>18628</v>
      </c>
    </row>
    <row r="1160">
      <c r="A1160" s="2" t="s">
        <v>18629</v>
      </c>
    </row>
    <row r="1162">
      <c r="A1162" s="2" t="s">
        <v>16627</v>
      </c>
    </row>
    <row r="1163">
      <c r="A1163" s="2" t="s">
        <v>18630</v>
      </c>
    </row>
    <row r="1164">
      <c r="A1164" s="2" t="s">
        <v>7462</v>
      </c>
    </row>
    <row r="1165">
      <c r="A1165" s="2" t="s">
        <v>18631</v>
      </c>
    </row>
    <row r="1167">
      <c r="A1167" s="2" t="s">
        <v>18632</v>
      </c>
    </row>
    <row r="1169">
      <c r="A1169" s="2" t="s">
        <v>18633</v>
      </c>
    </row>
    <row r="1171">
      <c r="A1171" s="2" t="s">
        <v>16627</v>
      </c>
    </row>
    <row r="1172">
      <c r="A1172" s="2" t="s">
        <v>18634</v>
      </c>
    </row>
    <row r="1173">
      <c r="A1173" s="2" t="s">
        <v>7462</v>
      </c>
    </row>
    <row r="1174">
      <c r="A1174" s="2" t="s">
        <v>18635</v>
      </c>
    </row>
    <row r="1176">
      <c r="A1176" s="2" t="s">
        <v>18636</v>
      </c>
    </row>
    <row r="1178">
      <c r="A1178" s="2" t="s">
        <v>16627</v>
      </c>
    </row>
    <row r="1179">
      <c r="A1179" s="2" t="s">
        <v>18637</v>
      </c>
    </row>
    <row r="1180">
      <c r="A1180" s="2" t="s">
        <v>7462</v>
      </c>
    </row>
    <row r="1182">
      <c r="A1182" s="2" t="s">
        <v>18638</v>
      </c>
    </row>
    <row r="1184">
      <c r="A1184" s="2" t="s">
        <v>18639</v>
      </c>
    </row>
    <row r="1186">
      <c r="A1186" s="2" t="s">
        <v>18640</v>
      </c>
    </row>
    <row r="1188">
      <c r="A1188" s="2" t="s">
        <v>16627</v>
      </c>
    </row>
    <row r="1189">
      <c r="A1189" s="2" t="s">
        <v>18641</v>
      </c>
    </row>
    <row r="1190">
      <c r="A1190" s="2" t="s">
        <v>7462</v>
      </c>
    </row>
    <row r="1191">
      <c r="A1191" s="2" t="s">
        <v>18642</v>
      </c>
    </row>
    <row r="1193">
      <c r="A1193" s="2" t="s">
        <v>18643</v>
      </c>
    </row>
    <row r="1195">
      <c r="A1195" s="2" t="s">
        <v>18644</v>
      </c>
    </row>
    <row r="1197">
      <c r="A1197" s="2" t="s">
        <v>16627</v>
      </c>
    </row>
    <row r="1198">
      <c r="A1198" s="2" t="s">
        <v>18645</v>
      </c>
    </row>
    <row r="1199">
      <c r="A1199" s="2" t="s">
        <v>7462</v>
      </c>
    </row>
    <row r="1200">
      <c r="A1200" s="2" t="s">
        <v>18646</v>
      </c>
    </row>
    <row r="1202">
      <c r="A1202" s="2" t="s">
        <v>18647</v>
      </c>
    </row>
    <row r="1204">
      <c r="A1204" s="2" t="s">
        <v>18648</v>
      </c>
    </row>
    <row r="1206">
      <c r="A1206" s="2" t="s">
        <v>16627</v>
      </c>
    </row>
    <row r="1207">
      <c r="A1207" s="2" t="s">
        <v>18649</v>
      </c>
    </row>
    <row r="1208">
      <c r="A1208" s="2" t="s">
        <v>18650</v>
      </c>
    </row>
    <row r="1210">
      <c r="A1210" s="2" t="s">
        <v>18651</v>
      </c>
    </row>
    <row r="1212">
      <c r="A1212" s="2" t="s">
        <v>18652</v>
      </c>
    </row>
    <row r="1214">
      <c r="A1214" s="2" t="s">
        <v>18653</v>
      </c>
    </row>
    <row r="1216">
      <c r="A1216" s="2" t="s">
        <v>16627</v>
      </c>
    </row>
    <row r="1217">
      <c r="A1217" s="2" t="s">
        <v>18654</v>
      </c>
    </row>
    <row r="1218">
      <c r="A1218" s="2" t="s">
        <v>7462</v>
      </c>
    </row>
    <row r="1219">
      <c r="A1219" s="2" t="s">
        <v>18655</v>
      </c>
    </row>
    <row r="1221">
      <c r="A1221" s="2" t="s">
        <v>18656</v>
      </c>
    </row>
    <row r="1223">
      <c r="A1223" s="2" t="s">
        <v>18657</v>
      </c>
    </row>
    <row r="1224">
      <c r="A1224" s="2" t="s">
        <v>18658</v>
      </c>
    </row>
    <row r="1225">
      <c r="A1225" s="2" t="s">
        <v>18659</v>
      </c>
    </row>
    <row r="1227">
      <c r="A1227" s="2" t="s">
        <v>18660</v>
      </c>
    </row>
    <row r="1229">
      <c r="A1229" s="2" t="s">
        <v>18661</v>
      </c>
    </row>
    <row r="1231">
      <c r="A1231" s="2" t="s">
        <v>16627</v>
      </c>
    </row>
    <row r="1232">
      <c r="A1232" s="2" t="s">
        <v>18662</v>
      </c>
    </row>
    <row r="1233">
      <c r="A1233" s="2" t="s">
        <v>18663</v>
      </c>
    </row>
    <row r="1235">
      <c r="A1235" s="2" t="s">
        <v>18664</v>
      </c>
    </row>
    <row r="1237">
      <c r="A1237" s="2" t="s">
        <v>18665</v>
      </c>
    </row>
    <row r="1239">
      <c r="A1239" s="2" t="s">
        <v>16627</v>
      </c>
    </row>
    <row r="1240">
      <c r="A1240" s="2" t="s">
        <v>18666</v>
      </c>
    </row>
    <row r="1241">
      <c r="A1241" s="2" t="s">
        <v>18667</v>
      </c>
    </row>
    <row r="1243">
      <c r="A1243" s="2" t="s">
        <v>18668</v>
      </c>
    </row>
    <row r="1245">
      <c r="A1245" s="2" t="s">
        <v>18669</v>
      </c>
    </row>
    <row r="1247">
      <c r="A1247" s="2" t="s">
        <v>16627</v>
      </c>
    </row>
    <row r="1248">
      <c r="A1248" s="2" t="s">
        <v>18670</v>
      </c>
    </row>
    <row r="1249">
      <c r="A1249" s="2" t="s">
        <v>18671</v>
      </c>
    </row>
    <row r="1251">
      <c r="A1251" s="2" t="s">
        <v>18672</v>
      </c>
    </row>
    <row r="1253">
      <c r="A1253" s="2" t="s">
        <v>18673</v>
      </c>
    </row>
    <row r="1255">
      <c r="A1255" s="2" t="s">
        <v>16627</v>
      </c>
    </row>
    <row r="1256">
      <c r="A1256" s="2" t="s">
        <v>18674</v>
      </c>
    </row>
    <row r="1257">
      <c r="A1257" s="2" t="s">
        <v>7462</v>
      </c>
    </row>
    <row r="1258">
      <c r="A1258" s="2" t="s">
        <v>18675</v>
      </c>
    </row>
    <row r="1260">
      <c r="A1260" s="2" t="s">
        <v>16627</v>
      </c>
    </row>
    <row r="1261">
      <c r="A1261" s="2" t="s">
        <v>18676</v>
      </c>
    </row>
    <row r="1262">
      <c r="A1262" s="2" t="s">
        <v>7462</v>
      </c>
    </row>
    <row r="1264">
      <c r="A1264" s="2" t="s">
        <v>18677</v>
      </c>
    </row>
    <row r="1266">
      <c r="A1266" s="2" t="s">
        <v>18678</v>
      </c>
    </row>
    <row r="1268">
      <c r="A1268" s="2" t="s">
        <v>18679</v>
      </c>
    </row>
    <row r="1270">
      <c r="A1270" s="2" t="s">
        <v>18680</v>
      </c>
    </row>
    <row r="1272">
      <c r="A1272" s="2" t="s">
        <v>18681</v>
      </c>
    </row>
    <row r="1274">
      <c r="A1274" s="2" t="s">
        <v>16627</v>
      </c>
    </row>
    <row r="1275">
      <c r="A1275" s="2" t="s">
        <v>18682</v>
      </c>
    </row>
    <row r="1276">
      <c r="A1276" s="2" t="s">
        <v>18683</v>
      </c>
    </row>
    <row r="1278">
      <c r="A1278" s="2" t="s">
        <v>18684</v>
      </c>
    </row>
    <row r="1280">
      <c r="A1280" s="2" t="s">
        <v>18685</v>
      </c>
    </row>
    <row r="1282">
      <c r="A1282" s="2" t="s">
        <v>16627</v>
      </c>
    </row>
    <row r="1283">
      <c r="A1283" s="2" t="s">
        <v>18686</v>
      </c>
    </row>
    <row r="1285">
      <c r="A1285" s="2" t="s">
        <v>18687</v>
      </c>
    </row>
    <row r="1287">
      <c r="A1287" s="2" t="s">
        <v>18688</v>
      </c>
    </row>
    <row r="1289">
      <c r="A1289" s="2" t="s">
        <v>18689</v>
      </c>
    </row>
    <row r="1291">
      <c r="A1291" s="2" t="s">
        <v>18690</v>
      </c>
    </row>
    <row r="1293">
      <c r="A1293" s="2" t="s">
        <v>16627</v>
      </c>
    </row>
    <row r="1294">
      <c r="A1294" s="2" t="s">
        <v>18691</v>
      </c>
    </row>
    <row r="1295">
      <c r="A1295" s="2" t="s">
        <v>18692</v>
      </c>
    </row>
    <row r="1297">
      <c r="A1297" s="2" t="s">
        <v>18693</v>
      </c>
    </row>
    <row r="1299">
      <c r="A1299" s="2" t="s">
        <v>18694</v>
      </c>
    </row>
    <row r="1301">
      <c r="A1301" s="2" t="s">
        <v>18695</v>
      </c>
    </row>
    <row r="1303">
      <c r="A1303" s="2" t="s">
        <v>16627</v>
      </c>
    </row>
    <row r="1304">
      <c r="A1304" s="2" t="s">
        <v>18696</v>
      </c>
    </row>
    <row r="1305">
      <c r="A1305" s="2" t="s">
        <v>7462</v>
      </c>
    </row>
    <row r="1307">
      <c r="A1307" s="2" t="s">
        <v>18697</v>
      </c>
    </row>
    <row r="1309">
      <c r="A1309" s="2" t="s">
        <v>18698</v>
      </c>
    </row>
    <row r="1311">
      <c r="A1311" s="2" t="s">
        <v>18699</v>
      </c>
    </row>
    <row r="1313">
      <c r="A1313" s="2" t="s">
        <v>18700</v>
      </c>
    </row>
    <row r="1315">
      <c r="A1315" s="2" t="s">
        <v>16627</v>
      </c>
    </row>
    <row r="1316">
      <c r="A1316" s="2" t="s">
        <v>18701</v>
      </c>
    </row>
    <row r="1317">
      <c r="A1317" s="2" t="s">
        <v>7462</v>
      </c>
    </row>
    <row r="1319">
      <c r="A1319" s="2" t="s">
        <v>18702</v>
      </c>
    </row>
    <row r="1321">
      <c r="A1321" s="2" t="s">
        <v>18703</v>
      </c>
    </row>
    <row r="1323">
      <c r="A1323" s="2" t="s">
        <v>18704</v>
      </c>
    </row>
    <row r="1325">
      <c r="A1325" s="2" t="s">
        <v>18705</v>
      </c>
    </row>
    <row r="1327">
      <c r="A1327" s="2" t="s">
        <v>16627</v>
      </c>
    </row>
    <row r="1328">
      <c r="A1328" s="2" t="s">
        <v>18706</v>
      </c>
    </row>
    <row r="1329">
      <c r="A1329" s="2" t="s">
        <v>7462</v>
      </c>
    </row>
    <row r="1331">
      <c r="A1331" s="2" t="s">
        <v>18707</v>
      </c>
    </row>
    <row r="1333">
      <c r="A1333" s="2" t="s">
        <v>18708</v>
      </c>
    </row>
    <row r="1335">
      <c r="A1335" s="2" t="s">
        <v>18709</v>
      </c>
    </row>
    <row r="1337">
      <c r="A1337" s="2" t="s">
        <v>18710</v>
      </c>
    </row>
    <row r="1339">
      <c r="A1339" s="2" t="s">
        <v>16627</v>
      </c>
    </row>
    <row r="1340">
      <c r="A1340" s="2" t="s">
        <v>18711</v>
      </c>
    </row>
    <row r="1341">
      <c r="A1341" s="2" t="s">
        <v>7462</v>
      </c>
    </row>
    <row r="1343">
      <c r="A1343" s="2" t="s">
        <v>18712</v>
      </c>
    </row>
    <row r="1345">
      <c r="A1345" s="2" t="s">
        <v>18713</v>
      </c>
    </row>
    <row r="1347">
      <c r="A1347" s="2" t="s">
        <v>18714</v>
      </c>
    </row>
    <row r="1349">
      <c r="A1349" s="2" t="s">
        <v>18715</v>
      </c>
    </row>
    <row r="1351">
      <c r="A1351" s="2" t="s">
        <v>16627</v>
      </c>
    </row>
    <row r="1352">
      <c r="A1352" s="2" t="s">
        <v>18716</v>
      </c>
    </row>
    <row r="1353">
      <c r="A1353" s="2" t="s">
        <v>7462</v>
      </c>
    </row>
    <row r="1355">
      <c r="A1355" s="2" t="s">
        <v>18717</v>
      </c>
    </row>
    <row r="1357">
      <c r="A1357" s="2" t="s">
        <v>18718</v>
      </c>
    </row>
    <row r="1359">
      <c r="A1359" s="2" t="s">
        <v>18719</v>
      </c>
    </row>
    <row r="1361">
      <c r="A1361" s="2" t="s">
        <v>18720</v>
      </c>
    </row>
    <row r="1363">
      <c r="A1363" s="2" t="s">
        <v>16959</v>
      </c>
    </row>
    <row r="1364">
      <c r="A1364" s="2" t="s">
        <v>18721</v>
      </c>
    </row>
    <row r="1365">
      <c r="A1365" s="2" t="s">
        <v>7462</v>
      </c>
    </row>
    <row r="1366">
      <c r="A1366" s="2" t="s">
        <v>18722</v>
      </c>
    </row>
    <row r="1368">
      <c r="A1368" s="2" t="s">
        <v>18723</v>
      </c>
    </row>
    <row r="1370">
      <c r="A1370" s="2" t="s">
        <v>18724</v>
      </c>
    </row>
    <row r="1372">
      <c r="A1372" s="2" t="s">
        <v>18725</v>
      </c>
    </row>
    <row r="1374">
      <c r="A1374" s="2" t="s">
        <v>16959</v>
      </c>
    </row>
    <row r="1375">
      <c r="A1375" s="2" t="s">
        <v>18726</v>
      </c>
    </row>
    <row r="1376">
      <c r="A1376" s="2" t="s">
        <v>7462</v>
      </c>
    </row>
    <row r="1377">
      <c r="A1377" s="2" t="s">
        <v>18727</v>
      </c>
    </row>
    <row r="1379">
      <c r="A1379" s="2" t="s">
        <v>18728</v>
      </c>
    </row>
    <row r="1381">
      <c r="A1381" s="2" t="s">
        <v>18729</v>
      </c>
    </row>
    <row r="1383">
      <c r="A1383" s="2" t="s">
        <v>18730</v>
      </c>
    </row>
    <row r="1385">
      <c r="A1385" s="2" t="s">
        <v>16959</v>
      </c>
    </row>
    <row r="1386">
      <c r="A1386" s="2" t="s">
        <v>18731</v>
      </c>
    </row>
    <row r="1387">
      <c r="A1387" s="2" t="s">
        <v>7462</v>
      </c>
    </row>
    <row r="1389">
      <c r="A1389" s="2" t="s">
        <v>18732</v>
      </c>
    </row>
    <row r="1391">
      <c r="A1391" s="2" t="s">
        <v>18733</v>
      </c>
    </row>
    <row r="1393">
      <c r="A1393" s="2" t="s">
        <v>18734</v>
      </c>
    </row>
    <row r="1395">
      <c r="A1395" s="2" t="s">
        <v>18735</v>
      </c>
    </row>
    <row r="1397">
      <c r="A1397" s="2" t="s">
        <v>16959</v>
      </c>
    </row>
    <row r="1398">
      <c r="A1398" s="2" t="s">
        <v>18736</v>
      </c>
    </row>
    <row r="1399">
      <c r="A1399" s="2" t="s">
        <v>7462</v>
      </c>
    </row>
    <row r="1401">
      <c r="A1401" s="2" t="s">
        <v>18737</v>
      </c>
    </row>
    <row r="1403">
      <c r="A1403" s="2" t="s">
        <v>18738</v>
      </c>
    </row>
    <row r="1405">
      <c r="A1405" s="2" t="s">
        <v>18739</v>
      </c>
    </row>
    <row r="1407">
      <c r="A1407" s="2" t="s">
        <v>16959</v>
      </c>
    </row>
    <row r="1408">
      <c r="A1408" s="2" t="s">
        <v>18740</v>
      </c>
    </row>
    <row r="1409">
      <c r="A1409" s="2" t="s">
        <v>7462</v>
      </c>
    </row>
    <row r="1411">
      <c r="A1411" s="2" t="s">
        <v>18741</v>
      </c>
    </row>
    <row r="1413">
      <c r="A1413" s="2" t="s">
        <v>18742</v>
      </c>
    </row>
    <row r="1415">
      <c r="A1415" s="2" t="s">
        <v>18743</v>
      </c>
    </row>
    <row r="1417">
      <c r="A1417" s="2" t="s">
        <v>18744</v>
      </c>
    </row>
    <row r="1419">
      <c r="A1419" s="2" t="s">
        <v>16959</v>
      </c>
    </row>
    <row r="1420">
      <c r="A1420" s="2" t="s">
        <v>18745</v>
      </c>
    </row>
    <row r="1421">
      <c r="A1421" s="2" t="s">
        <v>7462</v>
      </c>
    </row>
    <row r="1422">
      <c r="A1422" s="2" t="s">
        <v>18746</v>
      </c>
    </row>
    <row r="1424">
      <c r="A1424" s="2" t="s">
        <v>18747</v>
      </c>
    </row>
    <row r="1426">
      <c r="A1426" s="2" t="s">
        <v>18748</v>
      </c>
    </row>
    <row r="1428">
      <c r="A1428" s="2" t="s">
        <v>18749</v>
      </c>
    </row>
    <row r="1430">
      <c r="A1430" s="2" t="s">
        <v>16959</v>
      </c>
    </row>
    <row r="1431">
      <c r="A1431" s="2" t="s">
        <v>18750</v>
      </c>
    </row>
    <row r="1432">
      <c r="A1432" s="2" t="s">
        <v>7462</v>
      </c>
    </row>
    <row r="1433">
      <c r="A1433" s="2" t="s">
        <v>18751</v>
      </c>
    </row>
    <row r="1435">
      <c r="A1435" s="2" t="s">
        <v>18752</v>
      </c>
    </row>
    <row r="1437">
      <c r="A1437" s="2" t="s">
        <v>18753</v>
      </c>
    </row>
    <row r="1439">
      <c r="A1439" s="2" t="s">
        <v>16959</v>
      </c>
    </row>
    <row r="1440">
      <c r="A1440" s="2" t="s">
        <v>18754</v>
      </c>
    </row>
    <row r="1441">
      <c r="A1441" s="2" t="s">
        <v>18755</v>
      </c>
    </row>
    <row r="1443">
      <c r="A1443" s="2" t="s">
        <v>18756</v>
      </c>
    </row>
    <row r="1445">
      <c r="A1445" s="2" t="s">
        <v>18757</v>
      </c>
    </row>
    <row r="1447">
      <c r="A1447" s="2" t="s">
        <v>16959</v>
      </c>
    </row>
    <row r="1448">
      <c r="A1448" s="2" t="s">
        <v>18758</v>
      </c>
    </row>
    <row r="1449">
      <c r="A1449" s="2" t="s">
        <v>7462</v>
      </c>
    </row>
    <row r="1451">
      <c r="A1451" s="2" t="s">
        <v>18759</v>
      </c>
    </row>
    <row r="1453">
      <c r="A1453" s="2" t="s">
        <v>18760</v>
      </c>
    </row>
    <row r="1455">
      <c r="A1455" s="2" t="s">
        <v>18761</v>
      </c>
    </row>
    <row r="1457">
      <c r="A1457" s="2" t="s">
        <v>18762</v>
      </c>
    </row>
    <row r="1459">
      <c r="A1459" s="2" t="s">
        <v>18763</v>
      </c>
    </row>
    <row r="1461">
      <c r="A1461" s="2" t="s">
        <v>17017</v>
      </c>
    </row>
    <row r="1462">
      <c r="A1462" s="2" t="s">
        <v>18764</v>
      </c>
    </row>
    <row r="1463">
      <c r="A1463" s="2" t="s">
        <v>18765</v>
      </c>
    </row>
    <row r="1465">
      <c r="A1465" s="2" t="s">
        <v>18766</v>
      </c>
    </row>
    <row r="1467">
      <c r="A1467" s="2" t="s">
        <v>18767</v>
      </c>
    </row>
    <row r="1469">
      <c r="A1469" s="2" t="s">
        <v>18768</v>
      </c>
    </row>
    <row r="1471">
      <c r="A1471" s="2" t="s">
        <v>17017</v>
      </c>
    </row>
    <row r="1472">
      <c r="A1472" s="2" t="s">
        <v>18769</v>
      </c>
    </row>
    <row r="1473">
      <c r="A1473" s="2" t="s">
        <v>7462</v>
      </c>
    </row>
    <row r="1474">
      <c r="A1474" s="2" t="s">
        <v>18770</v>
      </c>
    </row>
    <row r="1476">
      <c r="A1476" s="2" t="s">
        <v>18771</v>
      </c>
    </row>
    <row r="1478">
      <c r="A1478" s="2" t="s">
        <v>18772</v>
      </c>
    </row>
    <row r="1480">
      <c r="A1480" s="2" t="s">
        <v>18773</v>
      </c>
    </row>
    <row r="1482">
      <c r="A1482" s="2" t="s">
        <v>17017</v>
      </c>
    </row>
    <row r="1483">
      <c r="A1483" s="2" t="s">
        <v>18774</v>
      </c>
    </row>
    <row r="1484">
      <c r="A1484" s="2" t="s">
        <v>7462</v>
      </c>
    </row>
    <row r="1486">
      <c r="A1486" s="2" t="s">
        <v>18775</v>
      </c>
    </row>
    <row r="1488">
      <c r="A1488" s="2" t="s">
        <v>18776</v>
      </c>
    </row>
    <row r="1490">
      <c r="A1490" s="2" t="s">
        <v>18200</v>
      </c>
    </row>
    <row r="1491">
      <c r="A1491" s="2" t="s">
        <v>18777</v>
      </c>
    </row>
    <row r="1493">
      <c r="A1493" s="2" t="s">
        <v>18778</v>
      </c>
    </row>
    <row r="1495">
      <c r="A1495" s="2" t="s">
        <v>17017</v>
      </c>
    </row>
    <row r="1496">
      <c r="A1496" s="2" t="s">
        <v>18779</v>
      </c>
    </row>
    <row r="1497">
      <c r="A1497" s="2" t="s">
        <v>7462</v>
      </c>
    </row>
    <row r="1499">
      <c r="A1499" s="2" t="s">
        <v>18780</v>
      </c>
    </row>
    <row r="1501">
      <c r="A1501" s="2" t="s">
        <v>18781</v>
      </c>
    </row>
    <row r="1503">
      <c r="A1503" s="2" t="s">
        <v>18782</v>
      </c>
    </row>
    <row r="1505">
      <c r="A1505" s="2" t="s">
        <v>18783</v>
      </c>
    </row>
    <row r="1507">
      <c r="A1507" s="2" t="s">
        <v>18784</v>
      </c>
    </row>
    <row r="1509">
      <c r="A1509" s="2" t="s">
        <v>17017</v>
      </c>
    </row>
    <row r="1510">
      <c r="A1510" s="2" t="s">
        <v>18785</v>
      </c>
    </row>
    <row r="1511">
      <c r="A1511" s="2" t="s">
        <v>7462</v>
      </c>
    </row>
    <row r="1513">
      <c r="A1513" s="2" t="s">
        <v>18786</v>
      </c>
    </row>
    <row r="1515">
      <c r="A1515" s="2" t="s">
        <v>18787</v>
      </c>
    </row>
    <row r="1517">
      <c r="A1517" s="2" t="s">
        <v>18788</v>
      </c>
    </row>
    <row r="1519">
      <c r="A1519" s="2" t="s">
        <v>18789</v>
      </c>
    </row>
    <row r="1521">
      <c r="A1521" s="2" t="s">
        <v>18790</v>
      </c>
    </row>
    <row r="1523">
      <c r="A1523" s="2" t="s">
        <v>17017</v>
      </c>
    </row>
    <row r="1524">
      <c r="A1524" s="2" t="s">
        <v>18791</v>
      </c>
    </row>
    <row r="1525">
      <c r="A1525" s="2" t="s">
        <v>7462</v>
      </c>
    </row>
    <row r="1526">
      <c r="A1526" s="2" t="s">
        <v>18792</v>
      </c>
    </row>
    <row r="1528">
      <c r="A1528" s="2" t="s">
        <v>18793</v>
      </c>
    </row>
    <row r="1530">
      <c r="A1530" s="2" t="s">
        <v>18794</v>
      </c>
    </row>
    <row r="1532">
      <c r="A1532" s="2" t="s">
        <v>17017</v>
      </c>
    </row>
    <row r="1533">
      <c r="A1533" s="2" t="s">
        <v>18795</v>
      </c>
    </row>
    <row r="1534">
      <c r="A1534" s="2" t="s">
        <v>18796</v>
      </c>
    </row>
    <row r="1536">
      <c r="A1536" s="2" t="s">
        <v>18797</v>
      </c>
    </row>
    <row r="1538">
      <c r="A1538" s="2" t="s">
        <v>18798</v>
      </c>
    </row>
    <row r="1540">
      <c r="A1540" s="2" t="s">
        <v>18799</v>
      </c>
    </row>
    <row r="1542">
      <c r="A1542" s="2" t="s">
        <v>17059</v>
      </c>
    </row>
    <row r="1543">
      <c r="A1543" s="2" t="s">
        <v>18800</v>
      </c>
    </row>
    <row r="1544">
      <c r="A1544" s="2" t="s">
        <v>18801</v>
      </c>
    </row>
    <row r="1546">
      <c r="A1546" s="2" t="s">
        <v>18802</v>
      </c>
    </row>
    <row r="1548">
      <c r="A1548" s="2" t="s">
        <v>18803</v>
      </c>
    </row>
    <row r="1550">
      <c r="A1550" s="2" t="s">
        <v>17059</v>
      </c>
    </row>
    <row r="1551">
      <c r="A1551" s="2" t="s">
        <v>18804</v>
      </c>
    </row>
    <row r="1552">
      <c r="A1552" s="2" t="s">
        <v>7462</v>
      </c>
    </row>
    <row r="1554">
      <c r="A1554" s="2" t="s">
        <v>18805</v>
      </c>
    </row>
    <row r="1556">
      <c r="A1556" s="2" t="s">
        <v>18806</v>
      </c>
    </row>
    <row r="1558">
      <c r="A1558" s="2" t="s">
        <v>18807</v>
      </c>
    </row>
    <row r="1560">
      <c r="A1560" s="2" t="s">
        <v>18808</v>
      </c>
    </row>
    <row r="1562">
      <c r="A1562" s="2" t="s">
        <v>18809</v>
      </c>
    </row>
    <row r="1564">
      <c r="A1564" s="2" t="s">
        <v>18810</v>
      </c>
    </row>
    <row r="1566">
      <c r="A1566" s="2" t="s">
        <v>17059</v>
      </c>
    </row>
    <row r="1567">
      <c r="A1567" s="2" t="s">
        <v>18811</v>
      </c>
    </row>
    <row r="1568">
      <c r="A1568" s="2" t="s">
        <v>18812</v>
      </c>
    </row>
    <row r="1570">
      <c r="A1570" s="2" t="s">
        <v>18813</v>
      </c>
    </row>
    <row r="1572">
      <c r="A1572" s="2" t="s">
        <v>18814</v>
      </c>
    </row>
    <row r="1574">
      <c r="A1574" s="2" t="s">
        <v>18815</v>
      </c>
    </row>
    <row r="1576">
      <c r="A1576" s="2" t="s">
        <v>17059</v>
      </c>
    </row>
    <row r="1577">
      <c r="A1577" s="2" t="s">
        <v>18816</v>
      </c>
    </row>
    <row r="1578">
      <c r="A1578" s="2" t="s">
        <v>7462</v>
      </c>
    </row>
    <row r="1579">
      <c r="A1579" s="2" t="s">
        <v>18817</v>
      </c>
    </row>
    <row r="1581">
      <c r="A1581" s="2" t="s">
        <v>18818</v>
      </c>
    </row>
    <row r="1583">
      <c r="A1583" s="2" t="s">
        <v>18819</v>
      </c>
    </row>
    <row r="1585">
      <c r="A1585" s="2" t="s">
        <v>18820</v>
      </c>
    </row>
    <row r="1587">
      <c r="A1587" s="2" t="s">
        <v>17059</v>
      </c>
    </row>
    <row r="1588">
      <c r="A1588" s="2" t="s">
        <v>18821</v>
      </c>
    </row>
    <row r="1589">
      <c r="A1589" s="2" t="s">
        <v>7462</v>
      </c>
    </row>
    <row r="1591">
      <c r="A1591" s="2" t="s">
        <v>18822</v>
      </c>
    </row>
    <row r="1593">
      <c r="A1593" s="2" t="s">
        <v>17059</v>
      </c>
    </row>
    <row r="1594">
      <c r="A1594" s="2" t="s">
        <v>18823</v>
      </c>
    </row>
    <row r="1595">
      <c r="A1595" s="2" t="s">
        <v>7462</v>
      </c>
    </row>
    <row r="1596">
      <c r="A1596" s="2" t="s">
        <v>18824</v>
      </c>
    </row>
    <row r="1598">
      <c r="A1598" s="2" t="s">
        <v>18825</v>
      </c>
    </row>
    <row r="1600">
      <c r="A1600" s="2" t="s">
        <v>18826</v>
      </c>
    </row>
    <row r="1602">
      <c r="A1602" s="2" t="s">
        <v>17059</v>
      </c>
    </row>
    <row r="1603">
      <c r="A1603" s="2" t="s">
        <v>18827</v>
      </c>
    </row>
    <row r="1604">
      <c r="A1604" s="2" t="s">
        <v>7462</v>
      </c>
    </row>
    <row r="1606">
      <c r="A1606" s="2" t="s">
        <v>18828</v>
      </c>
    </row>
    <row r="1608">
      <c r="A1608" s="2" t="s">
        <v>18829</v>
      </c>
    </row>
    <row r="1610">
      <c r="A1610" s="2" t="s">
        <v>18830</v>
      </c>
    </row>
    <row r="1612">
      <c r="A1612" s="2" t="s">
        <v>18831</v>
      </c>
    </row>
    <row r="1614">
      <c r="A1614" s="2" t="s">
        <v>18832</v>
      </c>
    </row>
  </sheetData>
  <drawing r:id="rId1"/>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18833</v>
      </c>
    </row>
    <row r="2">
      <c r="A2" s="2" t="s">
        <v>18834</v>
      </c>
    </row>
    <row r="3">
      <c r="A3" s="2" t="s">
        <v>18835</v>
      </c>
    </row>
    <row r="4">
      <c r="A4" s="2" t="s">
        <v>70</v>
      </c>
    </row>
    <row r="6">
      <c r="A6" s="2" t="s">
        <v>18836</v>
      </c>
    </row>
    <row r="7">
      <c r="A7" s="2" t="s">
        <v>18837</v>
      </c>
    </row>
    <row r="8">
      <c r="A8" s="2" t="s">
        <v>18835</v>
      </c>
    </row>
    <row r="9">
      <c r="A9" s="2" t="s">
        <v>73</v>
      </c>
    </row>
    <row r="11">
      <c r="A11" s="2" t="s">
        <v>18838</v>
      </c>
    </row>
    <row r="13">
      <c r="A13" s="2" t="s">
        <v>18836</v>
      </c>
    </row>
    <row r="14">
      <c r="A14" s="2" t="s">
        <v>75</v>
      </c>
    </row>
    <row r="15">
      <c r="A15" s="2" t="s">
        <v>18835</v>
      </c>
    </row>
    <row r="16">
      <c r="A16" s="2" t="s">
        <v>76</v>
      </c>
    </row>
    <row r="18">
      <c r="A18" s="2" t="s">
        <v>18839</v>
      </c>
    </row>
    <row r="20">
      <c r="A20" s="2" t="s">
        <v>18836</v>
      </c>
    </row>
    <row r="21">
      <c r="A21" s="2" t="s">
        <v>78</v>
      </c>
    </row>
    <row r="22">
      <c r="A22" s="2" t="s">
        <v>18835</v>
      </c>
    </row>
    <row r="23">
      <c r="A23" s="2" t="s">
        <v>79</v>
      </c>
    </row>
    <row r="25">
      <c r="A25" s="2" t="s">
        <v>18836</v>
      </c>
    </row>
    <row r="26">
      <c r="A26" s="2" t="s">
        <v>80</v>
      </c>
    </row>
    <row r="27">
      <c r="A27" s="2" t="s">
        <v>18835</v>
      </c>
    </row>
    <row r="28">
      <c r="A28" s="2" t="s">
        <v>81</v>
      </c>
    </row>
    <row r="34">
      <c r="A34" s="2" t="s">
        <v>18836</v>
      </c>
    </row>
    <row r="35">
      <c r="A35" s="2" t="s">
        <v>18840</v>
      </c>
    </row>
    <row r="36">
      <c r="A36" s="2" t="s">
        <v>18835</v>
      </c>
    </row>
    <row r="37">
      <c r="A37" s="2" t="s">
        <v>18841</v>
      </c>
    </row>
    <row r="39">
      <c r="A39" s="2" t="s">
        <v>18842</v>
      </c>
    </row>
    <row r="41">
      <c r="A41" s="2" t="s">
        <v>18843</v>
      </c>
    </row>
    <row r="42">
      <c r="A42" s="2" t="s">
        <v>18844</v>
      </c>
    </row>
    <row r="43">
      <c r="A43" s="2" t="s">
        <v>18835</v>
      </c>
    </row>
    <row r="44">
      <c r="A44" s="2" t="s">
        <v>18845</v>
      </c>
    </row>
    <row r="46">
      <c r="A46" s="2" t="s">
        <v>18843</v>
      </c>
    </row>
    <row r="47">
      <c r="A47" s="2" t="s">
        <v>18846</v>
      </c>
    </row>
    <row r="48">
      <c r="A48" s="2" t="s">
        <v>18835</v>
      </c>
    </row>
    <row r="49">
      <c r="A49" s="2" t="s">
        <v>18847</v>
      </c>
    </row>
    <row r="51">
      <c r="A51" s="2" t="s">
        <v>18843</v>
      </c>
    </row>
    <row r="52">
      <c r="A52" s="2" t="s">
        <v>18848</v>
      </c>
    </row>
    <row r="53">
      <c r="A53" s="2" t="s">
        <v>18835</v>
      </c>
    </row>
    <row r="54">
      <c r="A54" s="2" t="s">
        <v>18849</v>
      </c>
    </row>
    <row r="56">
      <c r="A56" s="2" t="s">
        <v>18843</v>
      </c>
    </row>
    <row r="57">
      <c r="A57" s="2" t="s">
        <v>18850</v>
      </c>
    </row>
    <row r="58">
      <c r="A58" s="2" t="s">
        <v>18835</v>
      </c>
    </row>
    <row r="59">
      <c r="A59" s="2" t="s">
        <v>18851</v>
      </c>
    </row>
    <row r="61">
      <c r="A61" s="2" t="s">
        <v>18843</v>
      </c>
    </row>
    <row r="62">
      <c r="A62" s="2" t="s">
        <v>18852</v>
      </c>
    </row>
    <row r="63">
      <c r="A63" s="2" t="s">
        <v>18835</v>
      </c>
    </row>
    <row r="64">
      <c r="A64" s="2" t="s">
        <v>18853</v>
      </c>
    </row>
    <row r="66">
      <c r="A66" s="2" t="s">
        <v>18843</v>
      </c>
    </row>
    <row r="67">
      <c r="A67" s="2" t="s">
        <v>18854</v>
      </c>
    </row>
    <row r="68">
      <c r="A68" s="2" t="s">
        <v>18835</v>
      </c>
    </row>
    <row r="69">
      <c r="A69" s="2" t="s">
        <v>18855</v>
      </c>
    </row>
    <row r="71">
      <c r="A71" s="2" t="s">
        <v>18843</v>
      </c>
    </row>
    <row r="72">
      <c r="A72" s="2" t="s">
        <v>18856</v>
      </c>
    </row>
    <row r="73">
      <c r="A73" s="2" t="s">
        <v>18835</v>
      </c>
    </row>
    <row r="74">
      <c r="A74" s="2" t="s">
        <v>18857</v>
      </c>
    </row>
    <row r="76">
      <c r="A76" s="2" t="s">
        <v>18858</v>
      </c>
    </row>
    <row r="78">
      <c r="A78" s="2" t="s">
        <v>18859</v>
      </c>
    </row>
    <row r="80">
      <c r="A80" s="2" t="s">
        <v>18860</v>
      </c>
    </row>
    <row r="82">
      <c r="A82" s="2" t="s">
        <v>18843</v>
      </c>
    </row>
    <row r="83">
      <c r="A83" s="2" t="s">
        <v>18861</v>
      </c>
    </row>
    <row r="84">
      <c r="A84" s="2" t="s">
        <v>18835</v>
      </c>
    </row>
    <row r="85">
      <c r="A85" s="2" t="s">
        <v>18862</v>
      </c>
    </row>
    <row r="87">
      <c r="A87" s="2" t="s">
        <v>18843</v>
      </c>
    </row>
    <row r="88">
      <c r="A88" s="2" t="s">
        <v>18863</v>
      </c>
    </row>
    <row r="89">
      <c r="A89" s="2" t="s">
        <v>18835</v>
      </c>
    </row>
    <row r="90">
      <c r="A90" s="2" t="s">
        <v>18864</v>
      </c>
    </row>
    <row r="92">
      <c r="A92" s="2" t="s">
        <v>18865</v>
      </c>
    </row>
    <row r="94">
      <c r="A94" s="2" t="s">
        <v>18866</v>
      </c>
    </row>
    <row r="96">
      <c r="A96" s="2" t="s">
        <v>18867</v>
      </c>
    </row>
    <row r="98">
      <c r="A98" s="2" t="s">
        <v>18843</v>
      </c>
    </row>
    <row r="99">
      <c r="A99" s="2" t="s">
        <v>18868</v>
      </c>
    </row>
    <row r="100">
      <c r="A100" s="2" t="s">
        <v>18835</v>
      </c>
    </row>
    <row r="101">
      <c r="A101" s="2" t="s">
        <v>18869</v>
      </c>
    </row>
    <row r="103">
      <c r="A103" s="2" t="s">
        <v>18843</v>
      </c>
    </row>
    <row r="104">
      <c r="A104" s="2" t="s">
        <v>18870</v>
      </c>
    </row>
    <row r="105">
      <c r="A105" s="2" t="s">
        <v>18835</v>
      </c>
    </row>
    <row r="106">
      <c r="A106" s="2" t="s">
        <v>18871</v>
      </c>
    </row>
    <row r="108">
      <c r="A108" s="2" t="s">
        <v>18872</v>
      </c>
    </row>
    <row r="110">
      <c r="A110" s="2" t="s">
        <v>18873</v>
      </c>
    </row>
    <row r="112">
      <c r="A112" s="2" t="s">
        <v>18843</v>
      </c>
    </row>
    <row r="113">
      <c r="A113" s="2" t="s">
        <v>18874</v>
      </c>
    </row>
    <row r="114">
      <c r="A114" s="2" t="s">
        <v>18875</v>
      </c>
    </row>
    <row r="116">
      <c r="A116" s="2" t="s">
        <v>18843</v>
      </c>
    </row>
    <row r="117">
      <c r="A117" s="2" t="s">
        <v>18876</v>
      </c>
    </row>
    <row r="118">
      <c r="A118" s="2" t="s">
        <v>18835</v>
      </c>
    </row>
    <row r="119">
      <c r="A119" s="2" t="s">
        <v>18877</v>
      </c>
    </row>
    <row r="121">
      <c r="A121" s="2" t="s">
        <v>18843</v>
      </c>
    </row>
    <row r="122">
      <c r="A122" s="2" t="s">
        <v>18878</v>
      </c>
    </row>
    <row r="123">
      <c r="A123" s="2" t="s">
        <v>18835</v>
      </c>
    </row>
    <row r="124">
      <c r="A124" s="2" t="s">
        <v>18879</v>
      </c>
    </row>
    <row r="126">
      <c r="A126" s="2" t="s">
        <v>18843</v>
      </c>
    </row>
    <row r="127">
      <c r="A127" s="2" t="s">
        <v>18880</v>
      </c>
    </row>
    <row r="128">
      <c r="A128" s="2" t="s">
        <v>18835</v>
      </c>
    </row>
    <row r="129">
      <c r="A129" s="2" t="s">
        <v>18881</v>
      </c>
    </row>
    <row r="131">
      <c r="A131" s="2" t="s">
        <v>18843</v>
      </c>
    </row>
    <row r="132">
      <c r="A132" s="2" t="s">
        <v>18882</v>
      </c>
    </row>
    <row r="133">
      <c r="A133" s="2" t="s">
        <v>18835</v>
      </c>
    </row>
    <row r="134">
      <c r="A134" s="2" t="s">
        <v>18883</v>
      </c>
    </row>
    <row r="136">
      <c r="A136" s="2" t="s">
        <v>18884</v>
      </c>
    </row>
    <row r="138">
      <c r="A138" s="2" t="s">
        <v>18885</v>
      </c>
    </row>
    <row r="140">
      <c r="A140" s="2" t="s">
        <v>18843</v>
      </c>
    </row>
    <row r="141">
      <c r="A141" s="2" t="s">
        <v>18886</v>
      </c>
    </row>
    <row r="142">
      <c r="A142" s="2" t="s">
        <v>18835</v>
      </c>
    </row>
    <row r="143">
      <c r="A143" s="2" t="s">
        <v>18887</v>
      </c>
    </row>
    <row r="145">
      <c r="A145" s="2" t="s">
        <v>18888</v>
      </c>
    </row>
    <row r="147">
      <c r="A147" s="2" t="s">
        <v>18889</v>
      </c>
    </row>
    <row r="149">
      <c r="A149" s="2" t="s">
        <v>18890</v>
      </c>
    </row>
    <row r="150">
      <c r="A150" s="2" t="s">
        <v>18891</v>
      </c>
    </row>
    <row r="151">
      <c r="A151" s="2" t="s">
        <v>18835</v>
      </c>
    </row>
    <row r="152">
      <c r="A152" s="2" t="s">
        <v>18892</v>
      </c>
    </row>
    <row r="154">
      <c r="A154" s="2" t="s">
        <v>18890</v>
      </c>
    </row>
    <row r="155">
      <c r="A155" s="2" t="s">
        <v>18893</v>
      </c>
    </row>
    <row r="156">
      <c r="A156" s="2" t="s">
        <v>18835</v>
      </c>
    </row>
    <row r="157">
      <c r="A157" s="2" t="s">
        <v>18894</v>
      </c>
    </row>
    <row r="159">
      <c r="A159" s="2" t="s">
        <v>18890</v>
      </c>
    </row>
    <row r="160">
      <c r="A160" s="2" t="s">
        <v>18895</v>
      </c>
    </row>
    <row r="161">
      <c r="A161" s="2" t="s">
        <v>18835</v>
      </c>
    </row>
    <row r="162">
      <c r="A162" s="2" t="s">
        <v>18896</v>
      </c>
    </row>
    <row r="164">
      <c r="A164" s="2" t="s">
        <v>18890</v>
      </c>
    </row>
    <row r="165">
      <c r="A165" s="2" t="s">
        <v>18897</v>
      </c>
    </row>
    <row r="166">
      <c r="A166" s="2" t="s">
        <v>18835</v>
      </c>
    </row>
    <row r="167">
      <c r="A167" s="2" t="s">
        <v>18898</v>
      </c>
    </row>
    <row r="169">
      <c r="A169" s="2" t="s">
        <v>18890</v>
      </c>
    </row>
    <row r="170">
      <c r="A170" s="2" t="s">
        <v>18899</v>
      </c>
    </row>
    <row r="171">
      <c r="A171" s="2" t="s">
        <v>18835</v>
      </c>
    </row>
    <row r="172">
      <c r="A172" s="2" t="s">
        <v>18900</v>
      </c>
    </row>
    <row r="174">
      <c r="A174" s="2" t="s">
        <v>18890</v>
      </c>
    </row>
    <row r="175">
      <c r="A175" s="2" t="s">
        <v>18901</v>
      </c>
    </row>
    <row r="176">
      <c r="A176" s="2" t="s">
        <v>18835</v>
      </c>
    </row>
    <row r="177">
      <c r="A177" s="2" t="s">
        <v>18902</v>
      </c>
    </row>
    <row r="179">
      <c r="A179" s="2" t="s">
        <v>18903</v>
      </c>
    </row>
    <row r="181">
      <c r="A181" s="2" t="s">
        <v>18904</v>
      </c>
    </row>
    <row r="183">
      <c r="A183" s="2" t="s">
        <v>18905</v>
      </c>
    </row>
    <row r="185">
      <c r="A185" s="2" t="s">
        <v>18890</v>
      </c>
    </row>
    <row r="186">
      <c r="A186" s="2" t="s">
        <v>18906</v>
      </c>
    </row>
    <row r="187">
      <c r="A187" s="2" t="s">
        <v>18835</v>
      </c>
    </row>
    <row r="188">
      <c r="A188" s="2" t="s">
        <v>18907</v>
      </c>
    </row>
    <row r="190">
      <c r="A190" s="2" t="s">
        <v>18890</v>
      </c>
    </row>
    <row r="191">
      <c r="A191" s="2" t="s">
        <v>18908</v>
      </c>
    </row>
    <row r="192">
      <c r="A192" s="2" t="s">
        <v>18835</v>
      </c>
    </row>
    <row r="193">
      <c r="A193" s="2" t="s">
        <v>18909</v>
      </c>
    </row>
    <row r="195">
      <c r="A195" s="2" t="s">
        <v>18890</v>
      </c>
    </row>
    <row r="196">
      <c r="A196" s="2" t="s">
        <v>18910</v>
      </c>
    </row>
    <row r="197">
      <c r="A197" s="2" t="s">
        <v>18835</v>
      </c>
    </row>
    <row r="198">
      <c r="A198" s="2" t="s">
        <v>18911</v>
      </c>
    </row>
    <row r="200">
      <c r="A200" s="2" t="s">
        <v>18890</v>
      </c>
    </row>
    <row r="201">
      <c r="A201" s="2" t="s">
        <v>18912</v>
      </c>
    </row>
    <row r="202">
      <c r="A202" s="2" t="s">
        <v>18835</v>
      </c>
    </row>
    <row r="203">
      <c r="A203" s="2" t="s">
        <v>18913</v>
      </c>
    </row>
    <row r="205">
      <c r="A205" s="2" t="s">
        <v>18914</v>
      </c>
    </row>
    <row r="207">
      <c r="A207" s="2" t="s">
        <v>18915</v>
      </c>
    </row>
    <row r="209">
      <c r="A209" s="2" t="s">
        <v>18916</v>
      </c>
    </row>
    <row r="211">
      <c r="A211" s="2" t="s">
        <v>18890</v>
      </c>
    </row>
    <row r="212">
      <c r="A212" s="2" t="s">
        <v>18917</v>
      </c>
    </row>
    <row r="213">
      <c r="A213" s="2" t="s">
        <v>18835</v>
      </c>
    </row>
    <row r="214">
      <c r="A214" s="2" t="s">
        <v>18918</v>
      </c>
    </row>
    <row r="216">
      <c r="A216" s="2" t="s">
        <v>18890</v>
      </c>
    </row>
    <row r="217">
      <c r="A217" s="2" t="s">
        <v>18919</v>
      </c>
    </row>
    <row r="218">
      <c r="A218" s="2" t="s">
        <v>18835</v>
      </c>
    </row>
    <row r="219">
      <c r="A219" s="2" t="s">
        <v>18920</v>
      </c>
    </row>
    <row r="221">
      <c r="A221" s="2" t="s">
        <v>18921</v>
      </c>
    </row>
    <row r="223">
      <c r="A223" s="2" t="s">
        <v>18922</v>
      </c>
    </row>
    <row r="225">
      <c r="A225" s="2" t="s">
        <v>18923</v>
      </c>
    </row>
    <row r="227">
      <c r="A227" s="2" t="s">
        <v>18890</v>
      </c>
    </row>
    <row r="228">
      <c r="A228" s="2" t="s">
        <v>18924</v>
      </c>
    </row>
    <row r="229">
      <c r="A229" s="2" t="s">
        <v>18835</v>
      </c>
    </row>
    <row r="230">
      <c r="A230" s="2" t="s">
        <v>18925</v>
      </c>
    </row>
    <row r="232">
      <c r="A232" s="2" t="s">
        <v>18890</v>
      </c>
    </row>
    <row r="233">
      <c r="A233" s="2" t="s">
        <v>18926</v>
      </c>
    </row>
    <row r="234">
      <c r="A234" s="2" t="s">
        <v>18835</v>
      </c>
    </row>
    <row r="235">
      <c r="A235" s="2" t="s">
        <v>18927</v>
      </c>
    </row>
    <row r="237">
      <c r="A237" s="2" t="s">
        <v>18890</v>
      </c>
    </row>
    <row r="238">
      <c r="A238" s="2" t="s">
        <v>18928</v>
      </c>
    </row>
    <row r="239">
      <c r="A239" s="2" t="s">
        <v>18835</v>
      </c>
    </row>
    <row r="240">
      <c r="A240" s="2" t="s">
        <v>18929</v>
      </c>
    </row>
    <row r="242">
      <c r="A242" s="2" t="s">
        <v>18890</v>
      </c>
    </row>
    <row r="243">
      <c r="A243" s="2" t="s">
        <v>18930</v>
      </c>
    </row>
    <row r="244">
      <c r="A244" s="2" t="s">
        <v>18835</v>
      </c>
    </row>
    <row r="245">
      <c r="A245" s="2" t="s">
        <v>18931</v>
      </c>
    </row>
    <row r="247">
      <c r="A247" s="2" t="s">
        <v>18890</v>
      </c>
    </row>
    <row r="248">
      <c r="A248" s="2" t="s">
        <v>18932</v>
      </c>
    </row>
    <row r="249">
      <c r="A249" s="2" t="s">
        <v>18835</v>
      </c>
    </row>
    <row r="250">
      <c r="A250" s="2" t="s">
        <v>18933</v>
      </c>
    </row>
    <row r="252">
      <c r="A252" s="2" t="s">
        <v>18890</v>
      </c>
    </row>
    <row r="253">
      <c r="A253" s="2" t="s">
        <v>18934</v>
      </c>
    </row>
    <row r="254">
      <c r="A254" s="2" t="s">
        <v>18835</v>
      </c>
    </row>
    <row r="255">
      <c r="A255" s="2" t="s">
        <v>18935</v>
      </c>
    </row>
    <row r="257">
      <c r="A257" s="2" t="s">
        <v>18890</v>
      </c>
    </row>
    <row r="258">
      <c r="A258" s="2" t="s">
        <v>18936</v>
      </c>
    </row>
    <row r="259">
      <c r="A259" s="2" t="s">
        <v>18835</v>
      </c>
    </row>
    <row r="260">
      <c r="A260" s="2" t="s">
        <v>18937</v>
      </c>
    </row>
    <row r="262">
      <c r="A262" s="2" t="s">
        <v>18938</v>
      </c>
    </row>
    <row r="264">
      <c r="A264" s="2" t="s">
        <v>18939</v>
      </c>
    </row>
    <row r="266">
      <c r="A266" s="2" t="s">
        <v>18940</v>
      </c>
    </row>
    <row r="268">
      <c r="A268" s="2" t="s">
        <v>18890</v>
      </c>
    </row>
    <row r="269">
      <c r="A269" s="2" t="s">
        <v>18941</v>
      </c>
    </row>
    <row r="270">
      <c r="A270" s="2" t="s">
        <v>18835</v>
      </c>
    </row>
    <row r="271">
      <c r="A271" s="2" t="s">
        <v>18942</v>
      </c>
    </row>
    <row r="273">
      <c r="A273" s="2" t="s">
        <v>18890</v>
      </c>
    </row>
    <row r="274">
      <c r="A274" s="2" t="s">
        <v>18943</v>
      </c>
    </row>
    <row r="275">
      <c r="A275" s="2" t="s">
        <v>18835</v>
      </c>
    </row>
    <row r="276">
      <c r="A276" s="2" t="s">
        <v>18944</v>
      </c>
    </row>
    <row r="278">
      <c r="A278" s="2" t="s">
        <v>18890</v>
      </c>
    </row>
    <row r="279">
      <c r="A279" s="2" t="s">
        <v>18945</v>
      </c>
    </row>
    <row r="280">
      <c r="A280" s="2" t="s">
        <v>18835</v>
      </c>
    </row>
    <row r="281">
      <c r="A281" s="2" t="s">
        <v>18946</v>
      </c>
    </row>
    <row r="283">
      <c r="A283" s="2" t="s">
        <v>18947</v>
      </c>
    </row>
    <row r="285">
      <c r="A285" s="2" t="s">
        <v>18948</v>
      </c>
    </row>
    <row r="287">
      <c r="A287" s="2" t="s">
        <v>18949</v>
      </c>
    </row>
    <row r="288">
      <c r="A288" s="2" t="s">
        <v>18950</v>
      </c>
    </row>
    <row r="289">
      <c r="A289" s="2" t="s">
        <v>18951</v>
      </c>
    </row>
    <row r="291">
      <c r="A291" s="2" t="s">
        <v>18949</v>
      </c>
    </row>
    <row r="292">
      <c r="A292" s="2" t="s">
        <v>18952</v>
      </c>
    </row>
    <row r="293">
      <c r="A293" s="2" t="s">
        <v>18835</v>
      </c>
    </row>
    <row r="294">
      <c r="A294" s="2" t="s">
        <v>18953</v>
      </c>
    </row>
    <row r="296">
      <c r="A296" s="2" t="s">
        <v>18949</v>
      </c>
    </row>
    <row r="297">
      <c r="A297" s="2" t="s">
        <v>18954</v>
      </c>
    </row>
    <row r="298">
      <c r="A298" s="2" t="s">
        <v>18835</v>
      </c>
    </row>
    <row r="299">
      <c r="A299" s="2" t="s">
        <v>18955</v>
      </c>
    </row>
    <row r="301">
      <c r="A301" s="2" t="s">
        <v>18949</v>
      </c>
    </row>
    <row r="302">
      <c r="A302" s="2" t="s">
        <v>18956</v>
      </c>
    </row>
    <row r="303">
      <c r="A303" s="2" t="s">
        <v>18835</v>
      </c>
    </row>
    <row r="304">
      <c r="A304" s="2" t="s">
        <v>18957</v>
      </c>
    </row>
    <row r="306">
      <c r="A306" s="2" t="s">
        <v>18949</v>
      </c>
    </row>
    <row r="307">
      <c r="A307" s="2" t="s">
        <v>18958</v>
      </c>
    </row>
    <row r="308">
      <c r="A308" s="2" t="s">
        <v>18835</v>
      </c>
    </row>
    <row r="309">
      <c r="A309" s="2" t="s">
        <v>18959</v>
      </c>
    </row>
    <row r="311">
      <c r="A311" s="2" t="s">
        <v>18949</v>
      </c>
    </row>
    <row r="312">
      <c r="A312" s="2" t="s">
        <v>18960</v>
      </c>
    </row>
    <row r="313">
      <c r="A313" s="2" t="s">
        <v>18835</v>
      </c>
    </row>
    <row r="314">
      <c r="A314" s="2" t="s">
        <v>18961</v>
      </c>
    </row>
    <row r="316">
      <c r="A316" s="2" t="s">
        <v>18949</v>
      </c>
    </row>
    <row r="317">
      <c r="A317" s="2" t="s">
        <v>18962</v>
      </c>
    </row>
    <row r="318">
      <c r="A318" s="2" t="s">
        <v>18835</v>
      </c>
    </row>
    <row r="319">
      <c r="A319" s="2" t="s">
        <v>18963</v>
      </c>
    </row>
    <row r="321">
      <c r="A321" s="2" t="s">
        <v>18949</v>
      </c>
    </row>
    <row r="322">
      <c r="A322" s="2" t="s">
        <v>18964</v>
      </c>
    </row>
    <row r="323">
      <c r="A323" s="2" t="s">
        <v>18965</v>
      </c>
    </row>
    <row r="325">
      <c r="A325" s="2" t="s">
        <v>18949</v>
      </c>
    </row>
    <row r="326">
      <c r="A326" s="2" t="s">
        <v>18966</v>
      </c>
    </row>
    <row r="327">
      <c r="A327" s="2" t="s">
        <v>18835</v>
      </c>
    </row>
    <row r="328">
      <c r="A328" s="2" t="s">
        <v>18967</v>
      </c>
    </row>
    <row r="330">
      <c r="A330" s="2" t="s">
        <v>18949</v>
      </c>
    </row>
    <row r="331">
      <c r="A331" s="2" t="s">
        <v>18968</v>
      </c>
    </row>
    <row r="332">
      <c r="A332" s="2" t="s">
        <v>18835</v>
      </c>
    </row>
    <row r="333">
      <c r="A333" s="2" t="s">
        <v>18969</v>
      </c>
    </row>
    <row r="335">
      <c r="A335" s="2" t="s">
        <v>18949</v>
      </c>
    </row>
    <row r="336">
      <c r="A336" s="2" t="s">
        <v>18970</v>
      </c>
    </row>
    <row r="337">
      <c r="A337" s="2" t="s">
        <v>18835</v>
      </c>
    </row>
    <row r="338">
      <c r="A338" s="2" t="s">
        <v>18971</v>
      </c>
    </row>
    <row r="340">
      <c r="A340" s="2" t="s">
        <v>18949</v>
      </c>
    </row>
    <row r="341">
      <c r="A341" s="2" t="s">
        <v>18972</v>
      </c>
    </row>
    <row r="342">
      <c r="A342" s="2" t="s">
        <v>18835</v>
      </c>
    </row>
    <row r="343">
      <c r="A343" s="2" t="s">
        <v>18973</v>
      </c>
    </row>
    <row r="345">
      <c r="A345" s="2" t="s">
        <v>18949</v>
      </c>
    </row>
    <row r="346">
      <c r="A346" s="2" t="s">
        <v>18974</v>
      </c>
    </row>
    <row r="347">
      <c r="A347" s="2" t="s">
        <v>18835</v>
      </c>
    </row>
    <row r="348">
      <c r="A348" s="2" t="s">
        <v>18975</v>
      </c>
    </row>
    <row r="350">
      <c r="A350" s="2" t="s">
        <v>18949</v>
      </c>
    </row>
    <row r="351">
      <c r="A351" s="2" t="s">
        <v>18976</v>
      </c>
    </row>
    <row r="352">
      <c r="A352" s="2" t="s">
        <v>18835</v>
      </c>
    </row>
    <row r="353">
      <c r="A353" s="2" t="s">
        <v>18977</v>
      </c>
    </row>
    <row r="355">
      <c r="A355" s="2" t="s">
        <v>18949</v>
      </c>
    </row>
    <row r="356">
      <c r="A356" s="2" t="s">
        <v>18978</v>
      </c>
    </row>
    <row r="357">
      <c r="A357" s="2" t="s">
        <v>18835</v>
      </c>
    </row>
    <row r="358">
      <c r="A358" s="2" t="s">
        <v>18979</v>
      </c>
    </row>
    <row r="360">
      <c r="A360" s="2" t="s">
        <v>18949</v>
      </c>
    </row>
    <row r="361">
      <c r="A361" s="2" t="s">
        <v>18980</v>
      </c>
    </row>
    <row r="362">
      <c r="A362" s="2" t="s">
        <v>18981</v>
      </c>
    </row>
    <row r="364">
      <c r="A364" s="2" t="s">
        <v>18949</v>
      </c>
    </row>
    <row r="365">
      <c r="A365" s="2" t="s">
        <v>18982</v>
      </c>
    </row>
    <row r="366">
      <c r="A366" s="2" t="s">
        <v>18835</v>
      </c>
    </row>
    <row r="367">
      <c r="A367" s="2" t="s">
        <v>18983</v>
      </c>
    </row>
    <row r="369">
      <c r="A369" s="2" t="s">
        <v>18949</v>
      </c>
    </row>
    <row r="370">
      <c r="A370" s="2" t="s">
        <v>18984</v>
      </c>
    </row>
    <row r="371">
      <c r="A371" s="2" t="s">
        <v>18835</v>
      </c>
    </row>
    <row r="372">
      <c r="A372" s="2" t="s">
        <v>18985</v>
      </c>
    </row>
    <row r="374">
      <c r="A374" s="2" t="s">
        <v>18949</v>
      </c>
    </row>
    <row r="375">
      <c r="A375" s="2" t="s">
        <v>18986</v>
      </c>
    </row>
    <row r="376">
      <c r="A376" s="2" t="s">
        <v>18987</v>
      </c>
    </row>
    <row r="378">
      <c r="A378" s="2" t="s">
        <v>18949</v>
      </c>
    </row>
    <row r="379">
      <c r="A379" s="2" t="s">
        <v>18988</v>
      </c>
    </row>
    <row r="380">
      <c r="A380" s="2" t="s">
        <v>18835</v>
      </c>
    </row>
    <row r="381">
      <c r="A381" s="2" t="s">
        <v>18989</v>
      </c>
    </row>
    <row r="383">
      <c r="A383" s="2" t="s">
        <v>18990</v>
      </c>
    </row>
    <row r="384">
      <c r="A384" s="2" t="s">
        <v>18991</v>
      </c>
    </row>
    <row r="385">
      <c r="A385" s="2" t="s">
        <v>18992</v>
      </c>
    </row>
    <row r="387">
      <c r="A387" s="2" t="s">
        <v>18990</v>
      </c>
    </row>
    <row r="388">
      <c r="A388" s="2" t="s">
        <v>18993</v>
      </c>
    </row>
    <row r="389">
      <c r="A389" s="2" t="s">
        <v>18835</v>
      </c>
    </row>
    <row r="390">
      <c r="A390" s="2" t="s">
        <v>18994</v>
      </c>
    </row>
    <row r="392">
      <c r="A392" s="2" t="s">
        <v>18990</v>
      </c>
    </row>
    <row r="393">
      <c r="A393" s="2" t="s">
        <v>18995</v>
      </c>
    </row>
    <row r="394">
      <c r="A394" s="2" t="s">
        <v>18835</v>
      </c>
    </row>
    <row r="395">
      <c r="A395" s="2" t="s">
        <v>18996</v>
      </c>
    </row>
    <row r="397">
      <c r="A397" s="2" t="s">
        <v>18990</v>
      </c>
    </row>
    <row r="398">
      <c r="A398" s="2" t="s">
        <v>18997</v>
      </c>
    </row>
    <row r="399">
      <c r="A399" s="2" t="s">
        <v>18835</v>
      </c>
    </row>
    <row r="400">
      <c r="A400" s="2" t="s">
        <v>18998</v>
      </c>
    </row>
    <row r="402">
      <c r="A402" s="2" t="s">
        <v>18990</v>
      </c>
    </row>
    <row r="403">
      <c r="A403" s="2" t="s">
        <v>18999</v>
      </c>
    </row>
    <row r="404">
      <c r="A404" s="2" t="s">
        <v>18835</v>
      </c>
    </row>
    <row r="405">
      <c r="A405" s="2" t="s">
        <v>19000</v>
      </c>
    </row>
    <row r="407">
      <c r="A407" s="2" t="s">
        <v>18990</v>
      </c>
    </row>
    <row r="408">
      <c r="A408" s="2" t="s">
        <v>19001</v>
      </c>
    </row>
    <row r="409">
      <c r="A409" s="2" t="s">
        <v>18835</v>
      </c>
    </row>
    <row r="410">
      <c r="A410" s="2" t="s">
        <v>19002</v>
      </c>
    </row>
    <row r="412">
      <c r="A412" s="2" t="s">
        <v>18990</v>
      </c>
    </row>
    <row r="413">
      <c r="A413" s="2" t="s">
        <v>19003</v>
      </c>
    </row>
    <row r="414">
      <c r="A414" s="2" t="s">
        <v>18835</v>
      </c>
    </row>
    <row r="415">
      <c r="A415" s="2" t="s">
        <v>19004</v>
      </c>
    </row>
    <row r="417">
      <c r="A417" s="2" t="s">
        <v>18990</v>
      </c>
    </row>
    <row r="418">
      <c r="A418" s="2" t="s">
        <v>19005</v>
      </c>
    </row>
    <row r="419">
      <c r="A419" s="2" t="s">
        <v>18835</v>
      </c>
    </row>
    <row r="420">
      <c r="A420" s="2" t="s">
        <v>19006</v>
      </c>
    </row>
    <row r="422">
      <c r="A422" s="2" t="s">
        <v>19007</v>
      </c>
    </row>
    <row r="423">
      <c r="A423" s="2" t="s">
        <v>19008</v>
      </c>
    </row>
    <row r="424">
      <c r="A424" s="2" t="s">
        <v>18835</v>
      </c>
    </row>
    <row r="425">
      <c r="A425" s="2" t="s">
        <v>19009</v>
      </c>
    </row>
    <row r="427">
      <c r="A427" s="2" t="s">
        <v>19010</v>
      </c>
    </row>
    <row r="429">
      <c r="A429" s="2" t="s">
        <v>19011</v>
      </c>
    </row>
    <row r="431">
      <c r="A431" s="2" t="s">
        <v>19007</v>
      </c>
    </row>
    <row r="432">
      <c r="A432" s="2" t="s">
        <v>19012</v>
      </c>
    </row>
    <row r="433">
      <c r="A433" s="2" t="s">
        <v>18835</v>
      </c>
    </row>
    <row r="434">
      <c r="A434" s="2" t="s">
        <v>19013</v>
      </c>
    </row>
    <row r="436">
      <c r="A436" s="2" t="s">
        <v>19007</v>
      </c>
    </row>
  </sheetData>
  <drawing r:id="rId1"/>
</worksheet>
</file>

<file path=xl/worksheets/sheet3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2">
      <c r="A2" s="56" t="s">
        <v>19014</v>
      </c>
    </row>
    <row r="3">
      <c r="A3" s="57" t="s">
        <v>19015</v>
      </c>
    </row>
    <row r="4">
      <c r="A4" s="58"/>
    </row>
    <row r="5">
      <c r="A5" s="57" t="s">
        <v>19016</v>
      </c>
    </row>
    <row r="6">
      <c r="A6" s="58"/>
    </row>
    <row r="7">
      <c r="A7" s="57" t="s">
        <v>19017</v>
      </c>
    </row>
    <row r="8">
      <c r="A8" s="58"/>
    </row>
    <row r="9">
      <c r="A9" s="57" t="s">
        <v>19018</v>
      </c>
    </row>
    <row r="10">
      <c r="A10" s="59" t="s">
        <v>19019</v>
      </c>
    </row>
    <row r="11">
      <c r="A11" s="57" t="s">
        <v>19020</v>
      </c>
    </row>
    <row r="12">
      <c r="A12" s="58"/>
    </row>
    <row r="13">
      <c r="A13" s="57" t="s">
        <v>19021</v>
      </c>
    </row>
    <row r="14">
      <c r="A14" s="57" t="s">
        <v>19022</v>
      </c>
    </row>
    <row r="15">
      <c r="A15" s="57" t="s">
        <v>19023</v>
      </c>
    </row>
    <row r="16">
      <c r="A16" s="57" t="s">
        <v>19024</v>
      </c>
    </row>
    <row r="17">
      <c r="A17" s="57" t="s">
        <v>19025</v>
      </c>
    </row>
    <row r="18">
      <c r="A18" s="57" t="s">
        <v>19026</v>
      </c>
    </row>
    <row r="19">
      <c r="A19" s="57" t="s">
        <v>19027</v>
      </c>
    </row>
    <row r="20">
      <c r="A20" s="59" t="s">
        <v>19028</v>
      </c>
    </row>
    <row r="21">
      <c r="A21" s="57" t="s">
        <v>19029</v>
      </c>
    </row>
    <row r="22">
      <c r="A22" s="57" t="s">
        <v>19030</v>
      </c>
    </row>
    <row r="23">
      <c r="A23" s="57" t="s">
        <v>19031</v>
      </c>
    </row>
    <row r="24">
      <c r="A24" s="57" t="s">
        <v>19032</v>
      </c>
    </row>
    <row r="25">
      <c r="A25" s="57" t="s">
        <v>19033</v>
      </c>
    </row>
    <row r="26">
      <c r="A26" s="59" t="s">
        <v>19034</v>
      </c>
    </row>
    <row r="27">
      <c r="A27" s="57" t="s">
        <v>19035</v>
      </c>
    </row>
    <row r="28">
      <c r="A28" s="57" t="s">
        <v>19036</v>
      </c>
    </row>
    <row r="29">
      <c r="A29" s="57" t="s">
        <v>19037</v>
      </c>
    </row>
    <row r="30">
      <c r="A30" s="57" t="s">
        <v>19038</v>
      </c>
    </row>
    <row r="31">
      <c r="A31" s="57" t="s">
        <v>19039</v>
      </c>
    </row>
    <row r="32">
      <c r="A32" s="57" t="s">
        <v>19040</v>
      </c>
    </row>
    <row r="33">
      <c r="A33" s="57" t="s">
        <v>19041</v>
      </c>
    </row>
    <row r="34">
      <c r="A34" s="57" t="s">
        <v>19042</v>
      </c>
    </row>
    <row r="35">
      <c r="A35" s="57" t="s">
        <v>19043</v>
      </c>
    </row>
    <row r="36">
      <c r="A36" s="59" t="s">
        <v>19044</v>
      </c>
    </row>
    <row r="37">
      <c r="A37" s="57" t="s">
        <v>19045</v>
      </c>
    </row>
    <row r="38">
      <c r="A38" s="57" t="s">
        <v>19046</v>
      </c>
    </row>
    <row r="39">
      <c r="A39" s="57" t="s">
        <v>19047</v>
      </c>
    </row>
    <row r="40">
      <c r="A40" s="58"/>
    </row>
    <row r="41">
      <c r="A41" s="57" t="s">
        <v>19048</v>
      </c>
    </row>
    <row r="42">
      <c r="A42" s="58"/>
    </row>
    <row r="43">
      <c r="A43" s="57" t="s">
        <v>19049</v>
      </c>
    </row>
    <row r="44">
      <c r="A44" s="58"/>
    </row>
    <row r="45">
      <c r="A45" s="57" t="s">
        <v>19050</v>
      </c>
    </row>
    <row r="46">
      <c r="A46" s="58"/>
    </row>
    <row r="47">
      <c r="A47" s="57" t="s">
        <v>19051</v>
      </c>
    </row>
    <row r="48">
      <c r="A48" s="58"/>
    </row>
    <row r="49">
      <c r="A49" s="57" t="s">
        <v>19052</v>
      </c>
    </row>
    <row r="50">
      <c r="A50" s="58"/>
    </row>
    <row r="51">
      <c r="A51" s="57" t="s">
        <v>19053</v>
      </c>
    </row>
  </sheetData>
  <drawing r:id="rId1"/>
</worksheet>
</file>

<file path=xl/worksheets/sheet3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30.13"/>
  </cols>
  <sheetData>
    <row r="1" ht="51.75" customHeight="1">
      <c r="A1" s="60" t="s">
        <v>759</v>
      </c>
      <c r="B1" s="60" t="s">
        <v>625</v>
      </c>
      <c r="C1" s="61" t="s">
        <v>624</v>
      </c>
    </row>
    <row r="2" ht="51.75" customHeight="1">
      <c r="A2" s="60" t="s">
        <v>33</v>
      </c>
      <c r="B2" s="62">
        <v>85.0</v>
      </c>
      <c r="C2" s="61" t="s">
        <v>19054</v>
      </c>
    </row>
    <row r="3" ht="51.75" customHeight="1">
      <c r="A3" s="60" t="s">
        <v>35</v>
      </c>
      <c r="B3" s="62">
        <v>85.0</v>
      </c>
      <c r="C3" s="61" t="s">
        <v>19055</v>
      </c>
    </row>
    <row r="4" ht="51.75" customHeight="1">
      <c r="A4" s="60" t="s">
        <v>419</v>
      </c>
      <c r="B4" s="62">
        <v>75.0</v>
      </c>
      <c r="C4" s="61" t="s">
        <v>19056</v>
      </c>
    </row>
    <row r="5" ht="51.75" customHeight="1">
      <c r="A5" s="60" t="s">
        <v>183</v>
      </c>
      <c r="B5" s="62">
        <v>75.0</v>
      </c>
      <c r="C5" s="61" t="s">
        <v>19057</v>
      </c>
    </row>
    <row r="6" ht="51.75" customHeight="1">
      <c r="A6" s="60" t="s">
        <v>1586</v>
      </c>
      <c r="B6" s="62">
        <v>75.0</v>
      </c>
      <c r="C6" s="61" t="s">
        <v>19058</v>
      </c>
    </row>
    <row r="7" ht="51.75" customHeight="1">
      <c r="A7" s="60" t="s">
        <v>3782</v>
      </c>
      <c r="B7" s="62">
        <v>75.0</v>
      </c>
      <c r="C7" s="61" t="s">
        <v>19059</v>
      </c>
    </row>
    <row r="8" ht="51.75" customHeight="1">
      <c r="A8" s="60" t="s">
        <v>37</v>
      </c>
      <c r="B8" s="62">
        <v>75.0</v>
      </c>
      <c r="C8" s="61" t="s">
        <v>19060</v>
      </c>
    </row>
    <row r="9" ht="51.75" customHeight="1">
      <c r="A9" s="60" t="s">
        <v>1177</v>
      </c>
      <c r="B9" s="62">
        <v>75.0</v>
      </c>
      <c r="C9" s="61" t="s">
        <v>19061</v>
      </c>
    </row>
    <row r="10" ht="51.75" customHeight="1">
      <c r="A10" s="60" t="s">
        <v>14</v>
      </c>
      <c r="B10" s="62">
        <v>75.0</v>
      </c>
      <c r="C10" s="61" t="s">
        <v>19062</v>
      </c>
    </row>
    <row r="11" ht="51.75" customHeight="1">
      <c r="A11" s="60" t="s">
        <v>459</v>
      </c>
      <c r="B11" s="62">
        <v>75.0</v>
      </c>
      <c r="C11" s="61" t="s">
        <v>19063</v>
      </c>
    </row>
    <row r="12" ht="51.75" customHeight="1">
      <c r="A12" s="60" t="s">
        <v>941</v>
      </c>
      <c r="B12" s="62">
        <v>75.0</v>
      </c>
      <c r="C12" s="61" t="s">
        <v>19064</v>
      </c>
    </row>
    <row r="13" ht="51.75" customHeight="1">
      <c r="A13" s="60" t="s">
        <v>38</v>
      </c>
      <c r="B13" s="62">
        <v>75.0</v>
      </c>
      <c r="C13" s="61" t="s">
        <v>19065</v>
      </c>
    </row>
    <row r="14" ht="51.75" customHeight="1">
      <c r="A14" s="60" t="s">
        <v>1537</v>
      </c>
      <c r="B14" s="62">
        <v>75.0</v>
      </c>
      <c r="C14" s="61" t="s">
        <v>19066</v>
      </c>
    </row>
    <row r="15" ht="51.75" customHeight="1">
      <c r="A15" s="60" t="s">
        <v>1590</v>
      </c>
      <c r="B15" s="62">
        <v>75.0</v>
      </c>
      <c r="C15" s="61" t="s">
        <v>19067</v>
      </c>
    </row>
    <row r="16" ht="51.75" customHeight="1">
      <c r="A16" s="60" t="s">
        <v>468</v>
      </c>
      <c r="B16" s="62">
        <v>75.0</v>
      </c>
      <c r="C16" s="61" t="s">
        <v>19068</v>
      </c>
    </row>
    <row r="17" ht="51.75" customHeight="1">
      <c r="A17" s="60" t="s">
        <v>275</v>
      </c>
      <c r="B17" s="62">
        <v>75.0</v>
      </c>
      <c r="C17" s="61" t="s">
        <v>19069</v>
      </c>
    </row>
    <row r="18" ht="51.75" customHeight="1">
      <c r="A18" s="60" t="s">
        <v>839</v>
      </c>
      <c r="B18" s="62">
        <v>75.0</v>
      </c>
      <c r="C18" s="61" t="s">
        <v>19070</v>
      </c>
    </row>
    <row r="19" ht="51.75" customHeight="1">
      <c r="A19" s="60" t="s">
        <v>1133</v>
      </c>
      <c r="B19" s="62">
        <v>75.0</v>
      </c>
      <c r="C19" s="61" t="s">
        <v>19071</v>
      </c>
    </row>
    <row r="20" ht="51.75" customHeight="1">
      <c r="A20" s="60" t="s">
        <v>900</v>
      </c>
      <c r="B20" s="62">
        <v>75.0</v>
      </c>
      <c r="C20" s="61" t="s">
        <v>19072</v>
      </c>
    </row>
    <row r="21" ht="51.75" customHeight="1">
      <c r="A21" s="60" t="s">
        <v>122</v>
      </c>
      <c r="B21" s="62">
        <v>75.0</v>
      </c>
      <c r="C21" s="61" t="s">
        <v>19073</v>
      </c>
    </row>
    <row r="22" ht="51.75" customHeight="1">
      <c r="A22" s="60" t="s">
        <v>972</v>
      </c>
      <c r="B22" s="62">
        <v>75.0</v>
      </c>
      <c r="C22" s="61" t="s">
        <v>19074</v>
      </c>
    </row>
    <row r="23" ht="51.75" customHeight="1">
      <c r="A23" s="60" t="s">
        <v>592</v>
      </c>
      <c r="B23" s="62">
        <v>75.0</v>
      </c>
      <c r="C23" s="61" t="s">
        <v>19075</v>
      </c>
    </row>
    <row r="24" ht="51.75" customHeight="1">
      <c r="A24" s="60" t="s">
        <v>21</v>
      </c>
      <c r="B24" s="62">
        <v>75.0</v>
      </c>
      <c r="C24" s="61" t="s">
        <v>19076</v>
      </c>
    </row>
    <row r="25" ht="51.75" customHeight="1">
      <c r="A25" s="60" t="s">
        <v>1361</v>
      </c>
      <c r="B25" s="62">
        <v>75.0</v>
      </c>
      <c r="C25" s="61" t="s">
        <v>19077</v>
      </c>
    </row>
    <row r="26" ht="51.75" customHeight="1">
      <c r="A26" s="60" t="s">
        <v>36</v>
      </c>
      <c r="B26" s="62">
        <v>75.0</v>
      </c>
      <c r="C26" s="61" t="s">
        <v>19078</v>
      </c>
    </row>
    <row r="27" ht="51.75" customHeight="1">
      <c r="A27" s="60" t="s">
        <v>857</v>
      </c>
      <c r="B27" s="62">
        <v>75.0</v>
      </c>
      <c r="C27" s="61" t="s">
        <v>19079</v>
      </c>
    </row>
    <row r="28" ht="51.75" customHeight="1">
      <c r="A28" s="60" t="s">
        <v>17</v>
      </c>
      <c r="B28" s="62">
        <v>75.0</v>
      </c>
      <c r="C28" s="61" t="s">
        <v>19080</v>
      </c>
    </row>
    <row r="29" ht="51.75" customHeight="1">
      <c r="A29" s="60" t="s">
        <v>766</v>
      </c>
      <c r="B29" s="62">
        <v>75.0</v>
      </c>
      <c r="C29" s="61" t="s">
        <v>19081</v>
      </c>
    </row>
    <row r="30" ht="51.75" customHeight="1">
      <c r="A30" s="60" t="s">
        <v>12</v>
      </c>
      <c r="B30" s="62">
        <v>75.0</v>
      </c>
      <c r="C30" s="61" t="s">
        <v>19082</v>
      </c>
    </row>
    <row r="31" ht="51.75" customHeight="1">
      <c r="A31" s="60" t="s">
        <v>1630</v>
      </c>
      <c r="B31" s="62">
        <v>75.0</v>
      </c>
      <c r="C31" s="61" t="s">
        <v>19083</v>
      </c>
    </row>
    <row r="32" ht="51.75" customHeight="1">
      <c r="A32" s="60" t="s">
        <v>39</v>
      </c>
      <c r="B32" s="62">
        <v>75.0</v>
      </c>
      <c r="C32" s="61" t="s">
        <v>19084</v>
      </c>
    </row>
    <row r="33" ht="51.75" customHeight="1">
      <c r="A33" s="60" t="s">
        <v>1252</v>
      </c>
      <c r="B33" s="62">
        <v>75.0</v>
      </c>
      <c r="C33" s="61" t="s">
        <v>19085</v>
      </c>
    </row>
    <row r="34" ht="51.75" customHeight="1">
      <c r="A34" s="60" t="s">
        <v>139</v>
      </c>
      <c r="B34" s="62">
        <v>75.0</v>
      </c>
      <c r="C34" s="61" t="s">
        <v>19086</v>
      </c>
    </row>
    <row r="35" ht="51.75" customHeight="1">
      <c r="A35" s="60" t="s">
        <v>1371</v>
      </c>
      <c r="B35" s="62">
        <v>75.0</v>
      </c>
      <c r="C35" s="61" t="s">
        <v>19087</v>
      </c>
    </row>
    <row r="36" ht="51.75" customHeight="1">
      <c r="A36" s="60" t="s">
        <v>1081</v>
      </c>
      <c r="B36" s="62">
        <v>75.0</v>
      </c>
      <c r="C36" s="61" t="s">
        <v>19088</v>
      </c>
    </row>
    <row r="37" ht="51.75" customHeight="1">
      <c r="A37" s="60" t="s">
        <v>294</v>
      </c>
      <c r="B37" s="62">
        <v>75.0</v>
      </c>
      <c r="C37" s="61" t="s">
        <v>19089</v>
      </c>
    </row>
    <row r="38" ht="51.75" customHeight="1">
      <c r="A38" s="60" t="s">
        <v>1479</v>
      </c>
      <c r="B38" s="62">
        <v>75.0</v>
      </c>
      <c r="C38" s="61" t="s">
        <v>19090</v>
      </c>
    </row>
    <row r="39" ht="51.75" customHeight="1">
      <c r="A39" s="60" t="s">
        <v>263</v>
      </c>
      <c r="B39" s="62">
        <v>75.0</v>
      </c>
      <c r="C39" s="61" t="s">
        <v>19091</v>
      </c>
    </row>
    <row r="40" ht="51.75" customHeight="1">
      <c r="A40" s="60" t="s">
        <v>40</v>
      </c>
      <c r="B40" s="62">
        <v>75.0</v>
      </c>
      <c r="C40" s="61" t="s">
        <v>19092</v>
      </c>
    </row>
    <row r="41" ht="51.75" customHeight="1">
      <c r="A41" s="60" t="s">
        <v>232</v>
      </c>
      <c r="B41" s="62">
        <v>75.0</v>
      </c>
      <c r="C41" s="61" t="s">
        <v>19093</v>
      </c>
    </row>
    <row r="42" ht="51.75" customHeight="1">
      <c r="A42" s="60" t="s">
        <v>169</v>
      </c>
      <c r="B42" s="62">
        <v>75.0</v>
      </c>
      <c r="C42" s="61" t="s">
        <v>19094</v>
      </c>
    </row>
    <row r="43" ht="51.75" customHeight="1">
      <c r="A43" s="60" t="s">
        <v>404</v>
      </c>
      <c r="B43" s="62">
        <v>75.0</v>
      </c>
      <c r="C43" s="61" t="s">
        <v>19095</v>
      </c>
    </row>
    <row r="44" ht="51.75" customHeight="1">
      <c r="A44" s="60" t="s">
        <v>1083</v>
      </c>
      <c r="B44" s="62">
        <v>75.0</v>
      </c>
      <c r="C44" s="61" t="s">
        <v>19096</v>
      </c>
    </row>
    <row r="45" ht="51.75" customHeight="1">
      <c r="A45" s="60" t="s">
        <v>7497</v>
      </c>
      <c r="B45" s="62">
        <v>75.0</v>
      </c>
      <c r="C45" s="61" t="s">
        <v>19097</v>
      </c>
    </row>
    <row r="46" ht="51.75" customHeight="1">
      <c r="A46" s="60" t="s">
        <v>1098</v>
      </c>
      <c r="B46" s="62">
        <v>75.0</v>
      </c>
      <c r="C46" s="61" t="s">
        <v>19098</v>
      </c>
    </row>
    <row r="47" ht="51.75" customHeight="1">
      <c r="A47" s="60" t="s">
        <v>1505</v>
      </c>
      <c r="B47" s="62">
        <v>75.0</v>
      </c>
      <c r="C47" s="61" t="s">
        <v>19099</v>
      </c>
    </row>
    <row r="48" ht="51.75" customHeight="1">
      <c r="A48" s="60" t="s">
        <v>963</v>
      </c>
      <c r="B48" s="62">
        <v>75.0</v>
      </c>
      <c r="C48" s="61" t="s">
        <v>19100</v>
      </c>
    </row>
    <row r="49" ht="51.75" customHeight="1">
      <c r="A49" s="60" t="s">
        <v>1155</v>
      </c>
      <c r="B49" s="62">
        <v>75.0</v>
      </c>
      <c r="C49" s="61" t="s">
        <v>19101</v>
      </c>
    </row>
    <row r="50" ht="51.75" customHeight="1">
      <c r="A50" s="60" t="s">
        <v>239</v>
      </c>
      <c r="B50" s="62">
        <v>75.0</v>
      </c>
      <c r="C50" s="61" t="s">
        <v>19102</v>
      </c>
    </row>
    <row r="51" ht="51.75" customHeight="1">
      <c r="A51" s="60" t="s">
        <v>1008</v>
      </c>
      <c r="B51" s="62">
        <v>75.0</v>
      </c>
      <c r="C51" s="61" t="s">
        <v>19103</v>
      </c>
    </row>
    <row r="52" ht="51.75" customHeight="1">
      <c r="A52" s="60" t="s">
        <v>976</v>
      </c>
      <c r="B52" s="62">
        <v>75.0</v>
      </c>
      <c r="C52" s="61" t="s">
        <v>19104</v>
      </c>
    </row>
    <row r="53" ht="51.75" customHeight="1">
      <c r="A53" s="60" t="s">
        <v>1171</v>
      </c>
      <c r="B53" s="62">
        <v>75.0</v>
      </c>
      <c r="C53" s="61" t="s">
        <v>19105</v>
      </c>
    </row>
    <row r="54" ht="51.75" customHeight="1">
      <c r="A54" s="60" t="s">
        <v>1289</v>
      </c>
      <c r="B54" s="62">
        <v>75.0</v>
      </c>
      <c r="C54" s="61" t="s">
        <v>19106</v>
      </c>
    </row>
    <row r="55" ht="51.75" customHeight="1">
      <c r="A55" s="60" t="s">
        <v>1000</v>
      </c>
      <c r="B55" s="62">
        <v>75.0</v>
      </c>
      <c r="C55" s="61" t="s">
        <v>19107</v>
      </c>
    </row>
    <row r="56" ht="51.75" customHeight="1">
      <c r="A56" s="60" t="s">
        <v>1119</v>
      </c>
      <c r="B56" s="62">
        <v>75.0</v>
      </c>
      <c r="C56" s="61" t="s">
        <v>19108</v>
      </c>
    </row>
    <row r="57" ht="51.75" customHeight="1">
      <c r="A57" s="60" t="s">
        <v>127</v>
      </c>
      <c r="B57" s="62">
        <v>75.0</v>
      </c>
      <c r="C57" s="61" t="s">
        <v>19109</v>
      </c>
    </row>
    <row r="58" ht="51.75" customHeight="1">
      <c r="A58" s="60" t="s">
        <v>59</v>
      </c>
      <c r="B58" s="62">
        <v>75.0</v>
      </c>
      <c r="C58" s="61" t="s">
        <v>19110</v>
      </c>
    </row>
    <row r="59" ht="51.75" customHeight="1">
      <c r="A59" s="60" t="s">
        <v>1513</v>
      </c>
      <c r="B59" s="62">
        <v>75.0</v>
      </c>
      <c r="C59" s="61" t="s">
        <v>19111</v>
      </c>
    </row>
    <row r="60" ht="51.75" customHeight="1">
      <c r="A60" s="60" t="s">
        <v>472</v>
      </c>
      <c r="B60" s="62">
        <v>75.0</v>
      </c>
      <c r="C60" s="61" t="s">
        <v>19112</v>
      </c>
    </row>
    <row r="61" ht="51.75" customHeight="1">
      <c r="A61" s="60" t="s">
        <v>878</v>
      </c>
      <c r="B61" s="62">
        <v>75.0</v>
      </c>
      <c r="C61" s="61" t="s">
        <v>19113</v>
      </c>
    </row>
    <row r="62" ht="51.75" customHeight="1">
      <c r="A62" s="60" t="s">
        <v>243</v>
      </c>
      <c r="B62" s="62">
        <v>75.0</v>
      </c>
      <c r="C62" s="61" t="s">
        <v>19114</v>
      </c>
    </row>
    <row r="63" ht="51.75" customHeight="1">
      <c r="A63" s="60" t="s">
        <v>1038</v>
      </c>
      <c r="B63" s="62">
        <v>75.0</v>
      </c>
      <c r="C63" s="61" t="s">
        <v>19115</v>
      </c>
    </row>
    <row r="64" ht="51.75" customHeight="1">
      <c r="A64" s="60" t="s">
        <v>184</v>
      </c>
      <c r="B64" s="62">
        <v>75.0</v>
      </c>
      <c r="C64" s="61" t="s">
        <v>19116</v>
      </c>
    </row>
    <row r="65" ht="51.75" customHeight="1">
      <c r="A65" s="60" t="s">
        <v>229</v>
      </c>
      <c r="B65" s="62">
        <v>75.0</v>
      </c>
      <c r="C65" s="61" t="s">
        <v>19117</v>
      </c>
    </row>
    <row r="66" ht="51.75" customHeight="1">
      <c r="A66" s="60" t="s">
        <v>18</v>
      </c>
      <c r="B66" s="62">
        <v>75.0</v>
      </c>
      <c r="C66" s="61" t="s">
        <v>19118</v>
      </c>
    </row>
    <row r="67" ht="51.75" customHeight="1">
      <c r="A67" s="60" t="s">
        <v>1474</v>
      </c>
      <c r="B67" s="62">
        <v>75.0</v>
      </c>
      <c r="C67" s="61" t="s">
        <v>19119</v>
      </c>
    </row>
    <row r="68" ht="51.75" customHeight="1">
      <c r="A68" s="60" t="s">
        <v>771</v>
      </c>
      <c r="B68" s="62">
        <v>75.0</v>
      </c>
      <c r="C68" s="61" t="s">
        <v>19120</v>
      </c>
    </row>
    <row r="69" ht="51.75" customHeight="1">
      <c r="A69" s="60" t="s">
        <v>298</v>
      </c>
      <c r="B69" s="62">
        <v>75.0</v>
      </c>
      <c r="C69" s="61" t="s">
        <v>19121</v>
      </c>
    </row>
    <row r="70" ht="51.75" customHeight="1">
      <c r="A70" s="60" t="s">
        <v>19122</v>
      </c>
      <c r="B70" s="62">
        <v>75.0</v>
      </c>
      <c r="C70" s="61" t="s">
        <v>19123</v>
      </c>
    </row>
    <row r="71" ht="51.75" customHeight="1">
      <c r="A71" s="60" t="s">
        <v>41</v>
      </c>
      <c r="B71" s="62">
        <v>75.0</v>
      </c>
      <c r="C71" s="61" t="s">
        <v>19124</v>
      </c>
    </row>
    <row r="72" ht="51.75" customHeight="1">
      <c r="A72" s="60" t="s">
        <v>1402</v>
      </c>
      <c r="B72" s="62">
        <v>70.0</v>
      </c>
      <c r="C72" s="61" t="s">
        <v>19125</v>
      </c>
    </row>
    <row r="73" ht="51.75" customHeight="1">
      <c r="A73" s="60" t="s">
        <v>278</v>
      </c>
      <c r="B73" s="62">
        <v>70.0</v>
      </c>
      <c r="C73" s="61" t="s">
        <v>19126</v>
      </c>
    </row>
    <row r="74" ht="51.75" customHeight="1">
      <c r="A74" s="60" t="s">
        <v>242</v>
      </c>
      <c r="B74" s="62">
        <v>70.0</v>
      </c>
      <c r="C74" s="61" t="s">
        <v>19127</v>
      </c>
    </row>
    <row r="75" ht="51.75" customHeight="1">
      <c r="A75" s="60" t="s">
        <v>1059</v>
      </c>
      <c r="B75" s="62">
        <v>70.0</v>
      </c>
      <c r="C75" s="61" t="s">
        <v>19128</v>
      </c>
    </row>
    <row r="76" ht="51.75" customHeight="1">
      <c r="A76" s="60" t="s">
        <v>1301</v>
      </c>
      <c r="B76" s="62">
        <v>70.0</v>
      </c>
      <c r="C76" s="61" t="s">
        <v>19129</v>
      </c>
    </row>
    <row r="77" ht="51.75" customHeight="1">
      <c r="A77" s="60" t="s">
        <v>1470</v>
      </c>
      <c r="B77" s="62">
        <v>70.0</v>
      </c>
      <c r="C77" s="61" t="s">
        <v>19130</v>
      </c>
    </row>
    <row r="78" ht="51.75" customHeight="1">
      <c r="A78" s="60" t="s">
        <v>1632</v>
      </c>
      <c r="B78" s="62">
        <v>70.0</v>
      </c>
      <c r="C78" s="61" t="s">
        <v>19131</v>
      </c>
    </row>
    <row r="79" ht="51.75" customHeight="1">
      <c r="A79" s="60" t="s">
        <v>49</v>
      </c>
      <c r="B79" s="62">
        <v>70.0</v>
      </c>
      <c r="C79" s="61" t="s">
        <v>19132</v>
      </c>
    </row>
    <row r="80" ht="51.75" customHeight="1">
      <c r="A80" s="60" t="s">
        <v>1181</v>
      </c>
      <c r="B80" s="62">
        <v>70.0</v>
      </c>
      <c r="C80" s="61" t="s">
        <v>19133</v>
      </c>
    </row>
    <row r="81" ht="51.75" customHeight="1">
      <c r="A81" s="60" t="s">
        <v>1019</v>
      </c>
      <c r="B81" s="62">
        <v>70.0</v>
      </c>
      <c r="C81" s="61" t="s">
        <v>19134</v>
      </c>
    </row>
    <row r="82" ht="51.75" customHeight="1">
      <c r="A82" s="60" t="s">
        <v>925</v>
      </c>
      <c r="B82" s="62">
        <v>70.0</v>
      </c>
      <c r="C82" s="61" t="s">
        <v>19135</v>
      </c>
    </row>
    <row r="83" ht="51.75" customHeight="1">
      <c r="A83" s="60" t="s">
        <v>982</v>
      </c>
      <c r="B83" s="62">
        <v>70.0</v>
      </c>
      <c r="C83" s="61" t="s">
        <v>19136</v>
      </c>
    </row>
    <row r="84" ht="51.75" customHeight="1">
      <c r="A84" s="60" t="s">
        <v>128</v>
      </c>
      <c r="B84" s="62">
        <v>70.0</v>
      </c>
      <c r="C84" s="61" t="s">
        <v>19137</v>
      </c>
    </row>
    <row r="85" ht="51.75" customHeight="1">
      <c r="A85" s="60" t="s">
        <v>985</v>
      </c>
      <c r="B85" s="62">
        <v>70.0</v>
      </c>
      <c r="C85" s="61" t="s">
        <v>19138</v>
      </c>
    </row>
    <row r="86" ht="51.75" customHeight="1">
      <c r="A86" s="60" t="s">
        <v>1425</v>
      </c>
      <c r="B86" s="62">
        <v>70.0</v>
      </c>
      <c r="C86" s="61" t="s">
        <v>19139</v>
      </c>
    </row>
    <row r="87" ht="51.75" customHeight="1">
      <c r="A87" s="60" t="s">
        <v>187</v>
      </c>
      <c r="B87" s="62">
        <v>70.0</v>
      </c>
      <c r="C87" s="61" t="s">
        <v>19140</v>
      </c>
    </row>
    <row r="88" ht="51.75" customHeight="1">
      <c r="A88" s="60" t="s">
        <v>1268</v>
      </c>
      <c r="B88" s="62">
        <v>70.0</v>
      </c>
      <c r="C88" s="61" t="s">
        <v>19141</v>
      </c>
    </row>
    <row r="89" ht="51.75" customHeight="1">
      <c r="A89" s="60" t="s">
        <v>1551</v>
      </c>
      <c r="B89" s="62">
        <v>70.0</v>
      </c>
      <c r="C89" s="61" t="s">
        <v>19142</v>
      </c>
    </row>
    <row r="90" ht="51.75" customHeight="1">
      <c r="A90" s="60" t="s">
        <v>1295</v>
      </c>
      <c r="B90" s="62">
        <v>70.0</v>
      </c>
      <c r="C90" s="61" t="s">
        <v>19143</v>
      </c>
    </row>
    <row r="91" ht="51.75" customHeight="1">
      <c r="A91" s="60" t="s">
        <v>66</v>
      </c>
      <c r="B91" s="62">
        <v>70.0</v>
      </c>
      <c r="C91" s="61" t="s">
        <v>19144</v>
      </c>
    </row>
    <row r="92" ht="51.75" customHeight="1">
      <c r="A92" s="60" t="s">
        <v>15</v>
      </c>
      <c r="B92" s="62">
        <v>70.0</v>
      </c>
      <c r="C92" s="61" t="s">
        <v>19145</v>
      </c>
    </row>
    <row r="93" ht="51.75" customHeight="1">
      <c r="A93" s="60" t="s">
        <v>864</v>
      </c>
      <c r="B93" s="62">
        <v>70.0</v>
      </c>
      <c r="C93" s="61" t="s">
        <v>19146</v>
      </c>
    </row>
    <row r="94" ht="51.75" customHeight="1">
      <c r="A94" s="60" t="s">
        <v>795</v>
      </c>
      <c r="B94" s="62">
        <v>70.0</v>
      </c>
      <c r="C94" s="61" t="s">
        <v>19147</v>
      </c>
    </row>
    <row r="95" ht="51.75" customHeight="1">
      <c r="A95" s="60" t="s">
        <v>902</v>
      </c>
      <c r="B95" s="62">
        <v>70.0</v>
      </c>
      <c r="C95" s="61" t="s">
        <v>19148</v>
      </c>
    </row>
    <row r="96" ht="51.75" customHeight="1">
      <c r="A96" s="60" t="s">
        <v>1250</v>
      </c>
      <c r="B96" s="62">
        <v>70.0</v>
      </c>
      <c r="C96" s="61" t="s">
        <v>19149</v>
      </c>
    </row>
    <row r="97" ht="51.75" customHeight="1">
      <c r="A97" s="60" t="s">
        <v>1605</v>
      </c>
      <c r="B97" s="62">
        <v>70.0</v>
      </c>
      <c r="C97" s="61" t="s">
        <v>19150</v>
      </c>
    </row>
    <row r="98" ht="51.75" customHeight="1">
      <c r="A98" s="60" t="s">
        <v>862</v>
      </c>
      <c r="B98" s="62">
        <v>70.0</v>
      </c>
      <c r="C98" s="61" t="s">
        <v>19151</v>
      </c>
    </row>
    <row r="99" ht="51.75" customHeight="1">
      <c r="A99" s="60" t="s">
        <v>923</v>
      </c>
      <c r="B99" s="62">
        <v>70.0</v>
      </c>
      <c r="C99" s="61" t="s">
        <v>19152</v>
      </c>
    </row>
    <row r="100" ht="51.75" customHeight="1">
      <c r="A100" s="60" t="s">
        <v>1204</v>
      </c>
      <c r="B100" s="62">
        <v>70.0</v>
      </c>
      <c r="C100" s="61" t="s">
        <v>19153</v>
      </c>
    </row>
    <row r="101" ht="51.75" customHeight="1">
      <c r="A101" s="60" t="s">
        <v>978</v>
      </c>
      <c r="B101" s="62">
        <v>70.0</v>
      </c>
      <c r="C101" s="61" t="s">
        <v>19154</v>
      </c>
    </row>
    <row r="102" ht="51.75" customHeight="1">
      <c r="A102" s="60" t="s">
        <v>911</v>
      </c>
      <c r="B102" s="62">
        <v>70.0</v>
      </c>
      <c r="C102" s="61" t="s">
        <v>19155</v>
      </c>
    </row>
    <row r="103" ht="51.75" customHeight="1">
      <c r="A103" s="60" t="s">
        <v>1393</v>
      </c>
      <c r="B103" s="62">
        <v>70.0</v>
      </c>
      <c r="C103" s="61" t="s">
        <v>19156</v>
      </c>
    </row>
    <row r="104" ht="51.75" customHeight="1">
      <c r="A104" s="60" t="s">
        <v>1208</v>
      </c>
      <c r="B104" s="62">
        <v>70.0</v>
      </c>
      <c r="C104" s="61" t="s">
        <v>19157</v>
      </c>
    </row>
    <row r="105" ht="51.75" customHeight="1">
      <c r="A105" s="60" t="s">
        <v>915</v>
      </c>
      <c r="B105" s="62">
        <v>70.0</v>
      </c>
      <c r="C105" s="61" t="s">
        <v>19158</v>
      </c>
    </row>
    <row r="106" ht="51.75" customHeight="1">
      <c r="A106" s="60" t="s">
        <v>1262</v>
      </c>
      <c r="B106" s="62">
        <v>70.0</v>
      </c>
      <c r="C106" s="61" t="s">
        <v>19159</v>
      </c>
    </row>
    <row r="107" ht="51.75" customHeight="1">
      <c r="A107" s="60" t="s">
        <v>1043</v>
      </c>
      <c r="B107" s="62">
        <v>70.0</v>
      </c>
      <c r="C107" s="61" t="s">
        <v>19160</v>
      </c>
    </row>
    <row r="108" ht="51.75" customHeight="1">
      <c r="A108" s="60" t="s">
        <v>1281</v>
      </c>
      <c r="B108" s="62">
        <v>70.0</v>
      </c>
      <c r="C108" s="61" t="s">
        <v>19161</v>
      </c>
    </row>
    <row r="109" ht="51.75" customHeight="1">
      <c r="A109" s="60" t="s">
        <v>551</v>
      </c>
      <c r="B109" s="62">
        <v>70.0</v>
      </c>
      <c r="C109" s="61" t="s">
        <v>19162</v>
      </c>
    </row>
    <row r="110" ht="51.75" customHeight="1">
      <c r="A110" s="60" t="s">
        <v>85</v>
      </c>
      <c r="B110" s="62">
        <v>70.0</v>
      </c>
      <c r="C110" s="61" t="s">
        <v>19163</v>
      </c>
    </row>
    <row r="111" ht="51.75" customHeight="1">
      <c r="A111" s="60" t="s">
        <v>1611</v>
      </c>
      <c r="B111" s="62">
        <v>70.0</v>
      </c>
      <c r="C111" s="61" t="s">
        <v>19164</v>
      </c>
    </row>
    <row r="112" ht="51.75" customHeight="1">
      <c r="A112" s="60" t="s">
        <v>886</v>
      </c>
      <c r="B112" s="62">
        <v>70.0</v>
      </c>
      <c r="C112" s="61" t="s">
        <v>19165</v>
      </c>
    </row>
    <row r="113" ht="51.75" customHeight="1">
      <c r="A113" s="60" t="s">
        <v>855</v>
      </c>
      <c r="B113" s="62">
        <v>70.0</v>
      </c>
      <c r="C113" s="61" t="s">
        <v>19166</v>
      </c>
    </row>
    <row r="114" ht="51.75" customHeight="1">
      <c r="A114" s="60" t="s">
        <v>1615</v>
      </c>
      <c r="B114" s="62">
        <v>70.0</v>
      </c>
      <c r="C114" s="61" t="s">
        <v>19167</v>
      </c>
    </row>
    <row r="115" ht="51.75" customHeight="1">
      <c r="A115" s="60" t="s">
        <v>1560</v>
      </c>
      <c r="B115" s="62">
        <v>70.0</v>
      </c>
      <c r="C115" s="61" t="s">
        <v>19168</v>
      </c>
    </row>
    <row r="116" ht="51.75" customHeight="1">
      <c r="A116" s="60" t="s">
        <v>1562</v>
      </c>
      <c r="B116" s="62">
        <v>70.0</v>
      </c>
      <c r="C116" s="61" t="s">
        <v>19169</v>
      </c>
    </row>
    <row r="117" ht="51.75" customHeight="1">
      <c r="A117" s="60" t="s">
        <v>1594</v>
      </c>
      <c r="B117" s="62">
        <v>70.0</v>
      </c>
      <c r="C117" s="61" t="s">
        <v>19170</v>
      </c>
    </row>
    <row r="118" ht="51.75" customHeight="1">
      <c r="A118" s="60" t="s">
        <v>1418</v>
      </c>
      <c r="B118" s="62">
        <v>70.0</v>
      </c>
      <c r="C118" s="61" t="s">
        <v>19171</v>
      </c>
    </row>
    <row r="119" ht="51.75" customHeight="1">
      <c r="A119" s="60" t="s">
        <v>1143</v>
      </c>
      <c r="B119" s="62">
        <v>70.0</v>
      </c>
      <c r="C119" s="61" t="s">
        <v>19172</v>
      </c>
    </row>
    <row r="120" ht="51.75" customHeight="1">
      <c r="A120" s="60" t="s">
        <v>147</v>
      </c>
      <c r="B120" s="62">
        <v>70.0</v>
      </c>
      <c r="C120" s="61" t="s">
        <v>19173</v>
      </c>
    </row>
    <row r="121" ht="51.75" customHeight="1">
      <c r="A121" s="60" t="s">
        <v>57</v>
      </c>
      <c r="B121" s="62">
        <v>70.0</v>
      </c>
      <c r="C121" s="61" t="s">
        <v>19174</v>
      </c>
    </row>
    <row r="122" ht="51.75" customHeight="1">
      <c r="A122" s="60" t="s">
        <v>1522</v>
      </c>
      <c r="B122" s="62">
        <v>70.0</v>
      </c>
      <c r="C122" s="61" t="s">
        <v>19175</v>
      </c>
    </row>
    <row r="123" ht="51.75" customHeight="1">
      <c r="A123" s="60" t="s">
        <v>16</v>
      </c>
      <c r="B123" s="62">
        <v>70.0</v>
      </c>
      <c r="C123" s="61" t="s">
        <v>19176</v>
      </c>
    </row>
    <row r="124" ht="51.75" customHeight="1">
      <c r="A124" s="60" t="s">
        <v>933</v>
      </c>
      <c r="B124" s="62">
        <v>70.0</v>
      </c>
      <c r="C124" s="61" t="s">
        <v>19177</v>
      </c>
    </row>
    <row r="125" ht="51.75" customHeight="1">
      <c r="A125" s="60" t="s">
        <v>1041</v>
      </c>
      <c r="B125" s="62">
        <v>70.0</v>
      </c>
      <c r="C125" s="61" t="s">
        <v>19178</v>
      </c>
    </row>
    <row r="126" ht="51.75" customHeight="1">
      <c r="A126" s="60" t="s">
        <v>1596</v>
      </c>
      <c r="B126" s="62">
        <v>70.0</v>
      </c>
      <c r="C126" s="61" t="s">
        <v>19179</v>
      </c>
    </row>
    <row r="127" ht="51.75" customHeight="1">
      <c r="A127" s="60" t="s">
        <v>87</v>
      </c>
      <c r="B127" s="62">
        <v>70.0</v>
      </c>
      <c r="C127" s="61" t="s">
        <v>19180</v>
      </c>
    </row>
    <row r="128" ht="51.75" customHeight="1">
      <c r="A128" s="60" t="s">
        <v>1117</v>
      </c>
      <c r="B128" s="62">
        <v>70.0</v>
      </c>
      <c r="C128" s="61" t="s">
        <v>19181</v>
      </c>
    </row>
    <row r="129" ht="51.75" customHeight="1">
      <c r="A129" s="60" t="s">
        <v>956</v>
      </c>
      <c r="B129" s="62">
        <v>70.0</v>
      </c>
      <c r="C129" s="61" t="s">
        <v>19182</v>
      </c>
    </row>
    <row r="130" ht="51.75" customHeight="1">
      <c r="A130" s="60" t="s">
        <v>1490</v>
      </c>
      <c r="B130" s="62">
        <v>70.0</v>
      </c>
      <c r="C130" s="61" t="s">
        <v>19183</v>
      </c>
    </row>
    <row r="131" ht="51.75" customHeight="1">
      <c r="A131" s="60" t="s">
        <v>953</v>
      </c>
      <c r="B131" s="62">
        <v>70.0</v>
      </c>
      <c r="C131" s="61" t="s">
        <v>19184</v>
      </c>
    </row>
    <row r="132" ht="51.75" customHeight="1">
      <c r="A132" s="60" t="s">
        <v>947</v>
      </c>
      <c r="B132" s="62">
        <v>70.0</v>
      </c>
      <c r="C132" s="61" t="s">
        <v>19185</v>
      </c>
    </row>
    <row r="133" ht="51.75" customHeight="1">
      <c r="A133" s="60" t="s">
        <v>254</v>
      </c>
      <c r="B133" s="62">
        <v>70.0</v>
      </c>
      <c r="C133" s="61" t="s">
        <v>19186</v>
      </c>
    </row>
    <row r="134" ht="51.75" customHeight="1">
      <c r="A134" s="60" t="s">
        <v>1113</v>
      </c>
      <c r="B134" s="62">
        <v>70.0</v>
      </c>
      <c r="C134" s="61" t="s">
        <v>19187</v>
      </c>
    </row>
    <row r="135" ht="51.75" customHeight="1">
      <c r="A135" s="60" t="s">
        <v>22</v>
      </c>
      <c r="B135" s="62">
        <v>70.0</v>
      </c>
      <c r="C135" s="61" t="s">
        <v>19188</v>
      </c>
    </row>
    <row r="136" ht="51.75" customHeight="1">
      <c r="A136" s="60" t="s">
        <v>55</v>
      </c>
      <c r="B136" s="62">
        <v>70.0</v>
      </c>
      <c r="C136" s="61" t="s">
        <v>19189</v>
      </c>
    </row>
    <row r="137" ht="51.75" customHeight="1">
      <c r="A137" s="60" t="s">
        <v>185</v>
      </c>
      <c r="B137" s="62">
        <v>70.0</v>
      </c>
      <c r="C137" s="61" t="s">
        <v>19190</v>
      </c>
    </row>
    <row r="138" ht="51.75" customHeight="1">
      <c r="A138" s="60" t="s">
        <v>231</v>
      </c>
      <c r="B138" s="62">
        <v>70.0</v>
      </c>
      <c r="C138" s="61" t="s">
        <v>19191</v>
      </c>
    </row>
    <row r="139" ht="51.75" customHeight="1">
      <c r="A139" s="60" t="s">
        <v>1049</v>
      </c>
      <c r="B139" s="62">
        <v>70.0</v>
      </c>
      <c r="C139" s="61" t="s">
        <v>19192</v>
      </c>
    </row>
    <row r="140" ht="51.75" customHeight="1">
      <c r="A140" s="60" t="s">
        <v>1135</v>
      </c>
      <c r="B140" s="62">
        <v>70.0</v>
      </c>
      <c r="C140" s="61" t="s">
        <v>19193</v>
      </c>
    </row>
    <row r="141" ht="51.75" customHeight="1">
      <c r="A141" s="60" t="s">
        <v>130</v>
      </c>
      <c r="B141" s="62">
        <v>70.0</v>
      </c>
      <c r="C141" s="61" t="s">
        <v>19194</v>
      </c>
    </row>
    <row r="142" ht="51.75" customHeight="1">
      <c r="A142" s="60" t="s">
        <v>300</v>
      </c>
      <c r="B142" s="62">
        <v>70.0</v>
      </c>
      <c r="C142" s="61" t="s">
        <v>19195</v>
      </c>
    </row>
    <row r="143" ht="51.75" customHeight="1">
      <c r="A143" s="60" t="s">
        <v>63</v>
      </c>
      <c r="B143" s="62">
        <v>70.0</v>
      </c>
      <c r="C143" s="61" t="s">
        <v>19196</v>
      </c>
    </row>
    <row r="144" ht="51.75" customHeight="1">
      <c r="A144" s="60" t="s">
        <v>816</v>
      </c>
      <c r="B144" s="62">
        <v>70.0</v>
      </c>
      <c r="C144" s="61" t="s">
        <v>19197</v>
      </c>
    </row>
    <row r="145" ht="51.75" customHeight="1">
      <c r="A145" s="60" t="s">
        <v>244</v>
      </c>
      <c r="B145" s="62">
        <v>70.0</v>
      </c>
      <c r="C145" s="61" t="s">
        <v>19198</v>
      </c>
    </row>
    <row r="146" ht="51.75" customHeight="1">
      <c r="A146" s="60" t="s">
        <v>1481</v>
      </c>
      <c r="B146" s="62">
        <v>70.0</v>
      </c>
      <c r="C146" s="61" t="s">
        <v>19199</v>
      </c>
    </row>
    <row r="147" ht="51.75" customHeight="1">
      <c r="A147" s="60" t="s">
        <v>451</v>
      </c>
      <c r="B147" s="62">
        <v>70.0</v>
      </c>
      <c r="C147" s="61" t="s">
        <v>19200</v>
      </c>
    </row>
    <row r="148" ht="51.75" customHeight="1">
      <c r="A148" s="60" t="s">
        <v>146</v>
      </c>
      <c r="B148" s="62">
        <v>70.0</v>
      </c>
      <c r="C148" s="61" t="s">
        <v>19201</v>
      </c>
    </row>
    <row r="149" ht="51.75" customHeight="1">
      <c r="A149" s="60" t="s">
        <v>426</v>
      </c>
      <c r="B149" s="62">
        <v>70.0</v>
      </c>
      <c r="C149" s="61" t="s">
        <v>19202</v>
      </c>
    </row>
    <row r="150" ht="51.75" customHeight="1">
      <c r="A150" s="60" t="s">
        <v>1468</v>
      </c>
      <c r="B150" s="62">
        <v>70.0</v>
      </c>
      <c r="C150" s="61" t="s">
        <v>19203</v>
      </c>
    </row>
    <row r="151" ht="51.75" customHeight="1">
      <c r="A151" s="60" t="s">
        <v>1239</v>
      </c>
      <c r="B151" s="62">
        <v>70.0</v>
      </c>
      <c r="C151" s="61" t="s">
        <v>19204</v>
      </c>
    </row>
    <row r="152" ht="51.75" customHeight="1">
      <c r="A152" s="60" t="s">
        <v>868</v>
      </c>
      <c r="B152" s="62">
        <v>70.0</v>
      </c>
      <c r="C152" s="61" t="s">
        <v>19205</v>
      </c>
    </row>
    <row r="153" ht="51.75" customHeight="1">
      <c r="A153" s="60" t="s">
        <v>785</v>
      </c>
      <c r="B153" s="62">
        <v>70.0</v>
      </c>
      <c r="C153" s="61" t="s">
        <v>19206</v>
      </c>
    </row>
    <row r="154" ht="51.75" customHeight="1">
      <c r="A154" s="60" t="s">
        <v>1212</v>
      </c>
      <c r="B154" s="62">
        <v>70.0</v>
      </c>
      <c r="C154" s="61" t="s">
        <v>19207</v>
      </c>
    </row>
    <row r="155" ht="51.75" customHeight="1">
      <c r="A155" s="60" t="s">
        <v>1061</v>
      </c>
      <c r="B155" s="62">
        <v>70.0</v>
      </c>
      <c r="C155" s="61" t="s">
        <v>19208</v>
      </c>
    </row>
    <row r="156" ht="51.75" customHeight="1">
      <c r="A156" s="60" t="s">
        <v>537</v>
      </c>
      <c r="B156" s="62">
        <v>70.0</v>
      </c>
      <c r="C156" s="61" t="s">
        <v>19209</v>
      </c>
    </row>
    <row r="157" ht="51.75" customHeight="1">
      <c r="A157" s="60" t="s">
        <v>1305</v>
      </c>
      <c r="B157" s="62">
        <v>70.0</v>
      </c>
      <c r="C157" s="61" t="s">
        <v>19210</v>
      </c>
    </row>
    <row r="158" ht="51.75" customHeight="1">
      <c r="A158" s="60" t="s">
        <v>53</v>
      </c>
      <c r="B158" s="62">
        <v>70.0</v>
      </c>
      <c r="C158" s="61" t="s">
        <v>19211</v>
      </c>
    </row>
    <row r="159" ht="51.75" customHeight="1">
      <c r="A159" s="60" t="s">
        <v>1578</v>
      </c>
      <c r="B159" s="62">
        <v>70.0</v>
      </c>
      <c r="C159" s="61" t="s">
        <v>19212</v>
      </c>
    </row>
    <row r="160" ht="51.75" customHeight="1">
      <c r="A160" s="60" t="s">
        <v>1348</v>
      </c>
      <c r="B160" s="62">
        <v>70.0</v>
      </c>
      <c r="C160" s="61" t="s">
        <v>19213</v>
      </c>
    </row>
    <row r="161" ht="51.75" customHeight="1">
      <c r="A161" s="60" t="s">
        <v>1580</v>
      </c>
      <c r="B161" s="62">
        <v>70.0</v>
      </c>
      <c r="C161" s="61" t="s">
        <v>19214</v>
      </c>
    </row>
    <row r="162" ht="51.75" customHeight="1">
      <c r="A162" s="60" t="s">
        <v>787</v>
      </c>
      <c r="B162" s="62">
        <v>70.0</v>
      </c>
      <c r="C162" s="61" t="s">
        <v>19215</v>
      </c>
    </row>
    <row r="163" ht="51.75" customHeight="1">
      <c r="A163" s="60" t="s">
        <v>1460</v>
      </c>
      <c r="B163" s="62">
        <v>70.0</v>
      </c>
      <c r="C163" s="61" t="s">
        <v>19216</v>
      </c>
    </row>
    <row r="164" ht="51.75" customHeight="1">
      <c r="A164" s="60" t="s">
        <v>1575</v>
      </c>
      <c r="B164" s="62">
        <v>70.0</v>
      </c>
      <c r="C164" s="61" t="s">
        <v>19217</v>
      </c>
    </row>
    <row r="165" ht="51.75" customHeight="1">
      <c r="A165" s="60" t="s">
        <v>890</v>
      </c>
      <c r="B165" s="62">
        <v>70.0</v>
      </c>
      <c r="C165" s="61" t="s">
        <v>19218</v>
      </c>
    </row>
    <row r="166" ht="51.75" customHeight="1">
      <c r="A166" s="60" t="s">
        <v>1500</v>
      </c>
      <c r="B166" s="62">
        <v>70.0</v>
      </c>
      <c r="C166" s="61" t="s">
        <v>19219</v>
      </c>
    </row>
    <row r="167" ht="51.75" customHeight="1">
      <c r="A167" s="60" t="s">
        <v>831</v>
      </c>
      <c r="B167" s="62">
        <v>70.0</v>
      </c>
      <c r="C167" s="61" t="s">
        <v>19220</v>
      </c>
    </row>
    <row r="168" ht="51.75" customHeight="1">
      <c r="A168" s="60" t="s">
        <v>355</v>
      </c>
      <c r="B168" s="62">
        <v>70.0</v>
      </c>
      <c r="C168" s="61" t="s">
        <v>19221</v>
      </c>
    </row>
    <row r="169" ht="51.75" customHeight="1">
      <c r="A169" s="60" t="s">
        <v>265</v>
      </c>
      <c r="B169" s="62">
        <v>70.0</v>
      </c>
      <c r="C169" s="61" t="s">
        <v>19222</v>
      </c>
    </row>
    <row r="170" ht="51.75" customHeight="1">
      <c r="A170" s="60" t="s">
        <v>1163</v>
      </c>
      <c r="B170" s="62">
        <v>70.0</v>
      </c>
      <c r="C170" s="61" t="s">
        <v>19223</v>
      </c>
    </row>
    <row r="171" ht="51.75" customHeight="1">
      <c r="A171" s="60" t="s">
        <v>1638</v>
      </c>
      <c r="B171" s="62">
        <v>70.0</v>
      </c>
      <c r="C171" s="61" t="s">
        <v>19224</v>
      </c>
    </row>
    <row r="172" ht="51.75" customHeight="1">
      <c r="A172" s="60" t="s">
        <v>1634</v>
      </c>
      <c r="B172" s="62">
        <v>70.0</v>
      </c>
      <c r="C172" s="61" t="s">
        <v>19225</v>
      </c>
    </row>
    <row r="173" ht="51.75" customHeight="1">
      <c r="A173" s="60" t="s">
        <v>1069</v>
      </c>
      <c r="B173" s="62">
        <v>70.0</v>
      </c>
      <c r="C173" s="61" t="s">
        <v>19226</v>
      </c>
    </row>
    <row r="174" ht="51.75" customHeight="1">
      <c r="A174" s="60" t="s">
        <v>476</v>
      </c>
      <c r="B174" s="62">
        <v>70.0</v>
      </c>
      <c r="C174" s="61" t="s">
        <v>19227</v>
      </c>
    </row>
    <row r="175" ht="51.75" customHeight="1">
      <c r="A175" s="60" t="s">
        <v>1210</v>
      </c>
      <c r="B175" s="62">
        <v>70.0</v>
      </c>
      <c r="C175" s="61" t="s">
        <v>19228</v>
      </c>
    </row>
    <row r="176" ht="51.75" customHeight="1">
      <c r="A176" s="60" t="s">
        <v>851</v>
      </c>
      <c r="B176" s="62">
        <v>70.0</v>
      </c>
      <c r="C176" s="61" t="s">
        <v>19229</v>
      </c>
    </row>
    <row r="177" ht="51.75" customHeight="1">
      <c r="A177" s="60" t="s">
        <v>1053</v>
      </c>
      <c r="B177" s="62">
        <v>70.0</v>
      </c>
      <c r="C177" s="61" t="s">
        <v>19230</v>
      </c>
    </row>
    <row r="178" ht="51.75" customHeight="1">
      <c r="A178" s="60" t="s">
        <v>166</v>
      </c>
      <c r="B178" s="62">
        <v>70.0</v>
      </c>
      <c r="C178" s="61" t="s">
        <v>19231</v>
      </c>
    </row>
    <row r="179" ht="51.75" customHeight="1">
      <c r="A179" s="60" t="s">
        <v>276</v>
      </c>
      <c r="B179" s="62">
        <v>65.0</v>
      </c>
      <c r="C179" s="61" t="s">
        <v>19232</v>
      </c>
    </row>
    <row r="180" ht="51.75" customHeight="1">
      <c r="A180" s="60" t="s">
        <v>89</v>
      </c>
      <c r="B180" s="62">
        <v>65.0</v>
      </c>
      <c r="C180" s="61" t="s">
        <v>19233</v>
      </c>
    </row>
    <row r="181" ht="51.75" customHeight="1">
      <c r="A181" s="60" t="s">
        <v>230</v>
      </c>
      <c r="B181" s="62">
        <v>65.0</v>
      </c>
      <c r="C181" s="61" t="s">
        <v>19234</v>
      </c>
    </row>
    <row r="182" ht="51.75" customHeight="1">
      <c r="A182" s="60" t="s">
        <v>896</v>
      </c>
      <c r="B182" s="62">
        <v>65.0</v>
      </c>
      <c r="C182" s="61" t="s">
        <v>19235</v>
      </c>
    </row>
    <row r="183" ht="51.75" customHeight="1">
      <c r="A183" s="60" t="s">
        <v>1624</v>
      </c>
      <c r="B183" s="62">
        <v>65.0</v>
      </c>
      <c r="C183" s="61" t="s">
        <v>19236</v>
      </c>
    </row>
    <row r="184" ht="51.75" customHeight="1">
      <c r="A184" s="60" t="s">
        <v>888</v>
      </c>
      <c r="B184" s="62">
        <v>65.0</v>
      </c>
      <c r="C184" s="61" t="s">
        <v>19237</v>
      </c>
    </row>
    <row r="185" ht="51.75" customHeight="1">
      <c r="A185" s="60" t="s">
        <v>19238</v>
      </c>
      <c r="B185" s="62">
        <v>65.0</v>
      </c>
      <c r="C185" s="61" t="s">
        <v>19239</v>
      </c>
    </row>
    <row r="186" ht="51.75" customHeight="1">
      <c r="A186" s="60" t="s">
        <v>1582</v>
      </c>
      <c r="B186" s="62">
        <v>65.0</v>
      </c>
      <c r="C186" s="61" t="s">
        <v>19240</v>
      </c>
    </row>
    <row r="187" ht="51.75" customHeight="1">
      <c r="A187" s="60" t="s">
        <v>1416</v>
      </c>
      <c r="B187" s="62">
        <v>65.0</v>
      </c>
      <c r="C187" s="61" t="s">
        <v>19241</v>
      </c>
    </row>
    <row r="188" ht="51.75" customHeight="1">
      <c r="A188" s="60" t="s">
        <v>1197</v>
      </c>
      <c r="B188" s="62">
        <v>65.0</v>
      </c>
      <c r="C188" s="61" t="s">
        <v>19242</v>
      </c>
    </row>
    <row r="189" ht="51.75" customHeight="1">
      <c r="A189" s="60" t="s">
        <v>1584</v>
      </c>
      <c r="B189" s="62">
        <v>65.0</v>
      </c>
      <c r="C189" s="61" t="s">
        <v>19243</v>
      </c>
    </row>
    <row r="190" ht="51.75" customHeight="1">
      <c r="A190" s="60" t="s">
        <v>46</v>
      </c>
      <c r="B190" s="62">
        <v>65.0</v>
      </c>
      <c r="C190" s="61" t="s">
        <v>19244</v>
      </c>
    </row>
    <row r="191" ht="51.75" customHeight="1">
      <c r="A191" s="60" t="s">
        <v>1345</v>
      </c>
      <c r="B191" s="62">
        <v>65.0</v>
      </c>
      <c r="C191" s="61" t="s">
        <v>19245</v>
      </c>
    </row>
    <row r="192" ht="51.75" customHeight="1">
      <c r="A192" s="60" t="s">
        <v>1076</v>
      </c>
      <c r="B192" s="62">
        <v>65.0</v>
      </c>
      <c r="C192" s="61" t="s">
        <v>19246</v>
      </c>
    </row>
    <row r="193" ht="51.75" customHeight="1">
      <c r="A193" s="60" t="s">
        <v>1006</v>
      </c>
      <c r="B193" s="62">
        <v>65.0</v>
      </c>
      <c r="C193" s="61" t="s">
        <v>19247</v>
      </c>
    </row>
    <row r="194" ht="51.75" customHeight="1">
      <c r="A194" s="60" t="s">
        <v>1327</v>
      </c>
      <c r="B194" s="62">
        <v>65.0</v>
      </c>
      <c r="C194" s="61" t="s">
        <v>19248</v>
      </c>
    </row>
    <row r="195" ht="51.75" customHeight="1">
      <c r="A195" s="60" t="s">
        <v>958</v>
      </c>
      <c r="B195" s="62">
        <v>65.0</v>
      </c>
      <c r="C195" s="61" t="s">
        <v>19249</v>
      </c>
    </row>
    <row r="196" ht="51.75" customHeight="1">
      <c r="A196" s="60" t="s">
        <v>394</v>
      </c>
      <c r="B196" s="62">
        <v>65.0</v>
      </c>
      <c r="C196" s="61" t="s">
        <v>19250</v>
      </c>
    </row>
    <row r="197" ht="51.75" customHeight="1">
      <c r="A197" s="60" t="s">
        <v>1404</v>
      </c>
      <c r="B197" s="62">
        <v>65.0</v>
      </c>
      <c r="C197" s="61" t="s">
        <v>19251</v>
      </c>
    </row>
    <row r="198" ht="51.75" customHeight="1">
      <c r="A198" s="60" t="s">
        <v>19252</v>
      </c>
      <c r="B198" s="62">
        <v>65.0</v>
      </c>
      <c r="C198" s="61" t="s">
        <v>19253</v>
      </c>
    </row>
    <row r="199" ht="51.75" customHeight="1">
      <c r="A199" s="60" t="s">
        <v>1483</v>
      </c>
      <c r="B199" s="62">
        <v>65.0</v>
      </c>
      <c r="C199" s="61" t="s">
        <v>19254</v>
      </c>
    </row>
    <row r="200" ht="51.75" customHeight="1">
      <c r="A200" s="60" t="s">
        <v>1063</v>
      </c>
      <c r="B200" s="62">
        <v>65.0</v>
      </c>
      <c r="C200" s="61" t="s">
        <v>19255</v>
      </c>
    </row>
    <row r="201" ht="51.75" customHeight="1">
      <c r="A201" s="60" t="s">
        <v>206</v>
      </c>
      <c r="B201" s="62">
        <v>65.0</v>
      </c>
      <c r="C201" s="61" t="s">
        <v>19256</v>
      </c>
    </row>
    <row r="202" ht="51.75" customHeight="1">
      <c r="A202" s="60" t="s">
        <v>198</v>
      </c>
      <c r="B202" s="62">
        <v>65.0</v>
      </c>
      <c r="C202" s="61" t="s">
        <v>19257</v>
      </c>
    </row>
    <row r="203" ht="51.75" customHeight="1">
      <c r="A203" s="60" t="s">
        <v>1202</v>
      </c>
      <c r="B203" s="62">
        <v>65.0</v>
      </c>
      <c r="C203" s="61" t="s">
        <v>19258</v>
      </c>
    </row>
    <row r="204" ht="51.75" customHeight="1">
      <c r="A204" s="60" t="s">
        <v>141</v>
      </c>
      <c r="B204" s="62">
        <v>65.0</v>
      </c>
      <c r="C204" s="61" t="s">
        <v>19259</v>
      </c>
    </row>
    <row r="205" ht="51.75" customHeight="1">
      <c r="A205" s="60" t="s">
        <v>19</v>
      </c>
      <c r="B205" s="62">
        <v>65.0</v>
      </c>
      <c r="C205" s="61" t="s">
        <v>19260</v>
      </c>
    </row>
    <row r="206" ht="51.75" customHeight="1">
      <c r="A206" s="60" t="s">
        <v>1137</v>
      </c>
      <c r="B206" s="62">
        <v>65.0</v>
      </c>
      <c r="C206" s="61" t="s">
        <v>19261</v>
      </c>
    </row>
    <row r="207" ht="51.75" customHeight="1">
      <c r="A207" s="60" t="s">
        <v>1287</v>
      </c>
      <c r="B207" s="62">
        <v>65.0</v>
      </c>
      <c r="C207" s="61" t="s">
        <v>19262</v>
      </c>
    </row>
    <row r="208" ht="51.75" customHeight="1">
      <c r="A208" s="60" t="s">
        <v>1285</v>
      </c>
      <c r="B208" s="62">
        <v>65.0</v>
      </c>
      <c r="C208" s="61" t="s">
        <v>19263</v>
      </c>
    </row>
    <row r="209" ht="51.75" customHeight="1">
      <c r="A209" s="60" t="s">
        <v>91</v>
      </c>
      <c r="B209" s="62">
        <v>65.0</v>
      </c>
      <c r="C209" s="61" t="s">
        <v>19264</v>
      </c>
    </row>
    <row r="210" ht="51.75" customHeight="1">
      <c r="A210" s="60" t="s">
        <v>1545</v>
      </c>
      <c r="B210" s="62">
        <v>65.0</v>
      </c>
      <c r="C210" s="61" t="s">
        <v>19265</v>
      </c>
    </row>
    <row r="211" ht="51.75" customHeight="1">
      <c r="A211" s="60" t="s">
        <v>1002</v>
      </c>
      <c r="B211" s="62">
        <v>65.0</v>
      </c>
      <c r="C211" s="61" t="s">
        <v>19266</v>
      </c>
    </row>
    <row r="212" ht="51.75" customHeight="1">
      <c r="A212" s="60" t="s">
        <v>1543</v>
      </c>
      <c r="B212" s="62">
        <v>65.0</v>
      </c>
      <c r="C212" s="61" t="s">
        <v>19267</v>
      </c>
    </row>
    <row r="213" ht="51.75" customHeight="1">
      <c r="A213" s="60" t="s">
        <v>991</v>
      </c>
      <c r="B213" s="62">
        <v>65.0</v>
      </c>
      <c r="C213" s="61" t="s">
        <v>19268</v>
      </c>
    </row>
    <row r="214" ht="51.75" customHeight="1">
      <c r="A214" s="60" t="s">
        <v>182</v>
      </c>
      <c r="B214" s="62">
        <v>65.0</v>
      </c>
      <c r="C214" s="61" t="s">
        <v>19269</v>
      </c>
    </row>
    <row r="215" ht="51.75" customHeight="1">
      <c r="A215" s="60" t="s">
        <v>1145</v>
      </c>
      <c r="B215" s="62">
        <v>65.0</v>
      </c>
      <c r="C215" s="61" t="s">
        <v>19270</v>
      </c>
    </row>
    <row r="216" ht="51.75" customHeight="1">
      <c r="A216" s="60" t="s">
        <v>19271</v>
      </c>
      <c r="B216" s="62">
        <v>65.0</v>
      </c>
      <c r="C216" s="61" t="s">
        <v>19272</v>
      </c>
    </row>
    <row r="217" ht="51.75" customHeight="1">
      <c r="A217" s="60" t="s">
        <v>921</v>
      </c>
      <c r="B217" s="62">
        <v>65.0</v>
      </c>
      <c r="C217" s="61" t="s">
        <v>19273</v>
      </c>
    </row>
    <row r="218" ht="51.75" customHeight="1">
      <c r="A218" s="60" t="s">
        <v>129</v>
      </c>
      <c r="B218" s="62">
        <v>65.0</v>
      </c>
      <c r="C218" s="61" t="s">
        <v>19274</v>
      </c>
    </row>
    <row r="219" ht="51.75" customHeight="1">
      <c r="A219" s="60" t="s">
        <v>904</v>
      </c>
      <c r="B219" s="62">
        <v>65.0</v>
      </c>
      <c r="C219" s="61" t="s">
        <v>19275</v>
      </c>
    </row>
    <row r="220" ht="51.75" customHeight="1">
      <c r="A220" s="60" t="s">
        <v>937</v>
      </c>
      <c r="B220" s="62">
        <v>65.0</v>
      </c>
      <c r="C220" s="61" t="s">
        <v>19276</v>
      </c>
    </row>
    <row r="221" ht="51.75" customHeight="1">
      <c r="A221" s="60" t="s">
        <v>790</v>
      </c>
      <c r="B221" s="62">
        <v>65.0</v>
      </c>
      <c r="C221" s="61" t="s">
        <v>19277</v>
      </c>
    </row>
    <row r="222" ht="51.75" customHeight="1">
      <c r="A222" s="60" t="s">
        <v>1383</v>
      </c>
      <c r="B222" s="62">
        <v>65.0</v>
      </c>
      <c r="C222" s="61" t="s">
        <v>19278</v>
      </c>
    </row>
    <row r="223" ht="51.75" customHeight="1">
      <c r="A223" s="60" t="s">
        <v>908</v>
      </c>
      <c r="B223" s="62">
        <v>65.0</v>
      </c>
      <c r="C223" s="61" t="s">
        <v>19279</v>
      </c>
    </row>
    <row r="224" ht="51.75" customHeight="1">
      <c r="A224" s="60" t="s">
        <v>1225</v>
      </c>
      <c r="B224" s="62">
        <v>65.0</v>
      </c>
      <c r="C224" s="61" t="s">
        <v>19280</v>
      </c>
    </row>
    <row r="225" ht="51.75" customHeight="1">
      <c r="A225" s="60" t="s">
        <v>1421</v>
      </c>
      <c r="B225" s="62">
        <v>65.0</v>
      </c>
      <c r="C225" s="61" t="s">
        <v>19281</v>
      </c>
    </row>
    <row r="226" ht="51.75" customHeight="1">
      <c r="A226" s="60" t="s">
        <v>798</v>
      </c>
      <c r="B226" s="62">
        <v>65.0</v>
      </c>
      <c r="C226" s="61" t="s">
        <v>19282</v>
      </c>
    </row>
    <row r="227" ht="51.75" customHeight="1">
      <c r="A227" s="60" t="s">
        <v>1398</v>
      </c>
      <c r="B227" s="62">
        <v>65.0</v>
      </c>
      <c r="C227" s="61" t="s">
        <v>19283</v>
      </c>
    </row>
    <row r="228" ht="51.75" customHeight="1">
      <c r="A228" s="60" t="s">
        <v>1102</v>
      </c>
      <c r="B228" s="62">
        <v>65.0</v>
      </c>
      <c r="C228" s="61" t="s">
        <v>19284</v>
      </c>
    </row>
    <row r="229" ht="51.75" customHeight="1">
      <c r="A229" s="60" t="s">
        <v>99</v>
      </c>
      <c r="B229" s="62">
        <v>65.0</v>
      </c>
      <c r="C229" s="61" t="s">
        <v>19285</v>
      </c>
    </row>
    <row r="230" ht="51.75" customHeight="1">
      <c r="A230" s="60" t="s">
        <v>1206</v>
      </c>
      <c r="B230" s="62">
        <v>65.0</v>
      </c>
      <c r="C230" s="61" t="s">
        <v>19286</v>
      </c>
    </row>
    <row r="231" ht="51.75" customHeight="1">
      <c r="A231" s="60" t="s">
        <v>917</v>
      </c>
      <c r="B231" s="62">
        <v>65.0</v>
      </c>
      <c r="C231" s="61" t="s">
        <v>19287</v>
      </c>
    </row>
    <row r="232" ht="51.75" customHeight="1">
      <c r="A232" s="60" t="s">
        <v>1187</v>
      </c>
      <c r="B232" s="62">
        <v>65.0</v>
      </c>
      <c r="C232" s="61" t="s">
        <v>19288</v>
      </c>
    </row>
    <row r="233" ht="51.75" customHeight="1">
      <c r="A233" s="60" t="s">
        <v>1189</v>
      </c>
      <c r="B233" s="62">
        <v>65.0</v>
      </c>
      <c r="C233" s="61" t="s">
        <v>19289</v>
      </c>
    </row>
    <row r="234" ht="51.75" customHeight="1">
      <c r="A234" s="60" t="s">
        <v>968</v>
      </c>
      <c r="B234" s="62">
        <v>65.0</v>
      </c>
      <c r="C234" s="61" t="s">
        <v>19290</v>
      </c>
    </row>
    <row r="235" ht="51.75" customHeight="1">
      <c r="A235" s="60" t="s">
        <v>1437</v>
      </c>
      <c r="B235" s="62">
        <v>65.0</v>
      </c>
      <c r="C235" s="61" t="s">
        <v>19291</v>
      </c>
    </row>
    <row r="236" ht="51.75" customHeight="1">
      <c r="A236" s="60" t="s">
        <v>1034</v>
      </c>
      <c r="B236" s="62">
        <v>65.0</v>
      </c>
      <c r="C236" s="61" t="s">
        <v>19292</v>
      </c>
    </row>
    <row r="237" ht="51.75" customHeight="1">
      <c r="A237" s="60" t="s">
        <v>1528</v>
      </c>
      <c r="B237" s="62">
        <v>65.0</v>
      </c>
      <c r="C237" s="61" t="s">
        <v>19293</v>
      </c>
    </row>
    <row r="238" ht="51.75" customHeight="1">
      <c r="A238" s="60" t="s">
        <v>1369</v>
      </c>
      <c r="B238" s="62">
        <v>65.0</v>
      </c>
      <c r="C238" s="61" t="s">
        <v>19294</v>
      </c>
    </row>
    <row r="239" ht="51.75" customHeight="1">
      <c r="A239" s="60" t="s">
        <v>1379</v>
      </c>
      <c r="B239" s="62">
        <v>65.0</v>
      </c>
      <c r="C239" s="61" t="s">
        <v>19295</v>
      </c>
    </row>
    <row r="240" ht="51.75" customHeight="1">
      <c r="A240" s="60" t="s">
        <v>1363</v>
      </c>
      <c r="B240" s="62">
        <v>65.0</v>
      </c>
      <c r="C240" s="61" t="s">
        <v>19296</v>
      </c>
    </row>
    <row r="241" ht="51.75" customHeight="1">
      <c r="A241" s="60" t="s">
        <v>866</v>
      </c>
      <c r="B241" s="62">
        <v>65.0</v>
      </c>
      <c r="C241" s="61" t="s">
        <v>19297</v>
      </c>
    </row>
    <row r="242" ht="51.75" customHeight="1">
      <c r="A242" s="60" t="s">
        <v>1601</v>
      </c>
      <c r="B242" s="62">
        <v>65.0</v>
      </c>
      <c r="C242" s="61" t="s">
        <v>19298</v>
      </c>
    </row>
    <row r="243" ht="51.75" customHeight="1">
      <c r="A243" s="60" t="s">
        <v>101</v>
      </c>
      <c r="B243" s="62">
        <v>65.0</v>
      </c>
      <c r="C243" s="61" t="s">
        <v>19299</v>
      </c>
    </row>
    <row r="244" ht="51.75" customHeight="1">
      <c r="A244" s="60" t="s">
        <v>1279</v>
      </c>
      <c r="B244" s="62">
        <v>65.0</v>
      </c>
      <c r="C244" s="61" t="s">
        <v>19300</v>
      </c>
    </row>
    <row r="245" ht="51.75" customHeight="1">
      <c r="A245" s="60" t="s">
        <v>61</v>
      </c>
      <c r="B245" s="62">
        <v>65.0</v>
      </c>
      <c r="C245" s="61" t="s">
        <v>19301</v>
      </c>
    </row>
    <row r="246" ht="51.75" customHeight="1">
      <c r="A246" s="60" t="s">
        <v>93</v>
      </c>
      <c r="B246" s="62">
        <v>65.0</v>
      </c>
      <c r="C246" s="61" t="s">
        <v>19302</v>
      </c>
    </row>
    <row r="247" ht="51.75" customHeight="1">
      <c r="A247" s="60" t="s">
        <v>252</v>
      </c>
      <c r="B247" s="62">
        <v>65.0</v>
      </c>
      <c r="C247" s="61" t="s">
        <v>19303</v>
      </c>
    </row>
    <row r="248" ht="51.75" customHeight="1">
      <c r="A248" s="60" t="s">
        <v>1569</v>
      </c>
      <c r="B248" s="62">
        <v>65.0</v>
      </c>
      <c r="C248" s="61" t="s">
        <v>19304</v>
      </c>
    </row>
    <row r="249" ht="51.75" customHeight="1">
      <c r="A249" s="60" t="s">
        <v>1091</v>
      </c>
      <c r="B249" s="62">
        <v>65.0</v>
      </c>
      <c r="C249" s="61" t="s">
        <v>19305</v>
      </c>
    </row>
    <row r="250" ht="51.75" customHeight="1">
      <c r="A250" s="60" t="s">
        <v>95</v>
      </c>
      <c r="B250" s="62">
        <v>65.0</v>
      </c>
      <c r="C250" s="61" t="s">
        <v>19306</v>
      </c>
    </row>
    <row r="251" ht="51.75" customHeight="1">
      <c r="A251" s="60" t="s">
        <v>1431</v>
      </c>
      <c r="B251" s="62">
        <v>65.0</v>
      </c>
      <c r="C251" s="61" t="s">
        <v>19307</v>
      </c>
    </row>
    <row r="252" ht="51.75" customHeight="1">
      <c r="A252" s="60" t="s">
        <v>1299</v>
      </c>
      <c r="B252" s="62">
        <v>65.0</v>
      </c>
      <c r="C252" s="61" t="s">
        <v>19308</v>
      </c>
    </row>
    <row r="253" ht="51.75" customHeight="1">
      <c r="A253" s="60" t="s">
        <v>1396</v>
      </c>
      <c r="B253" s="62">
        <v>65.0</v>
      </c>
      <c r="C253" s="61" t="s">
        <v>19309</v>
      </c>
    </row>
    <row r="254" ht="51.75" customHeight="1">
      <c r="A254" s="60" t="s">
        <v>1564</v>
      </c>
      <c r="B254" s="62">
        <v>65.0</v>
      </c>
      <c r="C254" s="61" t="s">
        <v>19310</v>
      </c>
    </row>
    <row r="255" ht="51.75" customHeight="1">
      <c r="A255" s="60" t="s">
        <v>965</v>
      </c>
      <c r="B255" s="62">
        <v>65.0</v>
      </c>
      <c r="C255" s="61" t="s">
        <v>19311</v>
      </c>
    </row>
    <row r="256" ht="51.75" customHeight="1">
      <c r="A256" s="60" t="s">
        <v>1183</v>
      </c>
      <c r="B256" s="62">
        <v>65.0</v>
      </c>
      <c r="C256" s="61" t="s">
        <v>19312</v>
      </c>
    </row>
    <row r="257" ht="51.75" customHeight="1">
      <c r="A257" s="60" t="s">
        <v>1613</v>
      </c>
      <c r="B257" s="62">
        <v>65.0</v>
      </c>
      <c r="C257" s="61" t="s">
        <v>19313</v>
      </c>
    </row>
    <row r="258" ht="51.75" customHeight="1">
      <c r="A258" s="60" t="s">
        <v>853</v>
      </c>
      <c r="B258" s="62">
        <v>65.0</v>
      </c>
      <c r="C258" s="61" t="s">
        <v>19314</v>
      </c>
    </row>
    <row r="259" ht="51.75" customHeight="1">
      <c r="A259" s="60" t="s">
        <v>780</v>
      </c>
      <c r="B259" s="62">
        <v>65.0</v>
      </c>
      <c r="C259" s="61" t="s">
        <v>19315</v>
      </c>
    </row>
    <row r="260" ht="51.75" customHeight="1">
      <c r="A260" s="60" t="s">
        <v>1408</v>
      </c>
      <c r="B260" s="62">
        <v>65.0</v>
      </c>
      <c r="C260" s="61" t="s">
        <v>19316</v>
      </c>
    </row>
    <row r="261" ht="51.75" customHeight="1">
      <c r="A261" s="60" t="s">
        <v>821</v>
      </c>
      <c r="B261" s="62">
        <v>65.0</v>
      </c>
      <c r="C261" s="61" t="s">
        <v>19317</v>
      </c>
    </row>
    <row r="262" ht="51.75" customHeight="1">
      <c r="A262" s="60" t="s">
        <v>1200</v>
      </c>
      <c r="B262" s="62">
        <v>65.0</v>
      </c>
      <c r="C262" s="61" t="s">
        <v>19318</v>
      </c>
    </row>
    <row r="263" ht="51.75" customHeight="1">
      <c r="A263" s="60" t="s">
        <v>1526</v>
      </c>
      <c r="B263" s="62">
        <v>65.0</v>
      </c>
      <c r="C263" s="61" t="s">
        <v>19319</v>
      </c>
    </row>
    <row r="264" ht="51.75" customHeight="1">
      <c r="A264" s="60" t="s">
        <v>342</v>
      </c>
      <c r="B264" s="62">
        <v>65.0</v>
      </c>
      <c r="C264" s="61" t="s">
        <v>19320</v>
      </c>
    </row>
    <row r="265" ht="51.75" customHeight="1">
      <c r="A265" s="60" t="s">
        <v>1406</v>
      </c>
      <c r="B265" s="62">
        <v>65.0</v>
      </c>
      <c r="C265" s="61" t="s">
        <v>19321</v>
      </c>
    </row>
    <row r="266" ht="51.75" customHeight="1">
      <c r="A266" s="60" t="s">
        <v>859</v>
      </c>
      <c r="B266" s="62">
        <v>65.0</v>
      </c>
      <c r="C266" s="61" t="s">
        <v>19322</v>
      </c>
    </row>
    <row r="267" ht="51.75" customHeight="1">
      <c r="A267" s="60" t="s">
        <v>295</v>
      </c>
      <c r="B267" s="62">
        <v>65.0</v>
      </c>
      <c r="C267" s="61" t="s">
        <v>19323</v>
      </c>
    </row>
    <row r="268" ht="51.75" customHeight="1">
      <c r="A268" s="60" t="s">
        <v>1128</v>
      </c>
      <c r="B268" s="62">
        <v>65.0</v>
      </c>
      <c r="C268" s="61" t="s">
        <v>19324</v>
      </c>
    </row>
    <row r="269" ht="51.75" customHeight="1">
      <c r="A269" s="60" t="s">
        <v>819</v>
      </c>
      <c r="B269" s="62">
        <v>65.0</v>
      </c>
      <c r="C269" s="61" t="s">
        <v>19325</v>
      </c>
    </row>
    <row r="270" ht="51.75" customHeight="1">
      <c r="A270" s="60" t="s">
        <v>1400</v>
      </c>
      <c r="B270" s="62">
        <v>65.0</v>
      </c>
      <c r="C270" s="61" t="s">
        <v>19326</v>
      </c>
    </row>
    <row r="271" ht="51.75" customHeight="1">
      <c r="A271" s="60" t="s">
        <v>1229</v>
      </c>
      <c r="B271" s="62">
        <v>65.0</v>
      </c>
      <c r="C271" s="61" t="s">
        <v>19327</v>
      </c>
    </row>
    <row r="272" ht="51.75" customHeight="1">
      <c r="A272" s="60" t="s">
        <v>82</v>
      </c>
      <c r="B272" s="62">
        <v>65.0</v>
      </c>
      <c r="C272" s="61" t="s">
        <v>19328</v>
      </c>
    </row>
    <row r="273" ht="51.75" customHeight="1">
      <c r="A273" s="60" t="s">
        <v>20</v>
      </c>
      <c r="B273" s="62">
        <v>65.0</v>
      </c>
      <c r="C273" s="61" t="s">
        <v>19329</v>
      </c>
    </row>
    <row r="274" ht="51.75" customHeight="1">
      <c r="A274" s="60" t="s">
        <v>143</v>
      </c>
      <c r="B274" s="62">
        <v>65.0</v>
      </c>
      <c r="C274" s="61" t="s">
        <v>19330</v>
      </c>
    </row>
    <row r="275" ht="51.75" customHeight="1">
      <c r="A275" s="60" t="s">
        <v>1258</v>
      </c>
      <c r="B275" s="62">
        <v>65.0</v>
      </c>
      <c r="C275" s="61" t="s">
        <v>19331</v>
      </c>
    </row>
    <row r="276" ht="51.75" customHeight="1">
      <c r="A276" s="60" t="s">
        <v>1515</v>
      </c>
      <c r="B276" s="62">
        <v>65.0</v>
      </c>
      <c r="C276" s="61" t="s">
        <v>19332</v>
      </c>
    </row>
    <row r="277" ht="51.75" customHeight="1">
      <c r="A277" s="60" t="s">
        <v>1511</v>
      </c>
      <c r="B277" s="62">
        <v>65.0</v>
      </c>
      <c r="C277" s="61" t="s">
        <v>19333</v>
      </c>
    </row>
    <row r="278" ht="51.75" customHeight="1">
      <c r="A278" s="60" t="s">
        <v>1352</v>
      </c>
      <c r="B278" s="62">
        <v>65.0</v>
      </c>
      <c r="C278" s="61" t="s">
        <v>19334</v>
      </c>
    </row>
    <row r="279" ht="51.75" customHeight="1">
      <c r="A279" s="60" t="s">
        <v>1357</v>
      </c>
      <c r="B279" s="62">
        <v>65.0</v>
      </c>
      <c r="C279" s="61" t="s">
        <v>19335</v>
      </c>
    </row>
    <row r="280" ht="51.75" customHeight="1">
      <c r="A280" s="60" t="s">
        <v>1045</v>
      </c>
      <c r="B280" s="62">
        <v>65.0</v>
      </c>
      <c r="C280" s="61" t="s">
        <v>19336</v>
      </c>
    </row>
    <row r="281" ht="51.75" customHeight="1">
      <c r="A281" s="60" t="s">
        <v>1051</v>
      </c>
      <c r="B281" s="62">
        <v>65.0</v>
      </c>
      <c r="C281" s="61" t="s">
        <v>19337</v>
      </c>
    </row>
    <row r="282" ht="51.75" customHeight="1">
      <c r="A282" s="60" t="s">
        <v>6209</v>
      </c>
      <c r="B282" s="62">
        <v>65.0</v>
      </c>
      <c r="C282" s="61" t="s">
        <v>19338</v>
      </c>
    </row>
    <row r="283" ht="51.75" customHeight="1">
      <c r="A283" s="60" t="s">
        <v>1235</v>
      </c>
      <c r="B283" s="62">
        <v>65.0</v>
      </c>
      <c r="C283" s="61" t="s">
        <v>19339</v>
      </c>
    </row>
    <row r="284" ht="51.75" customHeight="1">
      <c r="A284" s="60" t="s">
        <v>1021</v>
      </c>
      <c r="B284" s="62">
        <v>65.0</v>
      </c>
      <c r="C284" s="61" t="s">
        <v>19340</v>
      </c>
    </row>
    <row r="285" ht="51.75" customHeight="1">
      <c r="A285" s="60" t="s">
        <v>1015</v>
      </c>
      <c r="B285" s="62">
        <v>65.0</v>
      </c>
      <c r="C285" s="61" t="s">
        <v>19341</v>
      </c>
    </row>
    <row r="286" ht="51.75" customHeight="1">
      <c r="A286" s="60" t="s">
        <v>71</v>
      </c>
      <c r="B286" s="62">
        <v>65.0</v>
      </c>
      <c r="C286" s="61" t="s">
        <v>19342</v>
      </c>
    </row>
    <row r="287" ht="51.75" customHeight="1">
      <c r="A287" s="60" t="s">
        <v>126</v>
      </c>
      <c r="B287" s="62">
        <v>65.0</v>
      </c>
      <c r="C287" s="61" t="s">
        <v>19343</v>
      </c>
    </row>
    <row r="288" ht="51.75" customHeight="1">
      <c r="A288" s="60" t="s">
        <v>1443</v>
      </c>
      <c r="B288" s="62">
        <v>65.0</v>
      </c>
      <c r="C288" s="61" t="s">
        <v>19344</v>
      </c>
    </row>
    <row r="289" ht="51.75" customHeight="1">
      <c r="A289" s="60" t="s">
        <v>1165</v>
      </c>
      <c r="B289" s="62">
        <v>65.0</v>
      </c>
      <c r="C289" s="61" t="s">
        <v>19345</v>
      </c>
    </row>
    <row r="290" ht="51.75" customHeight="1">
      <c r="A290" s="60" t="s">
        <v>833</v>
      </c>
      <c r="B290" s="62">
        <v>65.0</v>
      </c>
      <c r="C290" s="61" t="s">
        <v>19346</v>
      </c>
    </row>
    <row r="291" ht="51.75" customHeight="1">
      <c r="A291" s="60" t="s">
        <v>1503</v>
      </c>
      <c r="B291" s="62">
        <v>65.0</v>
      </c>
      <c r="C291" s="61" t="s">
        <v>19347</v>
      </c>
    </row>
    <row r="292" ht="51.75" customHeight="1">
      <c r="A292" s="60" t="s">
        <v>614</v>
      </c>
      <c r="B292" s="62">
        <v>65.0</v>
      </c>
      <c r="C292" s="61" t="s">
        <v>19348</v>
      </c>
    </row>
    <row r="293" ht="51.75" customHeight="1">
      <c r="A293" s="60" t="s">
        <v>4612</v>
      </c>
      <c r="B293" s="62">
        <v>65.0</v>
      </c>
      <c r="C293" s="61" t="s">
        <v>19349</v>
      </c>
    </row>
    <row r="294" ht="51.75" customHeight="1">
      <c r="A294" s="60" t="s">
        <v>145</v>
      </c>
      <c r="B294" s="62">
        <v>65.0</v>
      </c>
      <c r="C294" s="61" t="s">
        <v>19350</v>
      </c>
    </row>
    <row r="295" ht="51.75" customHeight="1">
      <c r="A295" s="60" t="s">
        <v>1057</v>
      </c>
      <c r="B295" s="62">
        <v>65.0</v>
      </c>
      <c r="C295" s="61" t="s">
        <v>19351</v>
      </c>
    </row>
    <row r="296" ht="51.75" customHeight="1">
      <c r="A296" s="60" t="s">
        <v>1485</v>
      </c>
      <c r="B296" s="62">
        <v>60.0</v>
      </c>
      <c r="C296" s="61" t="s">
        <v>19352</v>
      </c>
    </row>
    <row r="297" ht="51.75" customHeight="1">
      <c r="A297" s="60" t="s">
        <v>1185</v>
      </c>
      <c r="B297" s="62">
        <v>60.0</v>
      </c>
      <c r="C297" s="61" t="s">
        <v>19353</v>
      </c>
    </row>
    <row r="298" ht="51.75" customHeight="1">
      <c r="A298" s="60" t="s">
        <v>881</v>
      </c>
      <c r="B298" s="62">
        <v>60.0</v>
      </c>
      <c r="C298" s="61" t="s">
        <v>19354</v>
      </c>
    </row>
    <row r="299" ht="51.75" customHeight="1">
      <c r="A299" s="60" t="s">
        <v>1167</v>
      </c>
      <c r="B299" s="62">
        <v>60.0</v>
      </c>
      <c r="C299" s="61" t="s">
        <v>19355</v>
      </c>
    </row>
    <row r="300" ht="51.75" customHeight="1">
      <c r="A300" s="60" t="s">
        <v>1025</v>
      </c>
      <c r="B300" s="62">
        <v>60.0</v>
      </c>
      <c r="C300" s="61" t="s">
        <v>19356</v>
      </c>
    </row>
    <row r="301" ht="51.75" customHeight="1">
      <c r="A301" s="60" t="s">
        <v>1323</v>
      </c>
      <c r="B301" s="62">
        <v>60.0</v>
      </c>
      <c r="C301" s="61" t="s">
        <v>19357</v>
      </c>
    </row>
    <row r="302" ht="51.75" customHeight="1">
      <c r="A302" s="60" t="s">
        <v>241</v>
      </c>
      <c r="B302" s="62">
        <v>60.0</v>
      </c>
      <c r="C302" s="61" t="s">
        <v>19358</v>
      </c>
    </row>
    <row r="303" ht="51.75" customHeight="1">
      <c r="A303" s="60" t="s">
        <v>1271</v>
      </c>
      <c r="B303" s="62">
        <v>60.0</v>
      </c>
      <c r="C303" s="61" t="s">
        <v>19359</v>
      </c>
    </row>
    <row r="304" ht="51.75" customHeight="1">
      <c r="A304" s="60" t="s">
        <v>809</v>
      </c>
      <c r="B304" s="62">
        <v>60.0</v>
      </c>
      <c r="C304" s="61" t="s">
        <v>19360</v>
      </c>
    </row>
    <row r="305" ht="51.75" customHeight="1">
      <c r="A305" s="60" t="s">
        <v>1636</v>
      </c>
      <c r="B305" s="62">
        <v>60.0</v>
      </c>
      <c r="C305" s="61" t="s">
        <v>19361</v>
      </c>
    </row>
    <row r="306" ht="51.75" customHeight="1">
      <c r="A306" s="60" t="s">
        <v>835</v>
      </c>
      <c r="B306" s="62">
        <v>60.0</v>
      </c>
      <c r="C306" s="61" t="s">
        <v>19362</v>
      </c>
    </row>
    <row r="307" ht="51.75" customHeight="1">
      <c r="A307" s="60" t="s">
        <v>1412</v>
      </c>
      <c r="B307" s="62">
        <v>60.0</v>
      </c>
      <c r="C307" s="61" t="s">
        <v>19363</v>
      </c>
    </row>
    <row r="308" ht="51.75" customHeight="1">
      <c r="A308" s="60" t="s">
        <v>455</v>
      </c>
      <c r="B308" s="62">
        <v>60.0</v>
      </c>
      <c r="C308" s="61" t="s">
        <v>19364</v>
      </c>
    </row>
    <row r="309" ht="51.75" customHeight="1">
      <c r="A309" s="60" t="s">
        <v>1441</v>
      </c>
      <c r="B309" s="62">
        <v>60.0</v>
      </c>
      <c r="C309" s="61" t="s">
        <v>19365</v>
      </c>
    </row>
    <row r="310" ht="51.75" customHeight="1">
      <c r="A310" s="60" t="s">
        <v>1381</v>
      </c>
      <c r="B310" s="62">
        <v>60.0</v>
      </c>
      <c r="C310" s="61" t="s">
        <v>19366</v>
      </c>
    </row>
    <row r="311" ht="51.75" customHeight="1">
      <c r="A311" s="60" t="s">
        <v>125</v>
      </c>
      <c r="B311" s="62">
        <v>60.0</v>
      </c>
      <c r="C311" s="61" t="s">
        <v>19367</v>
      </c>
    </row>
    <row r="312" ht="51.75" customHeight="1">
      <c r="A312" s="60" t="s">
        <v>1032</v>
      </c>
      <c r="B312" s="62">
        <v>60.0</v>
      </c>
      <c r="C312" s="61" t="s">
        <v>19368</v>
      </c>
    </row>
    <row r="313" ht="51.75" customHeight="1">
      <c r="A313" s="60" t="s">
        <v>1508</v>
      </c>
      <c r="B313" s="62">
        <v>60.0</v>
      </c>
      <c r="C313" s="61" t="s">
        <v>19369</v>
      </c>
    </row>
    <row r="314" ht="51.75" customHeight="1">
      <c r="A314" s="60" t="s">
        <v>1367</v>
      </c>
      <c r="B314" s="62">
        <v>60.0</v>
      </c>
      <c r="C314" s="61" t="s">
        <v>19370</v>
      </c>
    </row>
    <row r="315" ht="51.75" customHeight="1">
      <c r="A315" s="60" t="s">
        <v>1161</v>
      </c>
      <c r="B315" s="62">
        <v>60.0</v>
      </c>
      <c r="C315" s="61" t="s">
        <v>19371</v>
      </c>
    </row>
    <row r="316" ht="51.75" customHeight="1">
      <c r="A316" s="60" t="s">
        <v>1464</v>
      </c>
      <c r="B316" s="62">
        <v>60.0</v>
      </c>
      <c r="C316" s="61" t="s">
        <v>19372</v>
      </c>
    </row>
    <row r="317" ht="51.75" customHeight="1">
      <c r="A317" s="60" t="s">
        <v>250</v>
      </c>
      <c r="B317" s="62">
        <v>60.0</v>
      </c>
      <c r="C317" s="61" t="s">
        <v>19373</v>
      </c>
    </row>
    <row r="318" ht="51.75" customHeight="1">
      <c r="A318" s="60" t="s">
        <v>1094</v>
      </c>
      <c r="B318" s="62">
        <v>60.0</v>
      </c>
      <c r="C318" s="61" t="s">
        <v>19374</v>
      </c>
    </row>
    <row r="319" ht="51.75" customHeight="1">
      <c r="A319" s="60" t="s">
        <v>1055</v>
      </c>
      <c r="B319" s="62">
        <v>60.0</v>
      </c>
      <c r="C319" s="61" t="s">
        <v>19375</v>
      </c>
    </row>
    <row r="320" ht="51.75" customHeight="1">
      <c r="A320" s="60" t="s">
        <v>186</v>
      </c>
      <c r="B320" s="62">
        <v>60.0</v>
      </c>
      <c r="C320" s="61" t="s">
        <v>19376</v>
      </c>
    </row>
    <row r="321" ht="51.75" customHeight="1">
      <c r="A321" s="60" t="s">
        <v>1297</v>
      </c>
      <c r="B321" s="62">
        <v>60.0</v>
      </c>
      <c r="C321" s="61" t="s">
        <v>19377</v>
      </c>
    </row>
    <row r="322" ht="51.75" customHeight="1">
      <c r="A322" s="60" t="s">
        <v>165</v>
      </c>
      <c r="B322" s="62">
        <v>60.0</v>
      </c>
      <c r="C322" s="61" t="s">
        <v>19378</v>
      </c>
    </row>
    <row r="323" ht="51.75" customHeight="1">
      <c r="A323" s="60" t="s">
        <v>987</v>
      </c>
      <c r="B323" s="62">
        <v>60.0</v>
      </c>
      <c r="C323" s="61" t="s">
        <v>19379</v>
      </c>
    </row>
    <row r="324" ht="51.75" customHeight="1">
      <c r="A324" s="60" t="s">
        <v>164</v>
      </c>
      <c r="B324" s="62">
        <v>60.0</v>
      </c>
      <c r="C324" s="61" t="s">
        <v>19380</v>
      </c>
    </row>
    <row r="325" ht="51.75" customHeight="1">
      <c r="A325" s="60" t="s">
        <v>811</v>
      </c>
      <c r="B325" s="62">
        <v>60.0</v>
      </c>
      <c r="C325" s="61" t="s">
        <v>19381</v>
      </c>
    </row>
    <row r="326" ht="51.75" customHeight="1">
      <c r="A326" s="60" t="s">
        <v>1109</v>
      </c>
      <c r="B326" s="62">
        <v>60.0</v>
      </c>
      <c r="C326" s="61" t="s">
        <v>19382</v>
      </c>
    </row>
    <row r="327" ht="51.75" customHeight="1">
      <c r="A327" s="60" t="s">
        <v>1107</v>
      </c>
      <c r="B327" s="62">
        <v>60.0</v>
      </c>
      <c r="C327" s="61" t="s">
        <v>19383</v>
      </c>
    </row>
    <row r="328" ht="51.75" customHeight="1">
      <c r="A328" s="60" t="s">
        <v>1553</v>
      </c>
      <c r="B328" s="62">
        <v>60.0</v>
      </c>
      <c r="C328" s="61" t="s">
        <v>19384</v>
      </c>
    </row>
    <row r="329" ht="51.75" customHeight="1">
      <c r="A329" s="60" t="s">
        <v>1555</v>
      </c>
      <c r="B329" s="62">
        <v>60.0</v>
      </c>
      <c r="C329" s="61" t="s">
        <v>19385</v>
      </c>
    </row>
    <row r="330" ht="51.75" customHeight="1">
      <c r="A330" s="60" t="s">
        <v>845</v>
      </c>
      <c r="B330" s="62">
        <v>60.0</v>
      </c>
      <c r="C330" s="61" t="s">
        <v>19386</v>
      </c>
    </row>
    <row r="331" ht="51.75" customHeight="1">
      <c r="A331" s="60" t="s">
        <v>1498</v>
      </c>
      <c r="B331" s="62">
        <v>60.0</v>
      </c>
      <c r="C331" s="61" t="s">
        <v>19387</v>
      </c>
    </row>
    <row r="332" ht="51.75" customHeight="1">
      <c r="A332" s="60" t="s">
        <v>264</v>
      </c>
      <c r="B332" s="62">
        <v>60.0</v>
      </c>
      <c r="C332" s="61" t="s">
        <v>19388</v>
      </c>
    </row>
    <row r="333" ht="51.75" customHeight="1">
      <c r="A333" s="60" t="s">
        <v>847</v>
      </c>
      <c r="B333" s="62">
        <v>60.0</v>
      </c>
      <c r="C333" s="61" t="s">
        <v>19389</v>
      </c>
    </row>
    <row r="334" ht="51.75" customHeight="1">
      <c r="A334" s="60" t="s">
        <v>97</v>
      </c>
      <c r="B334" s="62">
        <v>60.0</v>
      </c>
      <c r="C334" s="61" t="s">
        <v>19390</v>
      </c>
    </row>
    <row r="335" ht="51.75" customHeight="1">
      <c r="A335" s="60" t="s">
        <v>1131</v>
      </c>
      <c r="B335" s="62">
        <v>60.0</v>
      </c>
      <c r="C335" s="61" t="s">
        <v>19391</v>
      </c>
    </row>
    <row r="336" ht="51.75" customHeight="1">
      <c r="A336" s="60" t="s">
        <v>197</v>
      </c>
      <c r="B336" s="62">
        <v>60.0</v>
      </c>
      <c r="C336" s="61" t="s">
        <v>19392</v>
      </c>
    </row>
    <row r="337" ht="51.75" customHeight="1">
      <c r="A337" s="60" t="s">
        <v>1391</v>
      </c>
      <c r="B337" s="62">
        <v>60.0</v>
      </c>
      <c r="C337" s="61" t="s">
        <v>19393</v>
      </c>
    </row>
    <row r="338" ht="51.75" customHeight="1">
      <c r="A338" s="60" t="s">
        <v>1030</v>
      </c>
      <c r="B338" s="62">
        <v>60.0</v>
      </c>
      <c r="C338" s="61" t="s">
        <v>19394</v>
      </c>
    </row>
    <row r="339" ht="51.75" customHeight="1">
      <c r="A339" s="60" t="s">
        <v>1173</v>
      </c>
      <c r="B339" s="62">
        <v>60.0</v>
      </c>
      <c r="C339" s="61" t="s">
        <v>19395</v>
      </c>
    </row>
    <row r="340" ht="51.75" customHeight="1">
      <c r="A340" s="60" t="s">
        <v>777</v>
      </c>
      <c r="B340" s="62">
        <v>60.0</v>
      </c>
      <c r="C340" s="61" t="s">
        <v>19396</v>
      </c>
    </row>
    <row r="341" ht="51.75" customHeight="1">
      <c r="A341" s="60" t="s">
        <v>1273</v>
      </c>
      <c r="B341" s="62">
        <v>60.0</v>
      </c>
      <c r="C341" s="61" t="s">
        <v>19397</v>
      </c>
    </row>
    <row r="342" ht="51.75" customHeight="1">
      <c r="A342" s="60" t="s">
        <v>253</v>
      </c>
      <c r="B342" s="62">
        <v>60.0</v>
      </c>
      <c r="C342" s="61" t="s">
        <v>19398</v>
      </c>
    </row>
    <row r="343" ht="51.75" customHeight="1">
      <c r="A343" s="60" t="s">
        <v>1592</v>
      </c>
      <c r="B343" s="62">
        <v>60.0</v>
      </c>
      <c r="C343" s="61" t="s">
        <v>19399</v>
      </c>
    </row>
    <row r="344" ht="51.75" customHeight="1">
      <c r="A344" s="60" t="s">
        <v>1254</v>
      </c>
      <c r="B344" s="62">
        <v>60.0</v>
      </c>
      <c r="C344" s="61" t="s">
        <v>19400</v>
      </c>
    </row>
    <row r="345" ht="51.75" customHeight="1">
      <c r="A345" s="60" t="s">
        <v>1141</v>
      </c>
      <c r="B345" s="62">
        <v>60.0</v>
      </c>
      <c r="C345" s="61" t="s">
        <v>19401</v>
      </c>
    </row>
    <row r="346" ht="51.75" customHeight="1">
      <c r="A346" s="60" t="s">
        <v>927</v>
      </c>
      <c r="B346" s="62">
        <v>60.0</v>
      </c>
      <c r="C346" s="61" t="s">
        <v>19402</v>
      </c>
    </row>
    <row r="347" ht="51.75" customHeight="1">
      <c r="A347" s="60" t="s">
        <v>1540</v>
      </c>
      <c r="B347" s="62">
        <v>60.0</v>
      </c>
      <c r="C347" s="61" t="s">
        <v>19403</v>
      </c>
    </row>
    <row r="348" ht="51.75" customHeight="1">
      <c r="A348" s="60" t="s">
        <v>1221</v>
      </c>
      <c r="B348" s="62">
        <v>60.0</v>
      </c>
      <c r="C348" s="61" t="s">
        <v>19404</v>
      </c>
    </row>
    <row r="349" ht="51.75" customHeight="1">
      <c r="A349" s="60" t="s">
        <v>1121</v>
      </c>
      <c r="B349" s="62">
        <v>60.0</v>
      </c>
      <c r="C349" s="61" t="s">
        <v>19405</v>
      </c>
    </row>
    <row r="350" ht="51.75" customHeight="1">
      <c r="A350" s="60" t="s">
        <v>4970</v>
      </c>
      <c r="B350" s="62">
        <v>60.0</v>
      </c>
      <c r="C350" s="61" t="s">
        <v>19406</v>
      </c>
    </row>
    <row r="351" ht="51.75" customHeight="1">
      <c r="A351" s="60" t="s">
        <v>1535</v>
      </c>
      <c r="B351" s="62">
        <v>60.0</v>
      </c>
      <c r="C351" s="61" t="s">
        <v>19407</v>
      </c>
    </row>
    <row r="352" ht="51.75" customHeight="1">
      <c r="A352" s="60" t="s">
        <v>1115</v>
      </c>
      <c r="B352" s="62">
        <v>60.0</v>
      </c>
      <c r="C352" s="61" t="s">
        <v>19408</v>
      </c>
    </row>
    <row r="353" ht="51.75" customHeight="1">
      <c r="A353" s="60" t="s">
        <v>3236</v>
      </c>
      <c r="B353" s="62">
        <v>60.0</v>
      </c>
      <c r="C353" s="61" t="s">
        <v>19409</v>
      </c>
    </row>
    <row r="354" ht="51.75" customHeight="1">
      <c r="A354" s="60" t="s">
        <v>1340</v>
      </c>
      <c r="B354" s="62">
        <v>60.0</v>
      </c>
      <c r="C354" s="61" t="s">
        <v>19410</v>
      </c>
    </row>
    <row r="355" ht="51.75" customHeight="1">
      <c r="A355" s="60" t="s">
        <v>19411</v>
      </c>
      <c r="B355" s="62">
        <v>60.0</v>
      </c>
      <c r="C355" s="61" t="s">
        <v>19412</v>
      </c>
    </row>
    <row r="356" ht="51.75" customHeight="1">
      <c r="A356" s="60" t="s">
        <v>893</v>
      </c>
      <c r="B356" s="62">
        <v>60.0</v>
      </c>
      <c r="C356" s="61" t="s">
        <v>19413</v>
      </c>
    </row>
    <row r="357" ht="51.75" customHeight="1">
      <c r="A357" s="60" t="s">
        <v>1530</v>
      </c>
      <c r="B357" s="62">
        <v>60.0</v>
      </c>
      <c r="C357" s="61" t="s">
        <v>19414</v>
      </c>
    </row>
    <row r="358" ht="51.75" customHeight="1">
      <c r="A358" s="60" t="s">
        <v>1458</v>
      </c>
      <c r="B358" s="62">
        <v>60.0</v>
      </c>
      <c r="C358" s="61" t="s">
        <v>19415</v>
      </c>
    </row>
    <row r="359" ht="51.75" customHeight="1">
      <c r="A359" s="60" t="s">
        <v>1169</v>
      </c>
      <c r="B359" s="62">
        <v>60.0</v>
      </c>
      <c r="C359" s="61" t="s">
        <v>19416</v>
      </c>
    </row>
    <row r="360" ht="51.75" customHeight="1">
      <c r="A360" s="60" t="s">
        <v>51</v>
      </c>
      <c r="B360" s="62">
        <v>60.0</v>
      </c>
      <c r="C360" s="61" t="s">
        <v>19417</v>
      </c>
    </row>
    <row r="361" ht="51.75" customHeight="1">
      <c r="A361" s="60" t="s">
        <v>287</v>
      </c>
      <c r="B361" s="62">
        <v>60.0</v>
      </c>
      <c r="C361" s="61" t="s">
        <v>19418</v>
      </c>
    </row>
    <row r="362" ht="51.75" customHeight="1">
      <c r="A362" s="60" t="s">
        <v>919</v>
      </c>
      <c r="B362" s="62">
        <v>60.0</v>
      </c>
      <c r="C362" s="61" t="s">
        <v>19419</v>
      </c>
    </row>
    <row r="363" ht="51.75" customHeight="1">
      <c r="A363" s="60" t="s">
        <v>1264</v>
      </c>
      <c r="B363" s="62">
        <v>60.0</v>
      </c>
      <c r="C363" s="61" t="s">
        <v>19420</v>
      </c>
    </row>
    <row r="364" ht="51.75" customHeight="1">
      <c r="A364" s="60" t="s">
        <v>151</v>
      </c>
      <c r="B364" s="62">
        <v>60.0</v>
      </c>
      <c r="C364" s="61" t="s">
        <v>19421</v>
      </c>
    </row>
    <row r="365" ht="51.75" customHeight="1">
      <c r="A365" s="60" t="s">
        <v>359</v>
      </c>
      <c r="B365" s="62">
        <v>60.0</v>
      </c>
      <c r="C365" s="61" t="s">
        <v>19422</v>
      </c>
    </row>
    <row r="366" ht="51.75" customHeight="1">
      <c r="A366" s="60" t="s">
        <v>1336</v>
      </c>
      <c r="B366" s="62">
        <v>60.0</v>
      </c>
      <c r="C366" s="61" t="s">
        <v>19423</v>
      </c>
    </row>
    <row r="367" ht="51.75" customHeight="1">
      <c r="A367" s="60" t="s">
        <v>1191</v>
      </c>
      <c r="B367" s="62">
        <v>60.0</v>
      </c>
      <c r="C367" s="61" t="s">
        <v>19424</v>
      </c>
    </row>
    <row r="368" ht="51.75" customHeight="1">
      <c r="A368" s="60" t="s">
        <v>1193</v>
      </c>
      <c r="B368" s="62">
        <v>60.0</v>
      </c>
      <c r="C368" s="61" t="s">
        <v>19425</v>
      </c>
    </row>
    <row r="369" ht="51.75" customHeight="1">
      <c r="A369" s="60" t="s">
        <v>980</v>
      </c>
      <c r="B369" s="62">
        <v>60.0</v>
      </c>
      <c r="C369" s="61" t="s">
        <v>19426</v>
      </c>
    </row>
    <row r="370" ht="51.75" customHeight="1">
      <c r="A370" s="60" t="s">
        <v>841</v>
      </c>
      <c r="B370" s="62">
        <v>60.0</v>
      </c>
      <c r="C370" s="61" t="s">
        <v>19427</v>
      </c>
    </row>
    <row r="371" ht="51.75" customHeight="1">
      <c r="A371" s="60" t="s">
        <v>951</v>
      </c>
      <c r="B371" s="62">
        <v>60.0</v>
      </c>
      <c r="C371" s="61" t="s">
        <v>19428</v>
      </c>
    </row>
    <row r="372" ht="51.75" customHeight="1">
      <c r="A372" s="60" t="s">
        <v>1477</v>
      </c>
      <c r="B372" s="62">
        <v>60.0</v>
      </c>
      <c r="C372" s="61" t="s">
        <v>19429</v>
      </c>
    </row>
    <row r="373" ht="51.75" customHeight="1">
      <c r="A373" s="60" t="s">
        <v>1233</v>
      </c>
      <c r="B373" s="62">
        <v>60.0</v>
      </c>
      <c r="C373" s="61" t="s">
        <v>19430</v>
      </c>
    </row>
    <row r="374" ht="51.75" customHeight="1">
      <c r="A374" s="60" t="s">
        <v>876</v>
      </c>
      <c r="B374" s="62">
        <v>60.0</v>
      </c>
      <c r="C374" s="61" t="s">
        <v>19431</v>
      </c>
    </row>
    <row r="375" ht="51.75" customHeight="1">
      <c r="A375" s="60" t="s">
        <v>1447</v>
      </c>
      <c r="B375" s="62">
        <v>60.0</v>
      </c>
      <c r="C375" s="61" t="s">
        <v>19432</v>
      </c>
    </row>
    <row r="376" ht="51.75" customHeight="1">
      <c r="A376" s="60" t="s">
        <v>1028</v>
      </c>
      <c r="B376" s="62">
        <v>60.0</v>
      </c>
      <c r="C376" s="61" t="s">
        <v>19433</v>
      </c>
    </row>
    <row r="377" ht="51.75" customHeight="1">
      <c r="A377" s="60" t="s">
        <v>898</v>
      </c>
      <c r="B377" s="62">
        <v>60.0</v>
      </c>
      <c r="C377" s="61" t="s">
        <v>19434</v>
      </c>
    </row>
    <row r="378" ht="51.75" customHeight="1">
      <c r="A378" s="60" t="s">
        <v>829</v>
      </c>
      <c r="B378" s="62">
        <v>60.0</v>
      </c>
      <c r="C378" s="61" t="s">
        <v>19435</v>
      </c>
    </row>
    <row r="379" ht="51.75" customHeight="1">
      <c r="A379" s="60" t="s">
        <v>486</v>
      </c>
      <c r="B379" s="62">
        <v>55.0</v>
      </c>
      <c r="C379" s="61" t="s">
        <v>19436</v>
      </c>
    </row>
    <row r="380" ht="51.75" customHeight="1">
      <c r="A380" s="60" t="s">
        <v>1151</v>
      </c>
      <c r="B380" s="62">
        <v>55.0</v>
      </c>
      <c r="C380" s="61" t="s">
        <v>19437</v>
      </c>
    </row>
    <row r="381" ht="51.75" customHeight="1">
      <c r="A381" s="60" t="s">
        <v>124</v>
      </c>
      <c r="B381" s="62">
        <v>55.0</v>
      </c>
      <c r="C381" s="61" t="s">
        <v>19438</v>
      </c>
    </row>
    <row r="382" ht="51.75" customHeight="1">
      <c r="A382" s="60" t="s">
        <v>19439</v>
      </c>
      <c r="B382" s="62">
        <v>55.0</v>
      </c>
      <c r="C382" s="61" t="s">
        <v>19440</v>
      </c>
    </row>
    <row r="383" ht="51.75" customHeight="1">
      <c r="A383" s="60" t="s">
        <v>1237</v>
      </c>
      <c r="B383" s="62">
        <v>55.0</v>
      </c>
      <c r="C383" s="61" t="s">
        <v>19441</v>
      </c>
    </row>
    <row r="384" ht="51.75" customHeight="1">
      <c r="A384" s="60" t="s">
        <v>1321</v>
      </c>
      <c r="B384" s="62">
        <v>55.0</v>
      </c>
      <c r="C384" s="61" t="s">
        <v>19442</v>
      </c>
    </row>
    <row r="385" ht="51.75" customHeight="1">
      <c r="A385" s="60" t="s">
        <v>542</v>
      </c>
      <c r="B385" s="62">
        <v>55.0</v>
      </c>
      <c r="C385" s="61" t="s">
        <v>19443</v>
      </c>
    </row>
    <row r="386" ht="51.75" customHeight="1">
      <c r="A386" s="60" t="s">
        <v>1248</v>
      </c>
      <c r="B386" s="62">
        <v>55.0</v>
      </c>
      <c r="C386" s="61" t="s">
        <v>19444</v>
      </c>
    </row>
    <row r="387" ht="51.75" customHeight="1">
      <c r="A387" s="60" t="s">
        <v>19445</v>
      </c>
      <c r="B387" s="62">
        <v>55.0</v>
      </c>
      <c r="C387" s="61" t="s">
        <v>19446</v>
      </c>
    </row>
    <row r="388" ht="51.75" customHeight="1">
      <c r="A388" s="60" t="s">
        <v>1517</v>
      </c>
      <c r="B388" s="62">
        <v>55.0</v>
      </c>
      <c r="C388" s="61" t="s">
        <v>19447</v>
      </c>
    </row>
    <row r="389" ht="51.75" customHeight="1">
      <c r="A389" s="60" t="s">
        <v>1123</v>
      </c>
      <c r="B389" s="62">
        <v>55.0</v>
      </c>
      <c r="C389" s="61" t="s">
        <v>19448</v>
      </c>
    </row>
    <row r="390" ht="51.75" customHeight="1">
      <c r="A390" s="60" t="s">
        <v>1139</v>
      </c>
      <c r="B390" s="62">
        <v>55.0</v>
      </c>
      <c r="C390" s="61" t="s">
        <v>19449</v>
      </c>
    </row>
    <row r="391" ht="51.75" customHeight="1">
      <c r="A391" s="60" t="s">
        <v>1599</v>
      </c>
      <c r="B391" s="62">
        <v>55.0</v>
      </c>
      <c r="C391" s="61" t="s">
        <v>19450</v>
      </c>
    </row>
    <row r="392" ht="51.75" customHeight="1">
      <c r="A392" s="60" t="s">
        <v>609</v>
      </c>
      <c r="B392" s="62">
        <v>55.0</v>
      </c>
      <c r="C392" s="61" t="s">
        <v>19451</v>
      </c>
    </row>
    <row r="393" ht="51.75" customHeight="1">
      <c r="A393" s="60" t="s">
        <v>142</v>
      </c>
      <c r="B393" s="62">
        <v>55.0</v>
      </c>
      <c r="C393" s="61" t="s">
        <v>19452</v>
      </c>
    </row>
    <row r="394" ht="51.75" customHeight="1">
      <c r="A394" s="60" t="s">
        <v>1313</v>
      </c>
      <c r="B394" s="62">
        <v>55.0</v>
      </c>
      <c r="C394" s="61" t="s">
        <v>19453</v>
      </c>
    </row>
    <row r="395" ht="51.75" customHeight="1">
      <c r="A395" s="60" t="s">
        <v>929</v>
      </c>
      <c r="B395" s="62">
        <v>55.0</v>
      </c>
      <c r="C395" s="61" t="s">
        <v>19454</v>
      </c>
    </row>
    <row r="396" ht="51.75" customHeight="1">
      <c r="A396" s="60" t="s">
        <v>1414</v>
      </c>
      <c r="B396" s="62">
        <v>55.0</v>
      </c>
      <c r="C396" s="61" t="s">
        <v>19455</v>
      </c>
    </row>
    <row r="397" ht="51.75" customHeight="1">
      <c r="A397" s="60" t="s">
        <v>1256</v>
      </c>
      <c r="B397" s="62">
        <v>55.0</v>
      </c>
      <c r="C397" s="61" t="s">
        <v>19456</v>
      </c>
    </row>
    <row r="398" ht="51.75" customHeight="1">
      <c r="A398" s="60" t="s">
        <v>1317</v>
      </c>
      <c r="B398" s="62">
        <v>55.0</v>
      </c>
      <c r="C398" s="61" t="s">
        <v>19457</v>
      </c>
    </row>
    <row r="399" ht="51.75" customHeight="1">
      <c r="A399" s="60" t="s">
        <v>1315</v>
      </c>
      <c r="B399" s="62">
        <v>55.0</v>
      </c>
      <c r="C399" s="61" t="s">
        <v>19458</v>
      </c>
    </row>
    <row r="400" ht="51.75" customHeight="1">
      <c r="A400" s="60" t="s">
        <v>995</v>
      </c>
      <c r="B400" s="62">
        <v>55.0</v>
      </c>
      <c r="C400" s="61" t="s">
        <v>19459</v>
      </c>
    </row>
    <row r="401" ht="51.75" customHeight="1">
      <c r="A401" s="60" t="s">
        <v>1319</v>
      </c>
      <c r="B401" s="62">
        <v>55.0</v>
      </c>
      <c r="C401" s="61" t="s">
        <v>19460</v>
      </c>
    </row>
    <row r="402" ht="51.75" customHeight="1">
      <c r="A402" s="60" t="s">
        <v>1549</v>
      </c>
      <c r="B402" s="62">
        <v>55.0</v>
      </c>
      <c r="C402" s="61" t="s">
        <v>19461</v>
      </c>
    </row>
    <row r="403" ht="51.75" customHeight="1">
      <c r="A403" s="60" t="s">
        <v>823</v>
      </c>
      <c r="B403" s="62">
        <v>55.0</v>
      </c>
      <c r="C403" s="61" t="s">
        <v>19462</v>
      </c>
    </row>
    <row r="404" ht="51.75" customHeight="1">
      <c r="A404" s="60" t="s">
        <v>906</v>
      </c>
      <c r="B404" s="62">
        <v>55.0</v>
      </c>
      <c r="C404" s="61" t="s">
        <v>19463</v>
      </c>
    </row>
    <row r="405" ht="51.75" customHeight="1">
      <c r="A405" s="60" t="s">
        <v>1375</v>
      </c>
      <c r="B405" s="62">
        <v>55.0</v>
      </c>
      <c r="C405" s="61" t="s">
        <v>19464</v>
      </c>
    </row>
    <row r="406" ht="51.75" customHeight="1">
      <c r="A406" s="60" t="s">
        <v>1524</v>
      </c>
      <c r="B406" s="62">
        <v>55.0</v>
      </c>
      <c r="C406" s="61" t="s">
        <v>19465</v>
      </c>
    </row>
    <row r="407" ht="51.75" customHeight="1">
      <c r="A407" s="60" t="s">
        <v>1389</v>
      </c>
      <c r="B407" s="62">
        <v>55.0</v>
      </c>
      <c r="C407" s="61" t="s">
        <v>19466</v>
      </c>
    </row>
    <row r="408" ht="51.75" customHeight="1">
      <c r="A408" s="60" t="s">
        <v>1427</v>
      </c>
      <c r="B408" s="62">
        <v>55.0</v>
      </c>
      <c r="C408" s="61" t="s">
        <v>19467</v>
      </c>
    </row>
    <row r="409" ht="51.75" customHeight="1">
      <c r="A409" s="60" t="s">
        <v>296</v>
      </c>
      <c r="B409" s="62">
        <v>55.0</v>
      </c>
      <c r="C409" s="61" t="s">
        <v>19468</v>
      </c>
    </row>
    <row r="410" ht="51.75" customHeight="1">
      <c r="A410" s="60" t="s">
        <v>1558</v>
      </c>
      <c r="B410" s="62">
        <v>55.0</v>
      </c>
      <c r="C410" s="61" t="s">
        <v>19469</v>
      </c>
    </row>
    <row r="411" ht="51.75" customHeight="1">
      <c r="A411" s="60" t="s">
        <v>805</v>
      </c>
      <c r="B411" s="62">
        <v>55.0</v>
      </c>
      <c r="C411" s="61" t="s">
        <v>19470</v>
      </c>
    </row>
    <row r="412" ht="51.75" customHeight="1">
      <c r="A412" s="60" t="s">
        <v>1495</v>
      </c>
      <c r="B412" s="62">
        <v>55.0</v>
      </c>
      <c r="C412" s="61" t="s">
        <v>19471</v>
      </c>
    </row>
    <row r="413" ht="51.75" customHeight="1">
      <c r="A413" s="60" t="s">
        <v>1089</v>
      </c>
      <c r="B413" s="62">
        <v>55.0</v>
      </c>
      <c r="C413" s="61" t="s">
        <v>19472</v>
      </c>
    </row>
    <row r="414" ht="51.75" customHeight="1">
      <c r="A414" s="60" t="s">
        <v>1410</v>
      </c>
      <c r="B414" s="62">
        <v>55.0</v>
      </c>
      <c r="C414" s="61" t="s">
        <v>19473</v>
      </c>
    </row>
    <row r="415" ht="51.75" customHeight="1">
      <c r="A415" s="60" t="s">
        <v>423</v>
      </c>
      <c r="B415" s="62">
        <v>55.0</v>
      </c>
      <c r="C415" s="61" t="s">
        <v>19474</v>
      </c>
    </row>
    <row r="416" ht="51.75" customHeight="1">
      <c r="A416" s="60" t="s">
        <v>167</v>
      </c>
      <c r="B416" s="62">
        <v>55.0</v>
      </c>
      <c r="C416" s="61" t="s">
        <v>19475</v>
      </c>
    </row>
    <row r="417" ht="51.75" customHeight="1">
      <c r="A417" s="60" t="s">
        <v>1266</v>
      </c>
      <c r="B417" s="62">
        <v>55.0</v>
      </c>
      <c r="C417" s="61" t="s">
        <v>19476</v>
      </c>
    </row>
    <row r="418" ht="51.75" customHeight="1">
      <c r="A418" s="60" t="s">
        <v>1074</v>
      </c>
      <c r="B418" s="62">
        <v>55.0</v>
      </c>
      <c r="C418" s="61" t="s">
        <v>19477</v>
      </c>
    </row>
    <row r="419" ht="51.75" customHeight="1">
      <c r="A419" s="60" t="s">
        <v>1454</v>
      </c>
      <c r="B419" s="62">
        <v>55.0</v>
      </c>
      <c r="C419" s="61" t="s">
        <v>19478</v>
      </c>
    </row>
    <row r="420" ht="51.75" customHeight="1">
      <c r="A420" s="60" t="s">
        <v>1291</v>
      </c>
      <c r="B420" s="62">
        <v>55.0</v>
      </c>
      <c r="C420" s="61" t="s">
        <v>19479</v>
      </c>
    </row>
    <row r="421" ht="51.75" customHeight="1">
      <c r="A421" s="60" t="s">
        <v>1245</v>
      </c>
      <c r="B421" s="62">
        <v>55.0</v>
      </c>
      <c r="C421" s="61" t="s">
        <v>19480</v>
      </c>
    </row>
    <row r="422" ht="51.75" customHeight="1">
      <c r="A422" s="60" t="s">
        <v>274</v>
      </c>
      <c r="B422" s="62">
        <v>55.0</v>
      </c>
      <c r="C422" s="61" t="s">
        <v>19481</v>
      </c>
    </row>
    <row r="423" ht="51.75" customHeight="1">
      <c r="A423" s="60" t="s">
        <v>873</v>
      </c>
      <c r="B423" s="62">
        <v>55.0</v>
      </c>
      <c r="C423" s="61" t="s">
        <v>19482</v>
      </c>
    </row>
    <row r="424" ht="51.75" customHeight="1">
      <c r="A424" s="60" t="s">
        <v>1325</v>
      </c>
      <c r="B424" s="62">
        <v>55.0</v>
      </c>
      <c r="C424" s="61" t="s">
        <v>19483</v>
      </c>
    </row>
    <row r="425" ht="51.75" customHeight="1">
      <c r="A425" s="60" t="s">
        <v>1231</v>
      </c>
      <c r="B425" s="62">
        <v>55.0</v>
      </c>
      <c r="C425" s="61" t="s">
        <v>19484</v>
      </c>
    </row>
    <row r="426" ht="51.75" customHeight="1">
      <c r="A426" s="60" t="s">
        <v>1065</v>
      </c>
      <c r="B426" s="62">
        <v>45.0</v>
      </c>
      <c r="C426" s="61" t="s">
        <v>19485</v>
      </c>
    </row>
    <row r="427" ht="51.75" customHeight="1">
      <c r="A427" s="60" t="s">
        <v>1023</v>
      </c>
      <c r="B427" s="62">
        <v>45.0</v>
      </c>
      <c r="C427" s="61" t="s">
        <v>19486</v>
      </c>
    </row>
    <row r="428" ht="51.75" customHeight="1">
      <c r="A428" s="60" t="s">
        <v>1608</v>
      </c>
      <c r="B428" s="62">
        <v>45.0</v>
      </c>
      <c r="C428" s="61" t="s">
        <v>19487</v>
      </c>
    </row>
    <row r="429" ht="51.75" customHeight="1">
      <c r="A429" s="60" t="s">
        <v>1243</v>
      </c>
      <c r="B429" s="62">
        <v>45.0</v>
      </c>
      <c r="C429" s="61" t="s">
        <v>19488</v>
      </c>
    </row>
    <row r="430" ht="51.75" customHeight="1">
      <c r="A430" s="60" t="s">
        <v>1149</v>
      </c>
      <c r="B430" s="62">
        <v>45.0</v>
      </c>
      <c r="C430" s="61" t="s">
        <v>19489</v>
      </c>
    </row>
    <row r="431" ht="51.75" customHeight="1">
      <c r="A431" s="60" t="s">
        <v>1153</v>
      </c>
      <c r="B431" s="62">
        <v>45.0</v>
      </c>
      <c r="C431" s="61" t="s">
        <v>19490</v>
      </c>
    </row>
    <row r="432" ht="51.75" customHeight="1">
      <c r="A432" s="60" t="s">
        <v>1179</v>
      </c>
      <c r="B432" s="62">
        <v>45.0</v>
      </c>
      <c r="C432" s="61" t="s">
        <v>19491</v>
      </c>
    </row>
    <row r="433" ht="51.75" customHeight="1">
      <c r="A433" s="60" t="s">
        <v>1472</v>
      </c>
      <c r="B433" s="62">
        <v>45.0</v>
      </c>
      <c r="C433" s="61" t="s">
        <v>19492</v>
      </c>
    </row>
    <row r="434" ht="51.75" customHeight="1">
      <c r="A434" s="60" t="s">
        <v>1334</v>
      </c>
      <c r="B434" s="62">
        <v>45.0</v>
      </c>
      <c r="C434" s="61" t="s">
        <v>19493</v>
      </c>
    </row>
    <row r="435" ht="51.75" customHeight="1">
      <c r="A435" s="60" t="s">
        <v>19494</v>
      </c>
      <c r="B435" s="62">
        <v>45.0</v>
      </c>
      <c r="C435" s="61" t="s">
        <v>19495</v>
      </c>
    </row>
    <row r="436" ht="51.75" customHeight="1">
      <c r="A436" s="60" t="s">
        <v>1354</v>
      </c>
      <c r="B436" s="62">
        <v>45.0</v>
      </c>
      <c r="C436" s="61" t="s">
        <v>19496</v>
      </c>
    </row>
    <row r="437" ht="51.75" customHeight="1">
      <c r="A437" s="60" t="s">
        <v>949</v>
      </c>
      <c r="B437" s="62">
        <v>45.0</v>
      </c>
      <c r="C437" s="61" t="s">
        <v>19497</v>
      </c>
    </row>
    <row r="438" ht="51.75" customHeight="1">
      <c r="A438" s="60" t="s">
        <v>168</v>
      </c>
      <c r="B438" s="62">
        <v>45.0</v>
      </c>
      <c r="C438" s="61" t="s">
        <v>19498</v>
      </c>
    </row>
    <row r="439" ht="51.75" customHeight="1">
      <c r="A439" s="60" t="s">
        <v>1433</v>
      </c>
      <c r="B439" s="62">
        <v>45.0</v>
      </c>
      <c r="C439" s="61" t="s">
        <v>19499</v>
      </c>
    </row>
    <row r="440" ht="51.75" customHeight="1">
      <c r="A440" s="60" t="s">
        <v>1466</v>
      </c>
      <c r="B440" s="62">
        <v>45.0</v>
      </c>
      <c r="C440" s="61" t="s">
        <v>19500</v>
      </c>
    </row>
    <row r="441" ht="51.75" customHeight="1">
      <c r="A441" s="60" t="s">
        <v>4609</v>
      </c>
      <c r="B441" s="62">
        <v>45.0</v>
      </c>
      <c r="C441" s="61" t="s">
        <v>19501</v>
      </c>
    </row>
    <row r="442" ht="51.75" customHeight="1">
      <c r="A442" s="60" t="s">
        <v>1100</v>
      </c>
      <c r="B442" s="62">
        <v>45.0</v>
      </c>
      <c r="C442" s="61" t="s">
        <v>19502</v>
      </c>
    </row>
    <row r="443" ht="51.75" customHeight="1">
      <c r="A443" s="60" t="s">
        <v>1195</v>
      </c>
      <c r="B443" s="62">
        <v>40.0</v>
      </c>
      <c r="C443" s="61" t="s">
        <v>19503</v>
      </c>
    </row>
    <row r="444" ht="51.75" customHeight="1">
      <c r="A444" s="60" t="s">
        <v>217</v>
      </c>
      <c r="B444" s="62">
        <v>40.0</v>
      </c>
      <c r="C444" s="61" t="s">
        <v>19504</v>
      </c>
    </row>
    <row r="445" ht="51.75" customHeight="1">
      <c r="A445" s="60" t="s">
        <v>1641</v>
      </c>
      <c r="B445" s="62">
        <v>40.0</v>
      </c>
      <c r="C445" s="61" t="s">
        <v>19505</v>
      </c>
    </row>
    <row r="446" ht="51.75" customHeight="1">
      <c r="A446" s="60" t="s">
        <v>1010</v>
      </c>
      <c r="B446" s="62">
        <v>35.0</v>
      </c>
      <c r="C446" s="61" t="s">
        <v>19506</v>
      </c>
    </row>
    <row r="447" ht="51.75" customHeight="1">
      <c r="A447" s="60" t="s">
        <v>1067</v>
      </c>
      <c r="B447" s="62">
        <v>35.0</v>
      </c>
      <c r="C447" s="61" t="s">
        <v>19507</v>
      </c>
    </row>
    <row r="448" ht="51.75" customHeight="1">
      <c r="A448" s="60" t="s">
        <v>5717</v>
      </c>
      <c r="B448" s="62">
        <v>35.0</v>
      </c>
      <c r="C448" s="61" t="s">
        <v>19508</v>
      </c>
    </row>
    <row r="449" ht="51.75" customHeight="1">
      <c r="A449" s="60" t="s">
        <v>1223</v>
      </c>
      <c r="B449" s="62">
        <v>35.0</v>
      </c>
      <c r="C449" s="61" t="s">
        <v>19509</v>
      </c>
    </row>
    <row r="450" ht="51.75" customHeight="1">
      <c r="A450" s="60" t="s">
        <v>277</v>
      </c>
      <c r="B450" s="62">
        <v>35.0</v>
      </c>
      <c r="C450" s="61" t="s">
        <v>19510</v>
      </c>
    </row>
    <row r="451" ht="51.75" customHeight="1">
      <c r="A451" s="60" t="s">
        <v>19511</v>
      </c>
      <c r="B451" s="62">
        <v>35.0</v>
      </c>
      <c r="C451" s="61" t="s">
        <v>19512</v>
      </c>
    </row>
    <row r="452" ht="51.75" customHeight="1">
      <c r="A452" s="60" t="s">
        <v>6083</v>
      </c>
      <c r="B452" s="62">
        <v>35.0</v>
      </c>
      <c r="C452" s="61" t="s">
        <v>19513</v>
      </c>
    </row>
    <row r="453" ht="51.75" customHeight="1">
      <c r="A453" s="60" t="s">
        <v>1329</v>
      </c>
      <c r="B453" s="62">
        <v>35.0</v>
      </c>
      <c r="C453" s="61" t="s">
        <v>19514</v>
      </c>
    </row>
    <row r="454" ht="51.75" customHeight="1">
      <c r="A454" s="60" t="s">
        <v>163</v>
      </c>
      <c r="B454" s="62">
        <v>35.0</v>
      </c>
      <c r="C454" s="61" t="s">
        <v>19515</v>
      </c>
    </row>
    <row r="455" ht="51.75" customHeight="1">
      <c r="A455" s="60" t="s">
        <v>1309</v>
      </c>
      <c r="B455" s="62">
        <v>35.0</v>
      </c>
      <c r="C455" s="61" t="s">
        <v>19516</v>
      </c>
    </row>
    <row r="456" ht="51.75" customHeight="1">
      <c r="A456" s="60" t="s">
        <v>1429</v>
      </c>
      <c r="B456" s="62">
        <v>35.0</v>
      </c>
      <c r="C456" s="61" t="s">
        <v>19517</v>
      </c>
    </row>
    <row r="457" ht="51.75" customHeight="1">
      <c r="A457" s="60" t="s">
        <v>1493</v>
      </c>
      <c r="B457" s="62">
        <v>35.0</v>
      </c>
      <c r="C457" s="61" t="s">
        <v>19518</v>
      </c>
    </row>
    <row r="458" ht="51.75" customHeight="1">
      <c r="A458" s="60" t="s">
        <v>1214</v>
      </c>
      <c r="B458" s="62">
        <v>35.0</v>
      </c>
      <c r="C458" s="61" t="s">
        <v>19519</v>
      </c>
    </row>
    <row r="459" ht="51.75" customHeight="1">
      <c r="A459" s="60" t="s">
        <v>1456</v>
      </c>
      <c r="B459" s="62">
        <v>35.0</v>
      </c>
      <c r="C459" s="61" t="s">
        <v>19520</v>
      </c>
    </row>
    <row r="460" ht="51.75" customHeight="1">
      <c r="A460" s="60" t="s">
        <v>19521</v>
      </c>
      <c r="B460" s="62">
        <v>35.0</v>
      </c>
      <c r="C460" s="61" t="s">
        <v>19522</v>
      </c>
    </row>
    <row r="461" ht="51.75" customHeight="1">
      <c r="A461" s="60" t="s">
        <v>1462</v>
      </c>
      <c r="B461" s="62">
        <v>30.0</v>
      </c>
      <c r="C461" s="61" t="s">
        <v>19523</v>
      </c>
    </row>
    <row r="462" ht="51.75" customHeight="1">
      <c r="A462" s="60"/>
      <c r="B462" s="60"/>
      <c r="C462" s="61"/>
    </row>
    <row r="463" ht="51.75" customHeight="1">
      <c r="A463" s="60"/>
      <c r="B463" s="60"/>
      <c r="C463" s="61"/>
    </row>
    <row r="464" ht="51.75" customHeight="1">
      <c r="A464" s="60"/>
      <c r="B464" s="60"/>
      <c r="C464" s="61"/>
    </row>
    <row r="465" ht="51.75" customHeight="1">
      <c r="A465" s="60"/>
      <c r="B465" s="60"/>
      <c r="C465" s="61"/>
    </row>
    <row r="466" ht="51.75" customHeight="1">
      <c r="A466" s="60"/>
      <c r="B466" s="60"/>
      <c r="C466" s="61"/>
    </row>
    <row r="467" ht="51.75" customHeight="1">
      <c r="A467" s="60"/>
      <c r="B467" s="60"/>
      <c r="C467" s="61"/>
    </row>
    <row r="468" ht="51.75" customHeight="1">
      <c r="A468" s="60"/>
      <c r="B468" s="60"/>
      <c r="C468" s="61"/>
    </row>
    <row r="469" ht="51.75" customHeight="1">
      <c r="A469" s="60"/>
      <c r="B469" s="60"/>
      <c r="C469" s="61"/>
    </row>
    <row r="470" ht="51.75" customHeight="1">
      <c r="A470" s="60"/>
      <c r="B470" s="60"/>
      <c r="C470" s="61"/>
    </row>
    <row r="471" ht="51.75" customHeight="1">
      <c r="A471" s="60"/>
      <c r="B471" s="60"/>
      <c r="C471" s="61"/>
    </row>
    <row r="472" ht="51.75" customHeight="1">
      <c r="A472" s="60"/>
      <c r="B472" s="60"/>
      <c r="C472" s="61"/>
    </row>
    <row r="473" ht="51.75" customHeight="1">
      <c r="A473" s="60"/>
      <c r="B473" s="60"/>
      <c r="C473" s="61"/>
    </row>
    <row r="474" ht="51.75" customHeight="1">
      <c r="A474" s="60"/>
      <c r="B474" s="60"/>
      <c r="C474" s="61"/>
    </row>
    <row r="475" ht="51.75" customHeight="1">
      <c r="A475" s="60"/>
      <c r="B475" s="60"/>
      <c r="C475" s="61"/>
    </row>
    <row r="476" ht="51.75" customHeight="1">
      <c r="A476" s="60"/>
      <c r="B476" s="60"/>
      <c r="C476" s="61"/>
    </row>
    <row r="477" ht="51.75" customHeight="1">
      <c r="A477" s="60"/>
      <c r="B477" s="60"/>
      <c r="C477" s="61"/>
    </row>
    <row r="478" ht="51.75" customHeight="1">
      <c r="A478" s="60"/>
      <c r="B478" s="60"/>
      <c r="C478" s="61"/>
    </row>
    <row r="479" ht="51.75" customHeight="1">
      <c r="A479" s="60"/>
      <c r="B479" s="60"/>
      <c r="C479" s="61"/>
    </row>
    <row r="480" ht="51.75" customHeight="1">
      <c r="A480" s="60"/>
      <c r="B480" s="60"/>
      <c r="C480" s="61"/>
    </row>
    <row r="481" ht="51.75" customHeight="1">
      <c r="A481" s="60"/>
      <c r="B481" s="60"/>
      <c r="C481" s="61"/>
    </row>
    <row r="482" ht="51.75" customHeight="1">
      <c r="A482" s="60"/>
      <c r="B482" s="60"/>
      <c r="C482" s="61"/>
    </row>
    <row r="483" ht="51.75" customHeight="1">
      <c r="A483" s="60"/>
      <c r="B483" s="60"/>
      <c r="C483" s="61"/>
    </row>
    <row r="484" ht="51.75" customHeight="1">
      <c r="A484" s="60"/>
      <c r="B484" s="60"/>
      <c r="C484" s="61"/>
    </row>
    <row r="485" ht="51.75" customHeight="1">
      <c r="A485" s="60"/>
      <c r="B485" s="60"/>
      <c r="C485" s="61"/>
    </row>
    <row r="486" ht="51.75" customHeight="1">
      <c r="A486" s="60"/>
      <c r="B486" s="60"/>
      <c r="C486" s="61"/>
    </row>
    <row r="487" ht="51.75" customHeight="1">
      <c r="A487" s="60"/>
      <c r="B487" s="60"/>
      <c r="C487" s="61"/>
    </row>
    <row r="488" ht="51.75" customHeight="1">
      <c r="A488" s="60"/>
      <c r="B488" s="60"/>
      <c r="C488" s="61"/>
    </row>
    <row r="489" ht="51.75" customHeight="1">
      <c r="A489" s="60"/>
      <c r="B489" s="60"/>
      <c r="C489" s="61"/>
    </row>
    <row r="490" ht="51.75" customHeight="1">
      <c r="A490" s="60"/>
      <c r="B490" s="60"/>
      <c r="C490" s="61"/>
    </row>
    <row r="491" ht="51.75" customHeight="1">
      <c r="A491" s="60"/>
      <c r="B491" s="60"/>
      <c r="C491" s="61"/>
    </row>
    <row r="492" ht="51.75" customHeight="1">
      <c r="A492" s="60"/>
      <c r="B492" s="60"/>
      <c r="C492" s="61"/>
    </row>
    <row r="493" ht="51.75" customHeight="1">
      <c r="A493" s="60"/>
      <c r="B493" s="60"/>
      <c r="C493" s="61"/>
    </row>
    <row r="494" ht="51.75" customHeight="1">
      <c r="A494" s="60"/>
      <c r="B494" s="60"/>
      <c r="C494" s="61"/>
    </row>
    <row r="495" ht="51.75" customHeight="1">
      <c r="A495" s="60"/>
      <c r="B495" s="60"/>
      <c r="C495" s="61"/>
    </row>
    <row r="496" ht="51.75" customHeight="1">
      <c r="A496" s="60"/>
      <c r="B496" s="60"/>
      <c r="C496" s="61"/>
    </row>
    <row r="497" ht="51.75" customHeight="1">
      <c r="A497" s="60"/>
      <c r="B497" s="60"/>
      <c r="C497" s="61"/>
    </row>
    <row r="498" ht="51.75" customHeight="1">
      <c r="A498" s="60"/>
      <c r="B498" s="60"/>
      <c r="C498" s="61"/>
    </row>
    <row r="499" ht="51.75" customHeight="1">
      <c r="A499" s="60"/>
      <c r="B499" s="60"/>
      <c r="C499" s="61"/>
    </row>
    <row r="500" ht="51.75" customHeight="1">
      <c r="A500" s="60"/>
      <c r="B500" s="60"/>
      <c r="C500" s="61"/>
    </row>
    <row r="501" ht="51.75" customHeight="1">
      <c r="A501" s="60"/>
      <c r="B501" s="60"/>
      <c r="C501" s="61"/>
    </row>
    <row r="502" ht="51.75" customHeight="1">
      <c r="A502" s="60"/>
      <c r="B502" s="60"/>
      <c r="C502" s="61"/>
    </row>
    <row r="503" ht="51.75" customHeight="1">
      <c r="A503" s="60"/>
      <c r="B503" s="60"/>
      <c r="C503" s="61"/>
    </row>
    <row r="504" ht="51.75" customHeight="1">
      <c r="A504" s="60"/>
      <c r="B504" s="60"/>
      <c r="C504" s="61"/>
    </row>
    <row r="505" ht="51.75" customHeight="1">
      <c r="A505" s="60"/>
      <c r="B505" s="60"/>
      <c r="C505" s="61"/>
    </row>
    <row r="506" ht="51.75" customHeight="1">
      <c r="A506" s="60"/>
      <c r="B506" s="60"/>
      <c r="C506" s="61"/>
    </row>
    <row r="507" ht="51.75" customHeight="1">
      <c r="A507" s="60"/>
      <c r="B507" s="60"/>
      <c r="C507" s="61"/>
    </row>
    <row r="508" ht="51.75" customHeight="1">
      <c r="A508" s="60"/>
      <c r="B508" s="60"/>
      <c r="C508" s="61"/>
    </row>
    <row r="509" ht="51.75" customHeight="1">
      <c r="A509" s="60"/>
      <c r="B509" s="60"/>
      <c r="C509" s="61"/>
    </row>
    <row r="510" ht="51.75" customHeight="1">
      <c r="A510" s="60"/>
      <c r="B510" s="60"/>
      <c r="C510" s="61"/>
    </row>
    <row r="511" ht="51.75" customHeight="1">
      <c r="A511" s="60"/>
      <c r="B511" s="60"/>
      <c r="C511" s="61"/>
    </row>
    <row r="512" ht="51.75" customHeight="1">
      <c r="A512" s="60"/>
      <c r="B512" s="60"/>
      <c r="C512" s="61"/>
    </row>
    <row r="513" ht="51.75" customHeight="1">
      <c r="A513" s="60"/>
      <c r="B513" s="60"/>
      <c r="C513" s="61"/>
    </row>
    <row r="514" ht="51.75" customHeight="1">
      <c r="A514" s="60"/>
      <c r="B514" s="60"/>
      <c r="C514" s="61"/>
    </row>
    <row r="515" ht="51.75" customHeight="1">
      <c r="A515" s="60"/>
      <c r="B515" s="60"/>
      <c r="C515" s="61"/>
    </row>
    <row r="516" ht="51.75" customHeight="1">
      <c r="A516" s="60"/>
      <c r="B516" s="60"/>
      <c r="C516" s="61"/>
    </row>
    <row r="517" ht="51.75" customHeight="1">
      <c r="A517" s="60"/>
      <c r="B517" s="60"/>
      <c r="C517" s="61"/>
    </row>
    <row r="518" ht="51.75" customHeight="1">
      <c r="A518" s="60"/>
      <c r="B518" s="60"/>
      <c r="C518" s="61"/>
    </row>
    <row r="519" ht="51.75" customHeight="1">
      <c r="A519" s="60"/>
      <c r="B519" s="60"/>
      <c r="C519" s="61"/>
    </row>
    <row r="520" ht="51.75" customHeight="1">
      <c r="A520" s="60"/>
      <c r="B520" s="60"/>
      <c r="C520" s="61"/>
    </row>
    <row r="521" ht="51.75" customHeight="1">
      <c r="A521" s="60"/>
      <c r="B521" s="60"/>
      <c r="C521" s="61"/>
    </row>
    <row r="522" ht="51.75" customHeight="1">
      <c r="A522" s="60"/>
      <c r="B522" s="60"/>
      <c r="C522" s="61"/>
    </row>
    <row r="523" ht="51.75" customHeight="1">
      <c r="A523" s="60"/>
      <c r="B523" s="60"/>
      <c r="C523" s="61"/>
    </row>
    <row r="524" ht="51.75" customHeight="1">
      <c r="A524" s="60"/>
      <c r="B524" s="60"/>
      <c r="C524" s="61"/>
    </row>
    <row r="525" ht="51.75" customHeight="1">
      <c r="A525" s="60"/>
      <c r="B525" s="60"/>
      <c r="C525" s="61"/>
    </row>
    <row r="526" ht="51.75" customHeight="1">
      <c r="A526" s="60"/>
      <c r="B526" s="60"/>
      <c r="C526" s="61"/>
    </row>
    <row r="527" ht="51.75" customHeight="1">
      <c r="A527" s="60"/>
      <c r="B527" s="60"/>
      <c r="C527" s="61"/>
    </row>
    <row r="528" ht="51.75" customHeight="1">
      <c r="A528" s="60"/>
      <c r="B528" s="60"/>
      <c r="C528" s="61"/>
    </row>
    <row r="529" ht="51.75" customHeight="1">
      <c r="A529" s="60"/>
      <c r="B529" s="60"/>
      <c r="C529" s="61"/>
    </row>
    <row r="530" ht="51.75" customHeight="1">
      <c r="A530" s="60"/>
      <c r="B530" s="60"/>
      <c r="C530" s="61"/>
    </row>
    <row r="531" ht="51.75" customHeight="1">
      <c r="A531" s="60"/>
      <c r="B531" s="60"/>
      <c r="C531" s="61"/>
    </row>
    <row r="532" ht="51.75" customHeight="1">
      <c r="A532" s="60"/>
      <c r="B532" s="60"/>
      <c r="C532" s="61"/>
    </row>
    <row r="533" ht="51.75" customHeight="1">
      <c r="A533" s="60"/>
      <c r="B533" s="60"/>
      <c r="C533" s="61"/>
    </row>
    <row r="534" ht="51.75" customHeight="1">
      <c r="A534" s="60"/>
      <c r="B534" s="60"/>
      <c r="C534" s="61"/>
    </row>
    <row r="535" ht="51.75" customHeight="1">
      <c r="A535" s="60"/>
      <c r="B535" s="60"/>
      <c r="C535" s="61"/>
    </row>
    <row r="536" ht="51.75" customHeight="1">
      <c r="A536" s="60"/>
      <c r="B536" s="60"/>
      <c r="C536" s="61"/>
    </row>
    <row r="537" ht="51.75" customHeight="1">
      <c r="A537" s="60"/>
      <c r="B537" s="60"/>
      <c r="C537" s="61"/>
    </row>
    <row r="538" ht="51.75" customHeight="1">
      <c r="A538" s="60"/>
      <c r="B538" s="60"/>
      <c r="C538" s="61"/>
    </row>
    <row r="539" ht="51.75" customHeight="1">
      <c r="A539" s="60"/>
      <c r="B539" s="60"/>
      <c r="C539" s="61"/>
    </row>
    <row r="540" ht="51.75" customHeight="1">
      <c r="A540" s="60"/>
      <c r="B540" s="60"/>
      <c r="C540" s="61"/>
    </row>
    <row r="541" ht="51.75" customHeight="1">
      <c r="A541" s="60"/>
      <c r="B541" s="60"/>
      <c r="C541" s="61"/>
    </row>
    <row r="542" ht="51.75" customHeight="1">
      <c r="A542" s="60"/>
      <c r="B542" s="60"/>
      <c r="C542" s="61"/>
    </row>
    <row r="543" ht="51.75" customHeight="1">
      <c r="A543" s="60"/>
      <c r="B543" s="60"/>
      <c r="C543" s="61"/>
    </row>
    <row r="544" ht="51.75" customHeight="1">
      <c r="A544" s="60"/>
      <c r="B544" s="60"/>
      <c r="C544" s="61"/>
    </row>
    <row r="545" ht="51.75" customHeight="1">
      <c r="A545" s="60"/>
      <c r="B545" s="60"/>
      <c r="C545" s="61"/>
    </row>
    <row r="546" ht="51.75" customHeight="1">
      <c r="A546" s="60"/>
      <c r="B546" s="60"/>
      <c r="C546" s="61"/>
    </row>
    <row r="547" ht="51.75" customHeight="1">
      <c r="A547" s="60"/>
      <c r="B547" s="60"/>
      <c r="C547" s="61"/>
    </row>
    <row r="548" ht="51.75" customHeight="1">
      <c r="A548" s="60"/>
      <c r="B548" s="60"/>
      <c r="C548" s="61"/>
    </row>
    <row r="549" ht="51.75" customHeight="1">
      <c r="A549" s="60"/>
      <c r="B549" s="60"/>
      <c r="C549" s="61"/>
    </row>
    <row r="550" ht="51.75" customHeight="1">
      <c r="A550" s="60"/>
      <c r="B550" s="60"/>
      <c r="C550" s="61"/>
    </row>
    <row r="551" ht="51.75" customHeight="1">
      <c r="A551" s="60"/>
      <c r="B551" s="60"/>
      <c r="C551" s="61"/>
    </row>
    <row r="552" ht="51.75" customHeight="1">
      <c r="A552" s="60"/>
      <c r="B552" s="60"/>
      <c r="C552" s="61"/>
    </row>
    <row r="553" ht="51.75" customHeight="1">
      <c r="A553" s="60"/>
      <c r="B553" s="60"/>
      <c r="C553" s="61"/>
    </row>
    <row r="554" ht="51.75" customHeight="1">
      <c r="A554" s="60"/>
      <c r="B554" s="60"/>
      <c r="C554" s="61"/>
    </row>
    <row r="555" ht="51.75" customHeight="1">
      <c r="A555" s="60"/>
      <c r="B555" s="60"/>
      <c r="C555" s="61"/>
    </row>
    <row r="556" ht="51.75" customHeight="1">
      <c r="A556" s="60"/>
      <c r="B556" s="60"/>
      <c r="C556" s="61"/>
    </row>
    <row r="557" ht="51.75" customHeight="1">
      <c r="A557" s="60"/>
      <c r="B557" s="60"/>
      <c r="C557" s="61"/>
    </row>
    <row r="558" ht="51.75" customHeight="1">
      <c r="A558" s="60"/>
      <c r="B558" s="60"/>
      <c r="C558" s="61"/>
    </row>
    <row r="559" ht="51.75" customHeight="1">
      <c r="A559" s="60"/>
      <c r="B559" s="60"/>
      <c r="C559" s="61"/>
    </row>
    <row r="560" ht="51.75" customHeight="1">
      <c r="A560" s="60"/>
      <c r="B560" s="60"/>
      <c r="C560" s="61"/>
    </row>
    <row r="561" ht="51.75" customHeight="1">
      <c r="A561" s="60"/>
      <c r="B561" s="60"/>
      <c r="C561" s="61"/>
    </row>
    <row r="562" ht="51.75" customHeight="1">
      <c r="A562" s="60"/>
      <c r="B562" s="60"/>
      <c r="C562" s="61"/>
    </row>
    <row r="563" ht="51.75" customHeight="1">
      <c r="A563" s="60"/>
      <c r="B563" s="60"/>
      <c r="C563" s="61"/>
    </row>
    <row r="564" ht="51.75" customHeight="1">
      <c r="A564" s="60"/>
      <c r="B564" s="60"/>
      <c r="C564" s="61"/>
    </row>
    <row r="565" ht="51.75" customHeight="1">
      <c r="A565" s="60"/>
      <c r="B565" s="60"/>
      <c r="C565" s="61"/>
    </row>
    <row r="566" ht="51.75" customHeight="1">
      <c r="A566" s="60"/>
      <c r="B566" s="60"/>
      <c r="C566" s="61"/>
    </row>
    <row r="567" ht="51.75" customHeight="1">
      <c r="A567" s="60"/>
      <c r="B567" s="60"/>
      <c r="C567" s="61"/>
    </row>
    <row r="568" ht="51.75" customHeight="1">
      <c r="A568" s="60"/>
      <c r="B568" s="60"/>
      <c r="C568" s="61"/>
    </row>
    <row r="569" ht="51.75" customHeight="1">
      <c r="A569" s="60"/>
      <c r="B569" s="60"/>
      <c r="C569" s="61"/>
    </row>
    <row r="570" ht="51.75" customHeight="1">
      <c r="A570" s="60"/>
      <c r="B570" s="60"/>
      <c r="C570" s="61"/>
    </row>
    <row r="571" ht="51.75" customHeight="1">
      <c r="A571" s="60"/>
      <c r="B571" s="60"/>
      <c r="C571" s="61"/>
    </row>
    <row r="572" ht="51.75" customHeight="1">
      <c r="A572" s="60"/>
      <c r="B572" s="60"/>
      <c r="C572" s="61"/>
    </row>
    <row r="573" ht="51.75" customHeight="1">
      <c r="A573" s="60"/>
      <c r="B573" s="60"/>
      <c r="C573" s="61"/>
    </row>
    <row r="574" ht="51.75" customHeight="1">
      <c r="A574" s="60"/>
      <c r="B574" s="60"/>
      <c r="C574" s="61"/>
    </row>
    <row r="575" ht="51.75" customHeight="1">
      <c r="A575" s="60"/>
      <c r="B575" s="60"/>
      <c r="C575" s="61"/>
    </row>
    <row r="576" ht="51.75" customHeight="1">
      <c r="A576" s="60"/>
      <c r="B576" s="60"/>
      <c r="C576" s="61"/>
    </row>
    <row r="577" ht="51.75" customHeight="1">
      <c r="A577" s="60"/>
      <c r="B577" s="60"/>
      <c r="C577" s="61"/>
    </row>
    <row r="578" ht="51.75" customHeight="1">
      <c r="A578" s="60"/>
      <c r="B578" s="60"/>
      <c r="C578" s="61"/>
    </row>
    <row r="579" ht="51.75" customHeight="1">
      <c r="A579" s="60"/>
      <c r="B579" s="60"/>
      <c r="C579" s="61"/>
    </row>
    <row r="580" ht="51.75" customHeight="1">
      <c r="A580" s="60"/>
      <c r="B580" s="60"/>
      <c r="C580" s="61"/>
    </row>
    <row r="581" ht="51.75" customHeight="1">
      <c r="A581" s="60"/>
      <c r="B581" s="60"/>
      <c r="C581" s="61"/>
    </row>
    <row r="582" ht="51.75" customHeight="1">
      <c r="A582" s="60"/>
      <c r="B582" s="60"/>
      <c r="C582" s="61"/>
    </row>
    <row r="583" ht="51.75" customHeight="1">
      <c r="A583" s="60"/>
      <c r="B583" s="60"/>
      <c r="C583" s="61"/>
    </row>
    <row r="584" ht="51.75" customHeight="1">
      <c r="A584" s="60"/>
      <c r="B584" s="60"/>
      <c r="C584" s="61"/>
    </row>
    <row r="585" ht="51.75" customHeight="1">
      <c r="A585" s="60"/>
      <c r="B585" s="60"/>
      <c r="C585" s="61"/>
    </row>
    <row r="586" ht="51.75" customHeight="1">
      <c r="A586" s="60"/>
      <c r="B586" s="60"/>
      <c r="C586" s="61"/>
    </row>
    <row r="587" ht="51.75" customHeight="1">
      <c r="A587" s="60"/>
      <c r="B587" s="60"/>
      <c r="C587" s="61"/>
    </row>
    <row r="588" ht="51.75" customHeight="1">
      <c r="A588" s="60"/>
      <c r="B588" s="60"/>
      <c r="C588" s="61"/>
    </row>
    <row r="589" ht="51.75" customHeight="1">
      <c r="A589" s="60"/>
      <c r="B589" s="60"/>
      <c r="C589" s="61"/>
    </row>
    <row r="590" ht="51.75" customHeight="1">
      <c r="A590" s="60"/>
      <c r="B590" s="60"/>
      <c r="C590" s="61"/>
    </row>
    <row r="591" ht="51.75" customHeight="1">
      <c r="A591" s="60"/>
      <c r="B591" s="60"/>
      <c r="C591" s="61"/>
    </row>
    <row r="592" ht="51.75" customHeight="1">
      <c r="A592" s="60"/>
      <c r="B592" s="60"/>
      <c r="C592" s="61"/>
    </row>
    <row r="593" ht="51.75" customHeight="1">
      <c r="A593" s="60"/>
      <c r="B593" s="60"/>
      <c r="C593" s="61"/>
    </row>
    <row r="594" ht="51.75" customHeight="1">
      <c r="A594" s="60"/>
      <c r="B594" s="60"/>
      <c r="C594" s="61"/>
    </row>
    <row r="595" ht="51.75" customHeight="1">
      <c r="A595" s="60"/>
      <c r="B595" s="60"/>
      <c r="C595" s="61"/>
    </row>
    <row r="596" ht="51.75" customHeight="1">
      <c r="A596" s="60"/>
      <c r="B596" s="60"/>
      <c r="C596" s="61"/>
    </row>
    <row r="597" ht="51.75" customHeight="1">
      <c r="A597" s="60"/>
      <c r="B597" s="60"/>
      <c r="C597" s="61"/>
    </row>
    <row r="598" ht="51.75" customHeight="1">
      <c r="A598" s="60"/>
      <c r="B598" s="60"/>
      <c r="C598" s="61"/>
    </row>
    <row r="599" ht="51.75" customHeight="1">
      <c r="A599" s="60"/>
      <c r="B599" s="60"/>
      <c r="C599" s="61"/>
    </row>
    <row r="600" ht="51.75" customHeight="1">
      <c r="A600" s="60"/>
      <c r="B600" s="60"/>
      <c r="C600" s="61"/>
    </row>
    <row r="601" ht="51.75" customHeight="1">
      <c r="A601" s="60"/>
      <c r="B601" s="60"/>
      <c r="C601" s="61"/>
    </row>
    <row r="602" ht="51.75" customHeight="1">
      <c r="A602" s="60"/>
      <c r="B602" s="60"/>
      <c r="C602" s="61"/>
    </row>
    <row r="603" ht="51.75" customHeight="1">
      <c r="A603" s="60"/>
      <c r="B603" s="60"/>
      <c r="C603" s="61"/>
    </row>
    <row r="604" ht="51.75" customHeight="1">
      <c r="A604" s="60"/>
      <c r="B604" s="60"/>
      <c r="C604" s="61"/>
    </row>
    <row r="605" ht="51.75" customHeight="1">
      <c r="A605" s="60"/>
      <c r="B605" s="60"/>
      <c r="C605" s="61"/>
    </row>
    <row r="606" ht="51.75" customHeight="1">
      <c r="A606" s="60"/>
      <c r="B606" s="60"/>
      <c r="C606" s="61"/>
    </row>
    <row r="607" ht="51.75" customHeight="1">
      <c r="A607" s="60"/>
      <c r="B607" s="60"/>
      <c r="C607" s="61"/>
    </row>
    <row r="608" ht="51.75" customHeight="1">
      <c r="A608" s="60"/>
      <c r="B608" s="60"/>
      <c r="C608" s="61"/>
    </row>
    <row r="609" ht="51.75" customHeight="1">
      <c r="A609" s="60"/>
      <c r="B609" s="60"/>
      <c r="C609" s="61"/>
    </row>
    <row r="610" ht="51.75" customHeight="1">
      <c r="A610" s="60"/>
      <c r="B610" s="60"/>
      <c r="C610" s="61"/>
    </row>
    <row r="611" ht="51.75" customHeight="1">
      <c r="A611" s="60"/>
      <c r="B611" s="60"/>
      <c r="C611" s="61"/>
    </row>
    <row r="612" ht="51.75" customHeight="1">
      <c r="A612" s="60"/>
      <c r="B612" s="60"/>
      <c r="C612" s="61"/>
    </row>
    <row r="613" ht="51.75" customHeight="1">
      <c r="A613" s="60"/>
      <c r="B613" s="60"/>
      <c r="C613" s="61"/>
    </row>
    <row r="614" ht="51.75" customHeight="1">
      <c r="A614" s="60"/>
      <c r="B614" s="60"/>
      <c r="C614" s="61"/>
    </row>
    <row r="615" ht="51.75" customHeight="1">
      <c r="A615" s="60"/>
      <c r="B615" s="60"/>
      <c r="C615" s="61"/>
    </row>
    <row r="616" ht="51.75" customHeight="1">
      <c r="A616" s="60"/>
      <c r="B616" s="60"/>
      <c r="C616" s="61"/>
    </row>
    <row r="617" ht="51.75" customHeight="1">
      <c r="A617" s="60"/>
      <c r="B617" s="60"/>
      <c r="C617" s="61"/>
    </row>
    <row r="618" ht="51.75" customHeight="1">
      <c r="A618" s="60"/>
      <c r="B618" s="60"/>
      <c r="C618" s="61"/>
    </row>
    <row r="619" ht="51.75" customHeight="1">
      <c r="A619" s="60"/>
      <c r="B619" s="60"/>
      <c r="C619" s="61"/>
    </row>
    <row r="620" ht="51.75" customHeight="1">
      <c r="A620" s="60"/>
      <c r="B620" s="60"/>
      <c r="C620" s="61"/>
    </row>
    <row r="621" ht="51.75" customHeight="1">
      <c r="A621" s="60"/>
      <c r="B621" s="60"/>
      <c r="C621" s="61"/>
    </row>
    <row r="622" ht="51.75" customHeight="1">
      <c r="A622" s="60"/>
      <c r="B622" s="60"/>
      <c r="C622" s="61"/>
    </row>
    <row r="623" ht="51.75" customHeight="1">
      <c r="A623" s="60"/>
      <c r="B623" s="60"/>
      <c r="C623" s="61"/>
    </row>
    <row r="624" ht="51.75" customHeight="1">
      <c r="A624" s="60"/>
      <c r="B624" s="60"/>
      <c r="C624" s="61"/>
    </row>
    <row r="625" ht="51.75" customHeight="1">
      <c r="A625" s="60"/>
      <c r="B625" s="60"/>
      <c r="C625" s="61"/>
    </row>
    <row r="626" ht="51.75" customHeight="1">
      <c r="A626" s="60"/>
      <c r="B626" s="60"/>
      <c r="C626" s="61"/>
    </row>
    <row r="627" ht="51.75" customHeight="1">
      <c r="A627" s="60"/>
      <c r="B627" s="60"/>
      <c r="C627" s="61"/>
    </row>
    <row r="628" ht="51.75" customHeight="1">
      <c r="A628" s="60"/>
      <c r="B628" s="60"/>
      <c r="C628" s="61"/>
    </row>
    <row r="629" ht="51.75" customHeight="1">
      <c r="A629" s="60"/>
      <c r="B629" s="60"/>
      <c r="C629" s="61"/>
    </row>
    <row r="630" ht="51.75" customHeight="1">
      <c r="A630" s="60"/>
      <c r="B630" s="60"/>
      <c r="C630" s="61"/>
    </row>
    <row r="631" ht="51.75" customHeight="1">
      <c r="A631" s="60"/>
      <c r="B631" s="60"/>
      <c r="C631" s="61"/>
    </row>
    <row r="632" ht="51.75" customHeight="1">
      <c r="A632" s="60"/>
      <c r="B632" s="60"/>
      <c r="C632" s="61"/>
    </row>
    <row r="633" ht="51.75" customHeight="1">
      <c r="A633" s="60"/>
      <c r="B633" s="60"/>
      <c r="C633" s="61"/>
    </row>
    <row r="634" ht="51.75" customHeight="1">
      <c r="A634" s="60"/>
      <c r="B634" s="60"/>
      <c r="C634" s="61"/>
    </row>
    <row r="635" ht="51.75" customHeight="1">
      <c r="A635" s="60"/>
      <c r="B635" s="60"/>
      <c r="C635" s="61"/>
    </row>
    <row r="636" ht="51.75" customHeight="1">
      <c r="A636" s="60"/>
      <c r="B636" s="60"/>
      <c r="C636" s="61"/>
    </row>
    <row r="637" ht="51.75" customHeight="1">
      <c r="A637" s="60"/>
      <c r="B637" s="60"/>
      <c r="C637" s="61"/>
    </row>
    <row r="638" ht="51.75" customHeight="1">
      <c r="A638" s="60"/>
      <c r="B638" s="60"/>
      <c r="C638" s="61"/>
    </row>
    <row r="639" ht="51.75" customHeight="1">
      <c r="A639" s="60"/>
      <c r="B639" s="60"/>
      <c r="C639" s="61"/>
    </row>
    <row r="640" ht="51.75" customHeight="1">
      <c r="A640" s="60"/>
      <c r="B640" s="60"/>
      <c r="C640" s="61"/>
    </row>
    <row r="641" ht="51.75" customHeight="1">
      <c r="A641" s="60"/>
      <c r="B641" s="60"/>
      <c r="C641" s="61"/>
    </row>
    <row r="642" ht="51.75" customHeight="1">
      <c r="A642" s="60"/>
      <c r="B642" s="60"/>
      <c r="C642" s="61"/>
    </row>
    <row r="643" ht="51.75" customHeight="1">
      <c r="A643" s="60"/>
      <c r="B643" s="60"/>
      <c r="C643" s="61"/>
    </row>
    <row r="644" ht="51.75" customHeight="1">
      <c r="A644" s="60"/>
      <c r="B644" s="60"/>
      <c r="C644" s="61"/>
    </row>
    <row r="645" ht="51.75" customHeight="1">
      <c r="A645" s="60"/>
      <c r="B645" s="60"/>
      <c r="C645" s="61"/>
    </row>
    <row r="646" ht="51.75" customHeight="1">
      <c r="A646" s="60"/>
      <c r="B646" s="60"/>
      <c r="C646" s="61"/>
    </row>
    <row r="647" ht="51.75" customHeight="1">
      <c r="A647" s="60"/>
      <c r="B647" s="60"/>
      <c r="C647" s="61"/>
    </row>
    <row r="648" ht="51.75" customHeight="1">
      <c r="A648" s="60"/>
      <c r="B648" s="60"/>
      <c r="C648" s="61"/>
    </row>
    <row r="649" ht="51.75" customHeight="1">
      <c r="A649" s="60"/>
      <c r="B649" s="60"/>
      <c r="C649" s="61"/>
    </row>
    <row r="650" ht="51.75" customHeight="1">
      <c r="A650" s="60"/>
      <c r="B650" s="60"/>
      <c r="C650" s="61"/>
    </row>
    <row r="651" ht="51.75" customHeight="1">
      <c r="A651" s="60"/>
      <c r="B651" s="60"/>
      <c r="C651" s="61"/>
    </row>
    <row r="652" ht="51.75" customHeight="1">
      <c r="A652" s="60"/>
      <c r="B652" s="60"/>
      <c r="C652" s="61"/>
    </row>
    <row r="653" ht="51.75" customHeight="1">
      <c r="A653" s="60"/>
      <c r="B653" s="60"/>
      <c r="C653" s="61"/>
    </row>
    <row r="654" ht="51.75" customHeight="1">
      <c r="A654" s="60"/>
      <c r="B654" s="60"/>
      <c r="C654" s="61"/>
    </row>
    <row r="655" ht="51.75" customHeight="1">
      <c r="A655" s="60"/>
      <c r="B655" s="60"/>
      <c r="C655" s="61"/>
    </row>
    <row r="656" ht="51.75" customHeight="1">
      <c r="A656" s="60"/>
      <c r="B656" s="60"/>
      <c r="C656" s="61"/>
    </row>
    <row r="657" ht="51.75" customHeight="1">
      <c r="A657" s="60"/>
      <c r="B657" s="60"/>
      <c r="C657" s="61"/>
    </row>
    <row r="658" ht="51.75" customHeight="1">
      <c r="A658" s="60"/>
      <c r="B658" s="60"/>
      <c r="C658" s="61"/>
    </row>
    <row r="659" ht="51.75" customHeight="1">
      <c r="A659" s="60"/>
      <c r="B659" s="60"/>
      <c r="C659" s="61"/>
    </row>
    <row r="660" ht="51.75" customHeight="1">
      <c r="A660" s="60"/>
      <c r="B660" s="60"/>
      <c r="C660" s="61"/>
    </row>
    <row r="661" ht="51.75" customHeight="1">
      <c r="A661" s="60"/>
      <c r="B661" s="60"/>
      <c r="C661" s="61"/>
    </row>
    <row r="662" ht="51.75" customHeight="1">
      <c r="A662" s="60"/>
      <c r="B662" s="60"/>
      <c r="C662" s="61"/>
    </row>
    <row r="663" ht="51.75" customHeight="1">
      <c r="A663" s="60"/>
      <c r="B663" s="60"/>
      <c r="C663" s="61"/>
    </row>
    <row r="664" ht="51.75" customHeight="1">
      <c r="A664" s="60"/>
      <c r="B664" s="60"/>
      <c r="C664" s="61"/>
    </row>
    <row r="665" ht="51.75" customHeight="1">
      <c r="A665" s="60"/>
      <c r="B665" s="60"/>
      <c r="C665" s="61"/>
    </row>
    <row r="666" ht="51.75" customHeight="1">
      <c r="A666" s="60"/>
      <c r="B666" s="60"/>
      <c r="C666" s="61"/>
    </row>
    <row r="667" ht="51.75" customHeight="1">
      <c r="A667" s="60"/>
      <c r="B667" s="60"/>
      <c r="C667" s="61"/>
    </row>
    <row r="668" ht="51.75" customHeight="1">
      <c r="A668" s="60"/>
      <c r="B668" s="60"/>
      <c r="C668" s="61"/>
    </row>
    <row r="669" ht="51.75" customHeight="1">
      <c r="A669" s="60"/>
      <c r="B669" s="60"/>
      <c r="C669" s="61"/>
    </row>
    <row r="670" ht="51.75" customHeight="1">
      <c r="A670" s="60"/>
      <c r="B670" s="60"/>
      <c r="C670" s="61"/>
    </row>
    <row r="671" ht="51.75" customHeight="1">
      <c r="A671" s="60"/>
      <c r="B671" s="60"/>
      <c r="C671" s="61"/>
    </row>
    <row r="672" ht="51.75" customHeight="1">
      <c r="A672" s="60"/>
      <c r="B672" s="60"/>
      <c r="C672" s="61"/>
    </row>
    <row r="673" ht="51.75" customHeight="1">
      <c r="A673" s="60"/>
      <c r="B673" s="60"/>
      <c r="C673" s="61"/>
    </row>
    <row r="674" ht="51.75" customHeight="1">
      <c r="A674" s="60"/>
      <c r="B674" s="60"/>
      <c r="C674" s="61"/>
    </row>
    <row r="675" ht="51.75" customHeight="1">
      <c r="A675" s="60"/>
      <c r="B675" s="60"/>
      <c r="C675" s="61"/>
    </row>
    <row r="676" ht="51.75" customHeight="1">
      <c r="A676" s="60"/>
      <c r="B676" s="60"/>
      <c r="C676" s="61"/>
    </row>
    <row r="677" ht="51.75" customHeight="1">
      <c r="A677" s="60"/>
      <c r="B677" s="60"/>
      <c r="C677" s="61"/>
    </row>
    <row r="678" ht="51.75" customHeight="1">
      <c r="A678" s="60"/>
      <c r="B678" s="60"/>
      <c r="C678" s="61"/>
    </row>
    <row r="679" ht="51.75" customHeight="1">
      <c r="A679" s="60"/>
      <c r="B679" s="60"/>
      <c r="C679" s="61"/>
    </row>
    <row r="680" ht="51.75" customHeight="1">
      <c r="A680" s="60"/>
      <c r="B680" s="60"/>
      <c r="C680" s="61"/>
    </row>
    <row r="681" ht="51.75" customHeight="1">
      <c r="A681" s="60"/>
      <c r="B681" s="60"/>
      <c r="C681" s="61"/>
    </row>
    <row r="682" ht="51.75" customHeight="1">
      <c r="A682" s="60"/>
      <c r="B682" s="60"/>
      <c r="C682" s="61"/>
    </row>
    <row r="683" ht="51.75" customHeight="1">
      <c r="A683" s="60"/>
      <c r="B683" s="60"/>
      <c r="C683" s="61"/>
    </row>
    <row r="684" ht="51.75" customHeight="1">
      <c r="A684" s="60"/>
      <c r="B684" s="60"/>
      <c r="C684" s="61"/>
    </row>
    <row r="685" ht="51.75" customHeight="1">
      <c r="A685" s="60"/>
      <c r="B685" s="60"/>
      <c r="C685" s="61"/>
    </row>
    <row r="686" ht="51.75" customHeight="1">
      <c r="A686" s="60"/>
      <c r="B686" s="60"/>
      <c r="C686" s="61"/>
    </row>
    <row r="687" ht="51.75" customHeight="1">
      <c r="A687" s="60"/>
      <c r="B687" s="60"/>
      <c r="C687" s="61"/>
    </row>
    <row r="688" ht="51.75" customHeight="1">
      <c r="A688" s="60"/>
      <c r="B688" s="60"/>
      <c r="C688" s="61"/>
    </row>
    <row r="689" ht="51.75" customHeight="1">
      <c r="A689" s="60"/>
      <c r="B689" s="60"/>
      <c r="C689" s="61"/>
    </row>
    <row r="690" ht="51.75" customHeight="1">
      <c r="A690" s="60"/>
      <c r="B690" s="60"/>
      <c r="C690" s="61"/>
    </row>
    <row r="691" ht="51.75" customHeight="1">
      <c r="A691" s="60"/>
      <c r="B691" s="60"/>
      <c r="C691" s="61"/>
    </row>
    <row r="692" ht="51.75" customHeight="1">
      <c r="A692" s="60"/>
      <c r="B692" s="60"/>
      <c r="C692" s="61"/>
    </row>
    <row r="693" ht="51.75" customHeight="1">
      <c r="A693" s="60"/>
      <c r="B693" s="60"/>
      <c r="C693" s="61"/>
    </row>
    <row r="694" ht="51.75" customHeight="1">
      <c r="A694" s="60"/>
      <c r="B694" s="60"/>
      <c r="C694" s="61"/>
    </row>
    <row r="695" ht="51.75" customHeight="1">
      <c r="A695" s="60"/>
      <c r="B695" s="60"/>
      <c r="C695" s="61"/>
    </row>
    <row r="696" ht="51.75" customHeight="1">
      <c r="A696" s="60"/>
      <c r="B696" s="60"/>
      <c r="C696" s="61"/>
    </row>
    <row r="697" ht="51.75" customHeight="1">
      <c r="A697" s="60"/>
      <c r="B697" s="60"/>
      <c r="C697" s="61"/>
    </row>
    <row r="698" ht="51.75" customHeight="1">
      <c r="A698" s="60"/>
      <c r="B698" s="60"/>
      <c r="C698" s="61"/>
    </row>
    <row r="699" ht="51.75" customHeight="1">
      <c r="A699" s="60"/>
      <c r="B699" s="60"/>
      <c r="C699" s="61"/>
    </row>
    <row r="700" ht="51.75" customHeight="1">
      <c r="A700" s="60"/>
      <c r="B700" s="60"/>
      <c r="C700" s="61"/>
    </row>
    <row r="701" ht="51.75" customHeight="1">
      <c r="A701" s="60"/>
      <c r="B701" s="60"/>
      <c r="C701" s="61"/>
    </row>
    <row r="702" ht="51.75" customHeight="1">
      <c r="A702" s="60"/>
      <c r="B702" s="60"/>
      <c r="C702" s="61"/>
    </row>
    <row r="703" ht="51.75" customHeight="1">
      <c r="A703" s="60"/>
      <c r="B703" s="60"/>
      <c r="C703" s="61"/>
    </row>
    <row r="704" ht="51.75" customHeight="1">
      <c r="A704" s="60"/>
      <c r="B704" s="60"/>
      <c r="C704" s="61"/>
    </row>
    <row r="705" ht="51.75" customHeight="1">
      <c r="A705" s="60"/>
      <c r="B705" s="60"/>
      <c r="C705" s="61"/>
    </row>
    <row r="706" ht="51.75" customHeight="1">
      <c r="A706" s="60"/>
      <c r="B706" s="60"/>
      <c r="C706" s="61"/>
    </row>
    <row r="707" ht="51.75" customHeight="1">
      <c r="A707" s="60"/>
      <c r="B707" s="60"/>
      <c r="C707" s="61"/>
    </row>
    <row r="708" ht="51.75" customHeight="1">
      <c r="A708" s="60"/>
      <c r="B708" s="60"/>
      <c r="C708" s="61"/>
    </row>
    <row r="709" ht="51.75" customHeight="1">
      <c r="A709" s="60"/>
      <c r="B709" s="60"/>
      <c r="C709" s="61"/>
    </row>
    <row r="710" ht="51.75" customHeight="1">
      <c r="A710" s="60"/>
      <c r="B710" s="60"/>
      <c r="C710" s="61"/>
    </row>
    <row r="711" ht="51.75" customHeight="1">
      <c r="A711" s="60"/>
      <c r="B711" s="60"/>
      <c r="C711" s="61"/>
    </row>
    <row r="712" ht="51.75" customHeight="1">
      <c r="A712" s="60"/>
      <c r="B712" s="60"/>
      <c r="C712" s="61"/>
    </row>
    <row r="713" ht="51.75" customHeight="1">
      <c r="A713" s="60"/>
      <c r="B713" s="60"/>
      <c r="C713" s="61"/>
    </row>
    <row r="714" ht="51.75" customHeight="1">
      <c r="A714" s="60"/>
      <c r="B714" s="60"/>
      <c r="C714" s="61"/>
    </row>
    <row r="715" ht="51.75" customHeight="1">
      <c r="A715" s="60"/>
      <c r="B715" s="60"/>
      <c r="C715" s="61"/>
    </row>
    <row r="716" ht="51.75" customHeight="1">
      <c r="A716" s="60"/>
      <c r="B716" s="60"/>
      <c r="C716" s="61"/>
    </row>
    <row r="717" ht="51.75" customHeight="1">
      <c r="A717" s="60"/>
      <c r="B717" s="60"/>
      <c r="C717" s="61"/>
    </row>
    <row r="718" ht="51.75" customHeight="1">
      <c r="A718" s="60"/>
      <c r="B718" s="60"/>
      <c r="C718" s="61"/>
    </row>
    <row r="719" ht="51.75" customHeight="1">
      <c r="A719" s="60"/>
      <c r="B719" s="60"/>
      <c r="C719" s="61"/>
    </row>
    <row r="720" ht="51.75" customHeight="1">
      <c r="A720" s="60"/>
      <c r="B720" s="60"/>
      <c r="C720" s="61"/>
    </row>
    <row r="721" ht="51.75" customHeight="1">
      <c r="A721" s="60"/>
      <c r="B721" s="60"/>
      <c r="C721" s="61"/>
    </row>
    <row r="722" ht="51.75" customHeight="1">
      <c r="A722" s="60"/>
      <c r="B722" s="60"/>
      <c r="C722" s="61"/>
    </row>
    <row r="723" ht="51.75" customHeight="1">
      <c r="A723" s="60"/>
      <c r="B723" s="60"/>
      <c r="C723" s="61"/>
    </row>
    <row r="724" ht="51.75" customHeight="1">
      <c r="A724" s="60"/>
      <c r="B724" s="60"/>
      <c r="C724" s="61"/>
    </row>
    <row r="725" ht="51.75" customHeight="1">
      <c r="A725" s="60"/>
      <c r="B725" s="60"/>
      <c r="C725" s="61"/>
    </row>
    <row r="726" ht="51.75" customHeight="1">
      <c r="A726" s="60"/>
      <c r="B726" s="60"/>
      <c r="C726" s="61"/>
    </row>
    <row r="727" ht="51.75" customHeight="1">
      <c r="A727" s="60"/>
      <c r="B727" s="60"/>
      <c r="C727" s="61"/>
    </row>
    <row r="728" ht="51.75" customHeight="1">
      <c r="A728" s="60"/>
      <c r="B728" s="60"/>
      <c r="C728" s="61"/>
    </row>
    <row r="729" ht="51.75" customHeight="1">
      <c r="A729" s="60"/>
      <c r="B729" s="60"/>
      <c r="C729" s="61"/>
    </row>
    <row r="730" ht="51.75" customHeight="1">
      <c r="A730" s="60"/>
      <c r="B730" s="60"/>
      <c r="C730" s="61"/>
    </row>
    <row r="731" ht="51.75" customHeight="1">
      <c r="A731" s="60"/>
      <c r="B731" s="60"/>
      <c r="C731" s="61"/>
    </row>
    <row r="732" ht="51.75" customHeight="1">
      <c r="A732" s="60"/>
      <c r="B732" s="60"/>
      <c r="C732" s="61"/>
    </row>
    <row r="733" ht="51.75" customHeight="1">
      <c r="A733" s="60"/>
      <c r="B733" s="60"/>
      <c r="C733" s="61"/>
    </row>
    <row r="734" ht="51.75" customHeight="1">
      <c r="A734" s="60"/>
      <c r="B734" s="60"/>
      <c r="C734" s="61"/>
    </row>
    <row r="735" ht="51.75" customHeight="1">
      <c r="A735" s="60"/>
      <c r="B735" s="60"/>
      <c r="C735" s="61"/>
    </row>
    <row r="736" ht="51.75" customHeight="1">
      <c r="A736" s="60"/>
      <c r="B736" s="60"/>
      <c r="C736" s="61"/>
    </row>
    <row r="737" ht="51.75" customHeight="1">
      <c r="A737" s="60"/>
      <c r="B737" s="60"/>
      <c r="C737" s="61"/>
    </row>
    <row r="738" ht="51.75" customHeight="1">
      <c r="A738" s="60"/>
      <c r="B738" s="60"/>
      <c r="C738" s="61"/>
    </row>
    <row r="739" ht="51.75" customHeight="1">
      <c r="A739" s="60"/>
      <c r="B739" s="60"/>
      <c r="C739" s="61"/>
    </row>
    <row r="740" ht="51.75" customHeight="1">
      <c r="A740" s="60"/>
      <c r="B740" s="60"/>
      <c r="C740" s="61"/>
    </row>
    <row r="741" ht="51.75" customHeight="1">
      <c r="A741" s="60"/>
      <c r="B741" s="60"/>
      <c r="C741" s="61"/>
    </row>
    <row r="742" ht="51.75" customHeight="1">
      <c r="A742" s="60"/>
      <c r="B742" s="60"/>
      <c r="C742" s="61"/>
    </row>
    <row r="743" ht="51.75" customHeight="1">
      <c r="A743" s="60"/>
      <c r="B743" s="60"/>
      <c r="C743" s="61"/>
    </row>
    <row r="744" ht="51.75" customHeight="1">
      <c r="A744" s="60"/>
      <c r="B744" s="60"/>
      <c r="C744" s="61"/>
    </row>
    <row r="745" ht="51.75" customHeight="1">
      <c r="A745" s="60"/>
      <c r="B745" s="60"/>
      <c r="C745" s="61"/>
    </row>
    <row r="746" ht="51.75" customHeight="1">
      <c r="A746" s="60"/>
      <c r="B746" s="60"/>
      <c r="C746" s="61"/>
    </row>
    <row r="747" ht="51.75" customHeight="1">
      <c r="A747" s="60"/>
      <c r="B747" s="60"/>
      <c r="C747" s="61"/>
    </row>
    <row r="748" ht="51.75" customHeight="1">
      <c r="A748" s="60"/>
      <c r="B748" s="60"/>
      <c r="C748" s="61"/>
    </row>
    <row r="749" ht="51.75" customHeight="1">
      <c r="A749" s="60"/>
      <c r="B749" s="60"/>
      <c r="C749" s="61"/>
    </row>
    <row r="750" ht="51.75" customHeight="1">
      <c r="A750" s="60"/>
      <c r="B750" s="60"/>
      <c r="C750" s="61"/>
    </row>
    <row r="751" ht="51.75" customHeight="1">
      <c r="A751" s="60"/>
      <c r="B751" s="60"/>
      <c r="C751" s="61"/>
    </row>
    <row r="752" ht="51.75" customHeight="1">
      <c r="A752" s="60"/>
      <c r="B752" s="60"/>
      <c r="C752" s="61"/>
    </row>
    <row r="753" ht="51.75" customHeight="1">
      <c r="A753" s="60"/>
      <c r="B753" s="60"/>
      <c r="C753" s="61"/>
    </row>
    <row r="754" ht="51.75" customHeight="1">
      <c r="A754" s="60"/>
      <c r="B754" s="60"/>
      <c r="C754" s="61"/>
    </row>
    <row r="755" ht="51.75" customHeight="1">
      <c r="A755" s="60"/>
      <c r="B755" s="60"/>
      <c r="C755" s="61"/>
    </row>
    <row r="756" ht="51.75" customHeight="1">
      <c r="A756" s="60"/>
      <c r="B756" s="60"/>
      <c r="C756" s="61"/>
    </row>
    <row r="757" ht="51.75" customHeight="1">
      <c r="A757" s="60"/>
      <c r="B757" s="60"/>
      <c r="C757" s="61"/>
    </row>
    <row r="758" ht="51.75" customHeight="1">
      <c r="A758" s="60"/>
      <c r="B758" s="60"/>
      <c r="C758" s="61"/>
    </row>
    <row r="759" ht="51.75" customHeight="1">
      <c r="A759" s="60"/>
      <c r="B759" s="60"/>
      <c r="C759" s="61"/>
    </row>
    <row r="760" ht="51.75" customHeight="1">
      <c r="A760" s="60"/>
      <c r="B760" s="60"/>
      <c r="C760" s="61"/>
    </row>
    <row r="761" ht="51.75" customHeight="1">
      <c r="A761" s="60"/>
      <c r="B761" s="60"/>
      <c r="C761" s="61"/>
    </row>
    <row r="762" ht="51.75" customHeight="1">
      <c r="A762" s="60"/>
      <c r="B762" s="60"/>
      <c r="C762" s="61"/>
    </row>
    <row r="763" ht="51.75" customHeight="1">
      <c r="A763" s="60"/>
      <c r="B763" s="60"/>
      <c r="C763" s="61"/>
    </row>
    <row r="764" ht="51.75" customHeight="1">
      <c r="A764" s="60"/>
      <c r="B764" s="60"/>
      <c r="C764" s="61"/>
    </row>
    <row r="765" ht="51.75" customHeight="1">
      <c r="A765" s="60"/>
      <c r="B765" s="60"/>
      <c r="C765" s="61"/>
    </row>
    <row r="766" ht="51.75" customHeight="1">
      <c r="A766" s="60"/>
      <c r="B766" s="60"/>
      <c r="C766" s="61"/>
    </row>
    <row r="767" ht="51.75" customHeight="1">
      <c r="A767" s="60"/>
      <c r="B767" s="60"/>
      <c r="C767" s="61"/>
    </row>
    <row r="768" ht="51.75" customHeight="1">
      <c r="A768" s="60"/>
      <c r="B768" s="60"/>
      <c r="C768" s="61"/>
    </row>
    <row r="769" ht="51.75" customHeight="1">
      <c r="A769" s="60"/>
      <c r="B769" s="60"/>
      <c r="C769" s="61"/>
    </row>
    <row r="770" ht="51.75" customHeight="1">
      <c r="A770" s="60"/>
      <c r="B770" s="60"/>
      <c r="C770" s="61"/>
    </row>
    <row r="771" ht="51.75" customHeight="1">
      <c r="A771" s="60"/>
      <c r="B771" s="60"/>
      <c r="C771" s="61"/>
    </row>
    <row r="772" ht="51.75" customHeight="1">
      <c r="A772" s="60"/>
      <c r="B772" s="60"/>
      <c r="C772" s="61"/>
    </row>
    <row r="773" ht="51.75" customHeight="1">
      <c r="A773" s="60"/>
      <c r="B773" s="60"/>
      <c r="C773" s="61"/>
    </row>
    <row r="774" ht="51.75" customHeight="1">
      <c r="A774" s="60"/>
      <c r="B774" s="60"/>
      <c r="C774" s="61"/>
    </row>
    <row r="775" ht="51.75" customHeight="1">
      <c r="A775" s="60"/>
      <c r="B775" s="60"/>
      <c r="C775" s="61"/>
    </row>
    <row r="776" ht="51.75" customHeight="1">
      <c r="A776" s="60"/>
      <c r="B776" s="60"/>
      <c r="C776" s="61"/>
    </row>
    <row r="777" ht="51.75" customHeight="1">
      <c r="A777" s="60"/>
      <c r="B777" s="60"/>
      <c r="C777" s="61"/>
    </row>
    <row r="778" ht="51.75" customHeight="1">
      <c r="A778" s="60"/>
      <c r="B778" s="60"/>
      <c r="C778" s="61"/>
    </row>
    <row r="779" ht="51.75" customHeight="1">
      <c r="A779" s="60"/>
      <c r="B779" s="60"/>
      <c r="C779" s="61"/>
    </row>
    <row r="780" ht="51.75" customHeight="1">
      <c r="A780" s="60"/>
      <c r="B780" s="60"/>
      <c r="C780" s="61"/>
    </row>
    <row r="781" ht="51.75" customHeight="1">
      <c r="A781" s="60"/>
      <c r="B781" s="60"/>
      <c r="C781" s="61"/>
    </row>
    <row r="782" ht="51.75" customHeight="1">
      <c r="A782" s="60"/>
      <c r="B782" s="60"/>
      <c r="C782" s="61"/>
    </row>
    <row r="783" ht="51.75" customHeight="1">
      <c r="A783" s="60"/>
      <c r="B783" s="60"/>
      <c r="C783" s="61"/>
    </row>
    <row r="784" ht="51.75" customHeight="1">
      <c r="A784" s="60"/>
      <c r="B784" s="60"/>
      <c r="C784" s="61"/>
    </row>
    <row r="785" ht="51.75" customHeight="1">
      <c r="A785" s="60"/>
      <c r="B785" s="60"/>
      <c r="C785" s="61"/>
    </row>
    <row r="786" ht="51.75" customHeight="1">
      <c r="A786" s="60"/>
      <c r="B786" s="60"/>
      <c r="C786" s="61"/>
    </row>
    <row r="787" ht="51.75" customHeight="1">
      <c r="A787" s="60"/>
      <c r="B787" s="60"/>
      <c r="C787" s="61"/>
    </row>
    <row r="788" ht="51.75" customHeight="1">
      <c r="A788" s="60"/>
      <c r="B788" s="60"/>
      <c r="C788" s="61"/>
    </row>
    <row r="789" ht="51.75" customHeight="1">
      <c r="A789" s="60"/>
      <c r="B789" s="60"/>
      <c r="C789" s="61"/>
    </row>
    <row r="790" ht="51.75" customHeight="1">
      <c r="A790" s="60"/>
      <c r="B790" s="60"/>
      <c r="C790" s="61"/>
    </row>
    <row r="791" ht="51.75" customHeight="1">
      <c r="A791" s="60"/>
      <c r="B791" s="60"/>
      <c r="C791" s="61"/>
    </row>
    <row r="792" ht="51.75" customHeight="1">
      <c r="A792" s="60"/>
      <c r="B792" s="60"/>
      <c r="C792" s="61"/>
    </row>
    <row r="793" ht="51.75" customHeight="1">
      <c r="A793" s="60"/>
      <c r="B793" s="60"/>
      <c r="C793" s="61"/>
    </row>
    <row r="794" ht="51.75" customHeight="1">
      <c r="A794" s="60"/>
      <c r="B794" s="60"/>
      <c r="C794" s="61"/>
    </row>
    <row r="795" ht="51.75" customHeight="1">
      <c r="A795" s="60"/>
      <c r="B795" s="60"/>
      <c r="C795" s="61"/>
    </row>
    <row r="796" ht="51.75" customHeight="1">
      <c r="A796" s="60"/>
      <c r="B796" s="60"/>
      <c r="C796" s="61"/>
    </row>
    <row r="797" ht="51.75" customHeight="1">
      <c r="A797" s="60"/>
      <c r="B797" s="60"/>
      <c r="C797" s="61"/>
    </row>
    <row r="798" ht="51.75" customHeight="1">
      <c r="A798" s="60"/>
      <c r="B798" s="60"/>
      <c r="C798" s="61"/>
    </row>
    <row r="799" ht="51.75" customHeight="1">
      <c r="A799" s="60"/>
      <c r="B799" s="60"/>
      <c r="C799" s="61"/>
    </row>
    <row r="800" ht="51.75" customHeight="1">
      <c r="A800" s="60"/>
      <c r="B800" s="60"/>
      <c r="C800" s="61"/>
    </row>
    <row r="801" ht="51.75" customHeight="1">
      <c r="A801" s="60"/>
      <c r="B801" s="60"/>
      <c r="C801" s="61"/>
    </row>
    <row r="802" ht="51.75" customHeight="1">
      <c r="A802" s="60"/>
      <c r="B802" s="60"/>
      <c r="C802" s="61"/>
    </row>
    <row r="803" ht="51.75" customHeight="1">
      <c r="A803" s="60"/>
      <c r="B803" s="60"/>
      <c r="C803" s="61"/>
    </row>
    <row r="804" ht="51.75" customHeight="1">
      <c r="A804" s="60"/>
      <c r="B804" s="60"/>
      <c r="C804" s="61"/>
    </row>
    <row r="805" ht="51.75" customHeight="1">
      <c r="A805" s="60"/>
      <c r="B805" s="60"/>
      <c r="C805" s="61"/>
    </row>
    <row r="806" ht="51.75" customHeight="1">
      <c r="A806" s="60"/>
      <c r="B806" s="60"/>
      <c r="C806" s="61"/>
    </row>
    <row r="807" ht="51.75" customHeight="1">
      <c r="A807" s="60"/>
      <c r="B807" s="60"/>
      <c r="C807" s="61"/>
    </row>
    <row r="808" ht="51.75" customHeight="1">
      <c r="A808" s="60"/>
      <c r="B808" s="60"/>
      <c r="C808" s="61"/>
    </row>
    <row r="809" ht="51.75" customHeight="1">
      <c r="A809" s="60"/>
      <c r="B809" s="60"/>
      <c r="C809" s="61"/>
    </row>
    <row r="810" ht="51.75" customHeight="1">
      <c r="A810" s="60"/>
      <c r="B810" s="60"/>
      <c r="C810" s="61"/>
    </row>
    <row r="811" ht="51.75" customHeight="1">
      <c r="A811" s="60"/>
      <c r="B811" s="60"/>
      <c r="C811" s="61"/>
    </row>
    <row r="812" ht="51.75" customHeight="1">
      <c r="A812" s="60"/>
      <c r="B812" s="60"/>
      <c r="C812" s="61"/>
    </row>
    <row r="813" ht="51.75" customHeight="1">
      <c r="A813" s="60"/>
      <c r="B813" s="60"/>
      <c r="C813" s="61"/>
    </row>
    <row r="814" ht="51.75" customHeight="1">
      <c r="A814" s="60"/>
      <c r="B814" s="60"/>
      <c r="C814" s="61"/>
    </row>
    <row r="815" ht="51.75" customHeight="1">
      <c r="A815" s="60"/>
      <c r="B815" s="60"/>
      <c r="C815" s="61"/>
    </row>
    <row r="816" ht="51.75" customHeight="1">
      <c r="A816" s="60"/>
      <c r="B816" s="60"/>
      <c r="C816" s="61"/>
    </row>
    <row r="817" ht="51.75" customHeight="1">
      <c r="A817" s="60"/>
      <c r="B817" s="60"/>
      <c r="C817" s="61"/>
    </row>
    <row r="818" ht="51.75" customHeight="1">
      <c r="A818" s="60"/>
      <c r="B818" s="60"/>
      <c r="C818" s="61"/>
    </row>
    <row r="819" ht="51.75" customHeight="1">
      <c r="A819" s="60"/>
      <c r="B819" s="60"/>
      <c r="C819" s="61"/>
    </row>
    <row r="820" ht="51.75" customHeight="1">
      <c r="A820" s="60"/>
      <c r="B820" s="60"/>
      <c r="C820" s="61"/>
    </row>
    <row r="821" ht="51.75" customHeight="1">
      <c r="A821" s="60"/>
      <c r="B821" s="60"/>
      <c r="C821" s="61"/>
    </row>
    <row r="822" ht="51.75" customHeight="1">
      <c r="A822" s="60"/>
      <c r="B822" s="60"/>
      <c r="C822" s="61"/>
    </row>
    <row r="823" ht="51.75" customHeight="1">
      <c r="A823" s="60"/>
      <c r="B823" s="60"/>
      <c r="C823" s="61"/>
    </row>
    <row r="824" ht="51.75" customHeight="1">
      <c r="A824" s="60"/>
      <c r="B824" s="60"/>
      <c r="C824" s="61"/>
    </row>
    <row r="825" ht="51.75" customHeight="1">
      <c r="A825" s="60"/>
      <c r="B825" s="60"/>
      <c r="C825" s="61"/>
    </row>
    <row r="826" ht="51.75" customHeight="1">
      <c r="A826" s="60"/>
      <c r="B826" s="60"/>
      <c r="C826" s="61"/>
    </row>
    <row r="827" ht="51.75" customHeight="1">
      <c r="A827" s="60"/>
      <c r="B827" s="60"/>
      <c r="C827" s="61"/>
    </row>
    <row r="828" ht="51.75" customHeight="1">
      <c r="A828" s="60"/>
      <c r="B828" s="60"/>
      <c r="C828" s="61"/>
    </row>
    <row r="829" ht="51.75" customHeight="1">
      <c r="A829" s="60"/>
      <c r="B829" s="60"/>
      <c r="C829" s="61"/>
    </row>
    <row r="830" ht="51.75" customHeight="1">
      <c r="A830" s="60"/>
      <c r="B830" s="60"/>
      <c r="C830" s="61"/>
    </row>
    <row r="831" ht="51.75" customHeight="1">
      <c r="A831" s="60"/>
      <c r="B831" s="60"/>
      <c r="C831" s="61"/>
    </row>
    <row r="832" ht="51.75" customHeight="1">
      <c r="A832" s="60"/>
      <c r="B832" s="60"/>
      <c r="C832" s="61"/>
    </row>
    <row r="833" ht="51.75" customHeight="1">
      <c r="A833" s="60"/>
      <c r="B833" s="60"/>
      <c r="C833" s="61"/>
    </row>
    <row r="834" ht="51.75" customHeight="1">
      <c r="A834" s="60"/>
      <c r="B834" s="60"/>
      <c r="C834" s="61"/>
    </row>
    <row r="835" ht="51.75" customHeight="1">
      <c r="A835" s="60"/>
      <c r="B835" s="60"/>
      <c r="C835" s="61"/>
    </row>
    <row r="836" ht="51.75" customHeight="1">
      <c r="A836" s="60"/>
      <c r="B836" s="60"/>
      <c r="C836" s="61"/>
    </row>
    <row r="837" ht="51.75" customHeight="1">
      <c r="A837" s="60"/>
      <c r="B837" s="60"/>
      <c r="C837" s="61"/>
    </row>
    <row r="838" ht="51.75" customHeight="1">
      <c r="A838" s="60"/>
      <c r="B838" s="60"/>
      <c r="C838" s="61"/>
    </row>
    <row r="839" ht="51.75" customHeight="1">
      <c r="A839" s="60"/>
      <c r="B839" s="60"/>
      <c r="C839" s="61"/>
    </row>
    <row r="840" ht="51.75" customHeight="1">
      <c r="A840" s="60"/>
      <c r="B840" s="60"/>
      <c r="C840" s="61"/>
    </row>
    <row r="841" ht="51.75" customHeight="1">
      <c r="A841" s="60"/>
      <c r="B841" s="60"/>
      <c r="C841" s="61"/>
    </row>
    <row r="842" ht="51.75" customHeight="1">
      <c r="A842" s="60"/>
      <c r="B842" s="60"/>
      <c r="C842" s="61"/>
    </row>
    <row r="843" ht="51.75" customHeight="1">
      <c r="A843" s="60"/>
      <c r="B843" s="60"/>
      <c r="C843" s="61"/>
    </row>
    <row r="844" ht="51.75" customHeight="1">
      <c r="A844" s="60"/>
      <c r="B844" s="60"/>
      <c r="C844" s="61"/>
    </row>
    <row r="845" ht="51.75" customHeight="1">
      <c r="A845" s="60"/>
      <c r="B845" s="60"/>
      <c r="C845" s="61"/>
    </row>
    <row r="846" ht="51.75" customHeight="1">
      <c r="A846" s="60"/>
      <c r="B846" s="60"/>
      <c r="C846" s="61"/>
    </row>
    <row r="847" ht="51.75" customHeight="1">
      <c r="A847" s="60"/>
      <c r="B847" s="60"/>
      <c r="C847" s="61"/>
    </row>
    <row r="848" ht="51.75" customHeight="1">
      <c r="A848" s="60"/>
      <c r="B848" s="60"/>
      <c r="C848" s="61"/>
    </row>
    <row r="849" ht="51.75" customHeight="1">
      <c r="A849" s="60"/>
      <c r="B849" s="60"/>
      <c r="C849" s="61"/>
    </row>
    <row r="850" ht="51.75" customHeight="1">
      <c r="A850" s="60"/>
      <c r="B850" s="60"/>
      <c r="C850" s="61"/>
    </row>
    <row r="851" ht="51.75" customHeight="1">
      <c r="A851" s="60"/>
      <c r="B851" s="60"/>
      <c r="C851" s="61"/>
    </row>
    <row r="852" ht="51.75" customHeight="1">
      <c r="A852" s="60"/>
      <c r="B852" s="60"/>
      <c r="C852" s="61"/>
    </row>
    <row r="853" ht="51.75" customHeight="1">
      <c r="A853" s="60"/>
      <c r="B853" s="60"/>
      <c r="C853" s="61"/>
    </row>
    <row r="854" ht="51.75" customHeight="1">
      <c r="A854" s="60"/>
      <c r="B854" s="60"/>
      <c r="C854" s="61"/>
    </row>
    <row r="855" ht="51.75" customHeight="1">
      <c r="A855" s="60"/>
      <c r="B855" s="60"/>
      <c r="C855" s="61"/>
    </row>
    <row r="856" ht="51.75" customHeight="1">
      <c r="A856" s="60"/>
      <c r="B856" s="60"/>
      <c r="C856" s="61"/>
    </row>
    <row r="857" ht="51.75" customHeight="1">
      <c r="A857" s="60"/>
      <c r="B857" s="60"/>
      <c r="C857" s="61"/>
    </row>
    <row r="858" ht="51.75" customHeight="1">
      <c r="A858" s="60"/>
      <c r="B858" s="60"/>
      <c r="C858" s="61"/>
    </row>
    <row r="859" ht="51.75" customHeight="1">
      <c r="A859" s="60"/>
      <c r="B859" s="60"/>
      <c r="C859" s="61"/>
    </row>
    <row r="860" ht="51.75" customHeight="1">
      <c r="A860" s="60"/>
      <c r="B860" s="60"/>
      <c r="C860" s="61"/>
    </row>
    <row r="861" ht="51.75" customHeight="1">
      <c r="A861" s="60"/>
      <c r="B861" s="60"/>
      <c r="C861" s="61"/>
    </row>
    <row r="862" ht="51.75" customHeight="1">
      <c r="A862" s="60"/>
      <c r="B862" s="60"/>
      <c r="C862" s="61"/>
    </row>
    <row r="863" ht="51.75" customHeight="1">
      <c r="A863" s="60"/>
      <c r="B863" s="60"/>
      <c r="C863" s="61"/>
    </row>
    <row r="864" ht="51.75" customHeight="1">
      <c r="A864" s="60"/>
      <c r="B864" s="60"/>
      <c r="C864" s="61"/>
    </row>
    <row r="865" ht="51.75" customHeight="1">
      <c r="A865" s="60"/>
      <c r="B865" s="60"/>
      <c r="C865" s="61"/>
    </row>
    <row r="866" ht="51.75" customHeight="1">
      <c r="A866" s="60"/>
      <c r="B866" s="60"/>
      <c r="C866" s="61"/>
    </row>
    <row r="867" ht="51.75" customHeight="1">
      <c r="A867" s="60"/>
      <c r="B867" s="60"/>
      <c r="C867" s="61"/>
    </row>
    <row r="868" ht="51.75" customHeight="1">
      <c r="A868" s="60"/>
      <c r="B868" s="60"/>
      <c r="C868" s="61"/>
    </row>
    <row r="869" ht="51.75" customHeight="1">
      <c r="A869" s="60"/>
      <c r="B869" s="60"/>
      <c r="C869" s="61"/>
    </row>
    <row r="870" ht="51.75" customHeight="1">
      <c r="A870" s="60"/>
      <c r="B870" s="60"/>
      <c r="C870" s="61"/>
    </row>
    <row r="871" ht="51.75" customHeight="1">
      <c r="A871" s="60"/>
      <c r="B871" s="60"/>
      <c r="C871" s="61"/>
    </row>
    <row r="872" ht="51.75" customHeight="1">
      <c r="A872" s="60"/>
      <c r="B872" s="60"/>
      <c r="C872" s="61"/>
    </row>
    <row r="873" ht="51.75" customHeight="1">
      <c r="A873" s="60"/>
      <c r="B873" s="60"/>
      <c r="C873" s="61"/>
    </row>
    <row r="874" ht="51.75" customHeight="1">
      <c r="A874" s="60"/>
      <c r="B874" s="60"/>
      <c r="C874" s="61"/>
    </row>
    <row r="875" ht="51.75" customHeight="1">
      <c r="A875" s="60"/>
      <c r="B875" s="60"/>
      <c r="C875" s="61"/>
    </row>
    <row r="876" ht="51.75" customHeight="1">
      <c r="A876" s="60"/>
      <c r="B876" s="60"/>
      <c r="C876" s="61"/>
    </row>
    <row r="877" ht="51.75" customHeight="1">
      <c r="A877" s="60"/>
      <c r="B877" s="60"/>
      <c r="C877" s="61"/>
    </row>
    <row r="878" ht="51.75" customHeight="1">
      <c r="A878" s="60"/>
      <c r="B878" s="60"/>
      <c r="C878" s="61"/>
    </row>
    <row r="879" ht="51.75" customHeight="1">
      <c r="A879" s="60"/>
      <c r="B879" s="60"/>
      <c r="C879" s="61"/>
    </row>
    <row r="880" ht="51.75" customHeight="1">
      <c r="A880" s="60"/>
      <c r="B880" s="60"/>
      <c r="C880" s="61"/>
    </row>
    <row r="881" ht="51.75" customHeight="1">
      <c r="A881" s="60"/>
      <c r="B881" s="60"/>
      <c r="C881" s="61"/>
    </row>
    <row r="882" ht="51.75" customHeight="1">
      <c r="A882" s="60"/>
      <c r="B882" s="60"/>
      <c r="C882" s="61"/>
    </row>
    <row r="883" ht="51.75" customHeight="1">
      <c r="A883" s="60"/>
      <c r="B883" s="60"/>
      <c r="C883" s="61"/>
    </row>
    <row r="884" ht="51.75" customHeight="1">
      <c r="A884" s="60"/>
      <c r="B884" s="60"/>
      <c r="C884" s="61"/>
    </row>
    <row r="885" ht="51.75" customHeight="1">
      <c r="A885" s="60"/>
      <c r="B885" s="60"/>
      <c r="C885" s="61"/>
    </row>
    <row r="886" ht="51.75" customHeight="1">
      <c r="A886" s="60"/>
      <c r="B886" s="60"/>
      <c r="C886" s="61"/>
    </row>
    <row r="887" ht="51.75" customHeight="1">
      <c r="A887" s="60"/>
      <c r="B887" s="60"/>
      <c r="C887" s="61"/>
    </row>
    <row r="888" ht="51.75" customHeight="1">
      <c r="A888" s="60"/>
      <c r="B888" s="60"/>
      <c r="C888" s="61"/>
    </row>
    <row r="889" ht="51.75" customHeight="1">
      <c r="A889" s="60"/>
      <c r="B889" s="60"/>
      <c r="C889" s="61"/>
    </row>
    <row r="890" ht="51.75" customHeight="1">
      <c r="A890" s="60"/>
      <c r="B890" s="60"/>
      <c r="C890" s="61"/>
    </row>
    <row r="891" ht="51.75" customHeight="1">
      <c r="A891" s="60"/>
      <c r="B891" s="60"/>
      <c r="C891" s="61"/>
    </row>
    <row r="892" ht="51.75" customHeight="1">
      <c r="A892" s="60"/>
      <c r="B892" s="60"/>
      <c r="C892" s="61"/>
    </row>
    <row r="893" ht="51.75" customHeight="1">
      <c r="A893" s="60"/>
      <c r="B893" s="60"/>
      <c r="C893" s="61"/>
    </row>
    <row r="894" ht="51.75" customHeight="1">
      <c r="A894" s="60"/>
      <c r="B894" s="60"/>
      <c r="C894" s="61"/>
    </row>
    <row r="895" ht="51.75" customHeight="1">
      <c r="A895" s="60"/>
      <c r="B895" s="60"/>
      <c r="C895" s="61"/>
    </row>
    <row r="896" ht="51.75" customHeight="1">
      <c r="A896" s="60"/>
      <c r="B896" s="60"/>
      <c r="C896" s="61"/>
    </row>
    <row r="897" ht="51.75" customHeight="1">
      <c r="A897" s="60"/>
      <c r="B897" s="60"/>
      <c r="C897" s="61"/>
    </row>
    <row r="898" ht="51.75" customHeight="1">
      <c r="A898" s="60"/>
      <c r="B898" s="60"/>
      <c r="C898" s="61"/>
    </row>
    <row r="899" ht="51.75" customHeight="1">
      <c r="A899" s="60"/>
      <c r="B899" s="60"/>
      <c r="C899" s="61"/>
    </row>
    <row r="900" ht="51.75" customHeight="1">
      <c r="A900" s="60"/>
      <c r="B900" s="60"/>
      <c r="C900" s="61"/>
    </row>
    <row r="901" ht="51.75" customHeight="1">
      <c r="A901" s="60"/>
      <c r="B901" s="60"/>
      <c r="C901" s="61"/>
    </row>
    <row r="902" ht="51.75" customHeight="1">
      <c r="A902" s="60"/>
      <c r="B902" s="60"/>
      <c r="C902" s="61"/>
    </row>
    <row r="903" ht="51.75" customHeight="1">
      <c r="A903" s="60"/>
      <c r="B903" s="60"/>
      <c r="C903" s="61"/>
    </row>
    <row r="904" ht="51.75" customHeight="1">
      <c r="A904" s="60"/>
      <c r="B904" s="60"/>
      <c r="C904" s="61"/>
    </row>
    <row r="905" ht="51.75" customHeight="1">
      <c r="A905" s="60"/>
      <c r="B905" s="60"/>
      <c r="C905" s="61"/>
    </row>
    <row r="906" ht="51.75" customHeight="1">
      <c r="A906" s="60"/>
      <c r="B906" s="60"/>
      <c r="C906" s="61"/>
    </row>
    <row r="907" ht="51.75" customHeight="1">
      <c r="A907" s="60"/>
      <c r="B907" s="60"/>
      <c r="C907" s="61"/>
    </row>
    <row r="908" ht="51.75" customHeight="1">
      <c r="A908" s="60"/>
      <c r="B908" s="60"/>
      <c r="C908" s="61"/>
    </row>
    <row r="909" ht="51.75" customHeight="1">
      <c r="A909" s="60"/>
      <c r="B909" s="60"/>
      <c r="C909" s="61"/>
    </row>
    <row r="910" ht="51.75" customHeight="1">
      <c r="A910" s="60"/>
      <c r="B910" s="60"/>
      <c r="C910" s="61"/>
    </row>
    <row r="911" ht="51.75" customHeight="1">
      <c r="A911" s="60"/>
      <c r="B911" s="60"/>
      <c r="C911" s="61"/>
    </row>
    <row r="912" ht="51.75" customHeight="1">
      <c r="A912" s="60"/>
      <c r="B912" s="60"/>
      <c r="C912" s="61"/>
    </row>
    <row r="913" ht="51.75" customHeight="1">
      <c r="A913" s="60"/>
      <c r="B913" s="60"/>
      <c r="C913" s="61"/>
    </row>
    <row r="914" ht="51.75" customHeight="1">
      <c r="A914" s="60"/>
      <c r="B914" s="60"/>
      <c r="C914" s="61"/>
    </row>
    <row r="915" ht="51.75" customHeight="1">
      <c r="A915" s="60"/>
      <c r="B915" s="60"/>
      <c r="C915" s="61"/>
    </row>
    <row r="916" ht="51.75" customHeight="1">
      <c r="A916" s="60"/>
      <c r="B916" s="60"/>
      <c r="C916" s="61"/>
    </row>
    <row r="917" ht="51.75" customHeight="1">
      <c r="A917" s="60"/>
      <c r="B917" s="60"/>
      <c r="C917" s="61"/>
    </row>
    <row r="918" ht="51.75" customHeight="1">
      <c r="A918" s="60"/>
      <c r="B918" s="60"/>
      <c r="C918" s="61"/>
    </row>
    <row r="919" ht="51.75" customHeight="1">
      <c r="A919" s="60"/>
      <c r="B919" s="60"/>
      <c r="C919" s="61"/>
    </row>
    <row r="920" ht="51.75" customHeight="1">
      <c r="A920" s="60"/>
      <c r="B920" s="60"/>
      <c r="C920" s="61"/>
    </row>
    <row r="921" ht="51.75" customHeight="1">
      <c r="A921" s="60"/>
      <c r="B921" s="60"/>
      <c r="C921" s="61"/>
    </row>
    <row r="922" ht="51.75" customHeight="1">
      <c r="A922" s="60"/>
      <c r="B922" s="60"/>
      <c r="C922" s="61"/>
    </row>
    <row r="923" ht="51.75" customHeight="1">
      <c r="A923" s="60"/>
      <c r="B923" s="60"/>
      <c r="C923" s="61"/>
    </row>
    <row r="924" ht="51.75" customHeight="1">
      <c r="A924" s="60"/>
      <c r="B924" s="60"/>
      <c r="C924" s="61"/>
    </row>
    <row r="925" ht="51.75" customHeight="1">
      <c r="A925" s="60"/>
      <c r="B925" s="60"/>
      <c r="C925" s="61"/>
    </row>
    <row r="926" ht="51.75" customHeight="1">
      <c r="A926" s="60"/>
      <c r="B926" s="60"/>
      <c r="C926" s="61"/>
    </row>
    <row r="927" ht="51.75" customHeight="1">
      <c r="A927" s="60"/>
      <c r="B927" s="60"/>
      <c r="C927" s="61"/>
    </row>
    <row r="928" ht="51.75" customHeight="1">
      <c r="A928" s="60"/>
      <c r="B928" s="60"/>
      <c r="C928" s="61"/>
    </row>
    <row r="929" ht="51.75" customHeight="1">
      <c r="A929" s="60"/>
      <c r="B929" s="60"/>
      <c r="C929" s="61"/>
    </row>
    <row r="930" ht="51.75" customHeight="1">
      <c r="A930" s="60"/>
      <c r="B930" s="60"/>
      <c r="C930" s="61"/>
    </row>
    <row r="931" ht="51.75" customHeight="1">
      <c r="A931" s="60"/>
      <c r="B931" s="60"/>
      <c r="C931" s="61"/>
    </row>
    <row r="932" ht="51.75" customHeight="1">
      <c r="A932" s="60"/>
      <c r="B932" s="60"/>
      <c r="C932" s="61"/>
    </row>
    <row r="933" ht="51.75" customHeight="1">
      <c r="A933" s="60"/>
      <c r="B933" s="60"/>
      <c r="C933" s="61"/>
    </row>
    <row r="934" ht="51.75" customHeight="1">
      <c r="A934" s="60"/>
      <c r="B934" s="60"/>
      <c r="C934" s="61"/>
    </row>
    <row r="935" ht="51.75" customHeight="1">
      <c r="A935" s="60"/>
      <c r="B935" s="60"/>
      <c r="C935" s="61"/>
    </row>
    <row r="936" ht="51.75" customHeight="1">
      <c r="A936" s="60"/>
      <c r="B936" s="60"/>
      <c r="C936" s="61"/>
    </row>
    <row r="937" ht="51.75" customHeight="1">
      <c r="A937" s="60"/>
      <c r="B937" s="60"/>
      <c r="C937" s="61"/>
    </row>
    <row r="938" ht="51.75" customHeight="1">
      <c r="A938" s="60"/>
      <c r="B938" s="60"/>
      <c r="C938" s="61"/>
    </row>
    <row r="939" ht="51.75" customHeight="1">
      <c r="A939" s="60"/>
      <c r="B939" s="60"/>
      <c r="C939" s="61"/>
    </row>
    <row r="940" ht="51.75" customHeight="1">
      <c r="A940" s="60"/>
      <c r="B940" s="60"/>
      <c r="C940" s="61"/>
    </row>
    <row r="941" ht="51.75" customHeight="1">
      <c r="A941" s="60"/>
      <c r="B941" s="60"/>
      <c r="C941" s="61"/>
    </row>
    <row r="942" ht="51.75" customHeight="1">
      <c r="A942" s="60"/>
      <c r="B942" s="60"/>
      <c r="C942" s="61"/>
    </row>
    <row r="943" ht="51.75" customHeight="1">
      <c r="A943" s="60"/>
      <c r="B943" s="60"/>
      <c r="C943" s="61"/>
    </row>
    <row r="944" ht="51.75" customHeight="1">
      <c r="A944" s="60"/>
      <c r="B944" s="60"/>
      <c r="C944" s="61"/>
    </row>
    <row r="945" ht="51.75" customHeight="1">
      <c r="A945" s="60"/>
      <c r="B945" s="60"/>
      <c r="C945" s="61"/>
    </row>
    <row r="946" ht="51.75" customHeight="1">
      <c r="A946" s="60"/>
      <c r="B946" s="60"/>
      <c r="C946" s="61"/>
    </row>
    <row r="947" ht="51.75" customHeight="1">
      <c r="A947" s="60"/>
      <c r="B947" s="60"/>
      <c r="C947" s="61"/>
    </row>
    <row r="948" ht="51.75" customHeight="1">
      <c r="A948" s="60"/>
      <c r="B948" s="60"/>
      <c r="C948" s="61"/>
    </row>
    <row r="949" ht="51.75" customHeight="1">
      <c r="A949" s="60"/>
      <c r="B949" s="60"/>
      <c r="C949" s="61"/>
    </row>
    <row r="950" ht="51.75" customHeight="1">
      <c r="A950" s="60"/>
      <c r="B950" s="60"/>
      <c r="C950" s="61"/>
    </row>
    <row r="951" ht="51.75" customHeight="1">
      <c r="A951" s="60"/>
      <c r="B951" s="60"/>
      <c r="C951" s="61"/>
    </row>
    <row r="952" ht="51.75" customHeight="1">
      <c r="A952" s="60"/>
      <c r="B952" s="60"/>
      <c r="C952" s="61"/>
    </row>
    <row r="953" ht="51.75" customHeight="1">
      <c r="A953" s="60"/>
      <c r="B953" s="60"/>
      <c r="C953" s="61"/>
    </row>
    <row r="954" ht="51.75" customHeight="1">
      <c r="A954" s="60"/>
      <c r="B954" s="60"/>
      <c r="C954" s="61"/>
    </row>
    <row r="955" ht="51.75" customHeight="1">
      <c r="A955" s="60"/>
      <c r="B955" s="60"/>
      <c r="C955" s="61"/>
    </row>
    <row r="956" ht="51.75" customHeight="1">
      <c r="A956" s="60"/>
      <c r="B956" s="60"/>
      <c r="C956" s="61"/>
    </row>
    <row r="957" ht="51.75" customHeight="1">
      <c r="A957" s="60"/>
      <c r="B957" s="60"/>
      <c r="C957" s="61"/>
    </row>
    <row r="958" ht="51.75" customHeight="1">
      <c r="A958" s="60"/>
      <c r="B958" s="60"/>
      <c r="C958" s="61"/>
    </row>
    <row r="959" ht="51.75" customHeight="1">
      <c r="A959" s="60"/>
      <c r="B959" s="60"/>
      <c r="C959" s="61"/>
    </row>
    <row r="960" ht="51.75" customHeight="1">
      <c r="A960" s="60"/>
      <c r="B960" s="60"/>
      <c r="C960" s="61"/>
    </row>
    <row r="961" ht="51.75" customHeight="1">
      <c r="A961" s="60"/>
      <c r="B961" s="60"/>
      <c r="C961" s="61"/>
    </row>
    <row r="962" ht="51.75" customHeight="1">
      <c r="A962" s="60"/>
      <c r="B962" s="60"/>
      <c r="C962" s="61"/>
    </row>
    <row r="963" ht="51.75" customHeight="1">
      <c r="A963" s="60"/>
      <c r="B963" s="60"/>
      <c r="C963" s="61"/>
    </row>
    <row r="964" ht="51.75" customHeight="1">
      <c r="A964" s="60"/>
      <c r="B964" s="60"/>
      <c r="C964" s="61"/>
    </row>
    <row r="965" ht="51.75" customHeight="1">
      <c r="A965" s="60"/>
      <c r="B965" s="60"/>
      <c r="C965" s="61"/>
    </row>
    <row r="966" ht="51.75" customHeight="1">
      <c r="A966" s="60"/>
      <c r="B966" s="60"/>
      <c r="C966" s="61"/>
    </row>
    <row r="967" ht="51.75" customHeight="1">
      <c r="A967" s="60"/>
      <c r="B967" s="60"/>
      <c r="C967" s="61"/>
    </row>
    <row r="968" ht="51.75" customHeight="1">
      <c r="A968" s="60"/>
      <c r="B968" s="60"/>
      <c r="C968" s="61"/>
    </row>
    <row r="969" ht="51.75" customHeight="1">
      <c r="A969" s="60"/>
      <c r="B969" s="60"/>
      <c r="C969" s="61"/>
    </row>
    <row r="970" ht="51.75" customHeight="1">
      <c r="A970" s="60"/>
      <c r="B970" s="60"/>
      <c r="C970" s="61"/>
    </row>
    <row r="971" ht="51.75" customHeight="1">
      <c r="A971" s="60"/>
      <c r="B971" s="60"/>
      <c r="C971" s="61"/>
    </row>
    <row r="972" ht="51.75" customHeight="1">
      <c r="A972" s="60"/>
      <c r="B972" s="60"/>
      <c r="C972" s="61"/>
    </row>
    <row r="973" ht="51.75" customHeight="1">
      <c r="A973" s="60"/>
      <c r="B973" s="60"/>
      <c r="C973" s="61"/>
    </row>
    <row r="974" ht="51.75" customHeight="1">
      <c r="A974" s="60"/>
      <c r="B974" s="60"/>
      <c r="C974" s="61"/>
    </row>
    <row r="975" ht="51.75" customHeight="1">
      <c r="A975" s="60"/>
      <c r="B975" s="60"/>
      <c r="C975" s="61"/>
    </row>
    <row r="976" ht="51.75" customHeight="1">
      <c r="A976" s="60"/>
      <c r="B976" s="60"/>
      <c r="C976" s="61"/>
    </row>
    <row r="977" ht="51.75" customHeight="1">
      <c r="A977" s="60"/>
      <c r="B977" s="60"/>
      <c r="C977" s="61"/>
    </row>
    <row r="978" ht="51.75" customHeight="1">
      <c r="A978" s="60"/>
      <c r="B978" s="60"/>
      <c r="C978" s="61"/>
    </row>
    <row r="979" ht="51.75" customHeight="1">
      <c r="A979" s="60"/>
      <c r="B979" s="60"/>
      <c r="C979" s="61"/>
    </row>
    <row r="980" ht="51.75" customHeight="1">
      <c r="A980" s="60"/>
      <c r="B980" s="60"/>
      <c r="C980" s="61"/>
    </row>
    <row r="981" ht="51.75" customHeight="1">
      <c r="A981" s="60"/>
      <c r="B981" s="60"/>
      <c r="C981" s="61"/>
    </row>
    <row r="982" ht="51.75" customHeight="1">
      <c r="A982" s="60"/>
      <c r="B982" s="60"/>
      <c r="C982" s="61"/>
    </row>
    <row r="983" ht="51.75" customHeight="1">
      <c r="A983" s="60"/>
      <c r="B983" s="60"/>
      <c r="C983" s="61"/>
    </row>
    <row r="984" ht="51.75" customHeight="1">
      <c r="A984" s="60"/>
      <c r="B984" s="60"/>
      <c r="C984" s="61"/>
    </row>
    <row r="985" ht="51.75" customHeight="1">
      <c r="A985" s="60"/>
      <c r="B985" s="60"/>
      <c r="C985" s="61"/>
    </row>
    <row r="986" ht="51.75" customHeight="1">
      <c r="A986" s="60"/>
      <c r="B986" s="60"/>
      <c r="C986" s="61"/>
    </row>
    <row r="987" ht="51.75" customHeight="1">
      <c r="A987" s="60"/>
      <c r="B987" s="60"/>
      <c r="C987" s="61"/>
    </row>
    <row r="988" ht="51.75" customHeight="1">
      <c r="A988" s="60"/>
      <c r="B988" s="60"/>
      <c r="C988" s="61"/>
    </row>
    <row r="989" ht="51.75" customHeight="1">
      <c r="A989" s="60"/>
      <c r="B989" s="60"/>
      <c r="C989" s="61"/>
    </row>
    <row r="990" ht="51.75" customHeight="1">
      <c r="A990" s="60"/>
      <c r="B990" s="60"/>
      <c r="C990" s="61"/>
    </row>
    <row r="991" ht="51.75" customHeight="1">
      <c r="A991" s="60"/>
      <c r="B991" s="60"/>
      <c r="C991" s="61"/>
    </row>
    <row r="992" ht="51.75" customHeight="1">
      <c r="A992" s="60"/>
      <c r="B992" s="60"/>
      <c r="C992" s="61"/>
    </row>
    <row r="993" ht="51.75" customHeight="1">
      <c r="A993" s="60"/>
      <c r="B993" s="60"/>
      <c r="C993" s="61"/>
    </row>
    <row r="994" ht="51.75" customHeight="1">
      <c r="A994" s="60"/>
      <c r="B994" s="60"/>
      <c r="C994" s="61"/>
    </row>
    <row r="995" ht="51.75" customHeight="1">
      <c r="A995" s="60"/>
      <c r="B995" s="60"/>
      <c r="C995" s="61"/>
    </row>
    <row r="996" ht="51.75" customHeight="1">
      <c r="A996" s="60"/>
      <c r="B996" s="60"/>
      <c r="C996" s="61"/>
    </row>
    <row r="997" ht="51.75" customHeight="1">
      <c r="A997" s="60"/>
      <c r="B997" s="60"/>
      <c r="C997" s="61"/>
    </row>
    <row r="998" ht="51.75" customHeight="1">
      <c r="A998" s="60"/>
      <c r="B998" s="60"/>
      <c r="C998" s="61"/>
    </row>
    <row r="999" ht="51.75" customHeight="1">
      <c r="A999" s="60"/>
      <c r="B999" s="60"/>
      <c r="C999" s="61"/>
    </row>
    <row r="1000" ht="51.75" customHeight="1">
      <c r="A1000" s="60"/>
      <c r="B1000" s="60"/>
      <c r="C1000" s="61"/>
    </row>
  </sheetData>
  <drawing r:id="rId1"/>
</worksheet>
</file>

<file path=xl/worksheets/sheet3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48.38"/>
    <col customWidth="1" min="3" max="3" width="29.88"/>
    <col customWidth="1" min="5" max="5" width="53.25"/>
    <col customWidth="1" min="6" max="6" width="93.13"/>
  </cols>
  <sheetData>
    <row r="1" ht="71.25" customHeight="1">
      <c r="A1" s="60" t="s">
        <v>759</v>
      </c>
      <c r="B1" s="60" t="s">
        <v>19524</v>
      </c>
      <c r="C1" s="60" t="s">
        <v>19525</v>
      </c>
      <c r="D1" s="60" t="s">
        <v>19526</v>
      </c>
      <c r="E1" s="60" t="s">
        <v>19527</v>
      </c>
      <c r="F1" s="61" t="s">
        <v>624</v>
      </c>
      <c r="G1" s="60" t="s">
        <v>625</v>
      </c>
    </row>
    <row r="2" ht="71.25" customHeight="1">
      <c r="A2" s="63" t="s">
        <v>33</v>
      </c>
      <c r="B2" s="63" t="s">
        <v>19528</v>
      </c>
      <c r="C2" s="63" t="s">
        <v>19529</v>
      </c>
      <c r="D2" s="63" t="s">
        <v>740</v>
      </c>
      <c r="E2" s="63" t="s">
        <v>19530</v>
      </c>
      <c r="F2" s="64" t="s">
        <v>19054</v>
      </c>
      <c r="G2" s="65">
        <v>85.0</v>
      </c>
      <c r="H2" s="66"/>
      <c r="I2" s="66"/>
      <c r="J2" s="66"/>
      <c r="K2" s="66"/>
      <c r="L2" s="66"/>
      <c r="M2" s="66"/>
      <c r="N2" s="66"/>
      <c r="O2" s="66"/>
      <c r="P2" s="66"/>
      <c r="Q2" s="66"/>
      <c r="R2" s="66"/>
      <c r="S2" s="66"/>
      <c r="T2" s="66"/>
      <c r="U2" s="66"/>
      <c r="V2" s="66"/>
      <c r="W2" s="66"/>
      <c r="X2" s="66"/>
      <c r="Y2" s="66"/>
      <c r="Z2" s="66"/>
    </row>
    <row r="3" ht="71.25" customHeight="1">
      <c r="A3" s="67" t="s">
        <v>35</v>
      </c>
      <c r="B3" s="67" t="s">
        <v>19531</v>
      </c>
      <c r="C3" s="67" t="s">
        <v>19532</v>
      </c>
      <c r="D3" s="67" t="s">
        <v>742</v>
      </c>
      <c r="E3" s="67" t="s">
        <v>19533</v>
      </c>
      <c r="F3" s="68" t="s">
        <v>19055</v>
      </c>
      <c r="G3" s="69">
        <v>85.0</v>
      </c>
      <c r="H3" s="70"/>
      <c r="I3" s="70"/>
      <c r="J3" s="70"/>
      <c r="K3" s="70"/>
      <c r="L3" s="70"/>
      <c r="M3" s="70"/>
      <c r="N3" s="70"/>
      <c r="O3" s="70"/>
      <c r="P3" s="70"/>
      <c r="Q3" s="70"/>
      <c r="R3" s="70"/>
      <c r="S3" s="70"/>
      <c r="T3" s="70"/>
      <c r="U3" s="70"/>
      <c r="V3" s="70"/>
      <c r="W3" s="70"/>
      <c r="X3" s="70"/>
      <c r="Y3" s="70"/>
      <c r="Z3" s="70"/>
    </row>
    <row r="4" ht="71.25" customHeight="1">
      <c r="A4" s="60" t="s">
        <v>419</v>
      </c>
      <c r="B4" s="60" t="s">
        <v>19534</v>
      </c>
      <c r="C4" s="60" t="s">
        <v>19535</v>
      </c>
      <c r="D4" s="60" t="s">
        <v>729</v>
      </c>
      <c r="E4" s="60" t="s">
        <v>19536</v>
      </c>
      <c r="F4" s="61" t="s">
        <v>19056</v>
      </c>
      <c r="G4" s="62">
        <v>75.0</v>
      </c>
    </row>
    <row r="5" ht="71.25" customHeight="1">
      <c r="A5" s="60" t="s">
        <v>183</v>
      </c>
      <c r="B5" s="60" t="s">
        <v>19537</v>
      </c>
      <c r="C5" s="60" t="s">
        <v>19538</v>
      </c>
      <c r="D5" s="60" t="s">
        <v>19539</v>
      </c>
      <c r="E5" s="60" t="s">
        <v>19540</v>
      </c>
      <c r="F5" s="61" t="s">
        <v>19057</v>
      </c>
      <c r="G5" s="62">
        <v>75.0</v>
      </c>
    </row>
    <row r="6" ht="71.25" customHeight="1">
      <c r="A6" s="60" t="s">
        <v>1586</v>
      </c>
      <c r="B6" s="60" t="s">
        <v>19541</v>
      </c>
      <c r="C6" s="60" t="s">
        <v>19542</v>
      </c>
      <c r="D6" s="60" t="s">
        <v>19543</v>
      </c>
      <c r="E6" s="60" t="s">
        <v>19544</v>
      </c>
      <c r="F6" s="61" t="s">
        <v>19058</v>
      </c>
      <c r="G6" s="62">
        <v>75.0</v>
      </c>
    </row>
    <row r="7" ht="71.25" customHeight="1">
      <c r="A7" s="60" t="s">
        <v>3782</v>
      </c>
      <c r="B7" s="60" t="s">
        <v>19545</v>
      </c>
      <c r="C7" s="60" t="s">
        <v>19546</v>
      </c>
      <c r="D7" s="60" t="s">
        <v>19547</v>
      </c>
      <c r="E7" s="60" t="s">
        <v>19548</v>
      </c>
      <c r="F7" s="61" t="s">
        <v>19059</v>
      </c>
      <c r="G7" s="62">
        <v>75.0</v>
      </c>
    </row>
    <row r="8" ht="71.25" customHeight="1">
      <c r="A8" s="63" t="s">
        <v>37</v>
      </c>
      <c r="B8" s="63" t="s">
        <v>19549</v>
      </c>
      <c r="C8" s="63" t="s">
        <v>19550</v>
      </c>
      <c r="D8" s="63" t="s">
        <v>19551</v>
      </c>
      <c r="E8" s="63" t="s">
        <v>19552</v>
      </c>
      <c r="F8" s="64" t="s">
        <v>19060</v>
      </c>
      <c r="G8" s="65">
        <v>75.0</v>
      </c>
      <c r="H8" s="66"/>
      <c r="I8" s="66"/>
      <c r="J8" s="66"/>
      <c r="K8" s="66"/>
      <c r="L8" s="66"/>
      <c r="M8" s="66"/>
      <c r="N8" s="66"/>
      <c r="O8" s="66"/>
      <c r="P8" s="66"/>
      <c r="Q8" s="66"/>
      <c r="R8" s="66"/>
      <c r="S8" s="66"/>
      <c r="T8" s="66"/>
      <c r="U8" s="66"/>
      <c r="V8" s="66"/>
      <c r="W8" s="66"/>
      <c r="X8" s="66"/>
      <c r="Y8" s="66"/>
      <c r="Z8" s="66"/>
    </row>
    <row r="9" ht="71.25" customHeight="1">
      <c r="A9" s="60" t="s">
        <v>1177</v>
      </c>
      <c r="B9" s="60" t="s">
        <v>19553</v>
      </c>
      <c r="C9" s="60" t="s">
        <v>19554</v>
      </c>
      <c r="D9" s="60" t="s">
        <v>19543</v>
      </c>
      <c r="E9" s="60" t="s">
        <v>19555</v>
      </c>
      <c r="F9" s="61" t="s">
        <v>19061</v>
      </c>
      <c r="G9" s="62">
        <v>75.0</v>
      </c>
    </row>
    <row r="10" ht="71.25" customHeight="1">
      <c r="A10" s="63" t="s">
        <v>14</v>
      </c>
      <c r="B10" s="63" t="s">
        <v>19556</v>
      </c>
      <c r="C10" s="63" t="s">
        <v>19557</v>
      </c>
      <c r="D10" s="63" t="s">
        <v>173</v>
      </c>
      <c r="E10" s="63" t="s">
        <v>19558</v>
      </c>
      <c r="F10" s="64" t="s">
        <v>19062</v>
      </c>
      <c r="G10" s="65">
        <v>75.0</v>
      </c>
      <c r="H10" s="66"/>
      <c r="I10" s="66"/>
      <c r="J10" s="66"/>
      <c r="K10" s="66"/>
      <c r="L10" s="66"/>
      <c r="M10" s="66"/>
      <c r="N10" s="66"/>
      <c r="O10" s="66"/>
      <c r="P10" s="66"/>
      <c r="Q10" s="66"/>
      <c r="R10" s="66"/>
      <c r="S10" s="66"/>
      <c r="T10" s="66"/>
      <c r="U10" s="66"/>
      <c r="V10" s="66"/>
      <c r="W10" s="66"/>
      <c r="X10" s="66"/>
      <c r="Y10" s="66"/>
      <c r="Z10" s="66"/>
    </row>
    <row r="11" ht="71.25" customHeight="1">
      <c r="A11" s="60" t="s">
        <v>459</v>
      </c>
      <c r="B11" s="60" t="s">
        <v>19559</v>
      </c>
      <c r="C11" s="60" t="s">
        <v>19560</v>
      </c>
      <c r="D11" s="60" t="s">
        <v>173</v>
      </c>
      <c r="E11" s="60" t="s">
        <v>19561</v>
      </c>
      <c r="F11" s="61" t="s">
        <v>19063</v>
      </c>
      <c r="G11" s="62">
        <v>75.0</v>
      </c>
    </row>
    <row r="12" ht="71.25" customHeight="1">
      <c r="A12" s="60" t="s">
        <v>941</v>
      </c>
      <c r="B12" s="60" t="s">
        <v>19562</v>
      </c>
      <c r="C12" s="60" t="s">
        <v>19563</v>
      </c>
      <c r="D12" s="60" t="s">
        <v>19564</v>
      </c>
      <c r="E12" s="60" t="s">
        <v>19565</v>
      </c>
      <c r="F12" s="61" t="s">
        <v>19064</v>
      </c>
      <c r="G12" s="62">
        <v>75.0</v>
      </c>
    </row>
    <row r="13" ht="71.25" customHeight="1">
      <c r="A13" s="63" t="s">
        <v>38</v>
      </c>
      <c r="B13" s="63" t="s">
        <v>19566</v>
      </c>
      <c r="C13" s="63" t="s">
        <v>19567</v>
      </c>
      <c r="D13" s="63" t="s">
        <v>19568</v>
      </c>
      <c r="E13" s="63" t="s">
        <v>19569</v>
      </c>
      <c r="F13" s="64" t="s">
        <v>19065</v>
      </c>
      <c r="G13" s="65">
        <v>75.0</v>
      </c>
      <c r="H13" s="66"/>
      <c r="I13" s="66"/>
      <c r="J13" s="66"/>
      <c r="K13" s="66"/>
      <c r="L13" s="66"/>
      <c r="M13" s="66"/>
      <c r="N13" s="66"/>
      <c r="O13" s="66"/>
      <c r="P13" s="66"/>
      <c r="Q13" s="66"/>
      <c r="R13" s="66"/>
      <c r="S13" s="66"/>
      <c r="T13" s="66"/>
      <c r="U13" s="66"/>
      <c r="V13" s="66"/>
      <c r="W13" s="66"/>
      <c r="X13" s="66"/>
      <c r="Y13" s="66"/>
      <c r="Z13" s="66"/>
    </row>
    <row r="14" ht="71.25" customHeight="1">
      <c r="A14" s="60" t="s">
        <v>1537</v>
      </c>
      <c r="B14" s="60" t="s">
        <v>19570</v>
      </c>
      <c r="C14" s="60" t="s">
        <v>19571</v>
      </c>
      <c r="D14" s="60" t="s">
        <v>19572</v>
      </c>
      <c r="E14" s="60" t="s">
        <v>19573</v>
      </c>
      <c r="F14" s="61" t="s">
        <v>19066</v>
      </c>
      <c r="G14" s="62">
        <v>75.0</v>
      </c>
    </row>
    <row r="15" ht="71.25" customHeight="1">
      <c r="A15" s="60" t="s">
        <v>1590</v>
      </c>
      <c r="B15" s="60" t="s">
        <v>19574</v>
      </c>
      <c r="C15" s="60" t="s">
        <v>19575</v>
      </c>
      <c r="D15" s="60" t="s">
        <v>19576</v>
      </c>
      <c r="E15" s="60" t="s">
        <v>19577</v>
      </c>
      <c r="F15" s="61" t="s">
        <v>19067</v>
      </c>
      <c r="G15" s="62">
        <v>75.0</v>
      </c>
    </row>
    <row r="16" ht="71.25" customHeight="1">
      <c r="A16" s="60" t="s">
        <v>468</v>
      </c>
      <c r="B16" s="60" t="s">
        <v>19578</v>
      </c>
      <c r="C16" s="60" t="s">
        <v>19579</v>
      </c>
      <c r="D16" s="60" t="s">
        <v>19547</v>
      </c>
      <c r="E16" s="60" t="s">
        <v>19580</v>
      </c>
      <c r="F16" s="61" t="s">
        <v>19068</v>
      </c>
      <c r="G16" s="62">
        <v>75.0</v>
      </c>
    </row>
    <row r="17" ht="71.25" customHeight="1">
      <c r="A17" s="60" t="s">
        <v>275</v>
      </c>
      <c r="B17" s="60" t="s">
        <v>19581</v>
      </c>
      <c r="C17" s="60" t="s">
        <v>19582</v>
      </c>
      <c r="D17" s="60" t="s">
        <v>19583</v>
      </c>
      <c r="E17" s="60" t="s">
        <v>19584</v>
      </c>
      <c r="F17" s="61" t="s">
        <v>19069</v>
      </c>
      <c r="G17" s="62">
        <v>75.0</v>
      </c>
    </row>
    <row r="18" ht="71.25" customHeight="1">
      <c r="A18" s="60" t="s">
        <v>839</v>
      </c>
      <c r="B18" s="60" t="s">
        <v>19585</v>
      </c>
      <c r="C18" s="60" t="s">
        <v>19586</v>
      </c>
      <c r="D18" s="60" t="s">
        <v>19587</v>
      </c>
      <c r="E18" s="60" t="s">
        <v>19588</v>
      </c>
      <c r="F18" s="61" t="s">
        <v>19070</v>
      </c>
      <c r="G18" s="62">
        <v>75.0</v>
      </c>
    </row>
    <row r="19" ht="71.25" customHeight="1">
      <c r="A19" s="60" t="s">
        <v>1133</v>
      </c>
      <c r="B19" s="60" t="s">
        <v>19589</v>
      </c>
      <c r="C19" s="60" t="s">
        <v>19590</v>
      </c>
      <c r="D19" s="60" t="s">
        <v>740</v>
      </c>
      <c r="E19" s="60" t="s">
        <v>19591</v>
      </c>
      <c r="F19" s="61" t="s">
        <v>19071</v>
      </c>
      <c r="G19" s="62">
        <v>75.0</v>
      </c>
    </row>
    <row r="20" ht="71.25" customHeight="1">
      <c r="A20" s="60" t="s">
        <v>900</v>
      </c>
      <c r="B20" s="60" t="s">
        <v>19592</v>
      </c>
      <c r="C20" s="60" t="s">
        <v>19593</v>
      </c>
      <c r="D20" s="60" t="s">
        <v>19594</v>
      </c>
      <c r="E20" s="60" t="s">
        <v>19595</v>
      </c>
      <c r="F20" s="61" t="s">
        <v>19072</v>
      </c>
      <c r="G20" s="62">
        <v>75.0</v>
      </c>
    </row>
    <row r="21" ht="71.25" customHeight="1">
      <c r="A21" s="60" t="s">
        <v>122</v>
      </c>
      <c r="B21" s="60" t="s">
        <v>19596</v>
      </c>
      <c r="C21" s="60" t="s">
        <v>19597</v>
      </c>
      <c r="D21" s="60" t="s">
        <v>19598</v>
      </c>
      <c r="E21" s="60" t="s">
        <v>19599</v>
      </c>
      <c r="F21" s="61" t="s">
        <v>19073</v>
      </c>
      <c r="G21" s="62">
        <v>75.0</v>
      </c>
    </row>
    <row r="22" ht="71.25" customHeight="1">
      <c r="A22" s="60" t="s">
        <v>972</v>
      </c>
      <c r="B22" s="60" t="s">
        <v>19600</v>
      </c>
      <c r="C22" s="60" t="s">
        <v>19601</v>
      </c>
      <c r="D22" s="60" t="s">
        <v>19602</v>
      </c>
      <c r="E22" s="60" t="s">
        <v>19603</v>
      </c>
      <c r="F22" s="61" t="s">
        <v>19074</v>
      </c>
      <c r="G22" s="62">
        <v>75.0</v>
      </c>
    </row>
    <row r="23" ht="71.25" customHeight="1">
      <c r="A23" s="60" t="s">
        <v>592</v>
      </c>
      <c r="B23" s="60" t="s">
        <v>19604</v>
      </c>
      <c r="C23" s="60" t="s">
        <v>19605</v>
      </c>
      <c r="D23" s="60" t="s">
        <v>19606</v>
      </c>
      <c r="E23" s="60" t="s">
        <v>19607</v>
      </c>
      <c r="F23" s="61" t="s">
        <v>19075</v>
      </c>
      <c r="G23" s="62">
        <v>75.0</v>
      </c>
    </row>
    <row r="24" ht="71.25" customHeight="1">
      <c r="A24" s="60" t="s">
        <v>21</v>
      </c>
      <c r="B24" s="60" t="s">
        <v>19608</v>
      </c>
      <c r="C24" s="60" t="s">
        <v>19609</v>
      </c>
      <c r="D24" s="60" t="s">
        <v>19610</v>
      </c>
      <c r="E24" s="60" t="s">
        <v>19611</v>
      </c>
      <c r="F24" s="61" t="s">
        <v>19076</v>
      </c>
      <c r="G24" s="62">
        <v>75.0</v>
      </c>
    </row>
    <row r="25" ht="71.25" customHeight="1">
      <c r="A25" s="60" t="s">
        <v>1361</v>
      </c>
      <c r="B25" s="60" t="s">
        <v>19612</v>
      </c>
      <c r="C25" s="60" t="s">
        <v>19613</v>
      </c>
      <c r="D25" s="60" t="s">
        <v>19576</v>
      </c>
      <c r="E25" s="60" t="s">
        <v>19614</v>
      </c>
      <c r="F25" s="61" t="s">
        <v>19077</v>
      </c>
      <c r="G25" s="62">
        <v>75.0</v>
      </c>
    </row>
    <row r="26" ht="71.25" customHeight="1">
      <c r="A26" s="71" t="s">
        <v>36</v>
      </c>
      <c r="B26" s="71" t="s">
        <v>19615</v>
      </c>
      <c r="C26" s="71" t="s">
        <v>19616</v>
      </c>
      <c r="D26" s="71" t="s">
        <v>19610</v>
      </c>
      <c r="E26" s="71" t="s">
        <v>19617</v>
      </c>
      <c r="F26" s="72" t="s">
        <v>19078</v>
      </c>
      <c r="G26" s="73">
        <v>75.0</v>
      </c>
      <c r="H26" s="74"/>
      <c r="I26" s="74"/>
      <c r="J26" s="74"/>
      <c r="K26" s="74"/>
      <c r="L26" s="74"/>
      <c r="M26" s="74"/>
      <c r="N26" s="74"/>
      <c r="O26" s="74"/>
      <c r="P26" s="74"/>
      <c r="Q26" s="74"/>
      <c r="R26" s="74"/>
      <c r="S26" s="74"/>
      <c r="T26" s="74"/>
      <c r="U26" s="74"/>
      <c r="V26" s="74"/>
      <c r="W26" s="74"/>
      <c r="X26" s="74"/>
      <c r="Y26" s="74"/>
      <c r="Z26" s="74"/>
    </row>
    <row r="27" ht="71.25" customHeight="1">
      <c r="A27" s="60" t="s">
        <v>857</v>
      </c>
      <c r="B27" s="60" t="s">
        <v>19618</v>
      </c>
      <c r="C27" s="60" t="s">
        <v>19619</v>
      </c>
      <c r="D27" s="60" t="s">
        <v>19620</v>
      </c>
      <c r="E27" s="60" t="s">
        <v>19621</v>
      </c>
      <c r="F27" s="61" t="s">
        <v>19079</v>
      </c>
      <c r="G27" s="62">
        <v>75.0</v>
      </c>
    </row>
    <row r="28" ht="71.25" customHeight="1">
      <c r="A28" s="71" t="s">
        <v>17</v>
      </c>
      <c r="B28" s="71" t="s">
        <v>19622</v>
      </c>
      <c r="C28" s="71" t="s">
        <v>19623</v>
      </c>
      <c r="D28" s="71" t="s">
        <v>19564</v>
      </c>
      <c r="E28" s="71" t="s">
        <v>19624</v>
      </c>
      <c r="F28" s="72" t="s">
        <v>19080</v>
      </c>
      <c r="G28" s="73">
        <v>75.0</v>
      </c>
      <c r="H28" s="74"/>
      <c r="I28" s="74"/>
      <c r="J28" s="74"/>
      <c r="K28" s="74"/>
      <c r="L28" s="74"/>
      <c r="M28" s="74"/>
      <c r="N28" s="74"/>
      <c r="O28" s="74"/>
      <c r="P28" s="74"/>
      <c r="Q28" s="74"/>
      <c r="R28" s="74"/>
      <c r="S28" s="74"/>
      <c r="T28" s="74"/>
      <c r="U28" s="74"/>
      <c r="V28" s="74"/>
      <c r="W28" s="74"/>
      <c r="X28" s="74"/>
      <c r="Y28" s="74"/>
      <c r="Z28" s="74"/>
    </row>
    <row r="29" ht="71.25" customHeight="1">
      <c r="A29" s="60" t="s">
        <v>766</v>
      </c>
      <c r="B29" s="60" t="s">
        <v>19625</v>
      </c>
      <c r="C29" s="60" t="s">
        <v>19626</v>
      </c>
      <c r="D29" s="60" t="s">
        <v>19627</v>
      </c>
      <c r="E29" s="60" t="s">
        <v>19628</v>
      </c>
      <c r="F29" s="61" t="s">
        <v>19081</v>
      </c>
      <c r="G29" s="62">
        <v>75.0</v>
      </c>
    </row>
    <row r="30" ht="71.25" customHeight="1">
      <c r="A30" s="60" t="s">
        <v>12</v>
      </c>
      <c r="B30" s="60" t="s">
        <v>19629</v>
      </c>
      <c r="C30" s="60" t="s">
        <v>19630</v>
      </c>
      <c r="D30" s="60" t="s">
        <v>19602</v>
      </c>
      <c r="E30" s="60" t="s">
        <v>19631</v>
      </c>
      <c r="F30" s="61" t="s">
        <v>19082</v>
      </c>
      <c r="G30" s="62">
        <v>75.0</v>
      </c>
    </row>
    <row r="31" ht="71.25" customHeight="1">
      <c r="A31" s="60" t="s">
        <v>1630</v>
      </c>
      <c r="B31" s="60" t="s">
        <v>19632</v>
      </c>
      <c r="C31" s="60" t="s">
        <v>19633</v>
      </c>
      <c r="D31" s="60" t="s">
        <v>19634</v>
      </c>
      <c r="E31" s="60" t="s">
        <v>19635</v>
      </c>
      <c r="F31" s="61" t="s">
        <v>19083</v>
      </c>
      <c r="G31" s="62">
        <v>75.0</v>
      </c>
    </row>
    <row r="32" ht="71.25" customHeight="1">
      <c r="A32" s="71" t="s">
        <v>39</v>
      </c>
      <c r="B32" s="71" t="s">
        <v>19636</v>
      </c>
      <c r="C32" s="71" t="s">
        <v>19637</v>
      </c>
      <c r="D32" s="71" t="s">
        <v>717</v>
      </c>
      <c r="E32" s="71" t="s">
        <v>19638</v>
      </c>
      <c r="F32" s="72" t="s">
        <v>19084</v>
      </c>
      <c r="G32" s="73">
        <v>75.0</v>
      </c>
      <c r="H32" s="74"/>
      <c r="I32" s="74"/>
      <c r="J32" s="74"/>
      <c r="K32" s="74"/>
      <c r="L32" s="74"/>
      <c r="M32" s="74"/>
      <c r="N32" s="74"/>
      <c r="O32" s="74"/>
      <c r="P32" s="74"/>
      <c r="Q32" s="74"/>
      <c r="R32" s="74"/>
      <c r="S32" s="74"/>
      <c r="T32" s="74"/>
      <c r="U32" s="74"/>
      <c r="V32" s="74"/>
      <c r="W32" s="74"/>
      <c r="X32" s="74"/>
      <c r="Y32" s="74"/>
      <c r="Z32" s="74"/>
    </row>
    <row r="33" ht="71.25" customHeight="1">
      <c r="A33" s="60" t="s">
        <v>1252</v>
      </c>
      <c r="B33" s="60" t="s">
        <v>19639</v>
      </c>
      <c r="C33" s="60" t="s">
        <v>19640</v>
      </c>
      <c r="D33" s="60" t="s">
        <v>19641</v>
      </c>
      <c r="E33" s="60" t="s">
        <v>19642</v>
      </c>
      <c r="F33" s="61" t="s">
        <v>19085</v>
      </c>
      <c r="G33" s="62">
        <v>75.0</v>
      </c>
    </row>
    <row r="34" ht="71.25" customHeight="1">
      <c r="A34" s="60" t="s">
        <v>139</v>
      </c>
      <c r="B34" s="60" t="s">
        <v>19643</v>
      </c>
      <c r="C34" s="60" t="s">
        <v>19644</v>
      </c>
      <c r="D34" s="60" t="s">
        <v>19645</v>
      </c>
      <c r="E34" s="60" t="s">
        <v>19646</v>
      </c>
      <c r="F34" s="61" t="s">
        <v>19086</v>
      </c>
      <c r="G34" s="62">
        <v>75.0</v>
      </c>
    </row>
    <row r="35" ht="71.25" customHeight="1">
      <c r="A35" s="60" t="s">
        <v>1371</v>
      </c>
      <c r="B35" s="60" t="s">
        <v>19647</v>
      </c>
      <c r="C35" s="60" t="s">
        <v>19648</v>
      </c>
      <c r="D35" s="60" t="s">
        <v>19649</v>
      </c>
      <c r="E35" s="60" t="s">
        <v>19650</v>
      </c>
      <c r="F35" s="61" t="s">
        <v>19087</v>
      </c>
      <c r="G35" s="62">
        <v>75.0</v>
      </c>
    </row>
    <row r="36" ht="71.25" customHeight="1">
      <c r="A36" s="60" t="s">
        <v>1081</v>
      </c>
      <c r="B36" s="60" t="s">
        <v>19651</v>
      </c>
      <c r="C36" s="60" t="s">
        <v>19652</v>
      </c>
      <c r="D36" s="60" t="s">
        <v>702</v>
      </c>
      <c r="E36" s="60" t="s">
        <v>19653</v>
      </c>
      <c r="F36" s="61" t="s">
        <v>19088</v>
      </c>
      <c r="G36" s="62">
        <v>75.0</v>
      </c>
    </row>
    <row r="37" ht="71.25" customHeight="1">
      <c r="A37" s="60" t="s">
        <v>294</v>
      </c>
      <c r="B37" s="60" t="s">
        <v>19654</v>
      </c>
      <c r="C37" s="60" t="s">
        <v>19655</v>
      </c>
      <c r="D37" s="60" t="s">
        <v>173</v>
      </c>
      <c r="E37" s="60" t="s">
        <v>19656</v>
      </c>
      <c r="F37" s="61" t="s">
        <v>19089</v>
      </c>
      <c r="G37" s="62">
        <v>75.0</v>
      </c>
    </row>
    <row r="38" ht="71.25" customHeight="1">
      <c r="A38" s="60" t="s">
        <v>1479</v>
      </c>
      <c r="B38" s="60" t="s">
        <v>19657</v>
      </c>
      <c r="C38" s="60" t="s">
        <v>19658</v>
      </c>
      <c r="D38" s="60" t="s">
        <v>19594</v>
      </c>
      <c r="E38" s="60" t="s">
        <v>19659</v>
      </c>
      <c r="F38" s="61" t="s">
        <v>19090</v>
      </c>
      <c r="G38" s="62">
        <v>75.0</v>
      </c>
    </row>
    <row r="39" ht="71.25" customHeight="1">
      <c r="A39" s="60" t="s">
        <v>263</v>
      </c>
      <c r="B39" s="60" t="s">
        <v>19660</v>
      </c>
      <c r="C39" s="60" t="s">
        <v>19661</v>
      </c>
      <c r="D39" s="60" t="s">
        <v>19662</v>
      </c>
      <c r="E39" s="60" t="s">
        <v>19663</v>
      </c>
      <c r="F39" s="61" t="s">
        <v>19091</v>
      </c>
      <c r="G39" s="62">
        <v>75.0</v>
      </c>
    </row>
    <row r="40" ht="71.25" customHeight="1">
      <c r="A40" s="63" t="s">
        <v>40</v>
      </c>
      <c r="B40" s="63" t="s">
        <v>19664</v>
      </c>
      <c r="C40" s="63" t="s">
        <v>19665</v>
      </c>
      <c r="D40" s="63" t="s">
        <v>634</v>
      </c>
      <c r="E40" s="63" t="s">
        <v>19666</v>
      </c>
      <c r="F40" s="64" t="s">
        <v>19092</v>
      </c>
      <c r="G40" s="65">
        <v>75.0</v>
      </c>
      <c r="H40" s="66"/>
      <c r="I40" s="66"/>
      <c r="J40" s="66"/>
      <c r="K40" s="66"/>
      <c r="L40" s="66"/>
      <c r="M40" s="66"/>
      <c r="N40" s="66"/>
      <c r="O40" s="66"/>
      <c r="P40" s="66"/>
      <c r="Q40" s="66"/>
      <c r="R40" s="66"/>
      <c r="S40" s="66"/>
      <c r="T40" s="66"/>
      <c r="U40" s="66"/>
      <c r="V40" s="66"/>
      <c r="W40" s="66"/>
      <c r="X40" s="66"/>
      <c r="Y40" s="66"/>
      <c r="Z40" s="66"/>
    </row>
    <row r="41" ht="71.25" customHeight="1">
      <c r="A41" s="60" t="s">
        <v>232</v>
      </c>
      <c r="B41" s="60" t="s">
        <v>19667</v>
      </c>
      <c r="C41" s="60" t="s">
        <v>19668</v>
      </c>
      <c r="D41" s="60" t="s">
        <v>19669</v>
      </c>
      <c r="E41" s="60" t="s">
        <v>19670</v>
      </c>
      <c r="F41" s="61" t="s">
        <v>19093</v>
      </c>
      <c r="G41" s="62">
        <v>75.0</v>
      </c>
    </row>
    <row r="42" ht="71.25" customHeight="1">
      <c r="A42" s="60" t="s">
        <v>169</v>
      </c>
      <c r="B42" s="60" t="s">
        <v>19671</v>
      </c>
      <c r="C42" s="60" t="s">
        <v>19672</v>
      </c>
      <c r="D42" s="60" t="s">
        <v>19673</v>
      </c>
      <c r="E42" s="60" t="s">
        <v>19674</v>
      </c>
      <c r="F42" s="61" t="s">
        <v>19094</v>
      </c>
      <c r="G42" s="62">
        <v>75.0</v>
      </c>
    </row>
    <row r="43" ht="71.25" customHeight="1">
      <c r="A43" s="60" t="s">
        <v>404</v>
      </c>
      <c r="B43" s="60" t="s">
        <v>19675</v>
      </c>
      <c r="C43" s="60" t="s">
        <v>19676</v>
      </c>
      <c r="D43" s="60" t="s">
        <v>19677</v>
      </c>
      <c r="E43" s="60" t="s">
        <v>19678</v>
      </c>
      <c r="F43" s="61" t="s">
        <v>19095</v>
      </c>
      <c r="G43" s="62">
        <v>75.0</v>
      </c>
    </row>
    <row r="44" ht="71.25" customHeight="1">
      <c r="A44" s="60" t="s">
        <v>1083</v>
      </c>
      <c r="B44" s="60" t="s">
        <v>19679</v>
      </c>
      <c r="C44" s="60" t="s">
        <v>19680</v>
      </c>
      <c r="D44" s="60" t="s">
        <v>751</v>
      </c>
      <c r="E44" s="60" t="s">
        <v>19681</v>
      </c>
      <c r="F44" s="61" t="s">
        <v>19096</v>
      </c>
      <c r="G44" s="62">
        <v>75.0</v>
      </c>
    </row>
    <row r="45" ht="71.25" customHeight="1">
      <c r="A45" s="60" t="s">
        <v>7497</v>
      </c>
      <c r="B45" s="60" t="s">
        <v>19682</v>
      </c>
      <c r="C45" s="60" t="s">
        <v>19683</v>
      </c>
      <c r="D45" s="60" t="s">
        <v>19547</v>
      </c>
      <c r="E45" s="60" t="s">
        <v>19684</v>
      </c>
      <c r="F45" s="61" t="s">
        <v>19097</v>
      </c>
      <c r="G45" s="62">
        <v>75.0</v>
      </c>
    </row>
    <row r="46" ht="71.25" customHeight="1">
      <c r="A46" s="60" t="s">
        <v>1098</v>
      </c>
      <c r="B46" s="60" t="s">
        <v>19685</v>
      </c>
      <c r="C46" s="60" t="s">
        <v>19686</v>
      </c>
      <c r="D46" s="60" t="s">
        <v>19602</v>
      </c>
      <c r="E46" s="60" t="s">
        <v>19687</v>
      </c>
      <c r="F46" s="61" t="s">
        <v>19098</v>
      </c>
      <c r="G46" s="62">
        <v>75.0</v>
      </c>
    </row>
    <row r="47" ht="71.25" customHeight="1">
      <c r="A47" s="60" t="s">
        <v>1505</v>
      </c>
      <c r="B47" s="60" t="s">
        <v>19688</v>
      </c>
      <c r="C47" s="60" t="s">
        <v>19689</v>
      </c>
      <c r="D47" s="60" t="s">
        <v>19690</v>
      </c>
      <c r="E47" s="60" t="s">
        <v>19691</v>
      </c>
      <c r="F47" s="61" t="s">
        <v>19099</v>
      </c>
      <c r="G47" s="62">
        <v>75.0</v>
      </c>
    </row>
    <row r="48" ht="71.25" customHeight="1">
      <c r="A48" s="60" t="s">
        <v>963</v>
      </c>
      <c r="B48" s="60" t="s">
        <v>19692</v>
      </c>
      <c r="C48" s="60" t="s">
        <v>19693</v>
      </c>
      <c r="D48" s="60" t="s">
        <v>668</v>
      </c>
      <c r="E48" s="60" t="s">
        <v>19694</v>
      </c>
      <c r="F48" s="61" t="s">
        <v>19100</v>
      </c>
      <c r="G48" s="62">
        <v>75.0</v>
      </c>
    </row>
    <row r="49" ht="71.25" customHeight="1">
      <c r="A49" s="60" t="s">
        <v>1155</v>
      </c>
      <c r="B49" s="60" t="s">
        <v>19695</v>
      </c>
      <c r="C49" s="60" t="s">
        <v>19696</v>
      </c>
      <c r="D49" s="60" t="s">
        <v>19572</v>
      </c>
      <c r="E49" s="60" t="s">
        <v>19697</v>
      </c>
      <c r="F49" s="61" t="s">
        <v>19101</v>
      </c>
      <c r="G49" s="62">
        <v>75.0</v>
      </c>
    </row>
    <row r="50" ht="71.25" customHeight="1">
      <c r="A50" s="60" t="s">
        <v>239</v>
      </c>
      <c r="B50" s="60" t="s">
        <v>19698</v>
      </c>
      <c r="C50" s="60" t="s">
        <v>239</v>
      </c>
      <c r="D50" s="60" t="s">
        <v>19699</v>
      </c>
      <c r="E50" s="60" t="s">
        <v>19700</v>
      </c>
      <c r="F50" s="61" t="s">
        <v>19102</v>
      </c>
      <c r="G50" s="62">
        <v>75.0</v>
      </c>
    </row>
    <row r="51" ht="71.25" customHeight="1">
      <c r="A51" s="60" t="s">
        <v>1008</v>
      </c>
      <c r="B51" s="60" t="s">
        <v>19701</v>
      </c>
      <c r="C51" s="60" t="s">
        <v>19702</v>
      </c>
      <c r="D51" s="60" t="s">
        <v>19564</v>
      </c>
      <c r="E51" s="60" t="s">
        <v>19703</v>
      </c>
      <c r="F51" s="61" t="s">
        <v>19103</v>
      </c>
      <c r="G51" s="62">
        <v>75.0</v>
      </c>
    </row>
    <row r="52" ht="71.25" customHeight="1">
      <c r="A52" s="60" t="s">
        <v>976</v>
      </c>
      <c r="B52" s="60" t="s">
        <v>19704</v>
      </c>
      <c r="C52" s="60" t="s">
        <v>19705</v>
      </c>
      <c r="D52" s="60" t="s">
        <v>19706</v>
      </c>
      <c r="E52" s="60" t="s">
        <v>19707</v>
      </c>
      <c r="F52" s="61" t="s">
        <v>19104</v>
      </c>
      <c r="G52" s="62">
        <v>75.0</v>
      </c>
    </row>
    <row r="53" ht="71.25" customHeight="1">
      <c r="A53" s="60" t="s">
        <v>1171</v>
      </c>
      <c r="B53" s="60" t="s">
        <v>19708</v>
      </c>
      <c r="C53" s="60" t="s">
        <v>19709</v>
      </c>
      <c r="D53" s="60" t="s">
        <v>714</v>
      </c>
      <c r="E53" s="60" t="s">
        <v>19710</v>
      </c>
      <c r="F53" s="61" t="s">
        <v>19105</v>
      </c>
      <c r="G53" s="62">
        <v>75.0</v>
      </c>
    </row>
    <row r="54" ht="71.25" customHeight="1">
      <c r="A54" s="60" t="s">
        <v>1289</v>
      </c>
      <c r="B54" s="60" t="s">
        <v>19711</v>
      </c>
      <c r="C54" s="60" t="s">
        <v>19712</v>
      </c>
      <c r="D54" s="60" t="s">
        <v>19620</v>
      </c>
      <c r="E54" s="60" t="s">
        <v>19713</v>
      </c>
      <c r="F54" s="61" t="s">
        <v>19106</v>
      </c>
      <c r="G54" s="62">
        <v>75.0</v>
      </c>
    </row>
    <row r="55" ht="71.25" customHeight="1">
      <c r="A55" s="60" t="s">
        <v>1000</v>
      </c>
      <c r="B55" s="60" t="s">
        <v>19714</v>
      </c>
      <c r="C55" s="60" t="s">
        <v>19715</v>
      </c>
      <c r="D55" s="60" t="s">
        <v>19539</v>
      </c>
      <c r="E55" s="60" t="s">
        <v>19716</v>
      </c>
      <c r="F55" s="61" t="s">
        <v>19107</v>
      </c>
      <c r="G55" s="62">
        <v>75.0</v>
      </c>
    </row>
    <row r="56" ht="71.25" customHeight="1">
      <c r="A56" s="60" t="s">
        <v>1119</v>
      </c>
      <c r="B56" s="60" t="s">
        <v>19717</v>
      </c>
      <c r="C56" s="60" t="s">
        <v>19718</v>
      </c>
      <c r="D56" s="60" t="s">
        <v>19699</v>
      </c>
      <c r="E56" s="60" t="s">
        <v>19719</v>
      </c>
      <c r="F56" s="61" t="s">
        <v>19108</v>
      </c>
      <c r="G56" s="62">
        <v>75.0</v>
      </c>
    </row>
    <row r="57" ht="71.25" customHeight="1">
      <c r="A57" s="60" t="s">
        <v>127</v>
      </c>
      <c r="B57" s="60" t="s">
        <v>19720</v>
      </c>
      <c r="C57" s="60" t="s">
        <v>19721</v>
      </c>
      <c r="D57" s="60" t="s">
        <v>19547</v>
      </c>
      <c r="E57" s="60" t="s">
        <v>19722</v>
      </c>
      <c r="F57" s="61" t="s">
        <v>19109</v>
      </c>
      <c r="G57" s="62">
        <v>75.0</v>
      </c>
    </row>
    <row r="58" ht="71.25" customHeight="1">
      <c r="A58" s="60" t="s">
        <v>59</v>
      </c>
      <c r="B58" s="60" t="s">
        <v>19723</v>
      </c>
      <c r="C58" s="60" t="s">
        <v>19724</v>
      </c>
      <c r="D58" s="60" t="s">
        <v>19725</v>
      </c>
      <c r="E58" s="60" t="s">
        <v>19726</v>
      </c>
      <c r="F58" s="61" t="s">
        <v>19110</v>
      </c>
      <c r="G58" s="62">
        <v>75.0</v>
      </c>
    </row>
    <row r="59" ht="71.25" customHeight="1">
      <c r="A59" s="60" t="s">
        <v>1513</v>
      </c>
      <c r="B59" s="60" t="s">
        <v>19727</v>
      </c>
      <c r="C59" s="60" t="s">
        <v>19728</v>
      </c>
      <c r="D59" s="60" t="s">
        <v>19641</v>
      </c>
      <c r="E59" s="60" t="s">
        <v>19729</v>
      </c>
      <c r="F59" s="61" t="s">
        <v>19111</v>
      </c>
      <c r="G59" s="62">
        <v>75.0</v>
      </c>
    </row>
    <row r="60" ht="71.25" customHeight="1">
      <c r="A60" s="60" t="s">
        <v>472</v>
      </c>
      <c r="B60" s="60" t="s">
        <v>19730</v>
      </c>
      <c r="C60" s="60" t="s">
        <v>19731</v>
      </c>
      <c r="D60" s="60" t="s">
        <v>19732</v>
      </c>
      <c r="E60" s="60" t="s">
        <v>19733</v>
      </c>
      <c r="F60" s="61" t="s">
        <v>19112</v>
      </c>
      <c r="G60" s="62">
        <v>75.0</v>
      </c>
    </row>
    <row r="61" ht="71.25" customHeight="1">
      <c r="A61" s="60" t="s">
        <v>878</v>
      </c>
      <c r="B61" s="60" t="s">
        <v>19734</v>
      </c>
      <c r="C61" s="60" t="s">
        <v>19735</v>
      </c>
      <c r="D61" s="60" t="s">
        <v>19649</v>
      </c>
      <c r="E61" s="60" t="s">
        <v>19736</v>
      </c>
      <c r="F61" s="61" t="s">
        <v>19113</v>
      </c>
      <c r="G61" s="62">
        <v>75.0</v>
      </c>
    </row>
    <row r="62" ht="71.25" customHeight="1">
      <c r="A62" s="60" t="s">
        <v>243</v>
      </c>
      <c r="B62" s="60" t="s">
        <v>19737</v>
      </c>
      <c r="C62" s="60" t="s">
        <v>19738</v>
      </c>
      <c r="D62" s="60" t="s">
        <v>19739</v>
      </c>
      <c r="E62" s="60" t="s">
        <v>19740</v>
      </c>
      <c r="F62" s="61" t="s">
        <v>19114</v>
      </c>
      <c r="G62" s="62">
        <v>75.0</v>
      </c>
    </row>
    <row r="63" ht="71.25" customHeight="1">
      <c r="A63" s="60" t="s">
        <v>1038</v>
      </c>
      <c r="B63" s="60" t="s">
        <v>19741</v>
      </c>
      <c r="C63" s="60" t="s">
        <v>19742</v>
      </c>
      <c r="D63" s="60" t="s">
        <v>658</v>
      </c>
      <c r="E63" s="60" t="s">
        <v>19743</v>
      </c>
      <c r="F63" s="61" t="s">
        <v>19115</v>
      </c>
      <c r="G63" s="62">
        <v>75.0</v>
      </c>
    </row>
    <row r="64" ht="71.25" customHeight="1">
      <c r="A64" s="60" t="s">
        <v>184</v>
      </c>
      <c r="B64" s="60" t="s">
        <v>19744</v>
      </c>
      <c r="C64" s="60" t="s">
        <v>19745</v>
      </c>
      <c r="D64" s="60" t="s">
        <v>156</v>
      </c>
      <c r="E64" s="60" t="s">
        <v>19746</v>
      </c>
      <c r="F64" s="61" t="s">
        <v>19116</v>
      </c>
      <c r="G64" s="62">
        <v>75.0</v>
      </c>
    </row>
    <row r="65" ht="71.25" customHeight="1">
      <c r="A65" s="60" t="s">
        <v>229</v>
      </c>
      <c r="B65" s="60" t="s">
        <v>19747</v>
      </c>
      <c r="C65" s="60" t="s">
        <v>19748</v>
      </c>
      <c r="D65" s="60" t="s">
        <v>156</v>
      </c>
      <c r="E65" s="60" t="s">
        <v>19749</v>
      </c>
      <c r="F65" s="61" t="s">
        <v>19117</v>
      </c>
      <c r="G65" s="62">
        <v>75.0</v>
      </c>
    </row>
    <row r="66" ht="71.25" customHeight="1">
      <c r="A66" s="60" t="s">
        <v>18</v>
      </c>
      <c r="B66" s="60" t="s">
        <v>19750</v>
      </c>
      <c r="C66" s="60" t="s">
        <v>19751</v>
      </c>
      <c r="D66" s="60" t="s">
        <v>19620</v>
      </c>
      <c r="E66" s="60" t="s">
        <v>19752</v>
      </c>
      <c r="F66" s="61" t="s">
        <v>19118</v>
      </c>
      <c r="G66" s="62">
        <v>75.0</v>
      </c>
    </row>
    <row r="67" ht="71.25" customHeight="1">
      <c r="A67" s="60" t="s">
        <v>1474</v>
      </c>
      <c r="B67" s="60" t="s">
        <v>19753</v>
      </c>
      <c r="C67" s="60" t="s">
        <v>19754</v>
      </c>
      <c r="D67" s="60" t="s">
        <v>19755</v>
      </c>
      <c r="E67" s="60" t="s">
        <v>19756</v>
      </c>
      <c r="F67" s="61" t="s">
        <v>19119</v>
      </c>
      <c r="G67" s="62">
        <v>75.0</v>
      </c>
    </row>
    <row r="68" ht="71.25" customHeight="1">
      <c r="A68" s="60" t="s">
        <v>771</v>
      </c>
      <c r="B68" s="60" t="s">
        <v>19757</v>
      </c>
      <c r="C68" s="60" t="s">
        <v>19758</v>
      </c>
      <c r="D68" s="60" t="s">
        <v>19598</v>
      </c>
      <c r="E68" s="60" t="s">
        <v>19759</v>
      </c>
      <c r="F68" s="61" t="s">
        <v>19120</v>
      </c>
      <c r="G68" s="62">
        <v>75.0</v>
      </c>
    </row>
    <row r="69" ht="71.25" customHeight="1">
      <c r="A69" s="60" t="s">
        <v>298</v>
      </c>
      <c r="B69" s="60" t="s">
        <v>19760</v>
      </c>
      <c r="C69" s="60" t="s">
        <v>19761</v>
      </c>
      <c r="D69" s="60" t="s">
        <v>19620</v>
      </c>
      <c r="E69" s="60" t="s">
        <v>19762</v>
      </c>
      <c r="F69" s="61" t="s">
        <v>19121</v>
      </c>
      <c r="G69" s="62">
        <v>75.0</v>
      </c>
    </row>
    <row r="70" ht="71.25" customHeight="1">
      <c r="A70" s="60" t="s">
        <v>19122</v>
      </c>
      <c r="B70" s="60" t="s">
        <v>19763</v>
      </c>
      <c r="C70" s="60" t="s">
        <v>19764</v>
      </c>
      <c r="D70" s="60" t="s">
        <v>19765</v>
      </c>
      <c r="E70" s="60" t="s">
        <v>19766</v>
      </c>
      <c r="F70" s="61" t="s">
        <v>19123</v>
      </c>
      <c r="G70" s="62">
        <v>75.0</v>
      </c>
    </row>
    <row r="71" ht="71.25" customHeight="1">
      <c r="A71" s="71" t="s">
        <v>41</v>
      </c>
      <c r="B71" s="71" t="s">
        <v>19767</v>
      </c>
      <c r="C71" s="71" t="s">
        <v>19768</v>
      </c>
      <c r="D71" s="71" t="s">
        <v>19769</v>
      </c>
      <c r="E71" s="71" t="s">
        <v>19770</v>
      </c>
      <c r="F71" s="72" t="s">
        <v>19124</v>
      </c>
      <c r="G71" s="73">
        <v>75.0</v>
      </c>
      <c r="H71" s="74"/>
      <c r="I71" s="74"/>
      <c r="J71" s="74"/>
      <c r="K71" s="74"/>
      <c r="L71" s="74"/>
      <c r="M71" s="74"/>
      <c r="N71" s="74"/>
      <c r="O71" s="74"/>
      <c r="P71" s="74"/>
      <c r="Q71" s="74"/>
      <c r="R71" s="74"/>
      <c r="S71" s="74"/>
      <c r="T71" s="74"/>
      <c r="U71" s="74"/>
      <c r="V71" s="74"/>
      <c r="W71" s="74"/>
      <c r="X71" s="74"/>
      <c r="Y71" s="74"/>
      <c r="Z71" s="74"/>
    </row>
    <row r="72" ht="71.25" customHeight="1">
      <c r="A72" s="75" t="s">
        <v>1402</v>
      </c>
      <c r="B72" s="75" t="s">
        <v>19771</v>
      </c>
      <c r="C72" s="75" t="s">
        <v>19772</v>
      </c>
      <c r="D72" s="75" t="s">
        <v>19634</v>
      </c>
      <c r="E72" s="75" t="s">
        <v>19773</v>
      </c>
      <c r="F72" s="76" t="s">
        <v>19125</v>
      </c>
      <c r="G72" s="77">
        <v>70.0</v>
      </c>
      <c r="H72" s="78"/>
      <c r="I72" s="78"/>
      <c r="J72" s="78"/>
      <c r="K72" s="78"/>
      <c r="L72" s="78"/>
      <c r="M72" s="78"/>
      <c r="N72" s="78"/>
      <c r="O72" s="78"/>
      <c r="P72" s="78"/>
      <c r="Q72" s="78"/>
      <c r="R72" s="78"/>
      <c r="S72" s="78"/>
      <c r="T72" s="78"/>
      <c r="U72" s="78"/>
      <c r="V72" s="78"/>
      <c r="W72" s="78"/>
      <c r="X72" s="78"/>
      <c r="Y72" s="78"/>
      <c r="Z72" s="78"/>
    </row>
    <row r="73" ht="71.25" customHeight="1">
      <c r="A73" s="60" t="s">
        <v>278</v>
      </c>
      <c r="B73" s="60" t="s">
        <v>19774</v>
      </c>
      <c r="C73" s="60" t="s">
        <v>19775</v>
      </c>
      <c r="D73" s="60" t="s">
        <v>19620</v>
      </c>
      <c r="E73" s="60" t="s">
        <v>19776</v>
      </c>
      <c r="F73" s="61" t="s">
        <v>19126</v>
      </c>
      <c r="G73" s="62">
        <v>70.0</v>
      </c>
    </row>
    <row r="74" ht="71.25" customHeight="1">
      <c r="A74" s="60" t="s">
        <v>242</v>
      </c>
      <c r="B74" s="60" t="s">
        <v>19777</v>
      </c>
      <c r="C74" s="60" t="s">
        <v>242</v>
      </c>
      <c r="D74" s="60" t="s">
        <v>19765</v>
      </c>
      <c r="E74" s="60" t="s">
        <v>19778</v>
      </c>
      <c r="F74" s="61" t="s">
        <v>19127</v>
      </c>
      <c r="G74" s="62">
        <v>70.0</v>
      </c>
    </row>
    <row r="75" ht="71.25" customHeight="1">
      <c r="A75" s="60" t="s">
        <v>1059</v>
      </c>
      <c r="B75" s="60" t="s">
        <v>19779</v>
      </c>
      <c r="C75" s="60" t="s">
        <v>19780</v>
      </c>
      <c r="D75" s="60" t="s">
        <v>19620</v>
      </c>
      <c r="E75" s="60" t="s">
        <v>19781</v>
      </c>
      <c r="F75" s="61" t="s">
        <v>19128</v>
      </c>
      <c r="G75" s="62">
        <v>70.0</v>
      </c>
    </row>
    <row r="76" ht="71.25" customHeight="1">
      <c r="A76" s="60" t="s">
        <v>1301</v>
      </c>
      <c r="B76" s="60" t="s">
        <v>19782</v>
      </c>
      <c r="C76" s="60" t="s">
        <v>19783</v>
      </c>
      <c r="D76" s="60" t="s">
        <v>702</v>
      </c>
      <c r="E76" s="60" t="s">
        <v>19784</v>
      </c>
      <c r="F76" s="61" t="s">
        <v>19129</v>
      </c>
      <c r="G76" s="62">
        <v>70.0</v>
      </c>
    </row>
    <row r="77" ht="71.25" customHeight="1">
      <c r="A77" s="60" t="s">
        <v>1470</v>
      </c>
      <c r="B77" s="60" t="s">
        <v>19785</v>
      </c>
      <c r="C77" s="60" t="s">
        <v>19786</v>
      </c>
      <c r="D77" s="60" t="s">
        <v>309</v>
      </c>
      <c r="E77" s="60" t="s">
        <v>19787</v>
      </c>
      <c r="F77" s="61" t="s">
        <v>19130</v>
      </c>
      <c r="G77" s="62">
        <v>70.0</v>
      </c>
    </row>
    <row r="78" ht="71.25" customHeight="1">
      <c r="A78" s="60" t="s">
        <v>1632</v>
      </c>
      <c r="B78" s="60" t="s">
        <v>19788</v>
      </c>
      <c r="C78" s="60" t="s">
        <v>19789</v>
      </c>
      <c r="D78" s="60" t="s">
        <v>19769</v>
      </c>
      <c r="E78" s="60" t="s">
        <v>19790</v>
      </c>
      <c r="F78" s="61" t="s">
        <v>19131</v>
      </c>
      <c r="G78" s="62">
        <v>70.0</v>
      </c>
    </row>
    <row r="79" ht="71.25" customHeight="1">
      <c r="A79" s="60" t="s">
        <v>49</v>
      </c>
      <c r="B79" s="60" t="s">
        <v>19791</v>
      </c>
      <c r="C79" s="60" t="s">
        <v>19792</v>
      </c>
      <c r="D79" s="60" t="s">
        <v>757</v>
      </c>
      <c r="E79" s="60" t="s">
        <v>19793</v>
      </c>
      <c r="F79" s="61" t="s">
        <v>19132</v>
      </c>
      <c r="G79" s="62">
        <v>70.0</v>
      </c>
    </row>
    <row r="80" ht="71.25" customHeight="1">
      <c r="A80" s="60" t="s">
        <v>1181</v>
      </c>
      <c r="B80" s="60" t="s">
        <v>19794</v>
      </c>
      <c r="C80" s="60" t="s">
        <v>19795</v>
      </c>
      <c r="D80" s="60" t="s">
        <v>19796</v>
      </c>
      <c r="E80" s="60" t="s">
        <v>19797</v>
      </c>
      <c r="F80" s="61" t="s">
        <v>19133</v>
      </c>
      <c r="G80" s="62">
        <v>70.0</v>
      </c>
    </row>
    <row r="81" ht="71.25" customHeight="1">
      <c r="A81" s="60" t="s">
        <v>1019</v>
      </c>
      <c r="B81" s="60" t="s">
        <v>19798</v>
      </c>
      <c r="C81" s="60" t="s">
        <v>19799</v>
      </c>
      <c r="D81" s="60" t="s">
        <v>19800</v>
      </c>
      <c r="E81" s="60" t="s">
        <v>19801</v>
      </c>
      <c r="F81" s="61" t="s">
        <v>19134</v>
      </c>
      <c r="G81" s="62">
        <v>70.0</v>
      </c>
    </row>
    <row r="82" ht="71.25" customHeight="1">
      <c r="A82" s="60" t="s">
        <v>925</v>
      </c>
      <c r="B82" s="60" t="s">
        <v>19802</v>
      </c>
      <c r="C82" s="60" t="s">
        <v>19803</v>
      </c>
      <c r="D82" s="60" t="s">
        <v>19576</v>
      </c>
      <c r="E82" s="60" t="s">
        <v>19804</v>
      </c>
      <c r="F82" s="61" t="s">
        <v>19135</v>
      </c>
      <c r="G82" s="62">
        <v>70.0</v>
      </c>
    </row>
    <row r="83" ht="71.25" customHeight="1">
      <c r="A83" s="60" t="s">
        <v>982</v>
      </c>
      <c r="B83" s="60" t="s">
        <v>19805</v>
      </c>
      <c r="C83" s="60" t="s">
        <v>19806</v>
      </c>
      <c r="D83" s="60" t="s">
        <v>19627</v>
      </c>
      <c r="E83" s="60" t="s">
        <v>19807</v>
      </c>
      <c r="F83" s="61" t="s">
        <v>19136</v>
      </c>
      <c r="G83" s="62">
        <v>70.0</v>
      </c>
    </row>
    <row r="84" ht="71.25" customHeight="1">
      <c r="A84" s="60" t="s">
        <v>128</v>
      </c>
      <c r="B84" s="60" t="s">
        <v>19808</v>
      </c>
      <c r="C84" s="60" t="s">
        <v>19809</v>
      </c>
      <c r="D84" s="60" t="s">
        <v>19610</v>
      </c>
      <c r="E84" s="60" t="s">
        <v>19810</v>
      </c>
      <c r="F84" s="61" t="s">
        <v>19137</v>
      </c>
      <c r="G84" s="62">
        <v>70.0</v>
      </c>
    </row>
    <row r="85" ht="71.25" customHeight="1">
      <c r="A85" s="60" t="s">
        <v>985</v>
      </c>
      <c r="B85" s="60" t="s">
        <v>19811</v>
      </c>
      <c r="C85" s="60" t="s">
        <v>19812</v>
      </c>
      <c r="D85" s="60" t="s">
        <v>19813</v>
      </c>
      <c r="E85" s="60" t="s">
        <v>19814</v>
      </c>
      <c r="F85" s="61" t="s">
        <v>19138</v>
      </c>
      <c r="G85" s="62">
        <v>70.0</v>
      </c>
    </row>
    <row r="86" ht="71.25" customHeight="1">
      <c r="A86" s="60" t="s">
        <v>1425</v>
      </c>
      <c r="B86" s="60" t="s">
        <v>19815</v>
      </c>
      <c r="C86" s="60" t="s">
        <v>19816</v>
      </c>
      <c r="D86" s="60" t="s">
        <v>658</v>
      </c>
      <c r="E86" s="60" t="s">
        <v>19817</v>
      </c>
      <c r="F86" s="61" t="s">
        <v>19139</v>
      </c>
      <c r="G86" s="62">
        <v>70.0</v>
      </c>
    </row>
    <row r="87" ht="71.25" customHeight="1">
      <c r="A87" s="60" t="s">
        <v>187</v>
      </c>
      <c r="B87" s="60" t="s">
        <v>19818</v>
      </c>
      <c r="C87" s="60" t="s">
        <v>19819</v>
      </c>
      <c r="D87" s="60" t="s">
        <v>309</v>
      </c>
      <c r="E87" s="60" t="s">
        <v>19820</v>
      </c>
      <c r="F87" s="61" t="s">
        <v>19140</v>
      </c>
      <c r="G87" s="62">
        <v>70.0</v>
      </c>
    </row>
    <row r="88" ht="71.25" customHeight="1">
      <c r="A88" s="60" t="s">
        <v>1268</v>
      </c>
      <c r="B88" s="60" t="s">
        <v>19821</v>
      </c>
      <c r="C88" s="60" t="s">
        <v>19822</v>
      </c>
      <c r="D88" s="60" t="s">
        <v>19823</v>
      </c>
      <c r="E88" s="60" t="s">
        <v>19824</v>
      </c>
      <c r="F88" s="61" t="s">
        <v>19141</v>
      </c>
      <c r="G88" s="62">
        <v>70.0</v>
      </c>
    </row>
    <row r="89" ht="71.25" customHeight="1">
      <c r="A89" s="60" t="s">
        <v>1551</v>
      </c>
      <c r="B89" s="60" t="s">
        <v>19825</v>
      </c>
      <c r="C89" s="60" t="s">
        <v>19826</v>
      </c>
      <c r="D89" s="60" t="s">
        <v>19827</v>
      </c>
      <c r="E89" s="60" t="s">
        <v>19828</v>
      </c>
      <c r="F89" s="61" t="s">
        <v>19142</v>
      </c>
      <c r="G89" s="62">
        <v>70.0</v>
      </c>
    </row>
    <row r="90" ht="71.25" customHeight="1">
      <c r="A90" s="60" t="s">
        <v>1295</v>
      </c>
      <c r="B90" s="60" t="s">
        <v>19829</v>
      </c>
      <c r="C90" s="60" t="s">
        <v>19830</v>
      </c>
      <c r="D90" s="60" t="s">
        <v>694</v>
      </c>
      <c r="E90" s="60" t="s">
        <v>19831</v>
      </c>
      <c r="F90" s="61" t="s">
        <v>19143</v>
      </c>
      <c r="G90" s="62">
        <v>70.0</v>
      </c>
    </row>
    <row r="91" ht="71.25" customHeight="1">
      <c r="A91" s="60" t="s">
        <v>66</v>
      </c>
      <c r="B91" s="60" t="s">
        <v>19832</v>
      </c>
      <c r="C91" s="60" t="s">
        <v>19833</v>
      </c>
      <c r="D91" s="60" t="s">
        <v>19834</v>
      </c>
      <c r="E91" s="60" t="s">
        <v>19835</v>
      </c>
      <c r="F91" s="61" t="s">
        <v>19144</v>
      </c>
      <c r="G91" s="62">
        <v>70.0</v>
      </c>
    </row>
    <row r="92" ht="71.25" customHeight="1">
      <c r="A92" s="60" t="s">
        <v>15</v>
      </c>
      <c r="B92" s="60" t="s">
        <v>19836</v>
      </c>
      <c r="C92" s="60" t="s">
        <v>19837</v>
      </c>
      <c r="D92" s="60" t="s">
        <v>19699</v>
      </c>
      <c r="E92" s="60" t="s">
        <v>19838</v>
      </c>
      <c r="F92" s="61" t="s">
        <v>19145</v>
      </c>
      <c r="G92" s="62">
        <v>70.0</v>
      </c>
    </row>
    <row r="93" ht="71.25" customHeight="1">
      <c r="A93" s="60" t="s">
        <v>864</v>
      </c>
      <c r="B93" s="60" t="s">
        <v>19839</v>
      </c>
      <c r="C93" s="60" t="s">
        <v>19840</v>
      </c>
      <c r="D93" s="60" t="s">
        <v>19641</v>
      </c>
      <c r="E93" s="60" t="s">
        <v>19841</v>
      </c>
      <c r="F93" s="61" t="s">
        <v>19146</v>
      </c>
      <c r="G93" s="62">
        <v>70.0</v>
      </c>
    </row>
    <row r="94" ht="71.25" customHeight="1">
      <c r="A94" s="60" t="s">
        <v>795</v>
      </c>
      <c r="B94" s="60" t="s">
        <v>19842</v>
      </c>
      <c r="C94" s="60" t="s">
        <v>19843</v>
      </c>
      <c r="D94" s="60" t="s">
        <v>19677</v>
      </c>
      <c r="E94" s="60" t="s">
        <v>19844</v>
      </c>
      <c r="F94" s="61" t="s">
        <v>19147</v>
      </c>
      <c r="G94" s="62">
        <v>70.0</v>
      </c>
    </row>
    <row r="95" ht="71.25" customHeight="1">
      <c r="A95" s="60" t="s">
        <v>902</v>
      </c>
      <c r="B95" s="60" t="s">
        <v>19845</v>
      </c>
      <c r="C95" s="60" t="s">
        <v>19846</v>
      </c>
      <c r="D95" s="60" t="s">
        <v>19547</v>
      </c>
      <c r="E95" s="60" t="s">
        <v>19847</v>
      </c>
      <c r="F95" s="61" t="s">
        <v>19148</v>
      </c>
      <c r="G95" s="62">
        <v>70.0</v>
      </c>
    </row>
    <row r="96" ht="71.25" customHeight="1">
      <c r="A96" s="60" t="s">
        <v>1250</v>
      </c>
      <c r="B96" s="60" t="s">
        <v>19848</v>
      </c>
      <c r="C96" s="60" t="s">
        <v>19849</v>
      </c>
      <c r="D96" s="60" t="s">
        <v>19850</v>
      </c>
      <c r="E96" s="60" t="s">
        <v>19851</v>
      </c>
      <c r="F96" s="61" t="s">
        <v>19149</v>
      </c>
      <c r="G96" s="62">
        <v>70.0</v>
      </c>
    </row>
    <row r="97" ht="71.25" customHeight="1">
      <c r="A97" s="60" t="s">
        <v>1605</v>
      </c>
      <c r="B97" s="60" t="s">
        <v>19852</v>
      </c>
      <c r="C97" s="60" t="s">
        <v>19853</v>
      </c>
      <c r="D97" s="60" t="s">
        <v>19594</v>
      </c>
      <c r="E97" s="60" t="s">
        <v>19854</v>
      </c>
      <c r="F97" s="61" t="s">
        <v>19150</v>
      </c>
      <c r="G97" s="62">
        <v>70.0</v>
      </c>
    </row>
    <row r="98" ht="71.25" customHeight="1">
      <c r="A98" s="60" t="s">
        <v>862</v>
      </c>
      <c r="B98" s="60" t="s">
        <v>19855</v>
      </c>
      <c r="C98" s="60" t="s">
        <v>19856</v>
      </c>
      <c r="D98" s="60" t="s">
        <v>19610</v>
      </c>
      <c r="E98" s="60" t="s">
        <v>19857</v>
      </c>
      <c r="F98" s="61" t="s">
        <v>19151</v>
      </c>
      <c r="G98" s="62">
        <v>70.0</v>
      </c>
    </row>
    <row r="99" ht="71.25" customHeight="1">
      <c r="A99" s="60" t="s">
        <v>923</v>
      </c>
      <c r="B99" s="60" t="s">
        <v>19858</v>
      </c>
      <c r="C99" s="60" t="s">
        <v>19859</v>
      </c>
      <c r="D99" s="60" t="s">
        <v>19860</v>
      </c>
      <c r="E99" s="60" t="s">
        <v>19861</v>
      </c>
      <c r="F99" s="61" t="s">
        <v>19152</v>
      </c>
      <c r="G99" s="62">
        <v>70.0</v>
      </c>
    </row>
    <row r="100" ht="71.25" customHeight="1">
      <c r="A100" s="60" t="s">
        <v>1204</v>
      </c>
      <c r="B100" s="60" t="s">
        <v>19862</v>
      </c>
      <c r="C100" s="60" t="s">
        <v>19863</v>
      </c>
      <c r="D100" s="60" t="s">
        <v>19587</v>
      </c>
      <c r="E100" s="60" t="s">
        <v>19864</v>
      </c>
      <c r="F100" s="61" t="s">
        <v>19153</v>
      </c>
      <c r="G100" s="62">
        <v>70.0</v>
      </c>
    </row>
    <row r="101" ht="71.25" customHeight="1">
      <c r="A101" s="60" t="s">
        <v>978</v>
      </c>
      <c r="B101" s="60" t="s">
        <v>19865</v>
      </c>
      <c r="C101" s="60" t="s">
        <v>19866</v>
      </c>
      <c r="D101" s="60" t="s">
        <v>19755</v>
      </c>
      <c r="E101" s="60" t="s">
        <v>19867</v>
      </c>
      <c r="F101" s="61" t="s">
        <v>19154</v>
      </c>
      <c r="G101" s="62">
        <v>70.0</v>
      </c>
    </row>
    <row r="102" ht="71.25" customHeight="1">
      <c r="A102" s="60" t="s">
        <v>911</v>
      </c>
      <c r="B102" s="60" t="s">
        <v>19868</v>
      </c>
      <c r="C102" s="60" t="s">
        <v>19869</v>
      </c>
      <c r="D102" s="60" t="s">
        <v>19649</v>
      </c>
      <c r="E102" s="60" t="s">
        <v>19870</v>
      </c>
      <c r="F102" s="61" t="s">
        <v>19155</v>
      </c>
      <c r="G102" s="62">
        <v>70.0</v>
      </c>
    </row>
    <row r="103" ht="71.25" customHeight="1">
      <c r="A103" s="60" t="s">
        <v>1393</v>
      </c>
      <c r="B103" s="60" t="s">
        <v>19871</v>
      </c>
      <c r="C103" s="60" t="s">
        <v>19872</v>
      </c>
      <c r="D103" s="60" t="s">
        <v>107</v>
      </c>
      <c r="E103" s="60" t="s">
        <v>19873</v>
      </c>
      <c r="F103" s="61" t="s">
        <v>19156</v>
      </c>
      <c r="G103" s="62">
        <v>70.0</v>
      </c>
    </row>
    <row r="104" ht="71.25" customHeight="1">
      <c r="A104" s="60" t="s">
        <v>1208</v>
      </c>
      <c r="B104" s="60" t="s">
        <v>19874</v>
      </c>
      <c r="C104" s="60" t="s">
        <v>1208</v>
      </c>
      <c r="D104" s="60" t="s">
        <v>19547</v>
      </c>
      <c r="E104" s="60" t="s">
        <v>19875</v>
      </c>
      <c r="F104" s="61" t="s">
        <v>19157</v>
      </c>
      <c r="G104" s="62">
        <v>70.0</v>
      </c>
    </row>
    <row r="105" ht="71.25" customHeight="1">
      <c r="A105" s="60" t="s">
        <v>915</v>
      </c>
      <c r="B105" s="60" t="s">
        <v>19876</v>
      </c>
      <c r="C105" s="60" t="s">
        <v>19877</v>
      </c>
      <c r="D105" s="60" t="s">
        <v>19645</v>
      </c>
      <c r="E105" s="60" t="s">
        <v>19878</v>
      </c>
      <c r="F105" s="61" t="s">
        <v>19158</v>
      </c>
      <c r="G105" s="62">
        <v>70.0</v>
      </c>
    </row>
    <row r="106" ht="71.25" customHeight="1">
      <c r="A106" s="60" t="s">
        <v>1262</v>
      </c>
      <c r="B106" s="60" t="s">
        <v>19879</v>
      </c>
      <c r="C106" s="60" t="s">
        <v>19880</v>
      </c>
      <c r="D106" s="60" t="s">
        <v>19881</v>
      </c>
      <c r="E106" s="60" t="s">
        <v>19882</v>
      </c>
      <c r="F106" s="61" t="s">
        <v>19159</v>
      </c>
      <c r="G106" s="62">
        <v>70.0</v>
      </c>
    </row>
    <row r="107" ht="71.25" customHeight="1">
      <c r="A107" s="60" t="s">
        <v>1043</v>
      </c>
      <c r="B107" s="60" t="s">
        <v>19883</v>
      </c>
      <c r="C107" s="60" t="s">
        <v>19884</v>
      </c>
      <c r="D107" s="60" t="s">
        <v>19885</v>
      </c>
      <c r="E107" s="60" t="s">
        <v>19886</v>
      </c>
      <c r="F107" s="61" t="s">
        <v>19160</v>
      </c>
      <c r="G107" s="62">
        <v>70.0</v>
      </c>
    </row>
    <row r="108" ht="71.25" customHeight="1">
      <c r="A108" s="60" t="s">
        <v>1281</v>
      </c>
      <c r="B108" s="60" t="s">
        <v>19887</v>
      </c>
      <c r="C108" s="60" t="s">
        <v>19888</v>
      </c>
      <c r="D108" s="60" t="s">
        <v>19606</v>
      </c>
      <c r="E108" s="60" t="s">
        <v>19889</v>
      </c>
      <c r="F108" s="61" t="s">
        <v>19161</v>
      </c>
      <c r="G108" s="62">
        <v>70.0</v>
      </c>
    </row>
    <row r="109" ht="71.25" customHeight="1">
      <c r="A109" s="60" t="s">
        <v>551</v>
      </c>
      <c r="B109" s="60" t="s">
        <v>19890</v>
      </c>
      <c r="C109" s="60" t="s">
        <v>19891</v>
      </c>
      <c r="D109" s="60" t="s">
        <v>19576</v>
      </c>
      <c r="E109" s="60" t="s">
        <v>19892</v>
      </c>
      <c r="F109" s="61" t="s">
        <v>19162</v>
      </c>
      <c r="G109" s="62">
        <v>70.0</v>
      </c>
    </row>
    <row r="110" ht="71.25" customHeight="1">
      <c r="A110" s="60" t="s">
        <v>85</v>
      </c>
      <c r="B110" s="60" t="s">
        <v>19893</v>
      </c>
      <c r="C110" s="60" t="s">
        <v>19894</v>
      </c>
      <c r="D110" s="60" t="s">
        <v>19895</v>
      </c>
      <c r="E110" s="60" t="s">
        <v>19896</v>
      </c>
      <c r="F110" s="61" t="s">
        <v>19163</v>
      </c>
      <c r="G110" s="62">
        <v>70.0</v>
      </c>
    </row>
    <row r="111" ht="71.25" customHeight="1">
      <c r="A111" s="60" t="s">
        <v>1611</v>
      </c>
      <c r="B111" s="60" t="s">
        <v>19897</v>
      </c>
      <c r="C111" s="60" t="s">
        <v>19898</v>
      </c>
      <c r="D111" s="60" t="s">
        <v>19899</v>
      </c>
      <c r="E111" s="60" t="s">
        <v>19900</v>
      </c>
      <c r="F111" s="61" t="s">
        <v>19164</v>
      </c>
      <c r="G111" s="62">
        <v>70.0</v>
      </c>
    </row>
    <row r="112" ht="71.25" customHeight="1">
      <c r="A112" s="60" t="s">
        <v>886</v>
      </c>
      <c r="B112" s="60" t="s">
        <v>19901</v>
      </c>
      <c r="C112" s="60" t="s">
        <v>19902</v>
      </c>
      <c r="D112" s="60" t="s">
        <v>19827</v>
      </c>
      <c r="E112" s="60" t="s">
        <v>19903</v>
      </c>
      <c r="F112" s="61" t="s">
        <v>19165</v>
      </c>
      <c r="G112" s="62">
        <v>70.0</v>
      </c>
    </row>
    <row r="113" ht="71.25" customHeight="1">
      <c r="A113" s="60" t="s">
        <v>855</v>
      </c>
      <c r="B113" s="60" t="s">
        <v>19904</v>
      </c>
      <c r="C113" s="60" t="s">
        <v>19905</v>
      </c>
      <c r="D113" s="60" t="s">
        <v>19906</v>
      </c>
      <c r="E113" s="60" t="s">
        <v>19907</v>
      </c>
      <c r="F113" s="61" t="s">
        <v>19166</v>
      </c>
      <c r="G113" s="62">
        <v>70.0</v>
      </c>
    </row>
    <row r="114" ht="71.25" customHeight="1">
      <c r="A114" s="60" t="s">
        <v>1615</v>
      </c>
      <c r="B114" s="60" t="s">
        <v>19908</v>
      </c>
      <c r="C114" s="60" t="s">
        <v>19909</v>
      </c>
      <c r="D114" s="60" t="s">
        <v>19739</v>
      </c>
      <c r="E114" s="60" t="s">
        <v>19910</v>
      </c>
      <c r="F114" s="61" t="s">
        <v>19167</v>
      </c>
      <c r="G114" s="62">
        <v>70.0</v>
      </c>
    </row>
    <row r="115" ht="71.25" customHeight="1">
      <c r="A115" s="60" t="s">
        <v>1560</v>
      </c>
      <c r="B115" s="60" t="s">
        <v>19911</v>
      </c>
      <c r="C115" s="60" t="s">
        <v>19912</v>
      </c>
      <c r="D115" s="60" t="s">
        <v>19598</v>
      </c>
      <c r="E115" s="60" t="s">
        <v>19913</v>
      </c>
      <c r="F115" s="61" t="s">
        <v>19168</v>
      </c>
      <c r="G115" s="62">
        <v>70.0</v>
      </c>
    </row>
    <row r="116" ht="71.25" customHeight="1">
      <c r="A116" s="60" t="s">
        <v>1562</v>
      </c>
      <c r="B116" s="60" t="s">
        <v>19914</v>
      </c>
      <c r="C116" s="60" t="s">
        <v>19915</v>
      </c>
      <c r="D116" s="60" t="s">
        <v>672</v>
      </c>
      <c r="E116" s="60" t="s">
        <v>19916</v>
      </c>
      <c r="F116" s="61" t="s">
        <v>19169</v>
      </c>
      <c r="G116" s="62">
        <v>70.0</v>
      </c>
    </row>
    <row r="117" ht="71.25" customHeight="1">
      <c r="A117" s="60" t="s">
        <v>1594</v>
      </c>
      <c r="B117" s="60" t="s">
        <v>19917</v>
      </c>
      <c r="C117" s="60" t="s">
        <v>19918</v>
      </c>
      <c r="D117" s="60" t="s">
        <v>19539</v>
      </c>
      <c r="E117" s="60" t="s">
        <v>19919</v>
      </c>
      <c r="F117" s="61" t="s">
        <v>19170</v>
      </c>
      <c r="G117" s="62">
        <v>70.0</v>
      </c>
    </row>
    <row r="118" ht="71.25" customHeight="1">
      <c r="A118" s="60" t="s">
        <v>1418</v>
      </c>
      <c r="B118" s="60" t="s">
        <v>19920</v>
      </c>
      <c r="C118" s="60" t="s">
        <v>19921</v>
      </c>
      <c r="D118" s="60" t="s">
        <v>742</v>
      </c>
      <c r="E118" s="60" t="s">
        <v>19922</v>
      </c>
      <c r="F118" s="61" t="s">
        <v>19171</v>
      </c>
      <c r="G118" s="62">
        <v>70.0</v>
      </c>
    </row>
    <row r="119" ht="71.25" customHeight="1">
      <c r="A119" s="60" t="s">
        <v>1143</v>
      </c>
      <c r="B119" s="60" t="s">
        <v>19923</v>
      </c>
      <c r="C119" s="60" t="s">
        <v>19924</v>
      </c>
      <c r="D119" s="60" t="s">
        <v>19925</v>
      </c>
      <c r="E119" s="60" t="s">
        <v>19926</v>
      </c>
      <c r="F119" s="61" t="s">
        <v>19172</v>
      </c>
      <c r="G119" s="62">
        <v>70.0</v>
      </c>
    </row>
    <row r="120" ht="71.25" customHeight="1">
      <c r="A120" s="60" t="s">
        <v>147</v>
      </c>
      <c r="B120" s="60" t="s">
        <v>19927</v>
      </c>
      <c r="C120" s="60" t="s">
        <v>19928</v>
      </c>
      <c r="D120" s="60" t="s">
        <v>19606</v>
      </c>
      <c r="E120" s="60" t="s">
        <v>19929</v>
      </c>
      <c r="F120" s="61" t="s">
        <v>19173</v>
      </c>
      <c r="G120" s="62">
        <v>70.0</v>
      </c>
    </row>
    <row r="121" ht="71.25" customHeight="1">
      <c r="A121" s="60" t="s">
        <v>57</v>
      </c>
      <c r="B121" s="60" t="s">
        <v>19930</v>
      </c>
      <c r="C121" s="60" t="s">
        <v>19931</v>
      </c>
      <c r="D121" s="60" t="s">
        <v>19662</v>
      </c>
      <c r="E121" s="60" t="s">
        <v>19932</v>
      </c>
      <c r="F121" s="61" t="s">
        <v>19174</v>
      </c>
      <c r="G121" s="62">
        <v>70.0</v>
      </c>
    </row>
    <row r="122" ht="71.25" customHeight="1">
      <c r="A122" s="60" t="s">
        <v>1522</v>
      </c>
      <c r="B122" s="60" t="s">
        <v>19933</v>
      </c>
      <c r="C122" s="60" t="s">
        <v>19934</v>
      </c>
      <c r="D122" s="60" t="s">
        <v>19732</v>
      </c>
      <c r="E122" s="60" t="s">
        <v>19935</v>
      </c>
      <c r="F122" s="61" t="s">
        <v>19175</v>
      </c>
      <c r="G122" s="62">
        <v>70.0</v>
      </c>
    </row>
    <row r="123" ht="71.25" customHeight="1">
      <c r="A123" s="60" t="s">
        <v>16</v>
      </c>
      <c r="B123" s="60" t="s">
        <v>19936</v>
      </c>
      <c r="C123" s="60" t="s">
        <v>19937</v>
      </c>
      <c r="D123" s="60" t="s">
        <v>19620</v>
      </c>
      <c r="E123" s="60" t="s">
        <v>19938</v>
      </c>
      <c r="F123" s="61" t="s">
        <v>19176</v>
      </c>
      <c r="G123" s="62">
        <v>70.0</v>
      </c>
    </row>
    <row r="124" ht="71.25" customHeight="1">
      <c r="A124" s="60" t="s">
        <v>933</v>
      </c>
      <c r="B124" s="60" t="s">
        <v>19939</v>
      </c>
      <c r="C124" s="60" t="s">
        <v>19940</v>
      </c>
      <c r="D124" s="60" t="s">
        <v>19941</v>
      </c>
      <c r="E124" s="60" t="s">
        <v>19942</v>
      </c>
      <c r="F124" s="61" t="s">
        <v>19177</v>
      </c>
      <c r="G124" s="62">
        <v>70.0</v>
      </c>
    </row>
    <row r="125" ht="71.25" customHeight="1">
      <c r="A125" s="60" t="s">
        <v>1041</v>
      </c>
      <c r="B125" s="60" t="s">
        <v>19943</v>
      </c>
      <c r="C125" s="60" t="s">
        <v>19944</v>
      </c>
      <c r="D125" s="60" t="s">
        <v>682</v>
      </c>
      <c r="E125" s="60" t="s">
        <v>19945</v>
      </c>
      <c r="F125" s="61" t="s">
        <v>19178</v>
      </c>
      <c r="G125" s="62">
        <v>70.0</v>
      </c>
    </row>
    <row r="126" ht="71.25" customHeight="1">
      <c r="A126" s="60" t="s">
        <v>1596</v>
      </c>
      <c r="B126" s="60" t="s">
        <v>19946</v>
      </c>
      <c r="C126" s="60" t="s">
        <v>19947</v>
      </c>
      <c r="D126" s="60" t="s">
        <v>19948</v>
      </c>
      <c r="E126" s="60" t="s">
        <v>19949</v>
      </c>
      <c r="F126" s="61" t="s">
        <v>19179</v>
      </c>
      <c r="G126" s="62">
        <v>70.0</v>
      </c>
    </row>
    <row r="127" ht="71.25" customHeight="1">
      <c r="A127" s="60" t="s">
        <v>87</v>
      </c>
      <c r="B127" s="60" t="s">
        <v>19950</v>
      </c>
      <c r="C127" s="60" t="s">
        <v>19951</v>
      </c>
      <c r="D127" s="60" t="s">
        <v>19610</v>
      </c>
      <c r="E127" s="60" t="s">
        <v>19952</v>
      </c>
      <c r="F127" s="61" t="s">
        <v>19180</v>
      </c>
      <c r="G127" s="62">
        <v>70.0</v>
      </c>
    </row>
    <row r="128" ht="71.25" customHeight="1">
      <c r="A128" s="60" t="s">
        <v>1117</v>
      </c>
      <c r="B128" s="60" t="s">
        <v>19953</v>
      </c>
      <c r="C128" s="60" t="s">
        <v>19954</v>
      </c>
      <c r="D128" s="60" t="s">
        <v>19551</v>
      </c>
      <c r="E128" s="60" t="s">
        <v>19955</v>
      </c>
      <c r="F128" s="61" t="s">
        <v>19181</v>
      </c>
      <c r="G128" s="62">
        <v>70.0</v>
      </c>
    </row>
    <row r="129" ht="71.25" customHeight="1">
      <c r="A129" s="60" t="s">
        <v>956</v>
      </c>
      <c r="B129" s="60" t="s">
        <v>19956</v>
      </c>
      <c r="C129" s="60" t="s">
        <v>19957</v>
      </c>
      <c r="D129" s="60" t="s">
        <v>19669</v>
      </c>
      <c r="E129" s="60" t="s">
        <v>19958</v>
      </c>
      <c r="F129" s="61" t="s">
        <v>19182</v>
      </c>
      <c r="G129" s="62">
        <v>70.0</v>
      </c>
    </row>
    <row r="130" ht="71.25" customHeight="1">
      <c r="A130" s="60" t="s">
        <v>1490</v>
      </c>
      <c r="B130" s="60" t="s">
        <v>19959</v>
      </c>
      <c r="C130" s="60" t="s">
        <v>19960</v>
      </c>
      <c r="D130" s="60" t="s">
        <v>19796</v>
      </c>
      <c r="E130" s="60" t="s">
        <v>19961</v>
      </c>
      <c r="F130" s="61" t="s">
        <v>19183</v>
      </c>
      <c r="G130" s="62">
        <v>70.0</v>
      </c>
    </row>
    <row r="131" ht="71.25" customHeight="1">
      <c r="A131" s="60" t="s">
        <v>953</v>
      </c>
      <c r="B131" s="60" t="s">
        <v>19962</v>
      </c>
      <c r="C131" s="60" t="s">
        <v>19963</v>
      </c>
      <c r="D131" s="60" t="s">
        <v>645</v>
      </c>
      <c r="E131" s="60" t="s">
        <v>19964</v>
      </c>
      <c r="F131" s="61" t="s">
        <v>19184</v>
      </c>
      <c r="G131" s="62">
        <v>70.0</v>
      </c>
    </row>
    <row r="132" ht="71.25" customHeight="1">
      <c r="A132" s="60" t="s">
        <v>947</v>
      </c>
      <c r="B132" s="60" t="s">
        <v>19965</v>
      </c>
      <c r="C132" s="60" t="s">
        <v>19966</v>
      </c>
      <c r="D132" s="60" t="s">
        <v>19547</v>
      </c>
      <c r="E132" s="60" t="s">
        <v>19967</v>
      </c>
      <c r="F132" s="61" t="s">
        <v>19185</v>
      </c>
      <c r="G132" s="62">
        <v>70.0</v>
      </c>
    </row>
    <row r="133" ht="71.25" customHeight="1">
      <c r="A133" s="60" t="s">
        <v>254</v>
      </c>
      <c r="B133" s="60" t="s">
        <v>19968</v>
      </c>
      <c r="C133" s="60" t="s">
        <v>19969</v>
      </c>
      <c r="D133" s="60" t="s">
        <v>19970</v>
      </c>
      <c r="E133" s="60" t="s">
        <v>19971</v>
      </c>
      <c r="F133" s="61" t="s">
        <v>19186</v>
      </c>
      <c r="G133" s="62">
        <v>70.0</v>
      </c>
    </row>
    <row r="134" ht="71.25" customHeight="1">
      <c r="A134" s="60" t="s">
        <v>1113</v>
      </c>
      <c r="B134" s="60" t="s">
        <v>19972</v>
      </c>
      <c r="C134" s="60" t="s">
        <v>19973</v>
      </c>
      <c r="D134" s="60" t="s">
        <v>19576</v>
      </c>
      <c r="E134" s="60" t="s">
        <v>19974</v>
      </c>
      <c r="F134" s="61" t="s">
        <v>19187</v>
      </c>
      <c r="G134" s="62">
        <v>70.0</v>
      </c>
    </row>
    <row r="135" ht="71.25" customHeight="1">
      <c r="A135" s="60" t="s">
        <v>22</v>
      </c>
      <c r="B135" s="60" t="s">
        <v>19975</v>
      </c>
      <c r="C135" s="60" t="s">
        <v>19976</v>
      </c>
      <c r="D135" s="60" t="s">
        <v>634</v>
      </c>
      <c r="E135" s="60" t="s">
        <v>19977</v>
      </c>
      <c r="F135" s="61" t="s">
        <v>19188</v>
      </c>
      <c r="G135" s="62">
        <v>70.0</v>
      </c>
    </row>
    <row r="136" ht="71.25" customHeight="1">
      <c r="A136" s="60" t="s">
        <v>55</v>
      </c>
      <c r="B136" s="60" t="s">
        <v>19978</v>
      </c>
      <c r="C136" s="60" t="s">
        <v>19979</v>
      </c>
      <c r="D136" s="60" t="s">
        <v>19627</v>
      </c>
      <c r="E136" s="60" t="s">
        <v>19980</v>
      </c>
      <c r="F136" s="61" t="s">
        <v>19189</v>
      </c>
      <c r="G136" s="62">
        <v>70.0</v>
      </c>
    </row>
    <row r="137" ht="71.25" customHeight="1">
      <c r="A137" s="60" t="s">
        <v>185</v>
      </c>
      <c r="B137" s="60" t="s">
        <v>19981</v>
      </c>
      <c r="C137" s="60" t="s">
        <v>19982</v>
      </c>
      <c r="D137" s="60" t="s">
        <v>19699</v>
      </c>
      <c r="E137" s="60" t="s">
        <v>19983</v>
      </c>
      <c r="F137" s="61" t="s">
        <v>19190</v>
      </c>
      <c r="G137" s="62">
        <v>70.0</v>
      </c>
    </row>
    <row r="138" ht="71.25" customHeight="1">
      <c r="A138" s="60" t="s">
        <v>231</v>
      </c>
      <c r="B138" s="60" t="s">
        <v>19984</v>
      </c>
      <c r="C138" s="60" t="s">
        <v>19985</v>
      </c>
      <c r="D138" s="60" t="s">
        <v>19986</v>
      </c>
      <c r="E138" s="60" t="s">
        <v>19987</v>
      </c>
      <c r="F138" s="61" t="s">
        <v>19191</v>
      </c>
      <c r="G138" s="62">
        <v>70.0</v>
      </c>
    </row>
    <row r="139" ht="71.25" customHeight="1">
      <c r="A139" s="60" t="s">
        <v>1049</v>
      </c>
      <c r="B139" s="60" t="s">
        <v>19988</v>
      </c>
      <c r="C139" s="60" t="s">
        <v>19989</v>
      </c>
      <c r="D139" s="60" t="s">
        <v>740</v>
      </c>
      <c r="E139" s="60" t="s">
        <v>19990</v>
      </c>
      <c r="F139" s="61" t="s">
        <v>19192</v>
      </c>
      <c r="G139" s="62">
        <v>70.0</v>
      </c>
    </row>
    <row r="140" ht="71.25" customHeight="1">
      <c r="A140" s="60" t="s">
        <v>1135</v>
      </c>
      <c r="B140" s="60" t="s">
        <v>19991</v>
      </c>
      <c r="C140" s="60" t="s">
        <v>19992</v>
      </c>
      <c r="D140" s="60" t="s">
        <v>19765</v>
      </c>
      <c r="E140" s="60" t="s">
        <v>19993</v>
      </c>
      <c r="F140" s="61" t="s">
        <v>19193</v>
      </c>
      <c r="G140" s="62">
        <v>70.0</v>
      </c>
    </row>
    <row r="141" ht="71.25" customHeight="1">
      <c r="A141" s="60" t="s">
        <v>130</v>
      </c>
      <c r="B141" s="60" t="s">
        <v>19994</v>
      </c>
      <c r="C141" s="60" t="s">
        <v>19995</v>
      </c>
      <c r="D141" s="60" t="s">
        <v>173</v>
      </c>
      <c r="E141" s="60" t="s">
        <v>19996</v>
      </c>
      <c r="F141" s="61" t="s">
        <v>19194</v>
      </c>
      <c r="G141" s="62">
        <v>70.0</v>
      </c>
    </row>
    <row r="142" ht="71.25" customHeight="1">
      <c r="A142" s="60" t="s">
        <v>300</v>
      </c>
      <c r="B142" s="60" t="s">
        <v>19997</v>
      </c>
      <c r="C142" s="60" t="s">
        <v>19998</v>
      </c>
      <c r="D142" s="60" t="s">
        <v>19725</v>
      </c>
      <c r="E142" s="60" t="s">
        <v>19999</v>
      </c>
      <c r="F142" s="61" t="s">
        <v>19195</v>
      </c>
      <c r="G142" s="62">
        <v>70.0</v>
      </c>
    </row>
    <row r="143" ht="71.25" customHeight="1">
      <c r="A143" s="60" t="s">
        <v>63</v>
      </c>
      <c r="B143" s="60" t="s">
        <v>20000</v>
      </c>
      <c r="C143" s="60" t="s">
        <v>20001</v>
      </c>
      <c r="D143" s="60" t="s">
        <v>19547</v>
      </c>
      <c r="E143" s="60" t="s">
        <v>20002</v>
      </c>
      <c r="F143" s="61" t="s">
        <v>19196</v>
      </c>
      <c r="G143" s="62">
        <v>70.0</v>
      </c>
    </row>
    <row r="144" ht="71.25" customHeight="1">
      <c r="A144" s="60" t="s">
        <v>816</v>
      </c>
      <c r="B144" s="60" t="s">
        <v>20003</v>
      </c>
      <c r="C144" s="60" t="s">
        <v>20004</v>
      </c>
      <c r="D144" s="60" t="s">
        <v>20005</v>
      </c>
      <c r="E144" s="60" t="s">
        <v>20006</v>
      </c>
      <c r="F144" s="61" t="s">
        <v>19197</v>
      </c>
      <c r="G144" s="62">
        <v>70.0</v>
      </c>
    </row>
    <row r="145" ht="71.25" customHeight="1">
      <c r="A145" s="60" t="s">
        <v>244</v>
      </c>
      <c r="B145" s="60" t="s">
        <v>20007</v>
      </c>
      <c r="C145" s="60" t="s">
        <v>20008</v>
      </c>
      <c r="D145" s="60" t="s">
        <v>20009</v>
      </c>
      <c r="E145" s="60" t="s">
        <v>20010</v>
      </c>
      <c r="F145" s="61" t="s">
        <v>19198</v>
      </c>
      <c r="G145" s="62">
        <v>70.0</v>
      </c>
    </row>
    <row r="146" ht="71.25" customHeight="1">
      <c r="A146" s="60" t="s">
        <v>1481</v>
      </c>
      <c r="B146" s="60" t="s">
        <v>20011</v>
      </c>
      <c r="C146" s="60" t="s">
        <v>20012</v>
      </c>
      <c r="D146" s="60" t="s">
        <v>19850</v>
      </c>
      <c r="E146" s="60" t="s">
        <v>20013</v>
      </c>
      <c r="F146" s="61" t="s">
        <v>19199</v>
      </c>
      <c r="G146" s="62">
        <v>70.0</v>
      </c>
    </row>
    <row r="147" ht="71.25" customHeight="1">
      <c r="A147" s="60" t="s">
        <v>451</v>
      </c>
      <c r="B147" s="60" t="s">
        <v>20014</v>
      </c>
      <c r="C147" s="60" t="s">
        <v>20015</v>
      </c>
      <c r="D147" s="60" t="s">
        <v>20016</v>
      </c>
      <c r="E147" s="60" t="s">
        <v>20017</v>
      </c>
      <c r="F147" s="61" t="s">
        <v>19200</v>
      </c>
      <c r="G147" s="62">
        <v>70.0</v>
      </c>
    </row>
    <row r="148" ht="71.25" customHeight="1">
      <c r="A148" s="60" t="s">
        <v>146</v>
      </c>
      <c r="B148" s="60" t="s">
        <v>20018</v>
      </c>
      <c r="C148" s="60" t="s">
        <v>20019</v>
      </c>
      <c r="D148" s="60" t="s">
        <v>159</v>
      </c>
      <c r="E148" s="60" t="s">
        <v>20020</v>
      </c>
      <c r="F148" s="61" t="s">
        <v>19201</v>
      </c>
      <c r="G148" s="62">
        <v>70.0</v>
      </c>
    </row>
    <row r="149" ht="71.25" customHeight="1">
      <c r="A149" s="60" t="s">
        <v>426</v>
      </c>
      <c r="B149" s="60" t="s">
        <v>20021</v>
      </c>
      <c r="C149" s="60" t="s">
        <v>20022</v>
      </c>
      <c r="D149" s="60" t="s">
        <v>19576</v>
      </c>
      <c r="E149" s="60" t="s">
        <v>20023</v>
      </c>
      <c r="F149" s="61" t="s">
        <v>19202</v>
      </c>
      <c r="G149" s="62">
        <v>70.0</v>
      </c>
    </row>
    <row r="150" ht="71.25" customHeight="1">
      <c r="A150" s="60" t="s">
        <v>1468</v>
      </c>
      <c r="B150" s="60" t="s">
        <v>20024</v>
      </c>
      <c r="C150" s="60" t="s">
        <v>20025</v>
      </c>
      <c r="D150" s="60" t="s">
        <v>656</v>
      </c>
      <c r="E150" s="60" t="s">
        <v>20026</v>
      </c>
      <c r="F150" s="61" t="s">
        <v>19203</v>
      </c>
      <c r="G150" s="62">
        <v>70.0</v>
      </c>
    </row>
    <row r="151" ht="71.25" customHeight="1">
      <c r="A151" s="60" t="s">
        <v>1239</v>
      </c>
      <c r="B151" s="60" t="s">
        <v>20027</v>
      </c>
      <c r="C151" s="60" t="s">
        <v>20028</v>
      </c>
      <c r="D151" s="60" t="s">
        <v>20029</v>
      </c>
      <c r="E151" s="60" t="s">
        <v>20030</v>
      </c>
      <c r="F151" s="61" t="s">
        <v>19204</v>
      </c>
      <c r="G151" s="62">
        <v>70.0</v>
      </c>
    </row>
    <row r="152" ht="71.25" customHeight="1">
      <c r="A152" s="60" t="s">
        <v>868</v>
      </c>
      <c r="B152" s="60" t="s">
        <v>20031</v>
      </c>
      <c r="C152" s="60" t="s">
        <v>20032</v>
      </c>
      <c r="D152" s="60" t="s">
        <v>20033</v>
      </c>
      <c r="E152" s="60" t="s">
        <v>20034</v>
      </c>
      <c r="F152" s="61" t="s">
        <v>19205</v>
      </c>
      <c r="G152" s="62">
        <v>70.0</v>
      </c>
    </row>
    <row r="153" ht="71.25" customHeight="1">
      <c r="A153" s="60" t="s">
        <v>785</v>
      </c>
      <c r="B153" s="60" t="s">
        <v>20035</v>
      </c>
      <c r="C153" s="60" t="s">
        <v>20036</v>
      </c>
      <c r="D153" s="60" t="s">
        <v>19602</v>
      </c>
      <c r="E153" s="60" t="s">
        <v>20037</v>
      </c>
      <c r="F153" s="61" t="s">
        <v>19206</v>
      </c>
      <c r="G153" s="62">
        <v>70.0</v>
      </c>
    </row>
    <row r="154" ht="71.25" customHeight="1">
      <c r="A154" s="60" t="s">
        <v>1212</v>
      </c>
      <c r="B154" s="60" t="s">
        <v>20038</v>
      </c>
      <c r="C154" s="60" t="s">
        <v>20039</v>
      </c>
      <c r="D154" s="60" t="s">
        <v>19627</v>
      </c>
      <c r="E154" s="60" t="s">
        <v>20040</v>
      </c>
      <c r="F154" s="61" t="s">
        <v>19207</v>
      </c>
      <c r="G154" s="62">
        <v>70.0</v>
      </c>
    </row>
    <row r="155" ht="71.25" customHeight="1">
      <c r="A155" s="60" t="s">
        <v>1061</v>
      </c>
      <c r="B155" s="60" t="s">
        <v>20041</v>
      </c>
      <c r="C155" s="60" t="s">
        <v>20042</v>
      </c>
      <c r="D155" s="60" t="s">
        <v>159</v>
      </c>
      <c r="E155" s="60" t="s">
        <v>20043</v>
      </c>
      <c r="F155" s="61" t="s">
        <v>19208</v>
      </c>
      <c r="G155" s="62">
        <v>70.0</v>
      </c>
    </row>
    <row r="156" ht="71.25" customHeight="1">
      <c r="A156" s="60" t="s">
        <v>537</v>
      </c>
      <c r="B156" s="60" t="s">
        <v>20044</v>
      </c>
      <c r="C156" s="60" t="s">
        <v>20045</v>
      </c>
      <c r="D156" s="60" t="s">
        <v>670</v>
      </c>
      <c r="E156" s="60" t="s">
        <v>20046</v>
      </c>
      <c r="F156" s="61" t="s">
        <v>19209</v>
      </c>
      <c r="G156" s="62">
        <v>70.0</v>
      </c>
    </row>
    <row r="157" ht="71.25" customHeight="1">
      <c r="A157" s="60" t="s">
        <v>1305</v>
      </c>
      <c r="B157" s="60" t="s">
        <v>20047</v>
      </c>
      <c r="C157" s="60" t="s">
        <v>20048</v>
      </c>
      <c r="D157" s="60" t="s">
        <v>20049</v>
      </c>
      <c r="E157" s="60" t="s">
        <v>20050</v>
      </c>
      <c r="F157" s="61" t="s">
        <v>19210</v>
      </c>
      <c r="G157" s="62">
        <v>70.0</v>
      </c>
    </row>
    <row r="158" ht="71.25" customHeight="1">
      <c r="A158" s="60" t="s">
        <v>53</v>
      </c>
      <c r="B158" s="60" t="s">
        <v>20051</v>
      </c>
      <c r="C158" s="60" t="s">
        <v>20052</v>
      </c>
      <c r="D158" s="60" t="s">
        <v>719</v>
      </c>
      <c r="E158" s="60" t="s">
        <v>20053</v>
      </c>
      <c r="F158" s="61" t="s">
        <v>19211</v>
      </c>
      <c r="G158" s="62">
        <v>70.0</v>
      </c>
    </row>
    <row r="159" ht="71.25" customHeight="1">
      <c r="A159" s="60" t="s">
        <v>1578</v>
      </c>
      <c r="B159" s="60" t="s">
        <v>20054</v>
      </c>
      <c r="C159" s="60" t="s">
        <v>20055</v>
      </c>
      <c r="D159" s="60" t="s">
        <v>19587</v>
      </c>
      <c r="E159" s="60" t="s">
        <v>20056</v>
      </c>
      <c r="F159" s="61" t="s">
        <v>19212</v>
      </c>
      <c r="G159" s="62">
        <v>70.0</v>
      </c>
    </row>
    <row r="160" ht="71.25" customHeight="1">
      <c r="A160" s="60" t="s">
        <v>1348</v>
      </c>
      <c r="B160" s="60" t="s">
        <v>20057</v>
      </c>
      <c r="C160" s="60" t="s">
        <v>20058</v>
      </c>
      <c r="D160" s="60" t="s">
        <v>19572</v>
      </c>
      <c r="E160" s="60" t="s">
        <v>20059</v>
      </c>
      <c r="F160" s="61" t="s">
        <v>19213</v>
      </c>
      <c r="G160" s="62">
        <v>70.0</v>
      </c>
    </row>
    <row r="161" ht="71.25" customHeight="1">
      <c r="A161" s="60" t="s">
        <v>1580</v>
      </c>
      <c r="B161" s="60" t="s">
        <v>20060</v>
      </c>
      <c r="C161" s="60" t="s">
        <v>20061</v>
      </c>
      <c r="D161" s="60" t="s">
        <v>19649</v>
      </c>
      <c r="E161" s="60" t="s">
        <v>20062</v>
      </c>
      <c r="F161" s="61" t="s">
        <v>19214</v>
      </c>
      <c r="G161" s="62">
        <v>70.0</v>
      </c>
    </row>
    <row r="162" ht="71.25" customHeight="1">
      <c r="A162" s="60" t="s">
        <v>787</v>
      </c>
      <c r="B162" s="60" t="s">
        <v>20063</v>
      </c>
      <c r="C162" s="60" t="s">
        <v>20064</v>
      </c>
      <c r="D162" s="60" t="s">
        <v>19699</v>
      </c>
      <c r="E162" s="60" t="s">
        <v>20065</v>
      </c>
      <c r="F162" s="61" t="s">
        <v>19215</v>
      </c>
      <c r="G162" s="62">
        <v>70.0</v>
      </c>
    </row>
    <row r="163" ht="71.25" customHeight="1">
      <c r="A163" s="60" t="s">
        <v>1460</v>
      </c>
      <c r="B163" s="60" t="s">
        <v>20066</v>
      </c>
      <c r="C163" s="60" t="s">
        <v>20067</v>
      </c>
      <c r="D163" s="60" t="s">
        <v>19706</v>
      </c>
      <c r="E163" s="60" t="s">
        <v>20068</v>
      </c>
      <c r="F163" s="61" t="s">
        <v>19216</v>
      </c>
      <c r="G163" s="62">
        <v>70.0</v>
      </c>
    </row>
    <row r="164" ht="71.25" customHeight="1">
      <c r="A164" s="60" t="s">
        <v>1575</v>
      </c>
      <c r="B164" s="60" t="s">
        <v>20069</v>
      </c>
      <c r="C164" s="60" t="s">
        <v>20070</v>
      </c>
      <c r="D164" s="60" t="s">
        <v>19850</v>
      </c>
      <c r="E164" s="60" t="s">
        <v>20071</v>
      </c>
      <c r="F164" s="61" t="s">
        <v>19217</v>
      </c>
      <c r="G164" s="62">
        <v>70.0</v>
      </c>
    </row>
    <row r="165" ht="71.25" customHeight="1">
      <c r="A165" s="60" t="s">
        <v>890</v>
      </c>
      <c r="B165" s="60" t="s">
        <v>20072</v>
      </c>
      <c r="C165" s="60" t="s">
        <v>20073</v>
      </c>
      <c r="D165" s="60" t="s">
        <v>173</v>
      </c>
      <c r="E165" s="60" t="s">
        <v>20074</v>
      </c>
      <c r="F165" s="61" t="s">
        <v>19218</v>
      </c>
      <c r="G165" s="62">
        <v>70.0</v>
      </c>
    </row>
    <row r="166" ht="71.25" customHeight="1">
      <c r="A166" s="60" t="s">
        <v>1500</v>
      </c>
      <c r="B166" s="60" t="s">
        <v>20075</v>
      </c>
      <c r="C166" s="60" t="s">
        <v>20076</v>
      </c>
      <c r="D166" s="60" t="s">
        <v>20077</v>
      </c>
      <c r="E166" s="60" t="s">
        <v>20078</v>
      </c>
      <c r="F166" s="61" t="s">
        <v>19219</v>
      </c>
      <c r="G166" s="62">
        <v>70.0</v>
      </c>
    </row>
    <row r="167" ht="71.25" customHeight="1">
      <c r="A167" s="60" t="s">
        <v>831</v>
      </c>
      <c r="B167" s="60" t="s">
        <v>20079</v>
      </c>
      <c r="C167" s="60" t="s">
        <v>20080</v>
      </c>
      <c r="D167" s="60" t="s">
        <v>20081</v>
      </c>
      <c r="E167" s="60" t="s">
        <v>20082</v>
      </c>
      <c r="F167" s="61" t="s">
        <v>19220</v>
      </c>
      <c r="G167" s="62">
        <v>70.0</v>
      </c>
    </row>
    <row r="168" ht="71.25" customHeight="1">
      <c r="A168" s="60" t="s">
        <v>355</v>
      </c>
      <c r="B168" s="60" t="s">
        <v>20083</v>
      </c>
      <c r="C168" s="60" t="s">
        <v>20084</v>
      </c>
      <c r="D168" s="60" t="s">
        <v>19823</v>
      </c>
      <c r="E168" s="60" t="s">
        <v>20085</v>
      </c>
      <c r="F168" s="61" t="s">
        <v>19221</v>
      </c>
      <c r="G168" s="62">
        <v>70.0</v>
      </c>
    </row>
    <row r="169" ht="71.25" customHeight="1">
      <c r="A169" s="60" t="s">
        <v>265</v>
      </c>
      <c r="B169" s="60" t="s">
        <v>20086</v>
      </c>
      <c r="C169" s="60" t="s">
        <v>20087</v>
      </c>
      <c r="D169" s="60" t="s">
        <v>20077</v>
      </c>
      <c r="E169" s="60" t="s">
        <v>20088</v>
      </c>
      <c r="F169" s="61" t="s">
        <v>19222</v>
      </c>
      <c r="G169" s="62">
        <v>70.0</v>
      </c>
    </row>
    <row r="170" ht="71.25" customHeight="1">
      <c r="A170" s="60" t="s">
        <v>1163</v>
      </c>
      <c r="B170" s="60" t="s">
        <v>20089</v>
      </c>
      <c r="C170" s="60" t="s">
        <v>20090</v>
      </c>
      <c r="D170" s="60" t="s">
        <v>19598</v>
      </c>
      <c r="E170" s="60" t="s">
        <v>20091</v>
      </c>
      <c r="F170" s="61" t="s">
        <v>19223</v>
      </c>
      <c r="G170" s="62">
        <v>70.0</v>
      </c>
    </row>
    <row r="171" ht="71.25" customHeight="1">
      <c r="A171" s="60" t="s">
        <v>1638</v>
      </c>
      <c r="B171" s="60" t="s">
        <v>20092</v>
      </c>
      <c r="C171" s="60" t="s">
        <v>20093</v>
      </c>
      <c r="D171" s="60" t="s">
        <v>656</v>
      </c>
      <c r="E171" s="60" t="s">
        <v>20094</v>
      </c>
      <c r="F171" s="61" t="s">
        <v>19224</v>
      </c>
      <c r="G171" s="62">
        <v>70.0</v>
      </c>
    </row>
    <row r="172" ht="71.25" customHeight="1">
      <c r="A172" s="60" t="s">
        <v>1634</v>
      </c>
      <c r="B172" s="60" t="s">
        <v>20095</v>
      </c>
      <c r="C172" s="60" t="s">
        <v>20096</v>
      </c>
      <c r="D172" s="60" t="s">
        <v>19986</v>
      </c>
      <c r="E172" s="60" t="s">
        <v>20097</v>
      </c>
      <c r="F172" s="61" t="s">
        <v>19225</v>
      </c>
      <c r="G172" s="62">
        <v>70.0</v>
      </c>
    </row>
    <row r="173" ht="71.25" customHeight="1">
      <c r="A173" s="60" t="s">
        <v>1069</v>
      </c>
      <c r="B173" s="60" t="s">
        <v>20098</v>
      </c>
      <c r="C173" s="60" t="s">
        <v>20099</v>
      </c>
      <c r="D173" s="60" t="s">
        <v>20100</v>
      </c>
      <c r="E173" s="60" t="s">
        <v>20101</v>
      </c>
      <c r="F173" s="61" t="s">
        <v>19226</v>
      </c>
      <c r="G173" s="62">
        <v>70.0</v>
      </c>
    </row>
    <row r="174" ht="71.25" customHeight="1">
      <c r="A174" s="60" t="s">
        <v>476</v>
      </c>
      <c r="B174" s="60" t="s">
        <v>20102</v>
      </c>
      <c r="C174" s="60" t="s">
        <v>20103</v>
      </c>
      <c r="D174" s="60" t="s">
        <v>20104</v>
      </c>
      <c r="E174" s="60" t="s">
        <v>20105</v>
      </c>
      <c r="F174" s="61" t="s">
        <v>19227</v>
      </c>
      <c r="G174" s="62">
        <v>70.0</v>
      </c>
    </row>
    <row r="175" ht="71.25" customHeight="1">
      <c r="A175" s="60" t="s">
        <v>1210</v>
      </c>
      <c r="B175" s="60" t="s">
        <v>20106</v>
      </c>
      <c r="C175" s="60" t="s">
        <v>20107</v>
      </c>
      <c r="D175" s="60" t="s">
        <v>19823</v>
      </c>
      <c r="E175" s="60" t="s">
        <v>20108</v>
      </c>
      <c r="F175" s="61" t="s">
        <v>19228</v>
      </c>
      <c r="G175" s="62">
        <v>70.0</v>
      </c>
    </row>
    <row r="176" ht="71.25" customHeight="1">
      <c r="A176" s="60" t="s">
        <v>851</v>
      </c>
      <c r="B176" s="60" t="s">
        <v>20109</v>
      </c>
      <c r="C176" s="60" t="s">
        <v>20110</v>
      </c>
      <c r="D176" s="60" t="s">
        <v>20104</v>
      </c>
      <c r="E176" s="60" t="s">
        <v>20111</v>
      </c>
      <c r="F176" s="61" t="s">
        <v>19229</v>
      </c>
      <c r="G176" s="62">
        <v>70.0</v>
      </c>
    </row>
    <row r="177" ht="71.25" customHeight="1">
      <c r="A177" s="60" t="s">
        <v>1053</v>
      </c>
      <c r="B177" s="60" t="s">
        <v>20112</v>
      </c>
      <c r="C177" s="60" t="s">
        <v>20113</v>
      </c>
      <c r="D177" s="60" t="s">
        <v>20114</v>
      </c>
      <c r="E177" s="60" t="s">
        <v>20115</v>
      </c>
      <c r="F177" s="61" t="s">
        <v>19230</v>
      </c>
      <c r="G177" s="62">
        <v>70.0</v>
      </c>
    </row>
    <row r="178" ht="71.25" customHeight="1">
      <c r="A178" s="60" t="s">
        <v>166</v>
      </c>
      <c r="B178" s="60" t="s">
        <v>20116</v>
      </c>
      <c r="C178" s="60" t="s">
        <v>20117</v>
      </c>
      <c r="D178" s="60" t="s">
        <v>19583</v>
      </c>
      <c r="E178" s="60" t="s">
        <v>20118</v>
      </c>
      <c r="F178" s="61" t="s">
        <v>19231</v>
      </c>
      <c r="G178" s="62">
        <v>70.0</v>
      </c>
    </row>
    <row r="179" ht="71.25" customHeight="1">
      <c r="A179" s="60" t="s">
        <v>276</v>
      </c>
      <c r="B179" s="60" t="s">
        <v>20119</v>
      </c>
      <c r="C179" s="60" t="s">
        <v>20120</v>
      </c>
      <c r="D179" s="60" t="s">
        <v>309</v>
      </c>
      <c r="E179" s="60" t="s">
        <v>20121</v>
      </c>
      <c r="F179" s="61" t="s">
        <v>19232</v>
      </c>
      <c r="G179" s="62">
        <v>65.0</v>
      </c>
    </row>
    <row r="180" ht="71.25" customHeight="1">
      <c r="A180" s="60" t="s">
        <v>89</v>
      </c>
      <c r="B180" s="60" t="s">
        <v>20122</v>
      </c>
      <c r="C180" s="60" t="s">
        <v>20123</v>
      </c>
      <c r="D180" s="60" t="s">
        <v>634</v>
      </c>
      <c r="E180" s="60" t="s">
        <v>20124</v>
      </c>
      <c r="F180" s="61" t="s">
        <v>19233</v>
      </c>
      <c r="G180" s="62">
        <v>65.0</v>
      </c>
    </row>
    <row r="181" ht="71.25" customHeight="1">
      <c r="A181" s="60" t="s">
        <v>230</v>
      </c>
      <c r="B181" s="60" t="s">
        <v>20125</v>
      </c>
      <c r="C181" s="60" t="s">
        <v>20126</v>
      </c>
      <c r="D181" s="60" t="s">
        <v>20127</v>
      </c>
      <c r="E181" s="60" t="s">
        <v>20128</v>
      </c>
      <c r="F181" s="61" t="s">
        <v>19234</v>
      </c>
      <c r="G181" s="62">
        <v>65.0</v>
      </c>
    </row>
    <row r="182" ht="71.25" customHeight="1">
      <c r="A182" s="60" t="s">
        <v>896</v>
      </c>
      <c r="B182" s="60" t="s">
        <v>20129</v>
      </c>
      <c r="C182" s="60" t="s">
        <v>20130</v>
      </c>
      <c r="D182" s="60" t="s">
        <v>107</v>
      </c>
      <c r="E182" s="60" t="s">
        <v>20131</v>
      </c>
      <c r="F182" s="61" t="s">
        <v>19235</v>
      </c>
      <c r="G182" s="62">
        <v>65.0</v>
      </c>
    </row>
    <row r="183" ht="71.25" customHeight="1">
      <c r="A183" s="60" t="s">
        <v>1624</v>
      </c>
      <c r="B183" s="60" t="s">
        <v>20132</v>
      </c>
      <c r="C183" s="60" t="s">
        <v>20133</v>
      </c>
      <c r="D183" s="60" t="s">
        <v>20016</v>
      </c>
      <c r="E183" s="60" t="s">
        <v>20134</v>
      </c>
      <c r="F183" s="61" t="s">
        <v>19236</v>
      </c>
      <c r="G183" s="62">
        <v>65.0</v>
      </c>
    </row>
    <row r="184" ht="71.25" customHeight="1">
      <c r="A184" s="60" t="s">
        <v>888</v>
      </c>
      <c r="B184" s="60" t="s">
        <v>20135</v>
      </c>
      <c r="C184" s="60" t="s">
        <v>20136</v>
      </c>
      <c r="D184" s="60" t="s">
        <v>19543</v>
      </c>
      <c r="E184" s="60" t="s">
        <v>20137</v>
      </c>
      <c r="F184" s="61" t="s">
        <v>19237</v>
      </c>
      <c r="G184" s="62">
        <v>65.0</v>
      </c>
    </row>
    <row r="185" ht="71.25" customHeight="1">
      <c r="A185" s="60" t="s">
        <v>19238</v>
      </c>
      <c r="B185" s="60" t="s">
        <v>20138</v>
      </c>
      <c r="C185" s="60" t="s">
        <v>20139</v>
      </c>
      <c r="D185" s="60" t="s">
        <v>20016</v>
      </c>
      <c r="E185" s="60" t="s">
        <v>20140</v>
      </c>
      <c r="F185" s="61" t="s">
        <v>19239</v>
      </c>
      <c r="G185" s="62">
        <v>65.0</v>
      </c>
    </row>
    <row r="186" ht="71.25" customHeight="1">
      <c r="A186" s="60" t="s">
        <v>1582</v>
      </c>
      <c r="B186" s="60" t="s">
        <v>20141</v>
      </c>
      <c r="C186" s="60" t="s">
        <v>20142</v>
      </c>
      <c r="D186" s="60" t="s">
        <v>714</v>
      </c>
      <c r="E186" s="60" t="s">
        <v>20143</v>
      </c>
      <c r="F186" s="61" t="s">
        <v>19240</v>
      </c>
      <c r="G186" s="62">
        <v>65.0</v>
      </c>
    </row>
    <row r="187" ht="71.25" customHeight="1">
      <c r="A187" s="60" t="s">
        <v>1416</v>
      </c>
      <c r="B187" s="60" t="s">
        <v>20144</v>
      </c>
      <c r="C187" s="60" t="s">
        <v>20145</v>
      </c>
      <c r="D187" s="60" t="s">
        <v>19732</v>
      </c>
      <c r="E187" s="60" t="s">
        <v>20146</v>
      </c>
      <c r="F187" s="61" t="s">
        <v>19241</v>
      </c>
      <c r="G187" s="62">
        <v>65.0</v>
      </c>
    </row>
    <row r="188" ht="71.25" customHeight="1">
      <c r="A188" s="60" t="s">
        <v>1197</v>
      </c>
      <c r="B188" s="60" t="s">
        <v>20147</v>
      </c>
      <c r="C188" s="60" t="s">
        <v>20148</v>
      </c>
      <c r="D188" s="60" t="s">
        <v>20049</v>
      </c>
      <c r="E188" s="60" t="s">
        <v>20149</v>
      </c>
      <c r="F188" s="61" t="s">
        <v>19242</v>
      </c>
      <c r="G188" s="62">
        <v>65.0</v>
      </c>
    </row>
    <row r="189" ht="71.25" customHeight="1">
      <c r="A189" s="60" t="s">
        <v>1584</v>
      </c>
      <c r="B189" s="60" t="s">
        <v>20150</v>
      </c>
      <c r="C189" s="60" t="s">
        <v>20151</v>
      </c>
      <c r="D189" s="60" t="s">
        <v>173</v>
      </c>
      <c r="E189" s="60" t="s">
        <v>20152</v>
      </c>
      <c r="F189" s="61" t="s">
        <v>19243</v>
      </c>
      <c r="G189" s="62">
        <v>65.0</v>
      </c>
    </row>
    <row r="190" ht="71.25" customHeight="1">
      <c r="A190" s="60" t="s">
        <v>46</v>
      </c>
      <c r="B190" s="60" t="s">
        <v>20153</v>
      </c>
      <c r="C190" s="60" t="s">
        <v>20154</v>
      </c>
      <c r="D190" s="60" t="s">
        <v>156</v>
      </c>
      <c r="E190" s="60" t="s">
        <v>20155</v>
      </c>
      <c r="F190" s="61" t="s">
        <v>19244</v>
      </c>
      <c r="G190" s="62">
        <v>65.0</v>
      </c>
    </row>
    <row r="191" ht="71.25" customHeight="1">
      <c r="A191" s="60" t="s">
        <v>1345</v>
      </c>
      <c r="B191" s="60" t="s">
        <v>20156</v>
      </c>
      <c r="C191" s="60" t="s">
        <v>20157</v>
      </c>
      <c r="D191" s="60" t="s">
        <v>20158</v>
      </c>
      <c r="E191" s="60" t="s">
        <v>20159</v>
      </c>
      <c r="F191" s="61" t="s">
        <v>19245</v>
      </c>
      <c r="G191" s="62">
        <v>65.0</v>
      </c>
    </row>
    <row r="192" ht="71.25" customHeight="1">
      <c r="A192" s="60" t="s">
        <v>1076</v>
      </c>
      <c r="B192" s="60" t="s">
        <v>20160</v>
      </c>
      <c r="C192" s="60" t="s">
        <v>20161</v>
      </c>
      <c r="D192" s="60" t="s">
        <v>19606</v>
      </c>
      <c r="E192" s="60" t="s">
        <v>20162</v>
      </c>
      <c r="F192" s="61" t="s">
        <v>19246</v>
      </c>
      <c r="G192" s="62">
        <v>65.0</v>
      </c>
    </row>
    <row r="193" ht="71.25" customHeight="1">
      <c r="A193" s="60" t="s">
        <v>1006</v>
      </c>
      <c r="B193" s="60" t="s">
        <v>20163</v>
      </c>
      <c r="C193" s="60" t="s">
        <v>20164</v>
      </c>
      <c r="D193" s="60" t="s">
        <v>20165</v>
      </c>
      <c r="E193" s="60" t="s">
        <v>20166</v>
      </c>
      <c r="F193" s="61" t="s">
        <v>19247</v>
      </c>
      <c r="G193" s="62">
        <v>65.0</v>
      </c>
    </row>
    <row r="194" ht="71.25" customHeight="1">
      <c r="A194" s="60" t="s">
        <v>1327</v>
      </c>
      <c r="B194" s="60" t="s">
        <v>20167</v>
      </c>
      <c r="C194" s="60" t="s">
        <v>20168</v>
      </c>
      <c r="D194" s="60" t="s">
        <v>751</v>
      </c>
      <c r="E194" s="60" t="s">
        <v>20169</v>
      </c>
      <c r="F194" s="61" t="s">
        <v>19248</v>
      </c>
      <c r="G194" s="62">
        <v>65.0</v>
      </c>
    </row>
    <row r="195" ht="71.25" customHeight="1">
      <c r="A195" s="60" t="s">
        <v>958</v>
      </c>
      <c r="B195" s="60" t="s">
        <v>20170</v>
      </c>
      <c r="C195" s="60" t="s">
        <v>20171</v>
      </c>
      <c r="D195" s="60" t="s">
        <v>19986</v>
      </c>
      <c r="E195" s="60" t="s">
        <v>20172</v>
      </c>
      <c r="F195" s="61" t="s">
        <v>19249</v>
      </c>
      <c r="G195" s="62">
        <v>65.0</v>
      </c>
    </row>
    <row r="196" ht="71.25" customHeight="1">
      <c r="A196" s="60" t="s">
        <v>394</v>
      </c>
      <c r="B196" s="60" t="s">
        <v>20173</v>
      </c>
      <c r="C196" s="60" t="s">
        <v>20174</v>
      </c>
      <c r="D196" s="60" t="s">
        <v>740</v>
      </c>
      <c r="E196" s="60" t="s">
        <v>20175</v>
      </c>
      <c r="F196" s="61" t="s">
        <v>19250</v>
      </c>
      <c r="G196" s="62">
        <v>65.0</v>
      </c>
    </row>
    <row r="197" ht="71.25" customHeight="1">
      <c r="A197" s="60" t="s">
        <v>1404</v>
      </c>
      <c r="B197" s="60" t="s">
        <v>20176</v>
      </c>
      <c r="C197" s="60" t="s">
        <v>20177</v>
      </c>
      <c r="D197" s="60" t="s">
        <v>19547</v>
      </c>
      <c r="E197" s="60" t="s">
        <v>20178</v>
      </c>
      <c r="F197" s="61" t="s">
        <v>19251</v>
      </c>
      <c r="G197" s="62">
        <v>65.0</v>
      </c>
    </row>
    <row r="198" ht="71.25" customHeight="1">
      <c r="A198" s="60" t="s">
        <v>19252</v>
      </c>
      <c r="B198" s="60" t="s">
        <v>20179</v>
      </c>
      <c r="C198" s="60" t="s">
        <v>20180</v>
      </c>
      <c r="D198" s="60" t="s">
        <v>747</v>
      </c>
      <c r="E198" s="60" t="s">
        <v>20181</v>
      </c>
      <c r="F198" s="61" t="s">
        <v>19253</v>
      </c>
      <c r="G198" s="62">
        <v>65.0</v>
      </c>
    </row>
    <row r="199" ht="71.25" customHeight="1">
      <c r="A199" s="60" t="s">
        <v>1483</v>
      </c>
      <c r="B199" s="60" t="s">
        <v>20182</v>
      </c>
      <c r="C199" s="60" t="s">
        <v>20183</v>
      </c>
      <c r="D199" s="60" t="s">
        <v>20184</v>
      </c>
      <c r="E199" s="60" t="s">
        <v>20185</v>
      </c>
      <c r="F199" s="61" t="s">
        <v>19254</v>
      </c>
      <c r="G199" s="62">
        <v>65.0</v>
      </c>
    </row>
    <row r="200" ht="71.25" customHeight="1">
      <c r="A200" s="60" t="s">
        <v>1063</v>
      </c>
      <c r="B200" s="60" t="s">
        <v>20186</v>
      </c>
      <c r="C200" s="60" t="s">
        <v>20187</v>
      </c>
      <c r="D200" s="60" t="s">
        <v>19627</v>
      </c>
      <c r="E200" s="60" t="s">
        <v>20188</v>
      </c>
      <c r="F200" s="61" t="s">
        <v>19255</v>
      </c>
      <c r="G200" s="62">
        <v>65.0</v>
      </c>
    </row>
    <row r="201" ht="71.25" customHeight="1">
      <c r="A201" s="60" t="s">
        <v>206</v>
      </c>
      <c r="B201" s="60" t="s">
        <v>20189</v>
      </c>
      <c r="C201" s="60" t="s">
        <v>20190</v>
      </c>
      <c r="D201" s="60" t="s">
        <v>19885</v>
      </c>
      <c r="E201" s="60" t="s">
        <v>20191</v>
      </c>
      <c r="F201" s="61" t="s">
        <v>19256</v>
      </c>
      <c r="G201" s="62">
        <v>65.0</v>
      </c>
    </row>
    <row r="202" ht="71.25" customHeight="1">
      <c r="A202" s="60" t="s">
        <v>198</v>
      </c>
      <c r="B202" s="60" t="s">
        <v>20192</v>
      </c>
      <c r="C202" s="60" t="s">
        <v>20193</v>
      </c>
      <c r="D202" s="60" t="s">
        <v>309</v>
      </c>
      <c r="E202" s="60" t="s">
        <v>20194</v>
      </c>
      <c r="F202" s="61" t="s">
        <v>19257</v>
      </c>
      <c r="G202" s="62">
        <v>65.0</v>
      </c>
    </row>
    <row r="203" ht="71.25" customHeight="1">
      <c r="A203" s="60" t="s">
        <v>1202</v>
      </c>
      <c r="B203" s="60" t="s">
        <v>20195</v>
      </c>
      <c r="C203" s="60" t="s">
        <v>20196</v>
      </c>
      <c r="D203" s="60" t="s">
        <v>309</v>
      </c>
      <c r="E203" s="60" t="s">
        <v>20197</v>
      </c>
      <c r="F203" s="61" t="s">
        <v>19258</v>
      </c>
      <c r="G203" s="62">
        <v>65.0</v>
      </c>
    </row>
    <row r="204" ht="71.25" customHeight="1">
      <c r="A204" s="60" t="s">
        <v>141</v>
      </c>
      <c r="B204" s="60" t="s">
        <v>20198</v>
      </c>
      <c r="C204" s="60" t="s">
        <v>20199</v>
      </c>
      <c r="D204" s="60" t="s">
        <v>19627</v>
      </c>
      <c r="E204" s="60" t="s">
        <v>20200</v>
      </c>
      <c r="F204" s="61" t="s">
        <v>19259</v>
      </c>
      <c r="G204" s="62">
        <v>65.0</v>
      </c>
    </row>
    <row r="205" ht="71.25" customHeight="1">
      <c r="A205" s="60" t="s">
        <v>19</v>
      </c>
      <c r="B205" s="60" t="s">
        <v>20201</v>
      </c>
      <c r="C205" s="60" t="s">
        <v>20202</v>
      </c>
      <c r="D205" s="60" t="s">
        <v>19620</v>
      </c>
      <c r="E205" s="60" t="s">
        <v>20203</v>
      </c>
      <c r="F205" s="61" t="s">
        <v>19260</v>
      </c>
      <c r="G205" s="62">
        <v>65.0</v>
      </c>
    </row>
    <row r="206" ht="71.25" customHeight="1">
      <c r="A206" s="60" t="s">
        <v>1137</v>
      </c>
      <c r="B206" s="60" t="s">
        <v>20204</v>
      </c>
      <c r="C206" s="60" t="s">
        <v>20205</v>
      </c>
      <c r="D206" s="60" t="s">
        <v>19765</v>
      </c>
      <c r="E206" s="60" t="s">
        <v>20206</v>
      </c>
      <c r="F206" s="61" t="s">
        <v>19261</v>
      </c>
      <c r="G206" s="62">
        <v>65.0</v>
      </c>
    </row>
    <row r="207" ht="71.25" customHeight="1">
      <c r="A207" s="60" t="s">
        <v>1287</v>
      </c>
      <c r="B207" s="60" t="s">
        <v>20207</v>
      </c>
      <c r="C207" s="60" t="s">
        <v>20208</v>
      </c>
      <c r="D207" s="60" t="s">
        <v>19881</v>
      </c>
      <c r="E207" s="60" t="s">
        <v>20209</v>
      </c>
      <c r="F207" s="61" t="s">
        <v>19262</v>
      </c>
      <c r="G207" s="62">
        <v>65.0</v>
      </c>
    </row>
    <row r="208" ht="71.25" customHeight="1">
      <c r="A208" s="60" t="s">
        <v>1285</v>
      </c>
      <c r="B208" s="60" t="s">
        <v>20210</v>
      </c>
      <c r="C208" s="60" t="s">
        <v>20211</v>
      </c>
      <c r="D208" s="60" t="s">
        <v>19796</v>
      </c>
      <c r="E208" s="60" t="s">
        <v>20212</v>
      </c>
      <c r="F208" s="61" t="s">
        <v>19263</v>
      </c>
      <c r="G208" s="62">
        <v>65.0</v>
      </c>
    </row>
    <row r="209" ht="71.25" customHeight="1">
      <c r="A209" s="60" t="s">
        <v>91</v>
      </c>
      <c r="B209" s="60" t="s">
        <v>20213</v>
      </c>
      <c r="C209" s="60" t="s">
        <v>20214</v>
      </c>
      <c r="D209" s="60" t="s">
        <v>19551</v>
      </c>
      <c r="E209" s="60" t="s">
        <v>20215</v>
      </c>
      <c r="F209" s="61" t="s">
        <v>19264</v>
      </c>
      <c r="G209" s="62">
        <v>65.0</v>
      </c>
    </row>
    <row r="210" ht="71.25" customHeight="1">
      <c r="A210" s="60" t="s">
        <v>1545</v>
      </c>
      <c r="B210" s="60" t="s">
        <v>20216</v>
      </c>
      <c r="C210" s="60" t="s">
        <v>20217</v>
      </c>
      <c r="D210" s="60" t="s">
        <v>682</v>
      </c>
      <c r="E210" s="60" t="s">
        <v>20218</v>
      </c>
      <c r="F210" s="61" t="s">
        <v>19265</v>
      </c>
      <c r="G210" s="62">
        <v>65.0</v>
      </c>
    </row>
    <row r="211" ht="71.25" customHeight="1">
      <c r="A211" s="60" t="s">
        <v>1002</v>
      </c>
      <c r="B211" s="60" t="s">
        <v>20219</v>
      </c>
      <c r="C211" s="60" t="s">
        <v>20220</v>
      </c>
      <c r="D211" s="60" t="s">
        <v>755</v>
      </c>
      <c r="E211" s="60" t="s">
        <v>20221</v>
      </c>
      <c r="F211" s="61" t="s">
        <v>19266</v>
      </c>
      <c r="G211" s="62">
        <v>65.0</v>
      </c>
    </row>
    <row r="212" ht="71.25" customHeight="1">
      <c r="A212" s="60" t="s">
        <v>1543</v>
      </c>
      <c r="B212" s="60" t="s">
        <v>20222</v>
      </c>
      <c r="C212" s="60" t="s">
        <v>20223</v>
      </c>
      <c r="D212" s="60" t="s">
        <v>159</v>
      </c>
      <c r="E212" s="60" t="s">
        <v>20224</v>
      </c>
      <c r="F212" s="61" t="s">
        <v>19267</v>
      </c>
      <c r="G212" s="62">
        <v>65.0</v>
      </c>
    </row>
    <row r="213" ht="71.25" customHeight="1">
      <c r="A213" s="60" t="s">
        <v>991</v>
      </c>
      <c r="B213" s="60" t="s">
        <v>20225</v>
      </c>
      <c r="C213" s="60" t="s">
        <v>20226</v>
      </c>
      <c r="D213" s="60" t="s">
        <v>19620</v>
      </c>
      <c r="E213" s="60" t="s">
        <v>20227</v>
      </c>
      <c r="F213" s="61" t="s">
        <v>19268</v>
      </c>
      <c r="G213" s="62">
        <v>65.0</v>
      </c>
    </row>
    <row r="214" ht="71.25" customHeight="1">
      <c r="A214" s="60" t="s">
        <v>182</v>
      </c>
      <c r="B214" s="60" t="s">
        <v>20228</v>
      </c>
      <c r="C214" s="60" t="s">
        <v>20229</v>
      </c>
      <c r="D214" s="60" t="s">
        <v>19699</v>
      </c>
      <c r="E214" s="60" t="s">
        <v>20230</v>
      </c>
      <c r="F214" s="61" t="s">
        <v>19269</v>
      </c>
      <c r="G214" s="62">
        <v>65.0</v>
      </c>
    </row>
    <row r="215" ht="71.25" customHeight="1">
      <c r="A215" s="60" t="s">
        <v>1145</v>
      </c>
      <c r="B215" s="60" t="s">
        <v>20231</v>
      </c>
      <c r="C215" s="60" t="s">
        <v>20232</v>
      </c>
      <c r="D215" s="60" t="s">
        <v>19699</v>
      </c>
      <c r="E215" s="60" t="s">
        <v>20233</v>
      </c>
      <c r="F215" s="61" t="s">
        <v>19270</v>
      </c>
      <c r="G215" s="62">
        <v>65.0</v>
      </c>
    </row>
    <row r="216" ht="71.25" customHeight="1">
      <c r="A216" s="60" t="s">
        <v>19271</v>
      </c>
      <c r="B216" s="60" t="s">
        <v>20234</v>
      </c>
      <c r="C216" s="60" t="s">
        <v>20235</v>
      </c>
      <c r="D216" s="60" t="s">
        <v>309</v>
      </c>
      <c r="E216" s="60" t="s">
        <v>20236</v>
      </c>
      <c r="F216" s="61" t="s">
        <v>19272</v>
      </c>
      <c r="G216" s="62">
        <v>65.0</v>
      </c>
    </row>
    <row r="217" ht="71.25" customHeight="1">
      <c r="A217" s="60" t="s">
        <v>921</v>
      </c>
      <c r="B217" s="60" t="s">
        <v>20237</v>
      </c>
      <c r="C217" s="60" t="s">
        <v>20238</v>
      </c>
      <c r="D217" s="60" t="s">
        <v>19813</v>
      </c>
      <c r="E217" s="60" t="s">
        <v>20239</v>
      </c>
      <c r="F217" s="61" t="s">
        <v>19273</v>
      </c>
      <c r="G217" s="62">
        <v>65.0</v>
      </c>
    </row>
    <row r="218" ht="71.25" customHeight="1">
      <c r="A218" s="60" t="s">
        <v>129</v>
      </c>
      <c r="B218" s="60" t="s">
        <v>20240</v>
      </c>
      <c r="C218" s="60" t="s">
        <v>20241</v>
      </c>
      <c r="D218" s="60" t="s">
        <v>19699</v>
      </c>
      <c r="E218" s="60" t="s">
        <v>20242</v>
      </c>
      <c r="F218" s="61" t="s">
        <v>19274</v>
      </c>
      <c r="G218" s="62">
        <v>65.0</v>
      </c>
    </row>
    <row r="219" ht="71.25" customHeight="1">
      <c r="A219" s="60" t="s">
        <v>904</v>
      </c>
      <c r="B219" s="60" t="s">
        <v>20243</v>
      </c>
      <c r="C219" s="60" t="s">
        <v>20244</v>
      </c>
      <c r="D219" s="60" t="s">
        <v>634</v>
      </c>
      <c r="E219" s="60" t="s">
        <v>20245</v>
      </c>
      <c r="F219" s="61" t="s">
        <v>19275</v>
      </c>
      <c r="G219" s="62">
        <v>65.0</v>
      </c>
    </row>
    <row r="220" ht="71.25" customHeight="1">
      <c r="A220" s="60" t="s">
        <v>937</v>
      </c>
      <c r="B220" s="60" t="s">
        <v>20246</v>
      </c>
      <c r="C220" s="60" t="s">
        <v>20247</v>
      </c>
      <c r="D220" s="60" t="s">
        <v>20248</v>
      </c>
      <c r="E220" s="60" t="s">
        <v>20249</v>
      </c>
      <c r="F220" s="61" t="s">
        <v>19276</v>
      </c>
      <c r="G220" s="62">
        <v>65.0</v>
      </c>
    </row>
    <row r="221" ht="71.25" customHeight="1">
      <c r="A221" s="60" t="s">
        <v>790</v>
      </c>
      <c r="B221" s="60" t="s">
        <v>20250</v>
      </c>
      <c r="C221" s="60" t="s">
        <v>20251</v>
      </c>
      <c r="D221" s="60" t="s">
        <v>20165</v>
      </c>
      <c r="E221" s="60" t="s">
        <v>20252</v>
      </c>
      <c r="F221" s="61" t="s">
        <v>19277</v>
      </c>
      <c r="G221" s="62">
        <v>65.0</v>
      </c>
    </row>
    <row r="222" ht="71.25" customHeight="1">
      <c r="A222" s="60" t="s">
        <v>1383</v>
      </c>
      <c r="B222" s="60" t="s">
        <v>20253</v>
      </c>
      <c r="C222" s="60" t="s">
        <v>20254</v>
      </c>
      <c r="D222" s="60" t="s">
        <v>20255</v>
      </c>
      <c r="E222" s="60" t="s">
        <v>20256</v>
      </c>
      <c r="F222" s="61" t="s">
        <v>19278</v>
      </c>
      <c r="G222" s="62">
        <v>65.0</v>
      </c>
    </row>
    <row r="223" ht="71.25" customHeight="1">
      <c r="A223" s="60" t="s">
        <v>908</v>
      </c>
      <c r="B223" s="60" t="s">
        <v>20257</v>
      </c>
      <c r="C223" s="60" t="s">
        <v>908</v>
      </c>
      <c r="D223" s="60" t="s">
        <v>19576</v>
      </c>
      <c r="E223" s="60" t="s">
        <v>20258</v>
      </c>
      <c r="F223" s="61" t="s">
        <v>19279</v>
      </c>
      <c r="G223" s="62">
        <v>65.0</v>
      </c>
    </row>
    <row r="224" ht="71.25" customHeight="1">
      <c r="A224" s="60" t="s">
        <v>1225</v>
      </c>
      <c r="B224" s="60" t="s">
        <v>20259</v>
      </c>
      <c r="C224" s="60" t="s">
        <v>20260</v>
      </c>
      <c r="D224" s="60" t="s">
        <v>156</v>
      </c>
      <c r="E224" s="60" t="s">
        <v>20261</v>
      </c>
      <c r="F224" s="61" t="s">
        <v>19280</v>
      </c>
      <c r="G224" s="62">
        <v>65.0</v>
      </c>
    </row>
    <row r="225" ht="71.25" customHeight="1">
      <c r="A225" s="60" t="s">
        <v>1421</v>
      </c>
      <c r="B225" s="60" t="s">
        <v>20262</v>
      </c>
      <c r="C225" s="60" t="s">
        <v>20263</v>
      </c>
      <c r="D225" s="60" t="s">
        <v>19699</v>
      </c>
      <c r="E225" s="60" t="s">
        <v>20264</v>
      </c>
      <c r="F225" s="61" t="s">
        <v>19281</v>
      </c>
      <c r="G225" s="62">
        <v>65.0</v>
      </c>
    </row>
    <row r="226" ht="71.25" customHeight="1">
      <c r="A226" s="60" t="s">
        <v>798</v>
      </c>
      <c r="B226" s="60" t="s">
        <v>20265</v>
      </c>
      <c r="C226" s="60" t="s">
        <v>20266</v>
      </c>
      <c r="D226" s="60" t="s">
        <v>19620</v>
      </c>
      <c r="E226" s="60" t="s">
        <v>20267</v>
      </c>
      <c r="F226" s="61" t="s">
        <v>19282</v>
      </c>
      <c r="G226" s="62">
        <v>65.0</v>
      </c>
    </row>
    <row r="227" ht="71.25" customHeight="1">
      <c r="A227" s="60" t="s">
        <v>1398</v>
      </c>
      <c r="B227" s="60" t="s">
        <v>20268</v>
      </c>
      <c r="C227" s="60" t="s">
        <v>20269</v>
      </c>
      <c r="D227" s="60" t="s">
        <v>20184</v>
      </c>
      <c r="E227" s="60" t="s">
        <v>20270</v>
      </c>
      <c r="F227" s="61" t="s">
        <v>19283</v>
      </c>
      <c r="G227" s="62">
        <v>65.0</v>
      </c>
    </row>
    <row r="228" ht="71.25" customHeight="1">
      <c r="A228" s="60" t="s">
        <v>1102</v>
      </c>
      <c r="B228" s="60" t="s">
        <v>20271</v>
      </c>
      <c r="C228" s="60" t="s">
        <v>20272</v>
      </c>
      <c r="D228" s="60" t="s">
        <v>19706</v>
      </c>
      <c r="E228" s="60" t="s">
        <v>20273</v>
      </c>
      <c r="F228" s="61" t="s">
        <v>19284</v>
      </c>
      <c r="G228" s="62">
        <v>65.0</v>
      </c>
    </row>
    <row r="229" ht="71.25" customHeight="1">
      <c r="A229" s="60" t="s">
        <v>99</v>
      </c>
      <c r="B229" s="60" t="s">
        <v>20274</v>
      </c>
      <c r="C229" s="60" t="s">
        <v>99</v>
      </c>
      <c r="D229" s="60" t="s">
        <v>19885</v>
      </c>
      <c r="E229" s="60" t="s">
        <v>20275</v>
      </c>
      <c r="F229" s="61" t="s">
        <v>19285</v>
      </c>
      <c r="G229" s="62">
        <v>65.0</v>
      </c>
    </row>
    <row r="230" ht="71.25" customHeight="1">
      <c r="A230" s="60" t="s">
        <v>1206</v>
      </c>
      <c r="B230" s="60" t="s">
        <v>20276</v>
      </c>
      <c r="C230" s="60" t="s">
        <v>20277</v>
      </c>
      <c r="D230" s="60" t="s">
        <v>19587</v>
      </c>
      <c r="E230" s="60" t="s">
        <v>20278</v>
      </c>
      <c r="F230" s="61" t="s">
        <v>19286</v>
      </c>
      <c r="G230" s="62">
        <v>65.0</v>
      </c>
    </row>
    <row r="231" ht="71.25" customHeight="1">
      <c r="A231" s="60" t="s">
        <v>917</v>
      </c>
      <c r="B231" s="60" t="s">
        <v>20279</v>
      </c>
      <c r="C231" s="60" t="s">
        <v>20280</v>
      </c>
      <c r="D231" s="60" t="s">
        <v>20281</v>
      </c>
      <c r="E231" s="60" t="s">
        <v>20282</v>
      </c>
      <c r="F231" s="61" t="s">
        <v>19287</v>
      </c>
      <c r="G231" s="62">
        <v>65.0</v>
      </c>
    </row>
    <row r="232" ht="71.25" customHeight="1">
      <c r="A232" s="60" t="s">
        <v>1187</v>
      </c>
      <c r="B232" s="60" t="s">
        <v>20283</v>
      </c>
      <c r="C232" s="60" t="s">
        <v>20284</v>
      </c>
      <c r="D232" s="60" t="s">
        <v>19598</v>
      </c>
      <c r="E232" s="60" t="s">
        <v>20285</v>
      </c>
      <c r="F232" s="61" t="s">
        <v>19288</v>
      </c>
      <c r="G232" s="62">
        <v>65.0</v>
      </c>
    </row>
    <row r="233" ht="71.25" customHeight="1">
      <c r="A233" s="60" t="s">
        <v>1189</v>
      </c>
      <c r="B233" s="60" t="s">
        <v>20286</v>
      </c>
      <c r="C233" s="60" t="s">
        <v>20287</v>
      </c>
      <c r="D233" s="60" t="s">
        <v>20100</v>
      </c>
      <c r="E233" s="60" t="s">
        <v>20288</v>
      </c>
      <c r="F233" s="61" t="s">
        <v>19289</v>
      </c>
      <c r="G233" s="62">
        <v>65.0</v>
      </c>
    </row>
    <row r="234" ht="71.25" customHeight="1">
      <c r="A234" s="60" t="s">
        <v>968</v>
      </c>
      <c r="B234" s="60" t="s">
        <v>20289</v>
      </c>
      <c r="C234" s="60" t="s">
        <v>20290</v>
      </c>
      <c r="D234" s="60" t="s">
        <v>19850</v>
      </c>
      <c r="E234" s="60" t="s">
        <v>20291</v>
      </c>
      <c r="F234" s="61" t="s">
        <v>19290</v>
      </c>
      <c r="G234" s="62">
        <v>65.0</v>
      </c>
    </row>
    <row r="235" ht="71.25" customHeight="1">
      <c r="A235" s="60" t="s">
        <v>1437</v>
      </c>
      <c r="B235" s="60" t="s">
        <v>20292</v>
      </c>
      <c r="C235" s="60" t="s">
        <v>20293</v>
      </c>
      <c r="D235" s="60" t="s">
        <v>20294</v>
      </c>
      <c r="E235" s="60" t="s">
        <v>20295</v>
      </c>
      <c r="F235" s="61" t="s">
        <v>19291</v>
      </c>
      <c r="G235" s="62">
        <v>65.0</v>
      </c>
    </row>
    <row r="236" ht="71.25" customHeight="1">
      <c r="A236" s="60" t="s">
        <v>1034</v>
      </c>
      <c r="B236" s="60" t="s">
        <v>20296</v>
      </c>
      <c r="C236" s="60" t="s">
        <v>20297</v>
      </c>
      <c r="D236" s="60" t="s">
        <v>159</v>
      </c>
      <c r="E236" s="60" t="s">
        <v>20298</v>
      </c>
      <c r="F236" s="61" t="s">
        <v>19292</v>
      </c>
      <c r="G236" s="62">
        <v>65.0</v>
      </c>
    </row>
    <row r="237" ht="71.25" customHeight="1">
      <c r="A237" s="60" t="s">
        <v>1528</v>
      </c>
      <c r="B237" s="60" t="s">
        <v>20299</v>
      </c>
      <c r="C237" s="60" t="s">
        <v>20300</v>
      </c>
      <c r="D237" s="60" t="s">
        <v>20104</v>
      </c>
      <c r="E237" s="60" t="s">
        <v>20301</v>
      </c>
      <c r="F237" s="61" t="s">
        <v>19293</v>
      </c>
      <c r="G237" s="62">
        <v>65.0</v>
      </c>
    </row>
    <row r="238" ht="71.25" customHeight="1">
      <c r="A238" s="60" t="s">
        <v>1369</v>
      </c>
      <c r="B238" s="60" t="s">
        <v>20302</v>
      </c>
      <c r="C238" s="60" t="s">
        <v>20303</v>
      </c>
      <c r="D238" s="60" t="s">
        <v>20049</v>
      </c>
      <c r="E238" s="60" t="s">
        <v>20304</v>
      </c>
      <c r="F238" s="61" t="s">
        <v>19294</v>
      </c>
      <c r="G238" s="62">
        <v>65.0</v>
      </c>
    </row>
    <row r="239" ht="71.25" customHeight="1">
      <c r="A239" s="60" t="s">
        <v>1379</v>
      </c>
      <c r="B239" s="60" t="s">
        <v>20305</v>
      </c>
      <c r="C239" s="60" t="s">
        <v>20306</v>
      </c>
      <c r="D239" s="60" t="s">
        <v>20255</v>
      </c>
      <c r="E239" s="60" t="s">
        <v>20307</v>
      </c>
      <c r="F239" s="61" t="s">
        <v>19295</v>
      </c>
      <c r="G239" s="62">
        <v>65.0</v>
      </c>
    </row>
    <row r="240" ht="71.25" customHeight="1">
      <c r="A240" s="60" t="s">
        <v>1363</v>
      </c>
      <c r="B240" s="60" t="s">
        <v>20308</v>
      </c>
      <c r="C240" s="60" t="s">
        <v>20309</v>
      </c>
      <c r="D240" s="60" t="s">
        <v>656</v>
      </c>
      <c r="E240" s="60" t="s">
        <v>20310</v>
      </c>
      <c r="F240" s="61" t="s">
        <v>19296</v>
      </c>
      <c r="G240" s="62">
        <v>65.0</v>
      </c>
    </row>
    <row r="241" ht="71.25" customHeight="1">
      <c r="A241" s="60" t="s">
        <v>866</v>
      </c>
      <c r="B241" s="60" t="s">
        <v>20311</v>
      </c>
      <c r="C241" s="60" t="s">
        <v>20312</v>
      </c>
      <c r="D241" s="60" t="s">
        <v>19598</v>
      </c>
      <c r="E241" s="60" t="s">
        <v>20313</v>
      </c>
      <c r="F241" s="61" t="s">
        <v>19297</v>
      </c>
      <c r="G241" s="62">
        <v>65.0</v>
      </c>
    </row>
    <row r="242" ht="71.25" customHeight="1">
      <c r="A242" s="60" t="s">
        <v>1601</v>
      </c>
      <c r="B242" s="60" t="s">
        <v>20314</v>
      </c>
      <c r="C242" s="60" t="s">
        <v>20315</v>
      </c>
      <c r="D242" s="60" t="s">
        <v>159</v>
      </c>
      <c r="E242" s="60" t="s">
        <v>20316</v>
      </c>
      <c r="F242" s="61" t="s">
        <v>19298</v>
      </c>
      <c r="G242" s="62">
        <v>65.0</v>
      </c>
    </row>
    <row r="243" ht="71.25" customHeight="1">
      <c r="A243" s="60" t="s">
        <v>101</v>
      </c>
      <c r="B243" s="60" t="s">
        <v>20317</v>
      </c>
      <c r="C243" s="60" t="s">
        <v>20318</v>
      </c>
      <c r="D243" s="60" t="s">
        <v>634</v>
      </c>
      <c r="E243" s="60" t="s">
        <v>20319</v>
      </c>
      <c r="F243" s="61" t="s">
        <v>19299</v>
      </c>
      <c r="G243" s="62">
        <v>65.0</v>
      </c>
    </row>
    <row r="244" ht="71.25" customHeight="1">
      <c r="A244" s="60" t="s">
        <v>1279</v>
      </c>
      <c r="B244" s="60" t="s">
        <v>20320</v>
      </c>
      <c r="C244" s="60" t="s">
        <v>20321</v>
      </c>
      <c r="D244" s="60" t="s">
        <v>19572</v>
      </c>
      <c r="E244" s="60" t="s">
        <v>20322</v>
      </c>
      <c r="F244" s="61" t="s">
        <v>19300</v>
      </c>
      <c r="G244" s="62">
        <v>65.0</v>
      </c>
    </row>
    <row r="245" ht="71.25" customHeight="1">
      <c r="A245" s="60" t="s">
        <v>61</v>
      </c>
      <c r="B245" s="60" t="s">
        <v>20323</v>
      </c>
      <c r="C245" s="60" t="s">
        <v>20324</v>
      </c>
      <c r="D245" s="60" t="s">
        <v>19598</v>
      </c>
      <c r="E245" s="60" t="s">
        <v>20325</v>
      </c>
      <c r="F245" s="61" t="s">
        <v>19301</v>
      </c>
      <c r="G245" s="62">
        <v>65.0</v>
      </c>
    </row>
    <row r="246" ht="71.25" customHeight="1">
      <c r="A246" s="60" t="s">
        <v>93</v>
      </c>
      <c r="B246" s="60" t="s">
        <v>20326</v>
      </c>
      <c r="C246" s="60" t="s">
        <v>20327</v>
      </c>
      <c r="D246" s="60" t="s">
        <v>755</v>
      </c>
      <c r="E246" s="60" t="s">
        <v>20328</v>
      </c>
      <c r="F246" s="61" t="s">
        <v>19302</v>
      </c>
      <c r="G246" s="62">
        <v>65.0</v>
      </c>
    </row>
    <row r="247" ht="71.25" customHeight="1">
      <c r="A247" s="60" t="s">
        <v>252</v>
      </c>
      <c r="B247" s="60" t="s">
        <v>20329</v>
      </c>
      <c r="C247" s="60" t="s">
        <v>20330</v>
      </c>
      <c r="D247" s="60" t="s">
        <v>309</v>
      </c>
      <c r="E247" s="60" t="s">
        <v>20331</v>
      </c>
      <c r="F247" s="61" t="s">
        <v>19303</v>
      </c>
      <c r="G247" s="62">
        <v>65.0</v>
      </c>
    </row>
    <row r="248" ht="71.25" customHeight="1">
      <c r="A248" s="60" t="s">
        <v>1569</v>
      </c>
      <c r="B248" s="60" t="s">
        <v>20332</v>
      </c>
      <c r="C248" s="60" t="s">
        <v>20333</v>
      </c>
      <c r="D248" s="60" t="s">
        <v>19706</v>
      </c>
      <c r="E248" s="60" t="s">
        <v>20334</v>
      </c>
      <c r="F248" s="61" t="s">
        <v>19304</v>
      </c>
      <c r="G248" s="62">
        <v>65.0</v>
      </c>
    </row>
    <row r="249" ht="71.25" customHeight="1">
      <c r="A249" s="60" t="s">
        <v>1091</v>
      </c>
      <c r="B249" s="60" t="s">
        <v>20335</v>
      </c>
      <c r="C249" s="60" t="s">
        <v>20336</v>
      </c>
      <c r="D249" s="60" t="s">
        <v>702</v>
      </c>
      <c r="E249" s="60" t="s">
        <v>20337</v>
      </c>
      <c r="F249" s="61" t="s">
        <v>19305</v>
      </c>
      <c r="G249" s="62">
        <v>65.0</v>
      </c>
    </row>
    <row r="250" ht="71.25" customHeight="1">
      <c r="A250" s="60" t="s">
        <v>95</v>
      </c>
      <c r="B250" s="60" t="s">
        <v>20338</v>
      </c>
      <c r="C250" s="60" t="s">
        <v>20339</v>
      </c>
      <c r="D250" s="60" t="s">
        <v>20255</v>
      </c>
      <c r="E250" s="60" t="s">
        <v>20340</v>
      </c>
      <c r="F250" s="61" t="s">
        <v>19306</v>
      </c>
      <c r="G250" s="62">
        <v>65.0</v>
      </c>
    </row>
    <row r="251" ht="71.25" customHeight="1">
      <c r="A251" s="60" t="s">
        <v>1431</v>
      </c>
      <c r="B251" s="60" t="s">
        <v>20341</v>
      </c>
      <c r="C251" s="60" t="s">
        <v>20342</v>
      </c>
      <c r="D251" s="60" t="s">
        <v>20343</v>
      </c>
      <c r="E251" s="60" t="s">
        <v>20344</v>
      </c>
      <c r="F251" s="61" t="s">
        <v>19307</v>
      </c>
      <c r="G251" s="62">
        <v>65.0</v>
      </c>
    </row>
    <row r="252" ht="71.25" customHeight="1">
      <c r="A252" s="60" t="s">
        <v>1299</v>
      </c>
      <c r="B252" s="60" t="s">
        <v>20345</v>
      </c>
      <c r="C252" s="60" t="s">
        <v>20346</v>
      </c>
      <c r="D252" s="60" t="s">
        <v>20255</v>
      </c>
      <c r="E252" s="60" t="s">
        <v>20347</v>
      </c>
      <c r="F252" s="61" t="s">
        <v>19308</v>
      </c>
      <c r="G252" s="62">
        <v>65.0</v>
      </c>
    </row>
    <row r="253" ht="71.25" customHeight="1">
      <c r="A253" s="60" t="s">
        <v>1396</v>
      </c>
      <c r="B253" s="60" t="s">
        <v>20348</v>
      </c>
      <c r="C253" s="60" t="s">
        <v>20349</v>
      </c>
      <c r="D253" s="60" t="s">
        <v>20077</v>
      </c>
      <c r="E253" s="60" t="s">
        <v>20350</v>
      </c>
      <c r="F253" s="61" t="s">
        <v>19309</v>
      </c>
      <c r="G253" s="62">
        <v>65.0</v>
      </c>
    </row>
    <row r="254" ht="71.25" customHeight="1">
      <c r="A254" s="60" t="s">
        <v>1564</v>
      </c>
      <c r="B254" s="60" t="s">
        <v>20351</v>
      </c>
      <c r="C254" s="60" t="s">
        <v>20352</v>
      </c>
      <c r="D254" s="60" t="s">
        <v>19948</v>
      </c>
      <c r="E254" s="60" t="s">
        <v>20353</v>
      </c>
      <c r="F254" s="61" t="s">
        <v>19310</v>
      </c>
      <c r="G254" s="62">
        <v>65.0</v>
      </c>
    </row>
    <row r="255" ht="71.25" customHeight="1">
      <c r="A255" s="60" t="s">
        <v>965</v>
      </c>
      <c r="B255" s="60" t="s">
        <v>20354</v>
      </c>
      <c r="C255" s="60" t="s">
        <v>20355</v>
      </c>
      <c r="D255" s="60" t="s">
        <v>19677</v>
      </c>
      <c r="E255" s="60" t="s">
        <v>20356</v>
      </c>
      <c r="F255" s="61" t="s">
        <v>19311</v>
      </c>
      <c r="G255" s="62">
        <v>65.0</v>
      </c>
    </row>
    <row r="256" ht="71.25" customHeight="1">
      <c r="A256" s="60" t="s">
        <v>1183</v>
      </c>
      <c r="B256" s="60" t="s">
        <v>20357</v>
      </c>
      <c r="C256" s="60" t="s">
        <v>20358</v>
      </c>
      <c r="D256" s="60" t="s">
        <v>20255</v>
      </c>
      <c r="E256" s="60" t="s">
        <v>20359</v>
      </c>
      <c r="F256" s="61" t="s">
        <v>19312</v>
      </c>
      <c r="G256" s="62">
        <v>65.0</v>
      </c>
    </row>
    <row r="257" ht="71.25" customHeight="1">
      <c r="A257" s="60" t="s">
        <v>1613</v>
      </c>
      <c r="B257" s="60" t="s">
        <v>20360</v>
      </c>
      <c r="C257" s="60" t="s">
        <v>20361</v>
      </c>
      <c r="D257" s="60" t="s">
        <v>19823</v>
      </c>
      <c r="E257" s="60" t="s">
        <v>20362</v>
      </c>
      <c r="F257" s="61" t="s">
        <v>19313</v>
      </c>
      <c r="G257" s="62">
        <v>65.0</v>
      </c>
    </row>
    <row r="258" ht="71.25" customHeight="1">
      <c r="A258" s="60" t="s">
        <v>853</v>
      </c>
      <c r="B258" s="60" t="s">
        <v>20363</v>
      </c>
      <c r="C258" s="60" t="s">
        <v>20364</v>
      </c>
      <c r="D258" s="60" t="s">
        <v>19598</v>
      </c>
      <c r="E258" s="60" t="s">
        <v>20365</v>
      </c>
      <c r="F258" s="61" t="s">
        <v>19314</v>
      </c>
      <c r="G258" s="62">
        <v>65.0</v>
      </c>
    </row>
    <row r="259" ht="71.25" customHeight="1">
      <c r="A259" s="60" t="s">
        <v>780</v>
      </c>
      <c r="B259" s="60" t="s">
        <v>20366</v>
      </c>
      <c r="C259" s="60" t="s">
        <v>20367</v>
      </c>
      <c r="D259" s="60" t="s">
        <v>19598</v>
      </c>
      <c r="E259" s="60" t="s">
        <v>20368</v>
      </c>
      <c r="F259" s="61" t="s">
        <v>19315</v>
      </c>
      <c r="G259" s="62">
        <v>65.0</v>
      </c>
    </row>
    <row r="260" ht="71.25" customHeight="1">
      <c r="A260" s="60" t="s">
        <v>1408</v>
      </c>
      <c r="B260" s="60" t="s">
        <v>20369</v>
      </c>
      <c r="C260" s="60" t="s">
        <v>20370</v>
      </c>
      <c r="D260" s="60" t="s">
        <v>19645</v>
      </c>
      <c r="E260" s="60" t="s">
        <v>20371</v>
      </c>
      <c r="F260" s="61" t="s">
        <v>19316</v>
      </c>
      <c r="G260" s="62">
        <v>65.0</v>
      </c>
    </row>
    <row r="261" ht="71.25" customHeight="1">
      <c r="A261" s="60" t="s">
        <v>821</v>
      </c>
      <c r="B261" s="60" t="s">
        <v>20372</v>
      </c>
      <c r="C261" s="60" t="s">
        <v>20373</v>
      </c>
      <c r="D261" s="60" t="s">
        <v>20374</v>
      </c>
      <c r="E261" s="60" t="s">
        <v>20375</v>
      </c>
      <c r="F261" s="61" t="s">
        <v>19317</v>
      </c>
      <c r="G261" s="62">
        <v>65.0</v>
      </c>
    </row>
    <row r="262" ht="71.25" customHeight="1">
      <c r="A262" s="60" t="s">
        <v>1200</v>
      </c>
      <c r="B262" s="60" t="s">
        <v>20376</v>
      </c>
      <c r="C262" s="60" t="s">
        <v>20377</v>
      </c>
      <c r="D262" s="60" t="s">
        <v>19551</v>
      </c>
      <c r="E262" s="60" t="s">
        <v>20378</v>
      </c>
      <c r="F262" s="61" t="s">
        <v>19318</v>
      </c>
      <c r="G262" s="62">
        <v>65.0</v>
      </c>
    </row>
    <row r="263" ht="71.25" customHeight="1">
      <c r="A263" s="60" t="s">
        <v>1526</v>
      </c>
      <c r="B263" s="60" t="s">
        <v>20379</v>
      </c>
      <c r="C263" s="60" t="s">
        <v>20380</v>
      </c>
      <c r="D263" s="60" t="s">
        <v>19860</v>
      </c>
      <c r="E263" s="60" t="s">
        <v>20381</v>
      </c>
      <c r="F263" s="61" t="s">
        <v>19319</v>
      </c>
      <c r="G263" s="62">
        <v>65.0</v>
      </c>
    </row>
    <row r="264" ht="71.25" customHeight="1">
      <c r="A264" s="60" t="s">
        <v>342</v>
      </c>
      <c r="B264" s="60" t="s">
        <v>20382</v>
      </c>
      <c r="C264" s="60" t="s">
        <v>20383</v>
      </c>
      <c r="D264" s="60" t="s">
        <v>20374</v>
      </c>
      <c r="E264" s="60" t="s">
        <v>20384</v>
      </c>
      <c r="F264" s="61" t="s">
        <v>19320</v>
      </c>
      <c r="G264" s="62">
        <v>65.0</v>
      </c>
    </row>
    <row r="265" ht="71.25" customHeight="1">
      <c r="A265" s="60" t="s">
        <v>1406</v>
      </c>
      <c r="B265" s="60" t="s">
        <v>20385</v>
      </c>
      <c r="C265" s="60" t="s">
        <v>20386</v>
      </c>
      <c r="D265" s="60" t="s">
        <v>20158</v>
      </c>
      <c r="E265" s="60" t="s">
        <v>20387</v>
      </c>
      <c r="F265" s="61" t="s">
        <v>19321</v>
      </c>
      <c r="G265" s="62">
        <v>65.0</v>
      </c>
    </row>
    <row r="266" ht="71.25" customHeight="1">
      <c r="A266" s="60" t="s">
        <v>859</v>
      </c>
      <c r="B266" s="60" t="s">
        <v>20388</v>
      </c>
      <c r="C266" s="60" t="s">
        <v>20389</v>
      </c>
      <c r="D266" s="60" t="s">
        <v>19850</v>
      </c>
      <c r="E266" s="60" t="s">
        <v>20390</v>
      </c>
      <c r="F266" s="61" t="s">
        <v>19322</v>
      </c>
      <c r="G266" s="62">
        <v>65.0</v>
      </c>
    </row>
    <row r="267" ht="71.25" customHeight="1">
      <c r="A267" s="60" t="s">
        <v>295</v>
      </c>
      <c r="B267" s="60" t="s">
        <v>20391</v>
      </c>
      <c r="C267" s="60" t="s">
        <v>20392</v>
      </c>
      <c r="D267" s="60" t="s">
        <v>20393</v>
      </c>
      <c r="E267" s="60" t="s">
        <v>20394</v>
      </c>
      <c r="F267" s="61" t="s">
        <v>19323</v>
      </c>
      <c r="G267" s="62">
        <v>65.0</v>
      </c>
    </row>
    <row r="268" ht="71.25" customHeight="1">
      <c r="A268" s="60" t="s">
        <v>1128</v>
      </c>
      <c r="B268" s="60" t="s">
        <v>20395</v>
      </c>
      <c r="C268" s="60" t="s">
        <v>20396</v>
      </c>
      <c r="D268" s="60" t="s">
        <v>19885</v>
      </c>
      <c r="E268" s="60" t="s">
        <v>20397</v>
      </c>
      <c r="F268" s="61" t="s">
        <v>19324</v>
      </c>
      <c r="G268" s="62">
        <v>65.0</v>
      </c>
    </row>
    <row r="269" ht="71.25" customHeight="1">
      <c r="A269" s="60" t="s">
        <v>819</v>
      </c>
      <c r="B269" s="60" t="s">
        <v>20398</v>
      </c>
      <c r="C269" s="60" t="s">
        <v>20399</v>
      </c>
      <c r="D269" s="60" t="s">
        <v>19583</v>
      </c>
      <c r="E269" s="60" t="s">
        <v>20400</v>
      </c>
      <c r="F269" s="61" t="s">
        <v>19325</v>
      </c>
      <c r="G269" s="62">
        <v>65.0</v>
      </c>
    </row>
    <row r="270" ht="71.25" customHeight="1">
      <c r="A270" s="60" t="s">
        <v>1400</v>
      </c>
      <c r="B270" s="60" t="s">
        <v>20401</v>
      </c>
      <c r="C270" s="60" t="s">
        <v>20402</v>
      </c>
      <c r="D270" s="60" t="s">
        <v>19587</v>
      </c>
      <c r="E270" s="60" t="s">
        <v>20403</v>
      </c>
      <c r="F270" s="61" t="s">
        <v>19326</v>
      </c>
      <c r="G270" s="62">
        <v>65.0</v>
      </c>
    </row>
    <row r="271" ht="71.25" customHeight="1">
      <c r="A271" s="60" t="s">
        <v>1229</v>
      </c>
      <c r="B271" s="60" t="s">
        <v>20404</v>
      </c>
      <c r="C271" s="60" t="s">
        <v>20405</v>
      </c>
      <c r="D271" s="60" t="s">
        <v>20406</v>
      </c>
      <c r="E271" s="60" t="s">
        <v>20407</v>
      </c>
      <c r="F271" s="61" t="s">
        <v>19327</v>
      </c>
      <c r="G271" s="62">
        <v>65.0</v>
      </c>
    </row>
    <row r="272" ht="71.25" customHeight="1">
      <c r="A272" s="60" t="s">
        <v>82</v>
      </c>
      <c r="B272" s="60" t="s">
        <v>20408</v>
      </c>
      <c r="C272" s="60" t="s">
        <v>20409</v>
      </c>
      <c r="D272" s="60" t="s">
        <v>20033</v>
      </c>
      <c r="E272" s="60" t="s">
        <v>20410</v>
      </c>
      <c r="F272" s="61" t="s">
        <v>19328</v>
      </c>
      <c r="G272" s="62">
        <v>65.0</v>
      </c>
    </row>
    <row r="273" ht="71.25" customHeight="1">
      <c r="A273" s="60" t="s">
        <v>20</v>
      </c>
      <c r="B273" s="60" t="s">
        <v>20411</v>
      </c>
      <c r="C273" s="60" t="s">
        <v>20412</v>
      </c>
      <c r="D273" s="60" t="s">
        <v>19576</v>
      </c>
      <c r="E273" s="60" t="s">
        <v>20413</v>
      </c>
      <c r="F273" s="61" t="s">
        <v>19329</v>
      </c>
      <c r="G273" s="62">
        <v>65.0</v>
      </c>
    </row>
    <row r="274" ht="71.25" customHeight="1">
      <c r="A274" s="60" t="s">
        <v>143</v>
      </c>
      <c r="B274" s="60" t="s">
        <v>20414</v>
      </c>
      <c r="C274" s="60" t="s">
        <v>20415</v>
      </c>
      <c r="D274" s="60" t="s">
        <v>20255</v>
      </c>
      <c r="E274" s="60" t="s">
        <v>20416</v>
      </c>
      <c r="F274" s="61" t="s">
        <v>19330</v>
      </c>
      <c r="G274" s="62">
        <v>65.0</v>
      </c>
    </row>
    <row r="275" ht="71.25" customHeight="1">
      <c r="A275" s="60" t="s">
        <v>1258</v>
      </c>
      <c r="B275" s="60" t="s">
        <v>20417</v>
      </c>
      <c r="C275" s="60" t="s">
        <v>20418</v>
      </c>
      <c r="D275" s="60" t="s">
        <v>656</v>
      </c>
      <c r="E275" s="60" t="s">
        <v>20419</v>
      </c>
      <c r="F275" s="61" t="s">
        <v>19331</v>
      </c>
      <c r="G275" s="62">
        <v>65.0</v>
      </c>
    </row>
    <row r="276" ht="71.25" customHeight="1">
      <c r="A276" s="60" t="s">
        <v>1515</v>
      </c>
      <c r="B276" s="60" t="s">
        <v>20420</v>
      </c>
      <c r="C276" s="60" t="s">
        <v>20421</v>
      </c>
      <c r="D276" s="60" t="s">
        <v>314</v>
      </c>
      <c r="E276" s="60" t="s">
        <v>20422</v>
      </c>
      <c r="F276" s="61" t="s">
        <v>19332</v>
      </c>
      <c r="G276" s="62">
        <v>65.0</v>
      </c>
    </row>
    <row r="277" ht="71.25" customHeight="1">
      <c r="A277" s="60" t="s">
        <v>1511</v>
      </c>
      <c r="B277" s="60" t="s">
        <v>20147</v>
      </c>
      <c r="C277" s="60" t="s">
        <v>20423</v>
      </c>
      <c r="D277" s="60" t="s">
        <v>656</v>
      </c>
      <c r="E277" s="60" t="s">
        <v>20424</v>
      </c>
      <c r="F277" s="61" t="s">
        <v>19333</v>
      </c>
      <c r="G277" s="62">
        <v>65.0</v>
      </c>
    </row>
    <row r="278" ht="71.25" customHeight="1">
      <c r="A278" s="60" t="s">
        <v>1352</v>
      </c>
      <c r="B278" s="60" t="s">
        <v>20425</v>
      </c>
      <c r="C278" s="60" t="s">
        <v>20426</v>
      </c>
      <c r="D278" s="60" t="s">
        <v>682</v>
      </c>
      <c r="E278" s="60" t="s">
        <v>20427</v>
      </c>
      <c r="F278" s="61" t="s">
        <v>19334</v>
      </c>
      <c r="G278" s="62">
        <v>65.0</v>
      </c>
    </row>
    <row r="279" ht="71.25" customHeight="1">
      <c r="A279" s="60" t="s">
        <v>1357</v>
      </c>
      <c r="B279" s="60" t="s">
        <v>20428</v>
      </c>
      <c r="C279" s="60" t="s">
        <v>20429</v>
      </c>
      <c r="D279" s="60" t="s">
        <v>19925</v>
      </c>
      <c r="E279" s="60" t="s">
        <v>20430</v>
      </c>
      <c r="F279" s="61" t="s">
        <v>19335</v>
      </c>
      <c r="G279" s="62">
        <v>65.0</v>
      </c>
    </row>
    <row r="280" ht="71.25" customHeight="1">
      <c r="A280" s="60" t="s">
        <v>1045</v>
      </c>
      <c r="B280" s="60" t="s">
        <v>20431</v>
      </c>
      <c r="C280" s="60" t="s">
        <v>20432</v>
      </c>
      <c r="D280" s="60" t="s">
        <v>20009</v>
      </c>
      <c r="E280" s="60" t="s">
        <v>20433</v>
      </c>
      <c r="F280" s="61" t="s">
        <v>19336</v>
      </c>
      <c r="G280" s="62">
        <v>65.0</v>
      </c>
    </row>
    <row r="281" ht="71.25" customHeight="1">
      <c r="A281" s="60" t="s">
        <v>1051</v>
      </c>
      <c r="B281" s="60" t="s">
        <v>20434</v>
      </c>
      <c r="C281" s="60" t="s">
        <v>20435</v>
      </c>
      <c r="D281" s="60" t="s">
        <v>20114</v>
      </c>
      <c r="E281" s="60" t="s">
        <v>20436</v>
      </c>
      <c r="F281" s="61" t="s">
        <v>19337</v>
      </c>
      <c r="G281" s="62">
        <v>65.0</v>
      </c>
    </row>
    <row r="282" ht="71.25" customHeight="1">
      <c r="A282" s="60" t="s">
        <v>6209</v>
      </c>
      <c r="B282" s="60" t="s">
        <v>20437</v>
      </c>
      <c r="C282" s="60" t="s">
        <v>20438</v>
      </c>
      <c r="D282" s="60" t="s">
        <v>20184</v>
      </c>
      <c r="E282" s="60" t="s">
        <v>20439</v>
      </c>
      <c r="F282" s="61" t="s">
        <v>19338</v>
      </c>
      <c r="G282" s="62">
        <v>65.0</v>
      </c>
    </row>
    <row r="283" ht="71.25" customHeight="1">
      <c r="A283" s="60" t="s">
        <v>1235</v>
      </c>
      <c r="B283" s="60" t="s">
        <v>20440</v>
      </c>
      <c r="C283" s="60" t="s">
        <v>20441</v>
      </c>
      <c r="D283" s="60" t="s">
        <v>20442</v>
      </c>
      <c r="E283" s="60" t="s">
        <v>20443</v>
      </c>
      <c r="F283" s="61" t="s">
        <v>19339</v>
      </c>
      <c r="G283" s="62">
        <v>65.0</v>
      </c>
    </row>
    <row r="284" ht="71.25" customHeight="1">
      <c r="A284" s="60" t="s">
        <v>1021</v>
      </c>
      <c r="B284" s="60" t="s">
        <v>20444</v>
      </c>
      <c r="C284" s="60" t="s">
        <v>20445</v>
      </c>
      <c r="D284" s="60" t="s">
        <v>20009</v>
      </c>
      <c r="E284" s="60" t="s">
        <v>20446</v>
      </c>
      <c r="F284" s="61" t="s">
        <v>19340</v>
      </c>
      <c r="G284" s="62">
        <v>65.0</v>
      </c>
    </row>
    <row r="285" ht="71.25" customHeight="1">
      <c r="A285" s="60" t="s">
        <v>1015</v>
      </c>
      <c r="B285" s="60" t="s">
        <v>20447</v>
      </c>
      <c r="C285" s="60" t="s">
        <v>20448</v>
      </c>
      <c r="D285" s="60" t="s">
        <v>159</v>
      </c>
      <c r="E285" s="60" t="s">
        <v>20449</v>
      </c>
      <c r="F285" s="61" t="s">
        <v>19341</v>
      </c>
      <c r="G285" s="62">
        <v>65.0</v>
      </c>
    </row>
    <row r="286" ht="71.25" customHeight="1">
      <c r="A286" s="60" t="s">
        <v>71</v>
      </c>
      <c r="B286" s="60" t="s">
        <v>20450</v>
      </c>
      <c r="C286" s="60" t="s">
        <v>20451</v>
      </c>
      <c r="D286" s="60" t="s">
        <v>636</v>
      </c>
      <c r="E286" s="60" t="s">
        <v>20452</v>
      </c>
      <c r="F286" s="61" t="s">
        <v>19342</v>
      </c>
      <c r="G286" s="62">
        <v>65.0</v>
      </c>
    </row>
    <row r="287" ht="71.25" customHeight="1">
      <c r="A287" s="60" t="s">
        <v>126</v>
      </c>
      <c r="B287" s="60" t="s">
        <v>20453</v>
      </c>
      <c r="C287" s="60" t="s">
        <v>20454</v>
      </c>
      <c r="D287" s="60" t="s">
        <v>107</v>
      </c>
      <c r="E287" s="60" t="s">
        <v>20455</v>
      </c>
      <c r="F287" s="61" t="s">
        <v>19343</v>
      </c>
      <c r="G287" s="62">
        <v>65.0</v>
      </c>
    </row>
    <row r="288" ht="71.25" customHeight="1">
      <c r="A288" s="60" t="s">
        <v>1443</v>
      </c>
      <c r="B288" s="60" t="s">
        <v>20456</v>
      </c>
      <c r="C288" s="60" t="s">
        <v>20457</v>
      </c>
      <c r="D288" s="60" t="s">
        <v>19699</v>
      </c>
      <c r="E288" s="60" t="s">
        <v>20458</v>
      </c>
      <c r="F288" s="61" t="s">
        <v>19344</v>
      </c>
      <c r="G288" s="62">
        <v>65.0</v>
      </c>
    </row>
    <row r="289" ht="71.25" customHeight="1">
      <c r="A289" s="60" t="s">
        <v>1165</v>
      </c>
      <c r="B289" s="60" t="s">
        <v>20459</v>
      </c>
      <c r="C289" s="60" t="s">
        <v>20460</v>
      </c>
      <c r="D289" s="60" t="s">
        <v>19598</v>
      </c>
      <c r="E289" s="60" t="s">
        <v>20461</v>
      </c>
      <c r="F289" s="61" t="s">
        <v>19345</v>
      </c>
      <c r="G289" s="62">
        <v>65.0</v>
      </c>
    </row>
    <row r="290" ht="71.25" customHeight="1">
      <c r="A290" s="60" t="s">
        <v>833</v>
      </c>
      <c r="B290" s="60" t="s">
        <v>20462</v>
      </c>
      <c r="C290" s="60" t="s">
        <v>20463</v>
      </c>
      <c r="D290" s="60" t="s">
        <v>20464</v>
      </c>
      <c r="E290" s="60" t="s">
        <v>20465</v>
      </c>
      <c r="F290" s="61" t="s">
        <v>19346</v>
      </c>
      <c r="G290" s="62">
        <v>65.0</v>
      </c>
    </row>
    <row r="291" ht="71.25" customHeight="1">
      <c r="A291" s="60" t="s">
        <v>1503</v>
      </c>
      <c r="B291" s="60" t="s">
        <v>20466</v>
      </c>
      <c r="C291" s="60" t="s">
        <v>20467</v>
      </c>
      <c r="D291" s="60" t="s">
        <v>19827</v>
      </c>
      <c r="E291" s="60" t="s">
        <v>20468</v>
      </c>
      <c r="F291" s="61" t="s">
        <v>19347</v>
      </c>
      <c r="G291" s="62">
        <v>65.0</v>
      </c>
    </row>
    <row r="292" ht="71.25" customHeight="1">
      <c r="A292" s="60" t="s">
        <v>614</v>
      </c>
      <c r="B292" s="60" t="s">
        <v>20469</v>
      </c>
      <c r="C292" s="60" t="s">
        <v>20470</v>
      </c>
      <c r="D292" s="60" t="s">
        <v>19598</v>
      </c>
      <c r="E292" s="60" t="s">
        <v>20471</v>
      </c>
      <c r="F292" s="61" t="s">
        <v>19348</v>
      </c>
      <c r="G292" s="62">
        <v>65.0</v>
      </c>
    </row>
    <row r="293" ht="71.25" customHeight="1">
      <c r="A293" s="60" t="s">
        <v>4612</v>
      </c>
      <c r="B293" s="60" t="s">
        <v>20472</v>
      </c>
      <c r="C293" s="60" t="s">
        <v>20473</v>
      </c>
      <c r="D293" s="60" t="s">
        <v>19634</v>
      </c>
      <c r="E293" s="60" t="s">
        <v>20474</v>
      </c>
      <c r="F293" s="61" t="s">
        <v>19349</v>
      </c>
      <c r="G293" s="62">
        <v>65.0</v>
      </c>
    </row>
    <row r="294" ht="71.25" customHeight="1">
      <c r="A294" s="60" t="s">
        <v>145</v>
      </c>
      <c r="B294" s="60" t="s">
        <v>20475</v>
      </c>
      <c r="C294" s="60" t="s">
        <v>20476</v>
      </c>
      <c r="D294" s="60" t="s">
        <v>20077</v>
      </c>
      <c r="E294" s="60" t="s">
        <v>20477</v>
      </c>
      <c r="F294" s="61" t="s">
        <v>19350</v>
      </c>
      <c r="G294" s="62">
        <v>65.0</v>
      </c>
    </row>
    <row r="295" ht="71.25" customHeight="1">
      <c r="A295" s="60" t="s">
        <v>1057</v>
      </c>
      <c r="B295" s="60" t="s">
        <v>20478</v>
      </c>
      <c r="C295" s="60" t="s">
        <v>20479</v>
      </c>
      <c r="D295" s="60" t="s">
        <v>312</v>
      </c>
      <c r="E295" s="60" t="s">
        <v>20480</v>
      </c>
      <c r="F295" s="61" t="s">
        <v>19351</v>
      </c>
      <c r="G295" s="62">
        <v>65.0</v>
      </c>
    </row>
    <row r="296" ht="71.25" customHeight="1">
      <c r="A296" s="60" t="s">
        <v>1485</v>
      </c>
      <c r="B296" s="60" t="s">
        <v>20481</v>
      </c>
      <c r="C296" s="60" t="s">
        <v>20482</v>
      </c>
      <c r="D296" s="60" t="s">
        <v>20077</v>
      </c>
      <c r="E296" s="60" t="s">
        <v>20483</v>
      </c>
      <c r="F296" s="61" t="s">
        <v>19352</v>
      </c>
      <c r="G296" s="62">
        <v>60.0</v>
      </c>
    </row>
    <row r="297" ht="71.25" customHeight="1">
      <c r="A297" s="60" t="s">
        <v>1185</v>
      </c>
      <c r="B297" s="60" t="s">
        <v>20484</v>
      </c>
      <c r="C297" s="60" t="s">
        <v>20485</v>
      </c>
      <c r="D297" s="60" t="s">
        <v>19850</v>
      </c>
      <c r="E297" s="60" t="s">
        <v>20486</v>
      </c>
      <c r="F297" s="61" t="s">
        <v>19353</v>
      </c>
      <c r="G297" s="62">
        <v>60.0</v>
      </c>
    </row>
    <row r="298" ht="71.25" customHeight="1">
      <c r="A298" s="60" t="s">
        <v>881</v>
      </c>
      <c r="B298" s="60" t="s">
        <v>20487</v>
      </c>
      <c r="C298" s="60" t="s">
        <v>20488</v>
      </c>
      <c r="D298" s="60" t="s">
        <v>19598</v>
      </c>
      <c r="E298" s="60" t="s">
        <v>20489</v>
      </c>
      <c r="F298" s="61" t="s">
        <v>19354</v>
      </c>
      <c r="G298" s="62">
        <v>60.0</v>
      </c>
    </row>
    <row r="299" ht="71.25" customHeight="1">
      <c r="A299" s="60" t="s">
        <v>1167</v>
      </c>
      <c r="B299" s="60" t="s">
        <v>20490</v>
      </c>
      <c r="C299" s="60" t="s">
        <v>20491</v>
      </c>
      <c r="D299" s="60" t="s">
        <v>742</v>
      </c>
      <c r="E299" s="60" t="s">
        <v>20492</v>
      </c>
      <c r="F299" s="61" t="s">
        <v>19355</v>
      </c>
      <c r="G299" s="62">
        <v>60.0</v>
      </c>
    </row>
    <row r="300" ht="71.25" customHeight="1">
      <c r="A300" s="60" t="s">
        <v>1025</v>
      </c>
      <c r="B300" s="60" t="s">
        <v>20493</v>
      </c>
      <c r="C300" s="60" t="s">
        <v>20494</v>
      </c>
      <c r="D300" s="60" t="s">
        <v>20077</v>
      </c>
      <c r="E300" s="60" t="s">
        <v>20495</v>
      </c>
      <c r="F300" s="61" t="s">
        <v>19356</v>
      </c>
      <c r="G300" s="62">
        <v>60.0</v>
      </c>
    </row>
    <row r="301" ht="71.25" customHeight="1">
      <c r="A301" s="60" t="s">
        <v>1323</v>
      </c>
      <c r="B301" s="60" t="s">
        <v>20496</v>
      </c>
      <c r="C301" s="60" t="s">
        <v>20497</v>
      </c>
      <c r="D301" s="60" t="s">
        <v>636</v>
      </c>
      <c r="E301" s="60" t="s">
        <v>20498</v>
      </c>
      <c r="F301" s="61" t="s">
        <v>19357</v>
      </c>
      <c r="G301" s="62">
        <v>60.0</v>
      </c>
    </row>
    <row r="302" ht="71.25" customHeight="1">
      <c r="A302" s="60" t="s">
        <v>241</v>
      </c>
      <c r="B302" s="60" t="s">
        <v>20499</v>
      </c>
      <c r="C302" s="60" t="s">
        <v>20500</v>
      </c>
      <c r="D302" s="60" t="s">
        <v>20081</v>
      </c>
      <c r="E302" s="60" t="s">
        <v>20501</v>
      </c>
      <c r="F302" s="61" t="s">
        <v>19358</v>
      </c>
      <c r="G302" s="62">
        <v>60.0</v>
      </c>
    </row>
    <row r="303" ht="71.25" customHeight="1">
      <c r="A303" s="60" t="s">
        <v>1271</v>
      </c>
      <c r="B303" s="60" t="s">
        <v>20502</v>
      </c>
      <c r="C303" s="60" t="s">
        <v>20503</v>
      </c>
      <c r="D303" s="60" t="s">
        <v>742</v>
      </c>
      <c r="E303" s="60" t="s">
        <v>20504</v>
      </c>
      <c r="F303" s="61" t="s">
        <v>19359</v>
      </c>
      <c r="G303" s="62">
        <v>60.0</v>
      </c>
    </row>
    <row r="304" ht="71.25" customHeight="1">
      <c r="A304" s="60" t="s">
        <v>809</v>
      </c>
      <c r="B304" s="60" t="s">
        <v>20505</v>
      </c>
      <c r="C304" s="60" t="s">
        <v>20506</v>
      </c>
      <c r="D304" s="60" t="s">
        <v>20507</v>
      </c>
      <c r="E304" s="60" t="s">
        <v>20508</v>
      </c>
      <c r="F304" s="61" t="s">
        <v>19360</v>
      </c>
      <c r="G304" s="62">
        <v>60.0</v>
      </c>
    </row>
    <row r="305" ht="71.25" customHeight="1">
      <c r="A305" s="60" t="s">
        <v>1636</v>
      </c>
      <c r="B305" s="60" t="s">
        <v>20509</v>
      </c>
      <c r="C305" s="60" t="s">
        <v>20510</v>
      </c>
      <c r="D305" s="60" t="s">
        <v>19813</v>
      </c>
      <c r="E305" s="60" t="s">
        <v>20511</v>
      </c>
      <c r="F305" s="61" t="s">
        <v>19361</v>
      </c>
      <c r="G305" s="62">
        <v>60.0</v>
      </c>
    </row>
    <row r="306" ht="71.25" customHeight="1">
      <c r="A306" s="60" t="s">
        <v>835</v>
      </c>
      <c r="B306" s="60" t="s">
        <v>20512</v>
      </c>
      <c r="C306" s="60" t="s">
        <v>20513</v>
      </c>
      <c r="D306" s="60" t="s">
        <v>19627</v>
      </c>
      <c r="E306" s="60" t="s">
        <v>20514</v>
      </c>
      <c r="F306" s="61" t="s">
        <v>19362</v>
      </c>
      <c r="G306" s="62">
        <v>60.0</v>
      </c>
    </row>
    <row r="307" ht="71.25" customHeight="1">
      <c r="A307" s="60" t="s">
        <v>1412</v>
      </c>
      <c r="B307" s="60" t="s">
        <v>20515</v>
      </c>
      <c r="C307" s="60" t="s">
        <v>20516</v>
      </c>
      <c r="D307" s="60" t="s">
        <v>20517</v>
      </c>
      <c r="E307" s="60" t="s">
        <v>20518</v>
      </c>
      <c r="F307" s="61" t="s">
        <v>19363</v>
      </c>
      <c r="G307" s="62">
        <v>60.0</v>
      </c>
    </row>
    <row r="308" ht="71.25" customHeight="1">
      <c r="A308" s="60" t="s">
        <v>455</v>
      </c>
      <c r="B308" s="60" t="s">
        <v>20519</v>
      </c>
      <c r="C308" s="60" t="s">
        <v>20520</v>
      </c>
      <c r="D308" s="60" t="s">
        <v>20016</v>
      </c>
      <c r="E308" s="60" t="s">
        <v>20521</v>
      </c>
      <c r="F308" s="61" t="s">
        <v>19364</v>
      </c>
      <c r="G308" s="62">
        <v>60.0</v>
      </c>
    </row>
    <row r="309" ht="71.25" customHeight="1">
      <c r="A309" s="60" t="s">
        <v>1441</v>
      </c>
      <c r="B309" s="60" t="s">
        <v>20522</v>
      </c>
      <c r="C309" s="60" t="s">
        <v>20523</v>
      </c>
      <c r="D309" s="60" t="s">
        <v>19699</v>
      </c>
      <c r="E309" s="60" t="s">
        <v>20524</v>
      </c>
      <c r="F309" s="61" t="s">
        <v>19365</v>
      </c>
      <c r="G309" s="62">
        <v>60.0</v>
      </c>
    </row>
    <row r="310" ht="71.25" customHeight="1">
      <c r="A310" s="60" t="s">
        <v>1381</v>
      </c>
      <c r="B310" s="60" t="s">
        <v>20525</v>
      </c>
      <c r="C310" s="60" t="s">
        <v>20526</v>
      </c>
      <c r="D310" s="60" t="s">
        <v>19706</v>
      </c>
      <c r="E310" s="60" t="s">
        <v>20527</v>
      </c>
      <c r="F310" s="61" t="s">
        <v>19366</v>
      </c>
      <c r="G310" s="62">
        <v>60.0</v>
      </c>
    </row>
    <row r="311" ht="71.25" customHeight="1">
      <c r="A311" s="60" t="s">
        <v>125</v>
      </c>
      <c r="B311" s="60" t="s">
        <v>20528</v>
      </c>
      <c r="C311" s="60" t="s">
        <v>20529</v>
      </c>
      <c r="D311" s="60" t="s">
        <v>309</v>
      </c>
      <c r="E311" s="60" t="s">
        <v>20530</v>
      </c>
      <c r="F311" s="61" t="s">
        <v>19367</v>
      </c>
      <c r="G311" s="62">
        <v>60.0</v>
      </c>
    </row>
    <row r="312" ht="71.25" customHeight="1">
      <c r="A312" s="60" t="s">
        <v>1032</v>
      </c>
      <c r="B312" s="60" t="s">
        <v>20531</v>
      </c>
      <c r="C312" s="60" t="s">
        <v>20532</v>
      </c>
      <c r="D312" s="60" t="s">
        <v>19606</v>
      </c>
      <c r="E312" s="60" t="s">
        <v>20533</v>
      </c>
      <c r="F312" s="61" t="s">
        <v>19368</v>
      </c>
      <c r="G312" s="62">
        <v>60.0</v>
      </c>
    </row>
    <row r="313" ht="71.25" customHeight="1">
      <c r="A313" s="60" t="s">
        <v>1508</v>
      </c>
      <c r="B313" s="60" t="s">
        <v>20534</v>
      </c>
      <c r="C313" s="60" t="s">
        <v>20535</v>
      </c>
      <c r="D313" s="60" t="s">
        <v>702</v>
      </c>
      <c r="E313" s="60" t="s">
        <v>20536</v>
      </c>
      <c r="F313" s="61" t="s">
        <v>19369</v>
      </c>
      <c r="G313" s="62">
        <v>60.0</v>
      </c>
    </row>
    <row r="314" ht="71.25" customHeight="1">
      <c r="A314" s="60" t="s">
        <v>1367</v>
      </c>
      <c r="B314" s="60" t="s">
        <v>20537</v>
      </c>
      <c r="C314" s="60" t="s">
        <v>20538</v>
      </c>
      <c r="D314" s="60" t="s">
        <v>19576</v>
      </c>
      <c r="E314" s="60" t="s">
        <v>20539</v>
      </c>
      <c r="F314" s="61" t="s">
        <v>19370</v>
      </c>
      <c r="G314" s="62">
        <v>60.0</v>
      </c>
    </row>
    <row r="315" ht="71.25" customHeight="1">
      <c r="A315" s="60" t="s">
        <v>1161</v>
      </c>
      <c r="B315" s="60" t="s">
        <v>20540</v>
      </c>
      <c r="C315" s="60" t="s">
        <v>20541</v>
      </c>
      <c r="D315" s="60" t="s">
        <v>20542</v>
      </c>
      <c r="E315" s="60" t="s">
        <v>20543</v>
      </c>
      <c r="F315" s="61" t="s">
        <v>19371</v>
      </c>
      <c r="G315" s="62">
        <v>60.0</v>
      </c>
    </row>
    <row r="316" ht="71.25" customHeight="1">
      <c r="A316" s="60" t="s">
        <v>1464</v>
      </c>
      <c r="B316" s="60" t="s">
        <v>20544</v>
      </c>
      <c r="C316" s="60" t="s">
        <v>20545</v>
      </c>
      <c r="D316" s="60" t="s">
        <v>19739</v>
      </c>
      <c r="E316" s="60" t="s">
        <v>20546</v>
      </c>
      <c r="F316" s="61" t="s">
        <v>19372</v>
      </c>
      <c r="G316" s="62">
        <v>60.0</v>
      </c>
    </row>
    <row r="317" ht="71.25" customHeight="1">
      <c r="A317" s="60" t="s">
        <v>250</v>
      </c>
      <c r="B317" s="60" t="s">
        <v>20547</v>
      </c>
      <c r="C317" s="60" t="s">
        <v>20548</v>
      </c>
      <c r="D317" s="60" t="s">
        <v>19620</v>
      </c>
      <c r="E317" s="60" t="s">
        <v>20549</v>
      </c>
      <c r="F317" s="61" t="s">
        <v>19373</v>
      </c>
      <c r="G317" s="62">
        <v>60.0</v>
      </c>
    </row>
    <row r="318" ht="71.25" customHeight="1">
      <c r="A318" s="60" t="s">
        <v>1094</v>
      </c>
      <c r="B318" s="60" t="s">
        <v>20550</v>
      </c>
      <c r="C318" s="60" t="s">
        <v>20551</v>
      </c>
      <c r="D318" s="60" t="s">
        <v>107</v>
      </c>
      <c r="E318" s="60" t="s">
        <v>20552</v>
      </c>
      <c r="F318" s="61" t="s">
        <v>19374</v>
      </c>
      <c r="G318" s="62">
        <v>60.0</v>
      </c>
    </row>
    <row r="319" ht="71.25" customHeight="1">
      <c r="A319" s="60" t="s">
        <v>1055</v>
      </c>
      <c r="B319" s="60" t="s">
        <v>20553</v>
      </c>
      <c r="C319" s="60" t="s">
        <v>20554</v>
      </c>
      <c r="D319" s="60" t="s">
        <v>19610</v>
      </c>
      <c r="E319" s="60" t="s">
        <v>20555</v>
      </c>
      <c r="F319" s="61" t="s">
        <v>19375</v>
      </c>
      <c r="G319" s="62">
        <v>60.0</v>
      </c>
    </row>
    <row r="320" ht="71.25" customHeight="1">
      <c r="A320" s="60" t="s">
        <v>186</v>
      </c>
      <c r="B320" s="60" t="s">
        <v>20556</v>
      </c>
      <c r="C320" s="60" t="s">
        <v>20557</v>
      </c>
      <c r="D320" s="60" t="s">
        <v>19986</v>
      </c>
      <c r="E320" s="60" t="s">
        <v>20558</v>
      </c>
      <c r="F320" s="61" t="s">
        <v>19376</v>
      </c>
      <c r="G320" s="62">
        <v>60.0</v>
      </c>
    </row>
    <row r="321" ht="71.25" customHeight="1">
      <c r="A321" s="60" t="s">
        <v>1297</v>
      </c>
      <c r="B321" s="60" t="s">
        <v>20559</v>
      </c>
      <c r="C321" s="60" t="s">
        <v>20560</v>
      </c>
      <c r="D321" s="60" t="s">
        <v>19706</v>
      </c>
      <c r="E321" s="60" t="s">
        <v>20561</v>
      </c>
      <c r="F321" s="61" t="s">
        <v>19377</v>
      </c>
      <c r="G321" s="62">
        <v>60.0</v>
      </c>
    </row>
    <row r="322" ht="71.25" customHeight="1">
      <c r="A322" s="60" t="s">
        <v>165</v>
      </c>
      <c r="B322" s="60" t="s">
        <v>20562</v>
      </c>
      <c r="C322" s="60" t="s">
        <v>20563</v>
      </c>
      <c r="D322" s="60" t="s">
        <v>19677</v>
      </c>
      <c r="E322" s="60" t="s">
        <v>20564</v>
      </c>
      <c r="F322" s="61" t="s">
        <v>19378</v>
      </c>
      <c r="G322" s="62">
        <v>60.0</v>
      </c>
    </row>
    <row r="323" ht="71.25" customHeight="1">
      <c r="A323" s="60" t="s">
        <v>987</v>
      </c>
      <c r="B323" s="60" t="s">
        <v>20565</v>
      </c>
      <c r="C323" s="60" t="s">
        <v>20566</v>
      </c>
      <c r="D323" s="60" t="s">
        <v>20016</v>
      </c>
      <c r="E323" s="60" t="s">
        <v>20567</v>
      </c>
      <c r="F323" s="61" t="s">
        <v>19379</v>
      </c>
      <c r="G323" s="62">
        <v>60.0</v>
      </c>
    </row>
    <row r="324" ht="71.25" customHeight="1">
      <c r="A324" s="60" t="s">
        <v>164</v>
      </c>
      <c r="B324" s="60" t="s">
        <v>20568</v>
      </c>
      <c r="C324" s="60" t="s">
        <v>20569</v>
      </c>
      <c r="D324" s="60" t="s">
        <v>314</v>
      </c>
      <c r="E324" s="60" t="s">
        <v>20570</v>
      </c>
      <c r="F324" s="61" t="s">
        <v>19380</v>
      </c>
      <c r="G324" s="62">
        <v>60.0</v>
      </c>
    </row>
    <row r="325" ht="71.25" customHeight="1">
      <c r="A325" s="60" t="s">
        <v>811</v>
      </c>
      <c r="B325" s="60" t="s">
        <v>20571</v>
      </c>
      <c r="C325" s="60" t="s">
        <v>20572</v>
      </c>
      <c r="D325" s="60" t="s">
        <v>20374</v>
      </c>
      <c r="E325" s="60" t="s">
        <v>20573</v>
      </c>
      <c r="F325" s="61" t="s">
        <v>19381</v>
      </c>
      <c r="G325" s="62">
        <v>60.0</v>
      </c>
    </row>
    <row r="326" ht="71.25" customHeight="1">
      <c r="A326" s="60" t="s">
        <v>1109</v>
      </c>
      <c r="B326" s="60" t="s">
        <v>20574</v>
      </c>
      <c r="C326" s="60" t="s">
        <v>20575</v>
      </c>
      <c r="D326" s="60" t="s">
        <v>19543</v>
      </c>
      <c r="E326" s="60" t="s">
        <v>20576</v>
      </c>
      <c r="F326" s="61" t="s">
        <v>19382</v>
      </c>
      <c r="G326" s="62">
        <v>60.0</v>
      </c>
    </row>
    <row r="327" ht="71.25" customHeight="1">
      <c r="A327" s="60" t="s">
        <v>1107</v>
      </c>
      <c r="B327" s="60" t="s">
        <v>20577</v>
      </c>
      <c r="C327" s="60" t="s">
        <v>20578</v>
      </c>
      <c r="D327" s="60" t="s">
        <v>19641</v>
      </c>
      <c r="E327" s="60" t="s">
        <v>20579</v>
      </c>
      <c r="F327" s="61" t="s">
        <v>19383</v>
      </c>
      <c r="G327" s="62">
        <v>60.0</v>
      </c>
    </row>
    <row r="328" ht="71.25" customHeight="1">
      <c r="A328" s="60" t="s">
        <v>1553</v>
      </c>
      <c r="B328" s="60" t="s">
        <v>20580</v>
      </c>
      <c r="C328" s="60" t="s">
        <v>20581</v>
      </c>
      <c r="D328" s="60" t="s">
        <v>742</v>
      </c>
      <c r="E328" s="60" t="s">
        <v>20582</v>
      </c>
      <c r="F328" s="61" t="s">
        <v>19384</v>
      </c>
      <c r="G328" s="62">
        <v>60.0</v>
      </c>
    </row>
    <row r="329" ht="71.25" customHeight="1">
      <c r="A329" s="60" t="s">
        <v>1555</v>
      </c>
      <c r="B329" s="60" t="s">
        <v>20583</v>
      </c>
      <c r="C329" s="60" t="s">
        <v>20584</v>
      </c>
      <c r="D329" s="60" t="s">
        <v>634</v>
      </c>
      <c r="E329" s="60" t="s">
        <v>20585</v>
      </c>
      <c r="F329" s="61" t="s">
        <v>19385</v>
      </c>
      <c r="G329" s="62">
        <v>60.0</v>
      </c>
    </row>
    <row r="330" ht="71.25" customHeight="1">
      <c r="A330" s="60" t="s">
        <v>845</v>
      </c>
      <c r="B330" s="60" t="s">
        <v>20586</v>
      </c>
      <c r="C330" s="60" t="s">
        <v>20587</v>
      </c>
      <c r="D330" s="60" t="s">
        <v>19598</v>
      </c>
      <c r="E330" s="60" t="s">
        <v>20588</v>
      </c>
      <c r="F330" s="61" t="s">
        <v>19386</v>
      </c>
      <c r="G330" s="62">
        <v>60.0</v>
      </c>
    </row>
    <row r="331" ht="71.25" customHeight="1">
      <c r="A331" s="60" t="s">
        <v>1498</v>
      </c>
      <c r="B331" s="60" t="s">
        <v>20589</v>
      </c>
      <c r="C331" s="60" t="s">
        <v>20590</v>
      </c>
      <c r="D331" s="60" t="s">
        <v>19598</v>
      </c>
      <c r="E331" s="60" t="s">
        <v>20591</v>
      </c>
      <c r="F331" s="61" t="s">
        <v>19387</v>
      </c>
      <c r="G331" s="62">
        <v>60.0</v>
      </c>
    </row>
    <row r="332" ht="71.25" customHeight="1">
      <c r="A332" s="60" t="s">
        <v>264</v>
      </c>
      <c r="B332" s="60" t="s">
        <v>20592</v>
      </c>
      <c r="C332" s="60" t="s">
        <v>20593</v>
      </c>
      <c r="D332" s="60" t="s">
        <v>19572</v>
      </c>
      <c r="E332" s="60" t="s">
        <v>20594</v>
      </c>
      <c r="F332" s="61" t="s">
        <v>19388</v>
      </c>
      <c r="G332" s="62">
        <v>60.0</v>
      </c>
    </row>
    <row r="333" ht="71.25" customHeight="1">
      <c r="A333" s="60" t="s">
        <v>847</v>
      </c>
      <c r="B333" s="60" t="s">
        <v>20595</v>
      </c>
      <c r="C333" s="60" t="s">
        <v>20596</v>
      </c>
      <c r="D333" s="60" t="s">
        <v>20255</v>
      </c>
      <c r="E333" s="60" t="s">
        <v>20597</v>
      </c>
      <c r="F333" s="61" t="s">
        <v>19389</v>
      </c>
      <c r="G333" s="62">
        <v>60.0</v>
      </c>
    </row>
    <row r="334" ht="71.25" customHeight="1">
      <c r="A334" s="60" t="s">
        <v>97</v>
      </c>
      <c r="B334" s="60" t="s">
        <v>20598</v>
      </c>
      <c r="C334" s="60" t="s">
        <v>20599</v>
      </c>
      <c r="D334" s="60" t="s">
        <v>173</v>
      </c>
      <c r="E334" s="60" t="s">
        <v>20600</v>
      </c>
      <c r="F334" s="61" t="s">
        <v>19390</v>
      </c>
      <c r="G334" s="62">
        <v>60.0</v>
      </c>
    </row>
    <row r="335" ht="71.25" customHeight="1">
      <c r="A335" s="60" t="s">
        <v>1131</v>
      </c>
      <c r="B335" s="60" t="s">
        <v>20601</v>
      </c>
      <c r="C335" s="60" t="s">
        <v>20602</v>
      </c>
      <c r="D335" s="60" t="s">
        <v>747</v>
      </c>
      <c r="E335" s="60" t="s">
        <v>20603</v>
      </c>
      <c r="F335" s="61" t="s">
        <v>19391</v>
      </c>
      <c r="G335" s="62">
        <v>60.0</v>
      </c>
    </row>
    <row r="336" ht="71.25" customHeight="1">
      <c r="A336" s="60" t="s">
        <v>197</v>
      </c>
      <c r="B336" s="60" t="s">
        <v>20604</v>
      </c>
      <c r="C336" s="60" t="s">
        <v>20605</v>
      </c>
      <c r="D336" s="60" t="s">
        <v>19598</v>
      </c>
      <c r="E336" s="60" t="s">
        <v>20606</v>
      </c>
      <c r="F336" s="61" t="s">
        <v>19392</v>
      </c>
      <c r="G336" s="62">
        <v>60.0</v>
      </c>
    </row>
    <row r="337" ht="71.25" customHeight="1">
      <c r="A337" s="60" t="s">
        <v>1391</v>
      </c>
      <c r="B337" s="60" t="s">
        <v>20607</v>
      </c>
      <c r="C337" s="60" t="s">
        <v>20608</v>
      </c>
      <c r="D337" s="60" t="s">
        <v>19662</v>
      </c>
      <c r="E337" s="60" t="s">
        <v>20609</v>
      </c>
      <c r="F337" s="61" t="s">
        <v>19393</v>
      </c>
      <c r="G337" s="62">
        <v>60.0</v>
      </c>
    </row>
    <row r="338" ht="71.25" customHeight="1">
      <c r="A338" s="60" t="s">
        <v>1030</v>
      </c>
      <c r="B338" s="60" t="s">
        <v>20610</v>
      </c>
      <c r="C338" s="60" t="s">
        <v>20611</v>
      </c>
      <c r="D338" s="60" t="s">
        <v>19641</v>
      </c>
      <c r="E338" s="60" t="s">
        <v>20612</v>
      </c>
      <c r="F338" s="61" t="s">
        <v>19394</v>
      </c>
      <c r="G338" s="62">
        <v>60.0</v>
      </c>
    </row>
    <row r="339" ht="71.25" customHeight="1">
      <c r="A339" s="60" t="s">
        <v>1173</v>
      </c>
      <c r="B339" s="60" t="s">
        <v>20613</v>
      </c>
      <c r="C339" s="60" t="s">
        <v>20614</v>
      </c>
      <c r="D339" s="60" t="s">
        <v>20507</v>
      </c>
      <c r="E339" s="60" t="s">
        <v>20615</v>
      </c>
      <c r="F339" s="61" t="s">
        <v>19395</v>
      </c>
      <c r="G339" s="62">
        <v>60.0</v>
      </c>
    </row>
    <row r="340" ht="71.25" customHeight="1">
      <c r="A340" s="60" t="s">
        <v>777</v>
      </c>
      <c r="B340" s="60" t="s">
        <v>20616</v>
      </c>
      <c r="C340" s="60" t="s">
        <v>20617</v>
      </c>
      <c r="D340" s="60" t="s">
        <v>634</v>
      </c>
      <c r="E340" s="60" t="s">
        <v>20618</v>
      </c>
      <c r="F340" s="61" t="s">
        <v>19396</v>
      </c>
      <c r="G340" s="62">
        <v>60.0</v>
      </c>
    </row>
    <row r="341" ht="71.25" customHeight="1">
      <c r="A341" s="60" t="s">
        <v>1273</v>
      </c>
      <c r="B341" s="60" t="s">
        <v>20619</v>
      </c>
      <c r="C341" s="60" t="s">
        <v>20620</v>
      </c>
      <c r="D341" s="60" t="s">
        <v>20621</v>
      </c>
      <c r="E341" s="60" t="s">
        <v>20622</v>
      </c>
      <c r="F341" s="61" t="s">
        <v>19397</v>
      </c>
      <c r="G341" s="62">
        <v>60.0</v>
      </c>
    </row>
    <row r="342" ht="71.25" customHeight="1">
      <c r="A342" s="60" t="s">
        <v>253</v>
      </c>
      <c r="B342" s="60" t="s">
        <v>20623</v>
      </c>
      <c r="C342" s="60" t="s">
        <v>20624</v>
      </c>
      <c r="D342" s="60" t="s">
        <v>19699</v>
      </c>
      <c r="E342" s="60" t="s">
        <v>20625</v>
      </c>
      <c r="F342" s="61" t="s">
        <v>19398</v>
      </c>
      <c r="G342" s="62">
        <v>60.0</v>
      </c>
    </row>
    <row r="343" ht="71.25" customHeight="1">
      <c r="A343" s="60" t="s">
        <v>1592</v>
      </c>
      <c r="B343" s="60" t="s">
        <v>20626</v>
      </c>
      <c r="C343" s="60" t="s">
        <v>20627</v>
      </c>
      <c r="D343" s="60" t="s">
        <v>656</v>
      </c>
      <c r="E343" s="60" t="s">
        <v>20628</v>
      </c>
      <c r="F343" s="61" t="s">
        <v>19399</v>
      </c>
      <c r="G343" s="62">
        <v>60.0</v>
      </c>
    </row>
    <row r="344" ht="71.25" customHeight="1">
      <c r="A344" s="60" t="s">
        <v>1254</v>
      </c>
      <c r="B344" s="60" t="s">
        <v>20629</v>
      </c>
      <c r="C344" s="60" t="s">
        <v>20630</v>
      </c>
      <c r="D344" s="60" t="s">
        <v>656</v>
      </c>
      <c r="E344" s="60" t="s">
        <v>20631</v>
      </c>
      <c r="F344" s="61" t="s">
        <v>19400</v>
      </c>
      <c r="G344" s="62">
        <v>60.0</v>
      </c>
    </row>
    <row r="345" ht="71.25" customHeight="1">
      <c r="A345" s="60" t="s">
        <v>1141</v>
      </c>
      <c r="B345" s="60" t="s">
        <v>20632</v>
      </c>
      <c r="C345" s="60" t="s">
        <v>20633</v>
      </c>
      <c r="D345" s="60" t="s">
        <v>19899</v>
      </c>
      <c r="E345" s="60" t="s">
        <v>20634</v>
      </c>
      <c r="F345" s="61" t="s">
        <v>19401</v>
      </c>
      <c r="G345" s="62">
        <v>60.0</v>
      </c>
    </row>
    <row r="346" ht="71.25" customHeight="1">
      <c r="A346" s="60" t="s">
        <v>927</v>
      </c>
      <c r="B346" s="60" t="s">
        <v>20635</v>
      </c>
      <c r="C346" s="60" t="s">
        <v>20636</v>
      </c>
      <c r="D346" s="60" t="s">
        <v>20077</v>
      </c>
      <c r="E346" s="60" t="s">
        <v>20637</v>
      </c>
      <c r="F346" s="61" t="s">
        <v>19402</v>
      </c>
      <c r="G346" s="62">
        <v>60.0</v>
      </c>
    </row>
    <row r="347" ht="71.25" customHeight="1">
      <c r="A347" s="60" t="s">
        <v>1540</v>
      </c>
      <c r="B347" s="60" t="s">
        <v>20638</v>
      </c>
      <c r="C347" s="60" t="s">
        <v>20639</v>
      </c>
      <c r="D347" s="60" t="s">
        <v>20127</v>
      </c>
      <c r="E347" s="60" t="s">
        <v>20640</v>
      </c>
      <c r="F347" s="61" t="s">
        <v>19403</v>
      </c>
      <c r="G347" s="62">
        <v>60.0</v>
      </c>
    </row>
    <row r="348" ht="71.25" customHeight="1">
      <c r="A348" s="60" t="s">
        <v>1221</v>
      </c>
      <c r="B348" s="60" t="s">
        <v>20641</v>
      </c>
      <c r="C348" s="60" t="s">
        <v>20642</v>
      </c>
      <c r="D348" s="60" t="s">
        <v>20255</v>
      </c>
      <c r="E348" s="60" t="s">
        <v>20643</v>
      </c>
      <c r="F348" s="61" t="s">
        <v>19404</v>
      </c>
      <c r="G348" s="62">
        <v>60.0</v>
      </c>
    </row>
    <row r="349" ht="71.25" customHeight="1">
      <c r="A349" s="60" t="s">
        <v>1121</v>
      </c>
      <c r="B349" s="60" t="s">
        <v>20644</v>
      </c>
      <c r="C349" s="60" t="s">
        <v>20645</v>
      </c>
      <c r="D349" s="60" t="s">
        <v>19706</v>
      </c>
      <c r="E349" s="60" t="s">
        <v>20646</v>
      </c>
      <c r="F349" s="61" t="s">
        <v>19405</v>
      </c>
      <c r="G349" s="62">
        <v>60.0</v>
      </c>
    </row>
    <row r="350" ht="71.25" customHeight="1">
      <c r="A350" s="60" t="s">
        <v>4970</v>
      </c>
      <c r="B350" s="60" t="s">
        <v>20647</v>
      </c>
      <c r="C350" s="60" t="s">
        <v>20648</v>
      </c>
      <c r="D350" s="60" t="s">
        <v>719</v>
      </c>
      <c r="E350" s="60" t="s">
        <v>20649</v>
      </c>
      <c r="F350" s="61" t="s">
        <v>19406</v>
      </c>
      <c r="G350" s="62">
        <v>60.0</v>
      </c>
    </row>
    <row r="351" ht="71.25" customHeight="1">
      <c r="A351" s="60" t="s">
        <v>1535</v>
      </c>
      <c r="B351" s="60" t="s">
        <v>20650</v>
      </c>
      <c r="C351" s="60" t="s">
        <v>20651</v>
      </c>
      <c r="D351" s="60" t="s">
        <v>159</v>
      </c>
      <c r="E351" s="60" t="s">
        <v>20652</v>
      </c>
      <c r="F351" s="61" t="s">
        <v>19407</v>
      </c>
      <c r="G351" s="62">
        <v>60.0</v>
      </c>
    </row>
    <row r="352" ht="71.25" customHeight="1">
      <c r="A352" s="60" t="s">
        <v>1115</v>
      </c>
      <c r="B352" s="60" t="s">
        <v>20653</v>
      </c>
      <c r="C352" s="60" t="s">
        <v>20654</v>
      </c>
      <c r="D352" s="60" t="s">
        <v>656</v>
      </c>
      <c r="E352" s="60" t="s">
        <v>20655</v>
      </c>
      <c r="F352" s="61" t="s">
        <v>19408</v>
      </c>
      <c r="G352" s="62">
        <v>60.0</v>
      </c>
    </row>
    <row r="353" ht="71.25" customHeight="1">
      <c r="A353" s="60" t="s">
        <v>3236</v>
      </c>
      <c r="B353" s="60" t="s">
        <v>20656</v>
      </c>
      <c r="C353" s="60" t="s">
        <v>20657</v>
      </c>
      <c r="D353" s="60" t="s">
        <v>309</v>
      </c>
      <c r="E353" s="60" t="s">
        <v>20658</v>
      </c>
      <c r="F353" s="61" t="s">
        <v>19409</v>
      </c>
      <c r="G353" s="62">
        <v>60.0</v>
      </c>
    </row>
    <row r="354" ht="71.25" customHeight="1">
      <c r="A354" s="60" t="s">
        <v>1340</v>
      </c>
      <c r="B354" s="60" t="s">
        <v>20659</v>
      </c>
      <c r="C354" s="60" t="s">
        <v>20660</v>
      </c>
      <c r="D354" s="60" t="s">
        <v>19769</v>
      </c>
      <c r="E354" s="60" t="s">
        <v>20661</v>
      </c>
      <c r="F354" s="61" t="s">
        <v>19410</v>
      </c>
      <c r="G354" s="62">
        <v>60.0</v>
      </c>
    </row>
    <row r="355" ht="71.25" customHeight="1">
      <c r="A355" s="60" t="s">
        <v>19411</v>
      </c>
      <c r="B355" s="60" t="s">
        <v>20662</v>
      </c>
      <c r="C355" s="60" t="s">
        <v>20663</v>
      </c>
      <c r="D355" s="60" t="s">
        <v>636</v>
      </c>
      <c r="E355" s="60" t="s">
        <v>20664</v>
      </c>
      <c r="F355" s="61" t="s">
        <v>19412</v>
      </c>
      <c r="G355" s="62">
        <v>60.0</v>
      </c>
    </row>
    <row r="356" ht="71.25" customHeight="1">
      <c r="A356" s="60" t="s">
        <v>893</v>
      </c>
      <c r="B356" s="60" t="s">
        <v>20665</v>
      </c>
      <c r="C356" s="60" t="s">
        <v>20666</v>
      </c>
      <c r="D356" s="60" t="s">
        <v>20184</v>
      </c>
      <c r="E356" s="60" t="s">
        <v>20667</v>
      </c>
      <c r="F356" s="61" t="s">
        <v>19413</v>
      </c>
      <c r="G356" s="62">
        <v>60.0</v>
      </c>
    </row>
    <row r="357" ht="71.25" customHeight="1">
      <c r="A357" s="60" t="s">
        <v>1530</v>
      </c>
      <c r="B357" s="60" t="s">
        <v>20668</v>
      </c>
      <c r="C357" s="60" t="s">
        <v>20669</v>
      </c>
      <c r="D357" s="60" t="s">
        <v>19602</v>
      </c>
      <c r="E357" s="60" t="s">
        <v>20670</v>
      </c>
      <c r="F357" s="61" t="s">
        <v>19414</v>
      </c>
      <c r="G357" s="62">
        <v>60.0</v>
      </c>
    </row>
    <row r="358" ht="71.25" customHeight="1">
      <c r="A358" s="60" t="s">
        <v>1458</v>
      </c>
      <c r="B358" s="60" t="s">
        <v>20671</v>
      </c>
      <c r="C358" s="60" t="s">
        <v>20672</v>
      </c>
      <c r="D358" s="60" t="s">
        <v>19850</v>
      </c>
      <c r="E358" s="60" t="s">
        <v>20673</v>
      </c>
      <c r="F358" s="61" t="s">
        <v>19415</v>
      </c>
      <c r="G358" s="62">
        <v>60.0</v>
      </c>
    </row>
    <row r="359" ht="71.25" customHeight="1">
      <c r="A359" s="60" t="s">
        <v>1169</v>
      </c>
      <c r="B359" s="60" t="s">
        <v>20674</v>
      </c>
      <c r="C359" s="60" t="s">
        <v>20675</v>
      </c>
      <c r="D359" s="60" t="s">
        <v>314</v>
      </c>
      <c r="E359" s="60" t="s">
        <v>20676</v>
      </c>
      <c r="F359" s="61" t="s">
        <v>19416</v>
      </c>
      <c r="G359" s="62">
        <v>60.0</v>
      </c>
    </row>
    <row r="360" ht="71.25" customHeight="1">
      <c r="A360" s="60" t="s">
        <v>51</v>
      </c>
      <c r="B360" s="60" t="s">
        <v>20677</v>
      </c>
      <c r="C360" s="60" t="s">
        <v>20678</v>
      </c>
      <c r="D360" s="60" t="s">
        <v>19602</v>
      </c>
      <c r="E360" s="60" t="s">
        <v>20679</v>
      </c>
      <c r="F360" s="61" t="s">
        <v>19417</v>
      </c>
      <c r="G360" s="62">
        <v>60.0</v>
      </c>
    </row>
    <row r="361" ht="71.25" customHeight="1">
      <c r="A361" s="60" t="s">
        <v>287</v>
      </c>
      <c r="B361" s="60" t="s">
        <v>20680</v>
      </c>
      <c r="C361" s="60" t="s">
        <v>20681</v>
      </c>
      <c r="D361" s="60" t="s">
        <v>19881</v>
      </c>
      <c r="E361" s="60" t="s">
        <v>20682</v>
      </c>
      <c r="F361" s="61" t="s">
        <v>19418</v>
      </c>
      <c r="G361" s="62">
        <v>60.0</v>
      </c>
    </row>
    <row r="362" ht="71.25" customHeight="1">
      <c r="A362" s="60" t="s">
        <v>919</v>
      </c>
      <c r="B362" s="60" t="s">
        <v>20683</v>
      </c>
      <c r="C362" s="60" t="s">
        <v>20684</v>
      </c>
      <c r="D362" s="60" t="s">
        <v>19547</v>
      </c>
      <c r="E362" s="60" t="s">
        <v>20685</v>
      </c>
      <c r="F362" s="61" t="s">
        <v>19419</v>
      </c>
      <c r="G362" s="62">
        <v>60.0</v>
      </c>
    </row>
    <row r="363" ht="71.25" customHeight="1">
      <c r="A363" s="60" t="s">
        <v>1264</v>
      </c>
      <c r="B363" s="60" t="s">
        <v>20686</v>
      </c>
      <c r="C363" s="60" t="s">
        <v>20687</v>
      </c>
      <c r="D363" s="60" t="s">
        <v>656</v>
      </c>
      <c r="E363" s="60" t="s">
        <v>20688</v>
      </c>
      <c r="F363" s="61" t="s">
        <v>19420</v>
      </c>
      <c r="G363" s="62">
        <v>60.0</v>
      </c>
    </row>
    <row r="364" ht="71.25" customHeight="1">
      <c r="A364" s="60" t="s">
        <v>151</v>
      </c>
      <c r="B364" s="60" t="s">
        <v>20689</v>
      </c>
      <c r="C364" s="60" t="s">
        <v>20690</v>
      </c>
      <c r="D364" s="60" t="s">
        <v>704</v>
      </c>
      <c r="E364" s="60" t="s">
        <v>20691</v>
      </c>
      <c r="F364" s="61" t="s">
        <v>19421</v>
      </c>
      <c r="G364" s="62">
        <v>60.0</v>
      </c>
    </row>
    <row r="365" ht="71.25" customHeight="1">
      <c r="A365" s="60" t="s">
        <v>359</v>
      </c>
      <c r="B365" s="60" t="s">
        <v>20692</v>
      </c>
      <c r="C365" s="60" t="s">
        <v>20693</v>
      </c>
      <c r="D365" s="60" t="s">
        <v>672</v>
      </c>
      <c r="E365" s="60" t="s">
        <v>20694</v>
      </c>
      <c r="F365" s="61" t="s">
        <v>19422</v>
      </c>
      <c r="G365" s="62">
        <v>60.0</v>
      </c>
    </row>
    <row r="366" ht="71.25" customHeight="1">
      <c r="A366" s="60" t="s">
        <v>1336</v>
      </c>
      <c r="B366" s="60" t="s">
        <v>20695</v>
      </c>
      <c r="C366" s="60" t="s">
        <v>20696</v>
      </c>
      <c r="D366" s="60" t="s">
        <v>20255</v>
      </c>
      <c r="E366" s="60" t="s">
        <v>20697</v>
      </c>
      <c r="F366" s="61" t="s">
        <v>19423</v>
      </c>
      <c r="G366" s="62">
        <v>60.0</v>
      </c>
    </row>
    <row r="367" ht="71.25" customHeight="1">
      <c r="A367" s="60" t="s">
        <v>1191</v>
      </c>
      <c r="B367" s="60" t="s">
        <v>20698</v>
      </c>
      <c r="C367" s="60" t="s">
        <v>20699</v>
      </c>
      <c r="D367" s="60" t="s">
        <v>656</v>
      </c>
      <c r="E367" s="60" t="s">
        <v>20700</v>
      </c>
      <c r="F367" s="61" t="s">
        <v>19424</v>
      </c>
      <c r="G367" s="62">
        <v>60.0</v>
      </c>
    </row>
    <row r="368" ht="71.25" customHeight="1">
      <c r="A368" s="60" t="s">
        <v>1193</v>
      </c>
      <c r="B368" s="60" t="s">
        <v>20701</v>
      </c>
      <c r="C368" s="60" t="s">
        <v>20702</v>
      </c>
      <c r="D368" s="60" t="s">
        <v>159</v>
      </c>
      <c r="E368" s="60" t="s">
        <v>20703</v>
      </c>
      <c r="F368" s="61" t="s">
        <v>19425</v>
      </c>
      <c r="G368" s="62">
        <v>60.0</v>
      </c>
    </row>
    <row r="369" ht="71.25" customHeight="1">
      <c r="A369" s="60" t="s">
        <v>980</v>
      </c>
      <c r="B369" s="60" t="s">
        <v>20704</v>
      </c>
      <c r="C369" s="60" t="s">
        <v>20705</v>
      </c>
      <c r="D369" s="60" t="s">
        <v>20706</v>
      </c>
      <c r="E369" s="60" t="s">
        <v>20707</v>
      </c>
      <c r="F369" s="61" t="s">
        <v>19426</v>
      </c>
      <c r="G369" s="62">
        <v>60.0</v>
      </c>
    </row>
    <row r="370" ht="71.25" customHeight="1">
      <c r="A370" s="60" t="s">
        <v>841</v>
      </c>
      <c r="B370" s="60" t="s">
        <v>20708</v>
      </c>
      <c r="C370" s="60" t="s">
        <v>20709</v>
      </c>
      <c r="D370" s="60" t="s">
        <v>19620</v>
      </c>
      <c r="E370" s="60" t="s">
        <v>20710</v>
      </c>
      <c r="F370" s="61" t="s">
        <v>19427</v>
      </c>
      <c r="G370" s="62">
        <v>60.0</v>
      </c>
    </row>
    <row r="371" ht="71.25" customHeight="1">
      <c r="A371" s="60" t="s">
        <v>951</v>
      </c>
      <c r="B371" s="60" t="s">
        <v>20711</v>
      </c>
      <c r="C371" s="60" t="s">
        <v>20712</v>
      </c>
      <c r="D371" s="60" t="s">
        <v>656</v>
      </c>
      <c r="E371" s="60" t="s">
        <v>20713</v>
      </c>
      <c r="F371" s="61" t="s">
        <v>19428</v>
      </c>
      <c r="G371" s="62">
        <v>60.0</v>
      </c>
    </row>
    <row r="372" ht="71.25" customHeight="1">
      <c r="A372" s="60" t="s">
        <v>1477</v>
      </c>
      <c r="B372" s="60" t="s">
        <v>20714</v>
      </c>
      <c r="C372" s="60" t="s">
        <v>20715</v>
      </c>
      <c r="D372" s="60" t="s">
        <v>20248</v>
      </c>
      <c r="E372" s="60" t="s">
        <v>20716</v>
      </c>
      <c r="F372" s="61" t="s">
        <v>19429</v>
      </c>
      <c r="G372" s="62">
        <v>60.0</v>
      </c>
    </row>
    <row r="373" ht="71.25" customHeight="1">
      <c r="A373" s="60" t="s">
        <v>1233</v>
      </c>
      <c r="B373" s="60" t="s">
        <v>20717</v>
      </c>
      <c r="C373" s="60" t="s">
        <v>20718</v>
      </c>
      <c r="D373" s="60" t="s">
        <v>19649</v>
      </c>
      <c r="E373" s="60" t="s">
        <v>20719</v>
      </c>
      <c r="F373" s="61" t="s">
        <v>19430</v>
      </c>
      <c r="G373" s="62">
        <v>60.0</v>
      </c>
    </row>
    <row r="374" ht="71.25" customHeight="1">
      <c r="A374" s="60" t="s">
        <v>876</v>
      </c>
      <c r="B374" s="60" t="s">
        <v>20720</v>
      </c>
      <c r="C374" s="60" t="s">
        <v>20721</v>
      </c>
      <c r="D374" s="60" t="s">
        <v>20009</v>
      </c>
      <c r="E374" s="60" t="s">
        <v>20722</v>
      </c>
      <c r="F374" s="61" t="s">
        <v>19431</v>
      </c>
      <c r="G374" s="62">
        <v>60.0</v>
      </c>
    </row>
    <row r="375" ht="71.25" customHeight="1">
      <c r="A375" s="60" t="s">
        <v>1447</v>
      </c>
      <c r="B375" s="60" t="s">
        <v>20723</v>
      </c>
      <c r="C375" s="60" t="s">
        <v>20724</v>
      </c>
      <c r="D375" s="60" t="s">
        <v>20255</v>
      </c>
      <c r="E375" s="60" t="s">
        <v>20725</v>
      </c>
      <c r="F375" s="61" t="s">
        <v>19432</v>
      </c>
      <c r="G375" s="62">
        <v>60.0</v>
      </c>
    </row>
    <row r="376" ht="71.25" customHeight="1">
      <c r="A376" s="60" t="s">
        <v>1028</v>
      </c>
      <c r="B376" s="60" t="s">
        <v>20726</v>
      </c>
      <c r="C376" s="60" t="s">
        <v>20727</v>
      </c>
      <c r="D376" s="60" t="s">
        <v>20728</v>
      </c>
      <c r="E376" s="60" t="s">
        <v>20729</v>
      </c>
      <c r="F376" s="61" t="s">
        <v>19433</v>
      </c>
      <c r="G376" s="62">
        <v>60.0</v>
      </c>
    </row>
    <row r="377" ht="71.25" customHeight="1">
      <c r="A377" s="60" t="s">
        <v>898</v>
      </c>
      <c r="B377" s="60" t="s">
        <v>20730</v>
      </c>
      <c r="C377" s="60" t="s">
        <v>20731</v>
      </c>
      <c r="D377" s="60" t="s">
        <v>19906</v>
      </c>
      <c r="E377" s="60" t="s">
        <v>20732</v>
      </c>
      <c r="F377" s="61" t="s">
        <v>19434</v>
      </c>
      <c r="G377" s="62">
        <v>60.0</v>
      </c>
    </row>
    <row r="378" ht="71.25" customHeight="1">
      <c r="A378" s="60" t="s">
        <v>829</v>
      </c>
      <c r="B378" s="60" t="s">
        <v>20733</v>
      </c>
      <c r="C378" s="60" t="s">
        <v>20734</v>
      </c>
      <c r="D378" s="60" t="s">
        <v>19813</v>
      </c>
      <c r="E378" s="60" t="s">
        <v>20735</v>
      </c>
      <c r="F378" s="61" t="s">
        <v>19435</v>
      </c>
      <c r="G378" s="62">
        <v>60.0</v>
      </c>
    </row>
    <row r="379" ht="71.25" customHeight="1">
      <c r="A379" s="60" t="s">
        <v>486</v>
      </c>
      <c r="B379" s="60" t="s">
        <v>20736</v>
      </c>
      <c r="C379" s="60" t="s">
        <v>20737</v>
      </c>
      <c r="D379" s="60" t="s">
        <v>668</v>
      </c>
      <c r="E379" s="60" t="s">
        <v>20738</v>
      </c>
      <c r="F379" s="61" t="s">
        <v>19436</v>
      </c>
      <c r="G379" s="62">
        <v>55.0</v>
      </c>
    </row>
    <row r="380" ht="71.25" customHeight="1">
      <c r="A380" s="60" t="s">
        <v>1151</v>
      </c>
      <c r="B380" s="60" t="s">
        <v>20739</v>
      </c>
      <c r="C380" s="60" t="s">
        <v>20740</v>
      </c>
      <c r="D380" s="60" t="s">
        <v>19899</v>
      </c>
      <c r="E380" s="60" t="s">
        <v>20741</v>
      </c>
      <c r="F380" s="61" t="s">
        <v>19437</v>
      </c>
      <c r="G380" s="62">
        <v>55.0</v>
      </c>
    </row>
    <row r="381" ht="71.25" customHeight="1">
      <c r="A381" s="60" t="s">
        <v>124</v>
      </c>
      <c r="B381" s="60" t="s">
        <v>20742</v>
      </c>
      <c r="C381" s="60" t="s">
        <v>20743</v>
      </c>
      <c r="D381" s="60" t="s">
        <v>747</v>
      </c>
      <c r="E381" s="60" t="s">
        <v>20744</v>
      </c>
      <c r="F381" s="61" t="s">
        <v>19438</v>
      </c>
      <c r="G381" s="62">
        <v>55.0</v>
      </c>
    </row>
    <row r="382" ht="71.25" customHeight="1">
      <c r="A382" s="60" t="s">
        <v>19439</v>
      </c>
      <c r="B382" s="60" t="s">
        <v>20745</v>
      </c>
      <c r="C382" s="60" t="s">
        <v>20746</v>
      </c>
      <c r="D382" s="60" t="s">
        <v>20442</v>
      </c>
      <c r="E382" s="60" t="s">
        <v>20747</v>
      </c>
      <c r="F382" s="61" t="s">
        <v>19440</v>
      </c>
      <c r="G382" s="62">
        <v>55.0</v>
      </c>
    </row>
    <row r="383" ht="71.25" customHeight="1">
      <c r="A383" s="60" t="s">
        <v>1237</v>
      </c>
      <c r="B383" s="60" t="s">
        <v>20748</v>
      </c>
      <c r="C383" s="60" t="s">
        <v>1237</v>
      </c>
      <c r="D383" s="60" t="s">
        <v>19800</v>
      </c>
      <c r="E383" s="60" t="s">
        <v>20749</v>
      </c>
      <c r="F383" s="61" t="s">
        <v>19441</v>
      </c>
      <c r="G383" s="62">
        <v>55.0</v>
      </c>
    </row>
    <row r="384" ht="71.25" customHeight="1">
      <c r="A384" s="60" t="s">
        <v>1321</v>
      </c>
      <c r="B384" s="60" t="s">
        <v>20750</v>
      </c>
      <c r="C384" s="60" t="s">
        <v>20751</v>
      </c>
      <c r="D384" s="60" t="s">
        <v>20442</v>
      </c>
      <c r="E384" s="60" t="s">
        <v>20752</v>
      </c>
      <c r="F384" s="61" t="s">
        <v>19442</v>
      </c>
      <c r="G384" s="62">
        <v>55.0</v>
      </c>
    </row>
    <row r="385" ht="71.25" customHeight="1">
      <c r="A385" s="60" t="s">
        <v>542</v>
      </c>
      <c r="B385" s="60" t="s">
        <v>20753</v>
      </c>
      <c r="C385" s="60" t="s">
        <v>20754</v>
      </c>
      <c r="D385" s="60" t="s">
        <v>19627</v>
      </c>
      <c r="E385" s="60" t="s">
        <v>20755</v>
      </c>
      <c r="F385" s="61" t="s">
        <v>19443</v>
      </c>
      <c r="G385" s="62">
        <v>55.0</v>
      </c>
    </row>
    <row r="386" ht="71.25" customHeight="1">
      <c r="A386" s="60" t="s">
        <v>1248</v>
      </c>
      <c r="B386" s="60" t="s">
        <v>20756</v>
      </c>
      <c r="C386" s="60" t="s">
        <v>20757</v>
      </c>
      <c r="D386" s="60" t="s">
        <v>159</v>
      </c>
      <c r="E386" s="60" t="s">
        <v>20758</v>
      </c>
      <c r="F386" s="61" t="s">
        <v>19444</v>
      </c>
      <c r="G386" s="62">
        <v>55.0</v>
      </c>
    </row>
    <row r="387" ht="71.25" customHeight="1">
      <c r="A387" s="60" t="s">
        <v>19445</v>
      </c>
      <c r="B387" s="60" t="s">
        <v>20759</v>
      </c>
      <c r="C387" s="60" t="s">
        <v>20760</v>
      </c>
      <c r="D387" s="60" t="s">
        <v>19885</v>
      </c>
      <c r="E387" s="60" t="s">
        <v>20761</v>
      </c>
      <c r="F387" s="61" t="s">
        <v>19446</v>
      </c>
      <c r="G387" s="62">
        <v>55.0</v>
      </c>
    </row>
    <row r="388" ht="71.25" customHeight="1">
      <c r="A388" s="60" t="s">
        <v>1517</v>
      </c>
      <c r="B388" s="60" t="s">
        <v>20762</v>
      </c>
      <c r="C388" s="60" t="s">
        <v>20763</v>
      </c>
      <c r="D388" s="60" t="s">
        <v>314</v>
      </c>
      <c r="E388" s="60" t="s">
        <v>20764</v>
      </c>
      <c r="F388" s="61" t="s">
        <v>19447</v>
      </c>
      <c r="G388" s="62">
        <v>55.0</v>
      </c>
    </row>
    <row r="389" ht="71.25" customHeight="1">
      <c r="A389" s="60" t="s">
        <v>1123</v>
      </c>
      <c r="B389" s="60" t="s">
        <v>20765</v>
      </c>
      <c r="C389" s="60" t="s">
        <v>20766</v>
      </c>
      <c r="D389" s="60" t="s">
        <v>19645</v>
      </c>
      <c r="E389" s="60" t="s">
        <v>20767</v>
      </c>
      <c r="F389" s="61" t="s">
        <v>19448</v>
      </c>
      <c r="G389" s="62">
        <v>55.0</v>
      </c>
    </row>
    <row r="390" ht="71.25" customHeight="1">
      <c r="A390" s="60" t="s">
        <v>1139</v>
      </c>
      <c r="B390" s="60" t="s">
        <v>20768</v>
      </c>
      <c r="C390" s="60" t="s">
        <v>20769</v>
      </c>
      <c r="D390" s="60" t="s">
        <v>20255</v>
      </c>
      <c r="E390" s="60" t="s">
        <v>20770</v>
      </c>
      <c r="F390" s="61" t="s">
        <v>19449</v>
      </c>
      <c r="G390" s="62">
        <v>55.0</v>
      </c>
    </row>
    <row r="391" ht="71.25" customHeight="1">
      <c r="A391" s="60" t="s">
        <v>1599</v>
      </c>
      <c r="B391" s="60" t="s">
        <v>20771</v>
      </c>
      <c r="C391" s="60" t="s">
        <v>20772</v>
      </c>
      <c r="D391" s="60" t="s">
        <v>19551</v>
      </c>
      <c r="E391" s="60" t="s">
        <v>20773</v>
      </c>
      <c r="F391" s="61" t="s">
        <v>19450</v>
      </c>
      <c r="G391" s="62">
        <v>55.0</v>
      </c>
    </row>
    <row r="392" ht="71.25" customHeight="1">
      <c r="A392" s="60" t="s">
        <v>609</v>
      </c>
      <c r="B392" s="60" t="s">
        <v>20774</v>
      </c>
      <c r="C392" s="60" t="s">
        <v>20775</v>
      </c>
      <c r="D392" s="60" t="s">
        <v>656</v>
      </c>
      <c r="E392" s="60" t="s">
        <v>20776</v>
      </c>
      <c r="F392" s="61" t="s">
        <v>19451</v>
      </c>
      <c r="G392" s="62">
        <v>55.0</v>
      </c>
    </row>
    <row r="393" ht="71.25" customHeight="1">
      <c r="A393" s="60" t="s">
        <v>142</v>
      </c>
      <c r="B393" s="60" t="s">
        <v>20777</v>
      </c>
      <c r="C393" s="60" t="s">
        <v>20778</v>
      </c>
      <c r="D393" s="60" t="s">
        <v>19941</v>
      </c>
      <c r="E393" s="60" t="s">
        <v>20779</v>
      </c>
      <c r="F393" s="61" t="s">
        <v>19452</v>
      </c>
      <c r="G393" s="62">
        <v>55.0</v>
      </c>
    </row>
    <row r="394" ht="71.25" customHeight="1">
      <c r="A394" s="60" t="s">
        <v>1313</v>
      </c>
      <c r="B394" s="60" t="s">
        <v>20780</v>
      </c>
      <c r="C394" s="60" t="s">
        <v>20781</v>
      </c>
      <c r="D394" s="60" t="s">
        <v>19598</v>
      </c>
      <c r="E394" s="60" t="s">
        <v>20782</v>
      </c>
      <c r="F394" s="61" t="s">
        <v>19453</v>
      </c>
      <c r="G394" s="62">
        <v>55.0</v>
      </c>
    </row>
    <row r="395" ht="71.25" customHeight="1">
      <c r="A395" s="60" t="s">
        <v>929</v>
      </c>
      <c r="B395" s="60" t="s">
        <v>20783</v>
      </c>
      <c r="C395" s="60" t="s">
        <v>20784</v>
      </c>
      <c r="D395" s="60" t="s">
        <v>668</v>
      </c>
      <c r="E395" s="60" t="s">
        <v>20785</v>
      </c>
      <c r="F395" s="61" t="s">
        <v>19454</v>
      </c>
      <c r="G395" s="62">
        <v>55.0</v>
      </c>
    </row>
    <row r="396" ht="71.25" customHeight="1">
      <c r="A396" s="60" t="s">
        <v>1414</v>
      </c>
      <c r="B396" s="60" t="s">
        <v>20786</v>
      </c>
      <c r="C396" s="60" t="s">
        <v>20787</v>
      </c>
      <c r="D396" s="60" t="s">
        <v>19706</v>
      </c>
      <c r="E396" s="60" t="s">
        <v>20788</v>
      </c>
      <c r="F396" s="61" t="s">
        <v>19455</v>
      </c>
      <c r="G396" s="62">
        <v>55.0</v>
      </c>
    </row>
    <row r="397" ht="71.25" customHeight="1">
      <c r="A397" s="60" t="s">
        <v>1256</v>
      </c>
      <c r="B397" s="60" t="s">
        <v>20789</v>
      </c>
      <c r="C397" s="60" t="s">
        <v>1256</v>
      </c>
      <c r="D397" s="60" t="s">
        <v>20165</v>
      </c>
      <c r="E397" s="60" t="s">
        <v>20790</v>
      </c>
      <c r="F397" s="61" t="s">
        <v>19456</v>
      </c>
      <c r="G397" s="62">
        <v>55.0</v>
      </c>
    </row>
    <row r="398" ht="71.25" customHeight="1">
      <c r="A398" s="60" t="s">
        <v>1317</v>
      </c>
      <c r="B398" s="60" t="s">
        <v>20791</v>
      </c>
      <c r="C398" s="60" t="s">
        <v>20792</v>
      </c>
      <c r="D398" s="60" t="s">
        <v>751</v>
      </c>
      <c r="E398" s="60" t="s">
        <v>20793</v>
      </c>
      <c r="F398" s="61" t="s">
        <v>19457</v>
      </c>
      <c r="G398" s="62">
        <v>55.0</v>
      </c>
    </row>
    <row r="399" ht="71.25" customHeight="1">
      <c r="A399" s="60" t="s">
        <v>1315</v>
      </c>
      <c r="B399" s="60" t="s">
        <v>20794</v>
      </c>
      <c r="C399" s="60" t="s">
        <v>20795</v>
      </c>
      <c r="D399" s="60" t="s">
        <v>702</v>
      </c>
      <c r="E399" s="60" t="s">
        <v>20796</v>
      </c>
      <c r="F399" s="61" t="s">
        <v>19458</v>
      </c>
      <c r="G399" s="62">
        <v>55.0</v>
      </c>
    </row>
    <row r="400" ht="71.25" customHeight="1">
      <c r="A400" s="60" t="s">
        <v>995</v>
      </c>
      <c r="B400" s="60" t="s">
        <v>20797</v>
      </c>
      <c r="C400" s="60" t="s">
        <v>20798</v>
      </c>
      <c r="D400" s="60" t="s">
        <v>19641</v>
      </c>
      <c r="E400" s="60" t="s">
        <v>20799</v>
      </c>
      <c r="F400" s="61" t="s">
        <v>19459</v>
      </c>
      <c r="G400" s="62">
        <v>55.0</v>
      </c>
    </row>
    <row r="401" ht="71.25" customHeight="1">
      <c r="A401" s="60" t="s">
        <v>1319</v>
      </c>
      <c r="B401" s="60" t="s">
        <v>20800</v>
      </c>
      <c r="C401" s="60" t="s">
        <v>20801</v>
      </c>
      <c r="D401" s="60" t="s">
        <v>19732</v>
      </c>
      <c r="E401" s="60" t="s">
        <v>20802</v>
      </c>
      <c r="F401" s="61" t="s">
        <v>19460</v>
      </c>
      <c r="G401" s="62">
        <v>55.0</v>
      </c>
    </row>
    <row r="402" ht="71.25" customHeight="1">
      <c r="A402" s="60" t="s">
        <v>1549</v>
      </c>
      <c r="B402" s="60" t="s">
        <v>20803</v>
      </c>
      <c r="C402" s="60" t="s">
        <v>20804</v>
      </c>
      <c r="D402" s="60" t="s">
        <v>20127</v>
      </c>
      <c r="E402" s="60" t="s">
        <v>20805</v>
      </c>
      <c r="F402" s="61" t="s">
        <v>19461</v>
      </c>
      <c r="G402" s="62">
        <v>55.0</v>
      </c>
    </row>
    <row r="403" ht="71.25" customHeight="1">
      <c r="A403" s="60" t="s">
        <v>823</v>
      </c>
      <c r="B403" s="60" t="s">
        <v>20806</v>
      </c>
      <c r="C403" s="60" t="s">
        <v>20807</v>
      </c>
      <c r="D403" s="60" t="s">
        <v>19641</v>
      </c>
      <c r="E403" s="60" t="s">
        <v>20808</v>
      </c>
      <c r="F403" s="61" t="s">
        <v>19462</v>
      </c>
      <c r="G403" s="62">
        <v>55.0</v>
      </c>
    </row>
    <row r="404" ht="71.25" customHeight="1">
      <c r="A404" s="60" t="s">
        <v>906</v>
      </c>
      <c r="B404" s="60" t="s">
        <v>20809</v>
      </c>
      <c r="C404" s="60" t="s">
        <v>20810</v>
      </c>
      <c r="D404" s="60" t="s">
        <v>107</v>
      </c>
      <c r="E404" s="60" t="s">
        <v>20811</v>
      </c>
      <c r="F404" s="61" t="s">
        <v>19463</v>
      </c>
      <c r="G404" s="62">
        <v>55.0</v>
      </c>
    </row>
    <row r="405" ht="71.25" customHeight="1">
      <c r="A405" s="60" t="s">
        <v>1375</v>
      </c>
      <c r="B405" s="60" t="s">
        <v>20812</v>
      </c>
      <c r="C405" s="60" t="s">
        <v>20813</v>
      </c>
      <c r="D405" s="60" t="s">
        <v>19662</v>
      </c>
      <c r="E405" s="60" t="s">
        <v>20814</v>
      </c>
      <c r="F405" s="61" t="s">
        <v>19464</v>
      </c>
      <c r="G405" s="62">
        <v>55.0</v>
      </c>
    </row>
    <row r="406" ht="71.25" customHeight="1">
      <c r="A406" s="60" t="s">
        <v>1524</v>
      </c>
      <c r="B406" s="60" t="s">
        <v>20815</v>
      </c>
      <c r="C406" s="60" t="s">
        <v>20816</v>
      </c>
      <c r="D406" s="60" t="s">
        <v>19941</v>
      </c>
      <c r="E406" s="60" t="s">
        <v>20817</v>
      </c>
      <c r="F406" s="61" t="s">
        <v>19465</v>
      </c>
      <c r="G406" s="62">
        <v>55.0</v>
      </c>
    </row>
    <row r="407" ht="71.25" customHeight="1">
      <c r="A407" s="60" t="s">
        <v>1389</v>
      </c>
      <c r="B407" s="60" t="s">
        <v>20818</v>
      </c>
      <c r="C407" s="60" t="s">
        <v>20819</v>
      </c>
      <c r="D407" s="60" t="s">
        <v>19598</v>
      </c>
      <c r="E407" s="60" t="s">
        <v>20820</v>
      </c>
      <c r="F407" s="61" t="s">
        <v>19466</v>
      </c>
      <c r="G407" s="62">
        <v>55.0</v>
      </c>
    </row>
    <row r="408" ht="71.25" customHeight="1">
      <c r="A408" s="60" t="s">
        <v>1427</v>
      </c>
      <c r="B408" s="60" t="s">
        <v>20821</v>
      </c>
      <c r="C408" s="60" t="s">
        <v>20822</v>
      </c>
      <c r="D408" s="60" t="s">
        <v>20823</v>
      </c>
      <c r="E408" s="60" t="s">
        <v>20824</v>
      </c>
      <c r="F408" s="61" t="s">
        <v>19467</v>
      </c>
      <c r="G408" s="62">
        <v>55.0</v>
      </c>
    </row>
    <row r="409" ht="71.25" customHeight="1">
      <c r="A409" s="60" t="s">
        <v>296</v>
      </c>
      <c r="B409" s="60" t="s">
        <v>20825</v>
      </c>
      <c r="C409" s="60" t="s">
        <v>20826</v>
      </c>
      <c r="D409" s="60" t="s">
        <v>309</v>
      </c>
      <c r="E409" s="60" t="s">
        <v>20827</v>
      </c>
      <c r="F409" s="61" t="s">
        <v>19468</v>
      </c>
      <c r="G409" s="62">
        <v>55.0</v>
      </c>
    </row>
    <row r="410" ht="71.25" customHeight="1">
      <c r="A410" s="60" t="s">
        <v>1558</v>
      </c>
      <c r="B410" s="60" t="s">
        <v>20828</v>
      </c>
      <c r="C410" s="60" t="s">
        <v>20829</v>
      </c>
      <c r="D410" s="60" t="s">
        <v>20830</v>
      </c>
      <c r="E410" s="60" t="s">
        <v>20831</v>
      </c>
      <c r="F410" s="61" t="s">
        <v>19469</v>
      </c>
      <c r="G410" s="62">
        <v>55.0</v>
      </c>
    </row>
    <row r="411" ht="71.25" customHeight="1">
      <c r="A411" s="60" t="s">
        <v>805</v>
      </c>
      <c r="B411" s="60" t="s">
        <v>20832</v>
      </c>
      <c r="C411" s="60" t="s">
        <v>20833</v>
      </c>
      <c r="D411" s="60" t="s">
        <v>634</v>
      </c>
      <c r="E411" s="60" t="s">
        <v>20834</v>
      </c>
      <c r="F411" s="61" t="s">
        <v>19470</v>
      </c>
      <c r="G411" s="62">
        <v>55.0</v>
      </c>
    </row>
    <row r="412" ht="71.25" customHeight="1">
      <c r="A412" s="60" t="s">
        <v>1495</v>
      </c>
      <c r="B412" s="60" t="s">
        <v>20835</v>
      </c>
      <c r="C412" s="60" t="s">
        <v>20836</v>
      </c>
      <c r="D412" s="60" t="s">
        <v>634</v>
      </c>
      <c r="E412" s="60" t="s">
        <v>20837</v>
      </c>
      <c r="F412" s="61" t="s">
        <v>19471</v>
      </c>
      <c r="G412" s="62">
        <v>55.0</v>
      </c>
    </row>
    <row r="413" ht="71.25" customHeight="1">
      <c r="A413" s="60" t="s">
        <v>1089</v>
      </c>
      <c r="B413" s="60" t="s">
        <v>20838</v>
      </c>
      <c r="C413" s="60" t="s">
        <v>20839</v>
      </c>
      <c r="D413" s="60" t="s">
        <v>19941</v>
      </c>
      <c r="E413" s="60" t="s">
        <v>20840</v>
      </c>
      <c r="F413" s="61" t="s">
        <v>19472</v>
      </c>
      <c r="G413" s="62">
        <v>55.0</v>
      </c>
    </row>
    <row r="414" ht="71.25" customHeight="1">
      <c r="A414" s="60" t="s">
        <v>1410</v>
      </c>
      <c r="B414" s="60" t="s">
        <v>20841</v>
      </c>
      <c r="C414" s="60" t="s">
        <v>20842</v>
      </c>
      <c r="D414" s="60" t="s">
        <v>19706</v>
      </c>
      <c r="E414" s="60" t="s">
        <v>20843</v>
      </c>
      <c r="F414" s="61" t="s">
        <v>19473</v>
      </c>
      <c r="G414" s="62">
        <v>55.0</v>
      </c>
    </row>
    <row r="415" ht="71.25" customHeight="1">
      <c r="A415" s="60" t="s">
        <v>423</v>
      </c>
      <c r="B415" s="60" t="s">
        <v>20844</v>
      </c>
      <c r="C415" s="60" t="s">
        <v>20845</v>
      </c>
      <c r="D415" s="60" t="s">
        <v>19572</v>
      </c>
      <c r="E415" s="60" t="s">
        <v>20846</v>
      </c>
      <c r="F415" s="61" t="s">
        <v>19474</v>
      </c>
      <c r="G415" s="62">
        <v>55.0</v>
      </c>
    </row>
    <row r="416" ht="71.25" customHeight="1">
      <c r="A416" s="60" t="s">
        <v>167</v>
      </c>
      <c r="B416" s="60" t="s">
        <v>20847</v>
      </c>
      <c r="C416" s="60" t="s">
        <v>20848</v>
      </c>
      <c r="D416" s="60" t="s">
        <v>20158</v>
      </c>
      <c r="E416" s="60" t="s">
        <v>20849</v>
      </c>
      <c r="F416" s="61" t="s">
        <v>19475</v>
      </c>
      <c r="G416" s="62">
        <v>55.0</v>
      </c>
    </row>
    <row r="417" ht="71.25" customHeight="1">
      <c r="A417" s="60" t="s">
        <v>1266</v>
      </c>
      <c r="B417" s="60" t="s">
        <v>20850</v>
      </c>
      <c r="C417" s="60" t="s">
        <v>20851</v>
      </c>
      <c r="D417" s="60" t="s">
        <v>702</v>
      </c>
      <c r="E417" s="60" t="s">
        <v>20852</v>
      </c>
      <c r="F417" s="61" t="s">
        <v>19476</v>
      </c>
      <c r="G417" s="62">
        <v>55.0</v>
      </c>
    </row>
    <row r="418" ht="71.25" customHeight="1">
      <c r="A418" s="60" t="s">
        <v>1074</v>
      </c>
      <c r="B418" s="60" t="s">
        <v>20853</v>
      </c>
      <c r="C418" s="60" t="s">
        <v>20854</v>
      </c>
      <c r="D418" s="60" t="s">
        <v>20855</v>
      </c>
      <c r="E418" s="60" t="s">
        <v>20856</v>
      </c>
      <c r="F418" s="61" t="s">
        <v>19477</v>
      </c>
      <c r="G418" s="62">
        <v>55.0</v>
      </c>
    </row>
    <row r="419" ht="71.25" customHeight="1">
      <c r="A419" s="60" t="s">
        <v>1454</v>
      </c>
      <c r="B419" s="60" t="s">
        <v>20857</v>
      </c>
      <c r="C419" s="60" t="s">
        <v>20858</v>
      </c>
      <c r="D419" s="60" t="s">
        <v>20859</v>
      </c>
      <c r="E419" s="60" t="s">
        <v>20860</v>
      </c>
      <c r="F419" s="61" t="s">
        <v>19478</v>
      </c>
      <c r="G419" s="62">
        <v>55.0</v>
      </c>
    </row>
    <row r="420" ht="71.25" customHeight="1">
      <c r="A420" s="60" t="s">
        <v>1291</v>
      </c>
      <c r="B420" s="60" t="s">
        <v>20861</v>
      </c>
      <c r="C420" s="60" t="s">
        <v>20862</v>
      </c>
      <c r="D420" s="60" t="s">
        <v>20863</v>
      </c>
      <c r="E420" s="60" t="s">
        <v>20864</v>
      </c>
      <c r="F420" s="61" t="s">
        <v>19479</v>
      </c>
      <c r="G420" s="62">
        <v>55.0</v>
      </c>
    </row>
    <row r="421" ht="71.25" customHeight="1">
      <c r="A421" s="60" t="s">
        <v>1245</v>
      </c>
      <c r="B421" s="60" t="s">
        <v>20865</v>
      </c>
      <c r="C421" s="60" t="s">
        <v>20866</v>
      </c>
      <c r="D421" s="60" t="s">
        <v>19706</v>
      </c>
      <c r="E421" s="60" t="s">
        <v>20867</v>
      </c>
      <c r="F421" s="61" t="s">
        <v>19480</v>
      </c>
      <c r="G421" s="62">
        <v>55.0</v>
      </c>
    </row>
    <row r="422" ht="71.25" customHeight="1">
      <c r="A422" s="60" t="s">
        <v>274</v>
      </c>
      <c r="B422" s="60" t="s">
        <v>20868</v>
      </c>
      <c r="C422" s="60" t="s">
        <v>20869</v>
      </c>
      <c r="D422" s="60" t="s">
        <v>20077</v>
      </c>
      <c r="E422" s="60" t="s">
        <v>20870</v>
      </c>
      <c r="F422" s="61" t="s">
        <v>19481</v>
      </c>
      <c r="G422" s="62">
        <v>55.0</v>
      </c>
    </row>
    <row r="423" ht="71.25" customHeight="1">
      <c r="A423" s="60" t="s">
        <v>873</v>
      </c>
      <c r="B423" s="60" t="s">
        <v>20871</v>
      </c>
      <c r="C423" s="60" t="s">
        <v>20872</v>
      </c>
      <c r="D423" s="60" t="s">
        <v>19986</v>
      </c>
      <c r="E423" s="60" t="s">
        <v>20873</v>
      </c>
      <c r="F423" s="61" t="s">
        <v>19482</v>
      </c>
      <c r="G423" s="62">
        <v>55.0</v>
      </c>
    </row>
    <row r="424" ht="71.25" customHeight="1">
      <c r="A424" s="60" t="s">
        <v>1325</v>
      </c>
      <c r="B424" s="60" t="s">
        <v>20874</v>
      </c>
      <c r="C424" s="60" t="s">
        <v>20875</v>
      </c>
      <c r="D424" s="60" t="s">
        <v>19699</v>
      </c>
      <c r="E424" s="60" t="s">
        <v>20876</v>
      </c>
      <c r="F424" s="61" t="s">
        <v>19483</v>
      </c>
      <c r="G424" s="62">
        <v>55.0</v>
      </c>
    </row>
    <row r="425" ht="71.25" customHeight="1">
      <c r="A425" s="60" t="s">
        <v>1231</v>
      </c>
      <c r="B425" s="60" t="s">
        <v>20877</v>
      </c>
      <c r="C425" s="60" t="s">
        <v>20878</v>
      </c>
      <c r="D425" s="60" t="s">
        <v>19598</v>
      </c>
      <c r="E425" s="60" t="s">
        <v>20879</v>
      </c>
      <c r="F425" s="61" t="s">
        <v>19484</v>
      </c>
      <c r="G425" s="62">
        <v>55.0</v>
      </c>
    </row>
    <row r="426" ht="71.25" customHeight="1">
      <c r="A426" s="60" t="s">
        <v>1065</v>
      </c>
      <c r="B426" s="60" t="s">
        <v>20880</v>
      </c>
      <c r="C426" s="60" t="s">
        <v>20881</v>
      </c>
      <c r="D426" s="60" t="s">
        <v>20855</v>
      </c>
      <c r="E426" s="60" t="s">
        <v>20882</v>
      </c>
      <c r="F426" s="61" t="s">
        <v>19485</v>
      </c>
      <c r="G426" s="62">
        <v>45.0</v>
      </c>
    </row>
    <row r="427" ht="71.25" customHeight="1">
      <c r="A427" s="60" t="s">
        <v>1023</v>
      </c>
      <c r="B427" s="60" t="s">
        <v>20883</v>
      </c>
      <c r="C427" s="60" t="s">
        <v>20884</v>
      </c>
      <c r="D427" s="60" t="s">
        <v>19706</v>
      </c>
      <c r="E427" s="60" t="s">
        <v>20885</v>
      </c>
      <c r="F427" s="61" t="s">
        <v>19486</v>
      </c>
      <c r="G427" s="62">
        <v>45.0</v>
      </c>
    </row>
    <row r="428" ht="71.25" customHeight="1">
      <c r="A428" s="60" t="s">
        <v>1608</v>
      </c>
      <c r="B428" s="60" t="s">
        <v>20886</v>
      </c>
      <c r="C428" s="60" t="s">
        <v>20887</v>
      </c>
      <c r="D428" s="60" t="s">
        <v>682</v>
      </c>
      <c r="E428" s="60" t="s">
        <v>20888</v>
      </c>
      <c r="F428" s="61" t="s">
        <v>19487</v>
      </c>
      <c r="G428" s="62">
        <v>45.0</v>
      </c>
    </row>
    <row r="429" ht="71.25" customHeight="1">
      <c r="A429" s="60" t="s">
        <v>1243</v>
      </c>
      <c r="B429" s="60" t="s">
        <v>20889</v>
      </c>
      <c r="C429" s="60" t="s">
        <v>20890</v>
      </c>
      <c r="D429" s="60" t="s">
        <v>729</v>
      </c>
      <c r="E429" s="60" t="s">
        <v>20891</v>
      </c>
      <c r="F429" s="61" t="s">
        <v>19488</v>
      </c>
      <c r="G429" s="62">
        <v>45.0</v>
      </c>
    </row>
    <row r="430" ht="71.25" customHeight="1">
      <c r="A430" s="60" t="s">
        <v>1149</v>
      </c>
      <c r="B430" s="60" t="s">
        <v>20892</v>
      </c>
      <c r="C430" s="60" t="s">
        <v>20893</v>
      </c>
      <c r="D430" s="60" t="s">
        <v>19662</v>
      </c>
      <c r="E430" s="60" t="s">
        <v>20894</v>
      </c>
      <c r="F430" s="61" t="s">
        <v>19489</v>
      </c>
      <c r="G430" s="62">
        <v>45.0</v>
      </c>
    </row>
    <row r="431" ht="71.25" customHeight="1">
      <c r="A431" s="60" t="s">
        <v>1153</v>
      </c>
      <c r="B431" s="60" t="s">
        <v>20895</v>
      </c>
      <c r="C431" s="60" t="s">
        <v>20896</v>
      </c>
      <c r="D431" s="60" t="s">
        <v>19699</v>
      </c>
      <c r="E431" s="60" t="s">
        <v>20897</v>
      </c>
      <c r="F431" s="61" t="s">
        <v>19490</v>
      </c>
      <c r="G431" s="62">
        <v>45.0</v>
      </c>
    </row>
    <row r="432" ht="71.25" customHeight="1">
      <c r="A432" s="60" t="s">
        <v>1179</v>
      </c>
      <c r="B432" s="60" t="s">
        <v>20898</v>
      </c>
      <c r="C432" s="60" t="s">
        <v>20899</v>
      </c>
      <c r="D432" s="60" t="s">
        <v>20507</v>
      </c>
      <c r="E432" s="60" t="s">
        <v>20900</v>
      </c>
      <c r="F432" s="61" t="s">
        <v>19491</v>
      </c>
      <c r="G432" s="62">
        <v>45.0</v>
      </c>
    </row>
    <row r="433" ht="71.25" customHeight="1">
      <c r="A433" s="60" t="s">
        <v>1472</v>
      </c>
      <c r="B433" s="60" t="s">
        <v>20901</v>
      </c>
      <c r="C433" s="60" t="s">
        <v>20902</v>
      </c>
      <c r="D433" s="60" t="s">
        <v>658</v>
      </c>
      <c r="E433" s="60" t="s">
        <v>20903</v>
      </c>
      <c r="F433" s="61" t="s">
        <v>19492</v>
      </c>
      <c r="G433" s="62">
        <v>45.0</v>
      </c>
    </row>
    <row r="434" ht="71.25" customHeight="1">
      <c r="A434" s="60" t="s">
        <v>1334</v>
      </c>
      <c r="B434" s="60" t="s">
        <v>20904</v>
      </c>
      <c r="C434" s="60" t="s">
        <v>20905</v>
      </c>
      <c r="D434" s="60" t="s">
        <v>719</v>
      </c>
      <c r="E434" s="60" t="s">
        <v>20906</v>
      </c>
      <c r="F434" s="61" t="s">
        <v>19493</v>
      </c>
      <c r="G434" s="62">
        <v>45.0</v>
      </c>
    </row>
    <row r="435" ht="71.25" customHeight="1">
      <c r="A435" s="60" t="s">
        <v>19494</v>
      </c>
      <c r="B435" s="60" t="s">
        <v>20907</v>
      </c>
      <c r="C435" s="60" t="s">
        <v>20908</v>
      </c>
      <c r="D435" s="60" t="s">
        <v>20100</v>
      </c>
      <c r="E435" s="60" t="s">
        <v>20909</v>
      </c>
      <c r="F435" s="61" t="s">
        <v>19495</v>
      </c>
      <c r="G435" s="62">
        <v>45.0</v>
      </c>
    </row>
    <row r="436" ht="71.25" customHeight="1">
      <c r="A436" s="60" t="s">
        <v>1354</v>
      </c>
      <c r="B436" s="60" t="s">
        <v>20910</v>
      </c>
      <c r="C436" s="60" t="s">
        <v>20911</v>
      </c>
      <c r="D436" s="60" t="s">
        <v>751</v>
      </c>
      <c r="E436" s="60" t="s">
        <v>20912</v>
      </c>
      <c r="F436" s="61" t="s">
        <v>19496</v>
      </c>
      <c r="G436" s="62">
        <v>45.0</v>
      </c>
    </row>
    <row r="437" ht="71.25" customHeight="1">
      <c r="A437" s="60" t="s">
        <v>949</v>
      </c>
      <c r="B437" s="60" t="s">
        <v>20913</v>
      </c>
      <c r="C437" s="60" t="s">
        <v>20914</v>
      </c>
      <c r="D437" s="60" t="s">
        <v>668</v>
      </c>
      <c r="E437" s="60" t="s">
        <v>20915</v>
      </c>
      <c r="F437" s="61" t="s">
        <v>19497</v>
      </c>
      <c r="G437" s="62">
        <v>45.0</v>
      </c>
    </row>
    <row r="438" ht="71.25" customHeight="1">
      <c r="A438" s="60" t="s">
        <v>168</v>
      </c>
      <c r="B438" s="60" t="s">
        <v>20916</v>
      </c>
      <c r="C438" s="60" t="s">
        <v>20917</v>
      </c>
      <c r="D438" s="60" t="s">
        <v>734</v>
      </c>
      <c r="E438" s="60" t="s">
        <v>20918</v>
      </c>
      <c r="F438" s="61" t="s">
        <v>19498</v>
      </c>
      <c r="G438" s="62">
        <v>45.0</v>
      </c>
    </row>
    <row r="439" ht="71.25" customHeight="1">
      <c r="A439" s="60" t="s">
        <v>1433</v>
      </c>
      <c r="B439" s="60" t="s">
        <v>20919</v>
      </c>
      <c r="C439" s="60" t="s">
        <v>20920</v>
      </c>
      <c r="D439" s="60" t="s">
        <v>19706</v>
      </c>
      <c r="E439" s="60" t="s">
        <v>20921</v>
      </c>
      <c r="F439" s="61" t="s">
        <v>19499</v>
      </c>
      <c r="G439" s="62">
        <v>45.0</v>
      </c>
    </row>
    <row r="440" ht="71.25" customHeight="1">
      <c r="A440" s="60" t="s">
        <v>1466</v>
      </c>
      <c r="B440" s="60" t="s">
        <v>20922</v>
      </c>
      <c r="C440" s="60" t="s">
        <v>20923</v>
      </c>
      <c r="D440" s="60" t="s">
        <v>19823</v>
      </c>
      <c r="E440" s="60" t="s">
        <v>20924</v>
      </c>
      <c r="F440" s="61" t="s">
        <v>19500</v>
      </c>
      <c r="G440" s="62">
        <v>45.0</v>
      </c>
    </row>
    <row r="441" ht="71.25" customHeight="1">
      <c r="A441" s="60" t="s">
        <v>4609</v>
      </c>
      <c r="B441" s="60" t="s">
        <v>20925</v>
      </c>
      <c r="C441" s="60" t="s">
        <v>20926</v>
      </c>
      <c r="D441" s="60" t="s">
        <v>747</v>
      </c>
      <c r="E441" s="60" t="s">
        <v>20927</v>
      </c>
      <c r="F441" s="61" t="s">
        <v>19501</v>
      </c>
      <c r="G441" s="62">
        <v>45.0</v>
      </c>
    </row>
    <row r="442" ht="71.25" customHeight="1">
      <c r="A442" s="60" t="s">
        <v>1100</v>
      </c>
      <c r="B442" s="60" t="s">
        <v>20928</v>
      </c>
      <c r="C442" s="60" t="s">
        <v>20929</v>
      </c>
      <c r="D442" s="60" t="s">
        <v>742</v>
      </c>
      <c r="E442" s="60" t="s">
        <v>20930</v>
      </c>
      <c r="F442" s="61" t="s">
        <v>19502</v>
      </c>
      <c r="G442" s="62">
        <v>45.0</v>
      </c>
    </row>
    <row r="443" ht="71.25" customHeight="1">
      <c r="A443" s="60" t="s">
        <v>1195</v>
      </c>
      <c r="B443" s="60" t="s">
        <v>20931</v>
      </c>
      <c r="C443" s="60" t="s">
        <v>20932</v>
      </c>
      <c r="D443" s="60" t="s">
        <v>755</v>
      </c>
      <c r="E443" s="60" t="s">
        <v>20933</v>
      </c>
      <c r="F443" s="61" t="s">
        <v>19503</v>
      </c>
      <c r="G443" s="62">
        <v>40.0</v>
      </c>
    </row>
    <row r="444" ht="71.25" customHeight="1">
      <c r="A444" s="60" t="s">
        <v>217</v>
      </c>
      <c r="B444" s="60" t="s">
        <v>20934</v>
      </c>
      <c r="C444" s="60" t="s">
        <v>20935</v>
      </c>
      <c r="D444" s="60" t="s">
        <v>159</v>
      </c>
      <c r="E444" s="60" t="s">
        <v>20936</v>
      </c>
      <c r="F444" s="61" t="s">
        <v>19504</v>
      </c>
      <c r="G444" s="62">
        <v>40.0</v>
      </c>
    </row>
    <row r="445" ht="71.25" customHeight="1">
      <c r="A445" s="60" t="s">
        <v>1641</v>
      </c>
      <c r="B445" s="60" t="s">
        <v>20937</v>
      </c>
      <c r="C445" s="60" t="s">
        <v>20938</v>
      </c>
      <c r="D445" s="60" t="s">
        <v>20255</v>
      </c>
      <c r="E445" s="60" t="s">
        <v>20939</v>
      </c>
      <c r="F445" s="61" t="s">
        <v>19505</v>
      </c>
      <c r="G445" s="62">
        <v>40.0</v>
      </c>
    </row>
    <row r="446" ht="71.25" customHeight="1">
      <c r="A446" s="60" t="s">
        <v>1010</v>
      </c>
      <c r="B446" s="60" t="s">
        <v>20940</v>
      </c>
      <c r="C446" s="60" t="s">
        <v>20941</v>
      </c>
      <c r="D446" s="60" t="s">
        <v>20706</v>
      </c>
      <c r="E446" s="60" t="s">
        <v>20942</v>
      </c>
      <c r="F446" s="61" t="s">
        <v>19506</v>
      </c>
      <c r="G446" s="62">
        <v>35.0</v>
      </c>
    </row>
    <row r="447" ht="71.25" customHeight="1">
      <c r="A447" s="60" t="s">
        <v>1067</v>
      </c>
      <c r="B447" s="60" t="s">
        <v>20943</v>
      </c>
      <c r="C447" s="60" t="s">
        <v>20944</v>
      </c>
      <c r="D447" s="60" t="s">
        <v>702</v>
      </c>
      <c r="E447" s="60" t="s">
        <v>20945</v>
      </c>
      <c r="F447" s="61" t="s">
        <v>19507</v>
      </c>
      <c r="G447" s="62">
        <v>35.0</v>
      </c>
    </row>
    <row r="448" ht="71.25" customHeight="1">
      <c r="A448" s="60" t="s">
        <v>5717</v>
      </c>
      <c r="B448" s="60" t="s">
        <v>20946</v>
      </c>
      <c r="C448" s="60" t="s">
        <v>20947</v>
      </c>
      <c r="D448" s="60" t="s">
        <v>107</v>
      </c>
      <c r="E448" s="60" t="s">
        <v>20948</v>
      </c>
      <c r="F448" s="61" t="s">
        <v>19508</v>
      </c>
      <c r="G448" s="62">
        <v>35.0</v>
      </c>
    </row>
    <row r="449" ht="71.25" customHeight="1">
      <c r="A449" s="60" t="s">
        <v>1223</v>
      </c>
      <c r="B449" s="60" t="s">
        <v>20949</v>
      </c>
      <c r="C449" s="60" t="s">
        <v>20950</v>
      </c>
      <c r="D449" s="60" t="s">
        <v>19572</v>
      </c>
      <c r="E449" s="60" t="s">
        <v>20951</v>
      </c>
      <c r="F449" s="61" t="s">
        <v>19509</v>
      </c>
      <c r="G449" s="62">
        <v>35.0</v>
      </c>
    </row>
    <row r="450" ht="71.25" customHeight="1">
      <c r="A450" s="60" t="s">
        <v>277</v>
      </c>
      <c r="B450" s="60" t="s">
        <v>20952</v>
      </c>
      <c r="C450" s="60" t="s">
        <v>20953</v>
      </c>
      <c r="D450" s="60" t="s">
        <v>19572</v>
      </c>
      <c r="E450" s="60" t="s">
        <v>20954</v>
      </c>
      <c r="F450" s="61" t="s">
        <v>19510</v>
      </c>
      <c r="G450" s="62">
        <v>35.0</v>
      </c>
    </row>
    <row r="451" ht="71.25" customHeight="1">
      <c r="A451" s="60" t="s">
        <v>19511</v>
      </c>
      <c r="B451" s="60" t="s">
        <v>20955</v>
      </c>
      <c r="C451" s="60" t="s">
        <v>20956</v>
      </c>
      <c r="D451" s="60" t="s">
        <v>20184</v>
      </c>
      <c r="E451" s="60" t="s">
        <v>20957</v>
      </c>
      <c r="F451" s="61" t="s">
        <v>19512</v>
      </c>
      <c r="G451" s="62">
        <v>35.0</v>
      </c>
    </row>
    <row r="452" ht="71.25" customHeight="1">
      <c r="A452" s="60" t="s">
        <v>6083</v>
      </c>
      <c r="B452" s="60" t="s">
        <v>20958</v>
      </c>
      <c r="C452" s="60" t="s">
        <v>20959</v>
      </c>
      <c r="D452" s="60" t="s">
        <v>19986</v>
      </c>
      <c r="E452" s="60" t="s">
        <v>20960</v>
      </c>
      <c r="F452" s="61" t="s">
        <v>19513</v>
      </c>
      <c r="G452" s="62">
        <v>35.0</v>
      </c>
    </row>
    <row r="453" ht="71.25" customHeight="1">
      <c r="A453" s="60" t="s">
        <v>1329</v>
      </c>
      <c r="B453" s="60" t="s">
        <v>20961</v>
      </c>
      <c r="C453" s="60" t="s">
        <v>20962</v>
      </c>
      <c r="D453" s="60" t="s">
        <v>20542</v>
      </c>
      <c r="E453" s="60" t="s">
        <v>20963</v>
      </c>
      <c r="F453" s="61" t="s">
        <v>19514</v>
      </c>
      <c r="G453" s="62">
        <v>35.0</v>
      </c>
    </row>
    <row r="454" ht="71.25" customHeight="1">
      <c r="A454" s="60" t="s">
        <v>163</v>
      </c>
      <c r="B454" s="60" t="s">
        <v>20964</v>
      </c>
      <c r="C454" s="60" t="s">
        <v>20965</v>
      </c>
      <c r="D454" s="60" t="s">
        <v>19551</v>
      </c>
      <c r="E454" s="60" t="s">
        <v>20966</v>
      </c>
      <c r="F454" s="61" t="s">
        <v>19515</v>
      </c>
      <c r="G454" s="62">
        <v>35.0</v>
      </c>
    </row>
    <row r="455" ht="71.25" customHeight="1">
      <c r="A455" s="60" t="s">
        <v>1309</v>
      </c>
      <c r="B455" s="60" t="s">
        <v>20967</v>
      </c>
      <c r="C455" s="60" t="s">
        <v>20968</v>
      </c>
      <c r="D455" s="60" t="s">
        <v>19725</v>
      </c>
      <c r="E455" s="60" t="s">
        <v>20969</v>
      </c>
      <c r="F455" s="61" t="s">
        <v>19516</v>
      </c>
      <c r="G455" s="62">
        <v>35.0</v>
      </c>
    </row>
    <row r="456" ht="71.25" customHeight="1">
      <c r="A456" s="60" t="s">
        <v>1429</v>
      </c>
      <c r="B456" s="60" t="s">
        <v>20970</v>
      </c>
      <c r="C456" s="60" t="s">
        <v>20971</v>
      </c>
      <c r="D456" s="60" t="s">
        <v>634</v>
      </c>
      <c r="E456" s="60" t="s">
        <v>20972</v>
      </c>
      <c r="F456" s="61" t="s">
        <v>19517</v>
      </c>
      <c r="G456" s="62">
        <v>35.0</v>
      </c>
    </row>
    <row r="457" ht="71.25" customHeight="1">
      <c r="A457" s="60" t="s">
        <v>1493</v>
      </c>
      <c r="B457" s="60" t="s">
        <v>20973</v>
      </c>
      <c r="C457" s="60" t="s">
        <v>20974</v>
      </c>
      <c r="D457" s="60" t="s">
        <v>20184</v>
      </c>
      <c r="E457" s="60" t="s">
        <v>20975</v>
      </c>
      <c r="F457" s="61" t="s">
        <v>19518</v>
      </c>
      <c r="G457" s="62">
        <v>35.0</v>
      </c>
    </row>
    <row r="458" ht="71.25" customHeight="1">
      <c r="A458" s="60" t="s">
        <v>1214</v>
      </c>
      <c r="B458" s="60" t="s">
        <v>20976</v>
      </c>
      <c r="C458" s="60" t="s">
        <v>20977</v>
      </c>
      <c r="D458" s="60" t="s">
        <v>20158</v>
      </c>
      <c r="E458" s="60" t="s">
        <v>20978</v>
      </c>
      <c r="F458" s="61" t="s">
        <v>19519</v>
      </c>
      <c r="G458" s="62">
        <v>35.0</v>
      </c>
    </row>
    <row r="459" ht="71.25" customHeight="1">
      <c r="A459" s="60" t="s">
        <v>1456</v>
      </c>
      <c r="B459" s="60" t="s">
        <v>20979</v>
      </c>
      <c r="C459" s="60" t="s">
        <v>20980</v>
      </c>
      <c r="D459" s="60" t="s">
        <v>747</v>
      </c>
      <c r="E459" s="60" t="s">
        <v>20981</v>
      </c>
      <c r="F459" s="61" t="s">
        <v>19520</v>
      </c>
      <c r="G459" s="62">
        <v>35.0</v>
      </c>
    </row>
    <row r="460" ht="71.25" customHeight="1">
      <c r="A460" s="60" t="s">
        <v>19521</v>
      </c>
      <c r="B460" s="60" t="s">
        <v>20982</v>
      </c>
      <c r="C460" s="60" t="s">
        <v>20983</v>
      </c>
      <c r="D460" s="60" t="s">
        <v>19641</v>
      </c>
      <c r="E460" s="60" t="s">
        <v>20984</v>
      </c>
      <c r="F460" s="61" t="s">
        <v>19522</v>
      </c>
      <c r="G460" s="62">
        <v>35.0</v>
      </c>
    </row>
    <row r="461" ht="71.25" customHeight="1">
      <c r="A461" s="60" t="s">
        <v>1462</v>
      </c>
      <c r="B461" s="60" t="s">
        <v>20985</v>
      </c>
      <c r="C461" s="60" t="s">
        <v>20986</v>
      </c>
      <c r="D461" s="60" t="s">
        <v>19641</v>
      </c>
      <c r="E461" s="60" t="s">
        <v>20987</v>
      </c>
      <c r="F461" s="61" t="s">
        <v>19523</v>
      </c>
      <c r="G461" s="62">
        <v>30.0</v>
      </c>
    </row>
    <row r="462" ht="71.25" customHeight="1">
      <c r="A462" s="60"/>
      <c r="B462" s="60"/>
      <c r="C462" s="60"/>
      <c r="D462" s="60"/>
      <c r="E462" s="60"/>
      <c r="F462" s="61"/>
      <c r="G462" s="60"/>
    </row>
    <row r="463" ht="71.25" customHeight="1">
      <c r="A463" s="60"/>
      <c r="B463" s="60"/>
      <c r="C463" s="60"/>
      <c r="D463" s="60"/>
      <c r="E463" s="60"/>
      <c r="F463" s="61"/>
      <c r="G463" s="60"/>
    </row>
    <row r="464" ht="71.25" customHeight="1">
      <c r="A464" s="60"/>
      <c r="B464" s="60"/>
      <c r="C464" s="60"/>
      <c r="D464" s="60"/>
      <c r="E464" s="60"/>
      <c r="F464" s="61"/>
      <c r="G464" s="60"/>
    </row>
    <row r="465" ht="71.25" customHeight="1">
      <c r="A465" s="60"/>
      <c r="B465" s="60"/>
      <c r="C465" s="60"/>
      <c r="D465" s="60"/>
      <c r="E465" s="60"/>
      <c r="F465" s="61"/>
      <c r="G465" s="60"/>
    </row>
    <row r="466" ht="71.25" customHeight="1">
      <c r="A466" s="60"/>
      <c r="B466" s="60"/>
      <c r="C466" s="60"/>
      <c r="D466" s="60"/>
      <c r="E466" s="60"/>
      <c r="F466" s="61"/>
      <c r="G466" s="60"/>
    </row>
    <row r="467" ht="71.25" customHeight="1">
      <c r="A467" s="60"/>
      <c r="B467" s="60"/>
      <c r="C467" s="60"/>
      <c r="D467" s="60"/>
      <c r="E467" s="60"/>
      <c r="F467" s="61"/>
      <c r="G467" s="60"/>
    </row>
    <row r="468" ht="71.25" customHeight="1">
      <c r="A468" s="60"/>
      <c r="B468" s="60"/>
      <c r="C468" s="60"/>
      <c r="D468" s="60"/>
      <c r="E468" s="60"/>
      <c r="F468" s="61"/>
      <c r="G468" s="60"/>
    </row>
    <row r="469" ht="71.25" customHeight="1">
      <c r="A469" s="60"/>
      <c r="B469" s="60"/>
      <c r="C469" s="60"/>
      <c r="D469" s="60"/>
      <c r="E469" s="60"/>
      <c r="F469" s="61"/>
      <c r="G469" s="60"/>
    </row>
    <row r="470" ht="71.25" customHeight="1">
      <c r="A470" s="60"/>
      <c r="B470" s="60"/>
      <c r="C470" s="60"/>
      <c r="D470" s="60"/>
      <c r="E470" s="60"/>
      <c r="F470" s="61"/>
      <c r="G470" s="60"/>
    </row>
    <row r="471" ht="71.25" customHeight="1">
      <c r="A471" s="60"/>
      <c r="B471" s="60"/>
      <c r="C471" s="60"/>
      <c r="D471" s="60"/>
      <c r="E471" s="60"/>
      <c r="F471" s="61"/>
      <c r="G471" s="60"/>
    </row>
    <row r="472" ht="71.25" customHeight="1">
      <c r="A472" s="60"/>
      <c r="B472" s="60"/>
      <c r="C472" s="60"/>
      <c r="D472" s="60"/>
      <c r="E472" s="60"/>
      <c r="F472" s="61"/>
      <c r="G472" s="60"/>
    </row>
    <row r="473" ht="71.25" customHeight="1">
      <c r="A473" s="60"/>
      <c r="B473" s="60"/>
      <c r="C473" s="60"/>
      <c r="D473" s="60"/>
      <c r="E473" s="60"/>
      <c r="F473" s="61"/>
      <c r="G473" s="60"/>
    </row>
    <row r="474" ht="71.25" customHeight="1">
      <c r="A474" s="60"/>
      <c r="B474" s="60"/>
      <c r="C474" s="60"/>
      <c r="D474" s="60"/>
      <c r="E474" s="60"/>
      <c r="F474" s="61"/>
      <c r="G474" s="60"/>
    </row>
    <row r="475" ht="71.25" customHeight="1">
      <c r="A475" s="60"/>
      <c r="B475" s="60"/>
      <c r="C475" s="60"/>
      <c r="D475" s="60"/>
      <c r="E475" s="60"/>
      <c r="F475" s="61"/>
      <c r="G475" s="60"/>
    </row>
    <row r="476" ht="71.25" customHeight="1">
      <c r="A476" s="60"/>
      <c r="B476" s="60"/>
      <c r="C476" s="60"/>
      <c r="D476" s="60"/>
      <c r="E476" s="60"/>
      <c r="F476" s="61"/>
      <c r="G476" s="60"/>
    </row>
    <row r="477" ht="71.25" customHeight="1">
      <c r="A477" s="60"/>
      <c r="B477" s="60"/>
      <c r="C477" s="60"/>
      <c r="D477" s="60"/>
      <c r="E477" s="60"/>
      <c r="F477" s="61"/>
      <c r="G477" s="60"/>
    </row>
    <row r="478" ht="71.25" customHeight="1">
      <c r="A478" s="60"/>
      <c r="B478" s="60"/>
      <c r="C478" s="60"/>
      <c r="D478" s="60"/>
      <c r="E478" s="60"/>
      <c r="F478" s="61"/>
      <c r="G478" s="60"/>
    </row>
    <row r="479" ht="71.25" customHeight="1">
      <c r="A479" s="60"/>
      <c r="B479" s="60"/>
      <c r="C479" s="60"/>
      <c r="D479" s="60"/>
      <c r="E479" s="60"/>
      <c r="F479" s="61"/>
      <c r="G479" s="60"/>
    </row>
    <row r="480" ht="71.25" customHeight="1">
      <c r="A480" s="60"/>
      <c r="B480" s="60"/>
      <c r="C480" s="60"/>
      <c r="D480" s="60"/>
      <c r="E480" s="60"/>
      <c r="F480" s="61"/>
      <c r="G480" s="60"/>
    </row>
    <row r="481" ht="71.25" customHeight="1">
      <c r="A481" s="60"/>
      <c r="B481" s="60"/>
      <c r="C481" s="60"/>
      <c r="D481" s="60"/>
      <c r="E481" s="60"/>
      <c r="F481" s="61"/>
      <c r="G481" s="60"/>
    </row>
    <row r="482" ht="71.25" customHeight="1">
      <c r="A482" s="60"/>
      <c r="B482" s="60"/>
      <c r="C482" s="60"/>
      <c r="D482" s="60"/>
      <c r="E482" s="60"/>
      <c r="F482" s="61"/>
      <c r="G482" s="60"/>
    </row>
    <row r="483" ht="71.25" customHeight="1">
      <c r="A483" s="60"/>
      <c r="B483" s="60"/>
      <c r="C483" s="60"/>
      <c r="D483" s="60"/>
      <c r="E483" s="60"/>
      <c r="F483" s="61"/>
      <c r="G483" s="60"/>
    </row>
    <row r="484" ht="71.25" customHeight="1">
      <c r="A484" s="60"/>
      <c r="B484" s="60"/>
      <c r="C484" s="60"/>
      <c r="D484" s="60"/>
      <c r="E484" s="60"/>
      <c r="F484" s="61"/>
      <c r="G484" s="60"/>
    </row>
    <row r="485" ht="71.25" customHeight="1">
      <c r="A485" s="60"/>
      <c r="B485" s="60"/>
      <c r="C485" s="60"/>
      <c r="D485" s="60"/>
      <c r="E485" s="60"/>
      <c r="F485" s="61"/>
      <c r="G485" s="60"/>
    </row>
    <row r="486" ht="71.25" customHeight="1">
      <c r="A486" s="60"/>
      <c r="B486" s="60"/>
      <c r="C486" s="60"/>
      <c r="D486" s="60"/>
      <c r="E486" s="60"/>
      <c r="F486" s="61"/>
      <c r="G486" s="60"/>
    </row>
    <row r="487" ht="71.25" customHeight="1">
      <c r="A487" s="60"/>
      <c r="B487" s="60"/>
      <c r="C487" s="60"/>
      <c r="D487" s="60"/>
      <c r="E487" s="60"/>
      <c r="F487" s="61"/>
      <c r="G487" s="60"/>
    </row>
    <row r="488" ht="71.25" customHeight="1">
      <c r="A488" s="60"/>
      <c r="B488" s="60"/>
      <c r="C488" s="60"/>
      <c r="D488" s="60"/>
      <c r="E488" s="60"/>
      <c r="F488" s="61"/>
      <c r="G488" s="60"/>
    </row>
    <row r="489" ht="71.25" customHeight="1">
      <c r="A489" s="60"/>
      <c r="B489" s="60"/>
      <c r="C489" s="60"/>
      <c r="D489" s="60"/>
      <c r="E489" s="60"/>
      <c r="F489" s="61"/>
      <c r="G489" s="60"/>
    </row>
    <row r="490" ht="71.25" customHeight="1">
      <c r="A490" s="60"/>
      <c r="B490" s="60"/>
      <c r="C490" s="60"/>
      <c r="D490" s="60"/>
      <c r="E490" s="60"/>
      <c r="F490" s="61"/>
      <c r="G490" s="60"/>
    </row>
    <row r="491" ht="71.25" customHeight="1">
      <c r="A491" s="60"/>
      <c r="B491" s="60"/>
      <c r="C491" s="60"/>
      <c r="D491" s="60"/>
      <c r="E491" s="60"/>
      <c r="F491" s="61"/>
      <c r="G491" s="60"/>
    </row>
    <row r="492" ht="71.25" customHeight="1">
      <c r="A492" s="60"/>
      <c r="B492" s="60"/>
      <c r="C492" s="60"/>
      <c r="D492" s="60"/>
      <c r="E492" s="60"/>
      <c r="F492" s="61"/>
      <c r="G492" s="60"/>
    </row>
    <row r="493" ht="71.25" customHeight="1">
      <c r="A493" s="60"/>
      <c r="B493" s="60"/>
      <c r="C493" s="60"/>
      <c r="D493" s="60"/>
      <c r="E493" s="60"/>
      <c r="F493" s="61"/>
      <c r="G493" s="60"/>
    </row>
    <row r="494" ht="71.25" customHeight="1">
      <c r="A494" s="60"/>
      <c r="B494" s="60"/>
      <c r="C494" s="60"/>
      <c r="D494" s="60"/>
      <c r="E494" s="60"/>
      <c r="F494" s="61"/>
      <c r="G494" s="60"/>
    </row>
    <row r="495" ht="71.25" customHeight="1">
      <c r="A495" s="60"/>
      <c r="B495" s="60"/>
      <c r="C495" s="60"/>
      <c r="D495" s="60"/>
      <c r="E495" s="60"/>
      <c r="F495" s="61"/>
      <c r="G495" s="60"/>
    </row>
    <row r="496" ht="71.25" customHeight="1">
      <c r="A496" s="60"/>
      <c r="B496" s="60"/>
      <c r="C496" s="60"/>
      <c r="D496" s="60"/>
      <c r="E496" s="60"/>
      <c r="F496" s="61"/>
      <c r="G496" s="60"/>
    </row>
    <row r="497" ht="71.25" customHeight="1">
      <c r="A497" s="60"/>
      <c r="B497" s="60"/>
      <c r="C497" s="60"/>
      <c r="D497" s="60"/>
      <c r="E497" s="60"/>
      <c r="F497" s="61"/>
      <c r="G497" s="60"/>
    </row>
    <row r="498" ht="71.25" customHeight="1">
      <c r="A498" s="60"/>
      <c r="B498" s="60"/>
      <c r="C498" s="60"/>
      <c r="D498" s="60"/>
      <c r="E498" s="60"/>
      <c r="F498" s="61"/>
      <c r="G498" s="60"/>
    </row>
    <row r="499" ht="71.25" customHeight="1">
      <c r="A499" s="60"/>
      <c r="B499" s="60"/>
      <c r="C499" s="60"/>
      <c r="D499" s="60"/>
      <c r="E499" s="60"/>
      <c r="F499" s="61"/>
      <c r="G499" s="60"/>
    </row>
    <row r="500" ht="71.25" customHeight="1">
      <c r="A500" s="60"/>
      <c r="B500" s="60"/>
      <c r="C500" s="60"/>
      <c r="D500" s="60"/>
      <c r="E500" s="60"/>
      <c r="F500" s="61"/>
      <c r="G500" s="60"/>
    </row>
    <row r="501" ht="71.25" customHeight="1">
      <c r="A501" s="60"/>
      <c r="B501" s="60"/>
      <c r="C501" s="60"/>
      <c r="D501" s="60"/>
      <c r="E501" s="60"/>
      <c r="F501" s="61"/>
      <c r="G501" s="60"/>
    </row>
    <row r="502" ht="71.25" customHeight="1">
      <c r="A502" s="60"/>
      <c r="B502" s="60"/>
      <c r="C502" s="60"/>
      <c r="D502" s="60"/>
      <c r="E502" s="60"/>
      <c r="F502" s="61"/>
      <c r="G502" s="60"/>
    </row>
    <row r="503" ht="71.25" customHeight="1">
      <c r="A503" s="60"/>
      <c r="B503" s="60"/>
      <c r="C503" s="60"/>
      <c r="D503" s="60"/>
      <c r="E503" s="60"/>
      <c r="F503" s="61"/>
      <c r="G503" s="60"/>
    </row>
    <row r="504" ht="71.25" customHeight="1">
      <c r="A504" s="60"/>
      <c r="B504" s="60"/>
      <c r="C504" s="60"/>
      <c r="D504" s="60"/>
      <c r="E504" s="60"/>
      <c r="F504" s="61"/>
      <c r="G504" s="60"/>
    </row>
    <row r="505" ht="71.25" customHeight="1">
      <c r="A505" s="60"/>
      <c r="B505" s="60"/>
      <c r="C505" s="60"/>
      <c r="D505" s="60"/>
      <c r="E505" s="60"/>
      <c r="F505" s="61"/>
      <c r="G505" s="60"/>
    </row>
    <row r="506" ht="71.25" customHeight="1">
      <c r="A506" s="60"/>
      <c r="B506" s="60"/>
      <c r="C506" s="60"/>
      <c r="D506" s="60"/>
      <c r="E506" s="60"/>
      <c r="F506" s="61"/>
      <c r="G506" s="60"/>
    </row>
    <row r="507" ht="71.25" customHeight="1">
      <c r="A507" s="60"/>
      <c r="B507" s="60"/>
      <c r="C507" s="60"/>
      <c r="D507" s="60"/>
      <c r="E507" s="60"/>
      <c r="F507" s="61"/>
      <c r="G507" s="60"/>
    </row>
    <row r="508" ht="71.25" customHeight="1">
      <c r="A508" s="60"/>
      <c r="B508" s="60"/>
      <c r="C508" s="60"/>
      <c r="D508" s="60"/>
      <c r="E508" s="60"/>
      <c r="F508" s="61"/>
      <c r="G508" s="60"/>
    </row>
    <row r="509" ht="71.25" customHeight="1">
      <c r="A509" s="60"/>
      <c r="B509" s="60"/>
      <c r="C509" s="60"/>
      <c r="D509" s="60"/>
      <c r="E509" s="60"/>
      <c r="F509" s="61"/>
      <c r="G509" s="60"/>
    </row>
    <row r="510" ht="71.25" customHeight="1">
      <c r="A510" s="60"/>
      <c r="B510" s="60"/>
      <c r="C510" s="60"/>
      <c r="D510" s="60"/>
      <c r="E510" s="60"/>
      <c r="F510" s="61"/>
      <c r="G510" s="60"/>
    </row>
    <row r="511" ht="71.25" customHeight="1">
      <c r="A511" s="60"/>
      <c r="B511" s="60"/>
      <c r="C511" s="60"/>
      <c r="D511" s="60"/>
      <c r="E511" s="60"/>
      <c r="F511" s="61"/>
      <c r="G511" s="60"/>
    </row>
    <row r="512" ht="71.25" customHeight="1">
      <c r="A512" s="60"/>
      <c r="B512" s="60"/>
      <c r="C512" s="60"/>
      <c r="D512" s="60"/>
      <c r="E512" s="60"/>
      <c r="F512" s="61"/>
      <c r="G512" s="60"/>
    </row>
    <row r="513" ht="71.25" customHeight="1">
      <c r="A513" s="60"/>
      <c r="B513" s="60"/>
      <c r="C513" s="60"/>
      <c r="D513" s="60"/>
      <c r="E513" s="60"/>
      <c r="F513" s="61"/>
      <c r="G513" s="60"/>
    </row>
    <row r="514" ht="71.25" customHeight="1">
      <c r="A514" s="60"/>
      <c r="B514" s="60"/>
      <c r="C514" s="60"/>
      <c r="D514" s="60"/>
      <c r="E514" s="60"/>
      <c r="F514" s="61"/>
      <c r="G514" s="60"/>
    </row>
    <row r="515" ht="71.25" customHeight="1">
      <c r="A515" s="60"/>
      <c r="B515" s="60"/>
      <c r="C515" s="60"/>
      <c r="D515" s="60"/>
      <c r="E515" s="60"/>
      <c r="F515" s="61"/>
      <c r="G515" s="60"/>
    </row>
    <row r="516" ht="71.25" customHeight="1">
      <c r="A516" s="60"/>
      <c r="B516" s="60"/>
      <c r="C516" s="60"/>
      <c r="D516" s="60"/>
      <c r="E516" s="60"/>
      <c r="F516" s="61"/>
      <c r="G516" s="60"/>
    </row>
    <row r="517" ht="71.25" customHeight="1">
      <c r="A517" s="60"/>
      <c r="B517" s="60"/>
      <c r="C517" s="60"/>
      <c r="D517" s="60"/>
      <c r="E517" s="60"/>
      <c r="F517" s="61"/>
      <c r="G517" s="60"/>
    </row>
    <row r="518" ht="71.25" customHeight="1">
      <c r="A518" s="60"/>
      <c r="B518" s="60"/>
      <c r="C518" s="60"/>
      <c r="D518" s="60"/>
      <c r="E518" s="60"/>
      <c r="F518" s="61"/>
      <c r="G518" s="60"/>
    </row>
    <row r="519" ht="71.25" customHeight="1">
      <c r="A519" s="60"/>
      <c r="B519" s="60"/>
      <c r="C519" s="60"/>
      <c r="D519" s="60"/>
      <c r="E519" s="60"/>
      <c r="F519" s="61"/>
      <c r="G519" s="60"/>
    </row>
    <row r="520" ht="71.25" customHeight="1">
      <c r="A520" s="60"/>
      <c r="B520" s="60"/>
      <c r="C520" s="60"/>
      <c r="D520" s="60"/>
      <c r="E520" s="60"/>
      <c r="F520" s="61"/>
      <c r="G520" s="60"/>
    </row>
    <row r="521" ht="71.25" customHeight="1">
      <c r="A521" s="60"/>
      <c r="B521" s="60"/>
      <c r="C521" s="60"/>
      <c r="D521" s="60"/>
      <c r="E521" s="60"/>
      <c r="F521" s="61"/>
      <c r="G521" s="60"/>
    </row>
    <row r="522" ht="71.25" customHeight="1">
      <c r="A522" s="60"/>
      <c r="B522" s="60"/>
      <c r="C522" s="60"/>
      <c r="D522" s="60"/>
      <c r="E522" s="60"/>
      <c r="F522" s="61"/>
      <c r="G522" s="60"/>
    </row>
    <row r="523" ht="71.25" customHeight="1">
      <c r="A523" s="60"/>
      <c r="B523" s="60"/>
      <c r="C523" s="60"/>
      <c r="D523" s="60"/>
      <c r="E523" s="60"/>
      <c r="F523" s="61"/>
      <c r="G523" s="60"/>
    </row>
    <row r="524" ht="71.25" customHeight="1">
      <c r="A524" s="60"/>
      <c r="B524" s="60"/>
      <c r="C524" s="60"/>
      <c r="D524" s="60"/>
      <c r="E524" s="60"/>
      <c r="F524" s="61"/>
      <c r="G524" s="60"/>
    </row>
    <row r="525" ht="71.25" customHeight="1">
      <c r="A525" s="60"/>
      <c r="B525" s="60"/>
      <c r="C525" s="60"/>
      <c r="D525" s="60"/>
      <c r="E525" s="60"/>
      <c r="F525" s="61"/>
      <c r="G525" s="60"/>
    </row>
    <row r="526" ht="71.25" customHeight="1">
      <c r="A526" s="60"/>
      <c r="B526" s="60"/>
      <c r="C526" s="60"/>
      <c r="D526" s="60"/>
      <c r="E526" s="60"/>
      <c r="F526" s="61"/>
      <c r="G526" s="60"/>
    </row>
    <row r="527" ht="71.25" customHeight="1">
      <c r="A527" s="60"/>
      <c r="B527" s="60"/>
      <c r="C527" s="60"/>
      <c r="D527" s="60"/>
      <c r="E527" s="60"/>
      <c r="F527" s="61"/>
      <c r="G527" s="60"/>
    </row>
    <row r="528" ht="71.25" customHeight="1">
      <c r="A528" s="60"/>
      <c r="B528" s="60"/>
      <c r="C528" s="60"/>
      <c r="D528" s="60"/>
      <c r="E528" s="60"/>
      <c r="F528" s="61"/>
      <c r="G528" s="60"/>
    </row>
    <row r="529" ht="71.25" customHeight="1">
      <c r="A529" s="60"/>
      <c r="B529" s="60"/>
      <c r="C529" s="60"/>
      <c r="D529" s="60"/>
      <c r="E529" s="60"/>
      <c r="F529" s="61"/>
      <c r="G529" s="60"/>
    </row>
    <row r="530" ht="71.25" customHeight="1">
      <c r="A530" s="60"/>
      <c r="B530" s="60"/>
      <c r="C530" s="60"/>
      <c r="D530" s="60"/>
      <c r="E530" s="60"/>
      <c r="F530" s="61"/>
      <c r="G530" s="60"/>
    </row>
    <row r="531" ht="71.25" customHeight="1">
      <c r="A531" s="60"/>
      <c r="B531" s="60"/>
      <c r="C531" s="60"/>
      <c r="D531" s="60"/>
      <c r="E531" s="60"/>
      <c r="F531" s="61"/>
      <c r="G531" s="60"/>
    </row>
    <row r="532" ht="71.25" customHeight="1">
      <c r="A532" s="60"/>
      <c r="B532" s="60"/>
      <c r="C532" s="60"/>
      <c r="D532" s="60"/>
      <c r="E532" s="60"/>
      <c r="F532" s="61"/>
      <c r="G532" s="60"/>
    </row>
    <row r="533" ht="71.25" customHeight="1">
      <c r="A533" s="60"/>
      <c r="B533" s="60"/>
      <c r="C533" s="60"/>
      <c r="D533" s="60"/>
      <c r="E533" s="60"/>
      <c r="F533" s="61"/>
      <c r="G533" s="60"/>
    </row>
    <row r="534" ht="71.25" customHeight="1">
      <c r="A534" s="60"/>
      <c r="B534" s="60"/>
      <c r="C534" s="60"/>
      <c r="D534" s="60"/>
      <c r="E534" s="60"/>
      <c r="F534" s="61"/>
      <c r="G534" s="60"/>
    </row>
    <row r="535" ht="71.25" customHeight="1">
      <c r="A535" s="60"/>
      <c r="B535" s="60"/>
      <c r="C535" s="60"/>
      <c r="D535" s="60"/>
      <c r="E535" s="60"/>
      <c r="F535" s="61"/>
      <c r="G535" s="60"/>
    </row>
    <row r="536" ht="71.25" customHeight="1">
      <c r="A536" s="60"/>
      <c r="B536" s="60"/>
      <c r="C536" s="60"/>
      <c r="D536" s="60"/>
      <c r="E536" s="60"/>
      <c r="F536" s="61"/>
      <c r="G536" s="60"/>
    </row>
    <row r="537" ht="71.25" customHeight="1">
      <c r="A537" s="60"/>
      <c r="B537" s="60"/>
      <c r="C537" s="60"/>
      <c r="D537" s="60"/>
      <c r="E537" s="60"/>
      <c r="F537" s="61"/>
      <c r="G537" s="60"/>
    </row>
    <row r="538" ht="71.25" customHeight="1">
      <c r="A538" s="60"/>
      <c r="B538" s="60"/>
      <c r="C538" s="60"/>
      <c r="D538" s="60"/>
      <c r="E538" s="60"/>
      <c r="F538" s="61"/>
      <c r="G538" s="60"/>
    </row>
    <row r="539" ht="71.25" customHeight="1">
      <c r="A539" s="60"/>
      <c r="B539" s="60"/>
      <c r="C539" s="60"/>
      <c r="D539" s="60"/>
      <c r="E539" s="60"/>
      <c r="F539" s="61"/>
      <c r="G539" s="60"/>
    </row>
    <row r="540" ht="71.25" customHeight="1">
      <c r="A540" s="60"/>
      <c r="B540" s="60"/>
      <c r="C540" s="60"/>
      <c r="D540" s="60"/>
      <c r="E540" s="60"/>
      <c r="F540" s="61"/>
      <c r="G540" s="60"/>
    </row>
    <row r="541" ht="71.25" customHeight="1">
      <c r="A541" s="60"/>
      <c r="B541" s="60"/>
      <c r="C541" s="60"/>
      <c r="D541" s="60"/>
      <c r="E541" s="60"/>
      <c r="F541" s="61"/>
      <c r="G541" s="60"/>
    </row>
    <row r="542" ht="71.25" customHeight="1">
      <c r="A542" s="60"/>
      <c r="B542" s="60"/>
      <c r="C542" s="60"/>
      <c r="D542" s="60"/>
      <c r="E542" s="60"/>
      <c r="F542" s="61"/>
      <c r="G542" s="60"/>
    </row>
    <row r="543" ht="71.25" customHeight="1">
      <c r="A543" s="60"/>
      <c r="B543" s="60"/>
      <c r="C543" s="60"/>
      <c r="D543" s="60"/>
      <c r="E543" s="60"/>
      <c r="F543" s="61"/>
      <c r="G543" s="60"/>
    </row>
    <row r="544" ht="71.25" customHeight="1">
      <c r="A544" s="60"/>
      <c r="B544" s="60"/>
      <c r="C544" s="60"/>
      <c r="D544" s="60"/>
      <c r="E544" s="60"/>
      <c r="F544" s="61"/>
      <c r="G544" s="60"/>
    </row>
    <row r="545" ht="71.25" customHeight="1">
      <c r="A545" s="60"/>
      <c r="B545" s="60"/>
      <c r="C545" s="60"/>
      <c r="D545" s="60"/>
      <c r="E545" s="60"/>
      <c r="F545" s="61"/>
      <c r="G545" s="60"/>
    </row>
    <row r="546" ht="71.25" customHeight="1">
      <c r="A546" s="60"/>
      <c r="B546" s="60"/>
      <c r="C546" s="60"/>
      <c r="D546" s="60"/>
      <c r="E546" s="60"/>
      <c r="F546" s="61"/>
      <c r="G546" s="60"/>
    </row>
    <row r="547" ht="71.25" customHeight="1">
      <c r="A547" s="60"/>
      <c r="B547" s="60"/>
      <c r="C547" s="60"/>
      <c r="D547" s="60"/>
      <c r="E547" s="60"/>
      <c r="F547" s="61"/>
      <c r="G547" s="60"/>
    </row>
    <row r="548" ht="71.25" customHeight="1">
      <c r="A548" s="60"/>
      <c r="B548" s="60"/>
      <c r="C548" s="60"/>
      <c r="D548" s="60"/>
      <c r="E548" s="60"/>
      <c r="F548" s="61"/>
      <c r="G548" s="60"/>
    </row>
    <row r="549" ht="71.25" customHeight="1">
      <c r="A549" s="60"/>
      <c r="B549" s="60"/>
      <c r="C549" s="60"/>
      <c r="D549" s="60"/>
      <c r="E549" s="60"/>
      <c r="F549" s="61"/>
      <c r="G549" s="60"/>
    </row>
    <row r="550" ht="71.25" customHeight="1">
      <c r="A550" s="60"/>
      <c r="B550" s="60"/>
      <c r="C550" s="60"/>
      <c r="D550" s="60"/>
      <c r="E550" s="60"/>
      <c r="F550" s="61"/>
      <c r="G550" s="60"/>
    </row>
    <row r="551" ht="71.25" customHeight="1">
      <c r="A551" s="60"/>
      <c r="B551" s="60"/>
      <c r="C551" s="60"/>
      <c r="D551" s="60"/>
      <c r="E551" s="60"/>
      <c r="F551" s="61"/>
      <c r="G551" s="60"/>
    </row>
    <row r="552" ht="71.25" customHeight="1">
      <c r="A552" s="60"/>
      <c r="B552" s="60"/>
      <c r="C552" s="60"/>
      <c r="D552" s="60"/>
      <c r="E552" s="60"/>
      <c r="F552" s="61"/>
      <c r="G552" s="60"/>
    </row>
    <row r="553" ht="71.25" customHeight="1">
      <c r="A553" s="60"/>
      <c r="B553" s="60"/>
      <c r="C553" s="60"/>
      <c r="D553" s="60"/>
      <c r="E553" s="60"/>
      <c r="F553" s="61"/>
      <c r="G553" s="60"/>
    </row>
    <row r="554" ht="71.25" customHeight="1">
      <c r="A554" s="60"/>
      <c r="B554" s="60"/>
      <c r="C554" s="60"/>
      <c r="D554" s="60"/>
      <c r="E554" s="60"/>
      <c r="F554" s="61"/>
      <c r="G554" s="60"/>
    </row>
    <row r="555" ht="71.25" customHeight="1">
      <c r="A555" s="60"/>
      <c r="B555" s="60"/>
      <c r="C555" s="60"/>
      <c r="D555" s="60"/>
      <c r="E555" s="60"/>
      <c r="F555" s="61"/>
      <c r="G555" s="60"/>
    </row>
    <row r="556" ht="71.25" customHeight="1">
      <c r="A556" s="60"/>
      <c r="B556" s="60"/>
      <c r="C556" s="60"/>
      <c r="D556" s="60"/>
      <c r="E556" s="60"/>
      <c r="F556" s="61"/>
      <c r="G556" s="60"/>
    </row>
    <row r="557" ht="71.25" customHeight="1">
      <c r="A557" s="60"/>
      <c r="B557" s="60"/>
      <c r="C557" s="60"/>
      <c r="D557" s="60"/>
      <c r="E557" s="60"/>
      <c r="F557" s="61"/>
      <c r="G557" s="60"/>
    </row>
    <row r="558" ht="71.25" customHeight="1">
      <c r="A558" s="60"/>
      <c r="B558" s="60"/>
      <c r="C558" s="60"/>
      <c r="D558" s="60"/>
      <c r="E558" s="60"/>
      <c r="F558" s="61"/>
      <c r="G558" s="60"/>
    </row>
    <row r="559" ht="71.25" customHeight="1">
      <c r="A559" s="60"/>
      <c r="B559" s="60"/>
      <c r="C559" s="60"/>
      <c r="D559" s="60"/>
      <c r="E559" s="60"/>
      <c r="F559" s="61"/>
      <c r="G559" s="60"/>
    </row>
    <row r="560" ht="71.25" customHeight="1">
      <c r="A560" s="60"/>
      <c r="B560" s="60"/>
      <c r="C560" s="60"/>
      <c r="D560" s="60"/>
      <c r="E560" s="60"/>
      <c r="F560" s="61"/>
      <c r="G560" s="60"/>
    </row>
    <row r="561" ht="71.25" customHeight="1">
      <c r="A561" s="60"/>
      <c r="B561" s="60"/>
      <c r="C561" s="60"/>
      <c r="D561" s="60"/>
      <c r="E561" s="60"/>
      <c r="F561" s="61"/>
      <c r="G561" s="60"/>
    </row>
    <row r="562" ht="71.25" customHeight="1">
      <c r="A562" s="60"/>
      <c r="B562" s="60"/>
      <c r="C562" s="60"/>
      <c r="D562" s="60"/>
      <c r="E562" s="60"/>
      <c r="F562" s="61"/>
      <c r="G562" s="60"/>
    </row>
    <row r="563" ht="71.25" customHeight="1">
      <c r="A563" s="60"/>
      <c r="B563" s="60"/>
      <c r="C563" s="60"/>
      <c r="D563" s="60"/>
      <c r="E563" s="60"/>
      <c r="F563" s="61"/>
      <c r="G563" s="60"/>
    </row>
    <row r="564" ht="71.25" customHeight="1">
      <c r="A564" s="60"/>
      <c r="B564" s="60"/>
      <c r="C564" s="60"/>
      <c r="D564" s="60"/>
      <c r="E564" s="60"/>
      <c r="F564" s="61"/>
      <c r="G564" s="60"/>
    </row>
    <row r="565" ht="71.25" customHeight="1">
      <c r="A565" s="60"/>
      <c r="B565" s="60"/>
      <c r="C565" s="60"/>
      <c r="D565" s="60"/>
      <c r="E565" s="60"/>
      <c r="F565" s="61"/>
      <c r="G565" s="60"/>
    </row>
    <row r="566" ht="71.25" customHeight="1">
      <c r="A566" s="60"/>
      <c r="B566" s="60"/>
      <c r="C566" s="60"/>
      <c r="D566" s="60"/>
      <c r="E566" s="60"/>
      <c r="F566" s="61"/>
      <c r="G566" s="60"/>
    </row>
    <row r="567" ht="71.25" customHeight="1">
      <c r="A567" s="60"/>
      <c r="B567" s="60"/>
      <c r="C567" s="60"/>
      <c r="D567" s="60"/>
      <c r="E567" s="60"/>
      <c r="F567" s="61"/>
      <c r="G567" s="60"/>
    </row>
    <row r="568" ht="71.25" customHeight="1">
      <c r="A568" s="60"/>
      <c r="B568" s="60"/>
      <c r="C568" s="60"/>
      <c r="D568" s="60"/>
      <c r="E568" s="60"/>
      <c r="F568" s="61"/>
      <c r="G568" s="60"/>
    </row>
    <row r="569" ht="71.25" customHeight="1">
      <c r="A569" s="60"/>
      <c r="B569" s="60"/>
      <c r="C569" s="60"/>
      <c r="D569" s="60"/>
      <c r="E569" s="60"/>
      <c r="F569" s="61"/>
      <c r="G569" s="60"/>
    </row>
    <row r="570" ht="71.25" customHeight="1">
      <c r="A570" s="60"/>
      <c r="B570" s="60"/>
      <c r="C570" s="60"/>
      <c r="D570" s="60"/>
      <c r="E570" s="60"/>
      <c r="F570" s="61"/>
      <c r="G570" s="60"/>
    </row>
    <row r="571" ht="71.25" customHeight="1">
      <c r="A571" s="60"/>
      <c r="B571" s="60"/>
      <c r="C571" s="60"/>
      <c r="D571" s="60"/>
      <c r="E571" s="60"/>
      <c r="F571" s="61"/>
      <c r="G571" s="60"/>
    </row>
    <row r="572" ht="71.25" customHeight="1">
      <c r="A572" s="60"/>
      <c r="B572" s="60"/>
      <c r="C572" s="60"/>
      <c r="D572" s="60"/>
      <c r="E572" s="60"/>
      <c r="F572" s="61"/>
      <c r="G572" s="60"/>
    </row>
    <row r="573" ht="71.25" customHeight="1">
      <c r="A573" s="60"/>
      <c r="B573" s="60"/>
      <c r="C573" s="60"/>
      <c r="D573" s="60"/>
      <c r="E573" s="60"/>
      <c r="F573" s="61"/>
      <c r="G573" s="60"/>
    </row>
    <row r="574" ht="71.25" customHeight="1">
      <c r="A574" s="60"/>
      <c r="B574" s="60"/>
      <c r="C574" s="60"/>
      <c r="D574" s="60"/>
      <c r="E574" s="60"/>
      <c r="F574" s="61"/>
      <c r="G574" s="60"/>
    </row>
    <row r="575" ht="71.25" customHeight="1">
      <c r="A575" s="60"/>
      <c r="B575" s="60"/>
      <c r="C575" s="60"/>
      <c r="D575" s="60"/>
      <c r="E575" s="60"/>
      <c r="F575" s="61"/>
      <c r="G575" s="60"/>
    </row>
    <row r="576" ht="71.25" customHeight="1">
      <c r="A576" s="60"/>
      <c r="B576" s="60"/>
      <c r="C576" s="60"/>
      <c r="D576" s="60"/>
      <c r="E576" s="60"/>
      <c r="F576" s="61"/>
      <c r="G576" s="60"/>
    </row>
    <row r="577" ht="71.25" customHeight="1">
      <c r="A577" s="60"/>
      <c r="B577" s="60"/>
      <c r="C577" s="60"/>
      <c r="D577" s="60"/>
      <c r="E577" s="60"/>
      <c r="F577" s="61"/>
      <c r="G577" s="60"/>
    </row>
    <row r="578" ht="71.25" customHeight="1">
      <c r="A578" s="60"/>
      <c r="B578" s="60"/>
      <c r="C578" s="60"/>
      <c r="D578" s="60"/>
      <c r="E578" s="60"/>
      <c r="F578" s="61"/>
      <c r="G578" s="60"/>
    </row>
    <row r="579" ht="71.25" customHeight="1">
      <c r="A579" s="60"/>
      <c r="B579" s="60"/>
      <c r="C579" s="60"/>
      <c r="D579" s="60"/>
      <c r="E579" s="60"/>
      <c r="F579" s="61"/>
      <c r="G579" s="60"/>
    </row>
    <row r="580" ht="71.25" customHeight="1">
      <c r="A580" s="60"/>
      <c r="B580" s="60"/>
      <c r="C580" s="60"/>
      <c r="D580" s="60"/>
      <c r="E580" s="60"/>
      <c r="F580" s="61"/>
      <c r="G580" s="60"/>
    </row>
    <row r="581" ht="71.25" customHeight="1">
      <c r="A581" s="60"/>
      <c r="B581" s="60"/>
      <c r="C581" s="60"/>
      <c r="D581" s="60"/>
      <c r="E581" s="60"/>
      <c r="F581" s="61"/>
      <c r="G581" s="60"/>
    </row>
    <row r="582" ht="71.25" customHeight="1">
      <c r="A582" s="60"/>
      <c r="B582" s="60"/>
      <c r="C582" s="60"/>
      <c r="D582" s="60"/>
      <c r="E582" s="60"/>
      <c r="F582" s="61"/>
      <c r="G582" s="60"/>
    </row>
    <row r="583" ht="71.25" customHeight="1">
      <c r="A583" s="60"/>
      <c r="B583" s="60"/>
      <c r="C583" s="60"/>
      <c r="D583" s="60"/>
      <c r="E583" s="60"/>
      <c r="F583" s="61"/>
      <c r="G583" s="60"/>
    </row>
    <row r="584" ht="71.25" customHeight="1">
      <c r="A584" s="60"/>
      <c r="B584" s="60"/>
      <c r="C584" s="60"/>
      <c r="D584" s="60"/>
      <c r="E584" s="60"/>
      <c r="F584" s="61"/>
      <c r="G584" s="60"/>
    </row>
    <row r="585" ht="71.25" customHeight="1">
      <c r="A585" s="60"/>
      <c r="B585" s="60"/>
      <c r="C585" s="60"/>
      <c r="D585" s="60"/>
      <c r="E585" s="60"/>
      <c r="F585" s="61"/>
      <c r="G585" s="60"/>
    </row>
    <row r="586" ht="71.25" customHeight="1">
      <c r="A586" s="60"/>
      <c r="B586" s="60"/>
      <c r="C586" s="60"/>
      <c r="D586" s="60"/>
      <c r="E586" s="60"/>
      <c r="F586" s="61"/>
      <c r="G586" s="60"/>
    </row>
    <row r="587" ht="71.25" customHeight="1">
      <c r="A587" s="60"/>
      <c r="B587" s="60"/>
      <c r="C587" s="60"/>
      <c r="D587" s="60"/>
      <c r="E587" s="60"/>
      <c r="F587" s="61"/>
      <c r="G587" s="60"/>
    </row>
    <row r="588" ht="71.25" customHeight="1">
      <c r="A588" s="60"/>
      <c r="B588" s="60"/>
      <c r="C588" s="60"/>
      <c r="D588" s="60"/>
      <c r="E588" s="60"/>
      <c r="F588" s="61"/>
      <c r="G588" s="60"/>
    </row>
    <row r="589" ht="71.25" customHeight="1">
      <c r="A589" s="60"/>
      <c r="B589" s="60"/>
      <c r="C589" s="60"/>
      <c r="D589" s="60"/>
      <c r="E589" s="60"/>
      <c r="F589" s="61"/>
      <c r="G589" s="60"/>
    </row>
    <row r="590" ht="71.25" customHeight="1">
      <c r="A590" s="60"/>
      <c r="B590" s="60"/>
      <c r="C590" s="60"/>
      <c r="D590" s="60"/>
      <c r="E590" s="60"/>
      <c r="F590" s="61"/>
      <c r="G590" s="60"/>
    </row>
    <row r="591" ht="71.25" customHeight="1">
      <c r="A591" s="60"/>
      <c r="B591" s="60"/>
      <c r="C591" s="60"/>
      <c r="D591" s="60"/>
      <c r="E591" s="60"/>
      <c r="F591" s="61"/>
      <c r="G591" s="60"/>
    </row>
    <row r="592" ht="71.25" customHeight="1">
      <c r="A592" s="60"/>
      <c r="B592" s="60"/>
      <c r="C592" s="60"/>
      <c r="D592" s="60"/>
      <c r="E592" s="60"/>
      <c r="F592" s="61"/>
      <c r="G592" s="60"/>
    </row>
    <row r="593" ht="71.25" customHeight="1">
      <c r="A593" s="60"/>
      <c r="B593" s="60"/>
      <c r="C593" s="60"/>
      <c r="D593" s="60"/>
      <c r="E593" s="60"/>
      <c r="F593" s="61"/>
      <c r="G593" s="60"/>
    </row>
    <row r="594" ht="71.25" customHeight="1">
      <c r="A594" s="60"/>
      <c r="B594" s="60"/>
      <c r="C594" s="60"/>
      <c r="D594" s="60"/>
      <c r="E594" s="60"/>
      <c r="F594" s="61"/>
      <c r="G594" s="60"/>
    </row>
    <row r="595" ht="71.25" customHeight="1">
      <c r="A595" s="60"/>
      <c r="B595" s="60"/>
      <c r="C595" s="60"/>
      <c r="D595" s="60"/>
      <c r="E595" s="60"/>
      <c r="F595" s="61"/>
      <c r="G595" s="60"/>
    </row>
    <row r="596" ht="71.25" customHeight="1">
      <c r="A596" s="60"/>
      <c r="B596" s="60"/>
      <c r="C596" s="60"/>
      <c r="D596" s="60"/>
      <c r="E596" s="60"/>
      <c r="F596" s="61"/>
      <c r="G596" s="60"/>
    </row>
    <row r="597" ht="71.25" customHeight="1">
      <c r="A597" s="60"/>
      <c r="B597" s="60"/>
      <c r="C597" s="60"/>
      <c r="D597" s="60"/>
      <c r="E597" s="60"/>
      <c r="F597" s="61"/>
      <c r="G597" s="60"/>
    </row>
    <row r="598" ht="71.25" customHeight="1">
      <c r="A598" s="60"/>
      <c r="B598" s="60"/>
      <c r="C598" s="60"/>
      <c r="D598" s="60"/>
      <c r="E598" s="60"/>
      <c r="F598" s="61"/>
      <c r="G598" s="60"/>
    </row>
    <row r="599" ht="71.25" customHeight="1">
      <c r="A599" s="60"/>
      <c r="B599" s="60"/>
      <c r="C599" s="60"/>
      <c r="D599" s="60"/>
      <c r="E599" s="60"/>
      <c r="F599" s="61"/>
      <c r="G599" s="60"/>
    </row>
    <row r="600" ht="71.25" customHeight="1">
      <c r="A600" s="60"/>
      <c r="B600" s="60"/>
      <c r="C600" s="60"/>
      <c r="D600" s="60"/>
      <c r="E600" s="60"/>
      <c r="F600" s="61"/>
      <c r="G600" s="60"/>
    </row>
    <row r="601" ht="71.25" customHeight="1">
      <c r="A601" s="60"/>
      <c r="B601" s="60"/>
      <c r="C601" s="60"/>
      <c r="D601" s="60"/>
      <c r="E601" s="60"/>
      <c r="F601" s="61"/>
      <c r="G601" s="60"/>
    </row>
    <row r="602" ht="71.25" customHeight="1">
      <c r="A602" s="60"/>
      <c r="B602" s="60"/>
      <c r="C602" s="60"/>
      <c r="D602" s="60"/>
      <c r="E602" s="60"/>
      <c r="F602" s="61"/>
      <c r="G602" s="60"/>
    </row>
    <row r="603" ht="71.25" customHeight="1">
      <c r="A603" s="60"/>
      <c r="B603" s="60"/>
      <c r="C603" s="60"/>
      <c r="D603" s="60"/>
      <c r="E603" s="60"/>
      <c r="F603" s="61"/>
      <c r="G603" s="60"/>
    </row>
    <row r="604" ht="71.25" customHeight="1">
      <c r="A604" s="60"/>
      <c r="B604" s="60"/>
      <c r="C604" s="60"/>
      <c r="D604" s="60"/>
      <c r="E604" s="60"/>
      <c r="F604" s="61"/>
      <c r="G604" s="60"/>
    </row>
    <row r="605" ht="71.25" customHeight="1">
      <c r="A605" s="60"/>
      <c r="B605" s="60"/>
      <c r="C605" s="60"/>
      <c r="D605" s="60"/>
      <c r="E605" s="60"/>
      <c r="F605" s="61"/>
      <c r="G605" s="60"/>
    </row>
    <row r="606" ht="71.25" customHeight="1">
      <c r="A606" s="60"/>
      <c r="B606" s="60"/>
      <c r="C606" s="60"/>
      <c r="D606" s="60"/>
      <c r="E606" s="60"/>
      <c r="F606" s="61"/>
      <c r="G606" s="60"/>
    </row>
    <row r="607" ht="71.25" customHeight="1">
      <c r="A607" s="60"/>
      <c r="B607" s="60"/>
      <c r="C607" s="60"/>
      <c r="D607" s="60"/>
      <c r="E607" s="60"/>
      <c r="F607" s="61"/>
      <c r="G607" s="60"/>
    </row>
    <row r="608" ht="71.25" customHeight="1">
      <c r="A608" s="60"/>
      <c r="B608" s="60"/>
      <c r="C608" s="60"/>
      <c r="D608" s="60"/>
      <c r="E608" s="60"/>
      <c r="F608" s="61"/>
      <c r="G608" s="60"/>
    </row>
    <row r="609" ht="71.25" customHeight="1">
      <c r="A609" s="60"/>
      <c r="B609" s="60"/>
      <c r="C609" s="60"/>
      <c r="D609" s="60"/>
      <c r="E609" s="60"/>
      <c r="F609" s="61"/>
      <c r="G609" s="60"/>
    </row>
    <row r="610" ht="71.25" customHeight="1">
      <c r="A610" s="60"/>
      <c r="B610" s="60"/>
      <c r="C610" s="60"/>
      <c r="D610" s="60"/>
      <c r="E610" s="60"/>
      <c r="F610" s="61"/>
      <c r="G610" s="60"/>
    </row>
    <row r="611" ht="71.25" customHeight="1">
      <c r="A611" s="60"/>
      <c r="B611" s="60"/>
      <c r="C611" s="60"/>
      <c r="D611" s="60"/>
      <c r="E611" s="60"/>
      <c r="F611" s="61"/>
      <c r="G611" s="60"/>
    </row>
    <row r="612" ht="71.25" customHeight="1">
      <c r="A612" s="60"/>
      <c r="B612" s="60"/>
      <c r="C612" s="60"/>
      <c r="D612" s="60"/>
      <c r="E612" s="60"/>
      <c r="F612" s="61"/>
      <c r="G612" s="60"/>
    </row>
    <row r="613" ht="71.25" customHeight="1">
      <c r="A613" s="60"/>
      <c r="B613" s="60"/>
      <c r="C613" s="60"/>
      <c r="D613" s="60"/>
      <c r="E613" s="60"/>
      <c r="F613" s="61"/>
      <c r="G613" s="60"/>
    </row>
    <row r="614" ht="71.25" customHeight="1">
      <c r="A614" s="60"/>
      <c r="B614" s="60"/>
      <c r="C614" s="60"/>
      <c r="D614" s="60"/>
      <c r="E614" s="60"/>
      <c r="F614" s="61"/>
      <c r="G614" s="60"/>
    </row>
    <row r="615" ht="71.25" customHeight="1">
      <c r="A615" s="60"/>
      <c r="B615" s="60"/>
      <c r="C615" s="60"/>
      <c r="D615" s="60"/>
      <c r="E615" s="60"/>
      <c r="F615" s="61"/>
      <c r="G615" s="60"/>
    </row>
    <row r="616" ht="71.25" customHeight="1">
      <c r="A616" s="60"/>
      <c r="B616" s="60"/>
      <c r="C616" s="60"/>
      <c r="D616" s="60"/>
      <c r="E616" s="60"/>
      <c r="F616" s="61"/>
      <c r="G616" s="60"/>
    </row>
    <row r="617" ht="71.25" customHeight="1">
      <c r="A617" s="60"/>
      <c r="B617" s="60"/>
      <c r="C617" s="60"/>
      <c r="D617" s="60"/>
      <c r="E617" s="60"/>
      <c r="F617" s="61"/>
      <c r="G617" s="60"/>
    </row>
    <row r="618" ht="71.25" customHeight="1">
      <c r="A618" s="60"/>
      <c r="B618" s="60"/>
      <c r="C618" s="60"/>
      <c r="D618" s="60"/>
      <c r="E618" s="60"/>
      <c r="F618" s="61"/>
      <c r="G618" s="60"/>
    </row>
    <row r="619" ht="71.25" customHeight="1">
      <c r="A619" s="60"/>
      <c r="B619" s="60"/>
      <c r="C619" s="60"/>
      <c r="D619" s="60"/>
      <c r="E619" s="60"/>
      <c r="F619" s="61"/>
      <c r="G619" s="60"/>
    </row>
    <row r="620" ht="71.25" customHeight="1">
      <c r="A620" s="60"/>
      <c r="B620" s="60"/>
      <c r="C620" s="60"/>
      <c r="D620" s="60"/>
      <c r="E620" s="60"/>
      <c r="F620" s="61"/>
      <c r="G620" s="60"/>
    </row>
    <row r="621" ht="71.25" customHeight="1">
      <c r="A621" s="60"/>
      <c r="B621" s="60"/>
      <c r="C621" s="60"/>
      <c r="D621" s="60"/>
      <c r="E621" s="60"/>
      <c r="F621" s="61"/>
      <c r="G621" s="60"/>
    </row>
    <row r="622" ht="71.25" customHeight="1">
      <c r="A622" s="60"/>
      <c r="B622" s="60"/>
      <c r="C622" s="60"/>
      <c r="D622" s="60"/>
      <c r="E622" s="60"/>
      <c r="F622" s="61"/>
      <c r="G622" s="60"/>
    </row>
    <row r="623" ht="71.25" customHeight="1">
      <c r="A623" s="60"/>
      <c r="B623" s="60"/>
      <c r="C623" s="60"/>
      <c r="D623" s="60"/>
      <c r="E623" s="60"/>
      <c r="F623" s="61"/>
      <c r="G623" s="60"/>
    </row>
    <row r="624" ht="71.25" customHeight="1">
      <c r="A624" s="60"/>
      <c r="B624" s="60"/>
      <c r="C624" s="60"/>
      <c r="D624" s="60"/>
      <c r="E624" s="60"/>
      <c r="F624" s="61"/>
      <c r="G624" s="60"/>
    </row>
    <row r="625" ht="71.25" customHeight="1">
      <c r="A625" s="60"/>
      <c r="B625" s="60"/>
      <c r="C625" s="60"/>
      <c r="D625" s="60"/>
      <c r="E625" s="60"/>
      <c r="F625" s="61"/>
      <c r="G625" s="60"/>
    </row>
    <row r="626" ht="71.25" customHeight="1">
      <c r="A626" s="60"/>
      <c r="B626" s="60"/>
      <c r="C626" s="60"/>
      <c r="D626" s="60"/>
      <c r="E626" s="60"/>
      <c r="F626" s="61"/>
      <c r="G626" s="60"/>
    </row>
    <row r="627" ht="71.25" customHeight="1">
      <c r="A627" s="60"/>
      <c r="B627" s="60"/>
      <c r="C627" s="60"/>
      <c r="D627" s="60"/>
      <c r="E627" s="60"/>
      <c r="F627" s="61"/>
      <c r="G627" s="60"/>
    </row>
    <row r="628" ht="71.25" customHeight="1">
      <c r="A628" s="60"/>
      <c r="B628" s="60"/>
      <c r="C628" s="60"/>
      <c r="D628" s="60"/>
      <c r="E628" s="60"/>
      <c r="F628" s="61"/>
      <c r="G628" s="60"/>
    </row>
    <row r="629" ht="71.25" customHeight="1">
      <c r="A629" s="60"/>
      <c r="B629" s="60"/>
      <c r="C629" s="60"/>
      <c r="D629" s="60"/>
      <c r="E629" s="60"/>
      <c r="F629" s="61"/>
      <c r="G629" s="60"/>
    </row>
    <row r="630" ht="71.25" customHeight="1">
      <c r="A630" s="60"/>
      <c r="B630" s="60"/>
      <c r="C630" s="60"/>
      <c r="D630" s="60"/>
      <c r="E630" s="60"/>
      <c r="F630" s="61"/>
      <c r="G630" s="60"/>
    </row>
    <row r="631" ht="71.25" customHeight="1">
      <c r="A631" s="60"/>
      <c r="B631" s="60"/>
      <c r="C631" s="60"/>
      <c r="D631" s="60"/>
      <c r="E631" s="60"/>
      <c r="F631" s="61"/>
      <c r="G631" s="60"/>
    </row>
    <row r="632" ht="71.25" customHeight="1">
      <c r="A632" s="60"/>
      <c r="B632" s="60"/>
      <c r="C632" s="60"/>
      <c r="D632" s="60"/>
      <c r="E632" s="60"/>
      <c r="F632" s="61"/>
      <c r="G632" s="60"/>
    </row>
    <row r="633" ht="71.25" customHeight="1">
      <c r="A633" s="60"/>
      <c r="B633" s="60"/>
      <c r="C633" s="60"/>
      <c r="D633" s="60"/>
      <c r="E633" s="60"/>
      <c r="F633" s="61"/>
      <c r="G633" s="60"/>
    </row>
    <row r="634" ht="71.25" customHeight="1">
      <c r="A634" s="60"/>
      <c r="B634" s="60"/>
      <c r="C634" s="60"/>
      <c r="D634" s="60"/>
      <c r="E634" s="60"/>
      <c r="F634" s="61"/>
      <c r="G634" s="60"/>
    </row>
    <row r="635" ht="71.25" customHeight="1">
      <c r="A635" s="60"/>
      <c r="B635" s="60"/>
      <c r="C635" s="60"/>
      <c r="D635" s="60"/>
      <c r="E635" s="60"/>
      <c r="F635" s="61"/>
      <c r="G635" s="60"/>
    </row>
    <row r="636" ht="71.25" customHeight="1">
      <c r="A636" s="60"/>
      <c r="B636" s="60"/>
      <c r="C636" s="60"/>
      <c r="D636" s="60"/>
      <c r="E636" s="60"/>
      <c r="F636" s="61"/>
      <c r="G636" s="60"/>
    </row>
    <row r="637" ht="71.25" customHeight="1">
      <c r="A637" s="60"/>
      <c r="B637" s="60"/>
      <c r="C637" s="60"/>
      <c r="D637" s="60"/>
      <c r="E637" s="60"/>
      <c r="F637" s="61"/>
      <c r="G637" s="60"/>
    </row>
    <row r="638" ht="71.25" customHeight="1">
      <c r="A638" s="60"/>
      <c r="B638" s="60"/>
      <c r="C638" s="60"/>
      <c r="D638" s="60"/>
      <c r="E638" s="60"/>
      <c r="F638" s="61"/>
      <c r="G638" s="60"/>
    </row>
    <row r="639" ht="71.25" customHeight="1">
      <c r="A639" s="60"/>
      <c r="B639" s="60"/>
      <c r="C639" s="60"/>
      <c r="D639" s="60"/>
      <c r="E639" s="60"/>
      <c r="F639" s="61"/>
      <c r="G639" s="60"/>
    </row>
    <row r="640" ht="71.25" customHeight="1">
      <c r="A640" s="60"/>
      <c r="B640" s="60"/>
      <c r="C640" s="60"/>
      <c r="D640" s="60"/>
      <c r="E640" s="60"/>
      <c r="F640" s="61"/>
      <c r="G640" s="60"/>
    </row>
    <row r="641" ht="71.25" customHeight="1">
      <c r="A641" s="60"/>
      <c r="B641" s="60"/>
      <c r="C641" s="60"/>
      <c r="D641" s="60"/>
      <c r="E641" s="60"/>
      <c r="F641" s="61"/>
      <c r="G641" s="60"/>
    </row>
    <row r="642" ht="71.25" customHeight="1">
      <c r="A642" s="60"/>
      <c r="B642" s="60"/>
      <c r="C642" s="60"/>
      <c r="D642" s="60"/>
      <c r="E642" s="60"/>
      <c r="F642" s="61"/>
      <c r="G642" s="60"/>
    </row>
    <row r="643" ht="71.25" customHeight="1">
      <c r="A643" s="60"/>
      <c r="B643" s="60"/>
      <c r="C643" s="60"/>
      <c r="D643" s="60"/>
      <c r="E643" s="60"/>
      <c r="F643" s="61"/>
      <c r="G643" s="60"/>
    </row>
    <row r="644" ht="71.25" customHeight="1">
      <c r="A644" s="60"/>
      <c r="B644" s="60"/>
      <c r="C644" s="60"/>
      <c r="D644" s="60"/>
      <c r="E644" s="60"/>
      <c r="F644" s="61"/>
      <c r="G644" s="60"/>
    </row>
    <row r="645" ht="71.25" customHeight="1">
      <c r="A645" s="60"/>
      <c r="B645" s="60"/>
      <c r="C645" s="60"/>
      <c r="D645" s="60"/>
      <c r="E645" s="60"/>
      <c r="F645" s="61"/>
      <c r="G645" s="60"/>
    </row>
    <row r="646" ht="71.25" customHeight="1">
      <c r="A646" s="60"/>
      <c r="B646" s="60"/>
      <c r="C646" s="60"/>
      <c r="D646" s="60"/>
      <c r="E646" s="60"/>
      <c r="F646" s="61"/>
      <c r="G646" s="60"/>
    </row>
    <row r="647" ht="71.25" customHeight="1">
      <c r="A647" s="60"/>
      <c r="B647" s="60"/>
      <c r="C647" s="60"/>
      <c r="D647" s="60"/>
      <c r="E647" s="60"/>
      <c r="F647" s="61"/>
      <c r="G647" s="60"/>
    </row>
    <row r="648" ht="71.25" customHeight="1">
      <c r="A648" s="60"/>
      <c r="B648" s="60"/>
      <c r="C648" s="60"/>
      <c r="D648" s="60"/>
      <c r="E648" s="60"/>
      <c r="F648" s="61"/>
      <c r="G648" s="60"/>
    </row>
    <row r="649" ht="71.25" customHeight="1">
      <c r="A649" s="60"/>
      <c r="B649" s="60"/>
      <c r="C649" s="60"/>
      <c r="D649" s="60"/>
      <c r="E649" s="60"/>
      <c r="F649" s="61"/>
      <c r="G649" s="60"/>
    </row>
    <row r="650" ht="71.25" customHeight="1">
      <c r="A650" s="60"/>
      <c r="B650" s="60"/>
      <c r="C650" s="60"/>
      <c r="D650" s="60"/>
      <c r="E650" s="60"/>
      <c r="F650" s="61"/>
      <c r="G650" s="60"/>
    </row>
    <row r="651" ht="71.25" customHeight="1">
      <c r="A651" s="60"/>
      <c r="B651" s="60"/>
      <c r="C651" s="60"/>
      <c r="D651" s="60"/>
      <c r="E651" s="60"/>
      <c r="F651" s="61"/>
      <c r="G651" s="60"/>
    </row>
    <row r="652" ht="71.25" customHeight="1">
      <c r="A652" s="60"/>
      <c r="B652" s="60"/>
      <c r="C652" s="60"/>
      <c r="D652" s="60"/>
      <c r="E652" s="60"/>
      <c r="F652" s="61"/>
      <c r="G652" s="60"/>
    </row>
    <row r="653" ht="71.25" customHeight="1">
      <c r="A653" s="60"/>
      <c r="B653" s="60"/>
      <c r="C653" s="60"/>
      <c r="D653" s="60"/>
      <c r="E653" s="60"/>
      <c r="F653" s="61"/>
      <c r="G653" s="60"/>
    </row>
    <row r="654" ht="71.25" customHeight="1">
      <c r="A654" s="60"/>
      <c r="B654" s="60"/>
      <c r="C654" s="60"/>
      <c r="D654" s="60"/>
      <c r="E654" s="60"/>
      <c r="F654" s="61"/>
      <c r="G654" s="60"/>
    </row>
    <row r="655" ht="71.25" customHeight="1">
      <c r="A655" s="60"/>
      <c r="B655" s="60"/>
      <c r="C655" s="60"/>
      <c r="D655" s="60"/>
      <c r="E655" s="60"/>
      <c r="F655" s="61"/>
      <c r="G655" s="60"/>
    </row>
    <row r="656" ht="71.25" customHeight="1">
      <c r="A656" s="60"/>
      <c r="B656" s="60"/>
      <c r="C656" s="60"/>
      <c r="D656" s="60"/>
      <c r="E656" s="60"/>
      <c r="F656" s="61"/>
      <c r="G656" s="60"/>
    </row>
    <row r="657" ht="71.25" customHeight="1">
      <c r="A657" s="60"/>
      <c r="B657" s="60"/>
      <c r="C657" s="60"/>
      <c r="D657" s="60"/>
      <c r="E657" s="60"/>
      <c r="F657" s="61"/>
      <c r="G657" s="60"/>
    </row>
    <row r="658" ht="71.25" customHeight="1">
      <c r="A658" s="60"/>
      <c r="B658" s="60"/>
      <c r="C658" s="60"/>
      <c r="D658" s="60"/>
      <c r="E658" s="60"/>
      <c r="F658" s="61"/>
      <c r="G658" s="60"/>
    </row>
    <row r="659" ht="71.25" customHeight="1">
      <c r="A659" s="60"/>
      <c r="B659" s="60"/>
      <c r="C659" s="60"/>
      <c r="D659" s="60"/>
      <c r="E659" s="60"/>
      <c r="F659" s="61"/>
      <c r="G659" s="60"/>
    </row>
    <row r="660" ht="71.25" customHeight="1">
      <c r="A660" s="60"/>
      <c r="B660" s="60"/>
      <c r="C660" s="60"/>
      <c r="D660" s="60"/>
      <c r="E660" s="60"/>
      <c r="F660" s="61"/>
      <c r="G660" s="60"/>
    </row>
    <row r="661" ht="71.25" customHeight="1">
      <c r="A661" s="60"/>
      <c r="B661" s="60"/>
      <c r="C661" s="60"/>
      <c r="D661" s="60"/>
      <c r="E661" s="60"/>
      <c r="F661" s="61"/>
      <c r="G661" s="60"/>
    </row>
    <row r="662" ht="71.25" customHeight="1">
      <c r="A662" s="60"/>
      <c r="B662" s="60"/>
      <c r="C662" s="60"/>
      <c r="D662" s="60"/>
      <c r="E662" s="60"/>
      <c r="F662" s="61"/>
      <c r="G662" s="60"/>
    </row>
    <row r="663" ht="71.25" customHeight="1">
      <c r="A663" s="60"/>
      <c r="B663" s="60"/>
      <c r="C663" s="60"/>
      <c r="D663" s="60"/>
      <c r="E663" s="60"/>
      <c r="F663" s="61"/>
      <c r="G663" s="60"/>
    </row>
    <row r="664" ht="71.25" customHeight="1">
      <c r="A664" s="60"/>
      <c r="B664" s="60"/>
      <c r="C664" s="60"/>
      <c r="D664" s="60"/>
      <c r="E664" s="60"/>
      <c r="F664" s="61"/>
      <c r="G664" s="60"/>
    </row>
    <row r="665" ht="71.25" customHeight="1">
      <c r="A665" s="60"/>
      <c r="B665" s="60"/>
      <c r="C665" s="60"/>
      <c r="D665" s="60"/>
      <c r="E665" s="60"/>
      <c r="F665" s="61"/>
      <c r="G665" s="60"/>
    </row>
    <row r="666" ht="71.25" customHeight="1">
      <c r="A666" s="60"/>
      <c r="B666" s="60"/>
      <c r="C666" s="60"/>
      <c r="D666" s="60"/>
      <c r="E666" s="60"/>
      <c r="F666" s="61"/>
      <c r="G666" s="60"/>
    </row>
    <row r="667" ht="71.25" customHeight="1">
      <c r="A667" s="60"/>
      <c r="B667" s="60"/>
      <c r="C667" s="60"/>
      <c r="D667" s="60"/>
      <c r="E667" s="60"/>
      <c r="F667" s="61"/>
      <c r="G667" s="60"/>
    </row>
    <row r="668" ht="71.25" customHeight="1">
      <c r="A668" s="60"/>
      <c r="B668" s="60"/>
      <c r="C668" s="60"/>
      <c r="D668" s="60"/>
      <c r="E668" s="60"/>
      <c r="F668" s="61"/>
      <c r="G668" s="60"/>
    </row>
    <row r="669" ht="71.25" customHeight="1">
      <c r="A669" s="60"/>
      <c r="B669" s="60"/>
      <c r="C669" s="60"/>
      <c r="D669" s="60"/>
      <c r="E669" s="60"/>
      <c r="F669" s="61"/>
      <c r="G669" s="60"/>
    </row>
    <row r="670" ht="71.25" customHeight="1">
      <c r="A670" s="60"/>
      <c r="B670" s="60"/>
      <c r="C670" s="60"/>
      <c r="D670" s="60"/>
      <c r="E670" s="60"/>
      <c r="F670" s="61"/>
      <c r="G670" s="60"/>
    </row>
    <row r="671" ht="71.25" customHeight="1">
      <c r="A671" s="60"/>
      <c r="B671" s="60"/>
      <c r="C671" s="60"/>
      <c r="D671" s="60"/>
      <c r="E671" s="60"/>
      <c r="F671" s="61"/>
      <c r="G671" s="60"/>
    </row>
    <row r="672" ht="71.25" customHeight="1">
      <c r="A672" s="60"/>
      <c r="B672" s="60"/>
      <c r="C672" s="60"/>
      <c r="D672" s="60"/>
      <c r="E672" s="60"/>
      <c r="F672" s="61"/>
      <c r="G672" s="60"/>
    </row>
    <row r="673" ht="71.25" customHeight="1">
      <c r="A673" s="60"/>
      <c r="B673" s="60"/>
      <c r="C673" s="60"/>
      <c r="D673" s="60"/>
      <c r="E673" s="60"/>
      <c r="F673" s="61"/>
      <c r="G673" s="60"/>
    </row>
    <row r="674" ht="71.25" customHeight="1">
      <c r="A674" s="60"/>
      <c r="B674" s="60"/>
      <c r="C674" s="60"/>
      <c r="D674" s="60"/>
      <c r="E674" s="60"/>
      <c r="F674" s="61"/>
      <c r="G674" s="60"/>
    </row>
    <row r="675" ht="71.25" customHeight="1">
      <c r="A675" s="60"/>
      <c r="B675" s="60"/>
      <c r="C675" s="60"/>
      <c r="D675" s="60"/>
      <c r="E675" s="60"/>
      <c r="F675" s="61"/>
      <c r="G675" s="60"/>
    </row>
    <row r="676" ht="71.25" customHeight="1">
      <c r="A676" s="60"/>
      <c r="B676" s="60"/>
      <c r="C676" s="60"/>
      <c r="D676" s="60"/>
      <c r="E676" s="60"/>
      <c r="F676" s="61"/>
      <c r="G676" s="60"/>
    </row>
    <row r="677" ht="71.25" customHeight="1">
      <c r="A677" s="60"/>
      <c r="B677" s="60"/>
      <c r="C677" s="60"/>
      <c r="D677" s="60"/>
      <c r="E677" s="60"/>
      <c r="F677" s="61"/>
      <c r="G677" s="60"/>
    </row>
    <row r="678" ht="71.25" customHeight="1">
      <c r="A678" s="60"/>
      <c r="B678" s="60"/>
      <c r="C678" s="60"/>
      <c r="D678" s="60"/>
      <c r="E678" s="60"/>
      <c r="F678" s="61"/>
      <c r="G678" s="60"/>
    </row>
    <row r="679" ht="71.25" customHeight="1">
      <c r="A679" s="60"/>
      <c r="B679" s="60"/>
      <c r="C679" s="60"/>
      <c r="D679" s="60"/>
      <c r="E679" s="60"/>
      <c r="F679" s="61"/>
      <c r="G679" s="60"/>
    </row>
    <row r="680" ht="71.25" customHeight="1">
      <c r="A680" s="60"/>
      <c r="B680" s="60"/>
      <c r="C680" s="60"/>
      <c r="D680" s="60"/>
      <c r="E680" s="60"/>
      <c r="F680" s="61"/>
      <c r="G680" s="60"/>
    </row>
    <row r="681" ht="71.25" customHeight="1">
      <c r="A681" s="60"/>
      <c r="B681" s="60"/>
      <c r="C681" s="60"/>
      <c r="D681" s="60"/>
      <c r="E681" s="60"/>
      <c r="F681" s="61"/>
      <c r="G681" s="60"/>
    </row>
    <row r="682" ht="71.25" customHeight="1">
      <c r="A682" s="60"/>
      <c r="B682" s="60"/>
      <c r="C682" s="60"/>
      <c r="D682" s="60"/>
      <c r="E682" s="60"/>
      <c r="F682" s="61"/>
      <c r="G682" s="60"/>
    </row>
    <row r="683" ht="71.25" customHeight="1">
      <c r="A683" s="60"/>
      <c r="B683" s="60"/>
      <c r="C683" s="60"/>
      <c r="D683" s="60"/>
      <c r="E683" s="60"/>
      <c r="F683" s="61"/>
      <c r="G683" s="60"/>
    </row>
    <row r="684" ht="71.25" customHeight="1">
      <c r="A684" s="60"/>
      <c r="B684" s="60"/>
      <c r="C684" s="60"/>
      <c r="D684" s="60"/>
      <c r="E684" s="60"/>
      <c r="F684" s="61"/>
      <c r="G684" s="60"/>
    </row>
    <row r="685" ht="71.25" customHeight="1">
      <c r="A685" s="60"/>
      <c r="B685" s="60"/>
      <c r="C685" s="60"/>
      <c r="D685" s="60"/>
      <c r="E685" s="60"/>
      <c r="F685" s="61"/>
      <c r="G685" s="60"/>
    </row>
    <row r="686" ht="71.25" customHeight="1">
      <c r="A686" s="60"/>
      <c r="B686" s="60"/>
      <c r="C686" s="60"/>
      <c r="D686" s="60"/>
      <c r="E686" s="60"/>
      <c r="F686" s="61"/>
      <c r="G686" s="60"/>
    </row>
    <row r="687" ht="71.25" customHeight="1">
      <c r="A687" s="60"/>
      <c r="B687" s="60"/>
      <c r="C687" s="60"/>
      <c r="D687" s="60"/>
      <c r="E687" s="60"/>
      <c r="F687" s="61"/>
      <c r="G687" s="60"/>
    </row>
    <row r="688" ht="71.25" customHeight="1">
      <c r="A688" s="60"/>
      <c r="B688" s="60"/>
      <c r="C688" s="60"/>
      <c r="D688" s="60"/>
      <c r="E688" s="60"/>
      <c r="F688" s="61"/>
      <c r="G688" s="60"/>
    </row>
    <row r="689" ht="71.25" customHeight="1">
      <c r="A689" s="60"/>
      <c r="B689" s="60"/>
      <c r="C689" s="60"/>
      <c r="D689" s="60"/>
      <c r="E689" s="60"/>
      <c r="F689" s="61"/>
      <c r="G689" s="60"/>
    </row>
    <row r="690" ht="71.25" customHeight="1">
      <c r="A690" s="60"/>
      <c r="B690" s="60"/>
      <c r="C690" s="60"/>
      <c r="D690" s="60"/>
      <c r="E690" s="60"/>
      <c r="F690" s="61"/>
      <c r="G690" s="60"/>
    </row>
    <row r="691" ht="71.25" customHeight="1">
      <c r="A691" s="60"/>
      <c r="B691" s="60"/>
      <c r="C691" s="60"/>
      <c r="D691" s="60"/>
      <c r="E691" s="60"/>
      <c r="F691" s="61"/>
      <c r="G691" s="60"/>
    </row>
    <row r="692" ht="71.25" customHeight="1">
      <c r="A692" s="60"/>
      <c r="B692" s="60"/>
      <c r="C692" s="60"/>
      <c r="D692" s="60"/>
      <c r="E692" s="60"/>
      <c r="F692" s="61"/>
      <c r="G692" s="60"/>
    </row>
    <row r="693" ht="71.25" customHeight="1">
      <c r="A693" s="60"/>
      <c r="B693" s="60"/>
      <c r="C693" s="60"/>
      <c r="D693" s="60"/>
      <c r="E693" s="60"/>
      <c r="F693" s="61"/>
      <c r="G693" s="60"/>
    </row>
    <row r="694" ht="71.25" customHeight="1">
      <c r="A694" s="60"/>
      <c r="B694" s="60"/>
      <c r="C694" s="60"/>
      <c r="D694" s="60"/>
      <c r="E694" s="60"/>
      <c r="F694" s="61"/>
      <c r="G694" s="60"/>
    </row>
    <row r="695" ht="71.25" customHeight="1">
      <c r="A695" s="60"/>
      <c r="B695" s="60"/>
      <c r="C695" s="60"/>
      <c r="D695" s="60"/>
      <c r="E695" s="60"/>
      <c r="F695" s="61"/>
      <c r="G695" s="60"/>
    </row>
    <row r="696" ht="71.25" customHeight="1">
      <c r="A696" s="60"/>
      <c r="B696" s="60"/>
      <c r="C696" s="60"/>
      <c r="D696" s="60"/>
      <c r="E696" s="60"/>
      <c r="F696" s="61"/>
      <c r="G696" s="60"/>
    </row>
    <row r="697" ht="71.25" customHeight="1">
      <c r="A697" s="60"/>
      <c r="B697" s="60"/>
      <c r="C697" s="60"/>
      <c r="D697" s="60"/>
      <c r="E697" s="60"/>
      <c r="F697" s="61"/>
      <c r="G697" s="60"/>
    </row>
    <row r="698" ht="71.25" customHeight="1">
      <c r="A698" s="60"/>
      <c r="B698" s="60"/>
      <c r="C698" s="60"/>
      <c r="D698" s="60"/>
      <c r="E698" s="60"/>
      <c r="F698" s="61"/>
      <c r="G698" s="60"/>
    </row>
    <row r="699" ht="71.25" customHeight="1">
      <c r="A699" s="60"/>
      <c r="B699" s="60"/>
      <c r="C699" s="60"/>
      <c r="D699" s="60"/>
      <c r="E699" s="60"/>
      <c r="F699" s="61"/>
      <c r="G699" s="60"/>
    </row>
    <row r="700" ht="71.25" customHeight="1">
      <c r="A700" s="60"/>
      <c r="B700" s="60"/>
      <c r="C700" s="60"/>
      <c r="D700" s="60"/>
      <c r="E700" s="60"/>
      <c r="F700" s="61"/>
      <c r="G700" s="60"/>
    </row>
    <row r="701" ht="71.25" customHeight="1">
      <c r="A701" s="60"/>
      <c r="B701" s="60"/>
      <c r="C701" s="60"/>
      <c r="D701" s="60"/>
      <c r="E701" s="60"/>
      <c r="F701" s="61"/>
      <c r="G701" s="60"/>
    </row>
    <row r="702" ht="71.25" customHeight="1">
      <c r="A702" s="60"/>
      <c r="B702" s="60"/>
      <c r="C702" s="60"/>
      <c r="D702" s="60"/>
      <c r="E702" s="60"/>
      <c r="F702" s="61"/>
      <c r="G702" s="60"/>
    </row>
    <row r="703" ht="71.25" customHeight="1">
      <c r="A703" s="60"/>
      <c r="B703" s="60"/>
      <c r="C703" s="60"/>
      <c r="D703" s="60"/>
      <c r="E703" s="60"/>
      <c r="F703" s="61"/>
      <c r="G703" s="60"/>
    </row>
    <row r="704" ht="71.25" customHeight="1">
      <c r="A704" s="60"/>
      <c r="B704" s="60"/>
      <c r="C704" s="60"/>
      <c r="D704" s="60"/>
      <c r="E704" s="60"/>
      <c r="F704" s="61"/>
      <c r="G704" s="60"/>
    </row>
    <row r="705" ht="71.25" customHeight="1">
      <c r="A705" s="60"/>
      <c r="B705" s="60"/>
      <c r="C705" s="60"/>
      <c r="D705" s="60"/>
      <c r="E705" s="60"/>
      <c r="F705" s="61"/>
      <c r="G705" s="60"/>
    </row>
    <row r="706" ht="71.25" customHeight="1">
      <c r="A706" s="60"/>
      <c r="B706" s="60"/>
      <c r="C706" s="60"/>
      <c r="D706" s="60"/>
      <c r="E706" s="60"/>
      <c r="F706" s="61"/>
      <c r="G706" s="60"/>
    </row>
    <row r="707" ht="71.25" customHeight="1">
      <c r="A707" s="60"/>
      <c r="B707" s="60"/>
      <c r="C707" s="60"/>
      <c r="D707" s="60"/>
      <c r="E707" s="60"/>
      <c r="F707" s="61"/>
      <c r="G707" s="60"/>
    </row>
    <row r="708" ht="71.25" customHeight="1">
      <c r="A708" s="60"/>
      <c r="B708" s="60"/>
      <c r="C708" s="60"/>
      <c r="D708" s="60"/>
      <c r="E708" s="60"/>
      <c r="F708" s="61"/>
      <c r="G708" s="60"/>
    </row>
    <row r="709" ht="71.25" customHeight="1">
      <c r="A709" s="60"/>
      <c r="B709" s="60"/>
      <c r="C709" s="60"/>
      <c r="D709" s="60"/>
      <c r="E709" s="60"/>
      <c r="F709" s="61"/>
      <c r="G709" s="60"/>
    </row>
    <row r="710" ht="71.25" customHeight="1">
      <c r="A710" s="60"/>
      <c r="B710" s="60"/>
      <c r="C710" s="60"/>
      <c r="D710" s="60"/>
      <c r="E710" s="60"/>
      <c r="F710" s="61"/>
      <c r="G710" s="60"/>
    </row>
    <row r="711" ht="71.25" customHeight="1">
      <c r="A711" s="60"/>
      <c r="B711" s="60"/>
      <c r="C711" s="60"/>
      <c r="D711" s="60"/>
      <c r="E711" s="60"/>
      <c r="F711" s="61"/>
      <c r="G711" s="60"/>
    </row>
    <row r="712" ht="71.25" customHeight="1">
      <c r="A712" s="60"/>
      <c r="B712" s="60"/>
      <c r="C712" s="60"/>
      <c r="D712" s="60"/>
      <c r="E712" s="60"/>
      <c r="F712" s="61"/>
      <c r="G712" s="60"/>
    </row>
    <row r="713" ht="71.25" customHeight="1">
      <c r="A713" s="60"/>
      <c r="B713" s="60"/>
      <c r="C713" s="60"/>
      <c r="D713" s="60"/>
      <c r="E713" s="60"/>
      <c r="F713" s="61"/>
      <c r="G713" s="60"/>
    </row>
    <row r="714" ht="71.25" customHeight="1">
      <c r="A714" s="60"/>
      <c r="B714" s="60"/>
      <c r="C714" s="60"/>
      <c r="D714" s="60"/>
      <c r="E714" s="60"/>
      <c r="F714" s="61"/>
      <c r="G714" s="60"/>
    </row>
    <row r="715" ht="71.25" customHeight="1">
      <c r="A715" s="60"/>
      <c r="B715" s="60"/>
      <c r="C715" s="60"/>
      <c r="D715" s="60"/>
      <c r="E715" s="60"/>
      <c r="F715" s="61"/>
      <c r="G715" s="60"/>
    </row>
    <row r="716" ht="71.25" customHeight="1">
      <c r="A716" s="60"/>
      <c r="B716" s="60"/>
      <c r="C716" s="60"/>
      <c r="D716" s="60"/>
      <c r="E716" s="60"/>
      <c r="F716" s="61"/>
      <c r="G716" s="60"/>
    </row>
    <row r="717" ht="71.25" customHeight="1">
      <c r="A717" s="60"/>
      <c r="B717" s="60"/>
      <c r="C717" s="60"/>
      <c r="D717" s="60"/>
      <c r="E717" s="60"/>
      <c r="F717" s="61"/>
      <c r="G717" s="60"/>
    </row>
    <row r="718" ht="71.25" customHeight="1">
      <c r="A718" s="60"/>
      <c r="B718" s="60"/>
      <c r="C718" s="60"/>
      <c r="D718" s="60"/>
      <c r="E718" s="60"/>
      <c r="F718" s="61"/>
      <c r="G718" s="60"/>
    </row>
    <row r="719" ht="71.25" customHeight="1">
      <c r="A719" s="60"/>
      <c r="B719" s="60"/>
      <c r="C719" s="60"/>
      <c r="D719" s="60"/>
      <c r="E719" s="60"/>
      <c r="F719" s="61"/>
      <c r="G719" s="60"/>
    </row>
    <row r="720" ht="71.25" customHeight="1">
      <c r="A720" s="60"/>
      <c r="B720" s="60"/>
      <c r="C720" s="60"/>
      <c r="D720" s="60"/>
      <c r="E720" s="60"/>
      <c r="F720" s="61"/>
      <c r="G720" s="60"/>
    </row>
    <row r="721" ht="71.25" customHeight="1">
      <c r="A721" s="60"/>
      <c r="B721" s="60"/>
      <c r="C721" s="60"/>
      <c r="D721" s="60"/>
      <c r="E721" s="60"/>
      <c r="F721" s="61"/>
      <c r="G721" s="60"/>
    </row>
    <row r="722" ht="71.25" customHeight="1">
      <c r="A722" s="60"/>
      <c r="B722" s="60"/>
      <c r="C722" s="60"/>
      <c r="D722" s="60"/>
      <c r="E722" s="60"/>
      <c r="F722" s="61"/>
      <c r="G722" s="60"/>
    </row>
    <row r="723" ht="71.25" customHeight="1">
      <c r="A723" s="60"/>
      <c r="B723" s="60"/>
      <c r="C723" s="60"/>
      <c r="D723" s="60"/>
      <c r="E723" s="60"/>
      <c r="F723" s="61"/>
      <c r="G723" s="60"/>
    </row>
    <row r="724" ht="71.25" customHeight="1">
      <c r="A724" s="60"/>
      <c r="B724" s="60"/>
      <c r="C724" s="60"/>
      <c r="D724" s="60"/>
      <c r="E724" s="60"/>
      <c r="F724" s="61"/>
      <c r="G724" s="60"/>
    </row>
    <row r="725" ht="71.25" customHeight="1">
      <c r="A725" s="60"/>
      <c r="B725" s="60"/>
      <c r="C725" s="60"/>
      <c r="D725" s="60"/>
      <c r="E725" s="60"/>
      <c r="F725" s="61"/>
      <c r="G725" s="60"/>
    </row>
    <row r="726" ht="71.25" customHeight="1">
      <c r="A726" s="60"/>
      <c r="B726" s="60"/>
      <c r="C726" s="60"/>
      <c r="D726" s="60"/>
      <c r="E726" s="60"/>
      <c r="F726" s="61"/>
      <c r="G726" s="60"/>
    </row>
    <row r="727" ht="71.25" customHeight="1">
      <c r="A727" s="60"/>
      <c r="B727" s="60"/>
      <c r="C727" s="60"/>
      <c r="D727" s="60"/>
      <c r="E727" s="60"/>
      <c r="F727" s="61"/>
      <c r="G727" s="60"/>
    </row>
    <row r="728" ht="71.25" customHeight="1">
      <c r="A728" s="60"/>
      <c r="B728" s="60"/>
      <c r="C728" s="60"/>
      <c r="D728" s="60"/>
      <c r="E728" s="60"/>
      <c r="F728" s="61"/>
      <c r="G728" s="60"/>
    </row>
    <row r="729" ht="71.25" customHeight="1">
      <c r="A729" s="60"/>
      <c r="B729" s="60"/>
      <c r="C729" s="60"/>
      <c r="D729" s="60"/>
      <c r="E729" s="60"/>
      <c r="F729" s="61"/>
      <c r="G729" s="60"/>
    </row>
    <row r="730" ht="71.25" customHeight="1">
      <c r="A730" s="60"/>
      <c r="B730" s="60"/>
      <c r="C730" s="60"/>
      <c r="D730" s="60"/>
      <c r="E730" s="60"/>
      <c r="F730" s="61"/>
      <c r="G730" s="60"/>
    </row>
    <row r="731" ht="71.25" customHeight="1">
      <c r="A731" s="60"/>
      <c r="B731" s="60"/>
      <c r="C731" s="60"/>
      <c r="D731" s="60"/>
      <c r="E731" s="60"/>
      <c r="F731" s="61"/>
      <c r="G731" s="60"/>
    </row>
    <row r="732" ht="71.25" customHeight="1">
      <c r="A732" s="60"/>
      <c r="B732" s="60"/>
      <c r="C732" s="60"/>
      <c r="D732" s="60"/>
      <c r="E732" s="60"/>
      <c r="F732" s="61"/>
      <c r="G732" s="60"/>
    </row>
    <row r="733" ht="71.25" customHeight="1">
      <c r="A733" s="60"/>
      <c r="B733" s="60"/>
      <c r="C733" s="60"/>
      <c r="D733" s="60"/>
      <c r="E733" s="60"/>
      <c r="F733" s="61"/>
      <c r="G733" s="60"/>
    </row>
    <row r="734" ht="71.25" customHeight="1">
      <c r="A734" s="60"/>
      <c r="B734" s="60"/>
      <c r="C734" s="60"/>
      <c r="D734" s="60"/>
      <c r="E734" s="60"/>
      <c r="F734" s="61"/>
      <c r="G734" s="60"/>
    </row>
    <row r="735" ht="71.25" customHeight="1">
      <c r="A735" s="60"/>
      <c r="B735" s="60"/>
      <c r="C735" s="60"/>
      <c r="D735" s="60"/>
      <c r="E735" s="60"/>
      <c r="F735" s="61"/>
      <c r="G735" s="60"/>
    </row>
    <row r="736" ht="71.25" customHeight="1">
      <c r="A736" s="60"/>
      <c r="B736" s="60"/>
      <c r="C736" s="60"/>
      <c r="D736" s="60"/>
      <c r="E736" s="60"/>
      <c r="F736" s="61"/>
      <c r="G736" s="60"/>
    </row>
    <row r="737" ht="71.25" customHeight="1">
      <c r="A737" s="60"/>
      <c r="B737" s="60"/>
      <c r="C737" s="60"/>
      <c r="D737" s="60"/>
      <c r="E737" s="60"/>
      <c r="F737" s="61"/>
      <c r="G737" s="60"/>
    </row>
    <row r="738" ht="71.25" customHeight="1">
      <c r="A738" s="60"/>
      <c r="B738" s="60"/>
      <c r="C738" s="60"/>
      <c r="D738" s="60"/>
      <c r="E738" s="60"/>
      <c r="F738" s="61"/>
      <c r="G738" s="60"/>
    </row>
    <row r="739" ht="71.25" customHeight="1">
      <c r="A739" s="60"/>
      <c r="B739" s="60"/>
      <c r="C739" s="60"/>
      <c r="D739" s="60"/>
      <c r="E739" s="60"/>
      <c r="F739" s="61"/>
      <c r="G739" s="60"/>
    </row>
    <row r="740" ht="71.25" customHeight="1">
      <c r="A740" s="60"/>
      <c r="B740" s="60"/>
      <c r="C740" s="60"/>
      <c r="D740" s="60"/>
      <c r="E740" s="60"/>
      <c r="F740" s="61"/>
      <c r="G740" s="60"/>
    </row>
    <row r="741" ht="71.25" customHeight="1">
      <c r="A741" s="60"/>
      <c r="B741" s="60"/>
      <c r="C741" s="60"/>
      <c r="D741" s="60"/>
      <c r="E741" s="60"/>
      <c r="F741" s="61"/>
      <c r="G741" s="60"/>
    </row>
    <row r="742" ht="71.25" customHeight="1">
      <c r="A742" s="60"/>
      <c r="B742" s="60"/>
      <c r="C742" s="60"/>
      <c r="D742" s="60"/>
      <c r="E742" s="60"/>
      <c r="F742" s="61"/>
      <c r="G742" s="60"/>
    </row>
    <row r="743" ht="71.25" customHeight="1">
      <c r="A743" s="60"/>
      <c r="B743" s="60"/>
      <c r="C743" s="60"/>
      <c r="D743" s="60"/>
      <c r="E743" s="60"/>
      <c r="F743" s="61"/>
      <c r="G743" s="60"/>
    </row>
    <row r="744" ht="71.25" customHeight="1">
      <c r="A744" s="60"/>
      <c r="B744" s="60"/>
      <c r="C744" s="60"/>
      <c r="D744" s="60"/>
      <c r="E744" s="60"/>
      <c r="F744" s="61"/>
      <c r="G744" s="60"/>
    </row>
    <row r="745" ht="71.25" customHeight="1">
      <c r="A745" s="60"/>
      <c r="B745" s="60"/>
      <c r="C745" s="60"/>
      <c r="D745" s="60"/>
      <c r="E745" s="60"/>
      <c r="F745" s="61"/>
      <c r="G745" s="60"/>
    </row>
    <row r="746" ht="71.25" customHeight="1">
      <c r="A746" s="60"/>
      <c r="B746" s="60"/>
      <c r="C746" s="60"/>
      <c r="D746" s="60"/>
      <c r="E746" s="60"/>
      <c r="F746" s="61"/>
      <c r="G746" s="60"/>
    </row>
    <row r="747" ht="71.25" customHeight="1">
      <c r="A747" s="60"/>
      <c r="B747" s="60"/>
      <c r="C747" s="60"/>
      <c r="D747" s="60"/>
      <c r="E747" s="60"/>
      <c r="F747" s="61"/>
      <c r="G747" s="60"/>
    </row>
    <row r="748" ht="71.25" customHeight="1">
      <c r="A748" s="60"/>
      <c r="B748" s="60"/>
      <c r="C748" s="60"/>
      <c r="D748" s="60"/>
      <c r="E748" s="60"/>
      <c r="F748" s="61"/>
      <c r="G748" s="60"/>
    </row>
    <row r="749" ht="71.25" customHeight="1">
      <c r="A749" s="60"/>
      <c r="B749" s="60"/>
      <c r="C749" s="60"/>
      <c r="D749" s="60"/>
      <c r="E749" s="60"/>
      <c r="F749" s="61"/>
      <c r="G749" s="60"/>
    </row>
    <row r="750" ht="71.25" customHeight="1">
      <c r="A750" s="60"/>
      <c r="B750" s="60"/>
      <c r="C750" s="60"/>
      <c r="D750" s="60"/>
      <c r="E750" s="60"/>
      <c r="F750" s="61"/>
      <c r="G750" s="60"/>
    </row>
    <row r="751" ht="71.25" customHeight="1">
      <c r="A751" s="60"/>
      <c r="B751" s="60"/>
      <c r="C751" s="60"/>
      <c r="D751" s="60"/>
      <c r="E751" s="60"/>
      <c r="F751" s="61"/>
      <c r="G751" s="60"/>
    </row>
    <row r="752" ht="71.25" customHeight="1">
      <c r="A752" s="60"/>
      <c r="B752" s="60"/>
      <c r="C752" s="60"/>
      <c r="D752" s="60"/>
      <c r="E752" s="60"/>
      <c r="F752" s="61"/>
      <c r="G752" s="60"/>
    </row>
    <row r="753" ht="71.25" customHeight="1">
      <c r="A753" s="60"/>
      <c r="B753" s="60"/>
      <c r="C753" s="60"/>
      <c r="D753" s="60"/>
      <c r="E753" s="60"/>
      <c r="F753" s="61"/>
      <c r="G753" s="60"/>
    </row>
    <row r="754" ht="71.25" customHeight="1">
      <c r="A754" s="60"/>
      <c r="B754" s="60"/>
      <c r="C754" s="60"/>
      <c r="D754" s="60"/>
      <c r="E754" s="60"/>
      <c r="F754" s="61"/>
      <c r="G754" s="60"/>
    </row>
    <row r="755" ht="71.25" customHeight="1">
      <c r="A755" s="60"/>
      <c r="B755" s="60"/>
      <c r="C755" s="60"/>
      <c r="D755" s="60"/>
      <c r="E755" s="60"/>
      <c r="F755" s="61"/>
      <c r="G755" s="60"/>
    </row>
    <row r="756" ht="71.25" customHeight="1">
      <c r="A756" s="60"/>
      <c r="B756" s="60"/>
      <c r="C756" s="60"/>
      <c r="D756" s="60"/>
      <c r="E756" s="60"/>
      <c r="F756" s="61"/>
      <c r="G756" s="60"/>
    </row>
    <row r="757" ht="71.25" customHeight="1">
      <c r="A757" s="60"/>
      <c r="B757" s="60"/>
      <c r="C757" s="60"/>
      <c r="D757" s="60"/>
      <c r="E757" s="60"/>
      <c r="F757" s="61"/>
      <c r="G757" s="60"/>
    </row>
    <row r="758" ht="71.25" customHeight="1">
      <c r="A758" s="60"/>
      <c r="B758" s="60"/>
      <c r="C758" s="60"/>
      <c r="D758" s="60"/>
      <c r="E758" s="60"/>
      <c r="F758" s="61"/>
      <c r="G758" s="60"/>
    </row>
    <row r="759" ht="71.25" customHeight="1">
      <c r="A759" s="60"/>
      <c r="B759" s="60"/>
      <c r="C759" s="60"/>
      <c r="D759" s="60"/>
      <c r="E759" s="60"/>
      <c r="F759" s="61"/>
      <c r="G759" s="60"/>
    </row>
    <row r="760" ht="71.25" customHeight="1">
      <c r="A760" s="60"/>
      <c r="B760" s="60"/>
      <c r="C760" s="60"/>
      <c r="D760" s="60"/>
      <c r="E760" s="60"/>
      <c r="F760" s="61"/>
      <c r="G760" s="60"/>
    </row>
    <row r="761" ht="71.25" customHeight="1">
      <c r="A761" s="60"/>
      <c r="B761" s="60"/>
      <c r="C761" s="60"/>
      <c r="D761" s="60"/>
      <c r="E761" s="60"/>
      <c r="F761" s="61"/>
      <c r="G761" s="60"/>
    </row>
    <row r="762" ht="71.25" customHeight="1">
      <c r="A762" s="60"/>
      <c r="B762" s="60"/>
      <c r="C762" s="60"/>
      <c r="D762" s="60"/>
      <c r="E762" s="60"/>
      <c r="F762" s="61"/>
      <c r="G762" s="60"/>
    </row>
    <row r="763" ht="71.25" customHeight="1">
      <c r="A763" s="60"/>
      <c r="B763" s="60"/>
      <c r="C763" s="60"/>
      <c r="D763" s="60"/>
      <c r="E763" s="60"/>
      <c r="F763" s="61"/>
      <c r="G763" s="60"/>
    </row>
    <row r="764" ht="71.25" customHeight="1">
      <c r="A764" s="60"/>
      <c r="B764" s="60"/>
      <c r="C764" s="60"/>
      <c r="D764" s="60"/>
      <c r="E764" s="60"/>
      <c r="F764" s="61"/>
      <c r="G764" s="60"/>
    </row>
    <row r="765" ht="71.25" customHeight="1">
      <c r="A765" s="60"/>
      <c r="B765" s="60"/>
      <c r="C765" s="60"/>
      <c r="D765" s="60"/>
      <c r="E765" s="60"/>
      <c r="F765" s="61"/>
      <c r="G765" s="60"/>
    </row>
    <row r="766" ht="71.25" customHeight="1">
      <c r="A766" s="60"/>
      <c r="B766" s="60"/>
      <c r="C766" s="60"/>
      <c r="D766" s="60"/>
      <c r="E766" s="60"/>
      <c r="F766" s="61"/>
      <c r="G766" s="60"/>
    </row>
    <row r="767" ht="71.25" customHeight="1">
      <c r="A767" s="60"/>
      <c r="B767" s="60"/>
      <c r="C767" s="60"/>
      <c r="D767" s="60"/>
      <c r="E767" s="60"/>
      <c r="F767" s="61"/>
      <c r="G767" s="60"/>
    </row>
    <row r="768" ht="71.25" customHeight="1">
      <c r="A768" s="60"/>
      <c r="B768" s="60"/>
      <c r="C768" s="60"/>
      <c r="D768" s="60"/>
      <c r="E768" s="60"/>
      <c r="F768" s="61"/>
      <c r="G768" s="60"/>
    </row>
    <row r="769" ht="71.25" customHeight="1">
      <c r="A769" s="60"/>
      <c r="B769" s="60"/>
      <c r="C769" s="60"/>
      <c r="D769" s="60"/>
      <c r="E769" s="60"/>
      <c r="F769" s="61"/>
      <c r="G769" s="60"/>
    </row>
    <row r="770" ht="71.25" customHeight="1">
      <c r="A770" s="60"/>
      <c r="B770" s="60"/>
      <c r="C770" s="60"/>
      <c r="D770" s="60"/>
      <c r="E770" s="60"/>
      <c r="F770" s="61"/>
      <c r="G770" s="60"/>
    </row>
    <row r="771" ht="71.25" customHeight="1">
      <c r="A771" s="60"/>
      <c r="B771" s="60"/>
      <c r="C771" s="60"/>
      <c r="D771" s="60"/>
      <c r="E771" s="60"/>
      <c r="F771" s="61"/>
      <c r="G771" s="60"/>
    </row>
    <row r="772" ht="71.25" customHeight="1">
      <c r="A772" s="60"/>
      <c r="B772" s="60"/>
      <c r="C772" s="60"/>
      <c r="D772" s="60"/>
      <c r="E772" s="60"/>
      <c r="F772" s="61"/>
      <c r="G772" s="60"/>
    </row>
    <row r="773" ht="71.25" customHeight="1">
      <c r="A773" s="60"/>
      <c r="B773" s="60"/>
      <c r="C773" s="60"/>
      <c r="D773" s="60"/>
      <c r="E773" s="60"/>
      <c r="F773" s="61"/>
      <c r="G773" s="60"/>
    </row>
    <row r="774" ht="71.25" customHeight="1">
      <c r="A774" s="60"/>
      <c r="B774" s="60"/>
      <c r="C774" s="60"/>
      <c r="D774" s="60"/>
      <c r="E774" s="60"/>
      <c r="F774" s="61"/>
      <c r="G774" s="60"/>
    </row>
    <row r="775" ht="71.25" customHeight="1">
      <c r="A775" s="60"/>
      <c r="B775" s="60"/>
      <c r="C775" s="60"/>
      <c r="D775" s="60"/>
      <c r="E775" s="60"/>
      <c r="F775" s="61"/>
      <c r="G775" s="60"/>
    </row>
    <row r="776" ht="71.25" customHeight="1">
      <c r="A776" s="60"/>
      <c r="B776" s="60"/>
      <c r="C776" s="60"/>
      <c r="D776" s="60"/>
      <c r="E776" s="60"/>
      <c r="F776" s="61"/>
      <c r="G776" s="60"/>
    </row>
    <row r="777" ht="71.25" customHeight="1">
      <c r="A777" s="60"/>
      <c r="B777" s="60"/>
      <c r="C777" s="60"/>
      <c r="D777" s="60"/>
      <c r="E777" s="60"/>
      <c r="F777" s="61"/>
      <c r="G777" s="60"/>
    </row>
    <row r="778" ht="71.25" customHeight="1">
      <c r="A778" s="60"/>
      <c r="B778" s="60"/>
      <c r="C778" s="60"/>
      <c r="D778" s="60"/>
      <c r="E778" s="60"/>
      <c r="F778" s="61"/>
      <c r="G778" s="60"/>
    </row>
    <row r="779" ht="71.25" customHeight="1">
      <c r="A779" s="60"/>
      <c r="B779" s="60"/>
      <c r="C779" s="60"/>
      <c r="D779" s="60"/>
      <c r="E779" s="60"/>
      <c r="F779" s="61"/>
      <c r="G779" s="60"/>
    </row>
    <row r="780" ht="71.25" customHeight="1">
      <c r="A780" s="60"/>
      <c r="B780" s="60"/>
      <c r="C780" s="60"/>
      <c r="D780" s="60"/>
      <c r="E780" s="60"/>
      <c r="F780" s="61"/>
      <c r="G780" s="60"/>
    </row>
    <row r="781" ht="71.25" customHeight="1">
      <c r="A781" s="60"/>
      <c r="B781" s="60"/>
      <c r="C781" s="60"/>
      <c r="D781" s="60"/>
      <c r="E781" s="60"/>
      <c r="F781" s="61"/>
      <c r="G781" s="60"/>
    </row>
    <row r="782" ht="71.25" customHeight="1">
      <c r="A782" s="60"/>
      <c r="B782" s="60"/>
      <c r="C782" s="60"/>
      <c r="D782" s="60"/>
      <c r="E782" s="60"/>
      <c r="F782" s="61"/>
      <c r="G782" s="60"/>
    </row>
    <row r="783" ht="71.25" customHeight="1">
      <c r="A783" s="60"/>
      <c r="B783" s="60"/>
      <c r="C783" s="60"/>
      <c r="D783" s="60"/>
      <c r="E783" s="60"/>
      <c r="F783" s="61"/>
      <c r="G783" s="60"/>
    </row>
    <row r="784" ht="71.25" customHeight="1">
      <c r="A784" s="60"/>
      <c r="B784" s="60"/>
      <c r="C784" s="60"/>
      <c r="D784" s="60"/>
      <c r="E784" s="60"/>
      <c r="F784" s="61"/>
      <c r="G784" s="60"/>
    </row>
    <row r="785" ht="71.25" customHeight="1">
      <c r="A785" s="60"/>
      <c r="B785" s="60"/>
      <c r="C785" s="60"/>
      <c r="D785" s="60"/>
      <c r="E785" s="60"/>
      <c r="F785" s="61"/>
      <c r="G785" s="60"/>
    </row>
    <row r="786" ht="71.25" customHeight="1">
      <c r="A786" s="60"/>
      <c r="B786" s="60"/>
      <c r="C786" s="60"/>
      <c r="D786" s="60"/>
      <c r="E786" s="60"/>
      <c r="F786" s="61"/>
      <c r="G786" s="60"/>
    </row>
    <row r="787" ht="71.25" customHeight="1">
      <c r="A787" s="60"/>
      <c r="B787" s="60"/>
      <c r="C787" s="60"/>
      <c r="D787" s="60"/>
      <c r="E787" s="60"/>
      <c r="F787" s="61"/>
      <c r="G787" s="60"/>
    </row>
    <row r="788" ht="71.25" customHeight="1">
      <c r="A788" s="60"/>
      <c r="B788" s="60"/>
      <c r="C788" s="60"/>
      <c r="D788" s="60"/>
      <c r="E788" s="60"/>
      <c r="F788" s="61"/>
      <c r="G788" s="60"/>
    </row>
    <row r="789" ht="71.25" customHeight="1">
      <c r="A789" s="60"/>
      <c r="B789" s="60"/>
      <c r="C789" s="60"/>
      <c r="D789" s="60"/>
      <c r="E789" s="60"/>
      <c r="F789" s="61"/>
      <c r="G789" s="60"/>
    </row>
    <row r="790" ht="71.25" customHeight="1">
      <c r="A790" s="60"/>
      <c r="B790" s="60"/>
      <c r="C790" s="60"/>
      <c r="D790" s="60"/>
      <c r="E790" s="60"/>
      <c r="F790" s="61"/>
      <c r="G790" s="60"/>
    </row>
    <row r="791" ht="71.25" customHeight="1">
      <c r="A791" s="60"/>
      <c r="B791" s="60"/>
      <c r="C791" s="60"/>
      <c r="D791" s="60"/>
      <c r="E791" s="60"/>
      <c r="F791" s="61"/>
      <c r="G791" s="60"/>
    </row>
    <row r="792" ht="71.25" customHeight="1">
      <c r="A792" s="60"/>
      <c r="B792" s="60"/>
      <c r="C792" s="60"/>
      <c r="D792" s="60"/>
      <c r="E792" s="60"/>
      <c r="F792" s="61"/>
      <c r="G792" s="60"/>
    </row>
    <row r="793" ht="71.25" customHeight="1">
      <c r="A793" s="60"/>
      <c r="B793" s="60"/>
      <c r="C793" s="60"/>
      <c r="D793" s="60"/>
      <c r="E793" s="60"/>
      <c r="F793" s="61"/>
      <c r="G793" s="60"/>
    </row>
    <row r="794" ht="71.25" customHeight="1">
      <c r="A794" s="60"/>
      <c r="B794" s="60"/>
      <c r="C794" s="60"/>
      <c r="D794" s="60"/>
      <c r="E794" s="60"/>
      <c r="F794" s="61"/>
      <c r="G794" s="60"/>
    </row>
    <row r="795" ht="71.25" customHeight="1">
      <c r="A795" s="60"/>
      <c r="B795" s="60"/>
      <c r="C795" s="60"/>
      <c r="D795" s="60"/>
      <c r="E795" s="60"/>
      <c r="F795" s="61"/>
      <c r="G795" s="60"/>
    </row>
    <row r="796" ht="71.25" customHeight="1">
      <c r="A796" s="60"/>
      <c r="B796" s="60"/>
      <c r="C796" s="60"/>
      <c r="D796" s="60"/>
      <c r="E796" s="60"/>
      <c r="F796" s="61"/>
      <c r="G796" s="60"/>
    </row>
    <row r="797" ht="71.25" customHeight="1">
      <c r="A797" s="60"/>
      <c r="B797" s="60"/>
      <c r="C797" s="60"/>
      <c r="D797" s="60"/>
      <c r="E797" s="60"/>
      <c r="F797" s="61"/>
      <c r="G797" s="60"/>
    </row>
    <row r="798" ht="71.25" customHeight="1">
      <c r="A798" s="60"/>
      <c r="B798" s="60"/>
      <c r="C798" s="60"/>
      <c r="D798" s="60"/>
      <c r="E798" s="60"/>
      <c r="F798" s="61"/>
      <c r="G798" s="60"/>
    </row>
    <row r="799" ht="71.25" customHeight="1">
      <c r="A799" s="60"/>
      <c r="B799" s="60"/>
      <c r="C799" s="60"/>
      <c r="D799" s="60"/>
      <c r="E799" s="60"/>
      <c r="F799" s="61"/>
      <c r="G799" s="60"/>
    </row>
    <row r="800" ht="71.25" customHeight="1">
      <c r="A800" s="60"/>
      <c r="B800" s="60"/>
      <c r="C800" s="60"/>
      <c r="D800" s="60"/>
      <c r="E800" s="60"/>
      <c r="F800" s="61"/>
      <c r="G800" s="60"/>
    </row>
    <row r="801" ht="71.25" customHeight="1">
      <c r="A801" s="60"/>
      <c r="B801" s="60"/>
      <c r="C801" s="60"/>
      <c r="D801" s="60"/>
      <c r="E801" s="60"/>
      <c r="F801" s="61"/>
      <c r="G801" s="60"/>
    </row>
    <row r="802" ht="71.25" customHeight="1">
      <c r="A802" s="60"/>
      <c r="B802" s="60"/>
      <c r="C802" s="60"/>
      <c r="D802" s="60"/>
      <c r="E802" s="60"/>
      <c r="F802" s="61"/>
      <c r="G802" s="60"/>
    </row>
    <row r="803" ht="71.25" customHeight="1">
      <c r="A803" s="60"/>
      <c r="B803" s="60"/>
      <c r="C803" s="60"/>
      <c r="D803" s="60"/>
      <c r="E803" s="60"/>
      <c r="F803" s="61"/>
      <c r="G803" s="60"/>
    </row>
    <row r="804" ht="71.25" customHeight="1">
      <c r="A804" s="60"/>
      <c r="B804" s="60"/>
      <c r="C804" s="60"/>
      <c r="D804" s="60"/>
      <c r="E804" s="60"/>
      <c r="F804" s="61"/>
      <c r="G804" s="60"/>
    </row>
    <row r="805" ht="71.25" customHeight="1">
      <c r="A805" s="60"/>
      <c r="B805" s="60"/>
      <c r="C805" s="60"/>
      <c r="D805" s="60"/>
      <c r="E805" s="60"/>
      <c r="F805" s="61"/>
      <c r="G805" s="60"/>
    </row>
    <row r="806" ht="71.25" customHeight="1">
      <c r="A806" s="60"/>
      <c r="B806" s="60"/>
      <c r="C806" s="60"/>
      <c r="D806" s="60"/>
      <c r="E806" s="60"/>
      <c r="F806" s="61"/>
      <c r="G806" s="60"/>
    </row>
    <row r="807" ht="71.25" customHeight="1">
      <c r="A807" s="60"/>
      <c r="B807" s="60"/>
      <c r="C807" s="60"/>
      <c r="D807" s="60"/>
      <c r="E807" s="60"/>
      <c r="F807" s="61"/>
      <c r="G807" s="60"/>
    </row>
    <row r="808" ht="71.25" customHeight="1">
      <c r="A808" s="60"/>
      <c r="B808" s="60"/>
      <c r="C808" s="60"/>
      <c r="D808" s="60"/>
      <c r="E808" s="60"/>
      <c r="F808" s="61"/>
      <c r="G808" s="60"/>
    </row>
    <row r="809" ht="71.25" customHeight="1">
      <c r="A809" s="60"/>
      <c r="B809" s="60"/>
      <c r="C809" s="60"/>
      <c r="D809" s="60"/>
      <c r="E809" s="60"/>
      <c r="F809" s="61"/>
      <c r="G809" s="60"/>
    </row>
    <row r="810" ht="71.25" customHeight="1">
      <c r="A810" s="60"/>
      <c r="B810" s="60"/>
      <c r="C810" s="60"/>
      <c r="D810" s="60"/>
      <c r="E810" s="60"/>
      <c r="F810" s="61"/>
      <c r="G810" s="60"/>
    </row>
    <row r="811" ht="71.25" customHeight="1">
      <c r="A811" s="60"/>
      <c r="B811" s="60"/>
      <c r="C811" s="60"/>
      <c r="D811" s="60"/>
      <c r="E811" s="60"/>
      <c r="F811" s="61"/>
      <c r="G811" s="60"/>
    </row>
    <row r="812" ht="71.25" customHeight="1">
      <c r="A812" s="60"/>
      <c r="B812" s="60"/>
      <c r="C812" s="60"/>
      <c r="D812" s="60"/>
      <c r="E812" s="60"/>
      <c r="F812" s="61"/>
      <c r="G812" s="60"/>
    </row>
    <row r="813" ht="71.25" customHeight="1">
      <c r="A813" s="60"/>
      <c r="B813" s="60"/>
      <c r="C813" s="60"/>
      <c r="D813" s="60"/>
      <c r="E813" s="60"/>
      <c r="F813" s="61"/>
      <c r="G813" s="60"/>
    </row>
    <row r="814" ht="71.25" customHeight="1">
      <c r="A814" s="60"/>
      <c r="B814" s="60"/>
      <c r="C814" s="60"/>
      <c r="D814" s="60"/>
      <c r="E814" s="60"/>
      <c r="F814" s="61"/>
      <c r="G814" s="60"/>
    </row>
    <row r="815" ht="71.25" customHeight="1">
      <c r="A815" s="60"/>
      <c r="B815" s="60"/>
      <c r="C815" s="60"/>
      <c r="D815" s="60"/>
      <c r="E815" s="60"/>
      <c r="F815" s="61"/>
      <c r="G815" s="60"/>
    </row>
    <row r="816" ht="71.25" customHeight="1">
      <c r="A816" s="60"/>
      <c r="B816" s="60"/>
      <c r="C816" s="60"/>
      <c r="D816" s="60"/>
      <c r="E816" s="60"/>
      <c r="F816" s="61"/>
      <c r="G816" s="60"/>
    </row>
    <row r="817" ht="71.25" customHeight="1">
      <c r="A817" s="60"/>
      <c r="B817" s="60"/>
      <c r="C817" s="60"/>
      <c r="D817" s="60"/>
      <c r="E817" s="60"/>
      <c r="F817" s="61"/>
      <c r="G817" s="60"/>
    </row>
    <row r="818" ht="71.25" customHeight="1">
      <c r="A818" s="60"/>
      <c r="B818" s="60"/>
      <c r="C818" s="60"/>
      <c r="D818" s="60"/>
      <c r="E818" s="60"/>
      <c r="F818" s="61"/>
      <c r="G818" s="60"/>
    </row>
    <row r="819" ht="71.25" customHeight="1">
      <c r="A819" s="60"/>
      <c r="B819" s="60"/>
      <c r="C819" s="60"/>
      <c r="D819" s="60"/>
      <c r="E819" s="60"/>
      <c r="F819" s="61"/>
      <c r="G819" s="60"/>
    </row>
    <row r="820" ht="71.25" customHeight="1">
      <c r="A820" s="60"/>
      <c r="B820" s="60"/>
      <c r="C820" s="60"/>
      <c r="D820" s="60"/>
      <c r="E820" s="60"/>
      <c r="F820" s="61"/>
      <c r="G820" s="60"/>
    </row>
    <row r="821" ht="71.25" customHeight="1">
      <c r="A821" s="60"/>
      <c r="B821" s="60"/>
      <c r="C821" s="60"/>
      <c r="D821" s="60"/>
      <c r="E821" s="60"/>
      <c r="F821" s="61"/>
      <c r="G821" s="60"/>
    </row>
    <row r="822" ht="71.25" customHeight="1">
      <c r="A822" s="60"/>
      <c r="B822" s="60"/>
      <c r="C822" s="60"/>
      <c r="D822" s="60"/>
      <c r="E822" s="60"/>
      <c r="F822" s="61"/>
      <c r="G822" s="60"/>
    </row>
    <row r="823" ht="71.25" customHeight="1">
      <c r="A823" s="60"/>
      <c r="B823" s="60"/>
      <c r="C823" s="60"/>
      <c r="D823" s="60"/>
      <c r="E823" s="60"/>
      <c r="F823" s="61"/>
      <c r="G823" s="60"/>
    </row>
    <row r="824" ht="71.25" customHeight="1">
      <c r="A824" s="60"/>
      <c r="B824" s="60"/>
      <c r="C824" s="60"/>
      <c r="D824" s="60"/>
      <c r="E824" s="60"/>
      <c r="F824" s="61"/>
      <c r="G824" s="60"/>
    </row>
    <row r="825" ht="71.25" customHeight="1">
      <c r="A825" s="60"/>
      <c r="B825" s="60"/>
      <c r="C825" s="60"/>
      <c r="D825" s="60"/>
      <c r="E825" s="60"/>
      <c r="F825" s="61"/>
      <c r="G825" s="60"/>
    </row>
    <row r="826" ht="71.25" customHeight="1">
      <c r="A826" s="60"/>
      <c r="B826" s="60"/>
      <c r="C826" s="60"/>
      <c r="D826" s="60"/>
      <c r="E826" s="60"/>
      <c r="F826" s="61"/>
      <c r="G826" s="60"/>
    </row>
    <row r="827" ht="71.25" customHeight="1">
      <c r="A827" s="60"/>
      <c r="B827" s="60"/>
      <c r="C827" s="60"/>
      <c r="D827" s="60"/>
      <c r="E827" s="60"/>
      <c r="F827" s="61"/>
      <c r="G827" s="60"/>
    </row>
    <row r="828" ht="71.25" customHeight="1">
      <c r="A828" s="60"/>
      <c r="B828" s="60"/>
      <c r="C828" s="60"/>
      <c r="D828" s="60"/>
      <c r="E828" s="60"/>
      <c r="F828" s="61"/>
      <c r="G828" s="60"/>
    </row>
    <row r="829" ht="71.25" customHeight="1">
      <c r="A829" s="60"/>
      <c r="B829" s="60"/>
      <c r="C829" s="60"/>
      <c r="D829" s="60"/>
      <c r="E829" s="60"/>
      <c r="F829" s="61"/>
      <c r="G829" s="60"/>
    </row>
    <row r="830" ht="71.25" customHeight="1">
      <c r="A830" s="60"/>
      <c r="B830" s="60"/>
      <c r="C830" s="60"/>
      <c r="D830" s="60"/>
      <c r="E830" s="60"/>
      <c r="F830" s="61"/>
      <c r="G830" s="60"/>
    </row>
    <row r="831" ht="71.25" customHeight="1">
      <c r="A831" s="60"/>
      <c r="B831" s="60"/>
      <c r="C831" s="60"/>
      <c r="D831" s="60"/>
      <c r="E831" s="60"/>
      <c r="F831" s="61"/>
      <c r="G831" s="60"/>
    </row>
    <row r="832" ht="71.25" customHeight="1">
      <c r="A832" s="60"/>
      <c r="B832" s="60"/>
      <c r="C832" s="60"/>
      <c r="D832" s="60"/>
      <c r="E832" s="60"/>
      <c r="F832" s="61"/>
      <c r="G832" s="60"/>
    </row>
    <row r="833" ht="71.25" customHeight="1">
      <c r="A833" s="60"/>
      <c r="B833" s="60"/>
      <c r="C833" s="60"/>
      <c r="D833" s="60"/>
      <c r="E833" s="60"/>
      <c r="F833" s="61"/>
      <c r="G833" s="60"/>
    </row>
    <row r="834" ht="71.25" customHeight="1">
      <c r="A834" s="60"/>
      <c r="B834" s="60"/>
      <c r="C834" s="60"/>
      <c r="D834" s="60"/>
      <c r="E834" s="60"/>
      <c r="F834" s="61"/>
      <c r="G834" s="60"/>
    </row>
    <row r="835" ht="71.25" customHeight="1">
      <c r="A835" s="60"/>
      <c r="B835" s="60"/>
      <c r="C835" s="60"/>
      <c r="D835" s="60"/>
      <c r="E835" s="60"/>
      <c r="F835" s="61"/>
      <c r="G835" s="60"/>
    </row>
    <row r="836" ht="71.25" customHeight="1">
      <c r="A836" s="60"/>
      <c r="B836" s="60"/>
      <c r="C836" s="60"/>
      <c r="D836" s="60"/>
      <c r="E836" s="60"/>
      <c r="F836" s="61"/>
      <c r="G836" s="60"/>
    </row>
    <row r="837" ht="71.25" customHeight="1">
      <c r="A837" s="60"/>
      <c r="B837" s="60"/>
      <c r="C837" s="60"/>
      <c r="D837" s="60"/>
      <c r="E837" s="60"/>
      <c r="F837" s="61"/>
      <c r="G837" s="60"/>
    </row>
    <row r="838" ht="71.25" customHeight="1">
      <c r="A838" s="60"/>
      <c r="B838" s="60"/>
      <c r="C838" s="60"/>
      <c r="D838" s="60"/>
      <c r="E838" s="60"/>
      <c r="F838" s="61"/>
      <c r="G838" s="60"/>
    </row>
    <row r="839" ht="71.25" customHeight="1">
      <c r="A839" s="60"/>
      <c r="B839" s="60"/>
      <c r="C839" s="60"/>
      <c r="D839" s="60"/>
      <c r="E839" s="60"/>
      <c r="F839" s="61"/>
      <c r="G839" s="60"/>
    </row>
    <row r="840" ht="71.25" customHeight="1">
      <c r="A840" s="60"/>
      <c r="B840" s="60"/>
      <c r="C840" s="60"/>
      <c r="D840" s="60"/>
      <c r="E840" s="60"/>
      <c r="F840" s="61"/>
      <c r="G840" s="60"/>
    </row>
    <row r="841" ht="71.25" customHeight="1">
      <c r="A841" s="60"/>
      <c r="B841" s="60"/>
      <c r="C841" s="60"/>
      <c r="D841" s="60"/>
      <c r="E841" s="60"/>
      <c r="F841" s="61"/>
      <c r="G841" s="60"/>
    </row>
    <row r="842" ht="71.25" customHeight="1">
      <c r="A842" s="60"/>
      <c r="B842" s="60"/>
      <c r="C842" s="60"/>
      <c r="D842" s="60"/>
      <c r="E842" s="60"/>
      <c r="F842" s="61"/>
      <c r="G842" s="60"/>
    </row>
    <row r="843" ht="71.25" customHeight="1">
      <c r="A843" s="60"/>
      <c r="B843" s="60"/>
      <c r="C843" s="60"/>
      <c r="D843" s="60"/>
      <c r="E843" s="60"/>
      <c r="F843" s="61"/>
      <c r="G843" s="60"/>
    </row>
    <row r="844" ht="71.25" customHeight="1">
      <c r="A844" s="60"/>
      <c r="B844" s="60"/>
      <c r="C844" s="60"/>
      <c r="D844" s="60"/>
      <c r="E844" s="60"/>
      <c r="F844" s="61"/>
      <c r="G844" s="60"/>
    </row>
    <row r="845" ht="71.25" customHeight="1">
      <c r="A845" s="60"/>
      <c r="B845" s="60"/>
      <c r="C845" s="60"/>
      <c r="D845" s="60"/>
      <c r="E845" s="60"/>
      <c r="F845" s="61"/>
      <c r="G845" s="60"/>
    </row>
    <row r="846" ht="71.25" customHeight="1">
      <c r="A846" s="60"/>
      <c r="B846" s="60"/>
      <c r="C846" s="60"/>
      <c r="D846" s="60"/>
      <c r="E846" s="60"/>
      <c r="F846" s="61"/>
      <c r="G846" s="60"/>
    </row>
    <row r="847" ht="71.25" customHeight="1">
      <c r="A847" s="60"/>
      <c r="B847" s="60"/>
      <c r="C847" s="60"/>
      <c r="D847" s="60"/>
      <c r="E847" s="60"/>
      <c r="F847" s="61"/>
      <c r="G847" s="60"/>
    </row>
    <row r="848" ht="71.25" customHeight="1">
      <c r="A848" s="60"/>
      <c r="B848" s="60"/>
      <c r="C848" s="60"/>
      <c r="D848" s="60"/>
      <c r="E848" s="60"/>
      <c r="F848" s="61"/>
      <c r="G848" s="60"/>
    </row>
    <row r="849" ht="71.25" customHeight="1">
      <c r="A849" s="60"/>
      <c r="B849" s="60"/>
      <c r="C849" s="60"/>
      <c r="D849" s="60"/>
      <c r="E849" s="60"/>
      <c r="F849" s="61"/>
      <c r="G849" s="60"/>
    </row>
    <row r="850" ht="71.25" customHeight="1">
      <c r="A850" s="60"/>
      <c r="B850" s="60"/>
      <c r="C850" s="60"/>
      <c r="D850" s="60"/>
      <c r="E850" s="60"/>
      <c r="F850" s="61"/>
      <c r="G850" s="60"/>
    </row>
    <row r="851" ht="71.25" customHeight="1">
      <c r="A851" s="60"/>
      <c r="B851" s="60"/>
      <c r="C851" s="60"/>
      <c r="D851" s="60"/>
      <c r="E851" s="60"/>
      <c r="F851" s="61"/>
      <c r="G851" s="60"/>
    </row>
    <row r="852" ht="71.25" customHeight="1">
      <c r="A852" s="60"/>
      <c r="B852" s="60"/>
      <c r="C852" s="60"/>
      <c r="D852" s="60"/>
      <c r="E852" s="60"/>
      <c r="F852" s="61"/>
      <c r="G852" s="60"/>
    </row>
    <row r="853" ht="71.25" customHeight="1">
      <c r="A853" s="60"/>
      <c r="B853" s="60"/>
      <c r="C853" s="60"/>
      <c r="D853" s="60"/>
      <c r="E853" s="60"/>
      <c r="F853" s="61"/>
      <c r="G853" s="60"/>
    </row>
    <row r="854" ht="71.25" customHeight="1">
      <c r="A854" s="60"/>
      <c r="B854" s="60"/>
      <c r="C854" s="60"/>
      <c r="D854" s="60"/>
      <c r="E854" s="60"/>
      <c r="F854" s="61"/>
      <c r="G854" s="60"/>
    </row>
    <row r="855" ht="71.25" customHeight="1">
      <c r="A855" s="60"/>
      <c r="B855" s="60"/>
      <c r="C855" s="60"/>
      <c r="D855" s="60"/>
      <c r="E855" s="60"/>
      <c r="F855" s="61"/>
      <c r="G855" s="60"/>
    </row>
    <row r="856" ht="71.25" customHeight="1">
      <c r="A856" s="60"/>
      <c r="B856" s="60"/>
      <c r="C856" s="60"/>
      <c r="D856" s="60"/>
      <c r="E856" s="60"/>
      <c r="F856" s="61"/>
      <c r="G856" s="60"/>
    </row>
    <row r="857" ht="71.25" customHeight="1">
      <c r="A857" s="60"/>
      <c r="B857" s="60"/>
      <c r="C857" s="60"/>
      <c r="D857" s="60"/>
      <c r="E857" s="60"/>
      <c r="F857" s="61"/>
      <c r="G857" s="60"/>
    </row>
    <row r="858" ht="71.25" customHeight="1">
      <c r="A858" s="60"/>
      <c r="B858" s="60"/>
      <c r="C858" s="60"/>
      <c r="D858" s="60"/>
      <c r="E858" s="60"/>
      <c r="F858" s="61"/>
      <c r="G858" s="60"/>
    </row>
    <row r="859" ht="71.25" customHeight="1">
      <c r="A859" s="60"/>
      <c r="B859" s="60"/>
      <c r="C859" s="60"/>
      <c r="D859" s="60"/>
      <c r="E859" s="60"/>
      <c r="F859" s="61"/>
      <c r="G859" s="60"/>
    </row>
    <row r="860" ht="71.25" customHeight="1">
      <c r="A860" s="60"/>
      <c r="B860" s="60"/>
      <c r="C860" s="60"/>
      <c r="D860" s="60"/>
      <c r="E860" s="60"/>
      <c r="F860" s="61"/>
      <c r="G860" s="60"/>
    </row>
    <row r="861" ht="71.25" customHeight="1">
      <c r="A861" s="60"/>
      <c r="B861" s="60"/>
      <c r="C861" s="60"/>
      <c r="D861" s="60"/>
      <c r="E861" s="60"/>
      <c r="F861" s="61"/>
      <c r="G861" s="60"/>
    </row>
    <row r="862" ht="71.25" customHeight="1">
      <c r="A862" s="60"/>
      <c r="B862" s="60"/>
      <c r="C862" s="60"/>
      <c r="D862" s="60"/>
      <c r="E862" s="60"/>
      <c r="F862" s="61"/>
      <c r="G862" s="60"/>
    </row>
    <row r="863" ht="71.25" customHeight="1">
      <c r="A863" s="60"/>
      <c r="B863" s="60"/>
      <c r="C863" s="60"/>
      <c r="D863" s="60"/>
      <c r="E863" s="60"/>
      <c r="F863" s="61"/>
      <c r="G863" s="60"/>
    </row>
    <row r="864" ht="71.25" customHeight="1">
      <c r="A864" s="60"/>
      <c r="B864" s="60"/>
      <c r="C864" s="60"/>
      <c r="D864" s="60"/>
      <c r="E864" s="60"/>
      <c r="F864" s="61"/>
      <c r="G864" s="60"/>
    </row>
    <row r="865" ht="71.25" customHeight="1">
      <c r="A865" s="60"/>
      <c r="B865" s="60"/>
      <c r="C865" s="60"/>
      <c r="D865" s="60"/>
      <c r="E865" s="60"/>
      <c r="F865" s="61"/>
      <c r="G865" s="60"/>
    </row>
    <row r="866" ht="71.25" customHeight="1">
      <c r="A866" s="60"/>
      <c r="B866" s="60"/>
      <c r="C866" s="60"/>
      <c r="D866" s="60"/>
      <c r="E866" s="60"/>
      <c r="F866" s="61"/>
      <c r="G866" s="60"/>
    </row>
    <row r="867" ht="71.25" customHeight="1">
      <c r="A867" s="60"/>
      <c r="B867" s="60"/>
      <c r="C867" s="60"/>
      <c r="D867" s="60"/>
      <c r="E867" s="60"/>
      <c r="F867" s="61"/>
      <c r="G867" s="60"/>
    </row>
    <row r="868" ht="71.25" customHeight="1">
      <c r="A868" s="60"/>
      <c r="B868" s="60"/>
      <c r="C868" s="60"/>
      <c r="D868" s="60"/>
      <c r="E868" s="60"/>
      <c r="F868" s="61"/>
      <c r="G868" s="60"/>
    </row>
    <row r="869" ht="71.25" customHeight="1">
      <c r="A869" s="60"/>
      <c r="B869" s="60"/>
      <c r="C869" s="60"/>
      <c r="D869" s="60"/>
      <c r="E869" s="60"/>
      <c r="F869" s="61"/>
      <c r="G869" s="60"/>
    </row>
    <row r="870" ht="71.25" customHeight="1">
      <c r="A870" s="60"/>
      <c r="B870" s="60"/>
      <c r="C870" s="60"/>
      <c r="D870" s="60"/>
      <c r="E870" s="60"/>
      <c r="F870" s="61"/>
      <c r="G870" s="60"/>
    </row>
    <row r="871" ht="71.25" customHeight="1">
      <c r="A871" s="60"/>
      <c r="B871" s="60"/>
      <c r="C871" s="60"/>
      <c r="D871" s="60"/>
      <c r="E871" s="60"/>
      <c r="F871" s="61"/>
      <c r="G871" s="60"/>
    </row>
    <row r="872" ht="71.25" customHeight="1">
      <c r="A872" s="60"/>
      <c r="B872" s="60"/>
      <c r="C872" s="60"/>
      <c r="D872" s="60"/>
      <c r="E872" s="60"/>
      <c r="F872" s="61"/>
      <c r="G872" s="60"/>
    </row>
    <row r="873" ht="71.25" customHeight="1">
      <c r="A873" s="60"/>
      <c r="B873" s="60"/>
      <c r="C873" s="60"/>
      <c r="D873" s="60"/>
      <c r="E873" s="60"/>
      <c r="F873" s="61"/>
      <c r="G873" s="60"/>
    </row>
    <row r="874" ht="71.25" customHeight="1">
      <c r="A874" s="60"/>
      <c r="B874" s="60"/>
      <c r="C874" s="60"/>
      <c r="D874" s="60"/>
      <c r="E874" s="60"/>
      <c r="F874" s="61"/>
      <c r="G874" s="60"/>
    </row>
    <row r="875" ht="71.25" customHeight="1">
      <c r="A875" s="60"/>
      <c r="B875" s="60"/>
      <c r="C875" s="60"/>
      <c r="D875" s="60"/>
      <c r="E875" s="60"/>
      <c r="F875" s="61"/>
      <c r="G875" s="60"/>
    </row>
    <row r="876" ht="71.25" customHeight="1">
      <c r="A876" s="60"/>
      <c r="B876" s="60"/>
      <c r="C876" s="60"/>
      <c r="D876" s="60"/>
      <c r="E876" s="60"/>
      <c r="F876" s="61"/>
      <c r="G876" s="60"/>
    </row>
    <row r="877" ht="71.25" customHeight="1">
      <c r="A877" s="60"/>
      <c r="B877" s="60"/>
      <c r="C877" s="60"/>
      <c r="D877" s="60"/>
      <c r="E877" s="60"/>
      <c r="F877" s="61"/>
      <c r="G877" s="60"/>
    </row>
    <row r="878" ht="71.25" customHeight="1">
      <c r="A878" s="60"/>
      <c r="B878" s="60"/>
      <c r="C878" s="60"/>
      <c r="D878" s="60"/>
      <c r="E878" s="60"/>
      <c r="F878" s="61"/>
      <c r="G878" s="60"/>
    </row>
    <row r="879" ht="71.25" customHeight="1">
      <c r="A879" s="60"/>
      <c r="B879" s="60"/>
      <c r="C879" s="60"/>
      <c r="D879" s="60"/>
      <c r="E879" s="60"/>
      <c r="F879" s="61"/>
      <c r="G879" s="60"/>
    </row>
    <row r="880" ht="71.25" customHeight="1">
      <c r="A880" s="60"/>
      <c r="B880" s="60"/>
      <c r="C880" s="60"/>
      <c r="D880" s="60"/>
      <c r="E880" s="60"/>
      <c r="F880" s="61"/>
      <c r="G880" s="60"/>
    </row>
    <row r="881" ht="71.25" customHeight="1">
      <c r="A881" s="60"/>
      <c r="B881" s="60"/>
      <c r="C881" s="60"/>
      <c r="D881" s="60"/>
      <c r="E881" s="60"/>
      <c r="F881" s="61"/>
      <c r="G881" s="60"/>
    </row>
    <row r="882" ht="71.25" customHeight="1">
      <c r="A882" s="60"/>
      <c r="B882" s="60"/>
      <c r="C882" s="60"/>
      <c r="D882" s="60"/>
      <c r="E882" s="60"/>
      <c r="F882" s="61"/>
      <c r="G882" s="60"/>
    </row>
    <row r="883" ht="71.25" customHeight="1">
      <c r="A883" s="60"/>
      <c r="B883" s="60"/>
      <c r="C883" s="60"/>
      <c r="D883" s="60"/>
      <c r="E883" s="60"/>
      <c r="F883" s="61"/>
      <c r="G883" s="60"/>
    </row>
    <row r="884" ht="71.25" customHeight="1">
      <c r="A884" s="60"/>
      <c r="B884" s="60"/>
      <c r="C884" s="60"/>
      <c r="D884" s="60"/>
      <c r="E884" s="60"/>
      <c r="F884" s="61"/>
      <c r="G884" s="60"/>
    </row>
    <row r="885" ht="71.25" customHeight="1">
      <c r="A885" s="60"/>
      <c r="B885" s="60"/>
      <c r="C885" s="60"/>
      <c r="D885" s="60"/>
      <c r="E885" s="60"/>
      <c r="F885" s="61"/>
      <c r="G885" s="60"/>
    </row>
    <row r="886" ht="71.25" customHeight="1">
      <c r="A886" s="60"/>
      <c r="B886" s="60"/>
      <c r="C886" s="60"/>
      <c r="D886" s="60"/>
      <c r="E886" s="60"/>
      <c r="F886" s="61"/>
      <c r="G886" s="60"/>
    </row>
    <row r="887" ht="71.25" customHeight="1">
      <c r="A887" s="60"/>
      <c r="B887" s="60"/>
      <c r="C887" s="60"/>
      <c r="D887" s="60"/>
      <c r="E887" s="60"/>
      <c r="F887" s="61"/>
      <c r="G887" s="60"/>
    </row>
    <row r="888" ht="71.25" customHeight="1">
      <c r="A888" s="60"/>
      <c r="B888" s="60"/>
      <c r="C888" s="60"/>
      <c r="D888" s="60"/>
      <c r="E888" s="60"/>
      <c r="F888" s="61"/>
      <c r="G888" s="60"/>
    </row>
    <row r="889" ht="71.25" customHeight="1">
      <c r="A889" s="60"/>
      <c r="B889" s="60"/>
      <c r="C889" s="60"/>
      <c r="D889" s="60"/>
      <c r="E889" s="60"/>
      <c r="F889" s="61"/>
      <c r="G889" s="60"/>
    </row>
    <row r="890" ht="71.25" customHeight="1">
      <c r="A890" s="60"/>
      <c r="B890" s="60"/>
      <c r="C890" s="60"/>
      <c r="D890" s="60"/>
      <c r="E890" s="60"/>
      <c r="F890" s="61"/>
      <c r="G890" s="60"/>
    </row>
    <row r="891" ht="71.25" customHeight="1">
      <c r="A891" s="60"/>
      <c r="B891" s="60"/>
      <c r="C891" s="60"/>
      <c r="D891" s="60"/>
      <c r="E891" s="60"/>
      <c r="F891" s="61"/>
      <c r="G891" s="60"/>
    </row>
    <row r="892" ht="71.25" customHeight="1">
      <c r="A892" s="60"/>
      <c r="B892" s="60"/>
      <c r="C892" s="60"/>
      <c r="D892" s="60"/>
      <c r="E892" s="60"/>
      <c r="F892" s="61"/>
      <c r="G892" s="60"/>
    </row>
    <row r="893" ht="71.25" customHeight="1">
      <c r="A893" s="60"/>
      <c r="B893" s="60"/>
      <c r="C893" s="60"/>
      <c r="D893" s="60"/>
      <c r="E893" s="60"/>
      <c r="F893" s="61"/>
      <c r="G893" s="60"/>
    </row>
    <row r="894" ht="71.25" customHeight="1">
      <c r="A894" s="60"/>
      <c r="B894" s="60"/>
      <c r="C894" s="60"/>
      <c r="D894" s="60"/>
      <c r="E894" s="60"/>
      <c r="F894" s="61"/>
      <c r="G894" s="60"/>
    </row>
    <row r="895" ht="71.25" customHeight="1">
      <c r="A895" s="60"/>
      <c r="B895" s="60"/>
      <c r="C895" s="60"/>
      <c r="D895" s="60"/>
      <c r="E895" s="60"/>
      <c r="F895" s="61"/>
      <c r="G895" s="60"/>
    </row>
    <row r="896" ht="71.25" customHeight="1">
      <c r="A896" s="60"/>
      <c r="B896" s="60"/>
      <c r="C896" s="60"/>
      <c r="D896" s="60"/>
      <c r="E896" s="60"/>
      <c r="F896" s="61"/>
      <c r="G896" s="60"/>
    </row>
    <row r="897" ht="71.25" customHeight="1">
      <c r="A897" s="60"/>
      <c r="B897" s="60"/>
      <c r="C897" s="60"/>
      <c r="D897" s="60"/>
      <c r="E897" s="60"/>
      <c r="F897" s="61"/>
      <c r="G897" s="60"/>
    </row>
    <row r="898" ht="71.25" customHeight="1">
      <c r="A898" s="60"/>
      <c r="B898" s="60"/>
      <c r="C898" s="60"/>
      <c r="D898" s="60"/>
      <c r="E898" s="60"/>
      <c r="F898" s="61"/>
      <c r="G898" s="60"/>
    </row>
    <row r="899" ht="71.25" customHeight="1">
      <c r="A899" s="60"/>
      <c r="B899" s="60"/>
      <c r="C899" s="60"/>
      <c r="D899" s="60"/>
      <c r="E899" s="60"/>
      <c r="F899" s="61"/>
      <c r="G899" s="60"/>
    </row>
    <row r="900" ht="71.25" customHeight="1">
      <c r="A900" s="60"/>
      <c r="B900" s="60"/>
      <c r="C900" s="60"/>
      <c r="D900" s="60"/>
      <c r="E900" s="60"/>
      <c r="F900" s="61"/>
      <c r="G900" s="60"/>
    </row>
    <row r="901" ht="71.25" customHeight="1">
      <c r="A901" s="60"/>
      <c r="B901" s="60"/>
      <c r="C901" s="60"/>
      <c r="D901" s="60"/>
      <c r="E901" s="60"/>
      <c r="F901" s="61"/>
      <c r="G901" s="60"/>
    </row>
    <row r="902" ht="71.25" customHeight="1">
      <c r="A902" s="60"/>
      <c r="B902" s="60"/>
      <c r="C902" s="60"/>
      <c r="D902" s="60"/>
      <c r="E902" s="60"/>
      <c r="F902" s="61"/>
      <c r="G902" s="60"/>
    </row>
    <row r="903" ht="71.25" customHeight="1">
      <c r="A903" s="60"/>
      <c r="B903" s="60"/>
      <c r="C903" s="60"/>
      <c r="D903" s="60"/>
      <c r="E903" s="60"/>
      <c r="F903" s="61"/>
      <c r="G903" s="60"/>
    </row>
    <row r="904" ht="71.25" customHeight="1">
      <c r="A904" s="60"/>
      <c r="B904" s="60"/>
      <c r="C904" s="60"/>
      <c r="D904" s="60"/>
      <c r="E904" s="60"/>
      <c r="F904" s="61"/>
      <c r="G904" s="60"/>
    </row>
    <row r="905" ht="71.25" customHeight="1">
      <c r="A905" s="60"/>
      <c r="B905" s="60"/>
      <c r="C905" s="60"/>
      <c r="D905" s="60"/>
      <c r="E905" s="60"/>
      <c r="F905" s="61"/>
      <c r="G905" s="60"/>
    </row>
    <row r="906" ht="71.25" customHeight="1">
      <c r="A906" s="60"/>
      <c r="B906" s="60"/>
      <c r="C906" s="60"/>
      <c r="D906" s="60"/>
      <c r="E906" s="60"/>
      <c r="F906" s="61"/>
      <c r="G906" s="60"/>
    </row>
    <row r="907" ht="71.25" customHeight="1">
      <c r="A907" s="60"/>
      <c r="B907" s="60"/>
      <c r="C907" s="60"/>
      <c r="D907" s="60"/>
      <c r="E907" s="60"/>
      <c r="F907" s="61"/>
      <c r="G907" s="60"/>
    </row>
    <row r="908" ht="71.25" customHeight="1">
      <c r="A908" s="60"/>
      <c r="B908" s="60"/>
      <c r="C908" s="60"/>
      <c r="D908" s="60"/>
      <c r="E908" s="60"/>
      <c r="F908" s="61"/>
      <c r="G908" s="60"/>
    </row>
    <row r="909" ht="71.25" customHeight="1">
      <c r="A909" s="60"/>
      <c r="B909" s="60"/>
      <c r="C909" s="60"/>
      <c r="D909" s="60"/>
      <c r="E909" s="60"/>
      <c r="F909" s="61"/>
      <c r="G909" s="60"/>
    </row>
    <row r="910" ht="71.25" customHeight="1">
      <c r="A910" s="60"/>
      <c r="B910" s="60"/>
      <c r="C910" s="60"/>
      <c r="D910" s="60"/>
      <c r="E910" s="60"/>
      <c r="F910" s="61"/>
      <c r="G910" s="60"/>
    </row>
    <row r="911" ht="71.25" customHeight="1">
      <c r="A911" s="60"/>
      <c r="B911" s="60"/>
      <c r="C911" s="60"/>
      <c r="D911" s="60"/>
      <c r="E911" s="60"/>
      <c r="F911" s="61"/>
      <c r="G911" s="60"/>
    </row>
    <row r="912" ht="71.25" customHeight="1">
      <c r="A912" s="60"/>
      <c r="B912" s="60"/>
      <c r="C912" s="60"/>
      <c r="D912" s="60"/>
      <c r="E912" s="60"/>
      <c r="F912" s="61"/>
      <c r="G912" s="60"/>
    </row>
    <row r="913" ht="71.25" customHeight="1">
      <c r="A913" s="60"/>
      <c r="B913" s="60"/>
      <c r="C913" s="60"/>
      <c r="D913" s="60"/>
      <c r="E913" s="60"/>
      <c r="F913" s="61"/>
      <c r="G913" s="60"/>
    </row>
    <row r="914" ht="71.25" customHeight="1">
      <c r="A914" s="60"/>
      <c r="B914" s="60"/>
      <c r="C914" s="60"/>
      <c r="D914" s="60"/>
      <c r="E914" s="60"/>
      <c r="F914" s="61"/>
      <c r="G914" s="60"/>
    </row>
    <row r="915" ht="71.25" customHeight="1">
      <c r="A915" s="60"/>
      <c r="B915" s="60"/>
      <c r="C915" s="60"/>
      <c r="D915" s="60"/>
      <c r="E915" s="60"/>
      <c r="F915" s="61"/>
      <c r="G915" s="60"/>
    </row>
    <row r="916" ht="71.25" customHeight="1">
      <c r="A916" s="60"/>
      <c r="B916" s="60"/>
      <c r="C916" s="60"/>
      <c r="D916" s="60"/>
      <c r="E916" s="60"/>
      <c r="F916" s="61"/>
      <c r="G916" s="60"/>
    </row>
    <row r="917" ht="71.25" customHeight="1">
      <c r="A917" s="60"/>
      <c r="B917" s="60"/>
      <c r="C917" s="60"/>
      <c r="D917" s="60"/>
      <c r="E917" s="60"/>
      <c r="F917" s="61"/>
      <c r="G917" s="60"/>
    </row>
    <row r="918" ht="71.25" customHeight="1">
      <c r="A918" s="60"/>
      <c r="B918" s="60"/>
      <c r="C918" s="60"/>
      <c r="D918" s="60"/>
      <c r="E918" s="60"/>
      <c r="F918" s="61"/>
      <c r="G918" s="60"/>
    </row>
    <row r="919" ht="71.25" customHeight="1">
      <c r="A919" s="60"/>
      <c r="B919" s="60"/>
      <c r="C919" s="60"/>
      <c r="D919" s="60"/>
      <c r="E919" s="60"/>
      <c r="F919" s="61"/>
      <c r="G919" s="60"/>
    </row>
    <row r="920" ht="71.25" customHeight="1">
      <c r="A920" s="60"/>
      <c r="B920" s="60"/>
      <c r="C920" s="60"/>
      <c r="D920" s="60"/>
      <c r="E920" s="60"/>
      <c r="F920" s="61"/>
      <c r="G920" s="60"/>
    </row>
    <row r="921" ht="71.25" customHeight="1">
      <c r="A921" s="60"/>
      <c r="B921" s="60"/>
      <c r="C921" s="60"/>
      <c r="D921" s="60"/>
      <c r="E921" s="60"/>
      <c r="F921" s="61"/>
      <c r="G921" s="60"/>
    </row>
    <row r="922" ht="71.25" customHeight="1">
      <c r="A922" s="60"/>
      <c r="B922" s="60"/>
      <c r="C922" s="60"/>
      <c r="D922" s="60"/>
      <c r="E922" s="60"/>
      <c r="F922" s="61"/>
      <c r="G922" s="60"/>
    </row>
    <row r="923" ht="71.25" customHeight="1">
      <c r="A923" s="60"/>
      <c r="B923" s="60"/>
      <c r="C923" s="60"/>
      <c r="D923" s="60"/>
      <c r="E923" s="60"/>
      <c r="F923" s="61"/>
      <c r="G923" s="60"/>
    </row>
    <row r="924" ht="71.25" customHeight="1">
      <c r="A924" s="60"/>
      <c r="B924" s="60"/>
      <c r="C924" s="60"/>
      <c r="D924" s="60"/>
      <c r="E924" s="60"/>
      <c r="F924" s="61"/>
      <c r="G924" s="60"/>
    </row>
    <row r="925" ht="71.25" customHeight="1">
      <c r="A925" s="60"/>
      <c r="B925" s="60"/>
      <c r="C925" s="60"/>
      <c r="D925" s="60"/>
      <c r="E925" s="60"/>
      <c r="F925" s="61"/>
      <c r="G925" s="60"/>
    </row>
    <row r="926" ht="71.25" customHeight="1">
      <c r="A926" s="60"/>
      <c r="B926" s="60"/>
      <c r="C926" s="60"/>
      <c r="D926" s="60"/>
      <c r="E926" s="60"/>
      <c r="F926" s="61"/>
      <c r="G926" s="60"/>
    </row>
    <row r="927" ht="71.25" customHeight="1">
      <c r="A927" s="60"/>
      <c r="B927" s="60"/>
      <c r="C927" s="60"/>
      <c r="D927" s="60"/>
      <c r="E927" s="60"/>
      <c r="F927" s="61"/>
      <c r="G927" s="60"/>
    </row>
    <row r="928" ht="71.25" customHeight="1">
      <c r="A928" s="60"/>
      <c r="B928" s="60"/>
      <c r="C928" s="60"/>
      <c r="D928" s="60"/>
      <c r="E928" s="60"/>
      <c r="F928" s="61"/>
      <c r="G928" s="60"/>
    </row>
    <row r="929" ht="71.25" customHeight="1">
      <c r="A929" s="60"/>
      <c r="B929" s="60"/>
      <c r="C929" s="60"/>
      <c r="D929" s="60"/>
      <c r="E929" s="60"/>
      <c r="F929" s="61"/>
      <c r="G929" s="60"/>
    </row>
    <row r="930" ht="71.25" customHeight="1">
      <c r="A930" s="60"/>
      <c r="B930" s="60"/>
      <c r="C930" s="60"/>
      <c r="D930" s="60"/>
      <c r="E930" s="60"/>
      <c r="F930" s="61"/>
      <c r="G930" s="60"/>
    </row>
    <row r="931" ht="71.25" customHeight="1">
      <c r="A931" s="60"/>
      <c r="B931" s="60"/>
      <c r="C931" s="60"/>
      <c r="D931" s="60"/>
      <c r="E931" s="60"/>
      <c r="F931" s="61"/>
      <c r="G931" s="60"/>
    </row>
    <row r="932" ht="71.25" customHeight="1">
      <c r="A932" s="60"/>
      <c r="B932" s="60"/>
      <c r="C932" s="60"/>
      <c r="D932" s="60"/>
      <c r="E932" s="60"/>
      <c r="F932" s="61"/>
      <c r="G932" s="60"/>
    </row>
    <row r="933" ht="71.25" customHeight="1">
      <c r="A933" s="60"/>
      <c r="B933" s="60"/>
      <c r="C933" s="60"/>
      <c r="D933" s="60"/>
      <c r="E933" s="60"/>
      <c r="F933" s="61"/>
      <c r="G933" s="60"/>
    </row>
    <row r="934" ht="71.25" customHeight="1">
      <c r="A934" s="60"/>
      <c r="B934" s="60"/>
      <c r="C934" s="60"/>
      <c r="D934" s="60"/>
      <c r="E934" s="60"/>
      <c r="F934" s="61"/>
      <c r="G934" s="60"/>
    </row>
    <row r="935" ht="71.25" customHeight="1">
      <c r="A935" s="60"/>
      <c r="B935" s="60"/>
      <c r="C935" s="60"/>
      <c r="D935" s="60"/>
      <c r="E935" s="60"/>
      <c r="F935" s="61"/>
      <c r="G935" s="60"/>
    </row>
    <row r="936" ht="71.25" customHeight="1">
      <c r="A936" s="60"/>
      <c r="B936" s="60"/>
      <c r="C936" s="60"/>
      <c r="D936" s="60"/>
      <c r="E936" s="60"/>
      <c r="F936" s="61"/>
      <c r="G936" s="60"/>
    </row>
    <row r="937" ht="71.25" customHeight="1">
      <c r="A937" s="60"/>
      <c r="B937" s="60"/>
      <c r="C937" s="60"/>
      <c r="D937" s="60"/>
      <c r="E937" s="60"/>
      <c r="F937" s="61"/>
      <c r="G937" s="60"/>
    </row>
    <row r="938" ht="71.25" customHeight="1">
      <c r="A938" s="60"/>
      <c r="B938" s="60"/>
      <c r="C938" s="60"/>
      <c r="D938" s="60"/>
      <c r="E938" s="60"/>
      <c r="F938" s="61"/>
      <c r="G938" s="60"/>
    </row>
    <row r="939" ht="71.25" customHeight="1">
      <c r="A939" s="60"/>
      <c r="B939" s="60"/>
      <c r="C939" s="60"/>
      <c r="D939" s="60"/>
      <c r="E939" s="60"/>
      <c r="F939" s="61"/>
      <c r="G939" s="60"/>
    </row>
    <row r="940" ht="71.25" customHeight="1">
      <c r="A940" s="60"/>
      <c r="B940" s="60"/>
      <c r="C940" s="60"/>
      <c r="D940" s="60"/>
      <c r="E940" s="60"/>
      <c r="F940" s="61"/>
      <c r="G940" s="60"/>
    </row>
    <row r="941" ht="71.25" customHeight="1">
      <c r="A941" s="60"/>
      <c r="B941" s="60"/>
      <c r="C941" s="60"/>
      <c r="D941" s="60"/>
      <c r="E941" s="60"/>
      <c r="F941" s="61"/>
      <c r="G941" s="60"/>
    </row>
    <row r="942" ht="71.25" customHeight="1">
      <c r="A942" s="60"/>
      <c r="B942" s="60"/>
      <c r="C942" s="60"/>
      <c r="D942" s="60"/>
      <c r="E942" s="60"/>
      <c r="F942" s="61"/>
      <c r="G942" s="60"/>
    </row>
    <row r="943" ht="71.25" customHeight="1">
      <c r="A943" s="60"/>
      <c r="B943" s="60"/>
      <c r="C943" s="60"/>
      <c r="D943" s="60"/>
      <c r="E943" s="60"/>
      <c r="F943" s="61"/>
      <c r="G943" s="60"/>
    </row>
    <row r="944" ht="71.25" customHeight="1">
      <c r="A944" s="60"/>
      <c r="B944" s="60"/>
      <c r="C944" s="60"/>
      <c r="D944" s="60"/>
      <c r="E944" s="60"/>
      <c r="F944" s="61"/>
      <c r="G944" s="60"/>
    </row>
    <row r="945" ht="71.25" customHeight="1">
      <c r="A945" s="60"/>
      <c r="B945" s="60"/>
      <c r="C945" s="60"/>
      <c r="D945" s="60"/>
      <c r="E945" s="60"/>
      <c r="F945" s="61"/>
      <c r="G945" s="60"/>
    </row>
    <row r="946" ht="71.25" customHeight="1">
      <c r="A946" s="60"/>
      <c r="B946" s="60"/>
      <c r="C946" s="60"/>
      <c r="D946" s="60"/>
      <c r="E946" s="60"/>
      <c r="F946" s="61"/>
      <c r="G946" s="60"/>
    </row>
    <row r="947" ht="71.25" customHeight="1">
      <c r="A947" s="60"/>
      <c r="B947" s="60"/>
      <c r="C947" s="60"/>
      <c r="D947" s="60"/>
      <c r="E947" s="60"/>
      <c r="F947" s="61"/>
      <c r="G947" s="60"/>
    </row>
    <row r="948" ht="71.25" customHeight="1">
      <c r="A948" s="60"/>
      <c r="B948" s="60"/>
      <c r="C948" s="60"/>
      <c r="D948" s="60"/>
      <c r="E948" s="60"/>
      <c r="F948" s="61"/>
      <c r="G948" s="60"/>
    </row>
    <row r="949" ht="71.25" customHeight="1">
      <c r="A949" s="60"/>
      <c r="B949" s="60"/>
      <c r="C949" s="60"/>
      <c r="D949" s="60"/>
      <c r="E949" s="60"/>
      <c r="F949" s="61"/>
      <c r="G949" s="60"/>
    </row>
    <row r="950" ht="71.25" customHeight="1">
      <c r="A950" s="60"/>
      <c r="B950" s="60"/>
      <c r="C950" s="60"/>
      <c r="D950" s="60"/>
      <c r="E950" s="60"/>
      <c r="F950" s="61"/>
      <c r="G950" s="60"/>
    </row>
    <row r="951" ht="71.25" customHeight="1">
      <c r="A951" s="60"/>
      <c r="B951" s="60"/>
      <c r="C951" s="60"/>
      <c r="D951" s="60"/>
      <c r="E951" s="60"/>
      <c r="F951" s="61"/>
      <c r="G951" s="60"/>
    </row>
    <row r="952" ht="71.25" customHeight="1">
      <c r="A952" s="60"/>
      <c r="B952" s="60"/>
      <c r="C952" s="60"/>
      <c r="D952" s="60"/>
      <c r="E952" s="60"/>
      <c r="F952" s="61"/>
      <c r="G952" s="60"/>
    </row>
    <row r="953" ht="71.25" customHeight="1">
      <c r="A953" s="60"/>
      <c r="B953" s="60"/>
      <c r="C953" s="60"/>
      <c r="D953" s="60"/>
      <c r="E953" s="60"/>
      <c r="F953" s="61"/>
      <c r="G953" s="60"/>
    </row>
    <row r="954" ht="71.25" customHeight="1">
      <c r="A954" s="60"/>
      <c r="B954" s="60"/>
      <c r="C954" s="60"/>
      <c r="D954" s="60"/>
      <c r="E954" s="60"/>
      <c r="F954" s="61"/>
      <c r="G954" s="60"/>
    </row>
    <row r="955" ht="71.25" customHeight="1">
      <c r="A955" s="60"/>
      <c r="B955" s="60"/>
      <c r="C955" s="60"/>
      <c r="D955" s="60"/>
      <c r="E955" s="60"/>
      <c r="F955" s="61"/>
      <c r="G955" s="60"/>
    </row>
    <row r="956" ht="71.25" customHeight="1">
      <c r="A956" s="60"/>
      <c r="B956" s="60"/>
      <c r="C956" s="60"/>
      <c r="D956" s="60"/>
      <c r="E956" s="60"/>
      <c r="F956" s="61"/>
      <c r="G956" s="60"/>
    </row>
    <row r="957" ht="71.25" customHeight="1">
      <c r="A957" s="60"/>
      <c r="B957" s="60"/>
      <c r="C957" s="60"/>
      <c r="D957" s="60"/>
      <c r="E957" s="60"/>
      <c r="F957" s="61"/>
      <c r="G957" s="60"/>
    </row>
    <row r="958" ht="71.25" customHeight="1">
      <c r="A958" s="60"/>
      <c r="B958" s="60"/>
      <c r="C958" s="60"/>
      <c r="D958" s="60"/>
      <c r="E958" s="60"/>
      <c r="F958" s="61"/>
      <c r="G958" s="60"/>
    </row>
    <row r="959" ht="71.25" customHeight="1">
      <c r="A959" s="60"/>
      <c r="B959" s="60"/>
      <c r="C959" s="60"/>
      <c r="D959" s="60"/>
      <c r="E959" s="60"/>
      <c r="F959" s="61"/>
      <c r="G959" s="60"/>
    </row>
    <row r="960" ht="71.25" customHeight="1">
      <c r="A960" s="60"/>
      <c r="B960" s="60"/>
      <c r="C960" s="60"/>
      <c r="D960" s="60"/>
      <c r="E960" s="60"/>
      <c r="F960" s="61"/>
      <c r="G960" s="60"/>
    </row>
    <row r="961" ht="71.25" customHeight="1">
      <c r="A961" s="60"/>
      <c r="B961" s="60"/>
      <c r="C961" s="60"/>
      <c r="D961" s="60"/>
      <c r="E961" s="60"/>
      <c r="F961" s="61"/>
      <c r="G961" s="60"/>
    </row>
    <row r="962" ht="71.25" customHeight="1">
      <c r="A962" s="60"/>
      <c r="B962" s="60"/>
      <c r="C962" s="60"/>
      <c r="D962" s="60"/>
      <c r="E962" s="60"/>
      <c r="F962" s="61"/>
      <c r="G962" s="60"/>
    </row>
    <row r="963" ht="71.25" customHeight="1">
      <c r="A963" s="60"/>
      <c r="B963" s="60"/>
      <c r="C963" s="60"/>
      <c r="D963" s="60"/>
      <c r="E963" s="60"/>
      <c r="F963" s="61"/>
      <c r="G963" s="60"/>
    </row>
    <row r="964" ht="71.25" customHeight="1">
      <c r="A964" s="60"/>
      <c r="B964" s="60"/>
      <c r="C964" s="60"/>
      <c r="D964" s="60"/>
      <c r="E964" s="60"/>
      <c r="F964" s="61"/>
      <c r="G964" s="60"/>
    </row>
    <row r="965" ht="71.25" customHeight="1">
      <c r="A965" s="60"/>
      <c r="B965" s="60"/>
      <c r="C965" s="60"/>
      <c r="D965" s="60"/>
      <c r="E965" s="60"/>
      <c r="F965" s="61"/>
      <c r="G965" s="60"/>
    </row>
    <row r="966" ht="71.25" customHeight="1">
      <c r="A966" s="60"/>
      <c r="B966" s="60"/>
      <c r="C966" s="60"/>
      <c r="D966" s="60"/>
      <c r="E966" s="60"/>
      <c r="F966" s="61"/>
      <c r="G966" s="60"/>
    </row>
    <row r="967" ht="71.25" customHeight="1">
      <c r="A967" s="60"/>
      <c r="B967" s="60"/>
      <c r="C967" s="60"/>
      <c r="D967" s="60"/>
      <c r="E967" s="60"/>
      <c r="F967" s="61"/>
      <c r="G967" s="60"/>
    </row>
    <row r="968" ht="71.25" customHeight="1">
      <c r="A968" s="60"/>
      <c r="B968" s="60"/>
      <c r="C968" s="60"/>
      <c r="D968" s="60"/>
      <c r="E968" s="60"/>
      <c r="F968" s="61"/>
      <c r="G968" s="60"/>
    </row>
    <row r="969" ht="71.25" customHeight="1">
      <c r="A969" s="60"/>
      <c r="B969" s="60"/>
      <c r="C969" s="60"/>
      <c r="D969" s="60"/>
      <c r="E969" s="60"/>
      <c r="F969" s="61"/>
      <c r="G969" s="60"/>
    </row>
    <row r="970" ht="71.25" customHeight="1">
      <c r="A970" s="60"/>
      <c r="B970" s="60"/>
      <c r="C970" s="60"/>
      <c r="D970" s="60"/>
      <c r="E970" s="60"/>
      <c r="F970" s="61"/>
      <c r="G970" s="60"/>
    </row>
    <row r="971" ht="71.25" customHeight="1">
      <c r="A971" s="60"/>
      <c r="B971" s="60"/>
      <c r="C971" s="60"/>
      <c r="D971" s="60"/>
      <c r="E971" s="60"/>
      <c r="F971" s="61"/>
      <c r="G971" s="60"/>
    </row>
    <row r="972" ht="71.25" customHeight="1">
      <c r="A972" s="60"/>
      <c r="B972" s="60"/>
      <c r="C972" s="60"/>
      <c r="D972" s="60"/>
      <c r="E972" s="60"/>
      <c r="F972" s="61"/>
      <c r="G972" s="60"/>
    </row>
    <row r="973" ht="71.25" customHeight="1">
      <c r="A973" s="60"/>
      <c r="B973" s="60"/>
      <c r="C973" s="60"/>
      <c r="D973" s="60"/>
      <c r="E973" s="60"/>
      <c r="F973" s="61"/>
      <c r="G973" s="60"/>
    </row>
    <row r="974" ht="71.25" customHeight="1">
      <c r="A974" s="60"/>
      <c r="B974" s="60"/>
      <c r="C974" s="60"/>
      <c r="D974" s="60"/>
      <c r="E974" s="60"/>
      <c r="F974" s="61"/>
      <c r="G974" s="60"/>
    </row>
    <row r="975" ht="71.25" customHeight="1">
      <c r="A975" s="60"/>
      <c r="B975" s="60"/>
      <c r="C975" s="60"/>
      <c r="D975" s="60"/>
      <c r="E975" s="60"/>
      <c r="F975" s="61"/>
      <c r="G975" s="60"/>
    </row>
    <row r="976" ht="71.25" customHeight="1">
      <c r="A976" s="60"/>
      <c r="B976" s="60"/>
      <c r="C976" s="60"/>
      <c r="D976" s="60"/>
      <c r="E976" s="60"/>
      <c r="F976" s="61"/>
      <c r="G976" s="60"/>
    </row>
    <row r="977" ht="71.25" customHeight="1">
      <c r="A977" s="60"/>
      <c r="B977" s="60"/>
      <c r="C977" s="60"/>
      <c r="D977" s="60"/>
      <c r="E977" s="60"/>
      <c r="F977" s="61"/>
      <c r="G977" s="60"/>
    </row>
    <row r="978" ht="71.25" customHeight="1">
      <c r="A978" s="60"/>
      <c r="B978" s="60"/>
      <c r="C978" s="60"/>
      <c r="D978" s="60"/>
      <c r="E978" s="60"/>
      <c r="F978" s="61"/>
      <c r="G978" s="60"/>
    </row>
    <row r="979" ht="71.25" customHeight="1">
      <c r="A979" s="60"/>
      <c r="B979" s="60"/>
      <c r="C979" s="60"/>
      <c r="D979" s="60"/>
      <c r="E979" s="60"/>
      <c r="F979" s="61"/>
      <c r="G979" s="60"/>
    </row>
    <row r="980" ht="71.25" customHeight="1">
      <c r="A980" s="60"/>
      <c r="B980" s="60"/>
      <c r="C980" s="60"/>
      <c r="D980" s="60"/>
      <c r="E980" s="60"/>
      <c r="F980" s="61"/>
      <c r="G980" s="60"/>
    </row>
    <row r="981" ht="71.25" customHeight="1">
      <c r="A981" s="60"/>
      <c r="B981" s="60"/>
      <c r="C981" s="60"/>
      <c r="D981" s="60"/>
      <c r="E981" s="60"/>
      <c r="F981" s="61"/>
      <c r="G981" s="60"/>
    </row>
    <row r="982" ht="71.25" customHeight="1">
      <c r="A982" s="60"/>
      <c r="B982" s="60"/>
      <c r="C982" s="60"/>
      <c r="D982" s="60"/>
      <c r="E982" s="60"/>
      <c r="F982" s="61"/>
      <c r="G982" s="60"/>
    </row>
    <row r="983" ht="71.25" customHeight="1">
      <c r="A983" s="60"/>
      <c r="B983" s="60"/>
      <c r="C983" s="60"/>
      <c r="D983" s="60"/>
      <c r="E983" s="60"/>
      <c r="F983" s="61"/>
      <c r="G983" s="60"/>
    </row>
    <row r="984" ht="71.25" customHeight="1">
      <c r="A984" s="60"/>
      <c r="B984" s="60"/>
      <c r="C984" s="60"/>
      <c r="D984" s="60"/>
      <c r="E984" s="60"/>
      <c r="F984" s="61"/>
      <c r="G984" s="60"/>
    </row>
    <row r="985" ht="71.25" customHeight="1">
      <c r="A985" s="60"/>
      <c r="B985" s="60"/>
      <c r="C985" s="60"/>
      <c r="D985" s="60"/>
      <c r="E985" s="60"/>
      <c r="F985" s="61"/>
      <c r="G985" s="60"/>
    </row>
    <row r="986" ht="71.25" customHeight="1">
      <c r="A986" s="60"/>
      <c r="B986" s="60"/>
      <c r="C986" s="60"/>
      <c r="D986" s="60"/>
      <c r="E986" s="60"/>
      <c r="F986" s="61"/>
      <c r="G986" s="60"/>
    </row>
    <row r="987" ht="71.25" customHeight="1">
      <c r="A987" s="60"/>
      <c r="B987" s="60"/>
      <c r="C987" s="60"/>
      <c r="D987" s="60"/>
      <c r="E987" s="60"/>
      <c r="F987" s="61"/>
      <c r="G987" s="60"/>
    </row>
    <row r="988" ht="71.25" customHeight="1">
      <c r="A988" s="60"/>
      <c r="B988" s="60"/>
      <c r="C988" s="60"/>
      <c r="D988" s="60"/>
      <c r="E988" s="60"/>
      <c r="F988" s="61"/>
      <c r="G988" s="60"/>
    </row>
    <row r="989" ht="71.25" customHeight="1">
      <c r="A989" s="60"/>
      <c r="B989" s="60"/>
      <c r="C989" s="60"/>
      <c r="D989" s="60"/>
      <c r="E989" s="60"/>
      <c r="F989" s="61"/>
      <c r="G989" s="60"/>
    </row>
    <row r="990" ht="71.25" customHeight="1">
      <c r="A990" s="60"/>
      <c r="B990" s="60"/>
      <c r="C990" s="60"/>
      <c r="D990" s="60"/>
      <c r="E990" s="60"/>
      <c r="F990" s="61"/>
      <c r="G990" s="60"/>
    </row>
    <row r="991" ht="71.25" customHeight="1">
      <c r="A991" s="60"/>
      <c r="B991" s="60"/>
      <c r="C991" s="60"/>
      <c r="D991" s="60"/>
      <c r="E991" s="60"/>
      <c r="F991" s="61"/>
      <c r="G991" s="60"/>
    </row>
    <row r="992" ht="71.25" customHeight="1">
      <c r="A992" s="60"/>
      <c r="B992" s="60"/>
      <c r="C992" s="60"/>
      <c r="D992" s="60"/>
      <c r="E992" s="60"/>
      <c r="F992" s="61"/>
      <c r="G992" s="60"/>
    </row>
    <row r="993" ht="71.25" customHeight="1">
      <c r="A993" s="60"/>
      <c r="B993" s="60"/>
      <c r="C993" s="60"/>
      <c r="D993" s="60"/>
      <c r="E993" s="60"/>
      <c r="F993" s="61"/>
      <c r="G993" s="60"/>
    </row>
    <row r="994" ht="71.25" customHeight="1">
      <c r="A994" s="60"/>
      <c r="B994" s="60"/>
      <c r="C994" s="60"/>
      <c r="D994" s="60"/>
      <c r="E994" s="60"/>
      <c r="F994" s="61"/>
      <c r="G994" s="60"/>
    </row>
    <row r="995" ht="71.25" customHeight="1">
      <c r="A995" s="60"/>
      <c r="B995" s="60"/>
      <c r="C995" s="60"/>
      <c r="D995" s="60"/>
      <c r="E995" s="60"/>
      <c r="F995" s="61"/>
      <c r="G995" s="60"/>
    </row>
    <row r="996" ht="71.25" customHeight="1">
      <c r="A996" s="60"/>
      <c r="B996" s="60"/>
      <c r="C996" s="60"/>
      <c r="D996" s="60"/>
      <c r="E996" s="60"/>
      <c r="F996" s="61"/>
      <c r="G996" s="60"/>
    </row>
    <row r="997" ht="71.25" customHeight="1">
      <c r="A997" s="60"/>
      <c r="B997" s="60"/>
      <c r="C997" s="60"/>
      <c r="D997" s="60"/>
      <c r="E997" s="60"/>
      <c r="F997" s="61"/>
      <c r="G997" s="60"/>
    </row>
    <row r="998" ht="71.25" customHeight="1">
      <c r="A998" s="60"/>
      <c r="B998" s="60"/>
      <c r="C998" s="60"/>
      <c r="D998" s="60"/>
      <c r="E998" s="60"/>
      <c r="F998" s="61"/>
      <c r="G998" s="60"/>
    </row>
    <row r="999" ht="71.25" customHeight="1">
      <c r="A999" s="60"/>
      <c r="B999" s="60"/>
      <c r="C999" s="60"/>
      <c r="D999" s="60"/>
      <c r="E999" s="60"/>
      <c r="F999" s="61"/>
      <c r="G999" s="60"/>
    </row>
    <row r="1000" ht="71.25" customHeight="1">
      <c r="A1000" s="60"/>
      <c r="B1000" s="60"/>
      <c r="C1000" s="60"/>
      <c r="D1000" s="60"/>
      <c r="E1000" s="60"/>
      <c r="F1000" s="61"/>
      <c r="G1000" s="60"/>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43.25"/>
  </cols>
  <sheetData>
    <row r="1" ht="12.75" customHeight="1">
      <c r="A1" s="40" t="s">
        <v>759</v>
      </c>
      <c r="B1" s="40" t="s">
        <v>625</v>
      </c>
      <c r="C1" s="40" t="s">
        <v>624</v>
      </c>
      <c r="D1" s="40" t="s">
        <v>626</v>
      </c>
      <c r="G1" s="40" t="s">
        <v>759</v>
      </c>
      <c r="H1" s="40" t="s">
        <v>625</v>
      </c>
      <c r="I1" s="40" t="s">
        <v>624</v>
      </c>
      <c r="J1" s="40" t="s">
        <v>626</v>
      </c>
      <c r="K1" s="2" t="s">
        <v>1643</v>
      </c>
    </row>
    <row r="2" ht="12.75" customHeight="1">
      <c r="A2" s="19" t="s">
        <v>816</v>
      </c>
      <c r="B2" s="20">
        <v>85.0</v>
      </c>
      <c r="C2" s="20" t="s">
        <v>1644</v>
      </c>
      <c r="D2" s="41">
        <v>45691.0</v>
      </c>
      <c r="G2" s="19" t="s">
        <v>46</v>
      </c>
      <c r="H2" s="20">
        <v>85.0</v>
      </c>
      <c r="I2" s="20" t="s">
        <v>1645</v>
      </c>
      <c r="J2" s="41">
        <v>45691.0</v>
      </c>
      <c r="K2" s="17">
        <f>IFERROR(__xludf.DUMMYFUNCTION("GOOGLEFINANCE(G2,""marketcap"")"),1.547498825884E12)</f>
        <v>1547498825884</v>
      </c>
    </row>
    <row r="3" ht="12.75" customHeight="1">
      <c r="A3" s="19" t="s">
        <v>296</v>
      </c>
      <c r="B3" s="20">
        <v>85.0</v>
      </c>
      <c r="C3" s="20" t="s">
        <v>1646</v>
      </c>
      <c r="D3" s="41">
        <v>45691.0</v>
      </c>
      <c r="G3" s="19" t="s">
        <v>99</v>
      </c>
      <c r="H3" s="20">
        <v>85.0</v>
      </c>
      <c r="I3" s="20" t="s">
        <v>1647</v>
      </c>
      <c r="J3" s="41">
        <v>45691.0</v>
      </c>
      <c r="K3" s="17">
        <f>IFERROR(__xludf.DUMMYFUNCTION("GOOGLEFINANCE(G3,""marketcap"")"),2.15948064341E11)</f>
        <v>215948064341</v>
      </c>
    </row>
    <row r="4" ht="12.75" customHeight="1">
      <c r="A4" s="19" t="s">
        <v>294</v>
      </c>
      <c r="B4" s="20">
        <v>85.0</v>
      </c>
      <c r="C4" s="20" t="s">
        <v>1648</v>
      </c>
      <c r="D4" s="41">
        <v>45691.0</v>
      </c>
      <c r="G4" s="19" t="s">
        <v>274</v>
      </c>
      <c r="H4" s="20">
        <v>85.0</v>
      </c>
      <c r="I4" s="20" t="s">
        <v>1649</v>
      </c>
      <c r="J4" s="41">
        <v>45691.0</v>
      </c>
      <c r="K4" s="17">
        <f>IFERROR(__xludf.DUMMYFUNCTION("GOOGLEFINANCE(G4,""marketcap"")"),1.48167662151E11)</f>
        <v>148167662151</v>
      </c>
    </row>
    <row r="5" ht="12.75" customHeight="1">
      <c r="A5" s="19" t="s">
        <v>274</v>
      </c>
      <c r="B5" s="20">
        <v>85.0</v>
      </c>
      <c r="C5" s="20" t="s">
        <v>1649</v>
      </c>
      <c r="D5" s="41">
        <v>45691.0</v>
      </c>
      <c r="G5" s="19" t="s">
        <v>241</v>
      </c>
      <c r="H5" s="20">
        <v>85.0</v>
      </c>
      <c r="I5" s="20" t="s">
        <v>1650</v>
      </c>
      <c r="J5" s="41">
        <v>45691.0</v>
      </c>
      <c r="K5" s="17">
        <f>IFERROR(__xludf.DUMMYFUNCTION("GOOGLEFINANCE(G5,""marketcap"")"),1.97169901077E11)</f>
        <v>197169901077</v>
      </c>
    </row>
    <row r="6" ht="12.75" customHeight="1">
      <c r="A6" s="19" t="s">
        <v>295</v>
      </c>
      <c r="B6" s="20">
        <v>85.0</v>
      </c>
      <c r="C6" s="20" t="s">
        <v>1651</v>
      </c>
      <c r="D6" s="41">
        <v>45691.0</v>
      </c>
      <c r="G6" s="19" t="s">
        <v>294</v>
      </c>
      <c r="H6" s="20">
        <v>85.0</v>
      </c>
      <c r="I6" s="20" t="s">
        <v>1648</v>
      </c>
      <c r="J6" s="41">
        <v>45691.0</v>
      </c>
      <c r="K6" s="17">
        <f>IFERROR(__xludf.DUMMYFUNCTION("GOOGLEFINANCE(G6,""marketcap"")"),1.79021216528E11)</f>
        <v>179021216528</v>
      </c>
    </row>
    <row r="7" ht="12.75" customHeight="1">
      <c r="A7" s="19" t="s">
        <v>805</v>
      </c>
      <c r="B7" s="20">
        <v>85.0</v>
      </c>
      <c r="C7" s="20" t="s">
        <v>1652</v>
      </c>
      <c r="D7" s="41">
        <v>45691.0</v>
      </c>
      <c r="G7" s="19" t="s">
        <v>295</v>
      </c>
      <c r="H7" s="20">
        <v>85.0</v>
      </c>
      <c r="I7" s="20" t="s">
        <v>1651</v>
      </c>
      <c r="J7" s="41">
        <v>45691.0</v>
      </c>
      <c r="K7" s="17">
        <f>IFERROR(__xludf.DUMMYFUNCTION("GOOGLEFINANCE(G7,""marketcap"")"),1.55268487585E11)</f>
        <v>155268487585</v>
      </c>
    </row>
    <row r="8" ht="12.75" customHeight="1">
      <c r="A8" s="19" t="s">
        <v>1143</v>
      </c>
      <c r="B8" s="20">
        <v>85.0</v>
      </c>
      <c r="C8" s="20" t="s">
        <v>1653</v>
      </c>
      <c r="D8" s="41">
        <v>45691.0</v>
      </c>
      <c r="G8" s="19" t="s">
        <v>130</v>
      </c>
      <c r="H8" s="20">
        <v>85.0</v>
      </c>
      <c r="I8" s="20" t="s">
        <v>1654</v>
      </c>
      <c r="J8" s="41">
        <v>45691.0</v>
      </c>
      <c r="K8" s="17">
        <f>IFERROR(__xludf.DUMMYFUNCTION("GOOGLEFINANCE(G8,""marketcap"")"),1.63009556202E11)</f>
        <v>163009556202</v>
      </c>
    </row>
    <row r="9" ht="12.75" customHeight="1">
      <c r="A9" s="19" t="s">
        <v>1613</v>
      </c>
      <c r="B9" s="20">
        <v>85.0</v>
      </c>
      <c r="C9" s="20" t="s">
        <v>1655</v>
      </c>
      <c r="D9" s="41">
        <v>45691.0</v>
      </c>
      <c r="G9" s="19" t="s">
        <v>296</v>
      </c>
      <c r="H9" s="20">
        <v>85.0</v>
      </c>
      <c r="I9" s="20" t="s">
        <v>1646</v>
      </c>
      <c r="J9" s="41">
        <v>45691.0</v>
      </c>
      <c r="K9" s="17">
        <f>IFERROR(__xludf.DUMMYFUNCTION("GOOGLEFINANCE(G9,""marketcap"")"),1.14682707048E11)</f>
        <v>114682707048</v>
      </c>
    </row>
    <row r="10" ht="12.75" customHeight="1">
      <c r="A10" s="19" t="s">
        <v>241</v>
      </c>
      <c r="B10" s="20">
        <v>85.0</v>
      </c>
      <c r="C10" s="20" t="s">
        <v>1650</v>
      </c>
      <c r="D10" s="41">
        <v>45691.0</v>
      </c>
      <c r="G10" s="19" t="s">
        <v>298</v>
      </c>
      <c r="H10" s="20">
        <v>85.0</v>
      </c>
      <c r="I10" s="20" t="s">
        <v>1656</v>
      </c>
      <c r="J10" s="41">
        <v>45691.0</v>
      </c>
      <c r="K10" s="17">
        <f>IFERROR(__xludf.DUMMYFUNCTION("GOOGLEFINANCE(G10,""marketcap"")"),1.68590642383E11)</f>
        <v>168590642383</v>
      </c>
    </row>
    <row r="11" ht="12.75" customHeight="1">
      <c r="A11" s="19" t="s">
        <v>300</v>
      </c>
      <c r="B11" s="20">
        <v>85.0</v>
      </c>
      <c r="C11" s="20" t="s">
        <v>1657</v>
      </c>
      <c r="D11" s="41">
        <v>45691.0</v>
      </c>
      <c r="G11" s="19" t="s">
        <v>300</v>
      </c>
      <c r="H11" s="20">
        <v>85.0</v>
      </c>
      <c r="I11" s="20" t="s">
        <v>1657</v>
      </c>
      <c r="J11" s="41">
        <v>45691.0</v>
      </c>
      <c r="K11" s="17">
        <f>IFERROR(__xludf.DUMMYFUNCTION("GOOGLEFINANCE(G11,""marketcap"")"),7.7369919334E10)</f>
        <v>77369919334</v>
      </c>
    </row>
    <row r="12" ht="12.75" customHeight="1">
      <c r="A12" s="19" t="s">
        <v>298</v>
      </c>
      <c r="B12" s="20">
        <v>85.0</v>
      </c>
      <c r="C12" s="20" t="s">
        <v>1656</v>
      </c>
      <c r="D12" s="41">
        <v>45691.0</v>
      </c>
      <c r="G12" s="19" t="s">
        <v>904</v>
      </c>
      <c r="H12" s="20">
        <v>85.0</v>
      </c>
      <c r="I12" s="20" t="s">
        <v>1658</v>
      </c>
      <c r="J12" s="41">
        <v>45691.0</v>
      </c>
      <c r="K12" s="17">
        <f>IFERROR(__xludf.DUMMYFUNCTION("GOOGLEFINANCE(G12,""marketcap"")"),7.8050196742E10)</f>
        <v>78050196742</v>
      </c>
    </row>
    <row r="13" ht="12.75" customHeight="1">
      <c r="A13" s="19" t="s">
        <v>904</v>
      </c>
      <c r="B13" s="20">
        <v>85.0</v>
      </c>
      <c r="C13" s="20" t="s">
        <v>1658</v>
      </c>
      <c r="D13" s="41">
        <v>45691.0</v>
      </c>
      <c r="G13" s="19" t="s">
        <v>1613</v>
      </c>
      <c r="H13" s="20">
        <v>85.0</v>
      </c>
      <c r="I13" s="20" t="s">
        <v>1655</v>
      </c>
      <c r="J13" s="41">
        <v>45691.0</v>
      </c>
      <c r="K13" s="17">
        <f>IFERROR(__xludf.DUMMYFUNCTION("GOOGLEFINANCE(G13,""marketcap"")"),3.4646928175E10)</f>
        <v>34646928175</v>
      </c>
    </row>
    <row r="14" ht="12.75" customHeight="1">
      <c r="A14" s="19" t="s">
        <v>46</v>
      </c>
      <c r="B14" s="20">
        <v>85.0</v>
      </c>
      <c r="C14" s="20" t="s">
        <v>1659</v>
      </c>
      <c r="D14" s="41">
        <v>45691.0</v>
      </c>
      <c r="G14" s="19" t="s">
        <v>1008</v>
      </c>
      <c r="H14" s="20">
        <v>85.0</v>
      </c>
      <c r="I14" s="20" t="s">
        <v>1660</v>
      </c>
      <c r="J14" s="41">
        <v>45691.0</v>
      </c>
      <c r="K14" s="17" t="str">
        <f>IFERROR(__xludf.DUMMYFUNCTION("GOOGLEFINANCE(G14,""marketcap"")"),"#N/A")</f>
        <v>#N/A</v>
      </c>
    </row>
    <row r="15" ht="12.75" customHeight="1">
      <c r="A15" s="19" t="s">
        <v>91</v>
      </c>
      <c r="B15" s="20">
        <v>85.0</v>
      </c>
      <c r="C15" s="20" t="s">
        <v>1661</v>
      </c>
      <c r="D15" s="41">
        <v>45691.0</v>
      </c>
      <c r="G15" s="19" t="s">
        <v>805</v>
      </c>
      <c r="H15" s="20">
        <v>85.0</v>
      </c>
      <c r="I15" s="20" t="s">
        <v>1652</v>
      </c>
      <c r="J15" s="41">
        <v>45691.0</v>
      </c>
      <c r="K15" s="17">
        <f>IFERROR(__xludf.DUMMYFUNCTION("GOOGLEFINANCE(G15,""marketcap"")"),5.5821406564E10)</f>
        <v>55821406564</v>
      </c>
    </row>
    <row r="16" ht="12.75" customHeight="1">
      <c r="A16" s="19" t="s">
        <v>99</v>
      </c>
      <c r="B16" s="20">
        <v>85.0</v>
      </c>
      <c r="C16" s="20" t="s">
        <v>1647</v>
      </c>
      <c r="D16" s="41">
        <v>45691.0</v>
      </c>
      <c r="G16" s="19" t="s">
        <v>1143</v>
      </c>
      <c r="H16" s="20">
        <v>85.0</v>
      </c>
      <c r="I16" s="20" t="s">
        <v>1653</v>
      </c>
      <c r="J16" s="41">
        <v>45691.0</v>
      </c>
      <c r="K16" s="17">
        <f>IFERROR(__xludf.DUMMYFUNCTION("GOOGLEFINANCE(G16,""marketcap"")"),5.1809849E10)</f>
        <v>51809849000</v>
      </c>
    </row>
    <row r="17" ht="12.75" customHeight="1">
      <c r="A17" s="19" t="s">
        <v>130</v>
      </c>
      <c r="B17" s="20">
        <v>85.0</v>
      </c>
      <c r="C17" s="20" t="s">
        <v>1654</v>
      </c>
      <c r="D17" s="41">
        <v>45691.0</v>
      </c>
      <c r="G17" s="19" t="s">
        <v>91</v>
      </c>
      <c r="H17" s="20">
        <v>85.0</v>
      </c>
      <c r="I17" s="20" t="s">
        <v>1661</v>
      </c>
      <c r="J17" s="41">
        <v>45691.0</v>
      </c>
      <c r="K17" s="17">
        <f>IFERROR(__xludf.DUMMYFUNCTION("GOOGLEFINANCE(G17,""marketcap"")"),2.5377967612E10)</f>
        <v>25377967612</v>
      </c>
    </row>
    <row r="18" ht="12.75" customHeight="1">
      <c r="A18" s="19" t="s">
        <v>1008</v>
      </c>
      <c r="B18" s="20">
        <v>85.0</v>
      </c>
      <c r="C18" s="20" t="s">
        <v>1660</v>
      </c>
      <c r="D18" s="41">
        <v>45691.0</v>
      </c>
      <c r="G18" s="19" t="s">
        <v>816</v>
      </c>
      <c r="H18" s="20">
        <v>85.0</v>
      </c>
      <c r="I18" s="20" t="s">
        <v>1644</v>
      </c>
      <c r="J18" s="41">
        <v>45691.0</v>
      </c>
      <c r="K18" s="17">
        <f>IFERROR(__xludf.DUMMYFUNCTION("GOOGLEFINANCE(G18,""marketcap"")"),1.1932447802E10)</f>
        <v>11932447802</v>
      </c>
    </row>
    <row r="19" ht="12.75" customHeight="1">
      <c r="A19" s="19" t="s">
        <v>1262</v>
      </c>
      <c r="B19" s="20">
        <v>85.0</v>
      </c>
      <c r="C19" s="20" t="s">
        <v>1662</v>
      </c>
      <c r="D19" s="41">
        <v>45691.0</v>
      </c>
      <c r="G19" s="19" t="s">
        <v>1262</v>
      </c>
      <c r="H19" s="20">
        <v>85.0</v>
      </c>
      <c r="I19" s="20" t="s">
        <v>1662</v>
      </c>
      <c r="J19" s="41">
        <v>45691.0</v>
      </c>
      <c r="K19" s="17">
        <f>IFERROR(__xludf.DUMMYFUNCTION("GOOGLEFINANCE(G19,""marketcap"")"),4.80404449E9)</f>
        <v>4804044490</v>
      </c>
    </row>
    <row r="20" ht="12.75" customHeight="1">
      <c r="A20" s="19" t="s">
        <v>12</v>
      </c>
      <c r="B20" s="20">
        <v>82.0</v>
      </c>
      <c r="C20" s="20" t="s">
        <v>1663</v>
      </c>
      <c r="D20" s="41">
        <v>45691.0</v>
      </c>
    </row>
    <row r="21" ht="12.75" customHeight="1">
      <c r="A21" s="19" t="s">
        <v>1283</v>
      </c>
      <c r="B21" s="20">
        <v>78.0</v>
      </c>
      <c r="C21" s="20" t="s">
        <v>1664</v>
      </c>
      <c r="D21" s="41">
        <v>45691.0</v>
      </c>
    </row>
    <row r="22" ht="12.75" customHeight="1">
      <c r="A22" s="19" t="s">
        <v>851</v>
      </c>
      <c r="B22" s="20">
        <v>78.0</v>
      </c>
      <c r="C22" s="20" t="s">
        <v>1665</v>
      </c>
      <c r="D22" s="41">
        <v>45691.0</v>
      </c>
    </row>
    <row r="23" ht="12.75" customHeight="1">
      <c r="A23" s="19" t="s">
        <v>1338</v>
      </c>
      <c r="B23" s="20">
        <v>78.0</v>
      </c>
      <c r="C23" s="20" t="s">
        <v>1666</v>
      </c>
      <c r="D23" s="41">
        <v>45691.0</v>
      </c>
    </row>
    <row r="24" ht="12.75" customHeight="1">
      <c r="A24" s="19" t="s">
        <v>1474</v>
      </c>
      <c r="B24" s="20">
        <v>78.0</v>
      </c>
      <c r="C24" s="20" t="s">
        <v>1667</v>
      </c>
      <c r="D24" s="41">
        <v>45691.0</v>
      </c>
    </row>
    <row r="25" ht="12.75" customHeight="1">
      <c r="A25" s="19" t="s">
        <v>1367</v>
      </c>
      <c r="B25" s="20">
        <v>78.0</v>
      </c>
      <c r="C25" s="20" t="s">
        <v>1668</v>
      </c>
      <c r="D25" s="41">
        <v>45691.0</v>
      </c>
    </row>
    <row r="26" ht="12.75" customHeight="1">
      <c r="A26" s="19" t="s">
        <v>180</v>
      </c>
      <c r="B26" s="20">
        <v>78.0</v>
      </c>
      <c r="C26" s="20" t="s">
        <v>1669</v>
      </c>
      <c r="D26" s="41">
        <v>45691.0</v>
      </c>
    </row>
    <row r="27" ht="12.75" customHeight="1">
      <c r="A27" s="19" t="s">
        <v>287</v>
      </c>
      <c r="B27" s="20">
        <v>78.0</v>
      </c>
      <c r="C27" s="20" t="s">
        <v>1670</v>
      </c>
      <c r="D27" s="41">
        <v>45691.0</v>
      </c>
    </row>
    <row r="28" ht="12.75" customHeight="1">
      <c r="A28" s="19" t="s">
        <v>890</v>
      </c>
      <c r="B28" s="20">
        <v>78.0</v>
      </c>
      <c r="C28" s="20" t="s">
        <v>1671</v>
      </c>
      <c r="D28" s="41">
        <v>45691.0</v>
      </c>
    </row>
    <row r="29" ht="12.75" customHeight="1">
      <c r="A29" s="19" t="s">
        <v>1354</v>
      </c>
      <c r="B29" s="20">
        <v>78.0</v>
      </c>
      <c r="C29" s="20" t="s">
        <v>1672</v>
      </c>
      <c r="D29" s="41">
        <v>45691.0</v>
      </c>
    </row>
    <row r="30" ht="12.75" customHeight="1">
      <c r="A30" s="19" t="s">
        <v>902</v>
      </c>
      <c r="B30" s="20">
        <v>78.0</v>
      </c>
      <c r="C30" s="20" t="s">
        <v>1673</v>
      </c>
      <c r="D30" s="41">
        <v>45691.0</v>
      </c>
    </row>
    <row r="31" ht="12.75" customHeight="1">
      <c r="A31" s="19" t="s">
        <v>1400</v>
      </c>
      <c r="B31" s="20">
        <v>78.0</v>
      </c>
      <c r="C31" s="20" t="s">
        <v>1674</v>
      </c>
      <c r="D31" s="41">
        <v>45691.0</v>
      </c>
    </row>
    <row r="32" ht="12.75" customHeight="1">
      <c r="A32" s="19" t="s">
        <v>1393</v>
      </c>
      <c r="B32" s="20">
        <v>78.0</v>
      </c>
      <c r="C32" s="20" t="s">
        <v>1675</v>
      </c>
      <c r="D32" s="41">
        <v>45691.0</v>
      </c>
    </row>
    <row r="33" ht="12.75" customHeight="1">
      <c r="A33" s="19" t="s">
        <v>956</v>
      </c>
      <c r="B33" s="20">
        <v>78.0</v>
      </c>
      <c r="C33" s="20" t="s">
        <v>1676</v>
      </c>
      <c r="D33" s="41">
        <v>45691.0</v>
      </c>
    </row>
    <row r="34" ht="12.75" customHeight="1">
      <c r="A34" s="19" t="s">
        <v>57</v>
      </c>
      <c r="B34" s="20">
        <v>78.0</v>
      </c>
      <c r="C34" s="20" t="s">
        <v>1677</v>
      </c>
      <c r="D34" s="41">
        <v>45691.0</v>
      </c>
    </row>
    <row r="35" ht="12.75" customHeight="1">
      <c r="A35" s="19" t="s">
        <v>855</v>
      </c>
      <c r="B35" s="20">
        <v>78.0</v>
      </c>
      <c r="C35" s="20" t="s">
        <v>1678</v>
      </c>
      <c r="D35" s="41">
        <v>45691.0</v>
      </c>
    </row>
    <row r="36" ht="12.75" customHeight="1">
      <c r="A36" s="19" t="s">
        <v>1202</v>
      </c>
      <c r="B36" s="20">
        <v>78.0</v>
      </c>
      <c r="C36" s="20" t="s">
        <v>1679</v>
      </c>
      <c r="D36" s="41">
        <v>45691.0</v>
      </c>
    </row>
    <row r="37" ht="12.75" customHeight="1">
      <c r="A37" s="19" t="s">
        <v>1425</v>
      </c>
      <c r="B37" s="20">
        <v>78.0</v>
      </c>
      <c r="C37" s="20" t="s">
        <v>1680</v>
      </c>
      <c r="D37" s="41">
        <v>45691.0</v>
      </c>
    </row>
    <row r="38" ht="12.75" customHeight="1">
      <c r="A38" s="19" t="s">
        <v>232</v>
      </c>
      <c r="B38" s="20">
        <v>78.0</v>
      </c>
      <c r="C38" s="20" t="s">
        <v>1681</v>
      </c>
      <c r="D38" s="41">
        <v>45691.0</v>
      </c>
    </row>
    <row r="39" ht="12.75" customHeight="1">
      <c r="A39" s="19" t="s">
        <v>1305</v>
      </c>
      <c r="B39" s="20">
        <v>78.0</v>
      </c>
      <c r="C39" s="20" t="s">
        <v>1682</v>
      </c>
      <c r="D39" s="41">
        <v>45691.0</v>
      </c>
    </row>
    <row r="40" ht="12.75" customHeight="1">
      <c r="A40" s="19" t="s">
        <v>1135</v>
      </c>
      <c r="B40" s="20">
        <v>78.0</v>
      </c>
      <c r="C40" s="20" t="s">
        <v>1683</v>
      </c>
      <c r="D40" s="41">
        <v>45691.0</v>
      </c>
    </row>
    <row r="41" ht="12.75" customHeight="1">
      <c r="A41" s="19" t="s">
        <v>71</v>
      </c>
      <c r="B41" s="20">
        <v>78.0</v>
      </c>
      <c r="C41" s="20" t="s">
        <v>1684</v>
      </c>
      <c r="D41" s="41">
        <v>45691.0</v>
      </c>
    </row>
    <row r="42" ht="12.75" customHeight="1">
      <c r="A42" s="19" t="s">
        <v>276</v>
      </c>
      <c r="B42" s="20">
        <v>78.0</v>
      </c>
      <c r="C42" s="20" t="s">
        <v>1685</v>
      </c>
      <c r="D42" s="41">
        <v>45691.0</v>
      </c>
    </row>
    <row r="43" ht="12.75" customHeight="1">
      <c r="A43" s="19" t="s">
        <v>833</v>
      </c>
      <c r="B43" s="20">
        <v>78.0</v>
      </c>
      <c r="C43" s="20" t="s">
        <v>1686</v>
      </c>
      <c r="D43" s="41">
        <v>45691.0</v>
      </c>
    </row>
    <row r="44" ht="12.75" customHeight="1">
      <c r="A44" s="19" t="s">
        <v>1167</v>
      </c>
      <c r="B44" s="20">
        <v>78.0</v>
      </c>
      <c r="C44" s="20" t="s">
        <v>1687</v>
      </c>
      <c r="D44" s="41">
        <v>45691.0</v>
      </c>
    </row>
    <row r="45" ht="12.75" customHeight="1">
      <c r="A45" s="19" t="s">
        <v>1115</v>
      </c>
      <c r="B45" s="20">
        <v>78.0</v>
      </c>
      <c r="C45" s="20" t="s">
        <v>1688</v>
      </c>
      <c r="D45" s="41">
        <v>45691.0</v>
      </c>
    </row>
    <row r="46" ht="12.75" customHeight="1">
      <c r="A46" s="19" t="s">
        <v>1204</v>
      </c>
      <c r="B46" s="20">
        <v>78.0</v>
      </c>
      <c r="C46" s="20" t="s">
        <v>1689</v>
      </c>
      <c r="D46" s="41">
        <v>45691.0</v>
      </c>
    </row>
    <row r="47" ht="12.75" customHeight="1">
      <c r="A47" s="19" t="s">
        <v>1381</v>
      </c>
      <c r="B47" s="20">
        <v>78.0</v>
      </c>
      <c r="C47" s="20" t="s">
        <v>1690</v>
      </c>
      <c r="D47" s="41">
        <v>45691.0</v>
      </c>
    </row>
    <row r="48" ht="12.75" customHeight="1">
      <c r="A48" s="19" t="s">
        <v>122</v>
      </c>
      <c r="B48" s="20">
        <v>78.0</v>
      </c>
      <c r="C48" s="20" t="s">
        <v>1691</v>
      </c>
      <c r="D48" s="41">
        <v>45691.0</v>
      </c>
    </row>
    <row r="49" ht="12.75" customHeight="1">
      <c r="A49" s="19" t="s">
        <v>263</v>
      </c>
      <c r="B49" s="20">
        <v>72.0</v>
      </c>
      <c r="C49" s="20" t="s">
        <v>1692</v>
      </c>
      <c r="D49" s="41">
        <v>45691.0</v>
      </c>
    </row>
    <row r="50" ht="12.75" customHeight="1">
      <c r="A50" s="19" t="s">
        <v>85</v>
      </c>
      <c r="B50" s="20">
        <v>72.0</v>
      </c>
      <c r="C50" s="20" t="s">
        <v>1693</v>
      </c>
      <c r="D50" s="41">
        <v>45691.0</v>
      </c>
    </row>
    <row r="51" ht="12.75" customHeight="1">
      <c r="A51" s="19" t="s">
        <v>1435</v>
      </c>
      <c r="B51" s="20">
        <v>72.0</v>
      </c>
      <c r="C51" s="20" t="s">
        <v>1694</v>
      </c>
      <c r="D51" s="41">
        <v>45691.0</v>
      </c>
    </row>
    <row r="52" ht="12.75" customHeight="1">
      <c r="A52" s="19" t="s">
        <v>1391</v>
      </c>
      <c r="B52" s="20">
        <v>72.0</v>
      </c>
      <c r="C52" s="20" t="s">
        <v>1695</v>
      </c>
      <c r="D52" s="41">
        <v>45691.0</v>
      </c>
    </row>
    <row r="53" ht="12.75" customHeight="1">
      <c r="A53" s="19" t="s">
        <v>614</v>
      </c>
      <c r="B53" s="20">
        <v>72.0</v>
      </c>
      <c r="C53" s="20" t="s">
        <v>1696</v>
      </c>
      <c r="D53" s="41">
        <v>45691.0</v>
      </c>
    </row>
    <row r="54" ht="12.75" customHeight="1">
      <c r="A54" s="19" t="s">
        <v>1067</v>
      </c>
      <c r="B54" s="20">
        <v>72.0</v>
      </c>
      <c r="C54" s="20" t="s">
        <v>1697</v>
      </c>
      <c r="D54" s="41">
        <v>45691.0</v>
      </c>
    </row>
    <row r="55" ht="12.75" customHeight="1">
      <c r="A55" s="19" t="s">
        <v>893</v>
      </c>
      <c r="B55" s="20">
        <v>72.0</v>
      </c>
      <c r="C55" s="20" t="s">
        <v>1698</v>
      </c>
      <c r="D55" s="41">
        <v>45691.0</v>
      </c>
    </row>
    <row r="56" ht="12.75" customHeight="1">
      <c r="A56" s="19" t="s">
        <v>1139</v>
      </c>
      <c r="B56" s="20">
        <v>72.0</v>
      </c>
      <c r="C56" s="20" t="s">
        <v>1699</v>
      </c>
      <c r="D56" s="41">
        <v>45691.0</v>
      </c>
    </row>
    <row r="57" ht="12.75" customHeight="1">
      <c r="A57" s="19" t="s">
        <v>1041</v>
      </c>
      <c r="B57" s="20">
        <v>72.0</v>
      </c>
      <c r="C57" s="20" t="s">
        <v>1700</v>
      </c>
      <c r="D57" s="41">
        <v>45691.0</v>
      </c>
    </row>
    <row r="58" ht="12.75" customHeight="1">
      <c r="A58" s="19" t="s">
        <v>809</v>
      </c>
      <c r="B58" s="20">
        <v>72.0</v>
      </c>
      <c r="C58" s="20" t="s">
        <v>1701</v>
      </c>
      <c r="D58" s="41">
        <v>45691.0</v>
      </c>
    </row>
    <row r="59" ht="12.75" customHeight="1">
      <c r="A59" s="19" t="s">
        <v>63</v>
      </c>
      <c r="B59" s="20">
        <v>72.0</v>
      </c>
      <c r="C59" s="20" t="s">
        <v>1702</v>
      </c>
      <c r="D59" s="41">
        <v>45691.0</v>
      </c>
    </row>
    <row r="60" ht="12.75" customHeight="1">
      <c r="A60" s="19" t="s">
        <v>908</v>
      </c>
      <c r="B60" s="20">
        <v>72.0</v>
      </c>
      <c r="C60" s="20" t="s">
        <v>1703</v>
      </c>
      <c r="D60" s="41">
        <v>45691.0</v>
      </c>
    </row>
    <row r="61" ht="12.75" customHeight="1">
      <c r="A61" s="19" t="s">
        <v>164</v>
      </c>
      <c r="B61" s="20">
        <v>72.0</v>
      </c>
      <c r="C61" s="20" t="s">
        <v>1704</v>
      </c>
      <c r="D61" s="41">
        <v>45691.0</v>
      </c>
    </row>
    <row r="62" ht="12.75" customHeight="1">
      <c r="A62" s="19" t="s">
        <v>275</v>
      </c>
      <c r="B62" s="20">
        <v>72.0</v>
      </c>
      <c r="C62" s="20" t="s">
        <v>1705</v>
      </c>
      <c r="D62" s="41">
        <v>45691.0</v>
      </c>
    </row>
    <row r="63" ht="12.75" customHeight="1">
      <c r="A63" s="19" t="s">
        <v>1487</v>
      </c>
      <c r="B63" s="20">
        <v>72.0</v>
      </c>
      <c r="C63" s="20" t="s">
        <v>1706</v>
      </c>
      <c r="D63" s="41">
        <v>45691.0</v>
      </c>
    </row>
    <row r="64" ht="12.75" customHeight="1">
      <c r="A64" s="19" t="s">
        <v>1404</v>
      </c>
      <c r="B64" s="20">
        <v>72.0</v>
      </c>
      <c r="C64" s="20" t="s">
        <v>1707</v>
      </c>
      <c r="D64" s="41">
        <v>45691.0</v>
      </c>
    </row>
    <row r="65" ht="12.75" customHeight="1">
      <c r="A65" s="19" t="s">
        <v>423</v>
      </c>
      <c r="B65" s="20">
        <v>72.0</v>
      </c>
      <c r="C65" s="20" t="s">
        <v>1708</v>
      </c>
      <c r="D65" s="41">
        <v>45691.0</v>
      </c>
    </row>
    <row r="66" ht="12.75" customHeight="1">
      <c r="A66" s="19" t="s">
        <v>239</v>
      </c>
      <c r="B66" s="20">
        <v>72.0</v>
      </c>
      <c r="C66" s="20" t="s">
        <v>1709</v>
      </c>
      <c r="D66" s="41">
        <v>45691.0</v>
      </c>
    </row>
    <row r="67" ht="12.75" customHeight="1">
      <c r="A67" s="19" t="s">
        <v>965</v>
      </c>
      <c r="B67" s="20">
        <v>72.0</v>
      </c>
      <c r="C67" s="20" t="s">
        <v>1710</v>
      </c>
      <c r="D67" s="41">
        <v>45691.0</v>
      </c>
    </row>
    <row r="68" ht="12.75" customHeight="1">
      <c r="A68" s="19" t="s">
        <v>1221</v>
      </c>
      <c r="B68" s="20">
        <v>72.0</v>
      </c>
      <c r="C68" s="20" t="s">
        <v>1711</v>
      </c>
      <c r="D68" s="41">
        <v>45691.0</v>
      </c>
    </row>
    <row r="69" ht="12.75" customHeight="1">
      <c r="A69" s="19" t="s">
        <v>1266</v>
      </c>
      <c r="B69" s="20">
        <v>72.0</v>
      </c>
      <c r="C69" s="20" t="s">
        <v>1712</v>
      </c>
      <c r="D69" s="41">
        <v>45691.0</v>
      </c>
    </row>
    <row r="70" ht="12.75" customHeight="1">
      <c r="A70" s="19" t="s">
        <v>40</v>
      </c>
      <c r="B70" s="20">
        <v>72.0</v>
      </c>
      <c r="C70" s="20" t="s">
        <v>1713</v>
      </c>
      <c r="D70" s="41">
        <v>45691.0</v>
      </c>
    </row>
    <row r="71" ht="12.75" customHeight="1">
      <c r="A71" s="19" t="s">
        <v>1543</v>
      </c>
      <c r="B71" s="20">
        <v>72.0</v>
      </c>
      <c r="C71" s="20" t="s">
        <v>1714</v>
      </c>
      <c r="D71" s="41">
        <v>45691.0</v>
      </c>
    </row>
    <row r="72" ht="12.75" customHeight="1">
      <c r="A72" s="19" t="s">
        <v>1117</v>
      </c>
      <c r="B72" s="20">
        <v>72.0</v>
      </c>
      <c r="C72" s="20" t="s">
        <v>1715</v>
      </c>
      <c r="D72" s="41">
        <v>45691.0</v>
      </c>
    </row>
    <row r="73" ht="12.75" customHeight="1">
      <c r="A73" s="19" t="s">
        <v>1307</v>
      </c>
      <c r="B73" s="20">
        <v>72.0</v>
      </c>
      <c r="C73" s="20" t="s">
        <v>1716</v>
      </c>
      <c r="D73" s="41">
        <v>45691.0</v>
      </c>
    </row>
    <row r="74" ht="12.75" customHeight="1">
      <c r="A74" s="19" t="s">
        <v>217</v>
      </c>
      <c r="B74" s="20">
        <v>68.0</v>
      </c>
      <c r="C74" s="20" t="s">
        <v>1717</v>
      </c>
      <c r="D74" s="41">
        <v>45691.0</v>
      </c>
    </row>
    <row r="75" ht="12.75" customHeight="1">
      <c r="A75" s="19" t="s">
        <v>1028</v>
      </c>
      <c r="B75" s="20">
        <v>68.0</v>
      </c>
      <c r="C75" s="20" t="s">
        <v>1718</v>
      </c>
      <c r="D75" s="41">
        <v>45691.0</v>
      </c>
    </row>
    <row r="76" ht="12.75" customHeight="1">
      <c r="A76" s="19" t="s">
        <v>1013</v>
      </c>
      <c r="B76" s="20">
        <v>68.0</v>
      </c>
      <c r="C76" s="20" t="s">
        <v>1719</v>
      </c>
      <c r="D76" s="41">
        <v>45691.0</v>
      </c>
    </row>
    <row r="77" ht="12.75" customHeight="1">
      <c r="A77" s="19" t="s">
        <v>165</v>
      </c>
      <c r="B77" s="20">
        <v>65.0</v>
      </c>
      <c r="C77" s="20" t="s">
        <v>1720</v>
      </c>
      <c r="D77" s="41">
        <v>45691.0</v>
      </c>
    </row>
    <row r="78" ht="12.75" customHeight="1">
      <c r="A78" s="19" t="s">
        <v>1418</v>
      </c>
      <c r="B78" s="20">
        <v>65.0</v>
      </c>
      <c r="C78" s="20" t="s">
        <v>1721</v>
      </c>
      <c r="D78" s="41">
        <v>45691.0</v>
      </c>
    </row>
    <row r="79" ht="12.75" customHeight="1">
      <c r="A79" s="19" t="s">
        <v>1582</v>
      </c>
      <c r="B79" s="20">
        <v>65.0</v>
      </c>
      <c r="C79" s="20" t="s">
        <v>1722</v>
      </c>
      <c r="D79" s="41">
        <v>45691.0</v>
      </c>
    </row>
    <row r="80" ht="12.75" customHeight="1">
      <c r="A80" s="19" t="s">
        <v>1371</v>
      </c>
      <c r="B80" s="20">
        <v>65.0</v>
      </c>
      <c r="C80" s="20" t="s">
        <v>1723</v>
      </c>
      <c r="D80" s="41">
        <v>45691.0</v>
      </c>
    </row>
    <row r="81" ht="12.75" customHeight="1">
      <c r="A81" s="19" t="s">
        <v>1414</v>
      </c>
      <c r="B81" s="20">
        <v>65.0</v>
      </c>
      <c r="C81" s="20" t="s">
        <v>1724</v>
      </c>
      <c r="D81" s="41">
        <v>45691.0</v>
      </c>
    </row>
    <row r="82" ht="12.75" customHeight="1">
      <c r="A82" s="19" t="s">
        <v>1464</v>
      </c>
      <c r="B82" s="20">
        <v>65.0</v>
      </c>
      <c r="C82" s="20" t="s">
        <v>1725</v>
      </c>
      <c r="D82" s="41">
        <v>45691.0</v>
      </c>
    </row>
    <row r="83" ht="12.75" customHeight="1">
      <c r="A83" s="19" t="s">
        <v>1406</v>
      </c>
      <c r="B83" s="20">
        <v>65.0</v>
      </c>
      <c r="C83" s="20" t="s">
        <v>1726</v>
      </c>
      <c r="D83" s="41">
        <v>45691.0</v>
      </c>
    </row>
    <row r="84" ht="12.75" customHeight="1">
      <c r="A84" s="19" t="s">
        <v>1133</v>
      </c>
      <c r="B84" s="20">
        <v>65.0</v>
      </c>
      <c r="C84" s="20" t="s">
        <v>1727</v>
      </c>
      <c r="D84" s="41">
        <v>45691.0</v>
      </c>
    </row>
    <row r="85" ht="12.75" customHeight="1">
      <c r="A85" s="19" t="s">
        <v>1327</v>
      </c>
      <c r="B85" s="20">
        <v>65.0</v>
      </c>
      <c r="C85" s="20" t="s">
        <v>1728</v>
      </c>
      <c r="D85" s="41">
        <v>45691.0</v>
      </c>
    </row>
    <row r="86" ht="12.75" customHeight="1">
      <c r="A86" s="19" t="s">
        <v>1325</v>
      </c>
      <c r="B86" s="20">
        <v>65.0</v>
      </c>
      <c r="C86" s="20" t="s">
        <v>1729</v>
      </c>
      <c r="D86" s="41">
        <v>45691.0</v>
      </c>
    </row>
    <row r="87" ht="12.75" customHeight="1">
      <c r="A87" s="19" t="s">
        <v>1580</v>
      </c>
      <c r="B87" s="20">
        <v>65.0</v>
      </c>
      <c r="C87" s="20" t="s">
        <v>1730</v>
      </c>
      <c r="D87" s="41">
        <v>45691.0</v>
      </c>
    </row>
    <row r="88" ht="12.75" customHeight="1">
      <c r="A88" s="19" t="s">
        <v>1047</v>
      </c>
      <c r="B88" s="20">
        <v>62.0</v>
      </c>
      <c r="C88" s="20" t="s">
        <v>1731</v>
      </c>
      <c r="D88" s="41">
        <v>45691.0</v>
      </c>
    </row>
    <row r="89" ht="12.75" customHeight="1">
      <c r="A89" s="19" t="s">
        <v>1295</v>
      </c>
      <c r="B89" s="20">
        <v>62.0</v>
      </c>
      <c r="C89" s="20" t="s">
        <v>1732</v>
      </c>
      <c r="D89" s="41">
        <v>45691.0</v>
      </c>
    </row>
    <row r="90" ht="12.75" customHeight="1">
      <c r="A90" s="19" t="s">
        <v>1293</v>
      </c>
      <c r="B90" s="20">
        <v>62.0</v>
      </c>
      <c r="C90" s="20" t="s">
        <v>1733</v>
      </c>
      <c r="D90" s="41">
        <v>45691.0</v>
      </c>
    </row>
    <row r="91" ht="12.75" customHeight="1">
      <c r="A91" s="19" t="s">
        <v>1323</v>
      </c>
      <c r="B91" s="20">
        <v>62.0</v>
      </c>
      <c r="C91" s="20" t="s">
        <v>1734</v>
      </c>
      <c r="D91" s="41">
        <v>45691.0</v>
      </c>
    </row>
    <row r="92" ht="12.75" customHeight="1">
      <c r="A92" s="19" t="s">
        <v>798</v>
      </c>
      <c r="B92" s="20">
        <v>62.0</v>
      </c>
      <c r="C92" s="20" t="s">
        <v>1735</v>
      </c>
      <c r="D92" s="41">
        <v>45691.0</v>
      </c>
    </row>
    <row r="93" ht="12.75" customHeight="1">
      <c r="A93" s="19" t="s">
        <v>1235</v>
      </c>
      <c r="B93" s="20">
        <v>62.0</v>
      </c>
      <c r="C93" s="20" t="s">
        <v>1736</v>
      </c>
      <c r="D93" s="41">
        <v>45691.0</v>
      </c>
    </row>
    <row r="94" ht="12.75" customHeight="1">
      <c r="A94" s="19" t="s">
        <v>900</v>
      </c>
      <c r="B94" s="20">
        <v>62.0</v>
      </c>
      <c r="C94" s="20" t="s">
        <v>1737</v>
      </c>
      <c r="D94" s="41">
        <v>45691.0</v>
      </c>
    </row>
    <row r="95" ht="12.75" customHeight="1">
      <c r="A95" s="19" t="s">
        <v>231</v>
      </c>
      <c r="B95" s="20">
        <v>55.0</v>
      </c>
      <c r="C95" s="20" t="s">
        <v>1738</v>
      </c>
      <c r="D95" s="41">
        <v>45691.0</v>
      </c>
    </row>
    <row r="96" ht="12.75" customHeight="1">
      <c r="A96" s="19" t="s">
        <v>947</v>
      </c>
      <c r="B96" s="20">
        <v>55.0</v>
      </c>
      <c r="C96" s="20" t="s">
        <v>1739</v>
      </c>
      <c r="D96" s="41">
        <v>45691.0</v>
      </c>
    </row>
    <row r="97" ht="12.75" customHeight="1">
      <c r="A97" s="19" t="s">
        <v>1423</v>
      </c>
      <c r="B97" s="20">
        <v>55.0</v>
      </c>
      <c r="C97" s="20" t="s">
        <v>1740</v>
      </c>
      <c r="D97" s="41">
        <v>45691.0</v>
      </c>
    </row>
    <row r="98" ht="12.75" customHeight="1">
      <c r="A98" s="19" t="s">
        <v>1558</v>
      </c>
      <c r="B98" s="20">
        <v>55.0</v>
      </c>
      <c r="C98" s="20" t="s">
        <v>1741</v>
      </c>
      <c r="D98" s="41">
        <v>45691.0</v>
      </c>
    </row>
    <row r="99" ht="12.75" customHeight="1">
      <c r="A99" s="19" t="s">
        <v>1089</v>
      </c>
      <c r="B99" s="20">
        <v>55.0</v>
      </c>
      <c r="C99" s="20" t="s">
        <v>1742</v>
      </c>
      <c r="D99" s="41">
        <v>45691.0</v>
      </c>
    </row>
    <row r="100" ht="12.75" customHeight="1">
      <c r="A100" s="19" t="s">
        <v>250</v>
      </c>
      <c r="B100" s="20">
        <v>45.0</v>
      </c>
      <c r="C100" s="20" t="s">
        <v>1743</v>
      </c>
      <c r="D100" s="41">
        <v>45691.0</v>
      </c>
    </row>
    <row r="101" ht="12.75" customHeight="1">
      <c r="A101" s="19" t="s">
        <v>1231</v>
      </c>
      <c r="B101" s="44"/>
      <c r="C101" s="20" t="s">
        <v>1744</v>
      </c>
      <c r="D101" s="41">
        <v>45691.0</v>
      </c>
    </row>
    <row r="102" ht="12.75" customHeight="1">
      <c r="A102" s="19" t="s">
        <v>35</v>
      </c>
      <c r="B102" s="44"/>
      <c r="C102" s="20" t="s">
        <v>1745</v>
      </c>
      <c r="D102" s="41">
        <v>45691.0</v>
      </c>
    </row>
    <row r="103" ht="12.75" customHeight="1">
      <c r="A103" s="19" t="s">
        <v>198</v>
      </c>
      <c r="B103" s="44"/>
      <c r="C103" s="20" t="s">
        <v>1746</v>
      </c>
      <c r="D103" s="41">
        <v>45691.0</v>
      </c>
    </row>
    <row r="104" ht="12.75" customHeight="1">
      <c r="A104" s="19" t="s">
        <v>1155</v>
      </c>
      <c r="B104" s="44"/>
      <c r="C104" s="20" t="s">
        <v>1747</v>
      </c>
      <c r="D104" s="41">
        <v>45691.0</v>
      </c>
    </row>
    <row r="105" ht="12.75" customHeight="1">
      <c r="A105" s="19" t="s">
        <v>771</v>
      </c>
      <c r="B105" s="44"/>
      <c r="C105" s="20" t="s">
        <v>1748</v>
      </c>
      <c r="D105" s="41">
        <v>45691.0</v>
      </c>
    </row>
    <row r="106" ht="12.75" customHeight="1">
      <c r="A106" s="19" t="s">
        <v>206</v>
      </c>
      <c r="B106" s="44"/>
      <c r="C106" s="20" t="s">
        <v>1749</v>
      </c>
      <c r="D106" s="41">
        <v>45691.0</v>
      </c>
    </row>
    <row r="107" ht="12.75" customHeight="1">
      <c r="A107" s="19" t="s">
        <v>18</v>
      </c>
      <c r="B107" s="44"/>
      <c r="C107" s="20" t="s">
        <v>1750</v>
      </c>
      <c r="D107" s="41">
        <v>45691.0</v>
      </c>
    </row>
    <row r="108" ht="12.75" customHeight="1">
      <c r="A108" s="19" t="s">
        <v>1153</v>
      </c>
      <c r="B108" s="44"/>
      <c r="C108" s="20" t="s">
        <v>1751</v>
      </c>
      <c r="D108" s="41">
        <v>45691.0</v>
      </c>
    </row>
    <row r="109" ht="12.75" customHeight="1">
      <c r="A109" s="19" t="s">
        <v>1237</v>
      </c>
      <c r="B109" s="44"/>
      <c r="C109" s="20" t="s">
        <v>1752</v>
      </c>
      <c r="D109" s="41">
        <v>45691.0</v>
      </c>
    </row>
    <row r="110" ht="12.75" customHeight="1">
      <c r="A110" s="19" t="s">
        <v>242</v>
      </c>
      <c r="B110" s="44"/>
      <c r="C110" s="20" t="s">
        <v>1753</v>
      </c>
      <c r="D110" s="41">
        <v>45691.0</v>
      </c>
    </row>
    <row r="111" ht="12.75" customHeight="1">
      <c r="A111" s="19" t="s">
        <v>278</v>
      </c>
      <c r="B111" s="44"/>
      <c r="C111" s="20" t="s">
        <v>1754</v>
      </c>
      <c r="D111" s="41">
        <v>45691.0</v>
      </c>
    </row>
    <row r="112" ht="12.75" customHeight="1">
      <c r="A112" s="19" t="s">
        <v>951</v>
      </c>
      <c r="B112" s="44"/>
      <c r="C112" s="20" t="s">
        <v>1755</v>
      </c>
      <c r="D112" s="41">
        <v>45691.0</v>
      </c>
    </row>
    <row r="113" ht="12.75" customHeight="1">
      <c r="A113" s="19" t="s">
        <v>1061</v>
      </c>
      <c r="B113" s="44"/>
      <c r="C113" s="20" t="s">
        <v>1756</v>
      </c>
      <c r="D113" s="41">
        <v>45691.0</v>
      </c>
    </row>
    <row r="114" ht="12.75" customHeight="1">
      <c r="A114" s="19" t="s">
        <v>1477</v>
      </c>
      <c r="B114" s="44"/>
      <c r="C114" s="20" t="s">
        <v>1757</v>
      </c>
      <c r="D114" s="41">
        <v>45691.0</v>
      </c>
    </row>
    <row r="115" ht="12.75" customHeight="1">
      <c r="A115" s="19" t="s">
        <v>1479</v>
      </c>
      <c r="B115" s="44"/>
      <c r="C115" s="20" t="s">
        <v>1758</v>
      </c>
      <c r="D115" s="41">
        <v>45691.0</v>
      </c>
    </row>
    <row r="116" ht="12.75" customHeight="1">
      <c r="A116" s="19" t="s">
        <v>1063</v>
      </c>
      <c r="B116" s="44"/>
      <c r="C116" s="20" t="s">
        <v>1759</v>
      </c>
      <c r="D116" s="41">
        <v>45691.0</v>
      </c>
    </row>
    <row r="117" ht="12.75" customHeight="1">
      <c r="A117" s="19" t="s">
        <v>244</v>
      </c>
      <c r="B117" s="44"/>
      <c r="C117" s="20" t="s">
        <v>1760</v>
      </c>
      <c r="D117" s="41">
        <v>45691.0</v>
      </c>
    </row>
    <row r="118" ht="12.75" customHeight="1">
      <c r="A118" s="19" t="s">
        <v>1065</v>
      </c>
      <c r="B118" s="44"/>
      <c r="C118" s="20" t="s">
        <v>1761</v>
      </c>
      <c r="D118" s="41">
        <v>45691.0</v>
      </c>
    </row>
    <row r="119" ht="12.75" customHeight="1">
      <c r="A119" s="19" t="s">
        <v>1481</v>
      </c>
      <c r="B119" s="44"/>
      <c r="C119" s="20" t="s">
        <v>1762</v>
      </c>
      <c r="D119" s="41">
        <v>45691.0</v>
      </c>
    </row>
    <row r="120" ht="12.75" customHeight="1">
      <c r="A120" s="19" t="s">
        <v>1321</v>
      </c>
      <c r="B120" s="44"/>
      <c r="C120" s="20" t="s">
        <v>1763</v>
      </c>
      <c r="D120" s="41">
        <v>45691.0</v>
      </c>
    </row>
    <row r="121" ht="12.75" customHeight="1">
      <c r="A121" s="19" t="s">
        <v>542</v>
      </c>
      <c r="B121" s="44"/>
      <c r="C121" s="20" t="s">
        <v>1764</v>
      </c>
      <c r="D121" s="41">
        <v>45691.0</v>
      </c>
    </row>
    <row r="122" ht="12.75" customHeight="1">
      <c r="A122" s="19" t="s">
        <v>451</v>
      </c>
      <c r="B122" s="44"/>
      <c r="C122" s="20" t="s">
        <v>1765</v>
      </c>
      <c r="D122" s="41">
        <v>45691.0</v>
      </c>
    </row>
    <row r="123" ht="12.75" customHeight="1">
      <c r="A123" s="19" t="s">
        <v>1483</v>
      </c>
      <c r="B123" s="44"/>
      <c r="C123" s="20" t="s">
        <v>1766</v>
      </c>
      <c r="D123" s="41">
        <v>45691.0</v>
      </c>
    </row>
    <row r="124" ht="12.75" customHeight="1">
      <c r="A124" s="19" t="s">
        <v>837</v>
      </c>
      <c r="B124" s="44"/>
      <c r="C124" s="20" t="s">
        <v>1767</v>
      </c>
      <c r="D124" s="41">
        <v>45691.0</v>
      </c>
    </row>
    <row r="125" ht="12.75" customHeight="1">
      <c r="A125" s="19" t="s">
        <v>1485</v>
      </c>
      <c r="B125" s="44"/>
      <c r="C125" s="20" t="s">
        <v>1768</v>
      </c>
      <c r="D125" s="41">
        <v>45691.0</v>
      </c>
    </row>
    <row r="126" ht="12.75" customHeight="1">
      <c r="A126" s="19" t="s">
        <v>243</v>
      </c>
      <c r="B126" s="44"/>
      <c r="C126" s="20" t="s">
        <v>1769</v>
      </c>
      <c r="D126" s="41">
        <v>45691.0</v>
      </c>
    </row>
    <row r="127" ht="12.75" customHeight="1">
      <c r="A127" s="19" t="s">
        <v>53</v>
      </c>
      <c r="B127" s="44"/>
      <c r="C127" s="20" t="s">
        <v>1770</v>
      </c>
      <c r="D127" s="41">
        <v>45691.0</v>
      </c>
    </row>
    <row r="128" ht="12.75" customHeight="1">
      <c r="A128" s="19" t="s">
        <v>394</v>
      </c>
      <c r="B128" s="44"/>
      <c r="C128" s="20" t="s">
        <v>1771</v>
      </c>
      <c r="D128" s="41">
        <v>45691.0</v>
      </c>
    </row>
    <row r="129" ht="12.75" customHeight="1">
      <c r="A129" s="19" t="s">
        <v>1059</v>
      </c>
      <c r="B129" s="44"/>
      <c r="C129" s="20" t="s">
        <v>1772</v>
      </c>
      <c r="D129" s="41">
        <v>45691.0</v>
      </c>
    </row>
    <row r="130" ht="12.75" customHeight="1">
      <c r="A130" s="19" t="s">
        <v>1301</v>
      </c>
      <c r="B130" s="44"/>
      <c r="C130" s="20" t="s">
        <v>1773</v>
      </c>
      <c r="D130" s="41">
        <v>45691.0</v>
      </c>
    </row>
    <row r="131" ht="12.75" customHeight="1">
      <c r="A131" s="19" t="s">
        <v>1217</v>
      </c>
      <c r="B131" s="44"/>
      <c r="C131" s="20" t="s">
        <v>1774</v>
      </c>
      <c r="D131" s="41">
        <v>45691.0</v>
      </c>
    </row>
    <row r="132" ht="12.75" customHeight="1">
      <c r="A132" s="19" t="s">
        <v>1490</v>
      </c>
      <c r="B132" s="44"/>
      <c r="C132" s="20" t="s">
        <v>1775</v>
      </c>
      <c r="D132" s="41">
        <v>45691.0</v>
      </c>
    </row>
    <row r="133" ht="12.75" customHeight="1">
      <c r="A133" s="19" t="s">
        <v>419</v>
      </c>
      <c r="B133" s="44"/>
      <c r="C133" s="20" t="s">
        <v>1776</v>
      </c>
      <c r="D133" s="41">
        <v>45691.0</v>
      </c>
    </row>
    <row r="134" ht="12.75" customHeight="1">
      <c r="A134" s="19" t="s">
        <v>953</v>
      </c>
      <c r="B134" s="44"/>
      <c r="C134" s="20" t="s">
        <v>1777</v>
      </c>
      <c r="D134" s="41">
        <v>45691.0</v>
      </c>
    </row>
    <row r="135" ht="12.75" customHeight="1">
      <c r="A135" s="19" t="s">
        <v>839</v>
      </c>
      <c r="B135" s="44"/>
      <c r="C135" s="20" t="s">
        <v>1778</v>
      </c>
      <c r="D135" s="41">
        <v>45691.0</v>
      </c>
    </row>
    <row r="136" ht="12.75" customHeight="1">
      <c r="A136" s="19" t="s">
        <v>185</v>
      </c>
      <c r="B136" s="44"/>
      <c r="C136" s="20" t="s">
        <v>1779</v>
      </c>
      <c r="D136" s="41">
        <v>45691.0</v>
      </c>
    </row>
    <row r="137" ht="12.75" customHeight="1">
      <c r="A137" s="19" t="s">
        <v>1493</v>
      </c>
      <c r="B137" s="44"/>
      <c r="C137" s="20" t="s">
        <v>1780</v>
      </c>
      <c r="D137" s="41">
        <v>45691.0</v>
      </c>
    </row>
    <row r="138" ht="12.75" customHeight="1">
      <c r="A138" s="19" t="s">
        <v>1057</v>
      </c>
      <c r="B138" s="44"/>
      <c r="C138" s="20" t="s">
        <v>1781</v>
      </c>
      <c r="D138" s="41">
        <v>45691.0</v>
      </c>
    </row>
    <row r="139" ht="12.75" customHeight="1">
      <c r="A139" s="19" t="s">
        <v>1495</v>
      </c>
      <c r="B139" s="44"/>
      <c r="C139" s="20" t="s">
        <v>1782</v>
      </c>
      <c r="D139" s="41">
        <v>45691.0</v>
      </c>
    </row>
    <row r="140" ht="12.75" customHeight="1">
      <c r="A140" s="19" t="s">
        <v>963</v>
      </c>
      <c r="B140" s="44"/>
      <c r="C140" s="20" t="s">
        <v>1783</v>
      </c>
      <c r="D140" s="41">
        <v>45691.0</v>
      </c>
    </row>
    <row r="141" ht="12.75" customHeight="1">
      <c r="A141" s="19" t="s">
        <v>59</v>
      </c>
      <c r="B141" s="44"/>
      <c r="C141" s="20" t="s">
        <v>1784</v>
      </c>
      <c r="D141" s="41">
        <v>45691.0</v>
      </c>
    </row>
    <row r="142" ht="12.75" customHeight="1">
      <c r="A142" s="19" t="s">
        <v>1429</v>
      </c>
      <c r="B142" s="44"/>
      <c r="C142" s="20" t="s">
        <v>1785</v>
      </c>
      <c r="D142" s="41">
        <v>45691.0</v>
      </c>
    </row>
    <row r="143" ht="12.75" customHeight="1">
      <c r="A143" s="19" t="s">
        <v>1229</v>
      </c>
      <c r="B143" s="44"/>
      <c r="C143" s="20" t="s">
        <v>1786</v>
      </c>
      <c r="D143" s="41">
        <v>45691.0</v>
      </c>
    </row>
    <row r="144" ht="12.75" customHeight="1">
      <c r="A144" s="19" t="s">
        <v>1389</v>
      </c>
      <c r="B144" s="44"/>
      <c r="C144" s="20" t="s">
        <v>1787</v>
      </c>
      <c r="D144" s="41">
        <v>45691.0</v>
      </c>
    </row>
    <row r="145" ht="12.75" customHeight="1">
      <c r="A145" s="19" t="s">
        <v>1427</v>
      </c>
      <c r="B145" s="44"/>
      <c r="C145" s="20" t="s">
        <v>1788</v>
      </c>
      <c r="D145" s="41">
        <v>45691.0</v>
      </c>
    </row>
    <row r="146" ht="12.75" customHeight="1">
      <c r="A146" s="19" t="s">
        <v>1498</v>
      </c>
      <c r="B146" s="44"/>
      <c r="C146" s="20" t="s">
        <v>1789</v>
      </c>
      <c r="D146" s="41">
        <v>45691.0</v>
      </c>
    </row>
    <row r="147" ht="12.75" customHeight="1">
      <c r="A147" s="19" t="s">
        <v>145</v>
      </c>
      <c r="B147" s="44"/>
      <c r="C147" s="20" t="s">
        <v>1790</v>
      </c>
      <c r="D147" s="41">
        <v>45691.0</v>
      </c>
    </row>
    <row r="148" ht="12.75" customHeight="1">
      <c r="A148" s="19" t="s">
        <v>1452</v>
      </c>
      <c r="B148" s="44"/>
      <c r="C148" s="20" t="s">
        <v>1791</v>
      </c>
      <c r="D148" s="41">
        <v>45691.0</v>
      </c>
    </row>
    <row r="149" ht="12.75" customHeight="1">
      <c r="A149" s="19" t="s">
        <v>1019</v>
      </c>
      <c r="B149" s="44"/>
      <c r="C149" s="20" t="s">
        <v>1792</v>
      </c>
      <c r="D149" s="41">
        <v>45691.0</v>
      </c>
    </row>
    <row r="150" ht="12.75" customHeight="1">
      <c r="A150" s="19" t="s">
        <v>1500</v>
      </c>
      <c r="B150" s="44"/>
      <c r="C150" s="20" t="s">
        <v>1793</v>
      </c>
      <c r="D150" s="41">
        <v>45691.0</v>
      </c>
    </row>
    <row r="151" ht="12.75" customHeight="1">
      <c r="A151" s="19" t="s">
        <v>264</v>
      </c>
      <c r="B151" s="44"/>
      <c r="C151" s="20" t="s">
        <v>1794</v>
      </c>
      <c r="D151" s="41">
        <v>45691.0</v>
      </c>
    </row>
    <row r="152" ht="12.75" customHeight="1">
      <c r="A152" s="19" t="s">
        <v>1503</v>
      </c>
      <c r="B152" s="44"/>
      <c r="C152" s="20" t="s">
        <v>1795</v>
      </c>
      <c r="D152" s="41">
        <v>45691.0</v>
      </c>
    </row>
    <row r="153" ht="12.75" customHeight="1">
      <c r="A153" s="19" t="s">
        <v>1157</v>
      </c>
      <c r="B153" s="44"/>
      <c r="C153" s="20" t="s">
        <v>1796</v>
      </c>
      <c r="D153" s="41">
        <v>45691.0</v>
      </c>
    </row>
    <row r="154" ht="12.75" customHeight="1">
      <c r="A154" s="19" t="s">
        <v>265</v>
      </c>
      <c r="B154" s="44"/>
      <c r="C154" s="20" t="s">
        <v>1797</v>
      </c>
      <c r="D154" s="41">
        <v>45691.0</v>
      </c>
    </row>
    <row r="155" ht="12.75" customHeight="1">
      <c r="A155" s="19" t="s">
        <v>1505</v>
      </c>
      <c r="B155" s="44"/>
      <c r="C155" s="20" t="s">
        <v>1798</v>
      </c>
      <c r="D155" s="41">
        <v>45691.0</v>
      </c>
    </row>
    <row r="156" ht="12.75" customHeight="1">
      <c r="A156" s="19" t="s">
        <v>876</v>
      </c>
      <c r="B156" s="44"/>
      <c r="C156" s="20" t="s">
        <v>1799</v>
      </c>
      <c r="D156" s="41">
        <v>45691.0</v>
      </c>
    </row>
    <row r="157" ht="12.75" customHeight="1">
      <c r="A157" s="19" t="s">
        <v>1181</v>
      </c>
      <c r="B157" s="44"/>
      <c r="C157" s="20" t="s">
        <v>1800</v>
      </c>
      <c r="D157" s="41">
        <v>45691.0</v>
      </c>
    </row>
    <row r="158" ht="12.75" customHeight="1">
      <c r="A158" s="19" t="s">
        <v>1243</v>
      </c>
      <c r="B158" s="44"/>
      <c r="C158" s="20" t="s">
        <v>1801</v>
      </c>
      <c r="D158" s="41">
        <v>45691.0</v>
      </c>
    </row>
    <row r="159" ht="12.75" customHeight="1">
      <c r="A159" s="19" t="s">
        <v>873</v>
      </c>
      <c r="B159" s="44"/>
      <c r="C159" s="20" t="s">
        <v>1802</v>
      </c>
      <c r="D159" s="41">
        <v>45691.0</v>
      </c>
    </row>
    <row r="160" ht="12.75" customHeight="1">
      <c r="A160" s="19" t="s">
        <v>1410</v>
      </c>
      <c r="B160" s="44"/>
      <c r="C160" s="20" t="s">
        <v>1803</v>
      </c>
      <c r="D160" s="41">
        <v>45691.0</v>
      </c>
    </row>
    <row r="161" ht="12.75" customHeight="1">
      <c r="A161" s="19" t="s">
        <v>1032</v>
      </c>
      <c r="B161" s="44"/>
      <c r="C161" s="20" t="s">
        <v>1804</v>
      </c>
      <c r="D161" s="41">
        <v>45691.0</v>
      </c>
    </row>
    <row r="162" ht="12.75" customHeight="1">
      <c r="A162" s="19" t="s">
        <v>1508</v>
      </c>
      <c r="B162" s="44"/>
      <c r="C162" s="20" t="s">
        <v>1805</v>
      </c>
      <c r="D162" s="41">
        <v>45691.0</v>
      </c>
    </row>
    <row r="163" ht="12.75" customHeight="1">
      <c r="A163" s="19" t="s">
        <v>41</v>
      </c>
      <c r="B163" s="44"/>
      <c r="C163" s="20" t="s">
        <v>1806</v>
      </c>
      <c r="D163" s="41">
        <v>45691.0</v>
      </c>
    </row>
    <row r="164" ht="12.75" customHeight="1">
      <c r="A164" s="19" t="s">
        <v>55</v>
      </c>
      <c r="B164" s="44"/>
      <c r="C164" s="20" t="s">
        <v>1807</v>
      </c>
      <c r="D164" s="41">
        <v>45691.0</v>
      </c>
    </row>
    <row r="165" ht="12.75" customHeight="1">
      <c r="A165" s="19" t="s">
        <v>1161</v>
      </c>
      <c r="B165" s="44"/>
      <c r="C165" s="20" t="s">
        <v>1808</v>
      </c>
      <c r="D165" s="41">
        <v>45691.0</v>
      </c>
    </row>
    <row r="166" ht="12.75" customHeight="1">
      <c r="A166" s="19" t="s">
        <v>1365</v>
      </c>
      <c r="B166" s="44"/>
      <c r="C166" s="20" t="s">
        <v>1809</v>
      </c>
      <c r="D166" s="41">
        <v>45691.0</v>
      </c>
    </row>
    <row r="167" ht="12.75" customHeight="1">
      <c r="A167" s="19" t="s">
        <v>1458</v>
      </c>
      <c r="B167" s="44"/>
      <c r="C167" s="20" t="s">
        <v>1810</v>
      </c>
      <c r="D167" s="41">
        <v>45691.0</v>
      </c>
    </row>
    <row r="168" ht="12.75" customHeight="1">
      <c r="A168" s="19" t="s">
        <v>1511</v>
      </c>
      <c r="B168" s="44"/>
      <c r="C168" s="20" t="s">
        <v>1811</v>
      </c>
      <c r="D168" s="41">
        <v>45691.0</v>
      </c>
    </row>
    <row r="169" ht="12.75" customHeight="1">
      <c r="A169" s="19" t="s">
        <v>472</v>
      </c>
      <c r="B169" s="44"/>
      <c r="C169" s="20" t="s">
        <v>1812</v>
      </c>
      <c r="D169" s="41">
        <v>45691.0</v>
      </c>
    </row>
    <row r="170" ht="12.75" customHeight="1">
      <c r="A170" s="19" t="s">
        <v>1513</v>
      </c>
      <c r="B170" s="44"/>
      <c r="C170" s="20" t="s">
        <v>1813</v>
      </c>
      <c r="D170" s="41">
        <v>45691.0</v>
      </c>
    </row>
    <row r="171" ht="12.75" customHeight="1">
      <c r="A171" s="19" t="s">
        <v>1169</v>
      </c>
      <c r="B171" s="44"/>
      <c r="C171" s="20" t="s">
        <v>1814</v>
      </c>
      <c r="D171" s="41">
        <v>45691.0</v>
      </c>
    </row>
    <row r="172" ht="12.75" customHeight="1">
      <c r="A172" s="19" t="s">
        <v>868</v>
      </c>
      <c r="B172" s="44"/>
      <c r="C172" s="20" t="s">
        <v>1815</v>
      </c>
      <c r="D172" s="41">
        <v>45691.0</v>
      </c>
    </row>
    <row r="173" ht="12.75" customHeight="1">
      <c r="A173" s="19" t="s">
        <v>785</v>
      </c>
      <c r="B173" s="44"/>
      <c r="C173" s="20" t="s">
        <v>1816</v>
      </c>
      <c r="D173" s="41">
        <v>45691.0</v>
      </c>
    </row>
    <row r="174" ht="12.75" customHeight="1">
      <c r="A174" s="19" t="s">
        <v>1212</v>
      </c>
      <c r="B174" s="44"/>
      <c r="C174" s="20" t="s">
        <v>1817</v>
      </c>
      <c r="D174" s="41">
        <v>45691.0</v>
      </c>
    </row>
    <row r="175" ht="12.75" customHeight="1">
      <c r="A175" s="19" t="s">
        <v>1515</v>
      </c>
      <c r="B175" s="44"/>
      <c r="C175" s="20" t="s">
        <v>1818</v>
      </c>
      <c r="D175" s="41">
        <v>45691.0</v>
      </c>
    </row>
    <row r="176" ht="12.75" customHeight="1">
      <c r="A176" s="19" t="s">
        <v>1517</v>
      </c>
      <c r="B176" s="44"/>
      <c r="C176" s="20" t="s">
        <v>1819</v>
      </c>
      <c r="D176" s="41">
        <v>45691.0</v>
      </c>
    </row>
    <row r="177" ht="12.75" customHeight="1">
      <c r="A177" s="19" t="s">
        <v>82</v>
      </c>
      <c r="B177" s="44"/>
      <c r="C177" s="20" t="s">
        <v>1820</v>
      </c>
      <c r="D177" s="41">
        <v>45691.0</v>
      </c>
    </row>
    <row r="178" ht="12.75" customHeight="1">
      <c r="A178" s="19" t="s">
        <v>20</v>
      </c>
      <c r="B178" s="44"/>
      <c r="C178" s="20" t="s">
        <v>1821</v>
      </c>
      <c r="D178" s="41">
        <v>45691.0</v>
      </c>
    </row>
    <row r="179" ht="12.75" customHeight="1">
      <c r="A179" s="19" t="s">
        <v>878</v>
      </c>
      <c r="B179" s="44"/>
      <c r="C179" s="20" t="s">
        <v>1822</v>
      </c>
      <c r="D179" s="41">
        <v>45691.0</v>
      </c>
    </row>
    <row r="180" ht="12.75" customHeight="1">
      <c r="A180" s="19" t="s">
        <v>143</v>
      </c>
      <c r="B180" s="44"/>
      <c r="C180" s="20" t="s">
        <v>1823</v>
      </c>
      <c r="D180" s="41">
        <v>45691.0</v>
      </c>
    </row>
    <row r="181" ht="12.75" customHeight="1">
      <c r="A181" s="19" t="s">
        <v>51</v>
      </c>
      <c r="B181" s="44"/>
      <c r="C181" s="20" t="s">
        <v>1824</v>
      </c>
      <c r="D181" s="41">
        <v>45691.0</v>
      </c>
    </row>
    <row r="182" ht="12.75" customHeight="1">
      <c r="A182" s="19" t="s">
        <v>1258</v>
      </c>
      <c r="B182" s="44"/>
      <c r="C182" s="20" t="s">
        <v>1825</v>
      </c>
      <c r="D182" s="41">
        <v>45691.0</v>
      </c>
    </row>
    <row r="183" ht="12.75" customHeight="1">
      <c r="A183" s="19" t="s">
        <v>929</v>
      </c>
      <c r="B183" s="44"/>
      <c r="C183" s="20" t="s">
        <v>1826</v>
      </c>
      <c r="D183" s="41">
        <v>45691.0</v>
      </c>
    </row>
    <row r="184" ht="12.75" customHeight="1">
      <c r="A184" s="19" t="s">
        <v>939</v>
      </c>
      <c r="B184" s="44"/>
      <c r="C184" s="20" t="s">
        <v>1827</v>
      </c>
      <c r="D184" s="41">
        <v>45691.0</v>
      </c>
    </row>
    <row r="185" ht="12.75" customHeight="1">
      <c r="A185" s="19" t="s">
        <v>468</v>
      </c>
      <c r="B185" s="44"/>
      <c r="C185" s="20" t="s">
        <v>1828</v>
      </c>
      <c r="D185" s="41">
        <v>45691.0</v>
      </c>
    </row>
    <row r="186" ht="12.75" customHeight="1">
      <c r="A186" s="19" t="s">
        <v>147</v>
      </c>
      <c r="B186" s="44"/>
      <c r="C186" s="20" t="s">
        <v>1829</v>
      </c>
      <c r="D186" s="41">
        <v>45691.0</v>
      </c>
    </row>
    <row r="187" ht="12.75" customHeight="1">
      <c r="A187" s="19" t="s">
        <v>1520</v>
      </c>
      <c r="B187" s="44"/>
      <c r="C187" s="20" t="s">
        <v>1830</v>
      </c>
      <c r="D187" s="41">
        <v>45691.0</v>
      </c>
    </row>
    <row r="188" ht="12.75" customHeight="1">
      <c r="A188" s="19" t="s">
        <v>819</v>
      </c>
      <c r="B188" s="44"/>
      <c r="C188" s="20" t="s">
        <v>1831</v>
      </c>
      <c r="D188" s="41">
        <v>45691.0</v>
      </c>
    </row>
    <row r="189" ht="12.75" customHeight="1">
      <c r="A189" s="19" t="s">
        <v>16</v>
      </c>
      <c r="B189" s="44"/>
      <c r="C189" s="20" t="s">
        <v>1832</v>
      </c>
      <c r="D189" s="41">
        <v>45691.0</v>
      </c>
    </row>
    <row r="190" ht="12.75" customHeight="1">
      <c r="A190" s="19" t="s">
        <v>510</v>
      </c>
      <c r="B190" s="44"/>
      <c r="C190" s="20" t="s">
        <v>1833</v>
      </c>
      <c r="D190" s="41">
        <v>45691.0</v>
      </c>
    </row>
    <row r="191" ht="12.75" customHeight="1">
      <c r="A191" s="19" t="s">
        <v>1329</v>
      </c>
      <c r="B191" s="44"/>
      <c r="C191" s="20" t="s">
        <v>1834</v>
      </c>
      <c r="D191" s="41">
        <v>45691.0</v>
      </c>
    </row>
    <row r="192" ht="12.75" customHeight="1">
      <c r="A192" s="19" t="s">
        <v>1256</v>
      </c>
      <c r="B192" s="44"/>
      <c r="C192" s="20" t="s">
        <v>1835</v>
      </c>
      <c r="D192" s="41">
        <v>45691.0</v>
      </c>
    </row>
    <row r="193" ht="12.75" customHeight="1">
      <c r="A193" s="19" t="s">
        <v>1128</v>
      </c>
      <c r="B193" s="44"/>
      <c r="C193" s="20" t="s">
        <v>1836</v>
      </c>
      <c r="D193" s="41">
        <v>45691.0</v>
      </c>
    </row>
    <row r="194" ht="12.75" customHeight="1">
      <c r="A194" s="19" t="s">
        <v>1522</v>
      </c>
      <c r="B194" s="44"/>
      <c r="C194" s="20" t="s">
        <v>1837</v>
      </c>
      <c r="D194" s="41">
        <v>45691.0</v>
      </c>
    </row>
    <row r="195" ht="12.75" customHeight="1">
      <c r="A195" s="19" t="s">
        <v>342</v>
      </c>
      <c r="B195" s="44"/>
      <c r="C195" s="20" t="s">
        <v>1838</v>
      </c>
      <c r="D195" s="41">
        <v>45691.0</v>
      </c>
    </row>
    <row r="196" ht="12.75" customHeight="1">
      <c r="A196" s="19" t="s">
        <v>941</v>
      </c>
      <c r="B196" s="44"/>
      <c r="C196" s="20" t="s">
        <v>1839</v>
      </c>
      <c r="D196" s="41">
        <v>45691.0</v>
      </c>
    </row>
    <row r="197" ht="12.75" customHeight="1">
      <c r="A197" s="19" t="s">
        <v>1131</v>
      </c>
      <c r="B197" s="44"/>
      <c r="C197" s="20" t="s">
        <v>1840</v>
      </c>
      <c r="D197" s="41">
        <v>45691.0</v>
      </c>
    </row>
    <row r="198" ht="12.75" customHeight="1">
      <c r="A198" s="19" t="s">
        <v>1260</v>
      </c>
      <c r="B198" s="44"/>
      <c r="C198" s="20" t="s">
        <v>1841</v>
      </c>
      <c r="D198" s="41">
        <v>45691.0</v>
      </c>
    </row>
    <row r="199" ht="12.75" customHeight="1">
      <c r="A199" s="19" t="s">
        <v>859</v>
      </c>
      <c r="B199" s="44"/>
      <c r="C199" s="20" t="s">
        <v>1842</v>
      </c>
      <c r="D199" s="41">
        <v>45691.0</v>
      </c>
    </row>
    <row r="200" ht="12.75" customHeight="1">
      <c r="A200" s="19" t="s">
        <v>945</v>
      </c>
      <c r="B200" s="44"/>
      <c r="C200" s="20" t="s">
        <v>1843</v>
      </c>
      <c r="D200" s="41">
        <v>45691.0</v>
      </c>
    </row>
    <row r="201" ht="12.75" customHeight="1">
      <c r="A201" s="19" t="s">
        <v>1036</v>
      </c>
      <c r="B201" s="44"/>
      <c r="C201" s="20" t="s">
        <v>1844</v>
      </c>
      <c r="D201" s="41">
        <v>45691.0</v>
      </c>
    </row>
    <row r="202" ht="12.75" customHeight="1">
      <c r="A202" s="19" t="s">
        <v>949</v>
      </c>
      <c r="B202" s="44"/>
      <c r="C202" s="20" t="s">
        <v>1845</v>
      </c>
      <c r="D202" s="41">
        <v>45691.0</v>
      </c>
    </row>
    <row r="203" ht="12.75" customHeight="1">
      <c r="A203" s="19" t="s">
        <v>1375</v>
      </c>
      <c r="B203" s="44"/>
      <c r="C203" s="20" t="s">
        <v>1846</v>
      </c>
      <c r="D203" s="41">
        <v>45691.0</v>
      </c>
    </row>
    <row r="204" ht="12.75" customHeight="1">
      <c r="A204" s="19" t="s">
        <v>821</v>
      </c>
      <c r="B204" s="44"/>
      <c r="C204" s="20" t="s">
        <v>1847</v>
      </c>
      <c r="D204" s="41">
        <v>45691.0</v>
      </c>
    </row>
    <row r="205" ht="12.75" customHeight="1">
      <c r="A205" s="19" t="s">
        <v>1524</v>
      </c>
      <c r="B205" s="44"/>
      <c r="C205" s="20" t="s">
        <v>1848</v>
      </c>
      <c r="D205" s="41">
        <v>45691.0</v>
      </c>
    </row>
    <row r="206" ht="12.75" customHeight="1">
      <c r="A206" s="19" t="s">
        <v>197</v>
      </c>
      <c r="B206" s="44"/>
      <c r="C206" s="20" t="s">
        <v>1849</v>
      </c>
      <c r="D206" s="41">
        <v>45691.0</v>
      </c>
    </row>
    <row r="207" ht="12.75" customHeight="1">
      <c r="A207" s="19" t="s">
        <v>1200</v>
      </c>
      <c r="B207" s="44"/>
      <c r="C207" s="20" t="s">
        <v>1850</v>
      </c>
      <c r="D207" s="41">
        <v>45691.0</v>
      </c>
    </row>
    <row r="208" ht="12.75" customHeight="1">
      <c r="A208" s="19" t="s">
        <v>1526</v>
      </c>
      <c r="B208" s="44"/>
      <c r="C208" s="20" t="s">
        <v>1851</v>
      </c>
      <c r="D208" s="41">
        <v>45691.0</v>
      </c>
    </row>
    <row r="209" ht="12.75" customHeight="1">
      <c r="A209" s="19" t="s">
        <v>1336</v>
      </c>
      <c r="B209" s="44"/>
      <c r="C209" s="20" t="s">
        <v>1852</v>
      </c>
      <c r="D209" s="41">
        <v>45691.0</v>
      </c>
    </row>
    <row r="210" ht="12.75" customHeight="1">
      <c r="A210" s="19" t="s">
        <v>1437</v>
      </c>
      <c r="B210" s="44"/>
      <c r="C210" s="20" t="s">
        <v>1853</v>
      </c>
      <c r="D210" s="41">
        <v>45691.0</v>
      </c>
    </row>
    <row r="211" ht="12.75" customHeight="1">
      <c r="A211" s="19" t="s">
        <v>911</v>
      </c>
      <c r="B211" s="44"/>
      <c r="C211" s="20" t="s">
        <v>1854</v>
      </c>
      <c r="D211" s="41">
        <v>45691.0</v>
      </c>
    </row>
    <row r="212" ht="12.75" customHeight="1">
      <c r="A212" s="19" t="s">
        <v>1191</v>
      </c>
      <c r="B212" s="44"/>
      <c r="C212" s="20" t="s">
        <v>1855</v>
      </c>
      <c r="D212" s="41">
        <v>45691.0</v>
      </c>
    </row>
    <row r="213" ht="12.75" customHeight="1">
      <c r="A213" s="19" t="s">
        <v>1034</v>
      </c>
      <c r="B213" s="44"/>
      <c r="C213" s="20" t="s">
        <v>1856</v>
      </c>
      <c r="D213" s="41">
        <v>45691.0</v>
      </c>
    </row>
    <row r="214" ht="12.75" customHeight="1">
      <c r="A214" s="19" t="s">
        <v>1528</v>
      </c>
      <c r="B214" s="44"/>
      <c r="C214" s="20" t="s">
        <v>1857</v>
      </c>
      <c r="D214" s="41">
        <v>45691.0</v>
      </c>
    </row>
    <row r="215" ht="12.75" customHeight="1">
      <c r="A215" s="19" t="s">
        <v>1187</v>
      </c>
      <c r="B215" s="44"/>
      <c r="C215" s="20" t="s">
        <v>1858</v>
      </c>
      <c r="D215" s="41">
        <v>45691.0</v>
      </c>
    </row>
    <row r="216" ht="12.75" customHeight="1">
      <c r="A216" s="19" t="s">
        <v>1189</v>
      </c>
      <c r="B216" s="44"/>
      <c r="C216" s="20" t="s">
        <v>1859</v>
      </c>
      <c r="D216" s="41">
        <v>45691.0</v>
      </c>
    </row>
    <row r="217" ht="12.75" customHeight="1">
      <c r="A217" s="19" t="s">
        <v>1334</v>
      </c>
      <c r="B217" s="44"/>
      <c r="C217" s="20" t="s">
        <v>1860</v>
      </c>
      <c r="D217" s="41">
        <v>45691.0</v>
      </c>
    </row>
    <row r="218" ht="12.75" customHeight="1">
      <c r="A218" s="19" t="s">
        <v>968</v>
      </c>
      <c r="B218" s="44"/>
      <c r="C218" s="20" t="s">
        <v>1861</v>
      </c>
      <c r="D218" s="41">
        <v>45691.0</v>
      </c>
    </row>
    <row r="219" ht="12.75" customHeight="1">
      <c r="A219" s="19" t="s">
        <v>1193</v>
      </c>
      <c r="B219" s="44"/>
      <c r="C219" s="20" t="s">
        <v>1862</v>
      </c>
      <c r="D219" s="41">
        <v>45691.0</v>
      </c>
    </row>
    <row r="220" ht="12.75" customHeight="1">
      <c r="A220" s="19" t="s">
        <v>980</v>
      </c>
      <c r="B220" s="44"/>
      <c r="C220" s="20" t="s">
        <v>1863</v>
      </c>
      <c r="D220" s="41">
        <v>45691.0</v>
      </c>
    </row>
    <row r="221" ht="12.75" customHeight="1">
      <c r="A221" s="19" t="s">
        <v>978</v>
      </c>
      <c r="B221" s="44"/>
      <c r="C221" s="20" t="s">
        <v>1864</v>
      </c>
      <c r="D221" s="41">
        <v>45691.0</v>
      </c>
    </row>
    <row r="222" ht="12.75" customHeight="1">
      <c r="A222" s="19" t="s">
        <v>1439</v>
      </c>
      <c r="B222" s="44"/>
      <c r="C222" s="20" t="s">
        <v>1865</v>
      </c>
      <c r="D222" s="41">
        <v>45691.0</v>
      </c>
    </row>
    <row r="223" ht="12.75" customHeight="1">
      <c r="A223" s="19" t="s">
        <v>1472</v>
      </c>
      <c r="B223" s="44"/>
      <c r="C223" s="20" t="s">
        <v>1866</v>
      </c>
      <c r="D223" s="41">
        <v>45691.0</v>
      </c>
    </row>
    <row r="224" ht="12.75" customHeight="1">
      <c r="A224" s="19" t="s">
        <v>1530</v>
      </c>
      <c r="B224" s="44"/>
      <c r="C224" s="20" t="s">
        <v>1867</v>
      </c>
      <c r="D224" s="41">
        <v>45691.0</v>
      </c>
    </row>
    <row r="225" ht="12.75" customHeight="1">
      <c r="A225" s="19" t="s">
        <v>917</v>
      </c>
      <c r="B225" s="44"/>
      <c r="C225" s="20" t="s">
        <v>1868</v>
      </c>
      <c r="D225" s="41">
        <v>45691.0</v>
      </c>
    </row>
    <row r="226" ht="12.75" customHeight="1">
      <c r="A226" s="19" t="s">
        <v>139</v>
      </c>
      <c r="B226" s="44"/>
      <c r="C226" s="20" t="s">
        <v>1869</v>
      </c>
      <c r="D226" s="41">
        <v>45691.0</v>
      </c>
    </row>
    <row r="227" ht="12.75" customHeight="1">
      <c r="A227" s="19" t="s">
        <v>919</v>
      </c>
      <c r="B227" s="44"/>
      <c r="C227" s="20" t="s">
        <v>1870</v>
      </c>
      <c r="D227" s="41">
        <v>45691.0</v>
      </c>
    </row>
    <row r="228" ht="12.75" customHeight="1">
      <c r="A228" s="19" t="s">
        <v>1043</v>
      </c>
      <c r="B228" s="44"/>
      <c r="C228" s="20" t="s">
        <v>1871</v>
      </c>
      <c r="D228" s="41">
        <v>45691.0</v>
      </c>
    </row>
    <row r="229" ht="12.75" customHeight="1">
      <c r="A229" s="19" t="s">
        <v>923</v>
      </c>
      <c r="B229" s="44"/>
      <c r="C229" s="20" t="s">
        <v>1872</v>
      </c>
      <c r="D229" s="41">
        <v>45691.0</v>
      </c>
    </row>
    <row r="230" ht="12.75" customHeight="1">
      <c r="A230" s="19" t="s">
        <v>1208</v>
      </c>
      <c r="B230" s="44"/>
      <c r="C230" s="20" t="s">
        <v>1873</v>
      </c>
      <c r="D230" s="41">
        <v>45691.0</v>
      </c>
    </row>
    <row r="231" ht="12.75" customHeight="1">
      <c r="A231" s="19" t="s">
        <v>913</v>
      </c>
      <c r="B231" s="44"/>
      <c r="C231" s="20" t="s">
        <v>1874</v>
      </c>
      <c r="D231" s="41">
        <v>45691.0</v>
      </c>
    </row>
    <row r="232" ht="12.75" customHeight="1">
      <c r="A232" s="19" t="s">
        <v>1264</v>
      </c>
      <c r="B232" s="44"/>
      <c r="C232" s="20" t="s">
        <v>1875</v>
      </c>
      <c r="D232" s="41">
        <v>45691.0</v>
      </c>
    </row>
    <row r="233" ht="12.75" customHeight="1">
      <c r="A233" s="19" t="s">
        <v>1206</v>
      </c>
      <c r="B233" s="44"/>
      <c r="C233" s="20" t="s">
        <v>1876</v>
      </c>
      <c r="D233" s="41">
        <v>45691.0</v>
      </c>
    </row>
    <row r="234" ht="12.75" customHeight="1">
      <c r="A234" s="19" t="s">
        <v>915</v>
      </c>
      <c r="B234" s="44"/>
      <c r="C234" s="20" t="s">
        <v>1877</v>
      </c>
      <c r="D234" s="41">
        <v>45691.0</v>
      </c>
    </row>
    <row r="235" ht="12.75" customHeight="1">
      <c r="A235" s="19" t="s">
        <v>1533</v>
      </c>
      <c r="B235" s="44"/>
      <c r="C235" s="20" t="s">
        <v>1878</v>
      </c>
      <c r="D235" s="41">
        <v>45691.0</v>
      </c>
    </row>
    <row r="236" ht="12.75" customHeight="1">
      <c r="A236" s="19" t="s">
        <v>1535</v>
      </c>
      <c r="B236" s="44"/>
      <c r="C236" s="20" t="s">
        <v>1879</v>
      </c>
      <c r="D236" s="41">
        <v>45691.0</v>
      </c>
    </row>
    <row r="237" ht="12.75" customHeight="1">
      <c r="A237" s="19" t="s">
        <v>1313</v>
      </c>
      <c r="B237" s="44"/>
      <c r="C237" s="20" t="s">
        <v>1880</v>
      </c>
      <c r="D237" s="41">
        <v>45691.0</v>
      </c>
    </row>
    <row r="238" ht="12.75" customHeight="1">
      <c r="A238" s="19" t="s">
        <v>1317</v>
      </c>
      <c r="B238" s="44"/>
      <c r="C238" s="20" t="s">
        <v>1881</v>
      </c>
      <c r="D238" s="41">
        <v>45691.0</v>
      </c>
    </row>
    <row r="239" ht="12.75" customHeight="1">
      <c r="A239" s="19" t="s">
        <v>1537</v>
      </c>
      <c r="B239" s="44"/>
      <c r="C239" s="20" t="s">
        <v>1882</v>
      </c>
      <c r="D239" s="41">
        <v>45691.0</v>
      </c>
    </row>
    <row r="240" ht="12.75" customHeight="1">
      <c r="A240" s="19" t="s">
        <v>38</v>
      </c>
      <c r="B240" s="44"/>
      <c r="C240" s="20" t="s">
        <v>1883</v>
      </c>
      <c r="D240" s="41">
        <v>45691.0</v>
      </c>
    </row>
    <row r="241" ht="12.75" customHeight="1">
      <c r="A241" s="19" t="s">
        <v>1540</v>
      </c>
      <c r="B241" s="44"/>
      <c r="C241" s="20" t="s">
        <v>1884</v>
      </c>
      <c r="D241" s="41">
        <v>45691.0</v>
      </c>
    </row>
    <row r="242" ht="12.75" customHeight="1">
      <c r="A242" s="19" t="s">
        <v>127</v>
      </c>
      <c r="B242" s="44"/>
      <c r="C242" s="20" t="s">
        <v>1885</v>
      </c>
      <c r="D242" s="41">
        <v>45691.0</v>
      </c>
    </row>
    <row r="243" ht="12.75" customHeight="1">
      <c r="A243" s="19" t="s">
        <v>1315</v>
      </c>
      <c r="B243" s="44"/>
      <c r="C243" s="20" t="s">
        <v>1886</v>
      </c>
      <c r="D243" s="41">
        <v>45691.0</v>
      </c>
    </row>
    <row r="244" ht="12.75" customHeight="1">
      <c r="A244" s="19" t="s">
        <v>254</v>
      </c>
      <c r="B244" s="44"/>
      <c r="C244" s="20" t="s">
        <v>1887</v>
      </c>
      <c r="D244" s="41">
        <v>45691.0</v>
      </c>
    </row>
    <row r="245" ht="12.75" customHeight="1">
      <c r="A245" s="19" t="s">
        <v>1113</v>
      </c>
      <c r="B245" s="44"/>
      <c r="C245" s="20" t="s">
        <v>1888</v>
      </c>
      <c r="D245" s="41">
        <v>45691.0</v>
      </c>
    </row>
    <row r="246" ht="12.75" customHeight="1">
      <c r="A246" s="19" t="s">
        <v>1083</v>
      </c>
      <c r="B246" s="44"/>
      <c r="C246" s="20" t="s">
        <v>1889</v>
      </c>
      <c r="D246" s="41">
        <v>45691.0</v>
      </c>
    </row>
    <row r="247" ht="12.75" customHeight="1">
      <c r="A247" s="19" t="s">
        <v>1049</v>
      </c>
      <c r="B247" s="44"/>
      <c r="C247" s="20" t="s">
        <v>1890</v>
      </c>
      <c r="D247" s="41">
        <v>45691.0</v>
      </c>
    </row>
    <row r="248" ht="12.75" customHeight="1">
      <c r="A248" s="19" t="s">
        <v>87</v>
      </c>
      <c r="B248" s="44"/>
      <c r="C248" s="20" t="s">
        <v>1891</v>
      </c>
      <c r="D248" s="41">
        <v>45691.0</v>
      </c>
    </row>
    <row r="249" ht="12.75" customHeight="1">
      <c r="A249" s="19" t="s">
        <v>991</v>
      </c>
      <c r="B249" s="44"/>
      <c r="C249" s="20" t="s">
        <v>1892</v>
      </c>
      <c r="D249" s="41">
        <v>45691.0</v>
      </c>
    </row>
    <row r="250" ht="12.75" customHeight="1">
      <c r="A250" s="19" t="s">
        <v>1125</v>
      </c>
      <c r="B250" s="44"/>
      <c r="C250" s="20" t="s">
        <v>1893</v>
      </c>
      <c r="D250" s="41">
        <v>45691.0</v>
      </c>
    </row>
    <row r="251" ht="12.75" customHeight="1">
      <c r="A251" s="19" t="s">
        <v>995</v>
      </c>
      <c r="B251" s="44"/>
      <c r="C251" s="20" t="s">
        <v>1894</v>
      </c>
      <c r="D251" s="41">
        <v>45691.0</v>
      </c>
    </row>
    <row r="252" ht="12.75" customHeight="1">
      <c r="A252" s="19" t="s">
        <v>1319</v>
      </c>
      <c r="B252" s="44"/>
      <c r="C252" s="20" t="s">
        <v>1895</v>
      </c>
      <c r="D252" s="41">
        <v>45691.0</v>
      </c>
    </row>
    <row r="253" ht="12.75" customHeight="1">
      <c r="A253" s="19" t="s">
        <v>1545</v>
      </c>
      <c r="B253" s="44"/>
      <c r="C253" s="20" t="s">
        <v>1896</v>
      </c>
      <c r="D253" s="41">
        <v>45691.0</v>
      </c>
    </row>
    <row r="254" ht="12.75" customHeight="1">
      <c r="A254" s="19" t="s">
        <v>1119</v>
      </c>
      <c r="B254" s="44"/>
      <c r="C254" s="20" t="s">
        <v>1897</v>
      </c>
      <c r="D254" s="41">
        <v>45691.0</v>
      </c>
    </row>
    <row r="255" ht="12.75" customHeight="1">
      <c r="A255" s="19" t="s">
        <v>1000</v>
      </c>
      <c r="B255" s="44"/>
      <c r="C255" s="20" t="s">
        <v>1898</v>
      </c>
      <c r="D255" s="41">
        <v>45691.0</v>
      </c>
    </row>
    <row r="256" ht="12.75" customHeight="1">
      <c r="A256" s="19" t="s">
        <v>22</v>
      </c>
      <c r="B256" s="44"/>
      <c r="C256" s="20" t="s">
        <v>1899</v>
      </c>
      <c r="D256" s="41">
        <v>45691.0</v>
      </c>
    </row>
    <row r="257" ht="12.75" customHeight="1">
      <c r="A257" s="19" t="s">
        <v>1002</v>
      </c>
      <c r="B257" s="44"/>
      <c r="C257" s="20" t="s">
        <v>1900</v>
      </c>
      <c r="D257" s="41">
        <v>45691.0</v>
      </c>
    </row>
    <row r="258" ht="12.75" customHeight="1">
      <c r="A258" s="19" t="s">
        <v>997</v>
      </c>
      <c r="B258" s="44"/>
      <c r="C258" s="20" t="s">
        <v>1901</v>
      </c>
      <c r="D258" s="41">
        <v>45691.0</v>
      </c>
    </row>
    <row r="259" ht="12.75" customHeight="1">
      <c r="A259" s="19" t="s">
        <v>1289</v>
      </c>
      <c r="B259" s="44"/>
      <c r="C259" s="20" t="s">
        <v>1902</v>
      </c>
      <c r="D259" s="41">
        <v>45691.0</v>
      </c>
    </row>
    <row r="260" ht="12.75" customHeight="1">
      <c r="A260" s="19" t="s">
        <v>245</v>
      </c>
      <c r="B260" s="44"/>
      <c r="C260" s="20" t="s">
        <v>1903</v>
      </c>
      <c r="D260" s="41">
        <v>45691.0</v>
      </c>
    </row>
    <row r="261" ht="12.75" customHeight="1">
      <c r="A261" s="19" t="s">
        <v>1121</v>
      </c>
      <c r="B261" s="44"/>
      <c r="C261" s="20" t="s">
        <v>1904</v>
      </c>
      <c r="D261" s="41">
        <v>45691.0</v>
      </c>
    </row>
    <row r="262" ht="12.75" customHeight="1">
      <c r="A262" s="19" t="s">
        <v>1547</v>
      </c>
      <c r="B262" s="44"/>
      <c r="C262" s="20" t="s">
        <v>1905</v>
      </c>
      <c r="D262" s="41">
        <v>45691.0</v>
      </c>
    </row>
    <row r="263" ht="12.75" customHeight="1">
      <c r="A263" s="19" t="s">
        <v>1287</v>
      </c>
      <c r="B263" s="44"/>
      <c r="C263" s="20" t="s">
        <v>1906</v>
      </c>
      <c r="D263" s="41">
        <v>45691.0</v>
      </c>
    </row>
    <row r="264" ht="12.75" customHeight="1">
      <c r="A264" s="19" t="s">
        <v>1549</v>
      </c>
      <c r="B264" s="44"/>
      <c r="C264" s="20" t="s">
        <v>1907</v>
      </c>
      <c r="D264" s="41">
        <v>45691.0</v>
      </c>
    </row>
    <row r="265" ht="12.75" customHeight="1">
      <c r="A265" s="19" t="s">
        <v>1123</v>
      </c>
      <c r="B265" s="44"/>
      <c r="C265" s="20" t="s">
        <v>1908</v>
      </c>
      <c r="D265" s="41">
        <v>45691.0</v>
      </c>
    </row>
    <row r="266" ht="12.75" customHeight="1">
      <c r="A266" s="19" t="s">
        <v>229</v>
      </c>
      <c r="B266" s="44"/>
      <c r="C266" s="20" t="s">
        <v>1909</v>
      </c>
      <c r="D266" s="41">
        <v>45691.0</v>
      </c>
    </row>
    <row r="267" ht="12.75" customHeight="1">
      <c r="A267" s="19" t="s">
        <v>184</v>
      </c>
      <c r="B267" s="44"/>
      <c r="C267" s="20" t="s">
        <v>1910</v>
      </c>
      <c r="D267" s="41">
        <v>45691.0</v>
      </c>
    </row>
    <row r="268" ht="12.75" customHeight="1">
      <c r="A268" s="19" t="s">
        <v>1285</v>
      </c>
      <c r="B268" s="44"/>
      <c r="C268" s="20" t="s">
        <v>1911</v>
      </c>
      <c r="D268" s="41">
        <v>45691.0</v>
      </c>
    </row>
    <row r="269" ht="12.75" customHeight="1">
      <c r="A269" s="19" t="s">
        <v>128</v>
      </c>
      <c r="B269" s="44"/>
      <c r="C269" s="20" t="s">
        <v>1912</v>
      </c>
      <c r="D269" s="41">
        <v>45691.0</v>
      </c>
    </row>
    <row r="270" ht="12.75" customHeight="1">
      <c r="A270" s="19" t="s">
        <v>66</v>
      </c>
      <c r="B270" s="44"/>
      <c r="C270" s="20" t="s">
        <v>1913</v>
      </c>
      <c r="D270" s="41">
        <v>45691.0</v>
      </c>
    </row>
    <row r="271" ht="12.75" customHeight="1">
      <c r="A271" s="19" t="s">
        <v>1109</v>
      </c>
      <c r="B271" s="44"/>
      <c r="C271" s="20" t="s">
        <v>1914</v>
      </c>
      <c r="D271" s="41">
        <v>45691.0</v>
      </c>
    </row>
    <row r="272" ht="12.75" customHeight="1">
      <c r="A272" s="19" t="s">
        <v>849</v>
      </c>
      <c r="B272" s="44"/>
      <c r="C272" s="20" t="s">
        <v>1915</v>
      </c>
      <c r="D272" s="41">
        <v>45691.0</v>
      </c>
    </row>
    <row r="273" ht="12.75" customHeight="1">
      <c r="A273" s="19" t="s">
        <v>1551</v>
      </c>
      <c r="B273" s="44"/>
      <c r="C273" s="20" t="s">
        <v>1916</v>
      </c>
      <c r="D273" s="41">
        <v>45691.0</v>
      </c>
    </row>
    <row r="274" ht="12.75" customHeight="1">
      <c r="A274" s="19" t="s">
        <v>1107</v>
      </c>
      <c r="B274" s="44"/>
      <c r="C274" s="20" t="s">
        <v>1917</v>
      </c>
      <c r="D274" s="41">
        <v>45691.0</v>
      </c>
    </row>
    <row r="275" ht="12.75" customHeight="1">
      <c r="A275" s="19" t="s">
        <v>1053</v>
      </c>
      <c r="B275" s="44"/>
      <c r="C275" s="20" t="s">
        <v>1918</v>
      </c>
      <c r="D275" s="41">
        <v>45691.0</v>
      </c>
    </row>
    <row r="276" ht="12.75" customHeight="1">
      <c r="A276" s="19" t="s">
        <v>982</v>
      </c>
      <c r="B276" s="44"/>
      <c r="C276" s="20" t="s">
        <v>1919</v>
      </c>
      <c r="D276" s="41">
        <v>45691.0</v>
      </c>
    </row>
    <row r="277" ht="12.75" customHeight="1">
      <c r="A277" s="19" t="s">
        <v>101</v>
      </c>
      <c r="B277" s="44"/>
      <c r="C277" s="20" t="s">
        <v>1920</v>
      </c>
      <c r="D277" s="41">
        <v>45691.0</v>
      </c>
    </row>
    <row r="278" ht="12.75" customHeight="1">
      <c r="A278" s="19" t="s">
        <v>1279</v>
      </c>
      <c r="B278" s="44"/>
      <c r="C278" s="20" t="s">
        <v>1921</v>
      </c>
      <c r="D278" s="41">
        <v>45691.0</v>
      </c>
    </row>
    <row r="279" ht="12.75" customHeight="1">
      <c r="A279" s="19" t="s">
        <v>61</v>
      </c>
      <c r="B279" s="44"/>
      <c r="C279" s="20" t="s">
        <v>1922</v>
      </c>
      <c r="D279" s="41">
        <v>45691.0</v>
      </c>
    </row>
    <row r="280" ht="12.75" customHeight="1">
      <c r="A280" s="19" t="s">
        <v>93</v>
      </c>
      <c r="B280" s="44"/>
      <c r="C280" s="20" t="s">
        <v>1923</v>
      </c>
      <c r="D280" s="41">
        <v>45691.0</v>
      </c>
    </row>
    <row r="281" ht="12.75" customHeight="1">
      <c r="A281" s="19" t="s">
        <v>1553</v>
      </c>
      <c r="B281" s="44"/>
      <c r="C281" s="20" t="s">
        <v>1924</v>
      </c>
      <c r="D281" s="41">
        <v>45691.0</v>
      </c>
    </row>
    <row r="282" ht="12.75" customHeight="1">
      <c r="A282" s="19" t="s">
        <v>1100</v>
      </c>
      <c r="B282" s="44"/>
      <c r="C282" s="20" t="s">
        <v>1925</v>
      </c>
      <c r="D282" s="41">
        <v>45691.0</v>
      </c>
    </row>
    <row r="283" ht="12.75" customHeight="1">
      <c r="A283" s="19" t="s">
        <v>1433</v>
      </c>
      <c r="B283" s="44"/>
      <c r="C283" s="20" t="s">
        <v>1926</v>
      </c>
      <c r="D283" s="41">
        <v>45691.0</v>
      </c>
    </row>
    <row r="284" ht="12.75" customHeight="1">
      <c r="A284" s="19" t="s">
        <v>1281</v>
      </c>
      <c r="B284" s="44"/>
      <c r="C284" s="20" t="s">
        <v>1927</v>
      </c>
      <c r="D284" s="41">
        <v>45691.0</v>
      </c>
    </row>
    <row r="285" ht="12.75" customHeight="1">
      <c r="A285" s="19" t="s">
        <v>1102</v>
      </c>
      <c r="B285" s="44"/>
      <c r="C285" s="20" t="s">
        <v>1928</v>
      </c>
      <c r="D285" s="41">
        <v>45691.0</v>
      </c>
    </row>
    <row r="286" ht="12.75" customHeight="1">
      <c r="A286" s="19" t="s">
        <v>1104</v>
      </c>
      <c r="B286" s="44"/>
      <c r="C286" s="20" t="s">
        <v>1929</v>
      </c>
      <c r="D286" s="41">
        <v>45691.0</v>
      </c>
    </row>
    <row r="287" ht="12.75" customHeight="1">
      <c r="A287" s="19" t="s">
        <v>1098</v>
      </c>
      <c r="B287" s="44"/>
      <c r="C287" s="20" t="s">
        <v>1930</v>
      </c>
      <c r="D287" s="41">
        <v>45691.0</v>
      </c>
    </row>
    <row r="288" ht="12.75" customHeight="1">
      <c r="A288" s="19" t="s">
        <v>1555</v>
      </c>
      <c r="B288" s="44"/>
      <c r="C288" s="20" t="s">
        <v>1931</v>
      </c>
      <c r="D288" s="41">
        <v>45691.0</v>
      </c>
    </row>
    <row r="289" ht="12.75" customHeight="1">
      <c r="A289" s="19" t="s">
        <v>551</v>
      </c>
      <c r="B289" s="44"/>
      <c r="C289" s="20" t="s">
        <v>1932</v>
      </c>
      <c r="D289" s="41">
        <v>45691.0</v>
      </c>
    </row>
    <row r="290" ht="12.75" customHeight="1">
      <c r="A290" s="19" t="s">
        <v>845</v>
      </c>
      <c r="B290" s="44"/>
      <c r="C290" s="20" t="s">
        <v>1933</v>
      </c>
      <c r="D290" s="41">
        <v>45691.0</v>
      </c>
    </row>
    <row r="291" ht="12.75" customHeight="1">
      <c r="A291" s="19" t="s">
        <v>847</v>
      </c>
      <c r="B291" s="44"/>
      <c r="C291" s="20" t="s">
        <v>1934</v>
      </c>
      <c r="D291" s="41">
        <v>45691.0</v>
      </c>
    </row>
    <row r="292" ht="12.75" customHeight="1">
      <c r="A292" s="19" t="s">
        <v>97</v>
      </c>
      <c r="B292" s="44"/>
      <c r="C292" s="20" t="s">
        <v>1935</v>
      </c>
      <c r="D292" s="41">
        <v>45691.0</v>
      </c>
    </row>
    <row r="293" ht="12.75" customHeight="1">
      <c r="A293" s="19" t="s">
        <v>1421</v>
      </c>
      <c r="B293" s="44"/>
      <c r="C293" s="20" t="s">
        <v>1936</v>
      </c>
      <c r="D293" s="41">
        <v>45691.0</v>
      </c>
    </row>
    <row r="294" ht="12.75" customHeight="1">
      <c r="A294" s="19" t="s">
        <v>1398</v>
      </c>
      <c r="B294" s="44"/>
      <c r="C294" s="20" t="s">
        <v>1937</v>
      </c>
      <c r="D294" s="41">
        <v>45691.0</v>
      </c>
    </row>
    <row r="295" ht="12.75" customHeight="1">
      <c r="A295" s="19" t="s">
        <v>1273</v>
      </c>
      <c r="B295" s="44"/>
      <c r="C295" s="20" t="s">
        <v>1938</v>
      </c>
      <c r="D295" s="41">
        <v>45691.0</v>
      </c>
    </row>
    <row r="296" ht="12.75" customHeight="1">
      <c r="A296" s="19" t="s">
        <v>1094</v>
      </c>
      <c r="B296" s="44"/>
      <c r="C296" s="20" t="s">
        <v>1939</v>
      </c>
      <c r="D296" s="41">
        <v>45691.0</v>
      </c>
    </row>
    <row r="297" ht="12.75" customHeight="1">
      <c r="A297" s="19" t="s">
        <v>95</v>
      </c>
      <c r="B297" s="44"/>
      <c r="C297" s="20" t="s">
        <v>1940</v>
      </c>
      <c r="D297" s="41">
        <v>45691.0</v>
      </c>
    </row>
    <row r="298" ht="12.75" customHeight="1">
      <c r="A298" s="19" t="s">
        <v>1431</v>
      </c>
      <c r="B298" s="44"/>
      <c r="C298" s="20" t="s">
        <v>1941</v>
      </c>
      <c r="D298" s="41">
        <v>45691.0</v>
      </c>
    </row>
    <row r="299" ht="12.75" customHeight="1">
      <c r="A299" s="19" t="s">
        <v>1560</v>
      </c>
      <c r="B299" s="44"/>
      <c r="C299" s="20" t="s">
        <v>1942</v>
      </c>
      <c r="D299" s="41">
        <v>45691.0</v>
      </c>
    </row>
    <row r="300" ht="12.75" customHeight="1">
      <c r="A300" s="19" t="s">
        <v>1096</v>
      </c>
      <c r="B300" s="44"/>
      <c r="C300" s="20" t="s">
        <v>1943</v>
      </c>
      <c r="D300" s="41">
        <v>45691.0</v>
      </c>
    </row>
    <row r="301" ht="12.75" customHeight="1">
      <c r="A301" s="19" t="s">
        <v>1299</v>
      </c>
      <c r="B301" s="44"/>
      <c r="C301" s="20" t="s">
        <v>1944</v>
      </c>
      <c r="D301" s="41">
        <v>45691.0</v>
      </c>
    </row>
    <row r="302" ht="12.75" customHeight="1">
      <c r="A302" s="19" t="s">
        <v>1396</v>
      </c>
      <c r="B302" s="44"/>
      <c r="C302" s="20" t="s">
        <v>1945</v>
      </c>
      <c r="D302" s="41">
        <v>45691.0</v>
      </c>
    </row>
    <row r="303" ht="12.75" customHeight="1">
      <c r="A303" s="19" t="s">
        <v>1562</v>
      </c>
      <c r="B303" s="44"/>
      <c r="C303" s="20" t="s">
        <v>1946</v>
      </c>
      <c r="D303" s="41">
        <v>45691.0</v>
      </c>
    </row>
    <row r="304" ht="12.75" customHeight="1">
      <c r="A304" s="19" t="s">
        <v>1564</v>
      </c>
      <c r="B304" s="44"/>
      <c r="C304" s="20" t="s">
        <v>1947</v>
      </c>
      <c r="D304" s="41">
        <v>45691.0</v>
      </c>
    </row>
    <row r="305" ht="12.75" customHeight="1">
      <c r="A305" s="19" t="s">
        <v>1219</v>
      </c>
      <c r="B305" s="44"/>
      <c r="C305" s="20" t="s">
        <v>1948</v>
      </c>
      <c r="D305" s="41">
        <v>45691.0</v>
      </c>
    </row>
    <row r="306" ht="12.75" customHeight="1">
      <c r="A306" s="19" t="s">
        <v>1091</v>
      </c>
      <c r="B306" s="44"/>
      <c r="C306" s="20" t="s">
        <v>1949</v>
      </c>
      <c r="D306" s="41">
        <v>45691.0</v>
      </c>
    </row>
    <row r="307" ht="12.75" customHeight="1">
      <c r="A307" s="19" t="s">
        <v>1055</v>
      </c>
      <c r="B307" s="44"/>
      <c r="C307" s="20" t="s">
        <v>1950</v>
      </c>
      <c r="D307" s="41">
        <v>45691.0</v>
      </c>
    </row>
    <row r="308" ht="12.75" customHeight="1">
      <c r="A308" s="19" t="s">
        <v>187</v>
      </c>
      <c r="B308" s="44"/>
      <c r="C308" s="20" t="s">
        <v>1951</v>
      </c>
      <c r="D308" s="41">
        <v>45691.0</v>
      </c>
    </row>
    <row r="309" ht="12.75" customHeight="1">
      <c r="A309" s="19" t="s">
        <v>1566</v>
      </c>
      <c r="B309" s="44"/>
      <c r="C309" s="20" t="s">
        <v>1952</v>
      </c>
      <c r="D309" s="41">
        <v>45691.0</v>
      </c>
    </row>
    <row r="310" ht="12.75" customHeight="1">
      <c r="A310" s="19" t="s">
        <v>186</v>
      </c>
      <c r="B310" s="44"/>
      <c r="C310" s="20" t="s">
        <v>1953</v>
      </c>
      <c r="D310" s="41">
        <v>45691.0</v>
      </c>
    </row>
    <row r="311" ht="12.75" customHeight="1">
      <c r="A311" s="19" t="s">
        <v>1297</v>
      </c>
      <c r="B311" s="44"/>
      <c r="C311" s="20" t="s">
        <v>1954</v>
      </c>
      <c r="D311" s="41">
        <v>45691.0</v>
      </c>
    </row>
    <row r="312" ht="12.75" customHeight="1">
      <c r="A312" s="19" t="s">
        <v>1462</v>
      </c>
      <c r="B312" s="44"/>
      <c r="C312" s="20" t="s">
        <v>1955</v>
      </c>
      <c r="D312" s="41">
        <v>45691.0</v>
      </c>
    </row>
    <row r="313" ht="12.75" customHeight="1">
      <c r="A313" s="19" t="s">
        <v>1268</v>
      </c>
      <c r="B313" s="44"/>
      <c r="C313" s="20" t="s">
        <v>1956</v>
      </c>
      <c r="D313" s="41">
        <v>45691.0</v>
      </c>
    </row>
    <row r="314" ht="12.75" customHeight="1">
      <c r="A314" s="19" t="s">
        <v>1569</v>
      </c>
      <c r="B314" s="44"/>
      <c r="C314" s="20" t="s">
        <v>1957</v>
      </c>
      <c r="D314" s="41">
        <v>45691.0</v>
      </c>
    </row>
    <row r="315" ht="12.75" customHeight="1">
      <c r="A315" s="19" t="s">
        <v>1385</v>
      </c>
      <c r="B315" s="44"/>
      <c r="C315" s="20" t="s">
        <v>1958</v>
      </c>
      <c r="D315" s="41">
        <v>45691.0</v>
      </c>
    </row>
    <row r="316" ht="12.75" customHeight="1">
      <c r="A316" s="19" t="s">
        <v>1086</v>
      </c>
      <c r="B316" s="44"/>
      <c r="C316" s="20" t="s">
        <v>1959</v>
      </c>
      <c r="D316" s="41">
        <v>45691.0</v>
      </c>
    </row>
    <row r="317" ht="12.75" customHeight="1">
      <c r="A317" s="19" t="s">
        <v>987</v>
      </c>
      <c r="B317" s="44"/>
      <c r="C317" s="20" t="s">
        <v>1960</v>
      </c>
      <c r="D317" s="41">
        <v>45691.0</v>
      </c>
    </row>
    <row r="318" ht="12.75" customHeight="1">
      <c r="A318" s="19" t="s">
        <v>985</v>
      </c>
      <c r="B318" s="44"/>
      <c r="C318" s="20" t="s">
        <v>1961</v>
      </c>
      <c r="D318" s="41">
        <v>45691.0</v>
      </c>
    </row>
    <row r="319" ht="12.75" customHeight="1">
      <c r="A319" s="19" t="s">
        <v>1309</v>
      </c>
      <c r="B319" s="44"/>
      <c r="C319" s="20" t="s">
        <v>1962</v>
      </c>
      <c r="D319" s="41">
        <v>45691.0</v>
      </c>
    </row>
    <row r="320" ht="12.75" customHeight="1">
      <c r="A320" s="19" t="s">
        <v>404</v>
      </c>
      <c r="B320" s="44"/>
      <c r="C320" s="20" t="s">
        <v>1963</v>
      </c>
      <c r="D320" s="41">
        <v>45691.0</v>
      </c>
    </row>
    <row r="321" ht="12.75" customHeight="1">
      <c r="A321" s="19" t="s">
        <v>169</v>
      </c>
      <c r="B321" s="44"/>
      <c r="C321" s="20" t="s">
        <v>1964</v>
      </c>
      <c r="D321" s="41">
        <v>45691.0</v>
      </c>
    </row>
    <row r="322" ht="12.75" customHeight="1">
      <c r="A322" s="19" t="s">
        <v>1311</v>
      </c>
      <c r="B322" s="44"/>
      <c r="C322" s="20" t="s">
        <v>1965</v>
      </c>
      <c r="D322" s="41">
        <v>45691.0</v>
      </c>
    </row>
    <row r="323" ht="12.75" customHeight="1">
      <c r="A323" s="19" t="s">
        <v>166</v>
      </c>
      <c r="B323" s="44"/>
      <c r="C323" s="20" t="s">
        <v>1966</v>
      </c>
      <c r="D323" s="41">
        <v>45691.0</v>
      </c>
    </row>
    <row r="324" ht="12.75" customHeight="1">
      <c r="A324" s="19" t="s">
        <v>811</v>
      </c>
      <c r="B324" s="44"/>
      <c r="C324" s="20" t="s">
        <v>1967</v>
      </c>
      <c r="D324" s="41">
        <v>45691.0</v>
      </c>
    </row>
    <row r="325" ht="12.75" customHeight="1">
      <c r="A325" s="19" t="s">
        <v>1276</v>
      </c>
      <c r="B325" s="44"/>
      <c r="C325" s="20" t="s">
        <v>1968</v>
      </c>
      <c r="D325" s="41">
        <v>45691.0</v>
      </c>
    </row>
    <row r="326" ht="12.75" customHeight="1">
      <c r="A326" s="19" t="s">
        <v>168</v>
      </c>
      <c r="B326" s="44"/>
      <c r="C326" s="20" t="s">
        <v>1969</v>
      </c>
      <c r="D326" s="41">
        <v>45691.0</v>
      </c>
    </row>
    <row r="327" ht="12.75" customHeight="1">
      <c r="A327" s="19" t="s">
        <v>252</v>
      </c>
      <c r="B327" s="44"/>
      <c r="C327" s="20" t="s">
        <v>1970</v>
      </c>
      <c r="D327" s="41">
        <v>45691.0</v>
      </c>
    </row>
    <row r="328" ht="12.75" customHeight="1">
      <c r="A328" s="19" t="s">
        <v>1051</v>
      </c>
      <c r="B328" s="44"/>
      <c r="C328" s="20" t="s">
        <v>1971</v>
      </c>
      <c r="D328" s="41">
        <v>45691.0</v>
      </c>
    </row>
    <row r="329" ht="12.75" customHeight="1">
      <c r="A329" s="19" t="s">
        <v>455</v>
      </c>
      <c r="B329" s="44"/>
      <c r="C329" s="20" t="s">
        <v>1972</v>
      </c>
      <c r="D329" s="41">
        <v>45691.0</v>
      </c>
    </row>
    <row r="330" ht="12.75" customHeight="1">
      <c r="A330" s="19" t="s">
        <v>170</v>
      </c>
      <c r="B330" s="44"/>
      <c r="C330" s="20" t="s">
        <v>1973</v>
      </c>
      <c r="D330" s="41">
        <v>45691.0</v>
      </c>
    </row>
    <row r="331" ht="12.75" customHeight="1">
      <c r="A331" s="19" t="s">
        <v>1456</v>
      </c>
      <c r="B331" s="44"/>
      <c r="C331" s="20" t="s">
        <v>1974</v>
      </c>
      <c r="D331" s="41">
        <v>45691.0</v>
      </c>
    </row>
    <row r="332" ht="12.75" customHeight="1">
      <c r="A332" s="19" t="s">
        <v>167</v>
      </c>
      <c r="B332" s="44"/>
      <c r="C332" s="20" t="s">
        <v>1975</v>
      </c>
      <c r="D332" s="41">
        <v>45691.0</v>
      </c>
    </row>
    <row r="333" ht="12.75" customHeight="1">
      <c r="A333" s="19" t="s">
        <v>1460</v>
      </c>
      <c r="B333" s="44"/>
      <c r="C333" s="20" t="s">
        <v>1976</v>
      </c>
      <c r="D333" s="41">
        <v>45691.0</v>
      </c>
    </row>
    <row r="334" ht="12.75" customHeight="1">
      <c r="A334" s="19" t="s">
        <v>1575</v>
      </c>
      <c r="B334" s="44"/>
      <c r="C334" s="20" t="s">
        <v>1977</v>
      </c>
      <c r="D334" s="41">
        <v>45691.0</v>
      </c>
    </row>
    <row r="335" ht="12.75" customHeight="1">
      <c r="A335" s="19" t="s">
        <v>163</v>
      </c>
      <c r="B335" s="44"/>
      <c r="C335" s="20" t="s">
        <v>1978</v>
      </c>
      <c r="D335" s="41">
        <v>45691.0</v>
      </c>
    </row>
    <row r="336" ht="12.75" customHeight="1">
      <c r="A336" s="19" t="s">
        <v>36</v>
      </c>
      <c r="B336" s="44"/>
      <c r="C336" s="20" t="s">
        <v>1979</v>
      </c>
      <c r="D336" s="41">
        <v>45691.0</v>
      </c>
    </row>
    <row r="337" ht="12.75" customHeight="1">
      <c r="A337" s="19" t="s">
        <v>1578</v>
      </c>
      <c r="B337" s="44"/>
      <c r="C337" s="20" t="s">
        <v>1980</v>
      </c>
      <c r="D337" s="41">
        <v>45691.0</v>
      </c>
    </row>
    <row r="338" ht="12.75" customHeight="1">
      <c r="A338" s="19" t="s">
        <v>1348</v>
      </c>
      <c r="B338" s="44"/>
      <c r="C338" s="20" t="s">
        <v>1981</v>
      </c>
      <c r="D338" s="41">
        <v>45691.0</v>
      </c>
    </row>
    <row r="339" ht="12.75" customHeight="1">
      <c r="A339" s="19" t="s">
        <v>1441</v>
      </c>
      <c r="B339" s="44"/>
      <c r="C339" s="20" t="s">
        <v>1982</v>
      </c>
      <c r="D339" s="41">
        <v>45691.0</v>
      </c>
    </row>
    <row r="340" ht="12.75" customHeight="1">
      <c r="A340" s="19" t="s">
        <v>592</v>
      </c>
      <c r="B340" s="44"/>
      <c r="C340" s="20" t="s">
        <v>1983</v>
      </c>
      <c r="D340" s="41">
        <v>45691.0</v>
      </c>
    </row>
    <row r="341" ht="12.75" customHeight="1">
      <c r="A341" s="19" t="s">
        <v>925</v>
      </c>
      <c r="B341" s="44"/>
      <c r="C341" s="20" t="s">
        <v>1984</v>
      </c>
      <c r="D341" s="41">
        <v>45691.0</v>
      </c>
    </row>
    <row r="342" ht="12.75" customHeight="1">
      <c r="A342" s="19" t="s">
        <v>976</v>
      </c>
      <c r="B342" s="44"/>
      <c r="C342" s="20" t="s">
        <v>1985</v>
      </c>
      <c r="D342" s="41">
        <v>45691.0</v>
      </c>
    </row>
    <row r="343" ht="12.75" customHeight="1">
      <c r="A343" s="19" t="s">
        <v>1345</v>
      </c>
      <c r="B343" s="44"/>
      <c r="C343" s="20" t="s">
        <v>1986</v>
      </c>
      <c r="D343" s="41">
        <v>45691.0</v>
      </c>
    </row>
    <row r="344" ht="12.75" customHeight="1">
      <c r="A344" s="19" t="s">
        <v>1359</v>
      </c>
      <c r="B344" s="44"/>
      <c r="C344" s="20" t="s">
        <v>1987</v>
      </c>
      <c r="D344" s="41">
        <v>45691.0</v>
      </c>
    </row>
    <row r="345" ht="12.75" customHeight="1">
      <c r="A345" s="19" t="s">
        <v>1361</v>
      </c>
      <c r="B345" s="44"/>
      <c r="C345" s="20" t="s">
        <v>1988</v>
      </c>
      <c r="D345" s="41">
        <v>45691.0</v>
      </c>
    </row>
    <row r="346" ht="12.75" customHeight="1">
      <c r="A346" s="19" t="s">
        <v>974</v>
      </c>
      <c r="B346" s="44"/>
      <c r="C346" s="20" t="s">
        <v>1989</v>
      </c>
      <c r="D346" s="41">
        <v>45691.0</v>
      </c>
    </row>
    <row r="347" ht="12.75" customHeight="1">
      <c r="A347" s="19" t="s">
        <v>1045</v>
      </c>
      <c r="B347" s="44"/>
      <c r="C347" s="20" t="s">
        <v>1990</v>
      </c>
      <c r="D347" s="41">
        <v>45691.0</v>
      </c>
    </row>
    <row r="348" ht="12.75" customHeight="1">
      <c r="A348" s="19" t="s">
        <v>1195</v>
      </c>
      <c r="B348" s="44"/>
      <c r="C348" s="20" t="s">
        <v>1991</v>
      </c>
      <c r="D348" s="41">
        <v>45691.0</v>
      </c>
    </row>
    <row r="349" ht="12.75" customHeight="1">
      <c r="A349" s="19" t="s">
        <v>972</v>
      </c>
      <c r="B349" s="44"/>
      <c r="C349" s="20" t="s">
        <v>1992</v>
      </c>
      <c r="D349" s="41">
        <v>45691.0</v>
      </c>
    </row>
    <row r="350" ht="12.75" customHeight="1">
      <c r="A350" s="19" t="s">
        <v>1416</v>
      </c>
      <c r="B350" s="44"/>
      <c r="C350" s="20" t="s">
        <v>1993</v>
      </c>
      <c r="D350" s="41">
        <v>45691.0</v>
      </c>
    </row>
    <row r="351" ht="12.75" customHeight="1">
      <c r="A351" s="19" t="s">
        <v>1197</v>
      </c>
      <c r="B351" s="44"/>
      <c r="C351" s="20" t="s">
        <v>1994</v>
      </c>
      <c r="D351" s="41">
        <v>45691.0</v>
      </c>
    </row>
    <row r="352" ht="12.75" customHeight="1">
      <c r="A352" s="19" t="s">
        <v>787</v>
      </c>
      <c r="B352" s="44"/>
      <c r="C352" s="20" t="s">
        <v>1995</v>
      </c>
      <c r="D352" s="41">
        <v>45691.0</v>
      </c>
    </row>
    <row r="353" ht="12.75" customHeight="1">
      <c r="A353" s="19" t="s">
        <v>125</v>
      </c>
      <c r="B353" s="44"/>
      <c r="C353" s="20" t="s">
        <v>1996</v>
      </c>
      <c r="D353" s="41">
        <v>45691.0</v>
      </c>
    </row>
    <row r="354" ht="12.75" customHeight="1">
      <c r="A354" s="19" t="s">
        <v>1584</v>
      </c>
      <c r="B354" s="44"/>
      <c r="C354" s="20" t="s">
        <v>1997</v>
      </c>
      <c r="D354" s="41">
        <v>45691.0</v>
      </c>
    </row>
    <row r="355" ht="12.75" customHeight="1">
      <c r="A355" s="19" t="s">
        <v>1586</v>
      </c>
      <c r="B355" s="44"/>
      <c r="C355" s="20" t="s">
        <v>1998</v>
      </c>
      <c r="D355" s="41">
        <v>45691.0</v>
      </c>
    </row>
    <row r="356" ht="12.75" customHeight="1">
      <c r="A356" s="19" t="s">
        <v>183</v>
      </c>
      <c r="B356" s="44"/>
      <c r="C356" s="20" t="s">
        <v>1999</v>
      </c>
      <c r="D356" s="41">
        <v>45691.0</v>
      </c>
    </row>
    <row r="357" ht="12.75" customHeight="1">
      <c r="A357" s="19" t="s">
        <v>33</v>
      </c>
      <c r="B357" s="44"/>
      <c r="C357" s="20" t="s">
        <v>2000</v>
      </c>
      <c r="D357" s="41">
        <v>45691.0</v>
      </c>
    </row>
    <row r="358" ht="12.75" customHeight="1">
      <c r="A358" s="19" t="s">
        <v>823</v>
      </c>
      <c r="B358" s="44"/>
      <c r="C358" s="20" t="s">
        <v>2001</v>
      </c>
      <c r="D358" s="41">
        <v>45691.0</v>
      </c>
    </row>
    <row r="359" ht="12.75" customHeight="1">
      <c r="A359" s="19" t="s">
        <v>1225</v>
      </c>
      <c r="B359" s="44"/>
      <c r="C359" s="20" t="s">
        <v>2002</v>
      </c>
      <c r="D359" s="41">
        <v>45691.0</v>
      </c>
    </row>
    <row r="360" ht="12.75" customHeight="1">
      <c r="A360" s="19" t="s">
        <v>906</v>
      </c>
      <c r="B360" s="44"/>
      <c r="C360" s="20" t="s">
        <v>2003</v>
      </c>
      <c r="D360" s="41">
        <v>45691.0</v>
      </c>
    </row>
    <row r="361" ht="12.75" customHeight="1">
      <c r="A361" s="19" t="s">
        <v>253</v>
      </c>
      <c r="B361" s="44"/>
      <c r="C361" s="20" t="s">
        <v>2004</v>
      </c>
      <c r="D361" s="41">
        <v>45691.0</v>
      </c>
    </row>
    <row r="362" ht="12.75" customHeight="1">
      <c r="A362" s="19" t="s">
        <v>1223</v>
      </c>
      <c r="B362" s="44"/>
      <c r="C362" s="20" t="s">
        <v>2005</v>
      </c>
      <c r="D362" s="41">
        <v>45691.0</v>
      </c>
    </row>
    <row r="363" ht="12.75" customHeight="1">
      <c r="A363" s="19" t="s">
        <v>1590</v>
      </c>
      <c r="B363" s="44"/>
      <c r="C363" s="20" t="s">
        <v>2006</v>
      </c>
      <c r="D363" s="41">
        <v>45691.0</v>
      </c>
    </row>
    <row r="364" ht="12.75" customHeight="1">
      <c r="A364" s="19" t="s">
        <v>1383</v>
      </c>
      <c r="B364" s="44"/>
      <c r="C364" s="20" t="s">
        <v>2007</v>
      </c>
      <c r="D364" s="41">
        <v>45691.0</v>
      </c>
    </row>
    <row r="365" ht="12.75" customHeight="1">
      <c r="A365" s="19" t="s">
        <v>1592</v>
      </c>
      <c r="B365" s="44"/>
      <c r="C365" s="20" t="s">
        <v>2008</v>
      </c>
      <c r="D365" s="41">
        <v>45691.0</v>
      </c>
    </row>
    <row r="366" ht="12.75" customHeight="1">
      <c r="A366" s="19" t="s">
        <v>37</v>
      </c>
      <c r="B366" s="44"/>
      <c r="C366" s="20" t="s">
        <v>2009</v>
      </c>
      <c r="D366" s="41">
        <v>45691.0</v>
      </c>
    </row>
    <row r="367" ht="12.75" customHeight="1">
      <c r="A367" s="19" t="s">
        <v>1254</v>
      </c>
      <c r="B367" s="44"/>
      <c r="C367" s="20" t="s">
        <v>2010</v>
      </c>
      <c r="D367" s="41">
        <v>45691.0</v>
      </c>
    </row>
    <row r="368" ht="12.75" customHeight="1">
      <c r="A368" s="19" t="s">
        <v>1141</v>
      </c>
      <c r="B368" s="44"/>
      <c r="C368" s="20" t="s">
        <v>2011</v>
      </c>
      <c r="D368" s="41">
        <v>45691.0</v>
      </c>
    </row>
    <row r="369" ht="12.75" customHeight="1">
      <c r="A369" s="19" t="s">
        <v>1594</v>
      </c>
      <c r="B369" s="44"/>
      <c r="C369" s="20" t="s">
        <v>2012</v>
      </c>
      <c r="D369" s="41">
        <v>45691.0</v>
      </c>
    </row>
    <row r="370" ht="12.75" customHeight="1">
      <c r="A370" s="19" t="s">
        <v>937</v>
      </c>
      <c r="B370" s="44"/>
      <c r="C370" s="20" t="s">
        <v>2013</v>
      </c>
      <c r="D370" s="41">
        <v>45691.0</v>
      </c>
    </row>
    <row r="371" ht="12.75" customHeight="1">
      <c r="A371" s="19" t="s">
        <v>790</v>
      </c>
      <c r="B371" s="44"/>
      <c r="C371" s="20" t="s">
        <v>2014</v>
      </c>
      <c r="D371" s="41">
        <v>45691.0</v>
      </c>
    </row>
    <row r="372" ht="12.75" customHeight="1">
      <c r="A372" s="19" t="s">
        <v>927</v>
      </c>
      <c r="B372" s="44"/>
      <c r="C372" s="20" t="s">
        <v>2015</v>
      </c>
      <c r="D372" s="41">
        <v>45691.0</v>
      </c>
    </row>
    <row r="373" ht="12.75" customHeight="1">
      <c r="A373" s="19" t="s">
        <v>182</v>
      </c>
      <c r="B373" s="44"/>
      <c r="C373" s="20" t="s">
        <v>2016</v>
      </c>
      <c r="D373" s="41">
        <v>45691.0</v>
      </c>
    </row>
    <row r="374" ht="12.75" customHeight="1">
      <c r="A374" s="19" t="s">
        <v>933</v>
      </c>
      <c r="B374" s="44"/>
      <c r="C374" s="20" t="s">
        <v>2017</v>
      </c>
      <c r="D374" s="41">
        <v>45691.0</v>
      </c>
    </row>
    <row r="375" ht="12.75" customHeight="1">
      <c r="A375" s="19" t="s">
        <v>1331</v>
      </c>
      <c r="B375" s="44"/>
      <c r="C375" s="20" t="s">
        <v>2018</v>
      </c>
      <c r="D375" s="41">
        <v>45691.0</v>
      </c>
    </row>
    <row r="376" ht="12.75" customHeight="1">
      <c r="A376" s="19" t="s">
        <v>1343</v>
      </c>
      <c r="B376" s="44"/>
      <c r="C376" s="20" t="s">
        <v>2019</v>
      </c>
      <c r="D376" s="41">
        <v>45691.0</v>
      </c>
    </row>
    <row r="377" ht="12.75" customHeight="1">
      <c r="A377" s="19" t="s">
        <v>1145</v>
      </c>
      <c r="B377" s="44"/>
      <c r="C377" s="20" t="s">
        <v>2020</v>
      </c>
      <c r="D377" s="41">
        <v>45691.0</v>
      </c>
    </row>
    <row r="378" ht="12.75" customHeight="1">
      <c r="A378" s="19" t="s">
        <v>1596</v>
      </c>
      <c r="B378" s="44"/>
      <c r="C378" s="20" t="s">
        <v>2021</v>
      </c>
      <c r="D378" s="41">
        <v>45691.0</v>
      </c>
    </row>
    <row r="379" ht="12.75" customHeight="1">
      <c r="A379" s="19" t="s">
        <v>921</v>
      </c>
      <c r="B379" s="44"/>
      <c r="C379" s="20" t="s">
        <v>2022</v>
      </c>
      <c r="D379" s="41">
        <v>45691.0</v>
      </c>
    </row>
    <row r="380" ht="12.75" customHeight="1">
      <c r="A380" s="19" t="s">
        <v>792</v>
      </c>
      <c r="B380" s="44"/>
      <c r="C380" s="20" t="s">
        <v>2023</v>
      </c>
      <c r="D380" s="41">
        <v>45691.0</v>
      </c>
    </row>
    <row r="381" ht="12.75" customHeight="1">
      <c r="A381" s="19" t="s">
        <v>129</v>
      </c>
      <c r="B381" s="44"/>
      <c r="C381" s="20" t="s">
        <v>2024</v>
      </c>
      <c r="D381" s="41">
        <v>45691.0</v>
      </c>
    </row>
    <row r="382" ht="12.75" customHeight="1">
      <c r="A382" s="19" t="s">
        <v>19</v>
      </c>
      <c r="B382" s="44"/>
      <c r="C382" s="20" t="s">
        <v>2025</v>
      </c>
      <c r="D382" s="41">
        <v>45691.0</v>
      </c>
    </row>
    <row r="383" ht="12.75" customHeight="1">
      <c r="A383" s="19" t="s">
        <v>1599</v>
      </c>
      <c r="B383" s="44"/>
      <c r="C383" s="20" t="s">
        <v>2026</v>
      </c>
      <c r="D383" s="41">
        <v>45691.0</v>
      </c>
    </row>
    <row r="384" ht="12.75" customHeight="1">
      <c r="A384" s="19" t="s">
        <v>1137</v>
      </c>
      <c r="B384" s="44"/>
      <c r="C384" s="20" t="s">
        <v>2027</v>
      </c>
      <c r="D384" s="41">
        <v>45691.0</v>
      </c>
    </row>
    <row r="385" ht="12.75" customHeight="1">
      <c r="A385" s="19" t="s">
        <v>1340</v>
      </c>
      <c r="B385" s="44"/>
      <c r="C385" s="20" t="s">
        <v>2028</v>
      </c>
      <c r="D385" s="41">
        <v>45691.0</v>
      </c>
    </row>
    <row r="386" ht="12.75" customHeight="1">
      <c r="A386" s="19" t="s">
        <v>609</v>
      </c>
      <c r="B386" s="44"/>
      <c r="C386" s="20" t="s">
        <v>2029</v>
      </c>
      <c r="D386" s="41">
        <v>45691.0</v>
      </c>
    </row>
    <row r="387" ht="12.75" customHeight="1">
      <c r="A387" s="19" t="s">
        <v>1601</v>
      </c>
      <c r="B387" s="44"/>
      <c r="C387" s="20" t="s">
        <v>2030</v>
      </c>
      <c r="D387" s="41">
        <v>45691.0</v>
      </c>
    </row>
    <row r="388" ht="12.75" customHeight="1">
      <c r="A388" s="19" t="s">
        <v>795</v>
      </c>
      <c r="B388" s="44"/>
      <c r="C388" s="20" t="s">
        <v>2031</v>
      </c>
      <c r="D388" s="41">
        <v>45691.0</v>
      </c>
    </row>
    <row r="389" ht="12.75" customHeight="1">
      <c r="A389" s="19" t="s">
        <v>1147</v>
      </c>
      <c r="B389" s="44"/>
      <c r="C389" s="20" t="s">
        <v>2032</v>
      </c>
      <c r="D389" s="41">
        <v>45691.0</v>
      </c>
    </row>
    <row r="390" ht="12.75" customHeight="1">
      <c r="A390" s="19" t="s">
        <v>1038</v>
      </c>
      <c r="B390" s="44"/>
      <c r="C390" s="20" t="s">
        <v>2033</v>
      </c>
      <c r="D390" s="41">
        <v>45691.0</v>
      </c>
    </row>
    <row r="391" ht="12.75" customHeight="1">
      <c r="A391" s="19" t="s">
        <v>141</v>
      </c>
      <c r="B391" s="44"/>
      <c r="C391" s="20" t="s">
        <v>2034</v>
      </c>
      <c r="D391" s="41">
        <v>45691.0</v>
      </c>
    </row>
    <row r="392" ht="12.75" customHeight="1">
      <c r="A392" s="19" t="s">
        <v>144</v>
      </c>
      <c r="B392" s="44"/>
      <c r="C392" s="20" t="s">
        <v>2035</v>
      </c>
      <c r="D392" s="41">
        <v>45691.0</v>
      </c>
    </row>
    <row r="393" ht="12.75" customHeight="1">
      <c r="A393" s="19" t="s">
        <v>142</v>
      </c>
      <c r="B393" s="44"/>
      <c r="C393" s="20" t="s">
        <v>2036</v>
      </c>
      <c r="D393" s="41">
        <v>45691.0</v>
      </c>
    </row>
    <row r="394" ht="12.75" customHeight="1">
      <c r="A394" s="19" t="s">
        <v>151</v>
      </c>
      <c r="B394" s="44"/>
      <c r="C394" s="20" t="s">
        <v>2037</v>
      </c>
      <c r="D394" s="41">
        <v>45691.0</v>
      </c>
    </row>
    <row r="395" ht="12.75" customHeight="1">
      <c r="A395" s="19" t="s">
        <v>1377</v>
      </c>
      <c r="B395" s="44"/>
      <c r="C395" s="20" t="s">
        <v>2038</v>
      </c>
      <c r="D395" s="41">
        <v>45691.0</v>
      </c>
    </row>
    <row r="396" ht="12.75" customHeight="1">
      <c r="A396" s="19" t="s">
        <v>1171</v>
      </c>
      <c r="B396" s="44"/>
      <c r="C396" s="20" t="s">
        <v>2039</v>
      </c>
      <c r="D396" s="41">
        <v>45691.0</v>
      </c>
    </row>
    <row r="397" ht="12.75" customHeight="1">
      <c r="A397" s="19" t="s">
        <v>864</v>
      </c>
      <c r="B397" s="44"/>
      <c r="C397" s="20" t="s">
        <v>2040</v>
      </c>
      <c r="D397" s="41">
        <v>45691.0</v>
      </c>
    </row>
    <row r="398" ht="12.75" customHeight="1">
      <c r="A398" s="19" t="s">
        <v>1379</v>
      </c>
      <c r="B398" s="44"/>
      <c r="C398" s="20" t="s">
        <v>2041</v>
      </c>
      <c r="D398" s="41">
        <v>45691.0</v>
      </c>
    </row>
    <row r="399" ht="12.75" customHeight="1">
      <c r="A399" s="19" t="s">
        <v>1363</v>
      </c>
      <c r="B399" s="44"/>
      <c r="C399" s="20" t="s">
        <v>2042</v>
      </c>
      <c r="D399" s="41">
        <v>45691.0</v>
      </c>
    </row>
    <row r="400" ht="12.75" customHeight="1">
      <c r="A400" s="19" t="s">
        <v>866</v>
      </c>
      <c r="B400" s="44"/>
      <c r="C400" s="20" t="s">
        <v>2043</v>
      </c>
      <c r="D400" s="41">
        <v>45691.0</v>
      </c>
    </row>
    <row r="401" ht="12.75" customHeight="1">
      <c r="A401" s="19" t="s">
        <v>1449</v>
      </c>
      <c r="B401" s="44"/>
      <c r="C401" s="20" t="s">
        <v>2044</v>
      </c>
      <c r="D401" s="41">
        <v>45691.0</v>
      </c>
    </row>
    <row r="402" ht="12.75" customHeight="1">
      <c r="A402" s="19" t="s">
        <v>1250</v>
      </c>
      <c r="B402" s="44"/>
      <c r="C402" s="20" t="s">
        <v>2045</v>
      </c>
      <c r="D402" s="41">
        <v>45691.0</v>
      </c>
    </row>
    <row r="403" ht="12.75" customHeight="1">
      <c r="A403" s="19" t="s">
        <v>1248</v>
      </c>
      <c r="B403" s="44"/>
      <c r="C403" s="20" t="s">
        <v>2046</v>
      </c>
      <c r="D403" s="41">
        <v>45691.0</v>
      </c>
    </row>
    <row r="404" ht="12.75" customHeight="1">
      <c r="A404" s="19" t="s">
        <v>1605</v>
      </c>
      <c r="B404" s="44"/>
      <c r="C404" s="20" t="s">
        <v>2047</v>
      </c>
      <c r="D404" s="41">
        <v>45691.0</v>
      </c>
    </row>
    <row r="405" ht="12.75" customHeight="1">
      <c r="A405" s="19" t="s">
        <v>1373</v>
      </c>
      <c r="B405" s="44"/>
      <c r="C405" s="20" t="s">
        <v>2048</v>
      </c>
      <c r="D405" s="41">
        <v>45691.0</v>
      </c>
    </row>
    <row r="406" ht="12.75" customHeight="1">
      <c r="A406" s="19" t="s">
        <v>1369</v>
      </c>
      <c r="B406" s="44"/>
      <c r="C406" s="20" t="s">
        <v>2049</v>
      </c>
      <c r="D406" s="41">
        <v>45691.0</v>
      </c>
    </row>
    <row r="407" ht="12.75" customHeight="1">
      <c r="A407" s="19" t="s">
        <v>1175</v>
      </c>
      <c r="B407" s="44"/>
      <c r="C407" s="20" t="s">
        <v>2050</v>
      </c>
      <c r="D407" s="41">
        <v>45691.0</v>
      </c>
    </row>
    <row r="408" ht="12.75" customHeight="1">
      <c r="A408" s="19" t="s">
        <v>359</v>
      </c>
      <c r="B408" s="44"/>
      <c r="C408" s="20" t="s">
        <v>2051</v>
      </c>
      <c r="D408" s="41">
        <v>45691.0</v>
      </c>
    </row>
    <row r="409" ht="12.75" customHeight="1">
      <c r="A409" s="19" t="s">
        <v>862</v>
      </c>
      <c r="B409" s="44"/>
      <c r="C409" s="20" t="s">
        <v>2052</v>
      </c>
      <c r="D409" s="41">
        <v>45691.0</v>
      </c>
    </row>
    <row r="410" ht="12.75" customHeight="1">
      <c r="A410" s="19" t="s">
        <v>15</v>
      </c>
      <c r="B410" s="44"/>
      <c r="C410" s="20" t="s">
        <v>2053</v>
      </c>
      <c r="D410" s="41">
        <v>45691.0</v>
      </c>
    </row>
    <row r="411" ht="12.75" customHeight="1">
      <c r="A411" s="19" t="s">
        <v>277</v>
      </c>
      <c r="B411" s="44"/>
      <c r="C411" s="20" t="s">
        <v>2054</v>
      </c>
      <c r="D411" s="41">
        <v>45691.0</v>
      </c>
    </row>
    <row r="412" ht="12.75" customHeight="1">
      <c r="A412" s="19" t="s">
        <v>1608</v>
      </c>
      <c r="B412" s="44"/>
      <c r="C412" s="20" t="s">
        <v>2055</v>
      </c>
      <c r="D412" s="41">
        <v>45691.0</v>
      </c>
    </row>
    <row r="413" ht="12.75" customHeight="1">
      <c r="A413" s="19" t="s">
        <v>14</v>
      </c>
      <c r="B413" s="44"/>
      <c r="C413" s="20" t="s">
        <v>2056</v>
      </c>
      <c r="D413" s="41">
        <v>45691.0</v>
      </c>
    </row>
    <row r="414" ht="12.75" customHeight="1">
      <c r="A414" s="19" t="s">
        <v>1030</v>
      </c>
      <c r="B414" s="44"/>
      <c r="C414" s="20" t="s">
        <v>2057</v>
      </c>
      <c r="D414" s="41">
        <v>45691.0</v>
      </c>
    </row>
    <row r="415" ht="12.75" customHeight="1">
      <c r="A415" s="19" t="s">
        <v>1177</v>
      </c>
      <c r="B415" s="44"/>
      <c r="C415" s="20" t="s">
        <v>2058</v>
      </c>
      <c r="D415" s="41">
        <v>45691.0</v>
      </c>
    </row>
    <row r="416" ht="12.75" customHeight="1">
      <c r="A416" s="19" t="s">
        <v>1611</v>
      </c>
      <c r="B416" s="44"/>
      <c r="C416" s="20" t="s">
        <v>2059</v>
      </c>
      <c r="D416" s="41">
        <v>45691.0</v>
      </c>
    </row>
    <row r="417" ht="12.75" customHeight="1">
      <c r="A417" s="19" t="s">
        <v>780</v>
      </c>
      <c r="B417" s="44"/>
      <c r="C417" s="20" t="s">
        <v>2060</v>
      </c>
      <c r="D417" s="41">
        <v>45691.0</v>
      </c>
    </row>
    <row r="418" ht="12.75" customHeight="1">
      <c r="A418" s="19" t="s">
        <v>1408</v>
      </c>
      <c r="B418" s="44"/>
      <c r="C418" s="20" t="s">
        <v>2061</v>
      </c>
      <c r="D418" s="41">
        <v>45691.0</v>
      </c>
    </row>
    <row r="419" ht="12.75" customHeight="1">
      <c r="A419" s="19" t="s">
        <v>1179</v>
      </c>
      <c r="B419" s="44"/>
      <c r="C419" s="20" t="s">
        <v>2062</v>
      </c>
      <c r="D419" s="41">
        <v>45691.0</v>
      </c>
    </row>
    <row r="420" ht="12.75" customHeight="1">
      <c r="A420" s="19" t="s">
        <v>1173</v>
      </c>
      <c r="B420" s="44"/>
      <c r="C420" s="20" t="s">
        <v>2063</v>
      </c>
      <c r="D420" s="41">
        <v>45691.0</v>
      </c>
    </row>
    <row r="421" ht="12.75" customHeight="1">
      <c r="A421" s="19" t="s">
        <v>777</v>
      </c>
      <c r="B421" s="44"/>
      <c r="C421" s="20" t="s">
        <v>2064</v>
      </c>
      <c r="D421" s="41">
        <v>45691.0</v>
      </c>
    </row>
    <row r="422" ht="12.75" customHeight="1">
      <c r="A422" s="19" t="s">
        <v>853</v>
      </c>
      <c r="B422" s="44"/>
      <c r="C422" s="20" t="s">
        <v>2065</v>
      </c>
      <c r="D422" s="41">
        <v>45691.0</v>
      </c>
    </row>
    <row r="423" ht="12.75" customHeight="1">
      <c r="A423" s="19" t="s">
        <v>1615</v>
      </c>
      <c r="B423" s="44"/>
      <c r="C423" s="20" t="s">
        <v>2066</v>
      </c>
      <c r="D423" s="41">
        <v>45691.0</v>
      </c>
    </row>
    <row r="424" ht="12.75" customHeight="1">
      <c r="A424" s="19" t="s">
        <v>888</v>
      </c>
      <c r="B424" s="44"/>
      <c r="C424" s="20" t="s">
        <v>2067</v>
      </c>
      <c r="D424" s="41">
        <v>45691.0</v>
      </c>
    </row>
    <row r="425" ht="12.75" customHeight="1">
      <c r="A425" s="19" t="s">
        <v>1185</v>
      </c>
      <c r="B425" s="44"/>
      <c r="C425" s="20" t="s">
        <v>2068</v>
      </c>
      <c r="D425" s="41">
        <v>45691.0</v>
      </c>
    </row>
    <row r="426" ht="12.75" customHeight="1">
      <c r="A426" s="19" t="s">
        <v>1245</v>
      </c>
      <c r="B426" s="44"/>
      <c r="C426" s="20" t="s">
        <v>2069</v>
      </c>
      <c r="D426" s="41">
        <v>45691.0</v>
      </c>
    </row>
    <row r="427" ht="12.75" customHeight="1">
      <c r="A427" s="19" t="s">
        <v>886</v>
      </c>
      <c r="B427" s="44"/>
      <c r="C427" s="20" t="s">
        <v>2070</v>
      </c>
      <c r="D427" s="41">
        <v>45691.0</v>
      </c>
    </row>
    <row r="428" ht="12.75" customHeight="1">
      <c r="A428" s="19" t="s">
        <v>1617</v>
      </c>
      <c r="B428" s="44"/>
      <c r="C428" s="20" t="s">
        <v>2071</v>
      </c>
      <c r="D428" s="41">
        <v>45691.0</v>
      </c>
    </row>
    <row r="429" ht="12.75" customHeight="1">
      <c r="A429" s="19" t="s">
        <v>1183</v>
      </c>
      <c r="B429" s="44"/>
      <c r="C429" s="20" t="s">
        <v>2072</v>
      </c>
      <c r="D429" s="41">
        <v>45691.0</v>
      </c>
    </row>
    <row r="430" ht="12.75" customHeight="1">
      <c r="A430" s="19" t="s">
        <v>857</v>
      </c>
      <c r="B430" s="44"/>
      <c r="C430" s="20" t="s">
        <v>2073</v>
      </c>
      <c r="D430" s="41">
        <v>45691.0</v>
      </c>
    </row>
    <row r="431" ht="12.75" customHeight="1">
      <c r="A431" s="19" t="s">
        <v>146</v>
      </c>
      <c r="B431" s="44"/>
      <c r="C431" s="20" t="s">
        <v>2074</v>
      </c>
      <c r="D431" s="41">
        <v>45691.0</v>
      </c>
    </row>
    <row r="432" ht="12.75" customHeight="1">
      <c r="A432" s="19" t="s">
        <v>1619</v>
      </c>
      <c r="B432" s="44"/>
      <c r="C432" s="20" t="s">
        <v>2075</v>
      </c>
      <c r="D432" s="41">
        <v>45691.0</v>
      </c>
    </row>
    <row r="433" ht="12.75" customHeight="1">
      <c r="A433" s="19" t="s">
        <v>1352</v>
      </c>
      <c r="B433" s="44"/>
      <c r="C433" s="20" t="s">
        <v>2076</v>
      </c>
      <c r="D433" s="41">
        <v>45691.0</v>
      </c>
    </row>
    <row r="434" ht="12.75" customHeight="1">
      <c r="A434" s="19" t="s">
        <v>426</v>
      </c>
      <c r="B434" s="44"/>
      <c r="C434" s="20" t="s">
        <v>2077</v>
      </c>
      <c r="D434" s="41">
        <v>45691.0</v>
      </c>
    </row>
    <row r="435" ht="12.75" customHeight="1">
      <c r="A435" s="19" t="s">
        <v>1468</v>
      </c>
      <c r="B435" s="44"/>
      <c r="C435" s="20" t="s">
        <v>2078</v>
      </c>
      <c r="D435" s="41">
        <v>45691.0</v>
      </c>
    </row>
    <row r="436" ht="12.75" customHeight="1">
      <c r="A436" s="19" t="s">
        <v>881</v>
      </c>
      <c r="B436" s="44"/>
      <c r="C436" s="20" t="s">
        <v>2079</v>
      </c>
      <c r="D436" s="41">
        <v>45691.0</v>
      </c>
    </row>
    <row r="437" ht="12.75" customHeight="1">
      <c r="A437" s="19" t="s">
        <v>1357</v>
      </c>
      <c r="B437" s="44"/>
      <c r="C437" s="20" t="s">
        <v>2080</v>
      </c>
      <c r="D437" s="41">
        <v>45691.0</v>
      </c>
    </row>
    <row r="438" ht="12.75" customHeight="1">
      <c r="A438" s="19" t="s">
        <v>870</v>
      </c>
      <c r="B438" s="44"/>
      <c r="C438" s="20" t="s">
        <v>2081</v>
      </c>
      <c r="D438" s="41">
        <v>45691.0</v>
      </c>
    </row>
    <row r="439" ht="12.75" customHeight="1">
      <c r="A439" s="19" t="s">
        <v>1239</v>
      </c>
      <c r="B439" s="44"/>
      <c r="C439" s="20" t="s">
        <v>2082</v>
      </c>
      <c r="D439" s="41">
        <v>45691.0</v>
      </c>
    </row>
    <row r="440" ht="12.75" customHeight="1">
      <c r="A440" s="19" t="s">
        <v>1241</v>
      </c>
      <c r="B440" s="44"/>
      <c r="C440" s="20" t="s">
        <v>2083</v>
      </c>
      <c r="D440" s="41">
        <v>45691.0</v>
      </c>
    </row>
    <row r="441" ht="12.75" customHeight="1">
      <c r="A441" s="19" t="s">
        <v>1447</v>
      </c>
      <c r="B441" s="44"/>
      <c r="C441" s="20" t="s">
        <v>2084</v>
      </c>
      <c r="D441" s="41">
        <v>45691.0</v>
      </c>
    </row>
    <row r="442" ht="12.75" customHeight="1">
      <c r="A442" s="19" t="s">
        <v>1443</v>
      </c>
      <c r="B442" s="44"/>
      <c r="C442" s="20" t="s">
        <v>2085</v>
      </c>
      <c r="D442" s="41">
        <v>45691.0</v>
      </c>
    </row>
    <row r="443" ht="12.75" customHeight="1">
      <c r="A443" s="19" t="s">
        <v>486</v>
      </c>
      <c r="B443" s="44"/>
      <c r="C443" s="20" t="s">
        <v>2086</v>
      </c>
      <c r="D443" s="41">
        <v>45691.0</v>
      </c>
    </row>
    <row r="444" ht="12.75" customHeight="1">
      <c r="A444" s="19" t="s">
        <v>1165</v>
      </c>
      <c r="B444" s="44"/>
      <c r="C444" s="20" t="s">
        <v>2087</v>
      </c>
      <c r="D444" s="41">
        <v>45691.0</v>
      </c>
    </row>
    <row r="445" ht="12.75" customHeight="1">
      <c r="A445" s="19" t="s">
        <v>831</v>
      </c>
      <c r="B445" s="44"/>
      <c r="C445" s="20" t="s">
        <v>2088</v>
      </c>
      <c r="D445" s="41">
        <v>45691.0</v>
      </c>
    </row>
    <row r="446" ht="12.75" customHeight="1">
      <c r="A446" s="19" t="s">
        <v>825</v>
      </c>
      <c r="B446" s="44"/>
      <c r="C446" s="20" t="s">
        <v>2089</v>
      </c>
      <c r="D446" s="41">
        <v>45691.0</v>
      </c>
    </row>
    <row r="447" ht="12.75" customHeight="1">
      <c r="A447" s="19" t="s">
        <v>355</v>
      </c>
      <c r="B447" s="44"/>
      <c r="C447" s="20" t="s">
        <v>2090</v>
      </c>
      <c r="D447" s="41">
        <v>45691.0</v>
      </c>
    </row>
    <row r="448" ht="12.75" customHeight="1">
      <c r="A448" s="19" t="s">
        <v>896</v>
      </c>
      <c r="B448" s="44"/>
      <c r="C448" s="20" t="s">
        <v>2091</v>
      </c>
      <c r="D448" s="41">
        <v>45691.0</v>
      </c>
    </row>
    <row r="449" ht="12.75" customHeight="1">
      <c r="A449" s="19" t="s">
        <v>1350</v>
      </c>
      <c r="B449" s="44"/>
      <c r="C449" s="20" t="s">
        <v>2092</v>
      </c>
      <c r="D449" s="41">
        <v>45691.0</v>
      </c>
    </row>
    <row r="450" ht="12.75" customHeight="1">
      <c r="A450" s="19" t="s">
        <v>1624</v>
      </c>
      <c r="B450" s="44"/>
      <c r="C450" s="20" t="s">
        <v>2093</v>
      </c>
      <c r="D450" s="41">
        <v>45691.0</v>
      </c>
    </row>
    <row r="451" ht="12.75" customHeight="1">
      <c r="A451" s="19" t="s">
        <v>1252</v>
      </c>
      <c r="B451" s="44"/>
      <c r="C451" s="20" t="s">
        <v>2094</v>
      </c>
      <c r="D451" s="41">
        <v>45691.0</v>
      </c>
    </row>
    <row r="452" ht="12.75" customHeight="1">
      <c r="A452" s="19" t="s">
        <v>1445</v>
      </c>
      <c r="B452" s="44"/>
      <c r="C452" s="20" t="s">
        <v>2095</v>
      </c>
      <c r="D452" s="41">
        <v>45691.0</v>
      </c>
    </row>
    <row r="453" ht="12.75" customHeight="1">
      <c r="A453" s="19" t="s">
        <v>1149</v>
      </c>
      <c r="B453" s="44"/>
      <c r="C453" s="20" t="s">
        <v>2096</v>
      </c>
      <c r="D453" s="41">
        <v>45691.0</v>
      </c>
    </row>
    <row r="454" ht="12.75" customHeight="1">
      <c r="A454" s="19" t="s">
        <v>898</v>
      </c>
      <c r="B454" s="44"/>
      <c r="C454" s="20" t="s">
        <v>2097</v>
      </c>
      <c r="D454" s="41">
        <v>45691.0</v>
      </c>
    </row>
    <row r="455" ht="12.75" customHeight="1">
      <c r="A455" s="19" t="s">
        <v>126</v>
      </c>
      <c r="B455" s="44"/>
      <c r="C455" s="20" t="s">
        <v>2098</v>
      </c>
      <c r="D455" s="41">
        <v>45691.0</v>
      </c>
    </row>
    <row r="456" ht="12.75" customHeight="1">
      <c r="A456" s="19" t="s">
        <v>39</v>
      </c>
      <c r="B456" s="44"/>
      <c r="C456" s="20" t="s">
        <v>2099</v>
      </c>
      <c r="D456" s="41">
        <v>45691.0</v>
      </c>
    </row>
    <row r="457" ht="12.75" customHeight="1">
      <c r="A457" s="19" t="s">
        <v>884</v>
      </c>
      <c r="B457" s="44"/>
      <c r="C457" s="20" t="s">
        <v>2100</v>
      </c>
      <c r="D457" s="41">
        <v>45691.0</v>
      </c>
    </row>
    <row r="458" ht="12.75" customHeight="1">
      <c r="A458" s="19" t="s">
        <v>1151</v>
      </c>
      <c r="B458" s="44"/>
      <c r="C458" s="20" t="s">
        <v>2101</v>
      </c>
      <c r="D458" s="41">
        <v>45691.0</v>
      </c>
    </row>
    <row r="459" ht="12.75" customHeight="1">
      <c r="A459" s="19" t="s">
        <v>829</v>
      </c>
      <c r="B459" s="44"/>
      <c r="C459" s="20" t="s">
        <v>2102</v>
      </c>
      <c r="D459" s="41">
        <v>45691.0</v>
      </c>
    </row>
    <row r="460" ht="12.75" customHeight="1">
      <c r="A460" s="19" t="s">
        <v>1210</v>
      </c>
      <c r="B460" s="44"/>
      <c r="C460" s="20" t="s">
        <v>2103</v>
      </c>
      <c r="D460" s="41">
        <v>45691.0</v>
      </c>
    </row>
    <row r="461" ht="12.75" customHeight="1">
      <c r="A461" s="19" t="s">
        <v>1025</v>
      </c>
      <c r="B461" s="44"/>
      <c r="C461" s="20" t="s">
        <v>2104</v>
      </c>
      <c r="D461" s="41">
        <v>45691.0</v>
      </c>
    </row>
    <row r="462" ht="12.75" customHeight="1">
      <c r="A462" s="19" t="s">
        <v>766</v>
      </c>
      <c r="B462" s="44"/>
      <c r="C462" s="20" t="s">
        <v>2105</v>
      </c>
      <c r="D462" s="41">
        <v>45691.0</v>
      </c>
    </row>
    <row r="463" ht="12.75" customHeight="1">
      <c r="A463" s="19" t="s">
        <v>1402</v>
      </c>
      <c r="B463" s="44"/>
      <c r="C463" s="20" t="s">
        <v>2106</v>
      </c>
      <c r="D463" s="41">
        <v>45691.0</v>
      </c>
    </row>
    <row r="464" ht="12.75" customHeight="1">
      <c r="A464" s="19" t="s">
        <v>230</v>
      </c>
      <c r="B464" s="44"/>
      <c r="C464" s="20" t="s">
        <v>2107</v>
      </c>
      <c r="D464" s="41">
        <v>45691.0</v>
      </c>
    </row>
    <row r="465" ht="12.75" customHeight="1">
      <c r="A465" s="19" t="s">
        <v>1023</v>
      </c>
      <c r="B465" s="44"/>
      <c r="C465" s="20" t="s">
        <v>2108</v>
      </c>
      <c r="D465" s="41">
        <v>45691.0</v>
      </c>
    </row>
    <row r="466" ht="12.75" customHeight="1">
      <c r="A466" s="19" t="s">
        <v>1081</v>
      </c>
      <c r="B466" s="44"/>
      <c r="C466" s="20" t="s">
        <v>2109</v>
      </c>
      <c r="D466" s="41">
        <v>45691.0</v>
      </c>
    </row>
    <row r="467" ht="12.75" customHeight="1">
      <c r="A467" s="19" t="s">
        <v>1069</v>
      </c>
      <c r="B467" s="44"/>
      <c r="C467" s="20" t="s">
        <v>2110</v>
      </c>
      <c r="D467" s="41">
        <v>45691.0</v>
      </c>
    </row>
    <row r="468" ht="12.75" customHeight="1">
      <c r="A468" s="19" t="s">
        <v>89</v>
      </c>
      <c r="B468" s="44"/>
      <c r="C468" s="20" t="s">
        <v>2111</v>
      </c>
      <c r="D468" s="41">
        <v>45691.0</v>
      </c>
    </row>
    <row r="469" ht="12.75" customHeight="1">
      <c r="A469" s="19" t="s">
        <v>841</v>
      </c>
      <c r="B469" s="44"/>
      <c r="C469" s="20" t="s">
        <v>2112</v>
      </c>
      <c r="D469" s="41">
        <v>45691.0</v>
      </c>
    </row>
    <row r="470" ht="12.75" customHeight="1">
      <c r="A470" s="19" t="s">
        <v>124</v>
      </c>
      <c r="B470" s="44"/>
      <c r="C470" s="20" t="s">
        <v>2113</v>
      </c>
      <c r="D470" s="41">
        <v>45691.0</v>
      </c>
    </row>
    <row r="471" ht="12.75" customHeight="1">
      <c r="A471" s="19" t="s">
        <v>1628</v>
      </c>
      <c r="B471" s="44"/>
      <c r="C471" s="20" t="s">
        <v>2114</v>
      </c>
      <c r="D471" s="41">
        <v>45691.0</v>
      </c>
    </row>
    <row r="472" ht="12.75" customHeight="1">
      <c r="A472" s="19" t="s">
        <v>1387</v>
      </c>
      <c r="B472" s="44"/>
      <c r="C472" s="20" t="s">
        <v>2115</v>
      </c>
      <c r="D472" s="41">
        <v>45691.0</v>
      </c>
    </row>
    <row r="473" ht="12.75" customHeight="1">
      <c r="A473" s="19" t="s">
        <v>476</v>
      </c>
      <c r="B473" s="44"/>
      <c r="C473" s="20" t="s">
        <v>2116</v>
      </c>
      <c r="D473" s="41">
        <v>45691.0</v>
      </c>
    </row>
    <row r="474" ht="12.75" customHeight="1">
      <c r="A474" s="19" t="s">
        <v>1630</v>
      </c>
      <c r="B474" s="44"/>
      <c r="C474" s="20" t="s">
        <v>2117</v>
      </c>
      <c r="D474" s="41">
        <v>45691.0</v>
      </c>
    </row>
    <row r="475" ht="12.75" customHeight="1">
      <c r="A475" s="19" t="s">
        <v>1006</v>
      </c>
      <c r="B475" s="44"/>
      <c r="C475" s="20" t="s">
        <v>2118</v>
      </c>
      <c r="D475" s="41">
        <v>45691.0</v>
      </c>
    </row>
    <row r="476" ht="12.75" customHeight="1">
      <c r="A476" s="19" t="s">
        <v>49</v>
      </c>
      <c r="B476" s="44"/>
      <c r="C476" s="20" t="s">
        <v>2119</v>
      </c>
      <c r="D476" s="41">
        <v>45691.0</v>
      </c>
    </row>
    <row r="477" ht="12.75" customHeight="1">
      <c r="A477" s="19" t="s">
        <v>958</v>
      </c>
      <c r="B477" s="44"/>
      <c r="C477" s="20" t="s">
        <v>2120</v>
      </c>
      <c r="D477" s="41">
        <v>45691.0</v>
      </c>
    </row>
    <row r="478" ht="12.75" customHeight="1">
      <c r="A478" s="19" t="s">
        <v>21</v>
      </c>
      <c r="B478" s="44"/>
      <c r="C478" s="20" t="s">
        <v>2121</v>
      </c>
      <c r="D478" s="41">
        <v>45691.0</v>
      </c>
    </row>
    <row r="479" ht="12.75" customHeight="1">
      <c r="A479" s="19" t="s">
        <v>537</v>
      </c>
      <c r="B479" s="44"/>
      <c r="C479" s="20" t="s">
        <v>2122</v>
      </c>
      <c r="D479" s="41">
        <v>45691.0</v>
      </c>
    </row>
    <row r="480" ht="12.75" customHeight="1">
      <c r="A480" s="19" t="s">
        <v>843</v>
      </c>
      <c r="B480" s="44"/>
      <c r="C480" s="20" t="s">
        <v>2123</v>
      </c>
      <c r="D480" s="41">
        <v>45691.0</v>
      </c>
    </row>
    <row r="481" ht="12.75" customHeight="1">
      <c r="A481" s="19" t="s">
        <v>1072</v>
      </c>
      <c r="B481" s="44"/>
      <c r="C481" s="20" t="s">
        <v>2124</v>
      </c>
      <c r="D481" s="41">
        <v>45691.0</v>
      </c>
    </row>
    <row r="482" ht="12.75" customHeight="1">
      <c r="A482" s="19" t="s">
        <v>1010</v>
      </c>
      <c r="B482" s="44"/>
      <c r="C482" s="20" t="s">
        <v>2125</v>
      </c>
      <c r="D482" s="41">
        <v>45691.0</v>
      </c>
    </row>
    <row r="483" ht="12.75" customHeight="1">
      <c r="A483" s="19" t="s">
        <v>1074</v>
      </c>
      <c r="B483" s="44"/>
      <c r="C483" s="20" t="s">
        <v>2126</v>
      </c>
      <c r="D483" s="41">
        <v>45691.0</v>
      </c>
    </row>
    <row r="484" ht="12.75" customHeight="1">
      <c r="A484" s="19" t="s">
        <v>459</v>
      </c>
      <c r="B484" s="44"/>
      <c r="C484" s="20" t="s">
        <v>2127</v>
      </c>
      <c r="D484" s="41">
        <v>45691.0</v>
      </c>
    </row>
    <row r="485" ht="12.75" customHeight="1">
      <c r="A485" s="19" t="s">
        <v>961</v>
      </c>
      <c r="B485" s="44"/>
      <c r="C485" s="20" t="s">
        <v>2128</v>
      </c>
      <c r="D485" s="41">
        <v>45691.0</v>
      </c>
    </row>
    <row r="486" ht="12.75" customHeight="1">
      <c r="A486" s="19" t="s">
        <v>1470</v>
      </c>
      <c r="B486" s="44"/>
      <c r="C486" s="20" t="s">
        <v>2129</v>
      </c>
      <c r="D486" s="41">
        <v>45691.0</v>
      </c>
    </row>
    <row r="487" ht="12.75" customHeight="1">
      <c r="A487" s="19" t="s">
        <v>1632</v>
      </c>
      <c r="B487" s="44"/>
      <c r="C487" s="20" t="s">
        <v>2130</v>
      </c>
      <c r="D487" s="41">
        <v>45691.0</v>
      </c>
    </row>
    <row r="488" ht="12.75" customHeight="1">
      <c r="A488" s="19" t="s">
        <v>1076</v>
      </c>
      <c r="B488" s="44"/>
      <c r="C488" s="20" t="s">
        <v>2131</v>
      </c>
      <c r="D488" s="41">
        <v>45691.0</v>
      </c>
    </row>
    <row r="489" ht="12.75" customHeight="1">
      <c r="A489" s="19" t="s">
        <v>1454</v>
      </c>
      <c r="B489" s="44"/>
      <c r="C489" s="20" t="s">
        <v>2132</v>
      </c>
      <c r="D489" s="41">
        <v>45691.0</v>
      </c>
    </row>
    <row r="490" ht="12.75" customHeight="1">
      <c r="A490" s="19" t="s">
        <v>1291</v>
      </c>
      <c r="B490" s="44"/>
      <c r="C490" s="20" t="s">
        <v>2133</v>
      </c>
      <c r="D490" s="41">
        <v>45691.0</v>
      </c>
    </row>
    <row r="491" ht="12.75" customHeight="1">
      <c r="A491" s="19" t="s">
        <v>1271</v>
      </c>
      <c r="B491" s="44"/>
      <c r="C491" s="20" t="s">
        <v>2134</v>
      </c>
      <c r="D491" s="41">
        <v>45691.0</v>
      </c>
    </row>
    <row r="492" ht="12.75" customHeight="1">
      <c r="A492" s="19" t="s">
        <v>1015</v>
      </c>
      <c r="B492" s="44"/>
      <c r="C492" s="20" t="s">
        <v>2135</v>
      </c>
      <c r="D492" s="41">
        <v>45691.0</v>
      </c>
    </row>
    <row r="493" ht="12.75" customHeight="1">
      <c r="A493" s="19" t="s">
        <v>1634</v>
      </c>
      <c r="B493" s="44"/>
      <c r="C493" s="20" t="s">
        <v>2136</v>
      </c>
      <c r="D493" s="41">
        <v>45691.0</v>
      </c>
    </row>
    <row r="494" ht="12.75" customHeight="1">
      <c r="A494" s="19" t="s">
        <v>1636</v>
      </c>
      <c r="B494" s="44"/>
      <c r="C494" s="20" t="s">
        <v>2137</v>
      </c>
      <c r="D494" s="41">
        <v>45691.0</v>
      </c>
    </row>
    <row r="495" ht="12.75" customHeight="1">
      <c r="A495" s="19" t="s">
        <v>835</v>
      </c>
      <c r="B495" s="44"/>
      <c r="C495" s="20" t="s">
        <v>2138</v>
      </c>
      <c r="D495" s="41">
        <v>45691.0</v>
      </c>
    </row>
    <row r="496" ht="12.75" customHeight="1">
      <c r="A496" s="19" t="s">
        <v>1021</v>
      </c>
      <c r="B496" s="44"/>
      <c r="C496" s="20" t="s">
        <v>2139</v>
      </c>
      <c r="D496" s="41">
        <v>45691.0</v>
      </c>
    </row>
    <row r="497" ht="12.75" customHeight="1">
      <c r="A497" s="19" t="s">
        <v>1412</v>
      </c>
      <c r="B497" s="44"/>
      <c r="C497" s="20" t="s">
        <v>2140</v>
      </c>
      <c r="D497" s="41">
        <v>45691.0</v>
      </c>
    </row>
    <row r="498" ht="12.75" customHeight="1">
      <c r="A498" s="19" t="s">
        <v>1214</v>
      </c>
      <c r="B498" s="44"/>
      <c r="C498" s="20" t="s">
        <v>2141</v>
      </c>
      <c r="D498" s="41">
        <v>45691.0</v>
      </c>
    </row>
    <row r="499" ht="12.75" customHeight="1">
      <c r="A499" s="19" t="s">
        <v>1638</v>
      </c>
      <c r="B499" s="44"/>
      <c r="C499" s="20" t="s">
        <v>2142</v>
      </c>
      <c r="D499" s="41">
        <v>45691.0</v>
      </c>
    </row>
    <row r="500" ht="12.75" customHeight="1">
      <c r="A500" s="19" t="s">
        <v>17</v>
      </c>
      <c r="B500" s="44"/>
      <c r="C500" s="20" t="s">
        <v>2143</v>
      </c>
      <c r="D500" s="41">
        <v>45691.0</v>
      </c>
    </row>
    <row r="501" ht="12.75" customHeight="1">
      <c r="A501" s="19" t="s">
        <v>1641</v>
      </c>
      <c r="B501" s="44"/>
      <c r="C501" s="20" t="s">
        <v>2144</v>
      </c>
      <c r="D501" s="41">
        <v>45691.0</v>
      </c>
    </row>
    <row r="502" ht="12.75" customHeight="1">
      <c r="A502" s="19" t="s">
        <v>1233</v>
      </c>
      <c r="B502" s="44"/>
      <c r="C502" s="20" t="s">
        <v>2145</v>
      </c>
      <c r="D502" s="41">
        <v>45691.0</v>
      </c>
    </row>
    <row r="503" ht="12.75" customHeight="1">
      <c r="A503" s="19" t="s">
        <v>1163</v>
      </c>
      <c r="B503" s="44"/>
      <c r="C503" s="20" t="s">
        <v>2146</v>
      </c>
      <c r="D503" s="41">
        <v>45691.0</v>
      </c>
    </row>
    <row r="504" ht="12.75" customHeight="1">
      <c r="A504" s="19" t="s">
        <v>1466</v>
      </c>
      <c r="B504" s="44"/>
      <c r="C504" s="20" t="s">
        <v>2147</v>
      </c>
      <c r="D504" s="41">
        <v>45691.0</v>
      </c>
    </row>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autoFilter ref="$G$1:$K$19">
    <sortState ref="G1:K19">
      <sortCondition descending="1" ref="K1:K19"/>
    </sortState>
  </autoFilter>
  <drawing r:id="rId1"/>
</worksheet>
</file>

<file path=xl/worksheets/sheet4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5.5"/>
    <col customWidth="1" min="2" max="2" width="73.63"/>
  </cols>
  <sheetData>
    <row r="1">
      <c r="A1" s="60" t="s">
        <v>623</v>
      </c>
      <c r="B1" s="60" t="s">
        <v>624</v>
      </c>
      <c r="C1" s="60" t="s">
        <v>625</v>
      </c>
    </row>
    <row r="2">
      <c r="A2" s="60" t="s">
        <v>173</v>
      </c>
      <c r="B2" s="60" t="s">
        <v>20988</v>
      </c>
      <c r="C2" s="62">
        <v>75.0</v>
      </c>
    </row>
    <row r="3">
      <c r="A3" s="63" t="s">
        <v>658</v>
      </c>
      <c r="B3" s="63" t="s">
        <v>20989</v>
      </c>
      <c r="C3" s="65">
        <v>75.0</v>
      </c>
      <c r="D3" s="66"/>
      <c r="E3" s="66"/>
      <c r="F3" s="66"/>
      <c r="G3" s="66"/>
      <c r="H3" s="66"/>
      <c r="I3" s="66"/>
      <c r="J3" s="66"/>
      <c r="K3" s="66"/>
      <c r="L3" s="66"/>
      <c r="M3" s="66"/>
      <c r="N3" s="66"/>
      <c r="O3" s="66"/>
      <c r="P3" s="66"/>
      <c r="Q3" s="66"/>
      <c r="R3" s="66"/>
      <c r="S3" s="66"/>
      <c r="T3" s="66"/>
      <c r="U3" s="66"/>
      <c r="V3" s="66"/>
      <c r="W3" s="66"/>
      <c r="X3" s="66"/>
      <c r="Y3" s="66"/>
      <c r="Z3" s="66"/>
    </row>
    <row r="4">
      <c r="A4" s="67" t="s">
        <v>647</v>
      </c>
      <c r="B4" s="67" t="s">
        <v>20990</v>
      </c>
      <c r="C4" s="69">
        <v>75.0</v>
      </c>
      <c r="D4" s="70"/>
      <c r="E4" s="70"/>
      <c r="F4" s="70"/>
      <c r="G4" s="70"/>
      <c r="H4" s="70"/>
      <c r="I4" s="70"/>
      <c r="J4" s="70"/>
      <c r="K4" s="70"/>
      <c r="L4" s="70"/>
      <c r="M4" s="70"/>
      <c r="N4" s="70"/>
      <c r="O4" s="70"/>
      <c r="P4" s="70"/>
      <c r="Q4" s="70"/>
      <c r="R4" s="70"/>
      <c r="S4" s="70"/>
      <c r="T4" s="70"/>
      <c r="U4" s="70"/>
      <c r="V4" s="70"/>
      <c r="W4" s="70"/>
      <c r="X4" s="70"/>
      <c r="Y4" s="70"/>
      <c r="Z4" s="70"/>
    </row>
    <row r="5">
      <c r="A5" s="60" t="s">
        <v>654</v>
      </c>
      <c r="B5" s="60" t="s">
        <v>20991</v>
      </c>
      <c r="C5" s="62">
        <v>75.0</v>
      </c>
    </row>
    <row r="6">
      <c r="A6" s="60" t="s">
        <v>309</v>
      </c>
      <c r="B6" s="60" t="s">
        <v>20992</v>
      </c>
      <c r="C6" s="62">
        <v>75.0</v>
      </c>
    </row>
    <row r="7">
      <c r="A7" s="71" t="s">
        <v>111</v>
      </c>
      <c r="B7" s="71" t="s">
        <v>20993</v>
      </c>
      <c r="C7" s="73">
        <v>75.0</v>
      </c>
      <c r="D7" s="74"/>
      <c r="E7" s="74"/>
      <c r="F7" s="74"/>
      <c r="G7" s="74"/>
      <c r="H7" s="74"/>
      <c r="I7" s="74"/>
      <c r="J7" s="74"/>
      <c r="K7" s="74"/>
      <c r="L7" s="74"/>
      <c r="M7" s="74"/>
      <c r="N7" s="74"/>
      <c r="O7" s="74"/>
      <c r="P7" s="74"/>
      <c r="Q7" s="74"/>
      <c r="R7" s="74"/>
      <c r="S7" s="74"/>
      <c r="T7" s="74"/>
      <c r="U7" s="74"/>
      <c r="V7" s="74"/>
      <c r="W7" s="74"/>
      <c r="X7" s="74"/>
      <c r="Y7" s="74"/>
      <c r="Z7" s="74"/>
    </row>
    <row r="8">
      <c r="A8" s="60" t="s">
        <v>107</v>
      </c>
      <c r="B8" s="60" t="s">
        <v>20994</v>
      </c>
      <c r="C8" s="62">
        <v>75.0</v>
      </c>
    </row>
    <row r="9">
      <c r="A9" s="60" t="s">
        <v>642</v>
      </c>
      <c r="B9" s="60" t="s">
        <v>20995</v>
      </c>
      <c r="C9" s="62">
        <v>75.0</v>
      </c>
    </row>
    <row r="10">
      <c r="A10" s="63" t="s">
        <v>742</v>
      </c>
      <c r="B10" s="63" t="s">
        <v>20996</v>
      </c>
      <c r="C10" s="65">
        <v>75.0</v>
      </c>
      <c r="D10" s="66"/>
      <c r="E10" s="66"/>
      <c r="F10" s="66"/>
      <c r="G10" s="66"/>
      <c r="H10" s="66"/>
      <c r="I10" s="66"/>
      <c r="J10" s="66"/>
      <c r="K10" s="66"/>
      <c r="L10" s="66"/>
      <c r="M10" s="66"/>
      <c r="N10" s="66"/>
      <c r="O10" s="66"/>
      <c r="P10" s="66"/>
      <c r="Q10" s="66"/>
      <c r="R10" s="66"/>
      <c r="S10" s="66"/>
      <c r="T10" s="66"/>
      <c r="U10" s="66"/>
      <c r="V10" s="66"/>
      <c r="W10" s="66"/>
      <c r="X10" s="66"/>
      <c r="Y10" s="66"/>
      <c r="Z10" s="66"/>
    </row>
    <row r="11">
      <c r="A11" s="60" t="s">
        <v>188</v>
      </c>
      <c r="B11" s="60" t="s">
        <v>20997</v>
      </c>
      <c r="C11" s="62">
        <v>75.0</v>
      </c>
    </row>
    <row r="12">
      <c r="A12" s="60" t="s">
        <v>103</v>
      </c>
      <c r="B12" s="60" t="s">
        <v>20998</v>
      </c>
      <c r="C12" s="62">
        <v>75.0</v>
      </c>
    </row>
    <row r="13">
      <c r="A13" s="60" t="s">
        <v>731</v>
      </c>
      <c r="B13" s="60" t="s">
        <v>20999</v>
      </c>
      <c r="C13" s="62">
        <v>75.0</v>
      </c>
    </row>
    <row r="14">
      <c r="A14" s="60" t="s">
        <v>194</v>
      </c>
      <c r="B14" s="60" t="s">
        <v>21000</v>
      </c>
      <c r="C14" s="62">
        <v>75.0</v>
      </c>
    </row>
    <row r="15">
      <c r="A15" s="60" t="s">
        <v>115</v>
      </c>
      <c r="B15" s="60" t="s">
        <v>21001</v>
      </c>
      <c r="C15" s="62">
        <v>75.0</v>
      </c>
    </row>
    <row r="16">
      <c r="A16" s="67" t="s">
        <v>717</v>
      </c>
      <c r="B16" s="67" t="s">
        <v>21002</v>
      </c>
      <c r="C16" s="69">
        <v>75.0</v>
      </c>
      <c r="D16" s="70"/>
      <c r="E16" s="70"/>
      <c r="F16" s="70"/>
      <c r="G16" s="70"/>
      <c r="H16" s="70"/>
      <c r="I16" s="70"/>
      <c r="J16" s="70"/>
      <c r="K16" s="70"/>
      <c r="L16" s="70"/>
      <c r="M16" s="70"/>
      <c r="N16" s="70"/>
      <c r="O16" s="70"/>
      <c r="P16" s="70"/>
      <c r="Q16" s="70"/>
      <c r="R16" s="70"/>
      <c r="S16" s="70"/>
      <c r="T16" s="70"/>
      <c r="U16" s="70"/>
      <c r="V16" s="70"/>
      <c r="W16" s="70"/>
      <c r="X16" s="70"/>
      <c r="Y16" s="70"/>
      <c r="Z16" s="70"/>
    </row>
    <row r="17">
      <c r="A17" s="60" t="s">
        <v>156</v>
      </c>
      <c r="B17" s="60" t="s">
        <v>21003</v>
      </c>
      <c r="C17" s="62">
        <v>75.0</v>
      </c>
    </row>
    <row r="18">
      <c r="A18" s="60" t="s">
        <v>119</v>
      </c>
      <c r="B18" s="60" t="s">
        <v>21004</v>
      </c>
      <c r="C18" s="62">
        <v>75.0</v>
      </c>
    </row>
    <row r="19">
      <c r="A19" s="60" t="s">
        <v>638</v>
      </c>
      <c r="B19" s="60" t="s">
        <v>21005</v>
      </c>
      <c r="C19" s="62">
        <v>70.0</v>
      </c>
    </row>
    <row r="20">
      <c r="A20" s="60" t="s">
        <v>656</v>
      </c>
      <c r="B20" s="60" t="s">
        <v>21006</v>
      </c>
      <c r="C20" s="62">
        <v>70.0</v>
      </c>
    </row>
    <row r="21">
      <c r="A21" s="60" t="s">
        <v>312</v>
      </c>
      <c r="B21" s="60" t="s">
        <v>21007</v>
      </c>
      <c r="C21" s="62">
        <v>70.0</v>
      </c>
    </row>
    <row r="22">
      <c r="A22" s="60" t="s">
        <v>652</v>
      </c>
      <c r="B22" s="60" t="s">
        <v>21008</v>
      </c>
      <c r="C22" s="62">
        <v>70.0</v>
      </c>
    </row>
    <row r="23">
      <c r="A23" s="60" t="s">
        <v>751</v>
      </c>
      <c r="B23" s="60" t="s">
        <v>21009</v>
      </c>
      <c r="C23" s="62">
        <v>70.0</v>
      </c>
    </row>
    <row r="24">
      <c r="A24" s="60" t="s">
        <v>177</v>
      </c>
      <c r="B24" s="60" t="s">
        <v>21010</v>
      </c>
      <c r="C24" s="62">
        <v>70.0</v>
      </c>
    </row>
    <row r="25">
      <c r="A25" s="60" t="s">
        <v>634</v>
      </c>
      <c r="B25" s="60" t="s">
        <v>21011</v>
      </c>
      <c r="C25" s="62">
        <v>70.0</v>
      </c>
    </row>
    <row r="26">
      <c r="A26" s="60" t="s">
        <v>684</v>
      </c>
      <c r="B26" s="60" t="s">
        <v>21012</v>
      </c>
      <c r="C26" s="62">
        <v>70.0</v>
      </c>
    </row>
    <row r="27">
      <c r="A27" s="60" t="s">
        <v>686</v>
      </c>
      <c r="B27" s="60" t="s">
        <v>21013</v>
      </c>
      <c r="C27" s="62">
        <v>70.0</v>
      </c>
    </row>
    <row r="28">
      <c r="A28" s="60" t="s">
        <v>740</v>
      </c>
      <c r="B28" s="60" t="s">
        <v>21014</v>
      </c>
      <c r="C28" s="62">
        <v>70.0</v>
      </c>
    </row>
    <row r="29">
      <c r="A29" s="60" t="s">
        <v>645</v>
      </c>
      <c r="B29" s="60" t="s">
        <v>21015</v>
      </c>
      <c r="C29" s="62">
        <v>70.0</v>
      </c>
    </row>
    <row r="30">
      <c r="A30" s="60" t="s">
        <v>660</v>
      </c>
      <c r="B30" s="60" t="s">
        <v>21016</v>
      </c>
      <c r="C30" s="62">
        <v>70.0</v>
      </c>
    </row>
    <row r="31">
      <c r="A31" s="60" t="s">
        <v>649</v>
      </c>
      <c r="B31" s="60" t="s">
        <v>21017</v>
      </c>
      <c r="C31" s="62">
        <v>70.0</v>
      </c>
    </row>
    <row r="32">
      <c r="A32" s="60" t="s">
        <v>314</v>
      </c>
      <c r="B32" s="60" t="s">
        <v>21018</v>
      </c>
      <c r="C32" s="62">
        <v>70.0</v>
      </c>
    </row>
    <row r="33">
      <c r="A33" s="60" t="s">
        <v>704</v>
      </c>
      <c r="B33" s="60" t="s">
        <v>21019</v>
      </c>
      <c r="C33" s="62">
        <v>70.0</v>
      </c>
    </row>
    <row r="34">
      <c r="A34" s="60" t="s">
        <v>719</v>
      </c>
      <c r="B34" s="60" t="s">
        <v>21020</v>
      </c>
      <c r="C34" s="62">
        <v>70.0</v>
      </c>
    </row>
    <row r="35">
      <c r="A35" s="60" t="s">
        <v>159</v>
      </c>
      <c r="B35" s="60" t="s">
        <v>21021</v>
      </c>
      <c r="C35" s="62">
        <v>70.0</v>
      </c>
    </row>
    <row r="36">
      <c r="A36" s="60" t="s">
        <v>662</v>
      </c>
      <c r="B36" s="60" t="s">
        <v>21022</v>
      </c>
      <c r="C36" s="62">
        <v>70.0</v>
      </c>
    </row>
    <row r="37">
      <c r="A37" s="60" t="s">
        <v>712</v>
      </c>
      <c r="B37" s="60" t="s">
        <v>21023</v>
      </c>
      <c r="C37" s="62">
        <v>65.0</v>
      </c>
    </row>
    <row r="38">
      <c r="A38" s="60" t="s">
        <v>692</v>
      </c>
      <c r="B38" s="60" t="s">
        <v>21024</v>
      </c>
      <c r="C38" s="62">
        <v>65.0</v>
      </c>
    </row>
    <row r="39">
      <c r="A39" s="60" t="s">
        <v>688</v>
      </c>
      <c r="B39" s="60" t="s">
        <v>21025</v>
      </c>
      <c r="C39" s="62">
        <v>65.0</v>
      </c>
    </row>
    <row r="40">
      <c r="A40" s="60" t="s">
        <v>721</v>
      </c>
      <c r="B40" s="60" t="s">
        <v>21026</v>
      </c>
      <c r="C40" s="62">
        <v>65.0</v>
      </c>
    </row>
    <row r="41">
      <c r="A41" s="60" t="s">
        <v>640</v>
      </c>
      <c r="B41" s="60" t="s">
        <v>21027</v>
      </c>
      <c r="C41" s="62">
        <v>65.0</v>
      </c>
    </row>
    <row r="42">
      <c r="A42" s="60" t="s">
        <v>664</v>
      </c>
      <c r="B42" s="60" t="s">
        <v>21028</v>
      </c>
      <c r="C42" s="62">
        <v>65.0</v>
      </c>
    </row>
    <row r="43">
      <c r="A43" s="60" t="s">
        <v>672</v>
      </c>
      <c r="B43" s="60" t="s">
        <v>21029</v>
      </c>
      <c r="C43" s="62">
        <v>65.0</v>
      </c>
    </row>
    <row r="44">
      <c r="A44" s="60" t="s">
        <v>706</v>
      </c>
      <c r="B44" s="60" t="s">
        <v>21030</v>
      </c>
      <c r="C44" s="62">
        <v>65.0</v>
      </c>
    </row>
    <row r="45">
      <c r="A45" s="60" t="s">
        <v>753</v>
      </c>
      <c r="B45" s="60" t="s">
        <v>21031</v>
      </c>
      <c r="C45" s="62">
        <v>65.0</v>
      </c>
    </row>
    <row r="46">
      <c r="A46" s="60" t="s">
        <v>757</v>
      </c>
      <c r="B46" s="60" t="s">
        <v>21032</v>
      </c>
      <c r="C46" s="62">
        <v>65.0</v>
      </c>
    </row>
    <row r="47">
      <c r="A47" s="60" t="s">
        <v>666</v>
      </c>
      <c r="B47" s="60" t="s">
        <v>21033</v>
      </c>
      <c r="C47" s="62">
        <v>65.0</v>
      </c>
    </row>
    <row r="48">
      <c r="A48" s="60" t="s">
        <v>738</v>
      </c>
      <c r="B48" s="60" t="s">
        <v>21034</v>
      </c>
      <c r="C48" s="62">
        <v>65.0</v>
      </c>
    </row>
    <row r="49">
      <c r="A49" s="60" t="s">
        <v>727</v>
      </c>
      <c r="B49" s="60" t="s">
        <v>21035</v>
      </c>
      <c r="C49" s="62">
        <v>65.0</v>
      </c>
    </row>
    <row r="50">
      <c r="A50" s="60" t="s">
        <v>690</v>
      </c>
      <c r="B50" s="60" t="s">
        <v>21036</v>
      </c>
      <c r="C50" s="62">
        <v>65.0</v>
      </c>
    </row>
    <row r="51">
      <c r="A51" s="60" t="s">
        <v>675</v>
      </c>
      <c r="B51" s="60" t="s">
        <v>21037</v>
      </c>
      <c r="C51" s="62">
        <v>65.0</v>
      </c>
    </row>
    <row r="52">
      <c r="A52" s="60" t="s">
        <v>723</v>
      </c>
      <c r="B52" s="60" t="s">
        <v>21038</v>
      </c>
      <c r="C52" s="62">
        <v>65.0</v>
      </c>
    </row>
    <row r="53">
      <c r="A53" s="60" t="s">
        <v>734</v>
      </c>
      <c r="B53" s="60" t="s">
        <v>21039</v>
      </c>
      <c r="C53" s="62">
        <v>65.0</v>
      </c>
    </row>
    <row r="54">
      <c r="A54" s="60" t="s">
        <v>700</v>
      </c>
      <c r="B54" s="60" t="s">
        <v>21040</v>
      </c>
      <c r="C54" s="62">
        <v>65.0</v>
      </c>
    </row>
    <row r="55">
      <c r="A55" s="60" t="s">
        <v>736</v>
      </c>
      <c r="B55" s="60" t="s">
        <v>21041</v>
      </c>
      <c r="C55" s="62">
        <v>65.0</v>
      </c>
    </row>
    <row r="56">
      <c r="A56" s="60" t="s">
        <v>636</v>
      </c>
      <c r="B56" s="60" t="s">
        <v>21042</v>
      </c>
      <c r="C56" s="62">
        <v>65.0</v>
      </c>
    </row>
    <row r="57">
      <c r="A57" s="60" t="s">
        <v>725</v>
      </c>
      <c r="B57" s="60" t="s">
        <v>21043</v>
      </c>
      <c r="C57" s="62">
        <v>65.0</v>
      </c>
    </row>
    <row r="58">
      <c r="A58" s="60" t="s">
        <v>755</v>
      </c>
      <c r="B58" s="60" t="s">
        <v>21044</v>
      </c>
      <c r="C58" s="62">
        <v>65.0</v>
      </c>
    </row>
    <row r="59">
      <c r="A59" s="60" t="s">
        <v>668</v>
      </c>
      <c r="B59" s="60" t="s">
        <v>21045</v>
      </c>
      <c r="C59" s="62">
        <v>65.0</v>
      </c>
    </row>
    <row r="60">
      <c r="A60" s="60" t="s">
        <v>710</v>
      </c>
      <c r="B60" s="60" t="s">
        <v>21046</v>
      </c>
      <c r="C60" s="62">
        <v>65.0</v>
      </c>
    </row>
    <row r="61">
      <c r="A61" s="60" t="s">
        <v>153</v>
      </c>
      <c r="B61" s="60" t="s">
        <v>21047</v>
      </c>
      <c r="C61" s="62">
        <v>65.0</v>
      </c>
    </row>
    <row r="62">
      <c r="A62" s="60" t="s">
        <v>702</v>
      </c>
      <c r="B62" s="60" t="s">
        <v>21048</v>
      </c>
      <c r="C62" s="62">
        <v>65.0</v>
      </c>
    </row>
    <row r="63">
      <c r="A63" s="60" t="s">
        <v>698</v>
      </c>
      <c r="B63" s="60" t="s">
        <v>21049</v>
      </c>
      <c r="C63" s="62">
        <v>65.0</v>
      </c>
    </row>
    <row r="64">
      <c r="A64" s="60" t="s">
        <v>749</v>
      </c>
      <c r="B64" s="60" t="s">
        <v>21050</v>
      </c>
      <c r="C64" s="62">
        <v>65.0</v>
      </c>
    </row>
    <row r="65">
      <c r="A65" s="60" t="s">
        <v>745</v>
      </c>
      <c r="B65" s="60" t="s">
        <v>21051</v>
      </c>
      <c r="C65" s="62">
        <v>65.0</v>
      </c>
    </row>
    <row r="66">
      <c r="A66" s="60" t="s">
        <v>694</v>
      </c>
      <c r="B66" s="60" t="s">
        <v>21052</v>
      </c>
      <c r="C66" s="62">
        <v>65.0</v>
      </c>
    </row>
    <row r="67">
      <c r="A67" s="60" t="s">
        <v>150</v>
      </c>
      <c r="B67" s="60" t="s">
        <v>21053</v>
      </c>
      <c r="C67" s="62">
        <v>60.0</v>
      </c>
    </row>
    <row r="68">
      <c r="A68" s="60" t="s">
        <v>682</v>
      </c>
      <c r="B68" s="60" t="s">
        <v>21054</v>
      </c>
      <c r="C68" s="62">
        <v>45.0</v>
      </c>
    </row>
    <row r="69">
      <c r="A69" s="60" t="s">
        <v>670</v>
      </c>
      <c r="B69" s="60" t="s">
        <v>21055</v>
      </c>
      <c r="C69" s="62">
        <v>45.0</v>
      </c>
    </row>
    <row r="70">
      <c r="A70" s="60" t="s">
        <v>708</v>
      </c>
      <c r="B70" s="60" t="s">
        <v>21056</v>
      </c>
      <c r="C70" s="62">
        <v>45.0</v>
      </c>
    </row>
    <row r="71">
      <c r="A71" s="60" t="s">
        <v>678</v>
      </c>
      <c r="B71" s="60" t="s">
        <v>21057</v>
      </c>
      <c r="C71" s="62">
        <v>45.0</v>
      </c>
    </row>
    <row r="72">
      <c r="A72" s="60" t="s">
        <v>148</v>
      </c>
      <c r="B72" s="60" t="s">
        <v>21058</v>
      </c>
      <c r="C72" s="62">
        <v>45.0</v>
      </c>
    </row>
    <row r="73">
      <c r="A73" s="60" t="s">
        <v>729</v>
      </c>
      <c r="B73" s="60" t="s">
        <v>21059</v>
      </c>
      <c r="C73" s="62">
        <v>40.0</v>
      </c>
    </row>
    <row r="74">
      <c r="A74" s="60" t="s">
        <v>747</v>
      </c>
      <c r="B74" s="60" t="s">
        <v>21060</v>
      </c>
      <c r="C74" s="62">
        <v>40.0</v>
      </c>
    </row>
    <row r="75">
      <c r="A75" s="60" t="s">
        <v>714</v>
      </c>
      <c r="B75" s="60" t="s">
        <v>21061</v>
      </c>
      <c r="C75" s="62">
        <v>40.0</v>
      </c>
    </row>
  </sheetData>
  <drawing r:id="rId1"/>
</worksheet>
</file>

<file path=xl/worksheets/sheet4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14.13"/>
  </cols>
  <sheetData>
    <row r="1" ht="18.0" customHeight="1">
      <c r="A1" s="2" t="s">
        <v>759</v>
      </c>
      <c r="B1" s="2" t="s">
        <v>625</v>
      </c>
      <c r="C1" s="79" t="s">
        <v>624</v>
      </c>
    </row>
    <row r="2" ht="87.75" customHeight="1">
      <c r="A2" s="2" t="s">
        <v>12</v>
      </c>
      <c r="B2" s="2">
        <v>85.0</v>
      </c>
      <c r="C2" s="79" t="s">
        <v>21062</v>
      </c>
    </row>
    <row r="3" ht="87.75" customHeight="1">
      <c r="A3" s="2" t="s">
        <v>14</v>
      </c>
      <c r="B3" s="2">
        <v>85.0</v>
      </c>
      <c r="C3" s="79" t="s">
        <v>21063</v>
      </c>
    </row>
    <row r="4" ht="87.75" customHeight="1">
      <c r="A4" s="2" t="s">
        <v>15</v>
      </c>
      <c r="B4" s="2">
        <v>85.0</v>
      </c>
      <c r="C4" s="79" t="s">
        <v>21064</v>
      </c>
    </row>
    <row r="5" ht="87.75" customHeight="1">
      <c r="A5" s="2" t="s">
        <v>16</v>
      </c>
      <c r="B5" s="2">
        <v>85.0</v>
      </c>
      <c r="C5" s="79" t="s">
        <v>21065</v>
      </c>
    </row>
    <row r="6" ht="87.75" customHeight="1">
      <c r="A6" s="2" t="s">
        <v>17</v>
      </c>
      <c r="B6" s="2">
        <v>85.0</v>
      </c>
      <c r="C6" s="79" t="s">
        <v>21066</v>
      </c>
    </row>
    <row r="7" ht="87.75" customHeight="1">
      <c r="A7" s="2" t="s">
        <v>7497</v>
      </c>
      <c r="B7" s="2">
        <v>85.0</v>
      </c>
      <c r="C7" s="79" t="s">
        <v>21067</v>
      </c>
    </row>
    <row r="8" ht="87.75" customHeight="1">
      <c r="A8" s="2" t="s">
        <v>1305</v>
      </c>
      <c r="B8" s="2">
        <v>85.0</v>
      </c>
      <c r="C8" s="79" t="s">
        <v>21068</v>
      </c>
    </row>
    <row r="9" ht="87.75" customHeight="1">
      <c r="A9" s="2" t="s">
        <v>1025</v>
      </c>
      <c r="B9" s="2">
        <v>85.0</v>
      </c>
      <c r="C9" s="79" t="s">
        <v>21069</v>
      </c>
    </row>
    <row r="10" ht="87.75" customHeight="1">
      <c r="A10" s="2" t="s">
        <v>1340</v>
      </c>
      <c r="B10" s="2">
        <v>85.0</v>
      </c>
      <c r="C10" s="79" t="s">
        <v>21070</v>
      </c>
    </row>
    <row r="11" ht="87.75" customHeight="1">
      <c r="A11" s="2" t="s">
        <v>252</v>
      </c>
      <c r="B11" s="2">
        <v>85.0</v>
      </c>
      <c r="C11" s="79" t="s">
        <v>21071</v>
      </c>
    </row>
    <row r="12" ht="87.75" customHeight="1">
      <c r="A12" s="2" t="s">
        <v>22</v>
      </c>
      <c r="B12" s="2">
        <v>85.0</v>
      </c>
      <c r="C12" s="79" t="s">
        <v>21072</v>
      </c>
    </row>
    <row r="13" ht="87.75" customHeight="1">
      <c r="A13" s="2" t="s">
        <v>126</v>
      </c>
      <c r="B13" s="2">
        <v>85.0</v>
      </c>
      <c r="C13" s="79" t="s">
        <v>21073</v>
      </c>
    </row>
    <row r="14" ht="87.75" customHeight="1">
      <c r="A14" s="2" t="s">
        <v>21</v>
      </c>
      <c r="B14" s="2">
        <v>85.0</v>
      </c>
      <c r="C14" s="79" t="s">
        <v>21074</v>
      </c>
    </row>
    <row r="15" ht="87.75" customHeight="1">
      <c r="A15" s="2" t="s">
        <v>902</v>
      </c>
      <c r="B15" s="2">
        <v>85.0</v>
      </c>
      <c r="C15" s="79" t="s">
        <v>21075</v>
      </c>
    </row>
    <row r="16" ht="87.75" customHeight="1">
      <c r="A16" s="2" t="s">
        <v>129</v>
      </c>
      <c r="B16" s="2">
        <v>85.0</v>
      </c>
      <c r="C16" s="79" t="s">
        <v>21076</v>
      </c>
    </row>
    <row r="17" ht="87.75" customHeight="1">
      <c r="A17" s="2" t="s">
        <v>18</v>
      </c>
      <c r="B17" s="2">
        <v>85.0</v>
      </c>
      <c r="C17" s="79" t="s">
        <v>21077</v>
      </c>
    </row>
    <row r="18" ht="87.75" customHeight="1">
      <c r="A18" s="2" t="s">
        <v>857</v>
      </c>
      <c r="B18" s="2">
        <v>85.0</v>
      </c>
      <c r="C18" s="79" t="s">
        <v>21078</v>
      </c>
    </row>
    <row r="19" ht="87.75" customHeight="1">
      <c r="A19" s="2" t="s">
        <v>87</v>
      </c>
      <c r="B19" s="2">
        <v>85.0</v>
      </c>
      <c r="C19" s="79" t="s">
        <v>21079</v>
      </c>
    </row>
    <row r="20" ht="87.75" customHeight="1">
      <c r="A20" s="2" t="s">
        <v>19</v>
      </c>
      <c r="B20" s="2">
        <v>85.0</v>
      </c>
      <c r="C20" s="79" t="s">
        <v>21080</v>
      </c>
    </row>
    <row r="21" ht="87.75" customHeight="1">
      <c r="A21" s="2" t="s">
        <v>20</v>
      </c>
      <c r="B21" s="2">
        <v>85.0</v>
      </c>
      <c r="C21" s="79" t="s">
        <v>21081</v>
      </c>
    </row>
    <row r="22" ht="87.75" customHeight="1">
      <c r="A22" s="2" t="s">
        <v>1511</v>
      </c>
      <c r="B22" s="2">
        <v>85.0</v>
      </c>
      <c r="C22" s="79" t="s">
        <v>21082</v>
      </c>
    </row>
    <row r="23" ht="87.75" customHeight="1">
      <c r="A23" s="2" t="s">
        <v>1002</v>
      </c>
      <c r="B23" s="2">
        <v>75.0</v>
      </c>
      <c r="C23" s="79" t="s">
        <v>21083</v>
      </c>
    </row>
    <row r="24" ht="87.75" customHeight="1">
      <c r="A24" s="2" t="s">
        <v>1000</v>
      </c>
      <c r="B24" s="2">
        <v>75.0</v>
      </c>
      <c r="C24" s="79" t="s">
        <v>21084</v>
      </c>
    </row>
    <row r="25" ht="87.75" customHeight="1">
      <c r="A25" s="2" t="s">
        <v>1119</v>
      </c>
      <c r="B25" s="2">
        <v>75.0</v>
      </c>
      <c r="C25" s="79" t="s">
        <v>21085</v>
      </c>
    </row>
    <row r="26" ht="87.75" customHeight="1">
      <c r="A26" s="2" t="s">
        <v>997</v>
      </c>
      <c r="B26" s="2">
        <v>75.0</v>
      </c>
      <c r="C26" s="79" t="s">
        <v>21086</v>
      </c>
    </row>
    <row r="27" ht="87.75" customHeight="1">
      <c r="A27" s="2" t="s">
        <v>1547</v>
      </c>
      <c r="B27" s="2">
        <v>75.0</v>
      </c>
      <c r="C27" s="79" t="s">
        <v>21087</v>
      </c>
    </row>
    <row r="28" ht="87.75" customHeight="1">
      <c r="A28" s="2" t="s">
        <v>130</v>
      </c>
      <c r="B28" s="2">
        <v>75.0</v>
      </c>
      <c r="C28" s="79" t="s">
        <v>21088</v>
      </c>
    </row>
    <row r="29" ht="87.75" customHeight="1">
      <c r="A29" s="2" t="s">
        <v>1202</v>
      </c>
      <c r="B29" s="2">
        <v>75.0</v>
      </c>
      <c r="C29" s="79" t="s">
        <v>21089</v>
      </c>
    </row>
    <row r="30" ht="87.75" customHeight="1">
      <c r="A30" s="2" t="s">
        <v>151</v>
      </c>
      <c r="B30" s="2">
        <v>75.0</v>
      </c>
      <c r="C30" s="79" t="s">
        <v>21090</v>
      </c>
    </row>
    <row r="31" ht="87.75" customHeight="1">
      <c r="A31" s="2" t="s">
        <v>795</v>
      </c>
      <c r="B31" s="2">
        <v>75.0</v>
      </c>
      <c r="C31" s="79" t="s">
        <v>21091</v>
      </c>
    </row>
    <row r="32" ht="87.75" customHeight="1">
      <c r="A32" s="2" t="s">
        <v>229</v>
      </c>
      <c r="B32" s="2">
        <v>75.0</v>
      </c>
      <c r="C32" s="79" t="s">
        <v>21092</v>
      </c>
    </row>
    <row r="33" ht="87.75" customHeight="1">
      <c r="A33" s="2" t="s">
        <v>184</v>
      </c>
      <c r="B33" s="2">
        <v>75.0</v>
      </c>
      <c r="C33" s="79" t="s">
        <v>21093</v>
      </c>
    </row>
    <row r="34" ht="87.75" customHeight="1">
      <c r="A34" s="2" t="s">
        <v>128</v>
      </c>
      <c r="B34" s="2">
        <v>75.0</v>
      </c>
      <c r="C34" s="79" t="s">
        <v>21094</v>
      </c>
    </row>
    <row r="35" ht="87.75" customHeight="1">
      <c r="A35" s="2" t="s">
        <v>298</v>
      </c>
      <c r="B35" s="2">
        <v>75.0</v>
      </c>
      <c r="C35" s="79" t="s">
        <v>21095</v>
      </c>
    </row>
    <row r="36" ht="87.75" customHeight="1">
      <c r="A36" s="2" t="s">
        <v>63</v>
      </c>
      <c r="B36" s="2">
        <v>75.0</v>
      </c>
      <c r="C36" s="79" t="s">
        <v>21096</v>
      </c>
    </row>
    <row r="37" ht="87.75" customHeight="1">
      <c r="A37" s="2" t="s">
        <v>1551</v>
      </c>
      <c r="B37" s="2">
        <v>75.0</v>
      </c>
      <c r="C37" s="79" t="s">
        <v>21097</v>
      </c>
    </row>
    <row r="38" ht="87.75" customHeight="1">
      <c r="A38" s="2" t="s">
        <v>1295</v>
      </c>
      <c r="B38" s="2">
        <v>75.0</v>
      </c>
      <c r="C38" s="79" t="s">
        <v>21098</v>
      </c>
    </row>
    <row r="39" ht="87.75" customHeight="1">
      <c r="A39" s="2" t="s">
        <v>1038</v>
      </c>
      <c r="B39" s="2">
        <v>75.0</v>
      </c>
      <c r="C39" s="79" t="s">
        <v>21099</v>
      </c>
    </row>
    <row r="40" ht="87.75" customHeight="1">
      <c r="A40" s="2" t="s">
        <v>1096</v>
      </c>
      <c r="B40" s="2">
        <v>75.0</v>
      </c>
      <c r="C40" s="79" t="s">
        <v>21100</v>
      </c>
    </row>
    <row r="41" ht="87.75" customHeight="1">
      <c r="A41" s="2" t="s">
        <v>21101</v>
      </c>
      <c r="B41" s="2">
        <v>75.0</v>
      </c>
      <c r="C41" s="79" t="s">
        <v>21102</v>
      </c>
    </row>
    <row r="42" ht="87.75" customHeight="1">
      <c r="A42" s="2" t="s">
        <v>1177</v>
      </c>
      <c r="B42" s="2">
        <v>75.0</v>
      </c>
      <c r="C42" s="79" t="s">
        <v>21103</v>
      </c>
    </row>
    <row r="43" ht="87.75" customHeight="1">
      <c r="A43" s="2" t="s">
        <v>853</v>
      </c>
      <c r="B43" s="2">
        <v>75.0</v>
      </c>
      <c r="C43" s="79" t="s">
        <v>21104</v>
      </c>
    </row>
    <row r="44" ht="87.75" customHeight="1">
      <c r="A44" s="2" t="s">
        <v>1336</v>
      </c>
      <c r="B44" s="2">
        <v>75.0</v>
      </c>
      <c r="C44" s="79" t="s">
        <v>21105</v>
      </c>
    </row>
    <row r="45" ht="87.75" customHeight="1">
      <c r="A45" s="2" t="s">
        <v>1173</v>
      </c>
      <c r="B45" s="2">
        <v>75.0</v>
      </c>
      <c r="C45" s="79" t="s">
        <v>21106</v>
      </c>
    </row>
    <row r="46" ht="87.75" customHeight="1">
      <c r="A46" s="2" t="s">
        <v>911</v>
      </c>
      <c r="B46" s="2">
        <v>75.0</v>
      </c>
      <c r="C46" s="79" t="s">
        <v>21107</v>
      </c>
    </row>
    <row r="47" ht="87.75" customHeight="1">
      <c r="A47" s="2" t="s">
        <v>1047</v>
      </c>
      <c r="B47" s="2">
        <v>75.0</v>
      </c>
      <c r="C47" s="79" t="s">
        <v>21108</v>
      </c>
    </row>
    <row r="48" ht="87.75" customHeight="1">
      <c r="A48" s="2" t="s">
        <v>925</v>
      </c>
      <c r="B48" s="2">
        <v>75.0</v>
      </c>
      <c r="C48" s="79" t="s">
        <v>21109</v>
      </c>
    </row>
    <row r="49" ht="87.75" customHeight="1">
      <c r="A49" s="2" t="s">
        <v>1408</v>
      </c>
      <c r="B49" s="2">
        <v>75.0</v>
      </c>
      <c r="C49" s="79" t="s">
        <v>21110</v>
      </c>
    </row>
    <row r="50" ht="87.75" customHeight="1">
      <c r="A50" s="2" t="s">
        <v>1187</v>
      </c>
      <c r="B50" s="2">
        <v>75.0</v>
      </c>
      <c r="C50" s="79" t="s">
        <v>21111</v>
      </c>
    </row>
    <row r="51" ht="87.75" customHeight="1">
      <c r="A51" s="2" t="s">
        <v>1189</v>
      </c>
      <c r="B51" s="2">
        <v>75.0</v>
      </c>
      <c r="C51" s="79" t="s">
        <v>21112</v>
      </c>
    </row>
    <row r="52" ht="87.75" customHeight="1">
      <c r="A52" s="2" t="s">
        <v>1334</v>
      </c>
      <c r="B52" s="2">
        <v>75.0</v>
      </c>
      <c r="C52" s="79" t="s">
        <v>21113</v>
      </c>
    </row>
    <row r="53" ht="87.75" customHeight="1">
      <c r="A53" s="2" t="s">
        <v>978</v>
      </c>
      <c r="B53" s="2">
        <v>75.0</v>
      </c>
      <c r="C53" s="79" t="s">
        <v>21114</v>
      </c>
    </row>
    <row r="54" ht="87.75" customHeight="1">
      <c r="A54" s="2" t="s">
        <v>1530</v>
      </c>
      <c r="B54" s="2">
        <v>75.0</v>
      </c>
      <c r="C54" s="79" t="s">
        <v>21115</v>
      </c>
    </row>
    <row r="55" ht="87.75" customHeight="1">
      <c r="A55" s="2" t="s">
        <v>991</v>
      </c>
      <c r="B55" s="2">
        <v>75.0</v>
      </c>
      <c r="C55" s="79" t="s">
        <v>21116</v>
      </c>
    </row>
    <row r="56" ht="87.75" customHeight="1">
      <c r="A56" s="2" t="s">
        <v>139</v>
      </c>
      <c r="B56" s="2">
        <v>75.0</v>
      </c>
      <c r="C56" s="79" t="s">
        <v>21117</v>
      </c>
    </row>
    <row r="57" ht="87.75" customHeight="1">
      <c r="A57" s="2" t="s">
        <v>919</v>
      </c>
      <c r="B57" s="2">
        <v>75.0</v>
      </c>
      <c r="C57" s="79" t="s">
        <v>21118</v>
      </c>
    </row>
    <row r="58" ht="87.75" customHeight="1">
      <c r="A58" s="2" t="s">
        <v>1043</v>
      </c>
      <c r="B58" s="2">
        <v>75.0</v>
      </c>
      <c r="C58" s="79" t="s">
        <v>21119</v>
      </c>
    </row>
    <row r="59" ht="87.75" customHeight="1">
      <c r="A59" s="2" t="s">
        <v>923</v>
      </c>
      <c r="B59" s="2">
        <v>75.0</v>
      </c>
      <c r="C59" s="79" t="s">
        <v>21120</v>
      </c>
    </row>
    <row r="60" ht="87.75" customHeight="1">
      <c r="A60" s="2" t="s">
        <v>915</v>
      </c>
      <c r="B60" s="2">
        <v>75.0</v>
      </c>
      <c r="C60" s="79" t="s">
        <v>21121</v>
      </c>
    </row>
    <row r="61" ht="87.75" customHeight="1">
      <c r="A61" s="2" t="s">
        <v>1317</v>
      </c>
      <c r="B61" s="2">
        <v>75.0</v>
      </c>
      <c r="C61" s="79" t="s">
        <v>21122</v>
      </c>
    </row>
    <row r="62" ht="87.75" customHeight="1">
      <c r="A62" s="2" t="s">
        <v>359</v>
      </c>
      <c r="B62" s="2">
        <v>75.0</v>
      </c>
      <c r="C62" s="79" t="s">
        <v>21123</v>
      </c>
    </row>
    <row r="63" ht="87.75" customHeight="1">
      <c r="A63" s="2" t="s">
        <v>1369</v>
      </c>
      <c r="B63" s="2">
        <v>75.0</v>
      </c>
      <c r="C63" s="79" t="s">
        <v>21124</v>
      </c>
    </row>
    <row r="64" ht="87.75" customHeight="1">
      <c r="A64" s="2" t="s">
        <v>127</v>
      </c>
      <c r="B64" s="2">
        <v>75.0</v>
      </c>
      <c r="C64" s="79" t="s">
        <v>21125</v>
      </c>
    </row>
    <row r="65" ht="87.75" customHeight="1">
      <c r="A65" s="2" t="s">
        <v>851</v>
      </c>
      <c r="B65" s="2">
        <v>75.0</v>
      </c>
      <c r="C65" s="79" t="s">
        <v>21126</v>
      </c>
    </row>
    <row r="66" ht="87.75" customHeight="1">
      <c r="A66" s="2" t="s">
        <v>1363</v>
      </c>
      <c r="B66" s="2">
        <v>75.0</v>
      </c>
      <c r="C66" s="79" t="s">
        <v>21127</v>
      </c>
    </row>
    <row r="67" ht="87.75" customHeight="1">
      <c r="A67" s="2" t="s">
        <v>1605</v>
      </c>
      <c r="B67" s="2">
        <v>75.0</v>
      </c>
      <c r="C67" s="79" t="s">
        <v>21128</v>
      </c>
    </row>
    <row r="68" ht="87.75" customHeight="1">
      <c r="A68" s="2" t="s">
        <v>982</v>
      </c>
      <c r="B68" s="2">
        <v>75.0</v>
      </c>
      <c r="C68" s="79" t="s">
        <v>21129</v>
      </c>
    </row>
    <row r="69" ht="87.75" customHeight="1">
      <c r="A69" s="2" t="s">
        <v>1053</v>
      </c>
      <c r="B69" s="2">
        <v>75.0</v>
      </c>
      <c r="C69" s="79" t="s">
        <v>21130</v>
      </c>
    </row>
    <row r="70" ht="87.75" customHeight="1">
      <c r="A70" s="2" t="s">
        <v>186</v>
      </c>
      <c r="B70" s="2">
        <v>75.0</v>
      </c>
      <c r="C70" s="79" t="s">
        <v>21131</v>
      </c>
    </row>
    <row r="71" ht="87.75" customHeight="1">
      <c r="A71" s="2" t="s">
        <v>3782</v>
      </c>
      <c r="B71" s="2">
        <v>75.0</v>
      </c>
      <c r="C71" s="79" t="s">
        <v>21132</v>
      </c>
    </row>
    <row r="72" ht="87.75" customHeight="1">
      <c r="A72" s="2" t="s">
        <v>1584</v>
      </c>
      <c r="B72" s="2">
        <v>75.0</v>
      </c>
      <c r="C72" s="79" t="s">
        <v>21133</v>
      </c>
    </row>
    <row r="73" ht="87.75" customHeight="1">
      <c r="A73" s="2" t="s">
        <v>1268</v>
      </c>
      <c r="B73" s="2">
        <v>75.0</v>
      </c>
      <c r="C73" s="79" t="s">
        <v>21134</v>
      </c>
    </row>
    <row r="74" ht="87.75" customHeight="1">
      <c r="A74" s="2" t="s">
        <v>125</v>
      </c>
      <c r="B74" s="2">
        <v>75.0</v>
      </c>
      <c r="C74" s="79" t="s">
        <v>21135</v>
      </c>
    </row>
    <row r="75" ht="87.75" customHeight="1">
      <c r="A75" s="2" t="s">
        <v>987</v>
      </c>
      <c r="B75" s="2">
        <v>75.0</v>
      </c>
      <c r="C75" s="79" t="s">
        <v>21136</v>
      </c>
    </row>
    <row r="76" ht="87.75" customHeight="1">
      <c r="A76" s="2" t="s">
        <v>1197</v>
      </c>
      <c r="B76" s="2">
        <v>75.0</v>
      </c>
      <c r="C76" s="79" t="s">
        <v>21137</v>
      </c>
    </row>
    <row r="77" ht="87.75" customHeight="1">
      <c r="A77" s="2" t="s">
        <v>972</v>
      </c>
      <c r="B77" s="2">
        <v>75.0</v>
      </c>
      <c r="C77" s="79" t="s">
        <v>21138</v>
      </c>
    </row>
    <row r="78" ht="87.75" customHeight="1">
      <c r="A78" s="2" t="s">
        <v>404</v>
      </c>
      <c r="B78" s="2">
        <v>75.0</v>
      </c>
      <c r="C78" s="79" t="s">
        <v>21139</v>
      </c>
    </row>
    <row r="79" ht="87.75" customHeight="1">
      <c r="A79" s="2" t="s">
        <v>1425</v>
      </c>
      <c r="B79" s="2">
        <v>75.0</v>
      </c>
      <c r="C79" s="79" t="s">
        <v>21140</v>
      </c>
    </row>
    <row r="80" ht="87.75" customHeight="1">
      <c r="A80" s="2" t="s">
        <v>166</v>
      </c>
      <c r="B80" s="2">
        <v>75.0</v>
      </c>
      <c r="C80" s="79" t="s">
        <v>21141</v>
      </c>
    </row>
    <row r="81" ht="87.75" customHeight="1">
      <c r="A81" s="2" t="s">
        <v>1089</v>
      </c>
      <c r="B81" s="2">
        <v>75.0</v>
      </c>
      <c r="C81" s="79" t="s">
        <v>21142</v>
      </c>
    </row>
    <row r="82" ht="87.75" customHeight="1">
      <c r="A82" s="2" t="s">
        <v>805</v>
      </c>
      <c r="B82" s="2">
        <v>75.0</v>
      </c>
      <c r="C82" s="79" t="s">
        <v>21143</v>
      </c>
    </row>
    <row r="83" ht="87.75" customHeight="1">
      <c r="A83" s="2" t="s">
        <v>232</v>
      </c>
      <c r="B83" s="2">
        <v>75.0</v>
      </c>
      <c r="C83" s="79" t="s">
        <v>21144</v>
      </c>
    </row>
    <row r="84" ht="87.75" customHeight="1">
      <c r="A84" s="2" t="s">
        <v>40</v>
      </c>
      <c r="B84" s="2">
        <v>75.0</v>
      </c>
      <c r="C84" s="79" t="s">
        <v>21145</v>
      </c>
    </row>
    <row r="85" ht="87.75" customHeight="1">
      <c r="A85" s="2" t="s">
        <v>1051</v>
      </c>
      <c r="B85" s="2">
        <v>75.0</v>
      </c>
      <c r="C85" s="79" t="s">
        <v>21146</v>
      </c>
    </row>
    <row r="86" ht="87.75" customHeight="1">
      <c r="A86" s="2" t="s">
        <v>455</v>
      </c>
      <c r="B86" s="2">
        <v>75.0</v>
      </c>
      <c r="C86" s="79" t="s">
        <v>21147</v>
      </c>
    </row>
    <row r="87" ht="87.75" customHeight="1">
      <c r="A87" s="2" t="s">
        <v>1045</v>
      </c>
      <c r="B87" s="2">
        <v>75.0</v>
      </c>
      <c r="C87" s="79" t="s">
        <v>21148</v>
      </c>
    </row>
    <row r="88" ht="87.75" customHeight="1">
      <c r="A88" s="2" t="s">
        <v>1460</v>
      </c>
      <c r="B88" s="2">
        <v>75.0</v>
      </c>
      <c r="C88" s="79" t="s">
        <v>21149</v>
      </c>
    </row>
    <row r="89" ht="87.75" customHeight="1">
      <c r="A89" s="2" t="s">
        <v>1575</v>
      </c>
      <c r="B89" s="2">
        <v>75.0</v>
      </c>
      <c r="C89" s="79" t="s">
        <v>21150</v>
      </c>
    </row>
    <row r="90" ht="87.75" customHeight="1">
      <c r="A90" s="2" t="s">
        <v>36</v>
      </c>
      <c r="B90" s="2">
        <v>75.0</v>
      </c>
      <c r="C90" s="79" t="s">
        <v>21151</v>
      </c>
    </row>
    <row r="91" ht="87.75" customHeight="1">
      <c r="A91" s="2" t="s">
        <v>1345</v>
      </c>
      <c r="B91" s="2">
        <v>75.0</v>
      </c>
      <c r="C91" s="79" t="s">
        <v>21152</v>
      </c>
    </row>
    <row r="92" ht="87.75" customHeight="1">
      <c r="A92" s="2" t="s">
        <v>122</v>
      </c>
      <c r="B92" s="2">
        <v>75.0</v>
      </c>
      <c r="C92" s="79" t="s">
        <v>21153</v>
      </c>
    </row>
    <row r="93" ht="87.75" customHeight="1">
      <c r="A93" s="2" t="s">
        <v>976</v>
      </c>
      <c r="B93" s="2">
        <v>75.0</v>
      </c>
      <c r="C93" s="79" t="s">
        <v>21154</v>
      </c>
    </row>
    <row r="94" ht="87.75" customHeight="1">
      <c r="A94" s="2" t="s">
        <v>1580</v>
      </c>
      <c r="B94" s="2">
        <v>75.0</v>
      </c>
      <c r="C94" s="79" t="s">
        <v>21155</v>
      </c>
    </row>
    <row r="95" ht="87.75" customHeight="1">
      <c r="A95" s="2" t="s">
        <v>1441</v>
      </c>
      <c r="B95" s="2">
        <v>75.0</v>
      </c>
      <c r="C95" s="79" t="s">
        <v>21156</v>
      </c>
    </row>
    <row r="96" ht="87.75" customHeight="1">
      <c r="A96" s="2" t="s">
        <v>1586</v>
      </c>
      <c r="B96" s="2">
        <v>75.0</v>
      </c>
      <c r="C96" s="79" t="s">
        <v>21157</v>
      </c>
    </row>
    <row r="97" ht="87.75" customHeight="1">
      <c r="A97" s="2" t="s">
        <v>187</v>
      </c>
      <c r="B97" s="2">
        <v>75.0</v>
      </c>
      <c r="C97" s="79" t="s">
        <v>21158</v>
      </c>
    </row>
    <row r="98" ht="87.75" customHeight="1">
      <c r="A98" s="2" t="s">
        <v>1185</v>
      </c>
      <c r="B98" s="2">
        <v>75.0</v>
      </c>
      <c r="C98" s="79" t="s">
        <v>21159</v>
      </c>
    </row>
    <row r="99" ht="87.75" customHeight="1">
      <c r="A99" s="2" t="s">
        <v>908</v>
      </c>
      <c r="B99" s="2">
        <v>75.0</v>
      </c>
      <c r="C99" s="79" t="s">
        <v>21160</v>
      </c>
    </row>
    <row r="100" ht="87.75" customHeight="1">
      <c r="A100" s="2" t="s">
        <v>101</v>
      </c>
      <c r="B100" s="2">
        <v>75.0</v>
      </c>
      <c r="C100" s="79" t="s">
        <v>21161</v>
      </c>
    </row>
    <row r="101" ht="87.75" customHeight="1">
      <c r="A101" s="2" t="s">
        <v>1279</v>
      </c>
      <c r="B101" s="2">
        <v>75.0</v>
      </c>
      <c r="C101" s="79" t="s">
        <v>21162</v>
      </c>
    </row>
    <row r="102" ht="87.75" customHeight="1">
      <c r="A102" s="2" t="s">
        <v>93</v>
      </c>
      <c r="B102" s="2">
        <v>75.0</v>
      </c>
      <c r="C102" s="79" t="s">
        <v>21163</v>
      </c>
    </row>
    <row r="103" ht="87.75" customHeight="1">
      <c r="A103" s="2" t="s">
        <v>1553</v>
      </c>
      <c r="B103" s="2">
        <v>75.0</v>
      </c>
      <c r="C103" s="79" t="s">
        <v>21164</v>
      </c>
    </row>
    <row r="104" ht="87.75" customHeight="1">
      <c r="A104" s="2" t="s">
        <v>1100</v>
      </c>
      <c r="B104" s="2">
        <v>75.0</v>
      </c>
      <c r="C104" s="79" t="s">
        <v>21165</v>
      </c>
    </row>
    <row r="105" ht="87.75" customHeight="1">
      <c r="A105" s="2" t="s">
        <v>921</v>
      </c>
      <c r="B105" s="2">
        <v>75.0</v>
      </c>
      <c r="C105" s="79" t="s">
        <v>21166</v>
      </c>
    </row>
    <row r="106" ht="87.75" customHeight="1">
      <c r="A106" s="2" t="s">
        <v>1102</v>
      </c>
      <c r="B106" s="2">
        <v>75.0</v>
      </c>
      <c r="C106" s="79" t="s">
        <v>21167</v>
      </c>
    </row>
    <row r="107" ht="87.75" customHeight="1">
      <c r="A107" s="2" t="s">
        <v>1098</v>
      </c>
      <c r="B107" s="2">
        <v>75.0</v>
      </c>
      <c r="C107" s="79" t="s">
        <v>21168</v>
      </c>
    </row>
    <row r="108" ht="87.75" customHeight="1">
      <c r="A108" s="2" t="s">
        <v>99</v>
      </c>
      <c r="B108" s="2">
        <v>75.0</v>
      </c>
      <c r="C108" s="79" t="s">
        <v>21169</v>
      </c>
    </row>
    <row r="109" ht="87.75" customHeight="1">
      <c r="A109" s="2" t="s">
        <v>933</v>
      </c>
      <c r="B109" s="2">
        <v>75.0</v>
      </c>
      <c r="C109" s="79" t="s">
        <v>21170</v>
      </c>
    </row>
    <row r="110" ht="87.75" customHeight="1">
      <c r="A110" s="2" t="s">
        <v>182</v>
      </c>
      <c r="B110" s="2">
        <v>75.0</v>
      </c>
      <c r="C110" s="79" t="s">
        <v>21171</v>
      </c>
    </row>
    <row r="111" ht="87.75" customHeight="1">
      <c r="A111" s="2" t="s">
        <v>1143</v>
      </c>
      <c r="B111" s="2">
        <v>75.0</v>
      </c>
      <c r="C111" s="79" t="s">
        <v>21172</v>
      </c>
    </row>
    <row r="112" ht="87.75" customHeight="1">
      <c r="A112" s="2" t="s">
        <v>790</v>
      </c>
      <c r="B112" s="2">
        <v>75.0</v>
      </c>
      <c r="C112" s="79" t="s">
        <v>21173</v>
      </c>
    </row>
    <row r="113" ht="87.75" customHeight="1">
      <c r="A113" s="2" t="s">
        <v>798</v>
      </c>
      <c r="B113" s="2">
        <v>75.0</v>
      </c>
      <c r="C113" s="79" t="s">
        <v>21174</v>
      </c>
    </row>
    <row r="114" ht="87.75" customHeight="1">
      <c r="A114" s="2" t="s">
        <v>937</v>
      </c>
      <c r="B114" s="2">
        <v>75.0</v>
      </c>
      <c r="C114" s="79" t="s">
        <v>21175</v>
      </c>
    </row>
    <row r="115" ht="87.75" customHeight="1">
      <c r="A115" s="2" t="s">
        <v>1594</v>
      </c>
      <c r="B115" s="2">
        <v>75.0</v>
      </c>
      <c r="C115" s="79" t="s">
        <v>21176</v>
      </c>
    </row>
    <row r="116" ht="87.75" customHeight="1">
      <c r="A116" s="2" t="s">
        <v>904</v>
      </c>
      <c r="B116" s="2">
        <v>75.0</v>
      </c>
      <c r="C116" s="79" t="s">
        <v>21177</v>
      </c>
    </row>
    <row r="117" ht="87.75" customHeight="1">
      <c r="A117" s="2" t="s">
        <v>1094</v>
      </c>
      <c r="B117" s="2">
        <v>75.0</v>
      </c>
      <c r="C117" s="79" t="s">
        <v>21178</v>
      </c>
    </row>
    <row r="118" ht="87.75" customHeight="1">
      <c r="A118" s="2" t="s">
        <v>1254</v>
      </c>
      <c r="B118" s="2">
        <v>75.0</v>
      </c>
      <c r="C118" s="79" t="s">
        <v>21179</v>
      </c>
    </row>
    <row r="119" ht="87.75" customHeight="1">
      <c r="A119" s="2" t="s">
        <v>37</v>
      </c>
      <c r="B119" s="2">
        <v>75.0</v>
      </c>
      <c r="C119" s="79" t="s">
        <v>21180</v>
      </c>
    </row>
    <row r="120" ht="87.75" customHeight="1">
      <c r="A120" s="2" t="s">
        <v>1592</v>
      </c>
      <c r="B120" s="2">
        <v>75.0</v>
      </c>
      <c r="C120" s="79" t="s">
        <v>21181</v>
      </c>
    </row>
    <row r="121" ht="87.75" customHeight="1">
      <c r="A121" s="2" t="s">
        <v>1383</v>
      </c>
      <c r="B121" s="2">
        <v>75.0</v>
      </c>
      <c r="C121" s="79" t="s">
        <v>21182</v>
      </c>
    </row>
    <row r="122" ht="87.75" customHeight="1">
      <c r="A122" s="2" t="s">
        <v>1562</v>
      </c>
      <c r="B122" s="2">
        <v>75.0</v>
      </c>
      <c r="C122" s="79" t="s">
        <v>21183</v>
      </c>
    </row>
    <row r="123" ht="87.75" customHeight="1">
      <c r="A123" s="2" t="s">
        <v>33</v>
      </c>
      <c r="B123" s="2">
        <v>75.0</v>
      </c>
      <c r="C123" s="79" t="s">
        <v>21184</v>
      </c>
    </row>
    <row r="124" ht="87.75" customHeight="1">
      <c r="A124" s="2" t="s">
        <v>183</v>
      </c>
      <c r="B124" s="2">
        <v>75.0</v>
      </c>
      <c r="C124" s="79" t="s">
        <v>21185</v>
      </c>
    </row>
    <row r="125" ht="87.75" customHeight="1">
      <c r="A125" s="2" t="s">
        <v>1371</v>
      </c>
      <c r="B125" s="2">
        <v>75.0</v>
      </c>
      <c r="C125" s="79" t="s">
        <v>21186</v>
      </c>
    </row>
    <row r="126" ht="87.75" customHeight="1">
      <c r="A126" s="2" t="s">
        <v>1528</v>
      </c>
      <c r="B126" s="2">
        <v>75.0</v>
      </c>
      <c r="C126" s="79" t="s">
        <v>21187</v>
      </c>
    </row>
    <row r="127" ht="87.75" customHeight="1">
      <c r="A127" s="2" t="s">
        <v>592</v>
      </c>
      <c r="B127" s="2">
        <v>75.0</v>
      </c>
      <c r="C127" s="79" t="s">
        <v>21188</v>
      </c>
    </row>
    <row r="128" ht="87.75" customHeight="1">
      <c r="A128" s="2" t="s">
        <v>835</v>
      </c>
      <c r="B128" s="2">
        <v>75.0</v>
      </c>
      <c r="C128" s="79" t="s">
        <v>21189</v>
      </c>
    </row>
    <row r="129" ht="87.75" customHeight="1">
      <c r="A129" s="2" t="s">
        <v>886</v>
      </c>
      <c r="B129" s="2">
        <v>75.0</v>
      </c>
      <c r="C129" s="79" t="s">
        <v>21190</v>
      </c>
    </row>
    <row r="130" ht="87.75" customHeight="1">
      <c r="A130" s="2" t="s">
        <v>614</v>
      </c>
      <c r="B130" s="2">
        <v>75.0</v>
      </c>
      <c r="C130" s="79" t="s">
        <v>21191</v>
      </c>
    </row>
    <row r="131" ht="87.75" customHeight="1">
      <c r="A131" s="2" t="s">
        <v>49</v>
      </c>
      <c r="B131" s="2">
        <v>75.0</v>
      </c>
      <c r="C131" s="79" t="s">
        <v>21192</v>
      </c>
    </row>
    <row r="132" ht="87.75" customHeight="1">
      <c r="A132" s="2" t="s">
        <v>1630</v>
      </c>
      <c r="B132" s="2">
        <v>75.0</v>
      </c>
      <c r="C132" s="79" t="s">
        <v>21193</v>
      </c>
    </row>
    <row r="133" ht="87.75" customHeight="1">
      <c r="A133" s="2" t="s">
        <v>1485</v>
      </c>
      <c r="B133" s="2">
        <v>75.0</v>
      </c>
      <c r="C133" s="79" t="s">
        <v>21194</v>
      </c>
    </row>
    <row r="134" ht="87.75" customHeight="1">
      <c r="A134" s="2" t="s">
        <v>841</v>
      </c>
      <c r="B134" s="2">
        <v>75.0</v>
      </c>
      <c r="C134" s="79" t="s">
        <v>21195</v>
      </c>
    </row>
    <row r="135" ht="87.75" customHeight="1">
      <c r="A135" s="2" t="s">
        <v>294</v>
      </c>
      <c r="B135" s="2">
        <v>75.0</v>
      </c>
      <c r="C135" s="79" t="s">
        <v>21196</v>
      </c>
    </row>
    <row r="136" ht="87.75" customHeight="1">
      <c r="A136" s="2" t="s">
        <v>837</v>
      </c>
      <c r="B136" s="2">
        <v>75.0</v>
      </c>
      <c r="C136" s="79" t="s">
        <v>21197</v>
      </c>
    </row>
    <row r="137" ht="87.75" customHeight="1">
      <c r="A137" s="2" t="s">
        <v>41</v>
      </c>
      <c r="B137" s="2">
        <v>75.0</v>
      </c>
      <c r="C137" s="79" t="s">
        <v>21198</v>
      </c>
    </row>
    <row r="138" ht="87.75" customHeight="1">
      <c r="A138" s="2" t="s">
        <v>55</v>
      </c>
      <c r="B138" s="2">
        <v>75.0</v>
      </c>
      <c r="C138" s="79" t="s">
        <v>21199</v>
      </c>
    </row>
    <row r="139" ht="87.75" customHeight="1">
      <c r="A139" s="2" t="s">
        <v>296</v>
      </c>
      <c r="B139" s="2">
        <v>75.0</v>
      </c>
      <c r="C139" s="79" t="s">
        <v>21200</v>
      </c>
    </row>
    <row r="140" ht="87.75" customHeight="1">
      <c r="A140" s="2" t="s">
        <v>1367</v>
      </c>
      <c r="B140" s="2">
        <v>75.0</v>
      </c>
      <c r="C140" s="79" t="s">
        <v>21201</v>
      </c>
    </row>
    <row r="141" ht="87.75" customHeight="1">
      <c r="A141" s="2" t="s">
        <v>1081</v>
      </c>
      <c r="B141" s="2">
        <v>75.0</v>
      </c>
      <c r="C141" s="79" t="s">
        <v>21202</v>
      </c>
    </row>
    <row r="142" ht="87.75" customHeight="1">
      <c r="A142" s="2" t="s">
        <v>1402</v>
      </c>
      <c r="B142" s="2">
        <v>75.0</v>
      </c>
      <c r="C142" s="79" t="s">
        <v>21203</v>
      </c>
    </row>
    <row r="143" ht="87.75" customHeight="1">
      <c r="A143" s="2" t="s">
        <v>250</v>
      </c>
      <c r="B143" s="2">
        <v>75.0</v>
      </c>
      <c r="C143" s="79" t="s">
        <v>21204</v>
      </c>
    </row>
    <row r="144" ht="87.75" customHeight="1">
      <c r="A144" s="2" t="s">
        <v>451</v>
      </c>
      <c r="B144" s="2">
        <v>75.0</v>
      </c>
      <c r="C144" s="79" t="s">
        <v>21205</v>
      </c>
    </row>
    <row r="145" ht="87.75" customHeight="1">
      <c r="A145" s="2" t="s">
        <v>1458</v>
      </c>
      <c r="B145" s="2">
        <v>75.0</v>
      </c>
      <c r="C145" s="79" t="s">
        <v>21206</v>
      </c>
    </row>
    <row r="146" ht="87.75" customHeight="1">
      <c r="A146" s="2" t="s">
        <v>472</v>
      </c>
      <c r="B146" s="2">
        <v>75.0</v>
      </c>
      <c r="C146" s="79" t="s">
        <v>21207</v>
      </c>
    </row>
    <row r="147" ht="87.75" customHeight="1">
      <c r="A147" s="2" t="s">
        <v>1169</v>
      </c>
      <c r="B147" s="2">
        <v>75.0</v>
      </c>
      <c r="C147" s="79" t="s">
        <v>21208</v>
      </c>
    </row>
    <row r="148" ht="87.75" customHeight="1">
      <c r="A148" s="2" t="s">
        <v>39</v>
      </c>
      <c r="B148" s="2">
        <v>75.0</v>
      </c>
      <c r="C148" s="79" t="s">
        <v>21209</v>
      </c>
    </row>
    <row r="149" ht="87.75" customHeight="1">
      <c r="A149" s="2" t="s">
        <v>1505</v>
      </c>
      <c r="B149" s="2">
        <v>75.0</v>
      </c>
      <c r="C149" s="79" t="s">
        <v>21210</v>
      </c>
    </row>
    <row r="150" ht="87.75" customHeight="1">
      <c r="A150" s="2" t="s">
        <v>265</v>
      </c>
      <c r="B150" s="2">
        <v>75.0</v>
      </c>
      <c r="C150" s="79" t="s">
        <v>21211</v>
      </c>
    </row>
    <row r="151" ht="87.75" customHeight="1">
      <c r="A151" s="2" t="s">
        <v>1212</v>
      </c>
      <c r="B151" s="2">
        <v>75.0</v>
      </c>
      <c r="C151" s="79" t="s">
        <v>21212</v>
      </c>
    </row>
    <row r="152" ht="87.75" customHeight="1">
      <c r="A152" s="2" t="s">
        <v>1059</v>
      </c>
      <c r="B152" s="2">
        <v>75.0</v>
      </c>
      <c r="C152" s="79" t="s">
        <v>21213</v>
      </c>
    </row>
    <row r="153" ht="87.75" customHeight="1">
      <c r="A153" s="2" t="s">
        <v>953</v>
      </c>
      <c r="B153" s="2">
        <v>75.0</v>
      </c>
      <c r="C153" s="79" t="s">
        <v>21214</v>
      </c>
    </row>
    <row r="154" ht="87.75" customHeight="1">
      <c r="A154" s="2" t="s">
        <v>839</v>
      </c>
      <c r="B154" s="2">
        <v>75.0</v>
      </c>
      <c r="C154" s="79" t="s">
        <v>21215</v>
      </c>
    </row>
    <row r="155" ht="87.75" customHeight="1">
      <c r="A155" s="2" t="s">
        <v>185</v>
      </c>
      <c r="B155" s="2">
        <v>75.0</v>
      </c>
      <c r="C155" s="79" t="s">
        <v>21216</v>
      </c>
    </row>
    <row r="156" ht="87.75" customHeight="1">
      <c r="A156" s="2" t="s">
        <v>956</v>
      </c>
      <c r="B156" s="2">
        <v>75.0</v>
      </c>
      <c r="C156" s="79" t="s">
        <v>21217</v>
      </c>
    </row>
    <row r="157" ht="87.75" customHeight="1">
      <c r="A157" s="2" t="s">
        <v>1057</v>
      </c>
      <c r="B157" s="2">
        <v>75.0</v>
      </c>
      <c r="C157" s="79" t="s">
        <v>21218</v>
      </c>
    </row>
    <row r="158" ht="87.75" customHeight="1">
      <c r="A158" s="2" t="s">
        <v>1495</v>
      </c>
      <c r="B158" s="2">
        <v>75.0</v>
      </c>
      <c r="C158" s="79" t="s">
        <v>21219</v>
      </c>
    </row>
    <row r="159" ht="87.75" customHeight="1">
      <c r="A159" s="2" t="s">
        <v>1636</v>
      </c>
      <c r="B159" s="2">
        <v>75.0</v>
      </c>
      <c r="C159" s="79" t="s">
        <v>21220</v>
      </c>
    </row>
    <row r="160" ht="87.75" customHeight="1">
      <c r="A160" s="2" t="s">
        <v>1487</v>
      </c>
      <c r="B160" s="2">
        <v>75.0</v>
      </c>
      <c r="C160" s="79" t="s">
        <v>21221</v>
      </c>
    </row>
    <row r="161" ht="87.75" customHeight="1">
      <c r="A161" s="2" t="s">
        <v>59</v>
      </c>
      <c r="B161" s="2">
        <v>75.0</v>
      </c>
      <c r="C161" s="79" t="s">
        <v>21222</v>
      </c>
    </row>
    <row r="162" ht="87.75" customHeight="1">
      <c r="A162" s="2" t="s">
        <v>459</v>
      </c>
      <c r="B162" s="2">
        <v>75.0</v>
      </c>
      <c r="C162" s="79" t="s">
        <v>21223</v>
      </c>
    </row>
    <row r="163" ht="87.75" customHeight="1">
      <c r="A163" s="2" t="s">
        <v>264</v>
      </c>
      <c r="B163" s="2">
        <v>75.0</v>
      </c>
      <c r="C163" s="79" t="s">
        <v>21224</v>
      </c>
    </row>
    <row r="164" ht="87.75" customHeight="1">
      <c r="A164" s="2" t="s">
        <v>1074</v>
      </c>
      <c r="B164" s="2">
        <v>75.0</v>
      </c>
      <c r="C164" s="79" t="s">
        <v>21225</v>
      </c>
    </row>
    <row r="165" ht="87.75" customHeight="1">
      <c r="A165" s="2" t="s">
        <v>394</v>
      </c>
      <c r="B165" s="2">
        <v>75.0</v>
      </c>
      <c r="C165" s="79" t="s">
        <v>21226</v>
      </c>
    </row>
    <row r="166" ht="87.75" customHeight="1">
      <c r="A166" s="2" t="s">
        <v>1010</v>
      </c>
      <c r="B166" s="2">
        <v>75.0</v>
      </c>
      <c r="C166" s="79" t="s">
        <v>21227</v>
      </c>
    </row>
    <row r="167" ht="87.75" customHeight="1">
      <c r="A167" s="2" t="s">
        <v>1498</v>
      </c>
      <c r="B167" s="2">
        <v>75.0</v>
      </c>
      <c r="C167" s="79" t="s">
        <v>21228</v>
      </c>
    </row>
    <row r="168" ht="87.75" customHeight="1">
      <c r="A168" s="2" t="s">
        <v>53</v>
      </c>
      <c r="B168" s="2">
        <v>75.0</v>
      </c>
      <c r="C168" s="79" t="s">
        <v>21229</v>
      </c>
    </row>
    <row r="169" ht="87.75" customHeight="1">
      <c r="A169" s="2" t="s">
        <v>537</v>
      </c>
      <c r="B169" s="2">
        <v>75.0</v>
      </c>
      <c r="C169" s="79" t="s">
        <v>21230</v>
      </c>
    </row>
    <row r="170" ht="87.75" customHeight="1">
      <c r="A170" s="2" t="s">
        <v>263</v>
      </c>
      <c r="B170" s="2">
        <v>75.0</v>
      </c>
      <c r="C170" s="79" t="s">
        <v>21231</v>
      </c>
    </row>
    <row r="171" ht="87.75" customHeight="1">
      <c r="A171" s="2" t="s">
        <v>890</v>
      </c>
      <c r="B171" s="2">
        <v>75.0</v>
      </c>
      <c r="C171" s="79" t="s">
        <v>21232</v>
      </c>
    </row>
    <row r="172" ht="87.75" customHeight="1">
      <c r="A172" s="2" t="s">
        <v>1500</v>
      </c>
      <c r="B172" s="2">
        <v>75.0</v>
      </c>
      <c r="C172" s="79" t="s">
        <v>21233</v>
      </c>
    </row>
    <row r="173" ht="87.75" customHeight="1">
      <c r="A173" s="2" t="s">
        <v>809</v>
      </c>
      <c r="B173" s="2">
        <v>75.0</v>
      </c>
      <c r="C173" s="79" t="s">
        <v>21234</v>
      </c>
    </row>
    <row r="174" ht="87.75" customHeight="1">
      <c r="A174" s="2" t="s">
        <v>898</v>
      </c>
      <c r="B174" s="2">
        <v>75.0</v>
      </c>
      <c r="C174" s="79" t="s">
        <v>21235</v>
      </c>
    </row>
    <row r="175" ht="87.75" customHeight="1">
      <c r="A175" s="2" t="s">
        <v>1067</v>
      </c>
      <c r="B175" s="2">
        <v>75.0</v>
      </c>
      <c r="C175" s="79" t="s">
        <v>21236</v>
      </c>
    </row>
    <row r="176" ht="87.75" customHeight="1">
      <c r="A176" s="2" t="s">
        <v>1515</v>
      </c>
      <c r="B176" s="2">
        <v>75.0</v>
      </c>
      <c r="C176" s="79" t="s">
        <v>21237</v>
      </c>
    </row>
    <row r="177" ht="87.75" customHeight="1">
      <c r="A177" s="2" t="s">
        <v>278</v>
      </c>
      <c r="B177" s="2">
        <v>75.0</v>
      </c>
      <c r="C177" s="79" t="s">
        <v>21238</v>
      </c>
    </row>
    <row r="178" ht="87.75" customHeight="1">
      <c r="A178" s="2" t="s">
        <v>1393</v>
      </c>
      <c r="B178" s="2">
        <v>75.0</v>
      </c>
      <c r="C178" s="79" t="s">
        <v>21239</v>
      </c>
    </row>
    <row r="179" ht="87.75" customHeight="1">
      <c r="A179" s="2" t="s">
        <v>1133</v>
      </c>
      <c r="B179" s="2">
        <v>75.0</v>
      </c>
      <c r="C179" s="79" t="s">
        <v>21240</v>
      </c>
    </row>
    <row r="180" ht="87.75" customHeight="1">
      <c r="A180" s="2" t="s">
        <v>1165</v>
      </c>
      <c r="B180" s="2">
        <v>75.0</v>
      </c>
      <c r="C180" s="79" t="s">
        <v>21241</v>
      </c>
    </row>
    <row r="181" ht="87.75" customHeight="1">
      <c r="A181" s="2" t="s">
        <v>242</v>
      </c>
      <c r="B181" s="2">
        <v>75.0</v>
      </c>
      <c r="C181" s="79" t="s">
        <v>21242</v>
      </c>
    </row>
    <row r="182" ht="87.75" customHeight="1">
      <c r="A182" s="2" t="s">
        <v>275</v>
      </c>
      <c r="B182" s="2">
        <v>75.0</v>
      </c>
      <c r="C182" s="79" t="s">
        <v>21243</v>
      </c>
    </row>
    <row r="183" ht="87.75" customHeight="1">
      <c r="A183" s="2" t="s">
        <v>1237</v>
      </c>
      <c r="B183" s="2">
        <v>75.0</v>
      </c>
      <c r="C183" s="79" t="s">
        <v>21244</v>
      </c>
    </row>
    <row r="184" ht="87.75" customHeight="1">
      <c r="A184" s="2" t="s">
        <v>1443</v>
      </c>
      <c r="B184" s="2">
        <v>75.0</v>
      </c>
      <c r="C184" s="79" t="s">
        <v>21245</v>
      </c>
    </row>
    <row r="185" ht="87.75" customHeight="1">
      <c r="A185" s="2" t="s">
        <v>1522</v>
      </c>
      <c r="B185" s="2">
        <v>75.0</v>
      </c>
      <c r="C185" s="79" t="s">
        <v>21246</v>
      </c>
    </row>
    <row r="186" ht="87.75" customHeight="1">
      <c r="A186" s="2" t="s">
        <v>1153</v>
      </c>
      <c r="B186" s="2">
        <v>75.0</v>
      </c>
      <c r="C186" s="79" t="s">
        <v>21247</v>
      </c>
    </row>
    <row r="187" ht="87.75" customHeight="1">
      <c r="A187" s="2" t="s">
        <v>941</v>
      </c>
      <c r="B187" s="2">
        <v>75.0</v>
      </c>
      <c r="C187" s="79" t="s">
        <v>21248</v>
      </c>
    </row>
    <row r="188" ht="87.75" customHeight="1">
      <c r="A188" s="2" t="s">
        <v>206</v>
      </c>
      <c r="B188" s="2">
        <v>75.0</v>
      </c>
      <c r="C188" s="79" t="s">
        <v>21249</v>
      </c>
    </row>
    <row r="189" ht="87.75" customHeight="1">
      <c r="A189" s="2" t="s">
        <v>1474</v>
      </c>
      <c r="B189" s="2">
        <v>75.0</v>
      </c>
      <c r="C189" s="79" t="s">
        <v>21250</v>
      </c>
    </row>
    <row r="190" ht="87.75" customHeight="1">
      <c r="A190" s="2" t="s">
        <v>771</v>
      </c>
      <c r="B190" s="2">
        <v>75.0</v>
      </c>
      <c r="C190" s="79" t="s">
        <v>21251</v>
      </c>
    </row>
    <row r="191" ht="87.75" customHeight="1">
      <c r="A191" s="2" t="s">
        <v>198</v>
      </c>
      <c r="B191" s="2">
        <v>75.0</v>
      </c>
      <c r="C191" s="79" t="s">
        <v>21252</v>
      </c>
    </row>
    <row r="192" ht="87.75" customHeight="1">
      <c r="A192" s="2" t="s">
        <v>146</v>
      </c>
      <c r="B192" s="2">
        <v>75.0</v>
      </c>
      <c r="C192" s="79" t="s">
        <v>21253</v>
      </c>
    </row>
    <row r="193" ht="87.75" customHeight="1">
      <c r="A193" s="2" t="s">
        <v>295</v>
      </c>
      <c r="B193" s="2">
        <v>75.0</v>
      </c>
      <c r="C193" s="79" t="s">
        <v>21254</v>
      </c>
    </row>
    <row r="194" ht="87.75" customHeight="1">
      <c r="A194" s="2" t="s">
        <v>1163</v>
      </c>
      <c r="B194" s="2">
        <v>75.0</v>
      </c>
      <c r="C194" s="79" t="s">
        <v>21255</v>
      </c>
    </row>
    <row r="195" ht="87.75" customHeight="1">
      <c r="A195" s="2" t="s">
        <v>821</v>
      </c>
      <c r="B195" s="2">
        <v>75.0</v>
      </c>
      <c r="C195" s="79" t="s">
        <v>21256</v>
      </c>
    </row>
    <row r="196" ht="87.75" customHeight="1">
      <c r="A196" s="2" t="s">
        <v>1061</v>
      </c>
      <c r="B196" s="2">
        <v>75.0</v>
      </c>
      <c r="C196" s="79" t="s">
        <v>21257</v>
      </c>
    </row>
    <row r="197" ht="87.75" customHeight="1">
      <c r="A197" s="2" t="s">
        <v>1477</v>
      </c>
      <c r="B197" s="2">
        <v>75.0</v>
      </c>
      <c r="C197" s="79" t="s">
        <v>21258</v>
      </c>
    </row>
    <row r="198" ht="87.75" customHeight="1">
      <c r="A198" s="2" t="s">
        <v>143</v>
      </c>
      <c r="B198" s="2">
        <v>75.0</v>
      </c>
      <c r="C198" s="79" t="s">
        <v>21259</v>
      </c>
    </row>
    <row r="199" ht="87.75" customHeight="1">
      <c r="A199" s="2" t="s">
        <v>816</v>
      </c>
      <c r="B199" s="2">
        <v>75.0</v>
      </c>
      <c r="C199" s="79" t="s">
        <v>21260</v>
      </c>
    </row>
    <row r="200" ht="87.75" customHeight="1">
      <c r="A200" s="2" t="s">
        <v>1235</v>
      </c>
      <c r="B200" s="2">
        <v>75.0</v>
      </c>
      <c r="C200" s="79" t="s">
        <v>21261</v>
      </c>
    </row>
    <row r="201" ht="87.75" customHeight="1">
      <c r="A201" s="2" t="s">
        <v>1445</v>
      </c>
      <c r="B201" s="2">
        <v>75.0</v>
      </c>
      <c r="C201" s="79" t="s">
        <v>21262</v>
      </c>
    </row>
    <row r="202" ht="87.75" customHeight="1">
      <c r="A202" s="2" t="s">
        <v>1321</v>
      </c>
      <c r="B202" s="2">
        <v>75.0</v>
      </c>
      <c r="C202" s="79" t="s">
        <v>21263</v>
      </c>
    </row>
    <row r="203" ht="87.75" customHeight="1">
      <c r="A203" s="2" t="s">
        <v>878</v>
      </c>
      <c r="B203" s="2">
        <v>75.0</v>
      </c>
      <c r="C203" s="79" t="s">
        <v>21264</v>
      </c>
    </row>
    <row r="204" ht="87.75" customHeight="1">
      <c r="A204" s="2" t="s">
        <v>1481</v>
      </c>
      <c r="B204" s="2">
        <v>75.0</v>
      </c>
      <c r="C204" s="79" t="s">
        <v>21265</v>
      </c>
    </row>
    <row r="205" ht="87.75" customHeight="1">
      <c r="A205" s="2" t="s">
        <v>1065</v>
      </c>
      <c r="B205" s="2">
        <v>75.0</v>
      </c>
      <c r="C205" s="79" t="s">
        <v>21266</v>
      </c>
    </row>
    <row r="206" ht="87.75" customHeight="1">
      <c r="A206" s="2" t="s">
        <v>57</v>
      </c>
      <c r="B206" s="2">
        <v>75.0</v>
      </c>
      <c r="C206" s="79" t="s">
        <v>21267</v>
      </c>
    </row>
    <row r="207" ht="87.75" customHeight="1">
      <c r="A207" s="2" t="s">
        <v>244</v>
      </c>
      <c r="B207" s="2">
        <v>75.0</v>
      </c>
      <c r="C207" s="79" t="s">
        <v>21268</v>
      </c>
    </row>
    <row r="208" ht="87.75" customHeight="1">
      <c r="A208" s="2" t="s">
        <v>1490</v>
      </c>
      <c r="B208" s="2">
        <v>75.0</v>
      </c>
      <c r="C208" s="79" t="s">
        <v>21269</v>
      </c>
    </row>
    <row r="209" ht="87.75" customHeight="1">
      <c r="A209" s="2" t="s">
        <v>51</v>
      </c>
      <c r="B209" s="2">
        <v>75.0</v>
      </c>
      <c r="C209" s="79" t="s">
        <v>21270</v>
      </c>
    </row>
    <row r="210" ht="87.75" customHeight="1">
      <c r="A210" s="2" t="s">
        <v>1063</v>
      </c>
      <c r="B210" s="2">
        <v>75.0</v>
      </c>
      <c r="C210" s="79" t="s">
        <v>21271</v>
      </c>
    </row>
    <row r="211" ht="87.75" customHeight="1">
      <c r="A211" s="2" t="s">
        <v>929</v>
      </c>
      <c r="B211" s="2">
        <v>75.0</v>
      </c>
      <c r="C211" s="79" t="s">
        <v>21272</v>
      </c>
    </row>
    <row r="212" ht="87.75" customHeight="1">
      <c r="A212" s="2" t="s">
        <v>355</v>
      </c>
      <c r="B212" s="2">
        <v>75.0</v>
      </c>
      <c r="C212" s="79" t="s">
        <v>21273</v>
      </c>
    </row>
    <row r="213" ht="87.75" customHeight="1">
      <c r="A213" s="2" t="s">
        <v>468</v>
      </c>
      <c r="B213" s="2">
        <v>75.0</v>
      </c>
      <c r="C213" s="79" t="s">
        <v>21274</v>
      </c>
    </row>
    <row r="214" ht="87.75" customHeight="1">
      <c r="A214" s="2" t="s">
        <v>147</v>
      </c>
      <c r="B214" s="2">
        <v>75.0</v>
      </c>
      <c r="C214" s="79" t="s">
        <v>21275</v>
      </c>
    </row>
    <row r="215" ht="87.75" customHeight="1">
      <c r="A215" s="2" t="s">
        <v>1381</v>
      </c>
      <c r="B215" s="2">
        <v>70.0</v>
      </c>
      <c r="C215" s="79" t="s">
        <v>21276</v>
      </c>
    </row>
    <row r="216" ht="87.75" customHeight="1">
      <c r="A216" s="2" t="s">
        <v>1361</v>
      </c>
      <c r="B216" s="2">
        <v>70.0</v>
      </c>
      <c r="C216" s="79" t="s">
        <v>21277</v>
      </c>
    </row>
    <row r="217" ht="87.75" customHeight="1">
      <c r="A217" s="2" t="s">
        <v>787</v>
      </c>
      <c r="B217" s="2">
        <v>70.0</v>
      </c>
      <c r="C217" s="79" t="s">
        <v>21278</v>
      </c>
    </row>
    <row r="218" ht="87.75" customHeight="1">
      <c r="A218" s="2" t="s">
        <v>6209</v>
      </c>
      <c r="B218" s="2">
        <v>70.0</v>
      </c>
      <c r="C218" s="79" t="s">
        <v>21279</v>
      </c>
    </row>
    <row r="219" ht="87.75" customHeight="1">
      <c r="A219" s="2" t="s">
        <v>965</v>
      </c>
      <c r="B219" s="2">
        <v>70.0</v>
      </c>
      <c r="C219" s="79" t="s">
        <v>21280</v>
      </c>
    </row>
    <row r="220" ht="87.75" customHeight="1">
      <c r="A220" s="2" t="s">
        <v>1641</v>
      </c>
      <c r="B220" s="2">
        <v>70.0</v>
      </c>
      <c r="C220" s="79" t="s">
        <v>21281</v>
      </c>
    </row>
    <row r="221" ht="87.75" customHeight="1">
      <c r="A221" s="2" t="s">
        <v>1590</v>
      </c>
      <c r="B221" s="2">
        <v>70.0</v>
      </c>
      <c r="C221" s="79" t="s">
        <v>21282</v>
      </c>
    </row>
    <row r="222" ht="87.75" customHeight="1">
      <c r="A222" s="2" t="s">
        <v>1582</v>
      </c>
      <c r="B222" s="2">
        <v>70.0</v>
      </c>
      <c r="C222" s="79" t="s">
        <v>21283</v>
      </c>
    </row>
    <row r="223" ht="87.75" customHeight="1">
      <c r="A223" s="2" t="s">
        <v>1195</v>
      </c>
      <c r="B223" s="2">
        <v>70.0</v>
      </c>
      <c r="C223" s="79" t="s">
        <v>21284</v>
      </c>
    </row>
    <row r="224" ht="87.75" customHeight="1">
      <c r="A224" s="2" t="s">
        <v>1245</v>
      </c>
      <c r="B224" s="2">
        <v>70.0</v>
      </c>
      <c r="C224" s="79" t="s">
        <v>21285</v>
      </c>
    </row>
    <row r="225" ht="87.75" customHeight="1">
      <c r="A225" s="2" t="s">
        <v>85</v>
      </c>
      <c r="B225" s="2">
        <v>70.0</v>
      </c>
      <c r="C225" s="79" t="s">
        <v>21286</v>
      </c>
    </row>
    <row r="226" ht="87.75" customHeight="1">
      <c r="A226" s="2" t="s">
        <v>6187</v>
      </c>
      <c r="B226" s="2">
        <v>70.0</v>
      </c>
      <c r="C226" s="79" t="s">
        <v>21287</v>
      </c>
    </row>
    <row r="227" ht="87.75" customHeight="1">
      <c r="A227" s="2" t="s">
        <v>1449</v>
      </c>
      <c r="B227" s="2">
        <v>70.0</v>
      </c>
      <c r="C227" s="79" t="s">
        <v>21288</v>
      </c>
    </row>
    <row r="228" ht="87.75" customHeight="1">
      <c r="A228" s="2" t="s">
        <v>1350</v>
      </c>
      <c r="B228" s="2">
        <v>70.0</v>
      </c>
      <c r="C228" s="79" t="s">
        <v>21289</v>
      </c>
    </row>
    <row r="229" ht="87.75" customHeight="1">
      <c r="A229" s="2" t="s">
        <v>1373</v>
      </c>
      <c r="B229" s="2">
        <v>70.0</v>
      </c>
      <c r="C229" s="79" t="s">
        <v>21290</v>
      </c>
    </row>
    <row r="230" ht="87.75" customHeight="1">
      <c r="A230" s="2" t="s">
        <v>862</v>
      </c>
      <c r="B230" s="2">
        <v>70.0</v>
      </c>
      <c r="C230" s="79" t="s">
        <v>21291</v>
      </c>
    </row>
    <row r="231" ht="87.75" customHeight="1">
      <c r="A231" s="2" t="s">
        <v>825</v>
      </c>
      <c r="B231" s="2">
        <v>70.0</v>
      </c>
      <c r="C231" s="79" t="s">
        <v>21292</v>
      </c>
    </row>
    <row r="232" ht="87.75" customHeight="1">
      <c r="A232" s="2" t="s">
        <v>1608</v>
      </c>
      <c r="B232" s="2">
        <v>70.0</v>
      </c>
      <c r="C232" s="79" t="s">
        <v>21293</v>
      </c>
    </row>
    <row r="233" ht="87.75" customHeight="1">
      <c r="A233" s="2" t="s">
        <v>1028</v>
      </c>
      <c r="B233" s="2">
        <v>70.0</v>
      </c>
      <c r="C233" s="79" t="s">
        <v>21294</v>
      </c>
    </row>
    <row r="234" ht="87.75" customHeight="1">
      <c r="A234" s="2" t="s">
        <v>833</v>
      </c>
      <c r="B234" s="2">
        <v>70.0</v>
      </c>
      <c r="C234" s="79" t="s">
        <v>21295</v>
      </c>
    </row>
    <row r="235" ht="87.75" customHeight="1">
      <c r="A235" s="2" t="s">
        <v>486</v>
      </c>
      <c r="B235" s="2">
        <v>70.0</v>
      </c>
      <c r="C235" s="79" t="s">
        <v>21296</v>
      </c>
    </row>
    <row r="236" ht="87.75" customHeight="1">
      <c r="A236" s="2" t="s">
        <v>1634</v>
      </c>
      <c r="B236" s="2">
        <v>70.0</v>
      </c>
      <c r="C236" s="79" t="s">
        <v>21297</v>
      </c>
    </row>
    <row r="237" ht="87.75" customHeight="1">
      <c r="A237" s="2" t="s">
        <v>1611</v>
      </c>
      <c r="B237" s="2">
        <v>70.0</v>
      </c>
      <c r="C237" s="79" t="s">
        <v>21298</v>
      </c>
    </row>
    <row r="238" ht="87.75" customHeight="1">
      <c r="A238" s="2" t="s">
        <v>780</v>
      </c>
      <c r="B238" s="2">
        <v>70.0</v>
      </c>
      <c r="C238" s="79" t="s">
        <v>21299</v>
      </c>
    </row>
    <row r="239" ht="87.75" customHeight="1">
      <c r="A239" s="2" t="s">
        <v>870</v>
      </c>
      <c r="B239" s="2">
        <v>70.0</v>
      </c>
      <c r="C239" s="79" t="s">
        <v>21300</v>
      </c>
    </row>
    <row r="240" ht="87.75" customHeight="1">
      <c r="A240" s="2" t="s">
        <v>1468</v>
      </c>
      <c r="B240" s="2">
        <v>70.0</v>
      </c>
      <c r="C240" s="79" t="s">
        <v>21301</v>
      </c>
    </row>
    <row r="241" ht="87.75" customHeight="1">
      <c r="A241" s="2" t="s">
        <v>426</v>
      </c>
      <c r="B241" s="2">
        <v>70.0</v>
      </c>
      <c r="C241" s="79" t="s">
        <v>21302</v>
      </c>
    </row>
    <row r="242" ht="87.75" customHeight="1">
      <c r="A242" s="2" t="s">
        <v>1352</v>
      </c>
      <c r="B242" s="2">
        <v>70.0</v>
      </c>
      <c r="C242" s="79" t="s">
        <v>21303</v>
      </c>
    </row>
    <row r="243" ht="87.75" customHeight="1">
      <c r="A243" s="2" t="s">
        <v>855</v>
      </c>
      <c r="B243" s="2">
        <v>70.0</v>
      </c>
      <c r="C243" s="79" t="s">
        <v>21304</v>
      </c>
    </row>
    <row r="244" ht="87.75" customHeight="1">
      <c r="A244" s="2" t="s">
        <v>1183</v>
      </c>
      <c r="B244" s="2">
        <v>70.0</v>
      </c>
      <c r="C244" s="79" t="s">
        <v>21305</v>
      </c>
    </row>
    <row r="245" ht="87.75" customHeight="1">
      <c r="A245" s="2" t="s">
        <v>1379</v>
      </c>
      <c r="B245" s="2">
        <v>70.0</v>
      </c>
      <c r="C245" s="79" t="s">
        <v>21306</v>
      </c>
    </row>
    <row r="246" ht="87.75" customHeight="1">
      <c r="A246" s="2" t="s">
        <v>864</v>
      </c>
      <c r="B246" s="2">
        <v>70.0</v>
      </c>
      <c r="C246" s="79" t="s">
        <v>21307</v>
      </c>
    </row>
    <row r="247" ht="87.75" customHeight="1">
      <c r="A247" s="2" t="s">
        <v>1252</v>
      </c>
      <c r="B247" s="2">
        <v>70.0</v>
      </c>
      <c r="C247" s="79" t="s">
        <v>21308</v>
      </c>
    </row>
    <row r="248" ht="87.75" customHeight="1">
      <c r="A248" s="2" t="s">
        <v>1171</v>
      </c>
      <c r="B248" s="2">
        <v>70.0</v>
      </c>
      <c r="C248" s="79" t="s">
        <v>21309</v>
      </c>
    </row>
    <row r="249" ht="87.75" customHeight="1">
      <c r="A249" s="2" t="s">
        <v>71</v>
      </c>
      <c r="B249" s="2">
        <v>70.0</v>
      </c>
      <c r="C249" s="79" t="s">
        <v>21310</v>
      </c>
    </row>
    <row r="250" ht="87.75" customHeight="1">
      <c r="A250" s="2" t="s">
        <v>1015</v>
      </c>
      <c r="B250" s="2">
        <v>70.0</v>
      </c>
      <c r="C250" s="79" t="s">
        <v>21311</v>
      </c>
    </row>
    <row r="251" ht="87.75" customHeight="1">
      <c r="A251" s="2" t="s">
        <v>927</v>
      </c>
      <c r="B251" s="2">
        <v>70.0</v>
      </c>
      <c r="C251" s="79" t="s">
        <v>21312</v>
      </c>
    </row>
    <row r="252" ht="87.75" customHeight="1">
      <c r="A252" s="2" t="s">
        <v>241</v>
      </c>
      <c r="B252" s="2">
        <v>70.0</v>
      </c>
      <c r="C252" s="79" t="s">
        <v>21313</v>
      </c>
    </row>
    <row r="253" ht="87.75" customHeight="1">
      <c r="A253" s="2" t="s">
        <v>1041</v>
      </c>
      <c r="B253" s="2">
        <v>70.0</v>
      </c>
      <c r="C253" s="79" t="s">
        <v>21314</v>
      </c>
    </row>
    <row r="254" ht="87.75" customHeight="1">
      <c r="A254" s="2" t="s">
        <v>19271</v>
      </c>
      <c r="B254" s="2">
        <v>70.0</v>
      </c>
      <c r="C254" s="79" t="s">
        <v>21315</v>
      </c>
    </row>
    <row r="255" ht="87.75" customHeight="1">
      <c r="A255" s="2" t="s">
        <v>792</v>
      </c>
      <c r="B255" s="2">
        <v>70.0</v>
      </c>
      <c r="C255" s="79" t="s">
        <v>21316</v>
      </c>
    </row>
    <row r="256" ht="87.75" customHeight="1">
      <c r="A256" s="2" t="s">
        <v>1139</v>
      </c>
      <c r="B256" s="2">
        <v>70.0</v>
      </c>
      <c r="C256" s="79" t="s">
        <v>21317</v>
      </c>
    </row>
    <row r="257" ht="87.75" customHeight="1">
      <c r="A257" s="2" t="s">
        <v>89</v>
      </c>
      <c r="B257" s="2">
        <v>70.0</v>
      </c>
      <c r="C257" s="79" t="s">
        <v>21318</v>
      </c>
    </row>
    <row r="258" ht="87.75" customHeight="1">
      <c r="A258" s="2" t="s">
        <v>1069</v>
      </c>
      <c r="B258" s="2">
        <v>70.0</v>
      </c>
      <c r="C258" s="79" t="s">
        <v>21319</v>
      </c>
    </row>
    <row r="259" ht="87.75" customHeight="1">
      <c r="A259" s="2" t="s">
        <v>1137</v>
      </c>
      <c r="B259" s="2">
        <v>70.0</v>
      </c>
      <c r="C259" s="79" t="s">
        <v>21320</v>
      </c>
    </row>
    <row r="260" ht="87.75" customHeight="1">
      <c r="A260" s="2" t="s">
        <v>1135</v>
      </c>
      <c r="B260" s="2">
        <v>70.0</v>
      </c>
      <c r="C260" s="79" t="s">
        <v>21321</v>
      </c>
    </row>
    <row r="261" ht="87.75" customHeight="1">
      <c r="A261" s="2" t="s">
        <v>230</v>
      </c>
      <c r="B261" s="2">
        <v>70.0</v>
      </c>
      <c r="C261" s="79" t="s">
        <v>21322</v>
      </c>
    </row>
    <row r="262" ht="87.75" customHeight="1">
      <c r="A262" s="2" t="s">
        <v>766</v>
      </c>
      <c r="B262" s="2">
        <v>70.0</v>
      </c>
      <c r="C262" s="79" t="s">
        <v>21323</v>
      </c>
    </row>
    <row r="263" ht="87.75" customHeight="1">
      <c r="A263" s="2" t="s">
        <v>1147</v>
      </c>
      <c r="B263" s="2">
        <v>70.0</v>
      </c>
      <c r="C263" s="79" t="s">
        <v>21324</v>
      </c>
    </row>
    <row r="264" ht="87.75" customHeight="1">
      <c r="A264" s="2" t="s">
        <v>144</v>
      </c>
      <c r="B264" s="2">
        <v>70.0</v>
      </c>
      <c r="C264" s="79" t="s">
        <v>21325</v>
      </c>
    </row>
    <row r="265" ht="87.75" customHeight="1">
      <c r="A265" s="2" t="s">
        <v>1149</v>
      </c>
      <c r="B265" s="2">
        <v>70.0</v>
      </c>
      <c r="C265" s="79" t="s">
        <v>21326</v>
      </c>
    </row>
    <row r="266" ht="87.75" customHeight="1">
      <c r="A266" s="2" t="s">
        <v>958</v>
      </c>
      <c r="B266" s="2">
        <v>70.0</v>
      </c>
      <c r="C266" s="79" t="s">
        <v>21327</v>
      </c>
    </row>
    <row r="267" ht="87.75" customHeight="1">
      <c r="A267" s="2" t="s">
        <v>1231</v>
      </c>
      <c r="B267" s="2">
        <v>70.0</v>
      </c>
      <c r="C267" s="79" t="s">
        <v>21328</v>
      </c>
    </row>
    <row r="268" ht="87.75" customHeight="1">
      <c r="A268" s="2" t="s">
        <v>1266</v>
      </c>
      <c r="B268" s="2">
        <v>70.0</v>
      </c>
      <c r="C268" s="79" t="s">
        <v>21329</v>
      </c>
    </row>
    <row r="269" ht="87.75" customHeight="1">
      <c r="A269" s="2" t="s">
        <v>1264</v>
      </c>
      <c r="B269" s="2">
        <v>70.0</v>
      </c>
      <c r="C269" s="79" t="s">
        <v>21330</v>
      </c>
    </row>
    <row r="270" ht="87.75" customHeight="1">
      <c r="A270" s="2" t="s">
        <v>1406</v>
      </c>
      <c r="B270" s="2">
        <v>70.0</v>
      </c>
      <c r="C270" s="79" t="s">
        <v>21331</v>
      </c>
    </row>
    <row r="271" ht="87.75" customHeight="1">
      <c r="A271" s="2" t="s">
        <v>1131</v>
      </c>
      <c r="B271" s="2">
        <v>70.0</v>
      </c>
      <c r="C271" s="79" t="s">
        <v>21332</v>
      </c>
    </row>
    <row r="272" ht="87.75" customHeight="1">
      <c r="A272" s="2" t="s">
        <v>859</v>
      </c>
      <c r="B272" s="2">
        <v>70.0</v>
      </c>
      <c r="C272" s="79" t="s">
        <v>21333</v>
      </c>
    </row>
    <row r="273" ht="87.75" customHeight="1">
      <c r="A273" s="2" t="s">
        <v>1524</v>
      </c>
      <c r="B273" s="2">
        <v>70.0</v>
      </c>
      <c r="C273" s="79" t="s">
        <v>21334</v>
      </c>
    </row>
    <row r="274" ht="87.75" customHeight="1">
      <c r="A274" s="2" t="s">
        <v>1437</v>
      </c>
      <c r="B274" s="2">
        <v>70.0</v>
      </c>
      <c r="C274" s="79" t="s">
        <v>21335</v>
      </c>
    </row>
    <row r="275" ht="87.75" customHeight="1">
      <c r="A275" s="2" t="s">
        <v>1034</v>
      </c>
      <c r="B275" s="2">
        <v>70.0</v>
      </c>
      <c r="C275" s="79" t="s">
        <v>21336</v>
      </c>
    </row>
    <row r="276" ht="87.75" customHeight="1">
      <c r="A276" s="2" t="s">
        <v>1348</v>
      </c>
      <c r="B276" s="2">
        <v>70.0</v>
      </c>
      <c r="C276" s="79" t="s">
        <v>21337</v>
      </c>
    </row>
    <row r="277" ht="87.75" customHeight="1">
      <c r="A277" s="2" t="s">
        <v>1193</v>
      </c>
      <c r="B277" s="2">
        <v>70.0</v>
      </c>
      <c r="C277" s="79" t="s">
        <v>21338</v>
      </c>
    </row>
    <row r="278" ht="87.75" customHeight="1">
      <c r="A278" s="2" t="s">
        <v>1439</v>
      </c>
      <c r="B278" s="2">
        <v>70.0</v>
      </c>
      <c r="C278" s="79" t="s">
        <v>21339</v>
      </c>
    </row>
    <row r="279" ht="87.75" customHeight="1">
      <c r="A279" s="2" t="s">
        <v>1262</v>
      </c>
      <c r="B279" s="2">
        <v>70.0</v>
      </c>
      <c r="C279" s="79" t="s">
        <v>21340</v>
      </c>
    </row>
    <row r="280" ht="87.75" customHeight="1">
      <c r="A280" s="2" t="s">
        <v>1206</v>
      </c>
      <c r="B280" s="2">
        <v>70.0</v>
      </c>
      <c r="C280" s="79" t="s">
        <v>21341</v>
      </c>
    </row>
    <row r="281" ht="87.75" customHeight="1">
      <c r="A281" s="2" t="s">
        <v>1256</v>
      </c>
      <c r="B281" s="2">
        <v>70.0</v>
      </c>
      <c r="C281" s="79" t="s">
        <v>21342</v>
      </c>
    </row>
    <row r="282" ht="87.75" customHeight="1">
      <c r="A282" s="2" t="s">
        <v>1313</v>
      </c>
      <c r="B282" s="2">
        <v>70.0</v>
      </c>
      <c r="C282" s="79" t="s">
        <v>21343</v>
      </c>
    </row>
    <row r="283" ht="87.75" customHeight="1">
      <c r="A283" s="2" t="s">
        <v>38</v>
      </c>
      <c r="B283" s="2">
        <v>70.0</v>
      </c>
      <c r="C283" s="79" t="s">
        <v>21344</v>
      </c>
    </row>
    <row r="284" ht="87.75" customHeight="1">
      <c r="A284" s="2" t="s">
        <v>254</v>
      </c>
      <c r="B284" s="2">
        <v>70.0</v>
      </c>
      <c r="C284" s="79" t="s">
        <v>21345</v>
      </c>
    </row>
    <row r="285" ht="87.75" customHeight="1">
      <c r="A285" s="2" t="s">
        <v>1083</v>
      </c>
      <c r="B285" s="2">
        <v>70.0</v>
      </c>
      <c r="C285" s="79" t="s">
        <v>21346</v>
      </c>
    </row>
    <row r="286" ht="87.75" customHeight="1">
      <c r="A286" s="2" t="s">
        <v>1049</v>
      </c>
      <c r="B286" s="2">
        <v>70.0</v>
      </c>
      <c r="C286" s="79" t="s">
        <v>21347</v>
      </c>
    </row>
    <row r="287" ht="87.75" customHeight="1">
      <c r="A287" s="2" t="s">
        <v>1319</v>
      </c>
      <c r="B287" s="2">
        <v>70.0</v>
      </c>
      <c r="C287" s="79" t="s">
        <v>21348</v>
      </c>
    </row>
    <row r="288" ht="87.75" customHeight="1">
      <c r="A288" s="2" t="s">
        <v>1117</v>
      </c>
      <c r="B288" s="2">
        <v>70.0</v>
      </c>
      <c r="C288" s="79" t="s">
        <v>21349</v>
      </c>
    </row>
    <row r="289" ht="87.75" customHeight="1">
      <c r="A289" s="2" t="s">
        <v>91</v>
      </c>
      <c r="B289" s="2">
        <v>70.0</v>
      </c>
      <c r="C289" s="79" t="s">
        <v>21350</v>
      </c>
    </row>
    <row r="290" ht="87.75" customHeight="1">
      <c r="A290" s="2" t="s">
        <v>1545</v>
      </c>
      <c r="B290" s="2">
        <v>70.0</v>
      </c>
      <c r="C290" s="79" t="s">
        <v>21351</v>
      </c>
    </row>
    <row r="291" ht="87.75" customHeight="1">
      <c r="A291" s="2" t="s">
        <v>1121</v>
      </c>
      <c r="B291" s="2">
        <v>70.0</v>
      </c>
      <c r="C291" s="79" t="s">
        <v>21352</v>
      </c>
    </row>
    <row r="292" ht="87.75" customHeight="1">
      <c r="A292" s="2" t="s">
        <v>342</v>
      </c>
      <c r="B292" s="2">
        <v>70.0</v>
      </c>
      <c r="C292" s="79" t="s">
        <v>21353</v>
      </c>
    </row>
    <row r="293" ht="87.75" customHeight="1">
      <c r="A293" s="2" t="s">
        <v>1329</v>
      </c>
      <c r="B293" s="2">
        <v>70.0</v>
      </c>
      <c r="C293" s="79" t="s">
        <v>21354</v>
      </c>
    </row>
    <row r="294" ht="87.75" customHeight="1">
      <c r="A294" s="2" t="s">
        <v>849</v>
      </c>
      <c r="B294" s="2">
        <v>70.0</v>
      </c>
      <c r="C294" s="79" t="s">
        <v>21355</v>
      </c>
    </row>
    <row r="295" ht="87.75" customHeight="1">
      <c r="A295" s="2" t="s">
        <v>876</v>
      </c>
      <c r="B295" s="2">
        <v>70.0</v>
      </c>
      <c r="C295" s="79" t="s">
        <v>21356</v>
      </c>
    </row>
    <row r="296" ht="87.75" customHeight="1">
      <c r="A296" s="2" t="s">
        <v>1479</v>
      </c>
      <c r="B296" s="2">
        <v>70.0</v>
      </c>
      <c r="C296" s="79" t="s">
        <v>21357</v>
      </c>
    </row>
    <row r="297" ht="87.75" customHeight="1">
      <c r="A297" s="2" t="s">
        <v>1483</v>
      </c>
      <c r="B297" s="2">
        <v>70.0</v>
      </c>
      <c r="C297" s="79" t="s">
        <v>21358</v>
      </c>
    </row>
    <row r="298" ht="87.75" customHeight="1">
      <c r="A298" s="2" t="s">
        <v>1301</v>
      </c>
      <c r="B298" s="2">
        <v>70.0</v>
      </c>
      <c r="C298" s="79" t="s">
        <v>21359</v>
      </c>
    </row>
    <row r="299" ht="87.75" customHeight="1">
      <c r="A299" s="2" t="s">
        <v>19494</v>
      </c>
      <c r="B299" s="2">
        <v>70.0</v>
      </c>
      <c r="C299" s="79" t="s">
        <v>21360</v>
      </c>
    </row>
    <row r="300" ht="87.75" customHeight="1">
      <c r="A300" s="2" t="s">
        <v>1493</v>
      </c>
      <c r="B300" s="2">
        <v>70.0</v>
      </c>
      <c r="C300" s="79" t="s">
        <v>21361</v>
      </c>
    </row>
    <row r="301" ht="87.75" customHeight="1">
      <c r="A301" s="2" t="s">
        <v>963</v>
      </c>
      <c r="B301" s="2">
        <v>70.0</v>
      </c>
      <c r="C301" s="79" t="s">
        <v>21362</v>
      </c>
    </row>
    <row r="302" ht="87.75" customHeight="1">
      <c r="A302" s="2" t="s">
        <v>1429</v>
      </c>
      <c r="B302" s="2">
        <v>70.0</v>
      </c>
      <c r="C302" s="79" t="s">
        <v>21363</v>
      </c>
    </row>
    <row r="303" ht="87.75" customHeight="1">
      <c r="A303" s="2" t="s">
        <v>1229</v>
      </c>
      <c r="B303" s="2">
        <v>70.0</v>
      </c>
      <c r="C303" s="79" t="s">
        <v>21364</v>
      </c>
    </row>
    <row r="304" ht="87.75" customHeight="1">
      <c r="A304" s="2" t="s">
        <v>145</v>
      </c>
      <c r="B304" s="2">
        <v>70.0</v>
      </c>
      <c r="C304" s="79" t="s">
        <v>21365</v>
      </c>
    </row>
    <row r="305" ht="87.75" customHeight="1">
      <c r="A305" s="2" t="s">
        <v>1503</v>
      </c>
      <c r="B305" s="2">
        <v>70.0</v>
      </c>
      <c r="C305" s="79" t="s">
        <v>21366</v>
      </c>
    </row>
    <row r="306" ht="87.75" customHeight="1">
      <c r="A306" s="2" t="s">
        <v>1181</v>
      </c>
      <c r="B306" s="2">
        <v>70.0</v>
      </c>
      <c r="C306" s="79" t="s">
        <v>21367</v>
      </c>
    </row>
    <row r="307" ht="87.75" customHeight="1">
      <c r="A307" s="2" t="s">
        <v>819</v>
      </c>
      <c r="B307" s="2">
        <v>70.0</v>
      </c>
      <c r="C307" s="79" t="s">
        <v>21368</v>
      </c>
    </row>
    <row r="308" ht="87.75" customHeight="1">
      <c r="A308" s="2" t="s">
        <v>1410</v>
      </c>
      <c r="B308" s="2">
        <v>70.0</v>
      </c>
      <c r="C308" s="79" t="s">
        <v>21369</v>
      </c>
    </row>
    <row r="309" ht="87.75" customHeight="1">
      <c r="A309" s="2" t="s">
        <v>1032</v>
      </c>
      <c r="B309" s="2">
        <v>70.0</v>
      </c>
      <c r="C309" s="79" t="s">
        <v>21370</v>
      </c>
    </row>
    <row r="310" ht="87.75" customHeight="1">
      <c r="A310" s="2" t="s">
        <v>1508</v>
      </c>
      <c r="B310" s="2">
        <v>70.0</v>
      </c>
      <c r="C310" s="79" t="s">
        <v>21371</v>
      </c>
    </row>
    <row r="311" ht="87.75" customHeight="1">
      <c r="A311" s="2" t="s">
        <v>1161</v>
      </c>
      <c r="B311" s="2">
        <v>70.0</v>
      </c>
      <c r="C311" s="79" t="s">
        <v>21372</v>
      </c>
    </row>
    <row r="312" ht="87.75" customHeight="1">
      <c r="A312" s="2" t="s">
        <v>1464</v>
      </c>
      <c r="B312" s="2">
        <v>70.0</v>
      </c>
      <c r="C312" s="79" t="s">
        <v>21373</v>
      </c>
    </row>
    <row r="313" ht="87.75" customHeight="1">
      <c r="A313" s="2" t="s">
        <v>1365</v>
      </c>
      <c r="B313" s="2">
        <v>70.0</v>
      </c>
      <c r="C313" s="79" t="s">
        <v>21374</v>
      </c>
    </row>
    <row r="314" ht="87.75" customHeight="1">
      <c r="A314" s="2" t="s">
        <v>785</v>
      </c>
      <c r="B314" s="2">
        <v>70.0</v>
      </c>
      <c r="C314" s="79" t="s">
        <v>21375</v>
      </c>
    </row>
    <row r="315" ht="87.75" customHeight="1">
      <c r="A315" s="2" t="s">
        <v>82</v>
      </c>
      <c r="B315" s="2">
        <v>70.0</v>
      </c>
      <c r="C315" s="79" t="s">
        <v>21376</v>
      </c>
    </row>
    <row r="316" ht="87.75" customHeight="1">
      <c r="A316" s="2" t="s">
        <v>1338</v>
      </c>
      <c r="B316" s="2">
        <v>70.0</v>
      </c>
      <c r="C316" s="79" t="s">
        <v>21377</v>
      </c>
    </row>
    <row r="317" ht="87.75" customHeight="1">
      <c r="A317" s="2" t="s">
        <v>939</v>
      </c>
      <c r="B317" s="2">
        <v>70.0</v>
      </c>
      <c r="C317" s="79" t="s">
        <v>21378</v>
      </c>
    </row>
    <row r="318" ht="87.75" customHeight="1">
      <c r="A318" s="2" t="s">
        <v>66</v>
      </c>
      <c r="B318" s="2">
        <v>70.0</v>
      </c>
      <c r="C318" s="79" t="s">
        <v>21379</v>
      </c>
    </row>
    <row r="319" ht="87.75" customHeight="1">
      <c r="A319" s="2" t="s">
        <v>276</v>
      </c>
      <c r="B319" s="2">
        <v>70.0</v>
      </c>
      <c r="C319" s="79" t="s">
        <v>21380</v>
      </c>
    </row>
    <row r="320" ht="87.75" customHeight="1">
      <c r="A320" s="2" t="s">
        <v>1107</v>
      </c>
      <c r="B320" s="2">
        <v>70.0</v>
      </c>
      <c r="C320" s="79" t="s">
        <v>21381</v>
      </c>
    </row>
    <row r="321" ht="87.75" customHeight="1">
      <c r="A321" s="2" t="s">
        <v>1564</v>
      </c>
      <c r="B321" s="2">
        <v>70.0</v>
      </c>
      <c r="C321" s="79" t="s">
        <v>21382</v>
      </c>
    </row>
    <row r="322" ht="87.75" customHeight="1">
      <c r="A322" s="2" t="s">
        <v>847</v>
      </c>
      <c r="B322" s="2">
        <v>70.0</v>
      </c>
      <c r="C322" s="79" t="s">
        <v>21383</v>
      </c>
    </row>
    <row r="323" ht="87.75" customHeight="1">
      <c r="A323" s="2" t="s">
        <v>1569</v>
      </c>
      <c r="B323" s="2">
        <v>70.0</v>
      </c>
      <c r="C323" s="79" t="s">
        <v>21384</v>
      </c>
    </row>
    <row r="324" ht="87.75" customHeight="1">
      <c r="A324" s="2" t="s">
        <v>1055</v>
      </c>
      <c r="B324" s="2">
        <v>70.0</v>
      </c>
      <c r="C324" s="79" t="s">
        <v>21385</v>
      </c>
    </row>
    <row r="325" ht="87.75" customHeight="1">
      <c r="A325" s="2" t="s">
        <v>551</v>
      </c>
      <c r="B325" s="2">
        <v>70.0</v>
      </c>
      <c r="C325" s="79" t="s">
        <v>21386</v>
      </c>
    </row>
    <row r="326" ht="87.75" customHeight="1">
      <c r="A326" s="2" t="s">
        <v>1560</v>
      </c>
      <c r="B326" s="2">
        <v>70.0</v>
      </c>
      <c r="C326" s="79" t="s">
        <v>21387</v>
      </c>
    </row>
    <row r="327" ht="87.75" customHeight="1">
      <c r="A327" s="2" t="s">
        <v>1091</v>
      </c>
      <c r="B327" s="2">
        <v>70.0</v>
      </c>
      <c r="C327" s="79" t="s">
        <v>21388</v>
      </c>
    </row>
    <row r="328" ht="87.75" customHeight="1">
      <c r="A328" s="2" t="s">
        <v>164</v>
      </c>
      <c r="B328" s="2">
        <v>70.0</v>
      </c>
      <c r="C328" s="79" t="s">
        <v>21389</v>
      </c>
    </row>
    <row r="329" ht="87.75" customHeight="1">
      <c r="A329" s="2" t="s">
        <v>985</v>
      </c>
      <c r="B329" s="2">
        <v>70.0</v>
      </c>
      <c r="C329" s="79" t="s">
        <v>21390</v>
      </c>
    </row>
    <row r="330" ht="87.75" customHeight="1">
      <c r="A330" s="2" t="s">
        <v>1273</v>
      </c>
      <c r="B330" s="2">
        <v>70.0</v>
      </c>
      <c r="C330" s="79" t="s">
        <v>21391</v>
      </c>
    </row>
    <row r="331" ht="87.75" customHeight="1">
      <c r="A331" s="2" t="s">
        <v>165</v>
      </c>
      <c r="B331" s="2">
        <v>70.0</v>
      </c>
      <c r="C331" s="79" t="s">
        <v>21392</v>
      </c>
    </row>
    <row r="332" ht="87.75" customHeight="1">
      <c r="A332" s="2" t="s">
        <v>61</v>
      </c>
      <c r="B332" s="2">
        <v>70.0</v>
      </c>
      <c r="C332" s="79" t="s">
        <v>21393</v>
      </c>
    </row>
    <row r="333" ht="87.75" customHeight="1">
      <c r="A333" s="2" t="s">
        <v>1008</v>
      </c>
      <c r="B333" s="2">
        <v>70.0</v>
      </c>
      <c r="C333" s="79" t="s">
        <v>21394</v>
      </c>
    </row>
    <row r="334" ht="87.75" customHeight="1">
      <c r="A334" s="2" t="s">
        <v>95</v>
      </c>
      <c r="B334" s="2">
        <v>70.0</v>
      </c>
      <c r="C334" s="79" t="s">
        <v>21395</v>
      </c>
    </row>
    <row r="335" ht="87.75" customHeight="1">
      <c r="A335" s="2" t="s">
        <v>1281</v>
      </c>
      <c r="B335" s="2">
        <v>70.0</v>
      </c>
      <c r="C335" s="79" t="s">
        <v>21396</v>
      </c>
    </row>
    <row r="336" ht="87.75" customHeight="1">
      <c r="A336" s="2" t="s">
        <v>1299</v>
      </c>
      <c r="B336" s="2">
        <v>70.0</v>
      </c>
      <c r="C336" s="79" t="s">
        <v>21397</v>
      </c>
    </row>
    <row r="337" ht="87.75" customHeight="1">
      <c r="A337" s="2" t="s">
        <v>1433</v>
      </c>
      <c r="B337" s="2">
        <v>70.0</v>
      </c>
      <c r="C337" s="79" t="s">
        <v>21398</v>
      </c>
    </row>
    <row r="338" ht="87.75" customHeight="1">
      <c r="A338" s="2" t="s">
        <v>1578</v>
      </c>
      <c r="B338" s="2">
        <v>70.0</v>
      </c>
      <c r="C338" s="79" t="s">
        <v>21399</v>
      </c>
    </row>
    <row r="339" ht="87.75" customHeight="1">
      <c r="A339" s="2" t="s">
        <v>829</v>
      </c>
      <c r="B339" s="2">
        <v>65.0</v>
      </c>
      <c r="C339" s="79" t="s">
        <v>21400</v>
      </c>
    </row>
    <row r="340" ht="87.75" customHeight="1">
      <c r="A340" s="2" t="s">
        <v>1239</v>
      </c>
      <c r="B340" s="2">
        <v>65.0</v>
      </c>
      <c r="C340" s="79" t="s">
        <v>21401</v>
      </c>
    </row>
    <row r="341" ht="87.75" customHeight="1">
      <c r="A341" s="2" t="s">
        <v>1447</v>
      </c>
      <c r="B341" s="2">
        <v>65.0</v>
      </c>
      <c r="C341" s="79" t="s">
        <v>21402</v>
      </c>
    </row>
    <row r="342" ht="87.75" customHeight="1">
      <c r="A342" s="2" t="s">
        <v>1513</v>
      </c>
      <c r="B342" s="2">
        <v>65.0</v>
      </c>
      <c r="C342" s="79" t="s">
        <v>21403</v>
      </c>
    </row>
    <row r="343" ht="87.75" customHeight="1">
      <c r="A343" s="2" t="s">
        <v>1109</v>
      </c>
      <c r="B343" s="2">
        <v>65.0</v>
      </c>
      <c r="C343" s="79" t="s">
        <v>21404</v>
      </c>
    </row>
    <row r="344" ht="87.75" customHeight="1">
      <c r="A344" s="2" t="s">
        <v>1396</v>
      </c>
      <c r="B344" s="2">
        <v>65.0</v>
      </c>
      <c r="C344" s="79" t="s">
        <v>21405</v>
      </c>
    </row>
    <row r="345" ht="87.75" customHeight="1">
      <c r="A345" s="2" t="s">
        <v>831</v>
      </c>
      <c r="B345" s="2">
        <v>65.0</v>
      </c>
      <c r="C345" s="79" t="s">
        <v>21406</v>
      </c>
    </row>
    <row r="346" ht="87.75" customHeight="1">
      <c r="A346" s="2" t="s">
        <v>1151</v>
      </c>
      <c r="B346" s="2">
        <v>65.0</v>
      </c>
      <c r="C346" s="79" t="s">
        <v>21407</v>
      </c>
    </row>
    <row r="347" ht="87.75" customHeight="1">
      <c r="A347" s="2" t="s">
        <v>1354</v>
      </c>
      <c r="B347" s="2">
        <v>65.0</v>
      </c>
      <c r="C347" s="79" t="s">
        <v>21408</v>
      </c>
    </row>
    <row r="348" ht="87.75" customHeight="1">
      <c r="A348" s="2" t="s">
        <v>868</v>
      </c>
      <c r="B348" s="2">
        <v>65.0</v>
      </c>
      <c r="C348" s="79" t="s">
        <v>21409</v>
      </c>
    </row>
    <row r="349" ht="87.75" customHeight="1">
      <c r="A349" s="2" t="s">
        <v>1023</v>
      </c>
      <c r="B349" s="2">
        <v>65.0</v>
      </c>
      <c r="C349" s="79" t="s">
        <v>21410</v>
      </c>
    </row>
    <row r="350" ht="87.75" customHeight="1">
      <c r="A350" s="2" t="s">
        <v>253</v>
      </c>
      <c r="B350" s="2">
        <v>65.0</v>
      </c>
      <c r="C350" s="79" t="s">
        <v>21411</v>
      </c>
    </row>
    <row r="351" ht="87.75" customHeight="1">
      <c r="A351" s="2" t="s">
        <v>1414</v>
      </c>
      <c r="B351" s="2">
        <v>65.0</v>
      </c>
      <c r="C351" s="79" t="s">
        <v>21412</v>
      </c>
    </row>
    <row r="352" ht="87.75" customHeight="1">
      <c r="A352" s="2" t="s">
        <v>1517</v>
      </c>
      <c r="B352" s="2">
        <v>65.0</v>
      </c>
      <c r="C352" s="79" t="s">
        <v>21413</v>
      </c>
    </row>
    <row r="353" ht="87.75" customHeight="1">
      <c r="A353" s="2" t="s">
        <v>873</v>
      </c>
      <c r="B353" s="2">
        <v>65.0</v>
      </c>
      <c r="C353" s="79" t="s">
        <v>21414</v>
      </c>
    </row>
    <row r="354" ht="87.75" customHeight="1">
      <c r="A354" s="2" t="s">
        <v>1297</v>
      </c>
      <c r="B354" s="2">
        <v>65.0</v>
      </c>
      <c r="C354" s="79" t="s">
        <v>21415</v>
      </c>
    </row>
    <row r="355" ht="87.75" customHeight="1">
      <c r="A355" s="2" t="s">
        <v>1632</v>
      </c>
      <c r="B355" s="2">
        <v>65.0</v>
      </c>
      <c r="C355" s="79" t="s">
        <v>21416</v>
      </c>
    </row>
    <row r="356" ht="87.75" customHeight="1">
      <c r="A356" s="2" t="s">
        <v>1466</v>
      </c>
      <c r="B356" s="2">
        <v>65.0</v>
      </c>
      <c r="C356" s="79" t="s">
        <v>21417</v>
      </c>
    </row>
    <row r="357" ht="87.75" customHeight="1">
      <c r="A357" s="2" t="s">
        <v>35</v>
      </c>
      <c r="B357" s="2">
        <v>65.0</v>
      </c>
      <c r="C357" s="79" t="s">
        <v>21418</v>
      </c>
    </row>
    <row r="358" ht="87.75" customHeight="1">
      <c r="A358" s="2" t="s">
        <v>46</v>
      </c>
      <c r="B358" s="2">
        <v>65.0</v>
      </c>
      <c r="C358" s="79" t="s">
        <v>21419</v>
      </c>
    </row>
    <row r="359" ht="87.75" customHeight="1">
      <c r="A359" s="2" t="s">
        <v>542</v>
      </c>
      <c r="B359" s="2">
        <v>65.0</v>
      </c>
      <c r="C359" s="79" t="s">
        <v>21420</v>
      </c>
    </row>
    <row r="360" ht="87.75" customHeight="1">
      <c r="A360" s="2" t="s">
        <v>239</v>
      </c>
      <c r="B360" s="2">
        <v>65.0</v>
      </c>
      <c r="C360" s="79" t="s">
        <v>21421</v>
      </c>
    </row>
    <row r="361" ht="87.75" customHeight="1">
      <c r="A361" s="2" t="s">
        <v>243</v>
      </c>
      <c r="B361" s="2">
        <v>65.0</v>
      </c>
      <c r="C361" s="79" t="s">
        <v>21422</v>
      </c>
    </row>
    <row r="362" ht="87.75" customHeight="1">
      <c r="A362" s="2" t="s">
        <v>419</v>
      </c>
      <c r="B362" s="2">
        <v>65.0</v>
      </c>
      <c r="C362" s="79" t="s">
        <v>21423</v>
      </c>
    </row>
    <row r="363" ht="87.75" customHeight="1">
      <c r="A363" s="2" t="s">
        <v>21424</v>
      </c>
      <c r="B363" s="2">
        <v>65.0</v>
      </c>
      <c r="C363" s="79" t="s">
        <v>21425</v>
      </c>
    </row>
    <row r="364" ht="87.75" customHeight="1">
      <c r="A364" s="2" t="s">
        <v>21426</v>
      </c>
      <c r="B364" s="2">
        <v>65.0</v>
      </c>
      <c r="C364" s="79" t="s">
        <v>21427</v>
      </c>
    </row>
    <row r="365" ht="87.75" customHeight="1">
      <c r="A365" s="2" t="s">
        <v>1387</v>
      </c>
      <c r="B365" s="2">
        <v>65.0</v>
      </c>
      <c r="C365" s="79" t="s">
        <v>21428</v>
      </c>
    </row>
    <row r="366" ht="87.75" customHeight="1">
      <c r="A366" s="2" t="s">
        <v>1470</v>
      </c>
      <c r="B366" s="2">
        <v>65.0</v>
      </c>
      <c r="C366" s="79" t="s">
        <v>21429</v>
      </c>
    </row>
    <row r="367" ht="87.75" customHeight="1">
      <c r="A367" s="2" t="s">
        <v>231</v>
      </c>
      <c r="B367" s="2">
        <v>65.0</v>
      </c>
      <c r="C367" s="79" t="s">
        <v>21430</v>
      </c>
    </row>
    <row r="368" ht="87.75" customHeight="1">
      <c r="A368" s="2" t="s">
        <v>169</v>
      </c>
      <c r="B368" s="2">
        <v>65.0</v>
      </c>
      <c r="C368" s="79" t="s">
        <v>21431</v>
      </c>
    </row>
    <row r="369" ht="87.75" customHeight="1">
      <c r="A369" s="2" t="s">
        <v>1427</v>
      </c>
      <c r="B369" s="2">
        <v>65.0</v>
      </c>
      <c r="C369" s="79" t="s">
        <v>21432</v>
      </c>
    </row>
    <row r="370" ht="87.75" customHeight="1">
      <c r="A370" s="2" t="s">
        <v>1309</v>
      </c>
      <c r="B370" s="2">
        <v>65.0</v>
      </c>
      <c r="C370" s="79" t="s">
        <v>21433</v>
      </c>
    </row>
    <row r="371" ht="87.75" customHeight="1">
      <c r="A371" s="2" t="s">
        <v>1385</v>
      </c>
      <c r="B371" s="2">
        <v>65.0</v>
      </c>
      <c r="C371" s="79" t="s">
        <v>21434</v>
      </c>
    </row>
    <row r="372" ht="87.75" customHeight="1">
      <c r="A372" s="2" t="s">
        <v>1327</v>
      </c>
      <c r="B372" s="2">
        <v>65.0</v>
      </c>
      <c r="C372" s="79" t="s">
        <v>21435</v>
      </c>
    </row>
    <row r="373" ht="87.75" customHeight="1">
      <c r="A373" s="2" t="s">
        <v>1243</v>
      </c>
      <c r="B373" s="2">
        <v>65.0</v>
      </c>
      <c r="C373" s="79" t="s">
        <v>21436</v>
      </c>
    </row>
    <row r="374" ht="87.75" customHeight="1">
      <c r="A374" s="2" t="s">
        <v>4609</v>
      </c>
      <c r="B374" s="2">
        <v>65.0</v>
      </c>
      <c r="C374" s="79" t="s">
        <v>21437</v>
      </c>
    </row>
    <row r="375" ht="87.75" customHeight="1">
      <c r="A375" s="2" t="s">
        <v>1400</v>
      </c>
      <c r="B375" s="2">
        <v>65.0</v>
      </c>
      <c r="C375" s="79" t="s">
        <v>21438</v>
      </c>
    </row>
    <row r="376" ht="87.75" customHeight="1">
      <c r="A376" s="2" t="s">
        <v>1596</v>
      </c>
      <c r="B376" s="2">
        <v>65.0</v>
      </c>
      <c r="C376" s="79" t="s">
        <v>21439</v>
      </c>
    </row>
    <row r="377" ht="87.75" customHeight="1">
      <c r="A377" s="2" t="s">
        <v>1526</v>
      </c>
      <c r="B377" s="2">
        <v>65.0</v>
      </c>
      <c r="C377" s="79" t="s">
        <v>21440</v>
      </c>
    </row>
    <row r="378" ht="87.75" customHeight="1">
      <c r="A378" s="2" t="s">
        <v>4970</v>
      </c>
      <c r="B378" s="2">
        <v>65.0</v>
      </c>
      <c r="C378" s="79" t="s">
        <v>21441</v>
      </c>
    </row>
    <row r="379" ht="87.75" customHeight="1">
      <c r="A379" s="2" t="s">
        <v>3047</v>
      </c>
      <c r="B379" s="2">
        <v>65.0</v>
      </c>
      <c r="C379" s="79" t="s">
        <v>21442</v>
      </c>
    </row>
    <row r="380" ht="87.75" customHeight="1">
      <c r="A380" s="2" t="s">
        <v>277</v>
      </c>
      <c r="B380" s="2">
        <v>65.0</v>
      </c>
      <c r="C380" s="79" t="s">
        <v>21443</v>
      </c>
    </row>
    <row r="381" ht="87.75" customHeight="1">
      <c r="A381" s="2" t="s">
        <v>1343</v>
      </c>
      <c r="B381" s="2">
        <v>65.0</v>
      </c>
      <c r="C381" s="79" t="s">
        <v>21444</v>
      </c>
    </row>
    <row r="382" ht="87.75" customHeight="1">
      <c r="A382" s="2" t="s">
        <v>1204</v>
      </c>
      <c r="B382" s="2">
        <v>65.0</v>
      </c>
      <c r="C382" s="79" t="s">
        <v>21445</v>
      </c>
    </row>
    <row r="383" ht="87.75" customHeight="1">
      <c r="A383" s="2" t="s">
        <v>1145</v>
      </c>
      <c r="B383" s="2">
        <v>65.0</v>
      </c>
      <c r="C383" s="79" t="s">
        <v>21446</v>
      </c>
    </row>
    <row r="384" ht="87.75" customHeight="1">
      <c r="A384" s="2" t="s">
        <v>1543</v>
      </c>
      <c r="B384" s="2">
        <v>65.0</v>
      </c>
      <c r="C384" s="79" t="s">
        <v>21447</v>
      </c>
    </row>
    <row r="385" ht="87.75" customHeight="1">
      <c r="A385" s="2" t="s">
        <v>1555</v>
      </c>
      <c r="B385" s="2">
        <v>65.0</v>
      </c>
      <c r="C385" s="79" t="s">
        <v>21448</v>
      </c>
    </row>
    <row r="386" ht="87.75" customHeight="1">
      <c r="A386" s="2" t="s">
        <v>1421</v>
      </c>
      <c r="B386" s="2">
        <v>65.0</v>
      </c>
      <c r="C386" s="79" t="s">
        <v>21449</v>
      </c>
    </row>
    <row r="387" ht="87.75" customHeight="1">
      <c r="A387" s="2" t="s">
        <v>1558</v>
      </c>
      <c r="B387" s="2">
        <v>65.0</v>
      </c>
      <c r="C387" s="79" t="s">
        <v>21450</v>
      </c>
    </row>
    <row r="388" ht="87.75" customHeight="1">
      <c r="A388" s="2" t="s">
        <v>995</v>
      </c>
      <c r="B388" s="2">
        <v>65.0</v>
      </c>
      <c r="C388" s="79" t="s">
        <v>21451</v>
      </c>
    </row>
    <row r="389" ht="87.75" customHeight="1">
      <c r="A389" s="2" t="s">
        <v>1398</v>
      </c>
      <c r="B389" s="2">
        <v>65.0</v>
      </c>
      <c r="C389" s="79" t="s">
        <v>21452</v>
      </c>
    </row>
    <row r="390" ht="87.75" customHeight="1">
      <c r="A390" s="2" t="s">
        <v>777</v>
      </c>
      <c r="B390" s="2">
        <v>65.0</v>
      </c>
      <c r="C390" s="79" t="s">
        <v>21453</v>
      </c>
    </row>
    <row r="391" ht="87.75" customHeight="1">
      <c r="A391" s="2" t="s">
        <v>1537</v>
      </c>
      <c r="B391" s="2">
        <v>65.0</v>
      </c>
      <c r="C391" s="79" t="s">
        <v>21454</v>
      </c>
    </row>
    <row r="392" ht="87.75" customHeight="1">
      <c r="A392" s="2" t="s">
        <v>1331</v>
      </c>
      <c r="B392" s="2">
        <v>65.0</v>
      </c>
      <c r="C392" s="79" t="s">
        <v>21455</v>
      </c>
    </row>
    <row r="393" ht="87.75" customHeight="1">
      <c r="A393" s="2" t="s">
        <v>888</v>
      </c>
      <c r="B393" s="2">
        <v>65.0</v>
      </c>
      <c r="C393" s="79" t="s">
        <v>21456</v>
      </c>
    </row>
    <row r="394" ht="87.75" customHeight="1">
      <c r="A394" s="2" t="s">
        <v>1287</v>
      </c>
      <c r="B394" s="2">
        <v>65.0</v>
      </c>
      <c r="C394" s="79" t="s">
        <v>21457</v>
      </c>
    </row>
    <row r="395" ht="87.75" customHeight="1">
      <c r="A395" s="2" t="s">
        <v>949</v>
      </c>
      <c r="B395" s="2">
        <v>65.0</v>
      </c>
      <c r="C395" s="79" t="s">
        <v>21458</v>
      </c>
    </row>
    <row r="396" ht="87.75" customHeight="1">
      <c r="A396" s="2" t="s">
        <v>1141</v>
      </c>
      <c r="B396" s="2">
        <v>65.0</v>
      </c>
      <c r="C396" s="79" t="s">
        <v>21459</v>
      </c>
    </row>
    <row r="397" ht="87.75" customHeight="1">
      <c r="A397" s="2" t="s">
        <v>1200</v>
      </c>
      <c r="B397" s="2">
        <v>65.0</v>
      </c>
      <c r="C397" s="79" t="s">
        <v>21460</v>
      </c>
    </row>
    <row r="398" ht="87.75" customHeight="1">
      <c r="A398" s="2" t="s">
        <v>19411</v>
      </c>
      <c r="B398" s="2">
        <v>65.0</v>
      </c>
      <c r="C398" s="79" t="s">
        <v>21461</v>
      </c>
    </row>
    <row r="399" ht="87.75" customHeight="1">
      <c r="A399" s="2" t="s">
        <v>609</v>
      </c>
      <c r="B399" s="2">
        <v>65.0</v>
      </c>
      <c r="C399" s="79" t="s">
        <v>21462</v>
      </c>
    </row>
    <row r="400" ht="87.75" customHeight="1">
      <c r="A400" s="2" t="s">
        <v>19238</v>
      </c>
      <c r="B400" s="2">
        <v>65.0</v>
      </c>
      <c r="C400" s="79" t="s">
        <v>21463</v>
      </c>
    </row>
    <row r="401" ht="87.75" customHeight="1">
      <c r="A401" s="2" t="s">
        <v>141</v>
      </c>
      <c r="B401" s="2">
        <v>65.0</v>
      </c>
      <c r="C401" s="79" t="s">
        <v>21464</v>
      </c>
    </row>
    <row r="402" ht="87.75" customHeight="1">
      <c r="A402" s="2" t="s">
        <v>1293</v>
      </c>
      <c r="B402" s="2">
        <v>65.0</v>
      </c>
      <c r="C402" s="79" t="s">
        <v>21465</v>
      </c>
    </row>
    <row r="403" ht="87.75" customHeight="1">
      <c r="A403" s="2" t="s">
        <v>142</v>
      </c>
      <c r="B403" s="2">
        <v>65.0</v>
      </c>
      <c r="C403" s="79" t="s">
        <v>21466</v>
      </c>
    </row>
    <row r="404" ht="87.75" customHeight="1">
      <c r="A404" s="2" t="s">
        <v>1291</v>
      </c>
      <c r="B404" s="2">
        <v>60.0</v>
      </c>
      <c r="C404" s="79" t="s">
        <v>21467</v>
      </c>
    </row>
    <row r="405" ht="87.75" customHeight="1">
      <c r="A405" s="2" t="s">
        <v>866</v>
      </c>
      <c r="B405" s="2">
        <v>60.0</v>
      </c>
      <c r="C405" s="79" t="s">
        <v>21468</v>
      </c>
    </row>
    <row r="406" ht="87.75" customHeight="1">
      <c r="A406" s="2" t="s">
        <v>1549</v>
      </c>
      <c r="B406" s="2">
        <v>60.0</v>
      </c>
      <c r="C406" s="79" t="s">
        <v>21469</v>
      </c>
    </row>
    <row r="407" ht="87.75" customHeight="1">
      <c r="A407" s="2" t="s">
        <v>1315</v>
      </c>
      <c r="B407" s="2">
        <v>60.0</v>
      </c>
      <c r="C407" s="79" t="s">
        <v>21470</v>
      </c>
    </row>
    <row r="408" ht="87.75" customHeight="1">
      <c r="A408" s="2" t="s">
        <v>1123</v>
      </c>
      <c r="B408" s="2">
        <v>60.0</v>
      </c>
      <c r="C408" s="79" t="s">
        <v>21471</v>
      </c>
    </row>
    <row r="409" ht="87.75" customHeight="1">
      <c r="A409" s="2" t="s">
        <v>1540</v>
      </c>
      <c r="B409" s="2">
        <v>60.0</v>
      </c>
      <c r="C409" s="79" t="s">
        <v>21472</v>
      </c>
    </row>
    <row r="410" ht="87.75" customHeight="1">
      <c r="A410" s="2" t="s">
        <v>1599</v>
      </c>
      <c r="B410" s="2">
        <v>60.0</v>
      </c>
      <c r="C410" s="79" t="s">
        <v>21473</v>
      </c>
    </row>
    <row r="411" ht="87.75" customHeight="1">
      <c r="A411" s="2" t="s">
        <v>21474</v>
      </c>
      <c r="B411" s="2">
        <v>60.0</v>
      </c>
      <c r="C411" s="79" t="s">
        <v>21475</v>
      </c>
    </row>
    <row r="412" ht="87.75" customHeight="1">
      <c r="A412" s="2" t="s">
        <v>19445</v>
      </c>
      <c r="B412" s="2">
        <v>60.0</v>
      </c>
      <c r="C412" s="79" t="s">
        <v>21476</v>
      </c>
    </row>
    <row r="413" ht="87.75" customHeight="1">
      <c r="A413" s="2" t="s">
        <v>1179</v>
      </c>
      <c r="B413" s="2">
        <v>60.0</v>
      </c>
      <c r="C413" s="79" t="s">
        <v>21477</v>
      </c>
    </row>
    <row r="414" ht="87.75" customHeight="1">
      <c r="A414" s="2" t="s">
        <v>1167</v>
      </c>
      <c r="B414" s="2">
        <v>60.0</v>
      </c>
      <c r="C414" s="79" t="s">
        <v>21478</v>
      </c>
    </row>
    <row r="415" ht="87.75" customHeight="1">
      <c r="A415" s="2" t="s">
        <v>19511</v>
      </c>
      <c r="B415" s="2">
        <v>60.0</v>
      </c>
      <c r="C415" s="79" t="s">
        <v>21479</v>
      </c>
    </row>
    <row r="416" ht="87.75" customHeight="1">
      <c r="A416" s="2" t="s">
        <v>1472</v>
      </c>
      <c r="B416" s="2">
        <v>60.0</v>
      </c>
      <c r="C416" s="79" t="s">
        <v>21480</v>
      </c>
    </row>
    <row r="417" ht="87.75" customHeight="1">
      <c r="A417" s="2" t="s">
        <v>1391</v>
      </c>
      <c r="B417" s="2">
        <v>60.0</v>
      </c>
      <c r="C417" s="79" t="s">
        <v>21481</v>
      </c>
    </row>
    <row r="418" ht="87.75" customHeight="1">
      <c r="A418" s="2" t="s">
        <v>1271</v>
      </c>
      <c r="B418" s="2">
        <v>55.0</v>
      </c>
      <c r="C418" s="79" t="s">
        <v>21482</v>
      </c>
    </row>
    <row r="419" ht="87.75" customHeight="1">
      <c r="A419" s="2" t="s">
        <v>1325</v>
      </c>
      <c r="B419" s="2">
        <v>55.0</v>
      </c>
      <c r="C419" s="79" t="s">
        <v>21483</v>
      </c>
    </row>
    <row r="420" ht="87.75" customHeight="1">
      <c r="A420" s="2" t="s">
        <v>5717</v>
      </c>
      <c r="B420" s="2">
        <v>55.0</v>
      </c>
      <c r="C420" s="79" t="s">
        <v>21484</v>
      </c>
    </row>
    <row r="421" ht="87.75" customHeight="1">
      <c r="A421" s="2" t="s">
        <v>423</v>
      </c>
      <c r="B421" s="2">
        <v>55.0</v>
      </c>
      <c r="C421" s="79" t="s">
        <v>21485</v>
      </c>
    </row>
    <row r="422" ht="87.75" customHeight="1">
      <c r="A422" s="2" t="s">
        <v>1006</v>
      </c>
      <c r="B422" s="2">
        <v>45.0</v>
      </c>
      <c r="C422" s="79" t="s">
        <v>21486</v>
      </c>
    </row>
    <row r="423" ht="87.75" customHeight="1">
      <c r="A423" s="2" t="s">
        <v>1359</v>
      </c>
      <c r="B423" s="2">
        <v>45.0</v>
      </c>
      <c r="C423" s="79" t="s">
        <v>21487</v>
      </c>
    </row>
    <row r="424" ht="87.75" customHeight="1">
      <c r="A424" s="2" t="s">
        <v>896</v>
      </c>
      <c r="B424" s="2">
        <v>45.0</v>
      </c>
      <c r="C424" s="79" t="s">
        <v>21488</v>
      </c>
    </row>
    <row r="425" ht="87.75" customHeight="1">
      <c r="A425" s="2" t="s">
        <v>1223</v>
      </c>
      <c r="B425" s="2">
        <v>45.0</v>
      </c>
      <c r="C425" s="79" t="s">
        <v>21489</v>
      </c>
    </row>
    <row r="426" ht="87.75" customHeight="1">
      <c r="A426" s="2" t="s">
        <v>823</v>
      </c>
      <c r="B426" s="2">
        <v>45.0</v>
      </c>
      <c r="C426" s="79" t="s">
        <v>21490</v>
      </c>
    </row>
    <row r="427" ht="87.75" customHeight="1">
      <c r="A427" s="2" t="s">
        <v>1214</v>
      </c>
      <c r="B427" s="2">
        <v>45.0</v>
      </c>
      <c r="C427" s="79" t="s">
        <v>21491</v>
      </c>
    </row>
    <row r="428" ht="87.75" customHeight="1">
      <c r="A428" s="2" t="s">
        <v>19252</v>
      </c>
      <c r="B428" s="2">
        <v>45.0</v>
      </c>
      <c r="C428" s="79" t="s">
        <v>21492</v>
      </c>
    </row>
    <row r="429" ht="87.75" customHeight="1">
      <c r="A429" s="2" t="s">
        <v>3236</v>
      </c>
      <c r="B429" s="2">
        <v>45.0</v>
      </c>
      <c r="C429" s="79" t="s">
        <v>21493</v>
      </c>
    </row>
    <row r="430" ht="87.75" customHeight="1">
      <c r="A430" s="2" t="s">
        <v>1431</v>
      </c>
      <c r="B430" s="2">
        <v>45.0</v>
      </c>
      <c r="C430" s="79" t="s">
        <v>21494</v>
      </c>
    </row>
    <row r="431" ht="87.75" customHeight="1">
      <c r="A431" s="2" t="s">
        <v>19521</v>
      </c>
      <c r="B431" s="2">
        <v>45.0</v>
      </c>
      <c r="C431" s="79" t="s">
        <v>21495</v>
      </c>
    </row>
    <row r="432" ht="87.75" customHeight="1">
      <c r="A432" s="2" t="s">
        <v>1225</v>
      </c>
      <c r="B432" s="2">
        <v>45.0</v>
      </c>
      <c r="C432" s="79" t="s">
        <v>21496</v>
      </c>
    </row>
    <row r="433" ht="87.75" customHeight="1">
      <c r="A433" s="2" t="s">
        <v>1456</v>
      </c>
      <c r="B433" s="2">
        <v>45.0</v>
      </c>
      <c r="C433" s="79" t="s">
        <v>21497</v>
      </c>
    </row>
    <row r="434" ht="87.75" customHeight="1">
      <c r="A434" s="2" t="s">
        <v>167</v>
      </c>
      <c r="B434" s="2">
        <v>45.0</v>
      </c>
      <c r="C434" s="79" t="s">
        <v>21498</v>
      </c>
    </row>
    <row r="435" ht="87.75" customHeight="1">
      <c r="A435" s="2" t="s">
        <v>1323</v>
      </c>
      <c r="B435" s="2">
        <v>45.0</v>
      </c>
      <c r="C435" s="79" t="s">
        <v>21499</v>
      </c>
    </row>
    <row r="436" ht="87.75" customHeight="1">
      <c r="A436" s="2" t="s">
        <v>1423</v>
      </c>
      <c r="B436" s="2">
        <v>45.0</v>
      </c>
      <c r="C436" s="79" t="s">
        <v>21500</v>
      </c>
    </row>
    <row r="437" ht="87.75" customHeight="1">
      <c r="A437" s="2" t="s">
        <v>21501</v>
      </c>
      <c r="B437" s="2">
        <v>45.0</v>
      </c>
      <c r="C437" s="79" t="s">
        <v>21502</v>
      </c>
    </row>
    <row r="438" ht="87.75" customHeight="1">
      <c r="A438" s="2" t="s">
        <v>124</v>
      </c>
      <c r="B438" s="2">
        <v>45.0</v>
      </c>
      <c r="C438" s="79" t="s">
        <v>21503</v>
      </c>
    </row>
    <row r="439" ht="87.75" customHeight="1">
      <c r="A439" s="2" t="s">
        <v>217</v>
      </c>
      <c r="B439" s="2">
        <v>45.0</v>
      </c>
      <c r="C439" s="79" t="s">
        <v>21504</v>
      </c>
    </row>
    <row r="440" ht="87.75" customHeight="1">
      <c r="A440" s="2" t="s">
        <v>6083</v>
      </c>
      <c r="B440" s="2">
        <v>40.0</v>
      </c>
      <c r="C440" s="79" t="s">
        <v>21505</v>
      </c>
    </row>
    <row r="441" ht="87.75" customHeight="1">
      <c r="A441" s="2" t="s">
        <v>197</v>
      </c>
      <c r="B441" s="2">
        <v>40.0</v>
      </c>
      <c r="C441" s="79" t="s">
        <v>21506</v>
      </c>
    </row>
    <row r="442" ht="87.75" customHeight="1">
      <c r="A442" s="2" t="s">
        <v>163</v>
      </c>
      <c r="B442" s="2">
        <v>35.0</v>
      </c>
      <c r="C442" s="79" t="s">
        <v>21507</v>
      </c>
    </row>
    <row r="443" ht="87.75" customHeight="1">
      <c r="A443" s="2" t="s">
        <v>1454</v>
      </c>
      <c r="B443" s="2">
        <v>35.0</v>
      </c>
      <c r="C443" s="79" t="s">
        <v>21508</v>
      </c>
    </row>
    <row r="444" ht="87.75" customHeight="1">
      <c r="A444" s="2" t="s">
        <v>1389</v>
      </c>
      <c r="B444" s="2">
        <v>35.0</v>
      </c>
      <c r="C444" s="79" t="s">
        <v>21509</v>
      </c>
    </row>
    <row r="445" ht="87.75" customHeight="1">
      <c r="A445" s="2" t="s">
        <v>1375</v>
      </c>
      <c r="B445" s="2">
        <v>35.0</v>
      </c>
      <c r="C445" s="79" t="s">
        <v>21510</v>
      </c>
    </row>
    <row r="446" ht="87.75" customHeight="1">
      <c r="A446" s="2" t="s">
        <v>1462</v>
      </c>
      <c r="B446" s="2">
        <v>35.0</v>
      </c>
      <c r="C446" s="79" t="s">
        <v>21511</v>
      </c>
    </row>
    <row r="447" ht="87.75" customHeight="1">
      <c r="C447" s="80"/>
    </row>
    <row r="448" ht="87.75" customHeight="1">
      <c r="C448" s="80"/>
    </row>
    <row r="449" ht="87.75" customHeight="1">
      <c r="C449" s="80"/>
    </row>
    <row r="450" ht="87.75" customHeight="1">
      <c r="C450" s="80"/>
    </row>
    <row r="451" ht="87.75" customHeight="1">
      <c r="C451" s="80"/>
    </row>
    <row r="452" ht="87.75" customHeight="1">
      <c r="C452" s="80"/>
    </row>
    <row r="453" ht="87.75" customHeight="1">
      <c r="C453" s="80"/>
    </row>
    <row r="454" ht="87.75" customHeight="1">
      <c r="C454" s="80"/>
    </row>
    <row r="455" ht="87.75" customHeight="1">
      <c r="C455" s="80"/>
    </row>
    <row r="456" ht="87.75" customHeight="1">
      <c r="C456" s="80"/>
    </row>
    <row r="457" ht="87.75" customHeight="1">
      <c r="C457" s="80"/>
    </row>
    <row r="458" ht="87.75" customHeight="1">
      <c r="C458" s="80"/>
    </row>
    <row r="459" ht="87.75" customHeight="1">
      <c r="C459" s="80"/>
    </row>
    <row r="460" ht="87.75" customHeight="1">
      <c r="C460" s="80"/>
    </row>
    <row r="461" ht="87.75" customHeight="1">
      <c r="C461" s="80"/>
    </row>
    <row r="462" ht="87.75" customHeight="1">
      <c r="C462" s="80"/>
    </row>
    <row r="463" ht="87.75" customHeight="1">
      <c r="C463" s="80"/>
    </row>
    <row r="464" ht="87.75" customHeight="1">
      <c r="C464" s="80"/>
    </row>
    <row r="465" ht="87.75" customHeight="1">
      <c r="C465" s="80"/>
    </row>
    <row r="466" ht="87.75" customHeight="1">
      <c r="C466" s="80"/>
    </row>
    <row r="467" ht="87.75" customHeight="1">
      <c r="C467" s="80"/>
    </row>
    <row r="468" ht="87.75" customHeight="1">
      <c r="C468" s="80"/>
    </row>
    <row r="469" ht="87.75" customHeight="1">
      <c r="C469" s="80"/>
    </row>
    <row r="470" ht="87.75" customHeight="1">
      <c r="C470" s="80"/>
    </row>
    <row r="471" ht="87.75" customHeight="1">
      <c r="C471" s="80"/>
    </row>
    <row r="472" ht="87.75" customHeight="1">
      <c r="C472" s="80"/>
    </row>
    <row r="473" ht="87.75" customHeight="1">
      <c r="C473" s="80"/>
    </row>
    <row r="474" ht="87.75" customHeight="1">
      <c r="C474" s="80"/>
    </row>
    <row r="475" ht="87.75" customHeight="1">
      <c r="C475" s="80"/>
    </row>
    <row r="476" ht="87.75" customHeight="1">
      <c r="C476" s="80"/>
    </row>
    <row r="477" ht="87.75" customHeight="1">
      <c r="C477" s="80"/>
    </row>
    <row r="478" ht="87.75" customHeight="1">
      <c r="C478" s="80"/>
    </row>
    <row r="479" ht="87.75" customHeight="1">
      <c r="C479" s="80"/>
    </row>
    <row r="480" ht="87.75" customHeight="1">
      <c r="C480" s="80"/>
    </row>
    <row r="481" ht="87.75" customHeight="1">
      <c r="C481" s="80"/>
    </row>
    <row r="482" ht="87.75" customHeight="1">
      <c r="C482" s="80"/>
    </row>
    <row r="483" ht="87.75" customHeight="1">
      <c r="C483" s="80"/>
    </row>
    <row r="484" ht="87.75" customHeight="1">
      <c r="C484" s="80"/>
    </row>
    <row r="485" ht="87.75" customHeight="1">
      <c r="C485" s="80"/>
    </row>
    <row r="486" ht="87.75" customHeight="1">
      <c r="C486" s="80"/>
    </row>
    <row r="487" ht="87.75" customHeight="1">
      <c r="C487" s="80"/>
    </row>
    <row r="488" ht="87.75" customHeight="1">
      <c r="C488" s="80"/>
    </row>
    <row r="489" ht="87.75" customHeight="1">
      <c r="C489" s="80"/>
    </row>
    <row r="490" ht="87.75" customHeight="1">
      <c r="C490" s="80"/>
    </row>
    <row r="491" ht="87.75" customHeight="1">
      <c r="C491" s="80"/>
    </row>
    <row r="492" ht="87.75" customHeight="1">
      <c r="C492" s="80"/>
    </row>
    <row r="493" ht="87.75" customHeight="1">
      <c r="C493" s="80"/>
    </row>
    <row r="494" ht="87.75" customHeight="1">
      <c r="C494" s="80"/>
    </row>
    <row r="495" ht="87.75" customHeight="1">
      <c r="C495" s="80"/>
    </row>
    <row r="496" ht="87.75" customHeight="1">
      <c r="C496" s="80"/>
    </row>
    <row r="497" ht="87.75" customHeight="1">
      <c r="C497" s="80"/>
    </row>
    <row r="498" ht="87.75" customHeight="1">
      <c r="C498" s="80"/>
    </row>
    <row r="499" ht="87.75" customHeight="1">
      <c r="C499" s="80"/>
    </row>
    <row r="500" ht="87.75" customHeight="1">
      <c r="C500" s="80"/>
    </row>
    <row r="501" ht="87.75" customHeight="1">
      <c r="C501" s="80"/>
    </row>
    <row r="502" ht="87.75" customHeight="1">
      <c r="C502" s="80"/>
    </row>
    <row r="503" ht="87.75" customHeight="1">
      <c r="C503" s="80"/>
    </row>
    <row r="504" ht="87.75" customHeight="1">
      <c r="C504" s="80"/>
    </row>
    <row r="505" ht="87.75" customHeight="1">
      <c r="C505" s="80"/>
    </row>
    <row r="506" ht="87.75" customHeight="1">
      <c r="C506" s="80"/>
    </row>
    <row r="507" ht="87.75" customHeight="1">
      <c r="C507" s="80"/>
    </row>
    <row r="508" ht="87.75" customHeight="1">
      <c r="C508" s="80"/>
    </row>
    <row r="509" ht="87.75" customHeight="1">
      <c r="C509" s="80"/>
    </row>
    <row r="510" ht="87.75" customHeight="1">
      <c r="C510" s="80"/>
    </row>
    <row r="511" ht="87.75" customHeight="1">
      <c r="C511" s="80"/>
    </row>
    <row r="512" ht="87.75" customHeight="1">
      <c r="C512" s="80"/>
    </row>
    <row r="513" ht="87.75" customHeight="1">
      <c r="C513" s="80"/>
    </row>
    <row r="514" ht="87.75" customHeight="1">
      <c r="C514" s="80"/>
    </row>
    <row r="515" ht="87.75" customHeight="1">
      <c r="C515" s="80"/>
    </row>
    <row r="516" ht="87.75" customHeight="1">
      <c r="C516" s="80"/>
    </row>
    <row r="517" ht="87.75" customHeight="1">
      <c r="C517" s="80"/>
    </row>
    <row r="518" ht="87.75" customHeight="1">
      <c r="C518" s="80"/>
    </row>
    <row r="519" ht="87.75" customHeight="1">
      <c r="C519" s="80"/>
    </row>
    <row r="520" ht="87.75" customHeight="1">
      <c r="C520" s="80"/>
    </row>
    <row r="521" ht="87.75" customHeight="1">
      <c r="C521" s="80"/>
    </row>
    <row r="522" ht="87.75" customHeight="1">
      <c r="C522" s="80"/>
    </row>
    <row r="523" ht="87.75" customHeight="1">
      <c r="C523" s="80"/>
    </row>
    <row r="524" ht="87.75" customHeight="1">
      <c r="C524" s="80"/>
    </row>
    <row r="525" ht="87.75" customHeight="1">
      <c r="C525" s="80"/>
    </row>
    <row r="526" ht="87.75" customHeight="1">
      <c r="C526" s="80"/>
    </row>
    <row r="527" ht="87.75" customHeight="1">
      <c r="C527" s="80"/>
    </row>
    <row r="528" ht="87.75" customHeight="1">
      <c r="C528" s="80"/>
    </row>
    <row r="529" ht="87.75" customHeight="1">
      <c r="C529" s="80"/>
    </row>
    <row r="530" ht="87.75" customHeight="1">
      <c r="C530" s="80"/>
    </row>
    <row r="531" ht="87.75" customHeight="1">
      <c r="C531" s="80"/>
    </row>
    <row r="532" ht="87.75" customHeight="1">
      <c r="C532" s="80"/>
    </row>
    <row r="533" ht="87.75" customHeight="1">
      <c r="C533" s="80"/>
    </row>
    <row r="534" ht="87.75" customHeight="1">
      <c r="C534" s="80"/>
    </row>
    <row r="535" ht="87.75" customHeight="1">
      <c r="C535" s="80"/>
    </row>
    <row r="536" ht="87.75" customHeight="1">
      <c r="C536" s="80"/>
    </row>
    <row r="537" ht="87.75" customHeight="1">
      <c r="C537" s="80"/>
    </row>
    <row r="538" ht="87.75" customHeight="1">
      <c r="C538" s="80"/>
    </row>
    <row r="539" ht="87.75" customHeight="1">
      <c r="C539" s="80"/>
    </row>
    <row r="540" ht="87.75" customHeight="1">
      <c r="C540" s="80"/>
    </row>
    <row r="541" ht="87.75" customHeight="1">
      <c r="C541" s="80"/>
    </row>
    <row r="542" ht="87.75" customHeight="1">
      <c r="C542" s="80"/>
    </row>
    <row r="543" ht="87.75" customHeight="1">
      <c r="C543" s="80"/>
    </row>
    <row r="544" ht="87.75" customHeight="1">
      <c r="C544" s="80"/>
    </row>
    <row r="545" ht="87.75" customHeight="1">
      <c r="C545" s="80"/>
    </row>
    <row r="546" ht="87.75" customHeight="1">
      <c r="C546" s="80"/>
    </row>
    <row r="547" ht="87.75" customHeight="1">
      <c r="C547" s="80"/>
    </row>
    <row r="548" ht="87.75" customHeight="1">
      <c r="C548" s="80"/>
    </row>
    <row r="549" ht="87.75" customHeight="1">
      <c r="C549" s="80"/>
    </row>
    <row r="550" ht="87.75" customHeight="1">
      <c r="C550" s="80"/>
    </row>
    <row r="551" ht="87.75" customHeight="1">
      <c r="C551" s="80"/>
    </row>
    <row r="552" ht="87.75" customHeight="1">
      <c r="C552" s="80"/>
    </row>
    <row r="553" ht="87.75" customHeight="1">
      <c r="C553" s="80"/>
    </row>
    <row r="554" ht="87.75" customHeight="1">
      <c r="C554" s="80"/>
    </row>
    <row r="555" ht="87.75" customHeight="1">
      <c r="C555" s="80"/>
    </row>
    <row r="556" ht="87.75" customHeight="1">
      <c r="C556" s="80"/>
    </row>
    <row r="557" ht="87.75" customHeight="1">
      <c r="C557" s="80"/>
    </row>
    <row r="558" ht="87.75" customHeight="1">
      <c r="C558" s="80"/>
    </row>
    <row r="559" ht="87.75" customHeight="1">
      <c r="C559" s="80"/>
    </row>
    <row r="560" ht="87.75" customHeight="1">
      <c r="C560" s="80"/>
    </row>
    <row r="561" ht="87.75" customHeight="1">
      <c r="C561" s="80"/>
    </row>
    <row r="562" ht="87.75" customHeight="1">
      <c r="C562" s="80"/>
    </row>
    <row r="563" ht="87.75" customHeight="1">
      <c r="C563" s="80"/>
    </row>
    <row r="564" ht="87.75" customHeight="1">
      <c r="C564" s="80"/>
    </row>
    <row r="565" ht="87.75" customHeight="1">
      <c r="C565" s="80"/>
    </row>
    <row r="566" ht="87.75" customHeight="1">
      <c r="C566" s="80"/>
    </row>
    <row r="567" ht="87.75" customHeight="1">
      <c r="C567" s="80"/>
    </row>
    <row r="568" ht="87.75" customHeight="1">
      <c r="C568" s="80"/>
    </row>
    <row r="569" ht="87.75" customHeight="1">
      <c r="C569" s="80"/>
    </row>
    <row r="570" ht="87.75" customHeight="1">
      <c r="C570" s="80"/>
    </row>
    <row r="571" ht="87.75" customHeight="1">
      <c r="C571" s="80"/>
    </row>
    <row r="572" ht="87.75" customHeight="1">
      <c r="C572" s="80"/>
    </row>
    <row r="573" ht="87.75" customHeight="1">
      <c r="C573" s="80"/>
    </row>
    <row r="574" ht="87.75" customHeight="1">
      <c r="C574" s="80"/>
    </row>
    <row r="575" ht="87.75" customHeight="1">
      <c r="C575" s="80"/>
    </row>
    <row r="576" ht="87.75" customHeight="1">
      <c r="C576" s="80"/>
    </row>
    <row r="577" ht="87.75" customHeight="1">
      <c r="C577" s="80"/>
    </row>
    <row r="578" ht="87.75" customHeight="1">
      <c r="C578" s="80"/>
    </row>
    <row r="579" ht="87.75" customHeight="1">
      <c r="C579" s="80"/>
    </row>
    <row r="580" ht="87.75" customHeight="1">
      <c r="C580" s="80"/>
    </row>
    <row r="581" ht="87.75" customHeight="1">
      <c r="C581" s="80"/>
    </row>
    <row r="582" ht="87.75" customHeight="1">
      <c r="C582" s="80"/>
    </row>
    <row r="583" ht="87.75" customHeight="1">
      <c r="C583" s="80"/>
    </row>
    <row r="584" ht="87.75" customHeight="1">
      <c r="C584" s="80"/>
    </row>
    <row r="585" ht="87.75" customHeight="1">
      <c r="C585" s="80"/>
    </row>
    <row r="586" ht="87.75" customHeight="1">
      <c r="C586" s="80"/>
    </row>
    <row r="587" ht="87.75" customHeight="1">
      <c r="C587" s="80"/>
    </row>
    <row r="588" ht="87.75" customHeight="1">
      <c r="C588" s="80"/>
    </row>
    <row r="589" ht="87.75" customHeight="1">
      <c r="C589" s="80"/>
    </row>
    <row r="590" ht="87.75" customHeight="1">
      <c r="C590" s="80"/>
    </row>
    <row r="591" ht="87.75" customHeight="1">
      <c r="C591" s="80"/>
    </row>
    <row r="592" ht="87.75" customHeight="1">
      <c r="C592" s="80"/>
    </row>
    <row r="593" ht="87.75" customHeight="1">
      <c r="C593" s="80"/>
    </row>
    <row r="594" ht="87.75" customHeight="1">
      <c r="C594" s="80"/>
    </row>
    <row r="595" ht="87.75" customHeight="1">
      <c r="C595" s="80"/>
    </row>
    <row r="596" ht="87.75" customHeight="1">
      <c r="C596" s="80"/>
    </row>
    <row r="597" ht="87.75" customHeight="1">
      <c r="C597" s="80"/>
    </row>
    <row r="598" ht="87.75" customHeight="1">
      <c r="C598" s="80"/>
    </row>
    <row r="599" ht="87.75" customHeight="1">
      <c r="C599" s="80"/>
    </row>
    <row r="600" ht="87.75" customHeight="1">
      <c r="C600" s="80"/>
    </row>
    <row r="601" ht="87.75" customHeight="1">
      <c r="C601" s="80"/>
    </row>
    <row r="602" ht="87.75" customHeight="1">
      <c r="C602" s="80"/>
    </row>
    <row r="603" ht="87.75" customHeight="1">
      <c r="C603" s="80"/>
    </row>
    <row r="604" ht="87.75" customHeight="1">
      <c r="C604" s="80"/>
    </row>
    <row r="605" ht="87.75" customHeight="1">
      <c r="C605" s="80"/>
    </row>
    <row r="606" ht="87.75" customHeight="1">
      <c r="C606" s="80"/>
    </row>
    <row r="607" ht="87.75" customHeight="1">
      <c r="C607" s="80"/>
    </row>
    <row r="608" ht="87.75" customHeight="1">
      <c r="C608" s="80"/>
    </row>
    <row r="609" ht="87.75" customHeight="1">
      <c r="C609" s="80"/>
    </row>
    <row r="610" ht="87.75" customHeight="1">
      <c r="C610" s="80"/>
    </row>
    <row r="611" ht="87.75" customHeight="1">
      <c r="C611" s="80"/>
    </row>
    <row r="612" ht="87.75" customHeight="1">
      <c r="C612" s="80"/>
    </row>
    <row r="613" ht="87.75" customHeight="1">
      <c r="C613" s="80"/>
    </row>
    <row r="614" ht="87.75" customHeight="1">
      <c r="C614" s="80"/>
    </row>
    <row r="615" ht="87.75" customHeight="1">
      <c r="C615" s="80"/>
    </row>
    <row r="616" ht="87.75" customHeight="1">
      <c r="C616" s="80"/>
    </row>
    <row r="617" ht="87.75" customHeight="1">
      <c r="C617" s="80"/>
    </row>
    <row r="618" ht="87.75" customHeight="1">
      <c r="C618" s="80"/>
    </row>
    <row r="619" ht="87.75" customHeight="1">
      <c r="C619" s="80"/>
    </row>
    <row r="620" ht="87.75" customHeight="1">
      <c r="C620" s="80"/>
    </row>
    <row r="621" ht="87.75" customHeight="1">
      <c r="C621" s="80"/>
    </row>
    <row r="622" ht="87.75" customHeight="1">
      <c r="C622" s="80"/>
    </row>
    <row r="623" ht="87.75" customHeight="1">
      <c r="C623" s="80"/>
    </row>
    <row r="624" ht="87.75" customHeight="1">
      <c r="C624" s="80"/>
    </row>
    <row r="625" ht="87.75" customHeight="1">
      <c r="C625" s="80"/>
    </row>
    <row r="626" ht="87.75" customHeight="1">
      <c r="C626" s="80"/>
    </row>
    <row r="627" ht="87.75" customHeight="1">
      <c r="C627" s="80"/>
    </row>
    <row r="628" ht="87.75" customHeight="1">
      <c r="C628" s="80"/>
    </row>
    <row r="629" ht="87.75" customHeight="1">
      <c r="C629" s="80"/>
    </row>
    <row r="630" ht="87.75" customHeight="1">
      <c r="C630" s="80"/>
    </row>
    <row r="631" ht="87.75" customHeight="1">
      <c r="C631" s="80"/>
    </row>
    <row r="632" ht="87.75" customHeight="1">
      <c r="C632" s="80"/>
    </row>
    <row r="633" ht="87.75" customHeight="1">
      <c r="C633" s="80"/>
    </row>
    <row r="634" ht="87.75" customHeight="1">
      <c r="C634" s="80"/>
    </row>
    <row r="635" ht="87.75" customHeight="1">
      <c r="C635" s="80"/>
    </row>
    <row r="636" ht="87.75" customHeight="1">
      <c r="C636" s="80"/>
    </row>
    <row r="637" ht="87.75" customHeight="1">
      <c r="C637" s="80"/>
    </row>
    <row r="638" ht="87.75" customHeight="1">
      <c r="C638" s="80"/>
    </row>
    <row r="639" ht="87.75" customHeight="1">
      <c r="C639" s="80"/>
    </row>
    <row r="640" ht="87.75" customHeight="1">
      <c r="C640" s="80"/>
    </row>
    <row r="641" ht="87.75" customHeight="1">
      <c r="C641" s="80"/>
    </row>
    <row r="642" ht="87.75" customHeight="1">
      <c r="C642" s="80"/>
    </row>
    <row r="643" ht="87.75" customHeight="1">
      <c r="C643" s="80"/>
    </row>
    <row r="644" ht="87.75" customHeight="1">
      <c r="C644" s="80"/>
    </row>
    <row r="645" ht="87.75" customHeight="1">
      <c r="C645" s="80"/>
    </row>
    <row r="646" ht="87.75" customHeight="1">
      <c r="C646" s="80"/>
    </row>
    <row r="647" ht="87.75" customHeight="1">
      <c r="C647" s="80"/>
    </row>
    <row r="648" ht="87.75" customHeight="1">
      <c r="C648" s="80"/>
    </row>
    <row r="649" ht="87.75" customHeight="1">
      <c r="C649" s="80"/>
    </row>
    <row r="650" ht="87.75" customHeight="1">
      <c r="C650" s="80"/>
    </row>
    <row r="651" ht="87.75" customHeight="1">
      <c r="C651" s="80"/>
    </row>
    <row r="652" ht="87.75" customHeight="1">
      <c r="C652" s="80"/>
    </row>
    <row r="653" ht="87.75" customHeight="1">
      <c r="C653" s="80"/>
    </row>
    <row r="654" ht="87.75" customHeight="1">
      <c r="C654" s="80"/>
    </row>
    <row r="655" ht="87.75" customHeight="1">
      <c r="C655" s="80"/>
    </row>
    <row r="656" ht="87.75" customHeight="1">
      <c r="C656" s="80"/>
    </row>
    <row r="657" ht="87.75" customHeight="1">
      <c r="C657" s="80"/>
    </row>
    <row r="658" ht="87.75" customHeight="1">
      <c r="C658" s="80"/>
    </row>
    <row r="659" ht="87.75" customHeight="1">
      <c r="C659" s="80"/>
    </row>
    <row r="660" ht="87.75" customHeight="1">
      <c r="C660" s="80"/>
    </row>
    <row r="661" ht="87.75" customHeight="1">
      <c r="C661" s="80"/>
    </row>
    <row r="662" ht="87.75" customHeight="1">
      <c r="C662" s="80"/>
    </row>
    <row r="663" ht="87.75" customHeight="1">
      <c r="C663" s="80"/>
    </row>
    <row r="664" ht="87.75" customHeight="1">
      <c r="C664" s="80"/>
    </row>
    <row r="665" ht="87.75" customHeight="1">
      <c r="C665" s="80"/>
    </row>
    <row r="666" ht="87.75" customHeight="1">
      <c r="C666" s="80"/>
    </row>
    <row r="667" ht="87.75" customHeight="1">
      <c r="C667" s="80"/>
    </row>
    <row r="668" ht="87.75" customHeight="1">
      <c r="C668" s="80"/>
    </row>
    <row r="669" ht="87.75" customHeight="1">
      <c r="C669" s="80"/>
    </row>
    <row r="670" ht="87.75" customHeight="1">
      <c r="C670" s="80"/>
    </row>
    <row r="671" ht="87.75" customHeight="1">
      <c r="C671" s="80"/>
    </row>
    <row r="672" ht="87.75" customHeight="1">
      <c r="C672" s="80"/>
    </row>
    <row r="673" ht="87.75" customHeight="1">
      <c r="C673" s="80"/>
    </row>
    <row r="674" ht="87.75" customHeight="1">
      <c r="C674" s="80"/>
    </row>
    <row r="675" ht="87.75" customHeight="1">
      <c r="C675" s="80"/>
    </row>
    <row r="676" ht="87.75" customHeight="1">
      <c r="C676" s="80"/>
    </row>
    <row r="677" ht="87.75" customHeight="1">
      <c r="C677" s="80"/>
    </row>
    <row r="678" ht="87.75" customHeight="1">
      <c r="C678" s="80"/>
    </row>
    <row r="679" ht="87.75" customHeight="1">
      <c r="C679" s="80"/>
    </row>
    <row r="680" ht="87.75" customHeight="1">
      <c r="C680" s="80"/>
    </row>
    <row r="681" ht="87.75" customHeight="1">
      <c r="C681" s="80"/>
    </row>
    <row r="682" ht="87.75" customHeight="1">
      <c r="C682" s="80"/>
    </row>
    <row r="683" ht="87.75" customHeight="1">
      <c r="C683" s="80"/>
    </row>
    <row r="684" ht="87.75" customHeight="1">
      <c r="C684" s="80"/>
    </row>
    <row r="685" ht="87.75" customHeight="1">
      <c r="C685" s="80"/>
    </row>
    <row r="686" ht="87.75" customHeight="1">
      <c r="C686" s="80"/>
    </row>
    <row r="687" ht="87.75" customHeight="1">
      <c r="C687" s="80"/>
    </row>
    <row r="688" ht="87.75" customHeight="1">
      <c r="C688" s="80"/>
    </row>
    <row r="689" ht="87.75" customHeight="1">
      <c r="C689" s="80"/>
    </row>
    <row r="690" ht="87.75" customHeight="1">
      <c r="C690" s="80"/>
    </row>
    <row r="691" ht="87.75" customHeight="1">
      <c r="C691" s="80"/>
    </row>
    <row r="692" ht="87.75" customHeight="1">
      <c r="C692" s="80"/>
    </row>
    <row r="693" ht="87.75" customHeight="1">
      <c r="C693" s="80"/>
    </row>
    <row r="694" ht="87.75" customHeight="1">
      <c r="C694" s="80"/>
    </row>
    <row r="695" ht="87.75" customHeight="1">
      <c r="C695" s="80"/>
    </row>
    <row r="696" ht="87.75" customHeight="1">
      <c r="C696" s="80"/>
    </row>
    <row r="697" ht="87.75" customHeight="1">
      <c r="C697" s="80"/>
    </row>
    <row r="698" ht="87.75" customHeight="1">
      <c r="C698" s="80"/>
    </row>
    <row r="699" ht="87.75" customHeight="1">
      <c r="C699" s="80"/>
    </row>
    <row r="700" ht="87.75" customHeight="1">
      <c r="C700" s="80"/>
    </row>
    <row r="701" ht="87.75" customHeight="1">
      <c r="C701" s="80"/>
    </row>
    <row r="702" ht="87.75" customHeight="1">
      <c r="C702" s="80"/>
    </row>
    <row r="703" ht="87.75" customHeight="1">
      <c r="C703" s="80"/>
    </row>
    <row r="704" ht="87.75" customHeight="1">
      <c r="C704" s="80"/>
    </row>
    <row r="705" ht="87.75" customHeight="1">
      <c r="C705" s="80"/>
    </row>
    <row r="706" ht="87.75" customHeight="1">
      <c r="C706" s="80"/>
    </row>
    <row r="707" ht="87.75" customHeight="1">
      <c r="C707" s="80"/>
    </row>
    <row r="708" ht="87.75" customHeight="1">
      <c r="C708" s="80"/>
    </row>
    <row r="709" ht="87.75" customHeight="1">
      <c r="C709" s="80"/>
    </row>
    <row r="710" ht="87.75" customHeight="1">
      <c r="C710" s="80"/>
    </row>
    <row r="711" ht="87.75" customHeight="1">
      <c r="C711" s="80"/>
    </row>
    <row r="712" ht="87.75" customHeight="1">
      <c r="C712" s="80"/>
    </row>
    <row r="713" ht="87.75" customHeight="1">
      <c r="C713" s="80"/>
    </row>
    <row r="714" ht="87.75" customHeight="1">
      <c r="C714" s="80"/>
    </row>
    <row r="715" ht="87.75" customHeight="1">
      <c r="C715" s="80"/>
    </row>
    <row r="716" ht="87.75" customHeight="1">
      <c r="C716" s="80"/>
    </row>
    <row r="717" ht="87.75" customHeight="1">
      <c r="C717" s="80"/>
    </row>
    <row r="718" ht="87.75" customHeight="1">
      <c r="C718" s="80"/>
    </row>
    <row r="719" ht="87.75" customHeight="1">
      <c r="C719" s="80"/>
    </row>
    <row r="720" ht="87.75" customHeight="1">
      <c r="C720" s="80"/>
    </row>
    <row r="721" ht="87.75" customHeight="1">
      <c r="C721" s="80"/>
    </row>
    <row r="722" ht="87.75" customHeight="1">
      <c r="C722" s="80"/>
    </row>
    <row r="723" ht="87.75" customHeight="1">
      <c r="C723" s="80"/>
    </row>
    <row r="724" ht="87.75" customHeight="1">
      <c r="C724" s="80"/>
    </row>
    <row r="725" ht="87.75" customHeight="1">
      <c r="C725" s="80"/>
    </row>
    <row r="726" ht="87.75" customHeight="1">
      <c r="C726" s="80"/>
    </row>
    <row r="727" ht="87.75" customHeight="1">
      <c r="C727" s="80"/>
    </row>
    <row r="728" ht="87.75" customHeight="1">
      <c r="C728" s="80"/>
    </row>
    <row r="729" ht="87.75" customHeight="1">
      <c r="C729" s="80"/>
    </row>
    <row r="730" ht="87.75" customHeight="1">
      <c r="C730" s="80"/>
    </row>
    <row r="731" ht="87.75" customHeight="1">
      <c r="C731" s="80"/>
    </row>
    <row r="732" ht="87.75" customHeight="1">
      <c r="C732" s="80"/>
    </row>
    <row r="733" ht="87.75" customHeight="1">
      <c r="C733" s="80"/>
    </row>
    <row r="734" ht="87.75" customHeight="1">
      <c r="C734" s="80"/>
    </row>
    <row r="735" ht="87.75" customHeight="1">
      <c r="C735" s="80"/>
    </row>
    <row r="736" ht="87.75" customHeight="1">
      <c r="C736" s="80"/>
    </row>
    <row r="737" ht="87.75" customHeight="1">
      <c r="C737" s="80"/>
    </row>
    <row r="738" ht="87.75" customHeight="1">
      <c r="C738" s="80"/>
    </row>
    <row r="739" ht="87.75" customHeight="1">
      <c r="C739" s="80"/>
    </row>
    <row r="740" ht="87.75" customHeight="1">
      <c r="C740" s="80"/>
    </row>
    <row r="741" ht="87.75" customHeight="1">
      <c r="C741" s="80"/>
    </row>
    <row r="742" ht="87.75" customHeight="1">
      <c r="C742" s="80"/>
    </row>
    <row r="743" ht="87.75" customHeight="1">
      <c r="C743" s="80"/>
    </row>
    <row r="744" ht="87.75" customHeight="1">
      <c r="C744" s="80"/>
    </row>
    <row r="745" ht="87.75" customHeight="1">
      <c r="C745" s="80"/>
    </row>
    <row r="746" ht="87.75" customHeight="1">
      <c r="C746" s="80"/>
    </row>
    <row r="747" ht="87.75" customHeight="1">
      <c r="C747" s="80"/>
    </row>
    <row r="748" ht="87.75" customHeight="1">
      <c r="C748" s="80"/>
    </row>
    <row r="749" ht="87.75" customHeight="1">
      <c r="C749" s="80"/>
    </row>
    <row r="750" ht="87.75" customHeight="1">
      <c r="C750" s="80"/>
    </row>
    <row r="751" ht="87.75" customHeight="1">
      <c r="C751" s="80"/>
    </row>
    <row r="752" ht="87.75" customHeight="1">
      <c r="C752" s="80"/>
    </row>
    <row r="753" ht="87.75" customHeight="1">
      <c r="C753" s="80"/>
    </row>
    <row r="754" ht="87.75" customHeight="1">
      <c r="C754" s="80"/>
    </row>
    <row r="755" ht="87.75" customHeight="1">
      <c r="C755" s="80"/>
    </row>
    <row r="756" ht="87.75" customHeight="1">
      <c r="C756" s="80"/>
    </row>
    <row r="757" ht="87.75" customHeight="1">
      <c r="C757" s="80"/>
    </row>
    <row r="758" ht="87.75" customHeight="1">
      <c r="C758" s="80"/>
    </row>
    <row r="759" ht="87.75" customHeight="1">
      <c r="C759" s="80"/>
    </row>
    <row r="760" ht="87.75" customHeight="1">
      <c r="C760" s="80"/>
    </row>
    <row r="761" ht="87.75" customHeight="1">
      <c r="C761" s="80"/>
    </row>
    <row r="762" ht="87.75" customHeight="1">
      <c r="C762" s="80"/>
    </row>
    <row r="763" ht="87.75" customHeight="1">
      <c r="C763" s="80"/>
    </row>
    <row r="764" ht="87.75" customHeight="1">
      <c r="C764" s="80"/>
    </row>
    <row r="765" ht="87.75" customHeight="1">
      <c r="C765" s="80"/>
    </row>
    <row r="766" ht="87.75" customHeight="1">
      <c r="C766" s="80"/>
    </row>
    <row r="767" ht="87.75" customHeight="1">
      <c r="C767" s="80"/>
    </row>
    <row r="768" ht="87.75" customHeight="1">
      <c r="C768" s="80"/>
    </row>
    <row r="769" ht="87.75" customHeight="1">
      <c r="C769" s="80"/>
    </row>
    <row r="770" ht="87.75" customHeight="1">
      <c r="C770" s="80"/>
    </row>
    <row r="771" ht="87.75" customHeight="1">
      <c r="C771" s="80"/>
    </row>
    <row r="772" ht="87.75" customHeight="1">
      <c r="C772" s="80"/>
    </row>
    <row r="773" ht="87.75" customHeight="1">
      <c r="C773" s="80"/>
    </row>
    <row r="774" ht="87.75" customHeight="1">
      <c r="C774" s="80"/>
    </row>
    <row r="775" ht="87.75" customHeight="1">
      <c r="C775" s="80"/>
    </row>
    <row r="776" ht="87.75" customHeight="1">
      <c r="C776" s="80"/>
    </row>
    <row r="777" ht="87.75" customHeight="1">
      <c r="C777" s="80"/>
    </row>
    <row r="778" ht="87.75" customHeight="1">
      <c r="C778" s="80"/>
    </row>
    <row r="779" ht="87.75" customHeight="1">
      <c r="C779" s="80"/>
    </row>
    <row r="780" ht="87.75" customHeight="1">
      <c r="C780" s="80"/>
    </row>
    <row r="781" ht="87.75" customHeight="1">
      <c r="C781" s="80"/>
    </row>
    <row r="782" ht="87.75" customHeight="1">
      <c r="C782" s="80"/>
    </row>
    <row r="783" ht="87.75" customHeight="1">
      <c r="C783" s="80"/>
    </row>
    <row r="784" ht="87.75" customHeight="1">
      <c r="C784" s="80"/>
    </row>
    <row r="785" ht="87.75" customHeight="1">
      <c r="C785" s="80"/>
    </row>
    <row r="786" ht="87.75" customHeight="1">
      <c r="C786" s="80"/>
    </row>
    <row r="787" ht="87.75" customHeight="1">
      <c r="C787" s="80"/>
    </row>
    <row r="788" ht="87.75" customHeight="1">
      <c r="C788" s="80"/>
    </row>
    <row r="789" ht="87.75" customHeight="1">
      <c r="C789" s="80"/>
    </row>
    <row r="790" ht="87.75" customHeight="1">
      <c r="C790" s="80"/>
    </row>
    <row r="791" ht="87.75" customHeight="1">
      <c r="C791" s="80"/>
    </row>
    <row r="792" ht="87.75" customHeight="1">
      <c r="C792" s="80"/>
    </row>
    <row r="793" ht="87.75" customHeight="1">
      <c r="C793" s="80"/>
    </row>
    <row r="794" ht="87.75" customHeight="1">
      <c r="C794" s="80"/>
    </row>
    <row r="795" ht="87.75" customHeight="1">
      <c r="C795" s="80"/>
    </row>
    <row r="796" ht="87.75" customHeight="1">
      <c r="C796" s="80"/>
    </row>
    <row r="797" ht="87.75" customHeight="1">
      <c r="C797" s="80"/>
    </row>
    <row r="798" ht="87.75" customHeight="1">
      <c r="C798" s="80"/>
    </row>
    <row r="799" ht="87.75" customHeight="1">
      <c r="C799" s="80"/>
    </row>
    <row r="800" ht="87.75" customHeight="1">
      <c r="C800" s="80"/>
    </row>
    <row r="801" ht="87.75" customHeight="1">
      <c r="C801" s="80"/>
    </row>
    <row r="802" ht="87.75" customHeight="1">
      <c r="C802" s="80"/>
    </row>
    <row r="803" ht="87.75" customHeight="1">
      <c r="C803" s="80"/>
    </row>
    <row r="804" ht="87.75" customHeight="1">
      <c r="C804" s="80"/>
    </row>
    <row r="805" ht="87.75" customHeight="1">
      <c r="C805" s="80"/>
    </row>
    <row r="806" ht="87.75" customHeight="1">
      <c r="C806" s="80"/>
    </row>
    <row r="807" ht="87.75" customHeight="1">
      <c r="C807" s="80"/>
    </row>
    <row r="808" ht="87.75" customHeight="1">
      <c r="C808" s="80"/>
    </row>
    <row r="809" ht="87.75" customHeight="1">
      <c r="C809" s="80"/>
    </row>
    <row r="810" ht="87.75" customHeight="1">
      <c r="C810" s="80"/>
    </row>
    <row r="811" ht="87.75" customHeight="1">
      <c r="C811" s="80"/>
    </row>
    <row r="812" ht="87.75" customHeight="1">
      <c r="C812" s="80"/>
    </row>
    <row r="813" ht="87.75" customHeight="1">
      <c r="C813" s="80"/>
    </row>
    <row r="814" ht="87.75" customHeight="1">
      <c r="C814" s="80"/>
    </row>
    <row r="815" ht="87.75" customHeight="1">
      <c r="C815" s="80"/>
    </row>
    <row r="816" ht="87.75" customHeight="1">
      <c r="C816" s="80"/>
    </row>
    <row r="817" ht="87.75" customHeight="1">
      <c r="C817" s="80"/>
    </row>
    <row r="818" ht="87.75" customHeight="1">
      <c r="C818" s="80"/>
    </row>
    <row r="819" ht="87.75" customHeight="1">
      <c r="C819" s="80"/>
    </row>
    <row r="820" ht="87.75" customHeight="1">
      <c r="C820" s="80"/>
    </row>
    <row r="821" ht="87.75" customHeight="1">
      <c r="C821" s="80"/>
    </row>
    <row r="822" ht="87.75" customHeight="1">
      <c r="C822" s="80"/>
    </row>
    <row r="823" ht="87.75" customHeight="1">
      <c r="C823" s="80"/>
    </row>
    <row r="824" ht="87.75" customHeight="1">
      <c r="C824" s="80"/>
    </row>
    <row r="825" ht="87.75" customHeight="1">
      <c r="C825" s="80"/>
    </row>
    <row r="826" ht="87.75" customHeight="1">
      <c r="C826" s="80"/>
    </row>
    <row r="827" ht="87.75" customHeight="1">
      <c r="C827" s="80"/>
    </row>
    <row r="828" ht="87.75" customHeight="1">
      <c r="C828" s="80"/>
    </row>
    <row r="829" ht="87.75" customHeight="1">
      <c r="C829" s="80"/>
    </row>
    <row r="830" ht="87.75" customHeight="1">
      <c r="C830" s="80"/>
    </row>
    <row r="831" ht="87.75" customHeight="1">
      <c r="C831" s="80"/>
    </row>
    <row r="832" ht="87.75" customHeight="1">
      <c r="C832" s="80"/>
    </row>
    <row r="833" ht="87.75" customHeight="1">
      <c r="C833" s="80"/>
    </row>
    <row r="834" ht="87.75" customHeight="1">
      <c r="C834" s="80"/>
    </row>
    <row r="835" ht="87.75" customHeight="1">
      <c r="C835" s="80"/>
    </row>
    <row r="836" ht="87.75" customHeight="1">
      <c r="C836" s="80"/>
    </row>
    <row r="837" ht="87.75" customHeight="1">
      <c r="C837" s="80"/>
    </row>
    <row r="838" ht="87.75" customHeight="1">
      <c r="C838" s="80"/>
    </row>
    <row r="839" ht="87.75" customHeight="1">
      <c r="C839" s="80"/>
    </row>
    <row r="840" ht="87.75" customHeight="1">
      <c r="C840" s="80"/>
    </row>
    <row r="841" ht="87.75" customHeight="1">
      <c r="C841" s="80"/>
    </row>
    <row r="842" ht="87.75" customHeight="1">
      <c r="C842" s="80"/>
    </row>
    <row r="843" ht="87.75" customHeight="1">
      <c r="C843" s="80"/>
    </row>
    <row r="844" ht="87.75" customHeight="1">
      <c r="C844" s="80"/>
    </row>
    <row r="845" ht="87.75" customHeight="1">
      <c r="C845" s="80"/>
    </row>
    <row r="846" ht="87.75" customHeight="1">
      <c r="C846" s="80"/>
    </row>
    <row r="847" ht="87.75" customHeight="1">
      <c r="C847" s="80"/>
    </row>
    <row r="848" ht="87.75" customHeight="1">
      <c r="C848" s="80"/>
    </row>
    <row r="849" ht="87.75" customHeight="1">
      <c r="C849" s="80"/>
    </row>
    <row r="850" ht="87.75" customHeight="1">
      <c r="C850" s="80"/>
    </row>
    <row r="851" ht="87.75" customHeight="1">
      <c r="C851" s="80"/>
    </row>
    <row r="852" ht="87.75" customHeight="1">
      <c r="C852" s="80"/>
    </row>
    <row r="853" ht="87.75" customHeight="1">
      <c r="C853" s="80"/>
    </row>
    <row r="854" ht="87.75" customHeight="1">
      <c r="C854" s="80"/>
    </row>
    <row r="855" ht="87.75" customHeight="1">
      <c r="C855" s="80"/>
    </row>
    <row r="856" ht="87.75" customHeight="1">
      <c r="C856" s="80"/>
    </row>
    <row r="857" ht="87.75" customHeight="1">
      <c r="C857" s="80"/>
    </row>
    <row r="858" ht="87.75" customHeight="1">
      <c r="C858" s="80"/>
    </row>
    <row r="859" ht="87.75" customHeight="1">
      <c r="C859" s="80"/>
    </row>
    <row r="860" ht="87.75" customHeight="1">
      <c r="C860" s="80"/>
    </row>
    <row r="861" ht="87.75" customHeight="1">
      <c r="C861" s="80"/>
    </row>
    <row r="862" ht="87.75" customHeight="1">
      <c r="C862" s="80"/>
    </row>
    <row r="863" ht="87.75" customHeight="1">
      <c r="C863" s="80"/>
    </row>
    <row r="864" ht="87.75" customHeight="1">
      <c r="C864" s="80"/>
    </row>
    <row r="865" ht="87.75" customHeight="1">
      <c r="C865" s="80"/>
    </row>
    <row r="866" ht="87.75" customHeight="1">
      <c r="C866" s="80"/>
    </row>
    <row r="867" ht="87.75" customHeight="1">
      <c r="C867" s="80"/>
    </row>
    <row r="868" ht="87.75" customHeight="1">
      <c r="C868" s="80"/>
    </row>
    <row r="869" ht="87.75" customHeight="1">
      <c r="C869" s="80"/>
    </row>
    <row r="870" ht="87.75" customHeight="1">
      <c r="C870" s="80"/>
    </row>
    <row r="871" ht="87.75" customHeight="1">
      <c r="C871" s="80"/>
    </row>
    <row r="872" ht="87.75" customHeight="1">
      <c r="C872" s="80"/>
    </row>
    <row r="873" ht="87.75" customHeight="1">
      <c r="C873" s="80"/>
    </row>
    <row r="874" ht="87.75" customHeight="1">
      <c r="C874" s="80"/>
    </row>
    <row r="875" ht="87.75" customHeight="1">
      <c r="C875" s="80"/>
    </row>
    <row r="876" ht="87.75" customHeight="1">
      <c r="C876" s="80"/>
    </row>
    <row r="877" ht="87.75" customHeight="1">
      <c r="C877" s="80"/>
    </row>
    <row r="878" ht="87.75" customHeight="1">
      <c r="C878" s="80"/>
    </row>
    <row r="879" ht="87.75" customHeight="1">
      <c r="C879" s="80"/>
    </row>
    <row r="880" ht="87.75" customHeight="1">
      <c r="C880" s="80"/>
    </row>
    <row r="881" ht="87.75" customHeight="1">
      <c r="C881" s="80"/>
    </row>
    <row r="882" ht="87.75" customHeight="1">
      <c r="C882" s="80"/>
    </row>
    <row r="883" ht="87.75" customHeight="1">
      <c r="C883" s="80"/>
    </row>
    <row r="884" ht="87.75" customHeight="1">
      <c r="C884" s="80"/>
    </row>
    <row r="885" ht="87.75" customHeight="1">
      <c r="C885" s="80"/>
    </row>
    <row r="886" ht="87.75" customHeight="1">
      <c r="C886" s="80"/>
    </row>
    <row r="887" ht="87.75" customHeight="1">
      <c r="C887" s="80"/>
    </row>
    <row r="888" ht="87.75" customHeight="1">
      <c r="C888" s="80"/>
    </row>
    <row r="889" ht="87.75" customHeight="1">
      <c r="C889" s="80"/>
    </row>
    <row r="890" ht="87.75" customHeight="1">
      <c r="C890" s="80"/>
    </row>
    <row r="891" ht="87.75" customHeight="1">
      <c r="C891" s="80"/>
    </row>
    <row r="892" ht="87.75" customHeight="1">
      <c r="C892" s="80"/>
    </row>
    <row r="893" ht="87.75" customHeight="1">
      <c r="C893" s="80"/>
    </row>
    <row r="894" ht="87.75" customHeight="1">
      <c r="C894" s="80"/>
    </row>
    <row r="895" ht="87.75" customHeight="1">
      <c r="C895" s="80"/>
    </row>
    <row r="896" ht="87.75" customHeight="1">
      <c r="C896" s="80"/>
    </row>
    <row r="897" ht="87.75" customHeight="1">
      <c r="C897" s="80"/>
    </row>
    <row r="898" ht="87.75" customHeight="1">
      <c r="C898" s="80"/>
    </row>
    <row r="899" ht="87.75" customHeight="1">
      <c r="C899" s="80"/>
    </row>
    <row r="900" ht="87.75" customHeight="1">
      <c r="C900" s="80"/>
    </row>
    <row r="901" ht="87.75" customHeight="1">
      <c r="C901" s="80"/>
    </row>
    <row r="902" ht="87.75" customHeight="1">
      <c r="C902" s="80"/>
    </row>
    <row r="903" ht="87.75" customHeight="1">
      <c r="C903" s="80"/>
    </row>
    <row r="904" ht="87.75" customHeight="1">
      <c r="C904" s="80"/>
    </row>
    <row r="905" ht="87.75" customHeight="1">
      <c r="C905" s="80"/>
    </row>
    <row r="906" ht="87.75" customHeight="1">
      <c r="C906" s="80"/>
    </row>
    <row r="907" ht="87.75" customHeight="1">
      <c r="C907" s="80"/>
    </row>
    <row r="908" ht="87.75" customHeight="1">
      <c r="C908" s="80"/>
    </row>
    <row r="909" ht="87.75" customHeight="1">
      <c r="C909" s="80"/>
    </row>
    <row r="910" ht="87.75" customHeight="1">
      <c r="C910" s="80"/>
    </row>
    <row r="911" ht="87.75" customHeight="1">
      <c r="C911" s="80"/>
    </row>
    <row r="912" ht="87.75" customHeight="1">
      <c r="C912" s="80"/>
    </row>
    <row r="913" ht="87.75" customHeight="1">
      <c r="C913" s="80"/>
    </row>
    <row r="914" ht="87.75" customHeight="1">
      <c r="C914" s="80"/>
    </row>
    <row r="915" ht="87.75" customHeight="1">
      <c r="C915" s="80"/>
    </row>
    <row r="916" ht="87.75" customHeight="1">
      <c r="C916" s="80"/>
    </row>
    <row r="917" ht="87.75" customHeight="1">
      <c r="C917" s="80"/>
    </row>
    <row r="918" ht="87.75" customHeight="1">
      <c r="C918" s="80"/>
    </row>
    <row r="919" ht="87.75" customHeight="1">
      <c r="C919" s="80"/>
    </row>
    <row r="920" ht="87.75" customHeight="1">
      <c r="C920" s="80"/>
    </row>
    <row r="921" ht="87.75" customHeight="1">
      <c r="C921" s="80"/>
    </row>
    <row r="922" ht="87.75" customHeight="1">
      <c r="C922" s="80"/>
    </row>
    <row r="923" ht="87.75" customHeight="1">
      <c r="C923" s="80"/>
    </row>
    <row r="924" ht="87.75" customHeight="1">
      <c r="C924" s="80"/>
    </row>
    <row r="925" ht="87.75" customHeight="1">
      <c r="C925" s="80"/>
    </row>
    <row r="926" ht="87.75" customHeight="1">
      <c r="C926" s="80"/>
    </row>
    <row r="927" ht="87.75" customHeight="1">
      <c r="C927" s="80"/>
    </row>
    <row r="928" ht="87.75" customHeight="1">
      <c r="C928" s="80"/>
    </row>
    <row r="929" ht="87.75" customHeight="1">
      <c r="C929" s="80"/>
    </row>
    <row r="930" ht="87.75" customHeight="1">
      <c r="C930" s="80"/>
    </row>
    <row r="931" ht="87.75" customHeight="1">
      <c r="C931" s="80"/>
    </row>
    <row r="932" ht="87.75" customHeight="1">
      <c r="C932" s="80"/>
    </row>
    <row r="933" ht="87.75" customHeight="1">
      <c r="C933" s="80"/>
    </row>
    <row r="934" ht="87.75" customHeight="1">
      <c r="C934" s="80"/>
    </row>
    <row r="935" ht="87.75" customHeight="1">
      <c r="C935" s="80"/>
    </row>
    <row r="936" ht="87.75" customHeight="1">
      <c r="C936" s="80"/>
    </row>
    <row r="937" ht="87.75" customHeight="1">
      <c r="C937" s="80"/>
    </row>
    <row r="938" ht="87.75" customHeight="1">
      <c r="C938" s="80"/>
    </row>
    <row r="939" ht="87.75" customHeight="1">
      <c r="C939" s="80"/>
    </row>
    <row r="940" ht="87.75" customHeight="1">
      <c r="C940" s="80"/>
    </row>
    <row r="941" ht="87.75" customHeight="1">
      <c r="C941" s="80"/>
    </row>
    <row r="942" ht="87.75" customHeight="1">
      <c r="C942" s="80"/>
    </row>
    <row r="943" ht="87.75" customHeight="1">
      <c r="C943" s="80"/>
    </row>
    <row r="944" ht="87.75" customHeight="1">
      <c r="C944" s="80"/>
    </row>
    <row r="945" ht="87.75" customHeight="1">
      <c r="C945" s="80"/>
    </row>
    <row r="946" ht="87.75" customHeight="1">
      <c r="C946" s="80"/>
    </row>
    <row r="947" ht="87.75" customHeight="1">
      <c r="C947" s="80"/>
    </row>
    <row r="948" ht="87.75" customHeight="1">
      <c r="C948" s="80"/>
    </row>
    <row r="949" ht="87.75" customHeight="1">
      <c r="C949" s="80"/>
    </row>
    <row r="950" ht="87.75" customHeight="1">
      <c r="C950" s="80"/>
    </row>
    <row r="951" ht="87.75" customHeight="1">
      <c r="C951" s="80"/>
    </row>
    <row r="952" ht="87.75" customHeight="1">
      <c r="C952" s="80"/>
    </row>
    <row r="953" ht="87.75" customHeight="1">
      <c r="C953" s="80"/>
    </row>
    <row r="954" ht="87.75" customHeight="1">
      <c r="C954" s="80"/>
    </row>
    <row r="955" ht="87.75" customHeight="1">
      <c r="C955" s="80"/>
    </row>
    <row r="956" ht="87.75" customHeight="1">
      <c r="C956" s="80"/>
    </row>
    <row r="957" ht="87.75" customHeight="1">
      <c r="C957" s="80"/>
    </row>
    <row r="958" ht="87.75" customHeight="1">
      <c r="C958" s="80"/>
    </row>
    <row r="959" ht="87.75" customHeight="1">
      <c r="C959" s="80"/>
    </row>
    <row r="960" ht="87.75" customHeight="1">
      <c r="C960" s="80"/>
    </row>
    <row r="961" ht="87.75" customHeight="1">
      <c r="C961" s="80"/>
    </row>
    <row r="962" ht="87.75" customHeight="1">
      <c r="C962" s="80"/>
    </row>
    <row r="963" ht="87.75" customHeight="1">
      <c r="C963" s="80"/>
    </row>
    <row r="964" ht="87.75" customHeight="1">
      <c r="C964" s="80"/>
    </row>
    <row r="965" ht="87.75" customHeight="1">
      <c r="C965" s="80"/>
    </row>
    <row r="966" ht="87.75" customHeight="1">
      <c r="C966" s="80"/>
    </row>
    <row r="967" ht="87.75" customHeight="1">
      <c r="C967" s="80"/>
    </row>
    <row r="968" ht="87.75" customHeight="1">
      <c r="C968" s="80"/>
    </row>
    <row r="969" ht="87.75" customHeight="1">
      <c r="C969" s="80"/>
    </row>
    <row r="970" ht="87.75" customHeight="1">
      <c r="C970" s="80"/>
    </row>
    <row r="971" ht="87.75" customHeight="1">
      <c r="C971" s="80"/>
    </row>
    <row r="972" ht="87.75" customHeight="1">
      <c r="C972" s="80"/>
    </row>
    <row r="973" ht="87.75" customHeight="1">
      <c r="C973" s="80"/>
    </row>
    <row r="974" ht="87.75" customHeight="1">
      <c r="C974" s="80"/>
    </row>
    <row r="975" ht="87.75" customHeight="1">
      <c r="C975" s="80"/>
    </row>
    <row r="976" ht="87.75" customHeight="1">
      <c r="C976" s="80"/>
    </row>
    <row r="977" ht="87.75" customHeight="1">
      <c r="C977" s="80"/>
    </row>
    <row r="978" ht="87.75" customHeight="1">
      <c r="C978" s="80"/>
    </row>
    <row r="979" ht="87.75" customHeight="1">
      <c r="C979" s="80"/>
    </row>
    <row r="980" ht="87.75" customHeight="1">
      <c r="C980" s="80"/>
    </row>
    <row r="981" ht="87.75" customHeight="1">
      <c r="C981" s="80"/>
    </row>
    <row r="982" ht="87.75" customHeight="1">
      <c r="C982" s="80"/>
    </row>
    <row r="983" ht="87.75" customHeight="1">
      <c r="C983" s="80"/>
    </row>
    <row r="984" ht="87.75" customHeight="1">
      <c r="C984" s="80"/>
    </row>
    <row r="985" ht="87.75" customHeight="1">
      <c r="C985" s="80"/>
    </row>
    <row r="986" ht="87.75" customHeight="1">
      <c r="C986" s="80"/>
    </row>
    <row r="987" ht="87.75" customHeight="1">
      <c r="C987" s="80"/>
    </row>
    <row r="988" ht="87.75" customHeight="1">
      <c r="C988" s="80"/>
    </row>
    <row r="989" ht="87.75" customHeight="1">
      <c r="C989" s="80"/>
    </row>
    <row r="990" ht="87.75" customHeight="1">
      <c r="C990" s="80"/>
    </row>
    <row r="991" ht="87.75" customHeight="1">
      <c r="C991" s="80"/>
    </row>
    <row r="992" ht="87.75" customHeight="1">
      <c r="C992" s="80"/>
    </row>
    <row r="993" ht="87.75" customHeight="1">
      <c r="C993" s="80"/>
    </row>
    <row r="994" ht="87.75" customHeight="1">
      <c r="C994" s="80"/>
    </row>
    <row r="995" ht="87.75" customHeight="1">
      <c r="C995" s="80"/>
    </row>
    <row r="996" ht="87.75" customHeight="1">
      <c r="C996" s="80"/>
    </row>
    <row r="997" ht="87.75" customHeight="1">
      <c r="C997" s="80"/>
    </row>
    <row r="998" ht="87.75" customHeight="1">
      <c r="C998" s="80"/>
    </row>
    <row r="999" ht="87.75" customHeight="1">
      <c r="C999" s="80"/>
    </row>
    <row r="1000" ht="87.75" customHeight="1">
      <c r="C1000" s="80"/>
    </row>
  </sheetData>
  <drawing r:id="rId1"/>
</worksheet>
</file>

<file path=xl/worksheets/sheet4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96.0"/>
    <col customWidth="1" min="4" max="4" width="25.63"/>
    <col customWidth="1" min="5" max="5" width="28.88"/>
    <col customWidth="1" min="6" max="6" width="81.38"/>
    <col customWidth="1" min="7" max="7" width="41.38"/>
  </cols>
  <sheetData>
    <row r="1" ht="14.25" customHeight="1">
      <c r="A1" s="81"/>
      <c r="B1" s="81" t="s">
        <v>759</v>
      </c>
      <c r="C1" s="82" t="s">
        <v>19524</v>
      </c>
      <c r="D1" s="81" t="s">
        <v>19525</v>
      </c>
      <c r="E1" s="81" t="s">
        <v>19526</v>
      </c>
      <c r="F1" s="83" t="s">
        <v>19527</v>
      </c>
      <c r="G1" s="83" t="s">
        <v>624</v>
      </c>
      <c r="H1" s="81" t="s">
        <v>625</v>
      </c>
      <c r="I1" s="81"/>
      <c r="J1" s="81"/>
      <c r="K1" s="81"/>
      <c r="L1" s="81"/>
      <c r="M1" s="81"/>
      <c r="N1" s="81"/>
      <c r="O1" s="81"/>
      <c r="P1" s="81"/>
      <c r="Q1" s="81"/>
      <c r="R1" s="81"/>
      <c r="S1" s="81"/>
      <c r="T1" s="81"/>
      <c r="U1" s="81"/>
      <c r="V1" s="81"/>
      <c r="W1" s="81"/>
      <c r="X1" s="81"/>
      <c r="Y1" s="81"/>
      <c r="Z1" s="81"/>
    </row>
    <row r="2" ht="53.25" customHeight="1">
      <c r="A2" s="62">
        <v>409.0</v>
      </c>
      <c r="B2" s="60" t="s">
        <v>12</v>
      </c>
      <c r="C2" s="84" t="s">
        <v>21512</v>
      </c>
      <c r="D2" s="60" t="s">
        <v>19630</v>
      </c>
      <c r="E2" s="60" t="s">
        <v>19602</v>
      </c>
      <c r="F2" s="85" t="s">
        <v>21513</v>
      </c>
      <c r="G2" s="85" t="s">
        <v>21062</v>
      </c>
      <c r="H2" s="62">
        <v>85.0</v>
      </c>
      <c r="I2" s="60"/>
      <c r="J2" s="60"/>
      <c r="K2" s="60"/>
      <c r="L2" s="60"/>
      <c r="M2" s="60"/>
      <c r="N2" s="60"/>
      <c r="O2" s="60"/>
      <c r="P2" s="60"/>
      <c r="Q2" s="60"/>
      <c r="R2" s="60"/>
      <c r="S2" s="60"/>
      <c r="T2" s="60"/>
      <c r="U2" s="60"/>
      <c r="V2" s="60"/>
      <c r="W2" s="60"/>
      <c r="X2" s="60"/>
      <c r="Y2" s="60"/>
      <c r="Z2" s="60"/>
    </row>
    <row r="3" ht="53.25" customHeight="1">
      <c r="A3" s="62">
        <v>350.0</v>
      </c>
      <c r="B3" s="60" t="s">
        <v>14</v>
      </c>
      <c r="C3" s="84" t="s">
        <v>21514</v>
      </c>
      <c r="D3" s="60" t="s">
        <v>19557</v>
      </c>
      <c r="E3" s="60" t="s">
        <v>173</v>
      </c>
      <c r="F3" s="85" t="s">
        <v>21515</v>
      </c>
      <c r="G3" s="85" t="s">
        <v>21063</v>
      </c>
      <c r="H3" s="62">
        <v>85.0</v>
      </c>
      <c r="I3" s="60"/>
      <c r="J3" s="60"/>
      <c r="K3" s="60"/>
      <c r="L3" s="60"/>
      <c r="M3" s="60"/>
      <c r="N3" s="60"/>
      <c r="O3" s="60"/>
      <c r="P3" s="60"/>
      <c r="Q3" s="60"/>
      <c r="R3" s="60"/>
      <c r="S3" s="60"/>
      <c r="T3" s="60"/>
      <c r="U3" s="60"/>
      <c r="V3" s="60"/>
      <c r="W3" s="60"/>
      <c r="X3" s="60"/>
      <c r="Y3" s="60"/>
      <c r="Z3" s="60"/>
    </row>
    <row r="4" ht="53.25" customHeight="1">
      <c r="A4" s="62">
        <v>346.0</v>
      </c>
      <c r="B4" s="60" t="s">
        <v>15</v>
      </c>
      <c r="C4" s="84" t="s">
        <v>21516</v>
      </c>
      <c r="D4" s="60" t="s">
        <v>19837</v>
      </c>
      <c r="E4" s="60" t="s">
        <v>19699</v>
      </c>
      <c r="F4" s="85" t="s">
        <v>21517</v>
      </c>
      <c r="G4" s="85" t="s">
        <v>21064</v>
      </c>
      <c r="H4" s="62">
        <v>85.0</v>
      </c>
      <c r="I4" s="60"/>
      <c r="J4" s="60"/>
      <c r="K4" s="60"/>
      <c r="L4" s="60"/>
      <c r="M4" s="60"/>
      <c r="N4" s="60"/>
      <c r="O4" s="60"/>
      <c r="P4" s="60"/>
      <c r="Q4" s="60"/>
      <c r="R4" s="60"/>
      <c r="S4" s="60"/>
      <c r="T4" s="60"/>
      <c r="U4" s="60"/>
      <c r="V4" s="60"/>
      <c r="W4" s="60"/>
      <c r="X4" s="60"/>
      <c r="Y4" s="60"/>
      <c r="Z4" s="60"/>
    </row>
    <row r="5" ht="53.25" customHeight="1">
      <c r="A5" s="62">
        <v>105.0</v>
      </c>
      <c r="B5" s="60" t="s">
        <v>16</v>
      </c>
      <c r="C5" s="84" t="s">
        <v>21518</v>
      </c>
      <c r="D5" s="60" t="s">
        <v>19937</v>
      </c>
      <c r="E5" s="60" t="s">
        <v>19620</v>
      </c>
      <c r="F5" s="85" t="s">
        <v>21519</v>
      </c>
      <c r="G5" s="85" t="s">
        <v>21065</v>
      </c>
      <c r="H5" s="62">
        <v>85.0</v>
      </c>
      <c r="I5" s="60"/>
      <c r="J5" s="60"/>
      <c r="K5" s="60"/>
      <c r="L5" s="60"/>
      <c r="M5" s="60"/>
      <c r="N5" s="60"/>
      <c r="O5" s="60"/>
      <c r="P5" s="60"/>
      <c r="Q5" s="60"/>
      <c r="R5" s="60"/>
      <c r="S5" s="60"/>
      <c r="T5" s="60"/>
      <c r="U5" s="60"/>
      <c r="V5" s="60"/>
      <c r="W5" s="60"/>
      <c r="X5" s="60"/>
      <c r="Y5" s="60"/>
      <c r="Z5" s="60"/>
    </row>
    <row r="6" ht="53.25" customHeight="1">
      <c r="A6" s="62">
        <v>439.0</v>
      </c>
      <c r="B6" s="60" t="s">
        <v>17</v>
      </c>
      <c r="C6" s="84" t="s">
        <v>21520</v>
      </c>
      <c r="D6" s="60" t="s">
        <v>19623</v>
      </c>
      <c r="E6" s="60" t="s">
        <v>19564</v>
      </c>
      <c r="F6" s="85" t="s">
        <v>21521</v>
      </c>
      <c r="G6" s="85" t="s">
        <v>21066</v>
      </c>
      <c r="H6" s="62">
        <v>85.0</v>
      </c>
      <c r="I6" s="60"/>
      <c r="J6" s="60"/>
      <c r="K6" s="60"/>
      <c r="L6" s="60"/>
      <c r="M6" s="60"/>
      <c r="N6" s="60"/>
      <c r="O6" s="60"/>
      <c r="P6" s="60"/>
      <c r="Q6" s="60"/>
      <c r="R6" s="60"/>
      <c r="S6" s="60"/>
      <c r="T6" s="60"/>
      <c r="U6" s="60"/>
      <c r="V6" s="60"/>
      <c r="W6" s="60"/>
      <c r="X6" s="60"/>
      <c r="Y6" s="60"/>
      <c r="Z6" s="60"/>
    </row>
    <row r="7" ht="53.25" customHeight="1">
      <c r="A7" s="62">
        <v>344.0</v>
      </c>
      <c r="B7" s="60" t="s">
        <v>7497</v>
      </c>
      <c r="C7" s="84" t="s">
        <v>21522</v>
      </c>
      <c r="D7" s="60" t="s">
        <v>19683</v>
      </c>
      <c r="E7" s="60" t="s">
        <v>19547</v>
      </c>
      <c r="F7" s="85" t="s">
        <v>21523</v>
      </c>
      <c r="G7" s="85" t="s">
        <v>21067</v>
      </c>
      <c r="H7" s="62">
        <v>85.0</v>
      </c>
      <c r="I7" s="60"/>
      <c r="J7" s="60"/>
      <c r="K7" s="60"/>
      <c r="L7" s="60"/>
      <c r="M7" s="60"/>
      <c r="N7" s="60"/>
      <c r="O7" s="60"/>
      <c r="P7" s="60"/>
      <c r="Q7" s="60"/>
      <c r="R7" s="60"/>
      <c r="S7" s="60"/>
      <c r="T7" s="60"/>
      <c r="U7" s="60"/>
      <c r="V7" s="60"/>
      <c r="W7" s="60"/>
      <c r="X7" s="60"/>
      <c r="Y7" s="60"/>
      <c r="Z7" s="60"/>
    </row>
    <row r="8" ht="53.25" customHeight="1">
      <c r="A8" s="62">
        <v>417.0</v>
      </c>
      <c r="B8" s="60" t="s">
        <v>1305</v>
      </c>
      <c r="C8" s="84" t="s">
        <v>21524</v>
      </c>
      <c r="D8" s="60" t="s">
        <v>20048</v>
      </c>
      <c r="E8" s="60" t="s">
        <v>20049</v>
      </c>
      <c r="F8" s="85" t="s">
        <v>21525</v>
      </c>
      <c r="G8" s="85" t="s">
        <v>21068</v>
      </c>
      <c r="H8" s="62">
        <v>85.0</v>
      </c>
      <c r="I8" s="60"/>
      <c r="J8" s="60"/>
      <c r="K8" s="60"/>
      <c r="L8" s="60"/>
      <c r="M8" s="60"/>
      <c r="N8" s="60"/>
      <c r="O8" s="60"/>
      <c r="P8" s="60"/>
      <c r="Q8" s="60"/>
      <c r="R8" s="60"/>
      <c r="S8" s="60"/>
      <c r="T8" s="60"/>
      <c r="U8" s="60"/>
      <c r="V8" s="60"/>
      <c r="W8" s="60"/>
      <c r="X8" s="60"/>
      <c r="Y8" s="60"/>
      <c r="Z8" s="60"/>
    </row>
    <row r="9" ht="53.25" customHeight="1">
      <c r="A9" s="62">
        <v>396.0</v>
      </c>
      <c r="B9" s="60" t="s">
        <v>1025</v>
      </c>
      <c r="C9" s="84" t="s">
        <v>21526</v>
      </c>
      <c r="D9" s="60" t="s">
        <v>20494</v>
      </c>
      <c r="E9" s="60" t="s">
        <v>20077</v>
      </c>
      <c r="F9" s="85" t="s">
        <v>21527</v>
      </c>
      <c r="G9" s="85" t="s">
        <v>21069</v>
      </c>
      <c r="H9" s="62">
        <v>85.0</v>
      </c>
      <c r="I9" s="60"/>
      <c r="J9" s="60"/>
      <c r="K9" s="60"/>
      <c r="L9" s="60"/>
      <c r="M9" s="60"/>
      <c r="N9" s="60"/>
      <c r="O9" s="60"/>
      <c r="P9" s="60"/>
      <c r="Q9" s="60"/>
      <c r="R9" s="60"/>
      <c r="S9" s="60"/>
      <c r="T9" s="60"/>
      <c r="U9" s="60"/>
      <c r="V9" s="60"/>
      <c r="W9" s="60"/>
      <c r="X9" s="60"/>
      <c r="Y9" s="60"/>
      <c r="Z9" s="60"/>
    </row>
    <row r="10" ht="53.25" customHeight="1">
      <c r="A10" s="62">
        <v>323.0</v>
      </c>
      <c r="B10" s="60" t="s">
        <v>1340</v>
      </c>
      <c r="C10" s="84" t="s">
        <v>21528</v>
      </c>
      <c r="D10" s="60" t="s">
        <v>20660</v>
      </c>
      <c r="E10" s="60" t="s">
        <v>19769</v>
      </c>
      <c r="F10" s="85" t="s">
        <v>21529</v>
      </c>
      <c r="G10" s="85" t="s">
        <v>21070</v>
      </c>
      <c r="H10" s="62">
        <v>85.0</v>
      </c>
      <c r="I10" s="60"/>
      <c r="J10" s="60"/>
      <c r="K10" s="60"/>
      <c r="L10" s="60"/>
      <c r="M10" s="60"/>
      <c r="N10" s="60"/>
      <c r="O10" s="60"/>
      <c r="P10" s="60"/>
      <c r="Q10" s="60"/>
      <c r="R10" s="60"/>
      <c r="S10" s="60"/>
      <c r="T10" s="60"/>
      <c r="U10" s="60"/>
      <c r="V10" s="60"/>
      <c r="W10" s="60"/>
      <c r="X10" s="60"/>
      <c r="Y10" s="60"/>
      <c r="Z10" s="60"/>
    </row>
    <row r="11" ht="53.25" customHeight="1">
      <c r="A11" s="62">
        <v>248.0</v>
      </c>
      <c r="B11" s="60" t="s">
        <v>252</v>
      </c>
      <c r="C11" s="84" t="s">
        <v>21530</v>
      </c>
      <c r="D11" s="60" t="s">
        <v>20330</v>
      </c>
      <c r="E11" s="60" t="s">
        <v>309</v>
      </c>
      <c r="F11" s="85" t="s">
        <v>21531</v>
      </c>
      <c r="G11" s="85" t="s">
        <v>21071</v>
      </c>
      <c r="H11" s="62">
        <v>85.0</v>
      </c>
      <c r="I11" s="60"/>
      <c r="J11" s="60"/>
      <c r="K11" s="60"/>
      <c r="L11" s="60"/>
      <c r="M11" s="60"/>
      <c r="N11" s="60"/>
      <c r="O11" s="60"/>
      <c r="P11" s="60"/>
      <c r="Q11" s="60"/>
      <c r="R11" s="60"/>
      <c r="S11" s="60"/>
      <c r="T11" s="60"/>
      <c r="U11" s="60"/>
      <c r="V11" s="60"/>
      <c r="W11" s="60"/>
      <c r="X11" s="60"/>
      <c r="Y11" s="60"/>
      <c r="Z11" s="60"/>
    </row>
    <row r="12" ht="53.25" customHeight="1">
      <c r="A12" s="62">
        <v>174.0</v>
      </c>
      <c r="B12" s="60" t="s">
        <v>22</v>
      </c>
      <c r="C12" s="84" t="s">
        <v>21532</v>
      </c>
      <c r="D12" s="60" t="s">
        <v>19976</v>
      </c>
      <c r="E12" s="60" t="s">
        <v>634</v>
      </c>
      <c r="F12" s="85" t="s">
        <v>21533</v>
      </c>
      <c r="G12" s="85" t="s">
        <v>21072</v>
      </c>
      <c r="H12" s="62">
        <v>85.0</v>
      </c>
      <c r="I12" s="60"/>
      <c r="J12" s="60"/>
      <c r="K12" s="60"/>
      <c r="L12" s="60"/>
      <c r="M12" s="60"/>
      <c r="N12" s="60"/>
      <c r="O12" s="60"/>
      <c r="P12" s="60"/>
      <c r="Q12" s="60"/>
      <c r="R12" s="60"/>
      <c r="S12" s="60"/>
      <c r="T12" s="60"/>
      <c r="U12" s="60"/>
      <c r="V12" s="60"/>
      <c r="W12" s="60"/>
      <c r="X12" s="60"/>
      <c r="Y12" s="60"/>
      <c r="Z12" s="60"/>
    </row>
    <row r="13" ht="53.25" customHeight="1">
      <c r="A13" s="62">
        <v>392.0</v>
      </c>
      <c r="B13" s="60" t="s">
        <v>126</v>
      </c>
      <c r="C13" s="84" t="s">
        <v>21534</v>
      </c>
      <c r="D13" s="60" t="s">
        <v>20454</v>
      </c>
      <c r="E13" s="60" t="s">
        <v>107</v>
      </c>
      <c r="F13" s="85" t="s">
        <v>21535</v>
      </c>
      <c r="G13" s="85" t="s">
        <v>21073</v>
      </c>
      <c r="H13" s="62">
        <v>85.0</v>
      </c>
      <c r="I13" s="60"/>
      <c r="J13" s="60"/>
      <c r="K13" s="60"/>
      <c r="L13" s="60"/>
      <c r="M13" s="60"/>
      <c r="N13" s="60"/>
      <c r="O13" s="60"/>
      <c r="P13" s="60"/>
      <c r="Q13" s="60"/>
      <c r="R13" s="60"/>
      <c r="S13" s="60"/>
      <c r="T13" s="60"/>
      <c r="U13" s="60"/>
      <c r="V13" s="60"/>
      <c r="W13" s="60"/>
      <c r="X13" s="60"/>
      <c r="Y13" s="60"/>
      <c r="Z13" s="60"/>
    </row>
    <row r="14" ht="53.25" customHeight="1">
      <c r="A14" s="62">
        <v>414.0</v>
      </c>
      <c r="B14" s="60" t="s">
        <v>21</v>
      </c>
      <c r="C14" s="84" t="s">
        <v>21536</v>
      </c>
      <c r="D14" s="60" t="s">
        <v>19609</v>
      </c>
      <c r="E14" s="60" t="s">
        <v>19610</v>
      </c>
      <c r="F14" s="85" t="s">
        <v>21537</v>
      </c>
      <c r="G14" s="85" t="s">
        <v>21074</v>
      </c>
      <c r="H14" s="62">
        <v>85.0</v>
      </c>
      <c r="I14" s="60"/>
      <c r="J14" s="60"/>
      <c r="K14" s="60"/>
      <c r="L14" s="60"/>
      <c r="M14" s="60"/>
      <c r="N14" s="60"/>
      <c r="O14" s="60"/>
      <c r="P14" s="60"/>
      <c r="Q14" s="60"/>
      <c r="R14" s="60"/>
      <c r="S14" s="60"/>
      <c r="T14" s="60"/>
      <c r="U14" s="60"/>
      <c r="V14" s="60"/>
      <c r="W14" s="60"/>
      <c r="X14" s="60"/>
      <c r="Y14" s="60"/>
      <c r="Z14" s="60"/>
    </row>
    <row r="15" ht="53.25" customHeight="1">
      <c r="A15" s="62">
        <v>133.0</v>
      </c>
      <c r="B15" s="60" t="s">
        <v>902</v>
      </c>
      <c r="C15" s="84" t="s">
        <v>21538</v>
      </c>
      <c r="D15" s="60" t="s">
        <v>19846</v>
      </c>
      <c r="E15" s="60" t="s">
        <v>19547</v>
      </c>
      <c r="F15" s="85" t="s">
        <v>21539</v>
      </c>
      <c r="G15" s="85" t="s">
        <v>21075</v>
      </c>
      <c r="H15" s="62">
        <v>85.0</v>
      </c>
      <c r="I15" s="60"/>
      <c r="J15" s="60"/>
      <c r="K15" s="60"/>
      <c r="L15" s="60"/>
      <c r="M15" s="60"/>
      <c r="N15" s="60"/>
      <c r="O15" s="60"/>
      <c r="P15" s="60"/>
      <c r="Q15" s="60"/>
      <c r="R15" s="60"/>
      <c r="S15" s="60"/>
      <c r="T15" s="60"/>
      <c r="U15" s="60"/>
      <c r="V15" s="60"/>
      <c r="W15" s="60"/>
      <c r="X15" s="60"/>
      <c r="Y15" s="60"/>
      <c r="Z15" s="60"/>
    </row>
    <row r="16" ht="53.25" customHeight="1">
      <c r="A16" s="62">
        <v>315.0</v>
      </c>
      <c r="B16" s="60" t="s">
        <v>129</v>
      </c>
      <c r="C16" s="84" t="s">
        <v>21540</v>
      </c>
      <c r="D16" s="60" t="s">
        <v>20241</v>
      </c>
      <c r="E16" s="60" t="s">
        <v>19699</v>
      </c>
      <c r="F16" s="85" t="s">
        <v>21541</v>
      </c>
      <c r="G16" s="85" t="s">
        <v>21076</v>
      </c>
      <c r="H16" s="62">
        <v>85.0</v>
      </c>
      <c r="I16" s="60"/>
      <c r="J16" s="60"/>
      <c r="K16" s="60"/>
      <c r="L16" s="60"/>
      <c r="M16" s="60"/>
      <c r="N16" s="60"/>
      <c r="O16" s="60"/>
      <c r="P16" s="60"/>
      <c r="Q16" s="60"/>
      <c r="R16" s="60"/>
      <c r="S16" s="60"/>
      <c r="T16" s="60"/>
      <c r="U16" s="60"/>
      <c r="V16" s="60"/>
      <c r="W16" s="60"/>
      <c r="X16" s="60"/>
      <c r="Y16" s="60"/>
      <c r="Z16" s="60"/>
    </row>
    <row r="17" ht="53.25" customHeight="1">
      <c r="A17" s="62">
        <v>7.0</v>
      </c>
      <c r="B17" s="60" t="s">
        <v>18</v>
      </c>
      <c r="C17" s="84" t="s">
        <v>21542</v>
      </c>
      <c r="D17" s="60" t="s">
        <v>19751</v>
      </c>
      <c r="E17" s="60" t="s">
        <v>19620</v>
      </c>
      <c r="F17" s="85" t="s">
        <v>21543</v>
      </c>
      <c r="G17" s="85" t="s">
        <v>21077</v>
      </c>
      <c r="H17" s="62">
        <v>85.0</v>
      </c>
      <c r="I17" s="60"/>
      <c r="J17" s="60"/>
      <c r="K17" s="60"/>
      <c r="L17" s="60"/>
      <c r="M17" s="60"/>
      <c r="N17" s="60"/>
      <c r="O17" s="60"/>
      <c r="P17" s="60"/>
      <c r="Q17" s="60"/>
      <c r="R17" s="60"/>
      <c r="S17" s="60"/>
      <c r="T17" s="60"/>
      <c r="U17" s="60"/>
      <c r="V17" s="60"/>
      <c r="W17" s="60"/>
      <c r="X17" s="60"/>
      <c r="Y17" s="60"/>
      <c r="Z17" s="60"/>
    </row>
    <row r="18" ht="53.25" customHeight="1">
      <c r="A18" s="62">
        <v>369.0</v>
      </c>
      <c r="B18" s="60" t="s">
        <v>857</v>
      </c>
      <c r="C18" s="84" t="s">
        <v>21544</v>
      </c>
      <c r="D18" s="60" t="s">
        <v>19619</v>
      </c>
      <c r="E18" s="60" t="s">
        <v>19620</v>
      </c>
      <c r="F18" s="85" t="s">
        <v>21545</v>
      </c>
      <c r="G18" s="85" t="s">
        <v>21078</v>
      </c>
      <c r="H18" s="62">
        <v>85.0</v>
      </c>
      <c r="I18" s="60"/>
      <c r="J18" s="60"/>
      <c r="K18" s="60"/>
      <c r="L18" s="60"/>
      <c r="M18" s="60"/>
      <c r="N18" s="60"/>
      <c r="O18" s="60"/>
      <c r="P18" s="60"/>
      <c r="Q18" s="60"/>
      <c r="R18" s="60"/>
      <c r="S18" s="60"/>
      <c r="T18" s="60"/>
      <c r="U18" s="60"/>
      <c r="V18" s="60"/>
      <c r="W18" s="60"/>
      <c r="X18" s="60"/>
      <c r="Y18" s="60"/>
      <c r="Z18" s="60"/>
    </row>
    <row r="19" ht="53.25" customHeight="1">
      <c r="A19" s="62">
        <v>164.0</v>
      </c>
      <c r="B19" s="60" t="s">
        <v>87</v>
      </c>
      <c r="C19" s="84" t="s">
        <v>21546</v>
      </c>
      <c r="D19" s="60" t="s">
        <v>19951</v>
      </c>
      <c r="E19" s="60" t="s">
        <v>19610</v>
      </c>
      <c r="F19" s="85" t="s">
        <v>21547</v>
      </c>
      <c r="G19" s="85" t="s">
        <v>21079</v>
      </c>
      <c r="H19" s="62">
        <v>85.0</v>
      </c>
      <c r="I19" s="60"/>
      <c r="J19" s="60"/>
      <c r="K19" s="60"/>
      <c r="L19" s="60"/>
      <c r="M19" s="60"/>
      <c r="N19" s="60"/>
      <c r="O19" s="60"/>
      <c r="P19" s="60"/>
      <c r="Q19" s="60"/>
      <c r="R19" s="60"/>
      <c r="S19" s="60"/>
      <c r="T19" s="60"/>
      <c r="U19" s="60"/>
      <c r="V19" s="60"/>
      <c r="W19" s="60"/>
      <c r="X19" s="60"/>
      <c r="Y19" s="60"/>
      <c r="Z19" s="60"/>
    </row>
    <row r="20" ht="53.25" customHeight="1">
      <c r="A20" s="62">
        <v>316.0</v>
      </c>
      <c r="B20" s="60" t="s">
        <v>19</v>
      </c>
      <c r="C20" s="84" t="s">
        <v>21548</v>
      </c>
      <c r="D20" s="60" t="s">
        <v>20202</v>
      </c>
      <c r="E20" s="60" t="s">
        <v>19620</v>
      </c>
      <c r="F20" s="85" t="s">
        <v>21549</v>
      </c>
      <c r="G20" s="85" t="s">
        <v>21080</v>
      </c>
      <c r="H20" s="62">
        <v>85.0</v>
      </c>
      <c r="I20" s="60"/>
      <c r="J20" s="60"/>
      <c r="K20" s="60"/>
      <c r="L20" s="60"/>
      <c r="M20" s="60"/>
      <c r="N20" s="60"/>
      <c r="O20" s="60"/>
      <c r="P20" s="60"/>
      <c r="Q20" s="60"/>
      <c r="R20" s="60"/>
      <c r="S20" s="60"/>
      <c r="T20" s="60"/>
      <c r="U20" s="60"/>
      <c r="V20" s="60"/>
      <c r="W20" s="60"/>
      <c r="X20" s="60"/>
      <c r="Y20" s="60"/>
      <c r="Z20" s="60"/>
    </row>
    <row r="21" ht="53.25" customHeight="1">
      <c r="A21" s="62">
        <v>91.0</v>
      </c>
      <c r="B21" s="60" t="s">
        <v>20</v>
      </c>
      <c r="C21" s="84" t="s">
        <v>21550</v>
      </c>
      <c r="D21" s="60" t="s">
        <v>20412</v>
      </c>
      <c r="E21" s="60" t="s">
        <v>19576</v>
      </c>
      <c r="F21" s="85" t="s">
        <v>21551</v>
      </c>
      <c r="G21" s="85" t="s">
        <v>21081</v>
      </c>
      <c r="H21" s="62">
        <v>85.0</v>
      </c>
      <c r="I21" s="60"/>
      <c r="J21" s="60"/>
      <c r="K21" s="60"/>
      <c r="L21" s="60"/>
      <c r="M21" s="60"/>
      <c r="N21" s="60"/>
      <c r="O21" s="60"/>
      <c r="P21" s="60"/>
      <c r="Q21" s="60"/>
      <c r="R21" s="60"/>
      <c r="S21" s="60"/>
      <c r="T21" s="60"/>
      <c r="U21" s="60"/>
      <c r="V21" s="60"/>
      <c r="W21" s="60"/>
      <c r="X21" s="60"/>
      <c r="Y21" s="60"/>
      <c r="Z21" s="60"/>
    </row>
    <row r="22" ht="53.25" customHeight="1">
      <c r="A22" s="62">
        <v>79.0</v>
      </c>
      <c r="B22" s="60" t="s">
        <v>1511</v>
      </c>
      <c r="C22" s="84" t="s">
        <v>21552</v>
      </c>
      <c r="D22" s="60" t="s">
        <v>20423</v>
      </c>
      <c r="E22" s="60" t="s">
        <v>656</v>
      </c>
      <c r="F22" s="85" t="s">
        <v>21553</v>
      </c>
      <c r="G22" s="85" t="s">
        <v>21082</v>
      </c>
      <c r="H22" s="62">
        <v>85.0</v>
      </c>
      <c r="I22" s="60"/>
      <c r="J22" s="60"/>
      <c r="K22" s="60"/>
      <c r="L22" s="60"/>
      <c r="M22" s="60"/>
      <c r="N22" s="60"/>
      <c r="O22" s="60"/>
      <c r="P22" s="60"/>
      <c r="Q22" s="60"/>
      <c r="R22" s="60"/>
      <c r="S22" s="60"/>
      <c r="T22" s="60"/>
      <c r="U22" s="60"/>
      <c r="V22" s="60"/>
      <c r="W22" s="60"/>
      <c r="X22" s="60"/>
      <c r="Y22" s="60"/>
      <c r="Z22" s="60"/>
    </row>
    <row r="23" ht="53.25" customHeight="1">
      <c r="A23" s="62">
        <v>175.0</v>
      </c>
      <c r="B23" s="60" t="s">
        <v>1002</v>
      </c>
      <c r="C23" s="84" t="s">
        <v>21554</v>
      </c>
      <c r="D23" s="60" t="s">
        <v>20220</v>
      </c>
      <c r="E23" s="60" t="s">
        <v>755</v>
      </c>
      <c r="F23" s="85" t="s">
        <v>21555</v>
      </c>
      <c r="G23" s="85" t="s">
        <v>21083</v>
      </c>
      <c r="H23" s="62">
        <v>75.0</v>
      </c>
      <c r="I23" s="60"/>
      <c r="J23" s="60"/>
      <c r="K23" s="60"/>
      <c r="L23" s="60"/>
      <c r="M23" s="60"/>
      <c r="N23" s="60"/>
      <c r="O23" s="60"/>
      <c r="P23" s="60"/>
      <c r="Q23" s="60"/>
      <c r="R23" s="60"/>
      <c r="S23" s="60"/>
      <c r="T23" s="60"/>
      <c r="U23" s="60"/>
      <c r="V23" s="60"/>
      <c r="W23" s="60"/>
      <c r="X23" s="60"/>
      <c r="Y23" s="60"/>
      <c r="Z23" s="60"/>
    </row>
    <row r="24" ht="53.25" customHeight="1">
      <c r="A24" s="62">
        <v>173.0</v>
      </c>
      <c r="B24" s="60" t="s">
        <v>1000</v>
      </c>
      <c r="C24" s="84" t="s">
        <v>21556</v>
      </c>
      <c r="D24" s="60" t="s">
        <v>19715</v>
      </c>
      <c r="E24" s="60" t="s">
        <v>19539</v>
      </c>
      <c r="F24" s="85" t="s">
        <v>21557</v>
      </c>
      <c r="G24" s="85" t="s">
        <v>21084</v>
      </c>
      <c r="H24" s="62">
        <v>75.0</v>
      </c>
      <c r="I24" s="60"/>
      <c r="J24" s="60"/>
      <c r="K24" s="60"/>
      <c r="L24" s="60"/>
      <c r="M24" s="60"/>
      <c r="N24" s="60"/>
      <c r="O24" s="60"/>
      <c r="P24" s="60"/>
      <c r="Q24" s="60"/>
      <c r="R24" s="60"/>
      <c r="S24" s="60"/>
      <c r="T24" s="60"/>
      <c r="U24" s="60"/>
      <c r="V24" s="60"/>
      <c r="W24" s="60"/>
      <c r="X24" s="60"/>
      <c r="Y24" s="60"/>
      <c r="Z24" s="60"/>
    </row>
    <row r="25" ht="53.25" customHeight="1">
      <c r="A25" s="62">
        <v>172.0</v>
      </c>
      <c r="B25" s="60" t="s">
        <v>1119</v>
      </c>
      <c r="C25" s="84" t="s">
        <v>21558</v>
      </c>
      <c r="D25" s="60" t="s">
        <v>19718</v>
      </c>
      <c r="E25" s="60" t="s">
        <v>19699</v>
      </c>
      <c r="F25" s="85" t="s">
        <v>21559</v>
      </c>
      <c r="G25" s="85" t="s">
        <v>21085</v>
      </c>
      <c r="H25" s="62">
        <v>75.0</v>
      </c>
      <c r="I25" s="60"/>
      <c r="J25" s="60"/>
      <c r="K25" s="60"/>
      <c r="L25" s="60"/>
      <c r="M25" s="60"/>
      <c r="N25" s="60"/>
      <c r="O25" s="60"/>
      <c r="P25" s="60"/>
      <c r="Q25" s="60"/>
      <c r="R25" s="60"/>
      <c r="S25" s="60"/>
      <c r="T25" s="60"/>
      <c r="U25" s="60"/>
      <c r="V25" s="60"/>
      <c r="W25" s="60"/>
      <c r="X25" s="60"/>
      <c r="Y25" s="60"/>
      <c r="Z25" s="60"/>
    </row>
    <row r="26" ht="53.25" customHeight="1">
      <c r="A26" s="62">
        <v>176.0</v>
      </c>
      <c r="B26" s="60" t="s">
        <v>997</v>
      </c>
      <c r="C26" s="84" t="s">
        <v>21560</v>
      </c>
      <c r="D26" s="60" t="s">
        <v>21561</v>
      </c>
      <c r="E26" s="60" t="s">
        <v>119</v>
      </c>
      <c r="F26" s="85" t="s">
        <v>21562</v>
      </c>
      <c r="G26" s="85" t="s">
        <v>21086</v>
      </c>
      <c r="H26" s="62">
        <v>75.0</v>
      </c>
      <c r="I26" s="60"/>
      <c r="J26" s="60"/>
      <c r="K26" s="60"/>
      <c r="L26" s="60"/>
      <c r="M26" s="60"/>
      <c r="N26" s="60"/>
      <c r="O26" s="60"/>
      <c r="P26" s="60"/>
      <c r="Q26" s="60"/>
      <c r="R26" s="60"/>
      <c r="S26" s="60"/>
      <c r="T26" s="60"/>
      <c r="U26" s="60"/>
      <c r="V26" s="60"/>
      <c r="W26" s="60"/>
      <c r="X26" s="60"/>
      <c r="Y26" s="60"/>
      <c r="Z26" s="60"/>
    </row>
    <row r="27" ht="53.25" customHeight="1">
      <c r="A27" s="62">
        <v>179.0</v>
      </c>
      <c r="B27" s="60" t="s">
        <v>1547</v>
      </c>
      <c r="C27" s="84" t="s">
        <v>21563</v>
      </c>
      <c r="D27" s="60" t="s">
        <v>21564</v>
      </c>
      <c r="E27" s="60" t="s">
        <v>19594</v>
      </c>
      <c r="F27" s="85" t="s">
        <v>21565</v>
      </c>
      <c r="G27" s="85" t="s">
        <v>21087</v>
      </c>
      <c r="H27" s="62">
        <v>75.0</v>
      </c>
      <c r="I27" s="60"/>
      <c r="J27" s="60"/>
      <c r="K27" s="60"/>
      <c r="L27" s="60"/>
      <c r="M27" s="60"/>
      <c r="N27" s="60"/>
      <c r="O27" s="60"/>
      <c r="P27" s="60"/>
      <c r="Q27" s="60"/>
      <c r="R27" s="60"/>
      <c r="S27" s="60"/>
      <c r="T27" s="60"/>
      <c r="U27" s="60"/>
      <c r="V27" s="60"/>
      <c r="W27" s="60"/>
      <c r="X27" s="60"/>
      <c r="Y27" s="60"/>
      <c r="Z27" s="60"/>
    </row>
    <row r="28" ht="53.25" customHeight="1">
      <c r="A28" s="62">
        <v>177.0</v>
      </c>
      <c r="B28" s="60" t="s">
        <v>130</v>
      </c>
      <c r="C28" s="84" t="s">
        <v>21566</v>
      </c>
      <c r="D28" s="60" t="s">
        <v>19995</v>
      </c>
      <c r="E28" s="60" t="s">
        <v>173</v>
      </c>
      <c r="F28" s="85" t="s">
        <v>21567</v>
      </c>
      <c r="G28" s="85" t="s">
        <v>21088</v>
      </c>
      <c r="H28" s="62">
        <v>75.0</v>
      </c>
      <c r="I28" s="60"/>
      <c r="J28" s="60"/>
      <c r="K28" s="60"/>
      <c r="L28" s="60"/>
      <c r="M28" s="60"/>
      <c r="N28" s="60"/>
      <c r="O28" s="60"/>
      <c r="P28" s="60"/>
      <c r="Q28" s="60"/>
      <c r="R28" s="60"/>
      <c r="S28" s="60"/>
      <c r="T28" s="60"/>
      <c r="U28" s="60"/>
      <c r="V28" s="60"/>
      <c r="W28" s="60"/>
      <c r="X28" s="60"/>
      <c r="Y28" s="60"/>
      <c r="Z28" s="60"/>
    </row>
    <row r="29" ht="53.25" customHeight="1">
      <c r="A29" s="62">
        <v>327.0</v>
      </c>
      <c r="B29" s="60" t="s">
        <v>1202</v>
      </c>
      <c r="C29" s="84" t="s">
        <v>21568</v>
      </c>
      <c r="D29" s="60" t="s">
        <v>20196</v>
      </c>
      <c r="E29" s="60" t="s">
        <v>309</v>
      </c>
      <c r="F29" s="85" t="s">
        <v>21569</v>
      </c>
      <c r="G29" s="85" t="s">
        <v>21089</v>
      </c>
      <c r="H29" s="62">
        <v>75.0</v>
      </c>
      <c r="I29" s="60"/>
      <c r="J29" s="60"/>
      <c r="K29" s="60"/>
      <c r="L29" s="60"/>
      <c r="M29" s="60"/>
      <c r="N29" s="60"/>
      <c r="O29" s="60"/>
      <c r="P29" s="60"/>
      <c r="Q29" s="60"/>
      <c r="R29" s="60"/>
      <c r="S29" s="60"/>
      <c r="T29" s="60"/>
      <c r="U29" s="60"/>
      <c r="V29" s="60"/>
      <c r="W29" s="60"/>
      <c r="X29" s="60"/>
      <c r="Y29" s="60"/>
      <c r="Z29" s="60"/>
    </row>
    <row r="30" ht="53.25" customHeight="1">
      <c r="A30" s="62">
        <v>333.0</v>
      </c>
      <c r="B30" s="60" t="s">
        <v>151</v>
      </c>
      <c r="C30" s="84" t="s">
        <v>21570</v>
      </c>
      <c r="D30" s="60" t="s">
        <v>20690</v>
      </c>
      <c r="E30" s="60" t="s">
        <v>704</v>
      </c>
      <c r="F30" s="85" t="s">
        <v>21571</v>
      </c>
      <c r="G30" s="85" t="s">
        <v>21090</v>
      </c>
      <c r="H30" s="62">
        <v>75.0</v>
      </c>
      <c r="I30" s="60"/>
      <c r="J30" s="60"/>
      <c r="K30" s="60"/>
      <c r="L30" s="60"/>
      <c r="M30" s="60"/>
      <c r="N30" s="60"/>
      <c r="O30" s="60"/>
      <c r="P30" s="60"/>
      <c r="Q30" s="60"/>
      <c r="R30" s="60"/>
      <c r="S30" s="60"/>
      <c r="T30" s="60"/>
      <c r="U30" s="60"/>
      <c r="V30" s="60"/>
      <c r="W30" s="60"/>
      <c r="X30" s="60"/>
      <c r="Y30" s="60"/>
      <c r="Z30" s="60"/>
    </row>
    <row r="31" ht="53.25" customHeight="1">
      <c r="A31" s="62">
        <v>326.0</v>
      </c>
      <c r="B31" s="60" t="s">
        <v>795</v>
      </c>
      <c r="C31" s="84" t="s">
        <v>21572</v>
      </c>
      <c r="D31" s="60" t="s">
        <v>19843</v>
      </c>
      <c r="E31" s="60" t="s">
        <v>19677</v>
      </c>
      <c r="F31" s="85" t="s">
        <v>21573</v>
      </c>
      <c r="G31" s="85" t="s">
        <v>21091</v>
      </c>
      <c r="H31" s="62">
        <v>75.0</v>
      </c>
      <c r="I31" s="60"/>
      <c r="J31" s="60"/>
      <c r="K31" s="60"/>
      <c r="L31" s="60"/>
      <c r="M31" s="60"/>
      <c r="N31" s="60"/>
      <c r="O31" s="60"/>
      <c r="P31" s="60"/>
      <c r="Q31" s="60"/>
      <c r="R31" s="60"/>
      <c r="S31" s="60"/>
      <c r="T31" s="60"/>
      <c r="U31" s="60"/>
      <c r="V31" s="60"/>
      <c r="W31" s="60"/>
      <c r="X31" s="60"/>
      <c r="Y31" s="60"/>
      <c r="Z31" s="60"/>
    </row>
    <row r="32" ht="53.25" customHeight="1">
      <c r="A32" s="62">
        <v>183.0</v>
      </c>
      <c r="B32" s="60" t="s">
        <v>229</v>
      </c>
      <c r="C32" s="84" t="s">
        <v>21574</v>
      </c>
      <c r="D32" s="60" t="s">
        <v>19748</v>
      </c>
      <c r="E32" s="60" t="s">
        <v>156</v>
      </c>
      <c r="F32" s="85" t="s">
        <v>21575</v>
      </c>
      <c r="G32" s="85" t="s">
        <v>21092</v>
      </c>
      <c r="H32" s="62">
        <v>75.0</v>
      </c>
      <c r="I32" s="60"/>
      <c r="J32" s="60"/>
      <c r="K32" s="60"/>
      <c r="L32" s="60"/>
      <c r="M32" s="60"/>
      <c r="N32" s="60"/>
      <c r="O32" s="60"/>
      <c r="P32" s="60"/>
      <c r="Q32" s="60"/>
      <c r="R32" s="60"/>
      <c r="S32" s="60"/>
      <c r="T32" s="60"/>
      <c r="U32" s="60"/>
      <c r="V32" s="60"/>
      <c r="W32" s="60"/>
      <c r="X32" s="60"/>
      <c r="Y32" s="60"/>
      <c r="Z32" s="60"/>
    </row>
    <row r="33" ht="53.25" customHeight="1">
      <c r="A33" s="62">
        <v>184.0</v>
      </c>
      <c r="B33" s="60" t="s">
        <v>184</v>
      </c>
      <c r="C33" s="84" t="s">
        <v>21576</v>
      </c>
      <c r="D33" s="60" t="s">
        <v>19745</v>
      </c>
      <c r="E33" s="60" t="s">
        <v>156</v>
      </c>
      <c r="F33" s="85" t="s">
        <v>21577</v>
      </c>
      <c r="G33" s="85" t="s">
        <v>21093</v>
      </c>
      <c r="H33" s="62">
        <v>75.0</v>
      </c>
      <c r="I33" s="60"/>
      <c r="J33" s="60"/>
      <c r="K33" s="60"/>
      <c r="L33" s="60"/>
      <c r="M33" s="60"/>
      <c r="N33" s="60"/>
      <c r="O33" s="60"/>
      <c r="P33" s="60"/>
      <c r="Q33" s="60"/>
      <c r="R33" s="60"/>
      <c r="S33" s="60"/>
      <c r="T33" s="60"/>
      <c r="U33" s="60"/>
      <c r="V33" s="60"/>
      <c r="W33" s="60"/>
      <c r="X33" s="60"/>
      <c r="Y33" s="60"/>
      <c r="Z33" s="60"/>
    </row>
    <row r="34" ht="53.25" customHeight="1">
      <c r="A34" s="62">
        <v>185.0</v>
      </c>
      <c r="B34" s="60" t="s">
        <v>128</v>
      </c>
      <c r="C34" s="84" t="s">
        <v>21578</v>
      </c>
      <c r="D34" s="60" t="s">
        <v>19809</v>
      </c>
      <c r="E34" s="60" t="s">
        <v>19610</v>
      </c>
      <c r="F34" s="85" t="s">
        <v>21579</v>
      </c>
      <c r="G34" s="85" t="s">
        <v>21094</v>
      </c>
      <c r="H34" s="62">
        <v>75.0</v>
      </c>
      <c r="I34" s="60"/>
      <c r="J34" s="60"/>
      <c r="K34" s="60"/>
      <c r="L34" s="60"/>
      <c r="M34" s="60"/>
      <c r="N34" s="60"/>
      <c r="O34" s="60"/>
      <c r="P34" s="60"/>
      <c r="Q34" s="60"/>
      <c r="R34" s="60"/>
      <c r="S34" s="60"/>
      <c r="T34" s="60"/>
      <c r="U34" s="60"/>
      <c r="V34" s="60"/>
      <c r="W34" s="60"/>
      <c r="X34" s="60"/>
      <c r="Y34" s="60"/>
      <c r="Z34" s="60"/>
    </row>
    <row r="35" ht="53.25" customHeight="1">
      <c r="A35" s="62">
        <v>319.0</v>
      </c>
      <c r="B35" s="60" t="s">
        <v>298</v>
      </c>
      <c r="C35" s="84" t="s">
        <v>21580</v>
      </c>
      <c r="D35" s="60" t="s">
        <v>19761</v>
      </c>
      <c r="E35" s="60" t="s">
        <v>19620</v>
      </c>
      <c r="F35" s="85" t="s">
        <v>21581</v>
      </c>
      <c r="G35" s="85" t="s">
        <v>21095</v>
      </c>
      <c r="H35" s="62">
        <v>75.0</v>
      </c>
      <c r="I35" s="60"/>
      <c r="J35" s="60"/>
      <c r="K35" s="60"/>
      <c r="L35" s="60"/>
      <c r="M35" s="60"/>
      <c r="N35" s="60"/>
      <c r="O35" s="60"/>
      <c r="P35" s="60"/>
      <c r="Q35" s="60"/>
      <c r="R35" s="60"/>
      <c r="S35" s="60"/>
      <c r="T35" s="60"/>
      <c r="U35" s="60"/>
      <c r="V35" s="60"/>
      <c r="W35" s="60"/>
      <c r="X35" s="60"/>
      <c r="Y35" s="60"/>
      <c r="Z35" s="60"/>
    </row>
    <row r="36" ht="53.25" customHeight="1">
      <c r="A36" s="62">
        <v>318.0</v>
      </c>
      <c r="B36" s="60" t="s">
        <v>63</v>
      </c>
      <c r="C36" s="84" t="s">
        <v>21582</v>
      </c>
      <c r="D36" s="60" t="s">
        <v>20001</v>
      </c>
      <c r="E36" s="60" t="s">
        <v>19547</v>
      </c>
      <c r="F36" s="85" t="s">
        <v>21583</v>
      </c>
      <c r="G36" s="85" t="s">
        <v>21096</v>
      </c>
      <c r="H36" s="62">
        <v>75.0</v>
      </c>
      <c r="I36" s="60"/>
      <c r="J36" s="60"/>
      <c r="K36" s="60"/>
      <c r="L36" s="60"/>
      <c r="M36" s="60"/>
      <c r="N36" s="60"/>
      <c r="O36" s="60"/>
      <c r="P36" s="60"/>
      <c r="Q36" s="60"/>
      <c r="R36" s="60"/>
      <c r="S36" s="60"/>
      <c r="T36" s="60"/>
      <c r="U36" s="60"/>
      <c r="V36" s="60"/>
      <c r="W36" s="60"/>
      <c r="X36" s="60"/>
      <c r="Y36" s="60"/>
      <c r="Z36" s="60"/>
    </row>
    <row r="37" ht="53.25" customHeight="1">
      <c r="A37" s="62">
        <v>189.0</v>
      </c>
      <c r="B37" s="60" t="s">
        <v>1551</v>
      </c>
      <c r="C37" s="84" t="s">
        <v>21584</v>
      </c>
      <c r="D37" s="60" t="s">
        <v>19826</v>
      </c>
      <c r="E37" s="60" t="s">
        <v>19827</v>
      </c>
      <c r="F37" s="85" t="s">
        <v>21585</v>
      </c>
      <c r="G37" s="85" t="s">
        <v>21097</v>
      </c>
      <c r="H37" s="62">
        <v>75.0</v>
      </c>
      <c r="I37" s="60"/>
      <c r="J37" s="60"/>
      <c r="K37" s="60"/>
      <c r="L37" s="60"/>
      <c r="M37" s="60"/>
      <c r="N37" s="60"/>
      <c r="O37" s="60"/>
      <c r="P37" s="60"/>
      <c r="Q37" s="60"/>
      <c r="R37" s="60"/>
      <c r="S37" s="60"/>
      <c r="T37" s="60"/>
      <c r="U37" s="60"/>
      <c r="V37" s="60"/>
      <c r="W37" s="60"/>
      <c r="X37" s="60"/>
      <c r="Y37" s="60"/>
      <c r="Z37" s="60"/>
    </row>
    <row r="38" ht="53.25" customHeight="1">
      <c r="A38" s="62">
        <v>190.0</v>
      </c>
      <c r="B38" s="60" t="s">
        <v>1295</v>
      </c>
      <c r="C38" s="84" t="s">
        <v>21586</v>
      </c>
      <c r="D38" s="60" t="s">
        <v>19830</v>
      </c>
      <c r="E38" s="60" t="s">
        <v>694</v>
      </c>
      <c r="F38" s="85" t="s">
        <v>21587</v>
      </c>
      <c r="G38" s="85" t="s">
        <v>21098</v>
      </c>
      <c r="H38" s="62">
        <v>75.0</v>
      </c>
      <c r="I38" s="60"/>
      <c r="J38" s="60"/>
      <c r="K38" s="60"/>
      <c r="L38" s="60"/>
      <c r="M38" s="60"/>
      <c r="N38" s="60"/>
      <c r="O38" s="60"/>
      <c r="P38" s="60"/>
      <c r="Q38" s="60"/>
      <c r="R38" s="60"/>
      <c r="S38" s="60"/>
      <c r="T38" s="60"/>
      <c r="U38" s="60"/>
      <c r="V38" s="60"/>
      <c r="W38" s="60"/>
      <c r="X38" s="60"/>
      <c r="Y38" s="60"/>
      <c r="Z38" s="60"/>
    </row>
    <row r="39" ht="53.25" customHeight="1">
      <c r="A39" s="62">
        <v>329.0</v>
      </c>
      <c r="B39" s="60" t="s">
        <v>1038</v>
      </c>
      <c r="C39" s="84" t="s">
        <v>21588</v>
      </c>
      <c r="D39" s="60" t="s">
        <v>19742</v>
      </c>
      <c r="E39" s="60" t="s">
        <v>658</v>
      </c>
      <c r="F39" s="85" t="s">
        <v>21589</v>
      </c>
      <c r="G39" s="85" t="s">
        <v>21099</v>
      </c>
      <c r="H39" s="62">
        <v>75.0</v>
      </c>
      <c r="I39" s="60"/>
      <c r="J39" s="60"/>
      <c r="K39" s="60"/>
      <c r="L39" s="60"/>
      <c r="M39" s="60"/>
      <c r="N39" s="60"/>
      <c r="O39" s="60"/>
      <c r="P39" s="60"/>
      <c r="Q39" s="60"/>
      <c r="R39" s="60"/>
      <c r="S39" s="60"/>
      <c r="T39" s="60"/>
      <c r="U39" s="60"/>
      <c r="V39" s="60"/>
      <c r="W39" s="60"/>
      <c r="X39" s="60"/>
      <c r="Y39" s="60"/>
      <c r="Z39" s="60"/>
    </row>
    <row r="40" ht="53.25" customHeight="1">
      <c r="A40" s="62">
        <v>222.0</v>
      </c>
      <c r="B40" s="60" t="s">
        <v>1096</v>
      </c>
      <c r="C40" s="84" t="s">
        <v>21590</v>
      </c>
      <c r="D40" s="60" t="s">
        <v>21591</v>
      </c>
      <c r="E40" s="60" t="s">
        <v>19885</v>
      </c>
      <c r="F40" s="85" t="s">
        <v>21592</v>
      </c>
      <c r="G40" s="85" t="s">
        <v>21100</v>
      </c>
      <c r="H40" s="62">
        <v>75.0</v>
      </c>
      <c r="I40" s="60"/>
      <c r="J40" s="60"/>
      <c r="K40" s="60"/>
      <c r="L40" s="60"/>
      <c r="M40" s="60"/>
      <c r="N40" s="60"/>
      <c r="O40" s="60"/>
      <c r="P40" s="60"/>
      <c r="Q40" s="60"/>
      <c r="R40" s="60"/>
      <c r="S40" s="60"/>
      <c r="T40" s="60"/>
      <c r="U40" s="60"/>
      <c r="V40" s="60"/>
      <c r="W40" s="60"/>
      <c r="X40" s="60"/>
      <c r="Y40" s="60"/>
      <c r="Z40" s="60"/>
    </row>
    <row r="41" ht="53.25" customHeight="1">
      <c r="A41" s="62">
        <v>167.0</v>
      </c>
      <c r="B41" s="60" t="s">
        <v>21101</v>
      </c>
      <c r="C41" s="84" t="s">
        <v>21593</v>
      </c>
      <c r="D41" s="60" t="s">
        <v>21594</v>
      </c>
      <c r="E41" s="60" t="s">
        <v>19610</v>
      </c>
      <c r="F41" s="85" t="s">
        <v>21595</v>
      </c>
      <c r="G41" s="85" t="s">
        <v>21102</v>
      </c>
      <c r="H41" s="62">
        <v>75.0</v>
      </c>
      <c r="I41" s="60"/>
      <c r="J41" s="60"/>
      <c r="K41" s="60"/>
      <c r="L41" s="60"/>
      <c r="M41" s="60"/>
      <c r="N41" s="60"/>
      <c r="O41" s="60"/>
      <c r="P41" s="60"/>
      <c r="Q41" s="60"/>
      <c r="R41" s="60"/>
      <c r="S41" s="60"/>
      <c r="T41" s="60"/>
      <c r="U41" s="60"/>
      <c r="V41" s="60"/>
      <c r="W41" s="60"/>
      <c r="X41" s="60"/>
      <c r="Y41" s="60"/>
      <c r="Z41" s="60"/>
    </row>
    <row r="42" ht="53.25" customHeight="1">
      <c r="A42" s="62">
        <v>352.0</v>
      </c>
      <c r="B42" s="60" t="s">
        <v>1177</v>
      </c>
      <c r="C42" s="84" t="s">
        <v>21596</v>
      </c>
      <c r="D42" s="60" t="s">
        <v>19554</v>
      </c>
      <c r="E42" s="60" t="s">
        <v>19543</v>
      </c>
      <c r="F42" s="85" t="s">
        <v>21597</v>
      </c>
      <c r="G42" s="85" t="s">
        <v>21103</v>
      </c>
      <c r="H42" s="62">
        <v>75.0</v>
      </c>
      <c r="I42" s="60"/>
      <c r="J42" s="60"/>
      <c r="K42" s="60"/>
      <c r="L42" s="60"/>
      <c r="M42" s="60"/>
      <c r="N42" s="60"/>
      <c r="O42" s="60"/>
      <c r="P42" s="60"/>
      <c r="Q42" s="60"/>
      <c r="R42" s="60"/>
      <c r="S42" s="60"/>
      <c r="T42" s="60"/>
      <c r="U42" s="60"/>
      <c r="V42" s="60"/>
      <c r="W42" s="60"/>
      <c r="X42" s="60"/>
      <c r="Y42" s="60"/>
      <c r="Z42" s="60"/>
    </row>
    <row r="43" ht="53.25" customHeight="1">
      <c r="A43" s="62">
        <v>360.0</v>
      </c>
      <c r="B43" s="60" t="s">
        <v>853</v>
      </c>
      <c r="C43" s="84" t="s">
        <v>21598</v>
      </c>
      <c r="D43" s="60" t="s">
        <v>20364</v>
      </c>
      <c r="E43" s="60" t="s">
        <v>19598</v>
      </c>
      <c r="F43" s="85" t="s">
        <v>21599</v>
      </c>
      <c r="G43" s="85" t="s">
        <v>21104</v>
      </c>
      <c r="H43" s="62">
        <v>75.0</v>
      </c>
      <c r="I43" s="60"/>
      <c r="J43" s="60"/>
      <c r="K43" s="60"/>
      <c r="L43" s="60"/>
      <c r="M43" s="60"/>
      <c r="N43" s="60"/>
      <c r="O43" s="60"/>
      <c r="P43" s="60"/>
      <c r="Q43" s="60"/>
      <c r="R43" s="60"/>
      <c r="S43" s="60"/>
      <c r="T43" s="60"/>
      <c r="U43" s="60"/>
      <c r="V43" s="60"/>
      <c r="W43" s="60"/>
      <c r="X43" s="60"/>
      <c r="Y43" s="60"/>
      <c r="Z43" s="60"/>
    </row>
    <row r="44" ht="53.25" customHeight="1">
      <c r="A44" s="62">
        <v>127.0</v>
      </c>
      <c r="B44" s="60" t="s">
        <v>1336</v>
      </c>
      <c r="C44" s="84" t="s">
        <v>21600</v>
      </c>
      <c r="D44" s="60" t="s">
        <v>20696</v>
      </c>
      <c r="E44" s="60" t="s">
        <v>20255</v>
      </c>
      <c r="F44" s="85" t="s">
        <v>21601</v>
      </c>
      <c r="G44" s="85" t="s">
        <v>21105</v>
      </c>
      <c r="H44" s="62">
        <v>75.0</v>
      </c>
      <c r="I44" s="60"/>
      <c r="J44" s="60"/>
      <c r="K44" s="60"/>
      <c r="L44" s="60"/>
      <c r="M44" s="60"/>
      <c r="N44" s="60"/>
      <c r="O44" s="60"/>
      <c r="P44" s="60"/>
      <c r="Q44" s="60"/>
      <c r="R44" s="60"/>
      <c r="S44" s="60"/>
      <c r="T44" s="60"/>
      <c r="U44" s="60"/>
      <c r="V44" s="60"/>
      <c r="W44" s="60"/>
      <c r="X44" s="60"/>
      <c r="Y44" s="60"/>
      <c r="Z44" s="60"/>
    </row>
    <row r="45" ht="53.25" customHeight="1">
      <c r="A45" s="62">
        <v>358.0</v>
      </c>
      <c r="B45" s="60" t="s">
        <v>1173</v>
      </c>
      <c r="C45" s="84" t="s">
        <v>21602</v>
      </c>
      <c r="D45" s="60" t="s">
        <v>20614</v>
      </c>
      <c r="E45" s="60" t="s">
        <v>20507</v>
      </c>
      <c r="F45" s="85" t="s">
        <v>21603</v>
      </c>
      <c r="G45" s="85" t="s">
        <v>21106</v>
      </c>
      <c r="H45" s="62">
        <v>75.0</v>
      </c>
      <c r="I45" s="60"/>
      <c r="J45" s="60"/>
      <c r="K45" s="60"/>
      <c r="L45" s="60"/>
      <c r="M45" s="60"/>
      <c r="N45" s="60"/>
      <c r="O45" s="60"/>
      <c r="P45" s="60"/>
      <c r="Q45" s="60"/>
      <c r="R45" s="60"/>
      <c r="S45" s="60"/>
      <c r="T45" s="60"/>
      <c r="U45" s="60"/>
      <c r="V45" s="60"/>
      <c r="W45" s="60"/>
      <c r="X45" s="60"/>
      <c r="Y45" s="60"/>
      <c r="Z45" s="60"/>
    </row>
    <row r="46" ht="53.25" customHeight="1">
      <c r="A46" s="62">
        <v>129.0</v>
      </c>
      <c r="B46" s="60" t="s">
        <v>911</v>
      </c>
      <c r="C46" s="84" t="s">
        <v>21604</v>
      </c>
      <c r="D46" s="60" t="s">
        <v>19869</v>
      </c>
      <c r="E46" s="60" t="s">
        <v>19649</v>
      </c>
      <c r="F46" s="85" t="s">
        <v>21605</v>
      </c>
      <c r="G46" s="85" t="s">
        <v>21107</v>
      </c>
      <c r="H46" s="62">
        <v>75.0</v>
      </c>
      <c r="I46" s="60"/>
      <c r="J46" s="60"/>
      <c r="K46" s="60"/>
      <c r="L46" s="60"/>
      <c r="M46" s="60"/>
      <c r="N46" s="60"/>
      <c r="O46" s="60"/>
      <c r="P46" s="60"/>
      <c r="Q46" s="60"/>
      <c r="R46" s="60"/>
      <c r="S46" s="60"/>
      <c r="T46" s="60"/>
      <c r="U46" s="60"/>
      <c r="V46" s="60"/>
      <c r="W46" s="60"/>
      <c r="X46" s="60"/>
      <c r="Y46" s="60"/>
      <c r="Z46" s="60"/>
    </row>
    <row r="47" ht="53.25" customHeight="1">
      <c r="A47" s="62">
        <v>130.0</v>
      </c>
      <c r="B47" s="60" t="s">
        <v>1047</v>
      </c>
      <c r="C47" s="84" t="s">
        <v>21606</v>
      </c>
      <c r="D47" s="60" t="s">
        <v>21607</v>
      </c>
      <c r="E47" s="60" t="s">
        <v>19649</v>
      </c>
      <c r="F47" s="85" t="s">
        <v>21608</v>
      </c>
      <c r="G47" s="85" t="s">
        <v>21108</v>
      </c>
      <c r="H47" s="62">
        <v>75.0</v>
      </c>
      <c r="I47" s="60"/>
      <c r="J47" s="60"/>
      <c r="K47" s="60"/>
      <c r="L47" s="60"/>
      <c r="M47" s="60"/>
      <c r="N47" s="60"/>
      <c r="O47" s="60"/>
      <c r="P47" s="60"/>
      <c r="Q47" s="60"/>
      <c r="R47" s="60"/>
      <c r="S47" s="60"/>
      <c r="T47" s="60"/>
      <c r="U47" s="60"/>
      <c r="V47" s="60"/>
      <c r="W47" s="60"/>
      <c r="X47" s="60"/>
      <c r="Y47" s="60"/>
      <c r="Z47" s="60"/>
    </row>
    <row r="48" ht="53.25" customHeight="1">
      <c r="A48" s="62">
        <v>265.0</v>
      </c>
      <c r="B48" s="60" t="s">
        <v>925</v>
      </c>
      <c r="C48" s="84" t="s">
        <v>21609</v>
      </c>
      <c r="D48" s="60" t="s">
        <v>19803</v>
      </c>
      <c r="E48" s="60" t="s">
        <v>19576</v>
      </c>
      <c r="F48" s="85" t="s">
        <v>21610</v>
      </c>
      <c r="G48" s="85" t="s">
        <v>21109</v>
      </c>
      <c r="H48" s="62">
        <v>75.0</v>
      </c>
      <c r="I48" s="60"/>
      <c r="J48" s="60"/>
      <c r="K48" s="60"/>
      <c r="L48" s="60"/>
      <c r="M48" s="60"/>
      <c r="N48" s="60"/>
      <c r="O48" s="60"/>
      <c r="P48" s="60"/>
      <c r="Q48" s="60"/>
      <c r="R48" s="60"/>
      <c r="S48" s="60"/>
      <c r="T48" s="60"/>
      <c r="U48" s="60"/>
      <c r="V48" s="60"/>
      <c r="W48" s="60"/>
      <c r="X48" s="60"/>
      <c r="Y48" s="60"/>
      <c r="Z48" s="60"/>
    </row>
    <row r="49" ht="53.25" customHeight="1">
      <c r="A49" s="62">
        <v>355.0</v>
      </c>
      <c r="B49" s="60" t="s">
        <v>1408</v>
      </c>
      <c r="C49" s="84" t="s">
        <v>21611</v>
      </c>
      <c r="D49" s="60" t="s">
        <v>20370</v>
      </c>
      <c r="E49" s="60" t="s">
        <v>19645</v>
      </c>
      <c r="F49" s="85" t="s">
        <v>21612</v>
      </c>
      <c r="G49" s="85" t="s">
        <v>21110</v>
      </c>
      <c r="H49" s="62">
        <v>75.0</v>
      </c>
      <c r="I49" s="60"/>
      <c r="J49" s="60"/>
      <c r="K49" s="60"/>
      <c r="L49" s="60"/>
      <c r="M49" s="60"/>
      <c r="N49" s="60"/>
      <c r="O49" s="60"/>
      <c r="P49" s="60"/>
      <c r="Q49" s="60"/>
      <c r="R49" s="60"/>
      <c r="S49" s="60"/>
      <c r="T49" s="60"/>
      <c r="U49" s="60"/>
      <c r="V49" s="60"/>
      <c r="W49" s="60"/>
      <c r="X49" s="60"/>
      <c r="Y49" s="60"/>
      <c r="Z49" s="60"/>
    </row>
    <row r="50" ht="53.25" customHeight="1">
      <c r="A50" s="62">
        <v>135.0</v>
      </c>
      <c r="B50" s="60" t="s">
        <v>1187</v>
      </c>
      <c r="C50" s="84" t="s">
        <v>21613</v>
      </c>
      <c r="D50" s="60" t="s">
        <v>20284</v>
      </c>
      <c r="E50" s="60" t="s">
        <v>19598</v>
      </c>
      <c r="F50" s="85" t="s">
        <v>21614</v>
      </c>
      <c r="G50" s="85" t="s">
        <v>21111</v>
      </c>
      <c r="H50" s="62">
        <v>75.0</v>
      </c>
      <c r="I50" s="60"/>
      <c r="J50" s="60"/>
      <c r="K50" s="60"/>
      <c r="L50" s="60"/>
      <c r="M50" s="60"/>
      <c r="N50" s="60"/>
      <c r="O50" s="60"/>
      <c r="P50" s="60"/>
      <c r="Q50" s="60"/>
      <c r="R50" s="60"/>
      <c r="S50" s="60"/>
      <c r="T50" s="60"/>
      <c r="U50" s="60"/>
      <c r="V50" s="60"/>
      <c r="W50" s="60"/>
      <c r="X50" s="60"/>
      <c r="Y50" s="60"/>
      <c r="Z50" s="60"/>
    </row>
    <row r="51" ht="53.25" customHeight="1">
      <c r="A51" s="62">
        <v>136.0</v>
      </c>
      <c r="B51" s="60" t="s">
        <v>1189</v>
      </c>
      <c r="C51" s="84" t="s">
        <v>21615</v>
      </c>
      <c r="D51" s="60" t="s">
        <v>20287</v>
      </c>
      <c r="E51" s="60" t="s">
        <v>20100</v>
      </c>
      <c r="F51" s="85" t="s">
        <v>21616</v>
      </c>
      <c r="G51" s="85" t="s">
        <v>21112</v>
      </c>
      <c r="H51" s="62">
        <v>75.0</v>
      </c>
      <c r="I51" s="60"/>
      <c r="J51" s="60"/>
      <c r="K51" s="60"/>
      <c r="L51" s="60"/>
      <c r="M51" s="60"/>
      <c r="N51" s="60"/>
      <c r="O51" s="60"/>
      <c r="P51" s="60"/>
      <c r="Q51" s="60"/>
      <c r="R51" s="60"/>
      <c r="S51" s="60"/>
      <c r="T51" s="60"/>
      <c r="U51" s="60"/>
      <c r="V51" s="60"/>
      <c r="W51" s="60"/>
      <c r="X51" s="60"/>
      <c r="Y51" s="60"/>
      <c r="Z51" s="60"/>
    </row>
    <row r="52" ht="53.25" customHeight="1">
      <c r="A52" s="62">
        <v>137.0</v>
      </c>
      <c r="B52" s="60" t="s">
        <v>1334</v>
      </c>
      <c r="C52" s="84" t="s">
        <v>21617</v>
      </c>
      <c r="D52" s="60" t="s">
        <v>20905</v>
      </c>
      <c r="E52" s="60" t="s">
        <v>719</v>
      </c>
      <c r="F52" s="85" t="s">
        <v>21618</v>
      </c>
      <c r="G52" s="85" t="s">
        <v>21113</v>
      </c>
      <c r="H52" s="62">
        <v>75.0</v>
      </c>
      <c r="I52" s="60"/>
      <c r="J52" s="60"/>
      <c r="K52" s="60"/>
      <c r="L52" s="60"/>
      <c r="M52" s="60"/>
      <c r="N52" s="60"/>
      <c r="O52" s="60"/>
      <c r="P52" s="60"/>
      <c r="Q52" s="60"/>
      <c r="R52" s="60"/>
      <c r="S52" s="60"/>
      <c r="T52" s="60"/>
      <c r="U52" s="60"/>
      <c r="V52" s="60"/>
      <c r="W52" s="60"/>
      <c r="X52" s="60"/>
      <c r="Y52" s="60"/>
      <c r="Z52" s="60"/>
    </row>
    <row r="53" ht="53.25" customHeight="1">
      <c r="A53" s="62">
        <v>139.0</v>
      </c>
      <c r="B53" s="60" t="s">
        <v>978</v>
      </c>
      <c r="C53" s="84" t="s">
        <v>21619</v>
      </c>
      <c r="D53" s="60" t="s">
        <v>19866</v>
      </c>
      <c r="E53" s="60" t="s">
        <v>19755</v>
      </c>
      <c r="F53" s="85" t="s">
        <v>21620</v>
      </c>
      <c r="G53" s="85" t="s">
        <v>21114</v>
      </c>
      <c r="H53" s="62">
        <v>75.0</v>
      </c>
      <c r="I53" s="60"/>
      <c r="J53" s="60"/>
      <c r="K53" s="60"/>
      <c r="L53" s="60"/>
      <c r="M53" s="60"/>
      <c r="N53" s="60"/>
      <c r="O53" s="60"/>
      <c r="P53" s="60"/>
      <c r="Q53" s="60"/>
      <c r="R53" s="60"/>
      <c r="S53" s="60"/>
      <c r="T53" s="60"/>
      <c r="U53" s="60"/>
      <c r="V53" s="60"/>
      <c r="W53" s="60"/>
      <c r="X53" s="60"/>
      <c r="Y53" s="60"/>
      <c r="Z53" s="60"/>
    </row>
    <row r="54" ht="53.25" customHeight="1">
      <c r="A54" s="62">
        <v>142.0</v>
      </c>
      <c r="B54" s="60" t="s">
        <v>1530</v>
      </c>
      <c r="C54" s="84" t="s">
        <v>21621</v>
      </c>
      <c r="D54" s="60" t="s">
        <v>20669</v>
      </c>
      <c r="E54" s="60" t="s">
        <v>19602</v>
      </c>
      <c r="F54" s="85" t="s">
        <v>21622</v>
      </c>
      <c r="G54" s="85" t="s">
        <v>21115</v>
      </c>
      <c r="H54" s="62">
        <v>75.0</v>
      </c>
      <c r="I54" s="60"/>
      <c r="J54" s="60"/>
      <c r="K54" s="60"/>
      <c r="L54" s="60"/>
      <c r="M54" s="60"/>
      <c r="N54" s="60"/>
      <c r="O54" s="60"/>
      <c r="P54" s="60"/>
      <c r="Q54" s="60"/>
      <c r="R54" s="60"/>
      <c r="S54" s="60"/>
      <c r="T54" s="60"/>
      <c r="U54" s="60"/>
      <c r="V54" s="60"/>
      <c r="W54" s="60"/>
      <c r="X54" s="60"/>
      <c r="Y54" s="60"/>
      <c r="Z54" s="60"/>
    </row>
    <row r="55" ht="53.25" customHeight="1">
      <c r="A55" s="62">
        <v>165.0</v>
      </c>
      <c r="B55" s="60" t="s">
        <v>991</v>
      </c>
      <c r="C55" s="84" t="s">
        <v>21623</v>
      </c>
      <c r="D55" s="60" t="s">
        <v>20226</v>
      </c>
      <c r="E55" s="60" t="s">
        <v>19620</v>
      </c>
      <c r="F55" s="85" t="s">
        <v>21624</v>
      </c>
      <c r="G55" s="85" t="s">
        <v>21116</v>
      </c>
      <c r="H55" s="62">
        <v>75.0</v>
      </c>
      <c r="I55" s="60"/>
      <c r="J55" s="60"/>
      <c r="K55" s="60"/>
      <c r="L55" s="60"/>
      <c r="M55" s="60"/>
      <c r="N55" s="60"/>
      <c r="O55" s="60"/>
      <c r="P55" s="60"/>
      <c r="Q55" s="60"/>
      <c r="R55" s="60"/>
      <c r="S55" s="60"/>
      <c r="T55" s="60"/>
      <c r="U55" s="60"/>
      <c r="V55" s="60"/>
      <c r="W55" s="60"/>
      <c r="X55" s="60"/>
      <c r="Y55" s="60"/>
      <c r="Z55" s="60"/>
    </row>
    <row r="56" ht="53.25" customHeight="1">
      <c r="A56" s="62">
        <v>143.0</v>
      </c>
      <c r="B56" s="60" t="s">
        <v>139</v>
      </c>
      <c r="C56" s="84" t="s">
        <v>21625</v>
      </c>
      <c r="D56" s="60" t="s">
        <v>19644</v>
      </c>
      <c r="E56" s="60" t="s">
        <v>19645</v>
      </c>
      <c r="F56" s="85" t="s">
        <v>21626</v>
      </c>
      <c r="G56" s="85" t="s">
        <v>21117</v>
      </c>
      <c r="H56" s="62">
        <v>75.0</v>
      </c>
      <c r="I56" s="60"/>
      <c r="J56" s="60"/>
      <c r="K56" s="60"/>
      <c r="L56" s="60"/>
      <c r="M56" s="60"/>
      <c r="N56" s="60"/>
      <c r="O56" s="60"/>
      <c r="P56" s="60"/>
      <c r="Q56" s="60"/>
      <c r="R56" s="60"/>
      <c r="S56" s="60"/>
      <c r="T56" s="60"/>
      <c r="U56" s="60"/>
      <c r="V56" s="60"/>
      <c r="W56" s="60"/>
      <c r="X56" s="60"/>
      <c r="Y56" s="60"/>
      <c r="Z56" s="60"/>
    </row>
    <row r="57" ht="53.25" customHeight="1">
      <c r="A57" s="62">
        <v>145.0</v>
      </c>
      <c r="B57" s="60" t="s">
        <v>919</v>
      </c>
      <c r="C57" s="84" t="s">
        <v>21627</v>
      </c>
      <c r="D57" s="60" t="s">
        <v>20684</v>
      </c>
      <c r="E57" s="60" t="s">
        <v>19547</v>
      </c>
      <c r="F57" s="85" t="s">
        <v>21628</v>
      </c>
      <c r="G57" s="85" t="s">
        <v>21118</v>
      </c>
      <c r="H57" s="62">
        <v>75.0</v>
      </c>
      <c r="I57" s="60"/>
      <c r="J57" s="60"/>
      <c r="K57" s="60"/>
      <c r="L57" s="60"/>
      <c r="M57" s="60"/>
      <c r="N57" s="60"/>
      <c r="O57" s="60"/>
      <c r="P57" s="60"/>
      <c r="Q57" s="60"/>
      <c r="R57" s="60"/>
      <c r="S57" s="60"/>
      <c r="T57" s="60"/>
      <c r="U57" s="60"/>
      <c r="V57" s="60"/>
      <c r="W57" s="60"/>
      <c r="X57" s="60"/>
      <c r="Y57" s="60"/>
      <c r="Z57" s="60"/>
    </row>
    <row r="58" ht="53.25" customHeight="1">
      <c r="A58" s="62">
        <v>146.0</v>
      </c>
      <c r="B58" s="60" t="s">
        <v>1043</v>
      </c>
      <c r="C58" s="84" t="s">
        <v>21629</v>
      </c>
      <c r="D58" s="60" t="s">
        <v>19884</v>
      </c>
      <c r="E58" s="60" t="s">
        <v>19885</v>
      </c>
      <c r="F58" s="85" t="s">
        <v>21630</v>
      </c>
      <c r="G58" s="85" t="s">
        <v>21119</v>
      </c>
      <c r="H58" s="62">
        <v>75.0</v>
      </c>
      <c r="I58" s="60"/>
      <c r="J58" s="60"/>
      <c r="K58" s="60"/>
      <c r="L58" s="60"/>
      <c r="M58" s="60"/>
      <c r="N58" s="60"/>
      <c r="O58" s="60"/>
      <c r="P58" s="60"/>
      <c r="Q58" s="60"/>
      <c r="R58" s="60"/>
      <c r="S58" s="60"/>
      <c r="T58" s="60"/>
      <c r="U58" s="60"/>
      <c r="V58" s="60"/>
      <c r="W58" s="60"/>
      <c r="X58" s="60"/>
      <c r="Y58" s="60"/>
      <c r="Z58" s="60"/>
    </row>
    <row r="59" ht="53.25" customHeight="1">
      <c r="A59" s="62">
        <v>147.0</v>
      </c>
      <c r="B59" s="60" t="s">
        <v>923</v>
      </c>
      <c r="C59" s="84" t="s">
        <v>21631</v>
      </c>
      <c r="D59" s="60" t="s">
        <v>19859</v>
      </c>
      <c r="E59" s="60" t="s">
        <v>19860</v>
      </c>
      <c r="F59" s="85" t="s">
        <v>21632</v>
      </c>
      <c r="G59" s="85" t="s">
        <v>21120</v>
      </c>
      <c r="H59" s="62">
        <v>75.0</v>
      </c>
      <c r="I59" s="60"/>
      <c r="J59" s="60"/>
      <c r="K59" s="60"/>
      <c r="L59" s="60"/>
      <c r="M59" s="60"/>
      <c r="N59" s="60"/>
      <c r="O59" s="60"/>
      <c r="P59" s="60"/>
      <c r="Q59" s="60"/>
      <c r="R59" s="60"/>
      <c r="S59" s="60"/>
      <c r="T59" s="60"/>
      <c r="U59" s="60"/>
      <c r="V59" s="60"/>
      <c r="W59" s="60"/>
      <c r="X59" s="60"/>
      <c r="Y59" s="60"/>
      <c r="Z59" s="60"/>
    </row>
    <row r="60" ht="53.25" customHeight="1">
      <c r="A60" s="62">
        <v>151.0</v>
      </c>
      <c r="B60" s="60" t="s">
        <v>915</v>
      </c>
      <c r="C60" s="84" t="s">
        <v>21633</v>
      </c>
      <c r="D60" s="60" t="s">
        <v>19877</v>
      </c>
      <c r="E60" s="60" t="s">
        <v>19645</v>
      </c>
      <c r="F60" s="85" t="s">
        <v>21634</v>
      </c>
      <c r="G60" s="85" t="s">
        <v>21121</v>
      </c>
      <c r="H60" s="62">
        <v>75.0</v>
      </c>
      <c r="I60" s="60"/>
      <c r="J60" s="60"/>
      <c r="K60" s="60"/>
      <c r="L60" s="60"/>
      <c r="M60" s="60"/>
      <c r="N60" s="60"/>
      <c r="O60" s="60"/>
      <c r="P60" s="60"/>
      <c r="Q60" s="60"/>
      <c r="R60" s="60"/>
      <c r="S60" s="60"/>
      <c r="T60" s="60"/>
      <c r="U60" s="60"/>
      <c r="V60" s="60"/>
      <c r="W60" s="60"/>
      <c r="X60" s="60"/>
      <c r="Y60" s="60"/>
      <c r="Z60" s="60"/>
    </row>
    <row r="61" ht="53.25" customHeight="1">
      <c r="A61" s="62">
        <v>154.0</v>
      </c>
      <c r="B61" s="60" t="s">
        <v>1317</v>
      </c>
      <c r="C61" s="84" t="s">
        <v>21635</v>
      </c>
      <c r="D61" s="60" t="s">
        <v>20792</v>
      </c>
      <c r="E61" s="60" t="s">
        <v>751</v>
      </c>
      <c r="F61" s="85" t="s">
        <v>21636</v>
      </c>
      <c r="G61" s="85" t="s">
        <v>21122</v>
      </c>
      <c r="H61" s="62">
        <v>75.0</v>
      </c>
      <c r="I61" s="60"/>
      <c r="J61" s="60"/>
      <c r="K61" s="60"/>
      <c r="L61" s="60"/>
      <c r="M61" s="60"/>
      <c r="N61" s="60"/>
      <c r="O61" s="60"/>
      <c r="P61" s="60"/>
      <c r="Q61" s="60"/>
      <c r="R61" s="60"/>
      <c r="S61" s="60"/>
      <c r="T61" s="60"/>
      <c r="U61" s="60"/>
      <c r="V61" s="60"/>
      <c r="W61" s="60"/>
      <c r="X61" s="60"/>
      <c r="Y61" s="60"/>
      <c r="Z61" s="60"/>
    </row>
    <row r="62" ht="53.25" customHeight="1">
      <c r="A62" s="62">
        <v>343.0</v>
      </c>
      <c r="B62" s="60" t="s">
        <v>359</v>
      </c>
      <c r="C62" s="84" t="s">
        <v>21637</v>
      </c>
      <c r="D62" s="60" t="s">
        <v>20693</v>
      </c>
      <c r="E62" s="60" t="s">
        <v>672</v>
      </c>
      <c r="F62" s="85" t="s">
        <v>21638</v>
      </c>
      <c r="G62" s="85" t="s">
        <v>21123</v>
      </c>
      <c r="H62" s="62">
        <v>75.0</v>
      </c>
      <c r="I62" s="60"/>
      <c r="J62" s="60"/>
      <c r="K62" s="60"/>
      <c r="L62" s="60"/>
      <c r="M62" s="60"/>
      <c r="N62" s="60"/>
      <c r="O62" s="60"/>
      <c r="P62" s="60"/>
      <c r="Q62" s="60"/>
      <c r="R62" s="60"/>
      <c r="S62" s="60"/>
      <c r="T62" s="60"/>
      <c r="U62" s="60"/>
      <c r="V62" s="60"/>
      <c r="W62" s="60"/>
      <c r="X62" s="60"/>
      <c r="Y62" s="60"/>
      <c r="Z62" s="60"/>
    </row>
    <row r="63" ht="53.25" customHeight="1">
      <c r="A63" s="62">
        <v>342.0</v>
      </c>
      <c r="B63" s="60" t="s">
        <v>1369</v>
      </c>
      <c r="C63" s="84" t="s">
        <v>21639</v>
      </c>
      <c r="D63" s="60" t="s">
        <v>20303</v>
      </c>
      <c r="E63" s="60" t="s">
        <v>20049</v>
      </c>
      <c r="F63" s="85" t="s">
        <v>21640</v>
      </c>
      <c r="G63" s="85" t="s">
        <v>21124</v>
      </c>
      <c r="H63" s="62">
        <v>75.0</v>
      </c>
      <c r="I63" s="60"/>
      <c r="J63" s="60"/>
      <c r="K63" s="60"/>
      <c r="L63" s="60"/>
      <c r="M63" s="60"/>
      <c r="N63" s="60"/>
      <c r="O63" s="60"/>
      <c r="P63" s="60"/>
      <c r="Q63" s="60"/>
      <c r="R63" s="60"/>
      <c r="S63" s="60"/>
      <c r="T63" s="60"/>
      <c r="U63" s="60"/>
      <c r="V63" s="60"/>
      <c r="W63" s="60"/>
      <c r="X63" s="60"/>
      <c r="Y63" s="60"/>
      <c r="Z63" s="60"/>
    </row>
    <row r="64" ht="53.25" customHeight="1">
      <c r="A64" s="62">
        <v>158.0</v>
      </c>
      <c r="B64" s="60" t="s">
        <v>127</v>
      </c>
      <c r="C64" s="84" t="s">
        <v>21641</v>
      </c>
      <c r="D64" s="60" t="s">
        <v>19721</v>
      </c>
      <c r="E64" s="60" t="s">
        <v>19547</v>
      </c>
      <c r="F64" s="85" t="s">
        <v>21642</v>
      </c>
      <c r="G64" s="85" t="s">
        <v>21125</v>
      </c>
      <c r="H64" s="62">
        <v>75.0</v>
      </c>
      <c r="I64" s="60"/>
      <c r="J64" s="60"/>
      <c r="K64" s="60"/>
      <c r="L64" s="60"/>
      <c r="M64" s="60"/>
      <c r="N64" s="60"/>
      <c r="O64" s="60"/>
      <c r="P64" s="60"/>
      <c r="Q64" s="60"/>
      <c r="R64" s="60"/>
      <c r="S64" s="60"/>
      <c r="T64" s="60"/>
      <c r="U64" s="60"/>
      <c r="V64" s="60"/>
      <c r="W64" s="60"/>
      <c r="X64" s="60"/>
      <c r="Y64" s="60"/>
      <c r="Z64" s="60"/>
    </row>
    <row r="65" ht="53.25" customHeight="1">
      <c r="A65" s="62">
        <v>192.0</v>
      </c>
      <c r="B65" s="60" t="s">
        <v>851</v>
      </c>
      <c r="C65" s="84" t="s">
        <v>21643</v>
      </c>
      <c r="D65" s="60" t="s">
        <v>20110</v>
      </c>
      <c r="E65" s="60" t="s">
        <v>20104</v>
      </c>
      <c r="F65" s="85" t="s">
        <v>21644</v>
      </c>
      <c r="G65" s="85" t="s">
        <v>21126</v>
      </c>
      <c r="H65" s="62">
        <v>75.0</v>
      </c>
      <c r="I65" s="60"/>
      <c r="J65" s="60"/>
      <c r="K65" s="60"/>
      <c r="L65" s="60"/>
      <c r="M65" s="60"/>
      <c r="N65" s="60"/>
      <c r="O65" s="60"/>
      <c r="P65" s="60"/>
      <c r="Q65" s="60"/>
      <c r="R65" s="60"/>
      <c r="S65" s="60"/>
      <c r="T65" s="60"/>
      <c r="U65" s="60"/>
      <c r="V65" s="60"/>
      <c r="W65" s="60"/>
      <c r="X65" s="60"/>
      <c r="Y65" s="60"/>
      <c r="Z65" s="60"/>
    </row>
    <row r="66" ht="53.25" customHeight="1">
      <c r="A66" s="62">
        <v>337.0</v>
      </c>
      <c r="B66" s="60" t="s">
        <v>1363</v>
      </c>
      <c r="C66" s="84" t="s">
        <v>21645</v>
      </c>
      <c r="D66" s="60" t="s">
        <v>20309</v>
      </c>
      <c r="E66" s="60" t="s">
        <v>656</v>
      </c>
      <c r="F66" s="85" t="s">
        <v>21646</v>
      </c>
      <c r="G66" s="85" t="s">
        <v>21127</v>
      </c>
      <c r="H66" s="62">
        <v>75.0</v>
      </c>
      <c r="I66" s="60"/>
      <c r="J66" s="60"/>
      <c r="K66" s="60"/>
      <c r="L66" s="60"/>
      <c r="M66" s="60"/>
      <c r="N66" s="60"/>
      <c r="O66" s="60"/>
      <c r="P66" s="60"/>
      <c r="Q66" s="60"/>
      <c r="R66" s="60"/>
      <c r="S66" s="60"/>
      <c r="T66" s="60"/>
      <c r="U66" s="60"/>
      <c r="V66" s="60"/>
      <c r="W66" s="60"/>
      <c r="X66" s="60"/>
      <c r="Y66" s="60"/>
      <c r="Z66" s="60"/>
    </row>
    <row r="67" ht="53.25" customHeight="1">
      <c r="A67" s="62">
        <v>340.0</v>
      </c>
      <c r="B67" s="60" t="s">
        <v>1605</v>
      </c>
      <c r="C67" s="84" t="s">
        <v>21647</v>
      </c>
      <c r="D67" s="60" t="s">
        <v>19853</v>
      </c>
      <c r="E67" s="60" t="s">
        <v>19594</v>
      </c>
      <c r="F67" s="85" t="s">
        <v>21648</v>
      </c>
      <c r="G67" s="85" t="s">
        <v>21128</v>
      </c>
      <c r="H67" s="62">
        <v>75.0</v>
      </c>
      <c r="I67" s="60"/>
      <c r="J67" s="60"/>
      <c r="K67" s="60"/>
      <c r="L67" s="60"/>
      <c r="M67" s="60"/>
      <c r="N67" s="60"/>
      <c r="O67" s="60"/>
      <c r="P67" s="60"/>
      <c r="Q67" s="60"/>
      <c r="R67" s="60"/>
      <c r="S67" s="60"/>
      <c r="T67" s="60"/>
      <c r="U67" s="60"/>
      <c r="V67" s="60"/>
      <c r="W67" s="60"/>
      <c r="X67" s="60"/>
      <c r="Y67" s="60"/>
      <c r="Z67" s="60"/>
    </row>
    <row r="68" ht="53.25" customHeight="1">
      <c r="A68" s="62">
        <v>195.0</v>
      </c>
      <c r="B68" s="60" t="s">
        <v>982</v>
      </c>
      <c r="C68" s="84" t="s">
        <v>21649</v>
      </c>
      <c r="D68" s="60" t="s">
        <v>19806</v>
      </c>
      <c r="E68" s="60" t="s">
        <v>19627</v>
      </c>
      <c r="F68" s="85" t="s">
        <v>21650</v>
      </c>
      <c r="G68" s="85" t="s">
        <v>21129</v>
      </c>
      <c r="H68" s="62">
        <v>75.0</v>
      </c>
      <c r="I68" s="60"/>
      <c r="J68" s="60"/>
      <c r="K68" s="60"/>
      <c r="L68" s="60"/>
      <c r="M68" s="60"/>
      <c r="N68" s="60"/>
      <c r="O68" s="60"/>
      <c r="P68" s="60"/>
      <c r="Q68" s="60"/>
      <c r="R68" s="60"/>
      <c r="S68" s="60"/>
      <c r="T68" s="60"/>
      <c r="U68" s="60"/>
      <c r="V68" s="60"/>
      <c r="W68" s="60"/>
      <c r="X68" s="60"/>
      <c r="Y68" s="60"/>
      <c r="Z68" s="60"/>
    </row>
    <row r="69" ht="53.25" customHeight="1">
      <c r="A69" s="62">
        <v>193.0</v>
      </c>
      <c r="B69" s="60" t="s">
        <v>1053</v>
      </c>
      <c r="C69" s="84" t="s">
        <v>21651</v>
      </c>
      <c r="D69" s="60" t="s">
        <v>20113</v>
      </c>
      <c r="E69" s="60" t="s">
        <v>20114</v>
      </c>
      <c r="F69" s="85" t="s">
        <v>21652</v>
      </c>
      <c r="G69" s="85" t="s">
        <v>21130</v>
      </c>
      <c r="H69" s="62">
        <v>75.0</v>
      </c>
      <c r="I69" s="60"/>
      <c r="J69" s="60"/>
      <c r="K69" s="60"/>
      <c r="L69" s="60"/>
      <c r="M69" s="60"/>
      <c r="N69" s="60"/>
      <c r="O69" s="60"/>
      <c r="P69" s="60"/>
      <c r="Q69" s="60"/>
      <c r="R69" s="60"/>
      <c r="S69" s="60"/>
      <c r="T69" s="60"/>
      <c r="U69" s="60"/>
      <c r="V69" s="60"/>
      <c r="W69" s="60"/>
      <c r="X69" s="60"/>
      <c r="Y69" s="60"/>
      <c r="Z69" s="60"/>
    </row>
    <row r="70" ht="53.25" customHeight="1">
      <c r="A70" s="62">
        <v>230.0</v>
      </c>
      <c r="B70" s="60" t="s">
        <v>186</v>
      </c>
      <c r="C70" s="84" t="s">
        <v>21653</v>
      </c>
      <c r="D70" s="60" t="s">
        <v>20557</v>
      </c>
      <c r="E70" s="60" t="s">
        <v>19986</v>
      </c>
      <c r="F70" s="85" t="s">
        <v>21654</v>
      </c>
      <c r="G70" s="85" t="s">
        <v>21131</v>
      </c>
      <c r="H70" s="62">
        <v>75.0</v>
      </c>
      <c r="I70" s="60"/>
      <c r="J70" s="60"/>
      <c r="K70" s="60"/>
      <c r="L70" s="60"/>
      <c r="M70" s="60"/>
      <c r="N70" s="60"/>
      <c r="O70" s="60"/>
      <c r="P70" s="60"/>
      <c r="Q70" s="60"/>
      <c r="R70" s="60"/>
      <c r="S70" s="60"/>
      <c r="T70" s="60"/>
      <c r="U70" s="60"/>
      <c r="V70" s="60"/>
      <c r="W70" s="60"/>
      <c r="X70" s="60"/>
      <c r="Y70" s="60"/>
      <c r="Z70" s="60"/>
    </row>
    <row r="71" ht="53.25" customHeight="1">
      <c r="A71" s="62">
        <v>282.0</v>
      </c>
      <c r="B71" s="60" t="s">
        <v>3782</v>
      </c>
      <c r="C71" s="84" t="s">
        <v>21655</v>
      </c>
      <c r="D71" s="60" t="s">
        <v>19546</v>
      </c>
      <c r="E71" s="60" t="s">
        <v>19547</v>
      </c>
      <c r="F71" s="85" t="s">
        <v>21656</v>
      </c>
      <c r="G71" s="85" t="s">
        <v>21132</v>
      </c>
      <c r="H71" s="62">
        <v>75.0</v>
      </c>
      <c r="I71" s="60"/>
      <c r="J71" s="60"/>
      <c r="K71" s="60"/>
      <c r="L71" s="60"/>
      <c r="M71" s="60"/>
      <c r="N71" s="60"/>
      <c r="O71" s="60"/>
      <c r="P71" s="60"/>
      <c r="Q71" s="60"/>
      <c r="R71" s="60"/>
      <c r="S71" s="60"/>
      <c r="T71" s="60"/>
      <c r="U71" s="60"/>
      <c r="V71" s="60"/>
      <c r="W71" s="60"/>
      <c r="X71" s="60"/>
      <c r="Y71" s="60"/>
      <c r="Z71" s="60"/>
    </row>
    <row r="72" ht="53.25" customHeight="1">
      <c r="A72" s="62">
        <v>281.0</v>
      </c>
      <c r="B72" s="60" t="s">
        <v>1584</v>
      </c>
      <c r="C72" s="84" t="s">
        <v>21657</v>
      </c>
      <c r="D72" s="60" t="s">
        <v>20151</v>
      </c>
      <c r="E72" s="60" t="s">
        <v>173</v>
      </c>
      <c r="F72" s="85" t="s">
        <v>21658</v>
      </c>
      <c r="G72" s="85" t="s">
        <v>21133</v>
      </c>
      <c r="H72" s="62">
        <v>75.0</v>
      </c>
      <c r="I72" s="60"/>
      <c r="J72" s="60"/>
      <c r="K72" s="60"/>
      <c r="L72" s="60"/>
      <c r="M72" s="60"/>
      <c r="N72" s="60"/>
      <c r="O72" s="60"/>
      <c r="P72" s="60"/>
      <c r="Q72" s="60"/>
      <c r="R72" s="60"/>
      <c r="S72" s="60"/>
      <c r="T72" s="60"/>
      <c r="U72" s="60"/>
      <c r="V72" s="60"/>
      <c r="W72" s="60"/>
      <c r="X72" s="60"/>
      <c r="Y72" s="60"/>
      <c r="Z72" s="60"/>
    </row>
    <row r="73" ht="53.25" customHeight="1">
      <c r="A73" s="62">
        <v>234.0</v>
      </c>
      <c r="B73" s="60" t="s">
        <v>1268</v>
      </c>
      <c r="C73" s="84" t="s">
        <v>21659</v>
      </c>
      <c r="D73" s="60" t="s">
        <v>19822</v>
      </c>
      <c r="E73" s="60" t="s">
        <v>19823</v>
      </c>
      <c r="F73" s="85" t="s">
        <v>21660</v>
      </c>
      <c r="G73" s="85" t="s">
        <v>21134</v>
      </c>
      <c r="H73" s="62">
        <v>75.0</v>
      </c>
      <c r="I73" s="60"/>
      <c r="J73" s="60"/>
      <c r="K73" s="60"/>
      <c r="L73" s="60"/>
      <c r="M73" s="60"/>
      <c r="N73" s="60"/>
      <c r="O73" s="60"/>
      <c r="P73" s="60"/>
      <c r="Q73" s="60"/>
      <c r="R73" s="60"/>
      <c r="S73" s="60"/>
      <c r="T73" s="60"/>
      <c r="U73" s="60"/>
      <c r="V73" s="60"/>
      <c r="W73" s="60"/>
      <c r="X73" s="60"/>
      <c r="Y73" s="60"/>
      <c r="Z73" s="60"/>
    </row>
    <row r="74" ht="53.25" customHeight="1">
      <c r="A74" s="62">
        <v>280.0</v>
      </c>
      <c r="B74" s="60" t="s">
        <v>125</v>
      </c>
      <c r="C74" s="84" t="s">
        <v>21661</v>
      </c>
      <c r="D74" s="60" t="s">
        <v>20529</v>
      </c>
      <c r="E74" s="60" t="s">
        <v>309</v>
      </c>
      <c r="F74" s="85" t="s">
        <v>21662</v>
      </c>
      <c r="G74" s="85" t="s">
        <v>21135</v>
      </c>
      <c r="H74" s="62">
        <v>75.0</v>
      </c>
      <c r="I74" s="60"/>
      <c r="J74" s="60"/>
      <c r="K74" s="60"/>
      <c r="L74" s="60"/>
      <c r="M74" s="60"/>
      <c r="N74" s="60"/>
      <c r="O74" s="60"/>
      <c r="P74" s="60"/>
      <c r="Q74" s="60"/>
      <c r="R74" s="60"/>
      <c r="S74" s="60"/>
      <c r="T74" s="60"/>
      <c r="U74" s="60"/>
      <c r="V74" s="60"/>
      <c r="W74" s="60"/>
      <c r="X74" s="60"/>
      <c r="Y74" s="60"/>
      <c r="Z74" s="60"/>
    </row>
    <row r="75" ht="53.25" customHeight="1">
      <c r="A75" s="62">
        <v>237.0</v>
      </c>
      <c r="B75" s="60" t="s">
        <v>987</v>
      </c>
      <c r="C75" s="84" t="s">
        <v>21663</v>
      </c>
      <c r="D75" s="60" t="s">
        <v>20566</v>
      </c>
      <c r="E75" s="60" t="s">
        <v>20016</v>
      </c>
      <c r="F75" s="85" t="s">
        <v>21664</v>
      </c>
      <c r="G75" s="85" t="s">
        <v>21136</v>
      </c>
      <c r="H75" s="62">
        <v>75.0</v>
      </c>
      <c r="I75" s="60"/>
      <c r="J75" s="60"/>
      <c r="K75" s="60"/>
      <c r="L75" s="60"/>
      <c r="M75" s="60"/>
      <c r="N75" s="60"/>
      <c r="O75" s="60"/>
      <c r="P75" s="60"/>
      <c r="Q75" s="60"/>
      <c r="R75" s="60"/>
      <c r="S75" s="60"/>
      <c r="T75" s="60"/>
      <c r="U75" s="60"/>
      <c r="V75" s="60"/>
      <c r="W75" s="60"/>
      <c r="X75" s="60"/>
      <c r="Y75" s="60"/>
      <c r="Z75" s="60"/>
    </row>
    <row r="76" ht="53.25" customHeight="1">
      <c r="A76" s="62">
        <v>278.0</v>
      </c>
      <c r="B76" s="60" t="s">
        <v>1197</v>
      </c>
      <c r="C76" s="84" t="s">
        <v>21665</v>
      </c>
      <c r="D76" s="60" t="s">
        <v>20148</v>
      </c>
      <c r="E76" s="60" t="s">
        <v>20049</v>
      </c>
      <c r="F76" s="85" t="s">
        <v>21666</v>
      </c>
      <c r="G76" s="85" t="s">
        <v>21137</v>
      </c>
      <c r="H76" s="62">
        <v>75.0</v>
      </c>
      <c r="I76" s="60"/>
      <c r="J76" s="60"/>
      <c r="K76" s="60"/>
      <c r="L76" s="60"/>
      <c r="M76" s="60"/>
      <c r="N76" s="60"/>
      <c r="O76" s="60"/>
      <c r="P76" s="60"/>
      <c r="Q76" s="60"/>
      <c r="R76" s="60"/>
      <c r="S76" s="60"/>
      <c r="T76" s="60"/>
      <c r="U76" s="60"/>
      <c r="V76" s="60"/>
      <c r="W76" s="60"/>
      <c r="X76" s="60"/>
      <c r="Y76" s="60"/>
      <c r="Z76" s="60"/>
    </row>
    <row r="77" ht="53.25" customHeight="1">
      <c r="A77" s="62">
        <v>277.0</v>
      </c>
      <c r="B77" s="60" t="s">
        <v>972</v>
      </c>
      <c r="C77" s="84" t="s">
        <v>21667</v>
      </c>
      <c r="D77" s="60" t="s">
        <v>19601</v>
      </c>
      <c r="E77" s="60" t="s">
        <v>19602</v>
      </c>
      <c r="F77" s="85" t="s">
        <v>21668</v>
      </c>
      <c r="G77" s="85" t="s">
        <v>21138</v>
      </c>
      <c r="H77" s="62">
        <v>75.0</v>
      </c>
      <c r="I77" s="60"/>
      <c r="J77" s="60"/>
      <c r="K77" s="60"/>
      <c r="L77" s="60"/>
      <c r="M77" s="60"/>
      <c r="N77" s="60"/>
      <c r="O77" s="60"/>
      <c r="P77" s="60"/>
      <c r="Q77" s="60"/>
      <c r="R77" s="60"/>
      <c r="S77" s="60"/>
      <c r="T77" s="60"/>
      <c r="U77" s="60"/>
      <c r="V77" s="60"/>
      <c r="W77" s="60"/>
      <c r="X77" s="60"/>
      <c r="Y77" s="60"/>
      <c r="Z77" s="60"/>
    </row>
    <row r="78" ht="53.25" customHeight="1">
      <c r="A78" s="62">
        <v>241.0</v>
      </c>
      <c r="B78" s="60" t="s">
        <v>404</v>
      </c>
      <c r="C78" s="84" t="s">
        <v>21669</v>
      </c>
      <c r="D78" s="60" t="s">
        <v>19676</v>
      </c>
      <c r="E78" s="60" t="s">
        <v>19677</v>
      </c>
      <c r="F78" s="85" t="s">
        <v>21670</v>
      </c>
      <c r="G78" s="85" t="s">
        <v>21139</v>
      </c>
      <c r="H78" s="62">
        <v>75.0</v>
      </c>
      <c r="I78" s="60"/>
      <c r="J78" s="60"/>
      <c r="K78" s="60"/>
      <c r="L78" s="60"/>
      <c r="M78" s="60"/>
      <c r="N78" s="60"/>
      <c r="O78" s="60"/>
      <c r="P78" s="60"/>
      <c r="Q78" s="60"/>
      <c r="R78" s="60"/>
      <c r="S78" s="60"/>
      <c r="T78" s="60"/>
      <c r="U78" s="60"/>
      <c r="V78" s="60"/>
      <c r="W78" s="60"/>
      <c r="X78" s="60"/>
      <c r="Y78" s="60"/>
      <c r="Z78" s="60"/>
    </row>
    <row r="79" ht="53.25" customHeight="1">
      <c r="A79" s="62">
        <v>243.0</v>
      </c>
      <c r="B79" s="60" t="s">
        <v>1425</v>
      </c>
      <c r="C79" s="84" t="s">
        <v>21671</v>
      </c>
      <c r="D79" s="60" t="s">
        <v>19816</v>
      </c>
      <c r="E79" s="60" t="s">
        <v>658</v>
      </c>
      <c r="F79" s="85" t="s">
        <v>21672</v>
      </c>
      <c r="G79" s="85" t="s">
        <v>21140</v>
      </c>
      <c r="H79" s="62">
        <v>75.0</v>
      </c>
      <c r="I79" s="60"/>
      <c r="J79" s="60"/>
      <c r="K79" s="60"/>
      <c r="L79" s="60"/>
      <c r="M79" s="60"/>
      <c r="N79" s="60"/>
      <c r="O79" s="60"/>
      <c r="P79" s="60"/>
      <c r="Q79" s="60"/>
      <c r="R79" s="60"/>
      <c r="S79" s="60"/>
      <c r="T79" s="60"/>
      <c r="U79" s="60"/>
      <c r="V79" s="60"/>
      <c r="W79" s="60"/>
      <c r="X79" s="60"/>
      <c r="Y79" s="60"/>
      <c r="Z79" s="60"/>
    </row>
    <row r="80" ht="53.25" customHeight="1">
      <c r="A80" s="62">
        <v>244.0</v>
      </c>
      <c r="B80" s="60" t="s">
        <v>166</v>
      </c>
      <c r="C80" s="84" t="s">
        <v>21673</v>
      </c>
      <c r="D80" s="60" t="s">
        <v>20117</v>
      </c>
      <c r="E80" s="60" t="s">
        <v>19583</v>
      </c>
      <c r="F80" s="85" t="s">
        <v>21674</v>
      </c>
      <c r="G80" s="85" t="s">
        <v>21141</v>
      </c>
      <c r="H80" s="62">
        <v>75.0</v>
      </c>
      <c r="I80" s="60"/>
      <c r="J80" s="60"/>
      <c r="K80" s="60"/>
      <c r="L80" s="60"/>
      <c r="M80" s="60"/>
      <c r="N80" s="60"/>
      <c r="O80" s="60"/>
      <c r="P80" s="60"/>
      <c r="Q80" s="60"/>
      <c r="R80" s="60"/>
      <c r="S80" s="60"/>
      <c r="T80" s="60"/>
      <c r="U80" s="60"/>
      <c r="V80" s="60"/>
      <c r="W80" s="60"/>
      <c r="X80" s="60"/>
      <c r="Y80" s="60"/>
      <c r="Z80" s="60"/>
    </row>
    <row r="81" ht="53.25" customHeight="1">
      <c r="A81" s="62">
        <v>245.0</v>
      </c>
      <c r="B81" s="60" t="s">
        <v>1089</v>
      </c>
      <c r="C81" s="84" t="s">
        <v>21675</v>
      </c>
      <c r="D81" s="60" t="s">
        <v>20839</v>
      </c>
      <c r="E81" s="60" t="s">
        <v>19941</v>
      </c>
      <c r="F81" s="85" t="s">
        <v>21676</v>
      </c>
      <c r="G81" s="85" t="s">
        <v>21142</v>
      </c>
      <c r="H81" s="62">
        <v>75.0</v>
      </c>
      <c r="I81" s="60"/>
      <c r="J81" s="60"/>
      <c r="K81" s="60"/>
      <c r="L81" s="60"/>
      <c r="M81" s="60"/>
      <c r="N81" s="60"/>
      <c r="O81" s="60"/>
      <c r="P81" s="60"/>
      <c r="Q81" s="60"/>
      <c r="R81" s="60"/>
      <c r="S81" s="60"/>
      <c r="T81" s="60"/>
      <c r="U81" s="60"/>
      <c r="V81" s="60"/>
      <c r="W81" s="60"/>
      <c r="X81" s="60"/>
      <c r="Y81" s="60"/>
      <c r="Z81" s="60"/>
    </row>
    <row r="82" ht="53.25" customHeight="1">
      <c r="A82" s="62">
        <v>246.0</v>
      </c>
      <c r="B82" s="60" t="s">
        <v>805</v>
      </c>
      <c r="C82" s="84" t="s">
        <v>21677</v>
      </c>
      <c r="D82" s="60" t="s">
        <v>20833</v>
      </c>
      <c r="E82" s="60" t="s">
        <v>634</v>
      </c>
      <c r="F82" s="85" t="s">
        <v>21678</v>
      </c>
      <c r="G82" s="85" t="s">
        <v>21143</v>
      </c>
      <c r="H82" s="62">
        <v>75.0</v>
      </c>
      <c r="I82" s="60"/>
      <c r="J82" s="60"/>
      <c r="K82" s="60"/>
      <c r="L82" s="60"/>
      <c r="M82" s="60"/>
      <c r="N82" s="60"/>
      <c r="O82" s="60"/>
      <c r="P82" s="60"/>
      <c r="Q82" s="60"/>
      <c r="R82" s="60"/>
      <c r="S82" s="60"/>
      <c r="T82" s="60"/>
      <c r="U82" s="60"/>
      <c r="V82" s="60"/>
      <c r="W82" s="60"/>
      <c r="X82" s="60"/>
      <c r="Y82" s="60"/>
      <c r="Z82" s="60"/>
    </row>
    <row r="83" ht="53.25" customHeight="1">
      <c r="A83" s="62">
        <v>247.0</v>
      </c>
      <c r="B83" s="60" t="s">
        <v>232</v>
      </c>
      <c r="C83" s="84" t="s">
        <v>21679</v>
      </c>
      <c r="D83" s="60" t="s">
        <v>19668</v>
      </c>
      <c r="E83" s="60" t="s">
        <v>19669</v>
      </c>
      <c r="F83" s="85" t="s">
        <v>21680</v>
      </c>
      <c r="G83" s="85" t="s">
        <v>21144</v>
      </c>
      <c r="H83" s="62">
        <v>75.0</v>
      </c>
      <c r="I83" s="60"/>
      <c r="J83" s="60"/>
      <c r="K83" s="60"/>
      <c r="L83" s="60"/>
      <c r="M83" s="60"/>
      <c r="N83" s="60"/>
      <c r="O83" s="60"/>
      <c r="P83" s="60"/>
      <c r="Q83" s="60"/>
      <c r="R83" s="60"/>
      <c r="S83" s="60"/>
      <c r="T83" s="60"/>
      <c r="U83" s="60"/>
      <c r="V83" s="60"/>
      <c r="W83" s="60"/>
      <c r="X83" s="60"/>
      <c r="Y83" s="60"/>
      <c r="Z83" s="60"/>
    </row>
    <row r="84" ht="53.25" customHeight="1">
      <c r="A84" s="62">
        <v>249.0</v>
      </c>
      <c r="B84" s="60" t="s">
        <v>40</v>
      </c>
      <c r="C84" s="84" t="s">
        <v>21681</v>
      </c>
      <c r="D84" s="60" t="s">
        <v>19665</v>
      </c>
      <c r="E84" s="60" t="s">
        <v>634</v>
      </c>
      <c r="F84" s="85" t="s">
        <v>21682</v>
      </c>
      <c r="G84" s="85" t="s">
        <v>21145</v>
      </c>
      <c r="H84" s="62">
        <v>75.0</v>
      </c>
      <c r="I84" s="60"/>
      <c r="J84" s="60"/>
      <c r="K84" s="60"/>
      <c r="L84" s="60"/>
      <c r="M84" s="60"/>
      <c r="N84" s="60"/>
      <c r="O84" s="60"/>
      <c r="P84" s="60"/>
      <c r="Q84" s="60"/>
      <c r="R84" s="60"/>
      <c r="S84" s="60"/>
      <c r="T84" s="60"/>
      <c r="U84" s="60"/>
      <c r="V84" s="60"/>
      <c r="W84" s="60"/>
      <c r="X84" s="60"/>
      <c r="Y84" s="60"/>
      <c r="Z84" s="60"/>
    </row>
    <row r="85" ht="53.25" customHeight="1">
      <c r="A85" s="62">
        <v>251.0</v>
      </c>
      <c r="B85" s="60" t="s">
        <v>1051</v>
      </c>
      <c r="C85" s="84" t="s">
        <v>21683</v>
      </c>
      <c r="D85" s="60" t="s">
        <v>20435</v>
      </c>
      <c r="E85" s="60" t="s">
        <v>20114</v>
      </c>
      <c r="F85" s="85" t="s">
        <v>21684</v>
      </c>
      <c r="G85" s="85" t="s">
        <v>21146</v>
      </c>
      <c r="H85" s="62">
        <v>75.0</v>
      </c>
      <c r="I85" s="60"/>
      <c r="J85" s="60"/>
      <c r="K85" s="60"/>
      <c r="L85" s="60"/>
      <c r="M85" s="60"/>
      <c r="N85" s="60"/>
      <c r="O85" s="60"/>
      <c r="P85" s="60"/>
      <c r="Q85" s="60"/>
      <c r="R85" s="60"/>
      <c r="S85" s="60"/>
      <c r="T85" s="60"/>
      <c r="U85" s="60"/>
      <c r="V85" s="60"/>
      <c r="W85" s="60"/>
      <c r="X85" s="60"/>
      <c r="Y85" s="60"/>
      <c r="Z85" s="60"/>
    </row>
    <row r="86" ht="53.25" customHeight="1">
      <c r="A86" s="62">
        <v>252.0</v>
      </c>
      <c r="B86" s="60" t="s">
        <v>455</v>
      </c>
      <c r="C86" s="84" t="s">
        <v>21685</v>
      </c>
      <c r="D86" s="60" t="s">
        <v>20520</v>
      </c>
      <c r="E86" s="60" t="s">
        <v>20016</v>
      </c>
      <c r="F86" s="85" t="s">
        <v>21686</v>
      </c>
      <c r="G86" s="85" t="s">
        <v>21147</v>
      </c>
      <c r="H86" s="62">
        <v>75.0</v>
      </c>
      <c r="I86" s="60"/>
      <c r="J86" s="60"/>
      <c r="K86" s="60"/>
      <c r="L86" s="60"/>
      <c r="M86" s="60"/>
      <c r="N86" s="60"/>
      <c r="O86" s="60"/>
      <c r="P86" s="60"/>
      <c r="Q86" s="60"/>
      <c r="R86" s="60"/>
      <c r="S86" s="60"/>
      <c r="T86" s="60"/>
      <c r="U86" s="60"/>
      <c r="V86" s="60"/>
      <c r="W86" s="60"/>
      <c r="X86" s="60"/>
      <c r="Y86" s="60"/>
      <c r="Z86" s="60"/>
    </row>
    <row r="87" ht="53.25" customHeight="1">
      <c r="A87" s="62">
        <v>273.0</v>
      </c>
      <c r="B87" s="60" t="s">
        <v>1045</v>
      </c>
      <c r="C87" s="84" t="s">
        <v>21687</v>
      </c>
      <c r="D87" s="60" t="s">
        <v>20432</v>
      </c>
      <c r="E87" s="60" t="s">
        <v>20009</v>
      </c>
      <c r="F87" s="85" t="s">
        <v>21688</v>
      </c>
      <c r="G87" s="85" t="s">
        <v>21148</v>
      </c>
      <c r="H87" s="62">
        <v>75.0</v>
      </c>
      <c r="I87" s="60"/>
      <c r="J87" s="60"/>
      <c r="K87" s="60"/>
      <c r="L87" s="60"/>
      <c r="M87" s="60"/>
      <c r="N87" s="60"/>
      <c r="O87" s="60"/>
      <c r="P87" s="60"/>
      <c r="Q87" s="60"/>
      <c r="R87" s="60"/>
      <c r="S87" s="60"/>
      <c r="T87" s="60"/>
      <c r="U87" s="60"/>
      <c r="V87" s="60"/>
      <c r="W87" s="60"/>
      <c r="X87" s="60"/>
      <c r="Y87" s="60"/>
      <c r="Z87" s="60"/>
    </row>
    <row r="88" ht="53.25" customHeight="1">
      <c r="A88" s="62">
        <v>255.0</v>
      </c>
      <c r="B88" s="60" t="s">
        <v>1460</v>
      </c>
      <c r="C88" s="84" t="s">
        <v>21689</v>
      </c>
      <c r="D88" s="60" t="s">
        <v>20067</v>
      </c>
      <c r="E88" s="60" t="s">
        <v>19706</v>
      </c>
      <c r="F88" s="85" t="s">
        <v>21690</v>
      </c>
      <c r="G88" s="85" t="s">
        <v>21149</v>
      </c>
      <c r="H88" s="62">
        <v>75.0</v>
      </c>
      <c r="I88" s="60"/>
      <c r="J88" s="60"/>
      <c r="K88" s="60"/>
      <c r="L88" s="60"/>
      <c r="M88" s="60"/>
      <c r="N88" s="60"/>
      <c r="O88" s="60"/>
      <c r="P88" s="60"/>
      <c r="Q88" s="60"/>
      <c r="R88" s="60"/>
      <c r="S88" s="60"/>
      <c r="T88" s="60"/>
      <c r="U88" s="60"/>
      <c r="V88" s="60"/>
      <c r="W88" s="60"/>
      <c r="X88" s="60"/>
      <c r="Y88" s="60"/>
      <c r="Z88" s="60"/>
    </row>
    <row r="89" ht="53.25" customHeight="1">
      <c r="A89" s="62">
        <v>256.0</v>
      </c>
      <c r="B89" s="60" t="s">
        <v>1575</v>
      </c>
      <c r="C89" s="84" t="s">
        <v>21691</v>
      </c>
      <c r="D89" s="60" t="s">
        <v>20070</v>
      </c>
      <c r="E89" s="60" t="s">
        <v>19850</v>
      </c>
      <c r="F89" s="85" t="s">
        <v>21692</v>
      </c>
      <c r="G89" s="85" t="s">
        <v>21150</v>
      </c>
      <c r="H89" s="62">
        <v>75.0</v>
      </c>
      <c r="I89" s="60"/>
      <c r="J89" s="60"/>
      <c r="K89" s="60"/>
      <c r="L89" s="60"/>
      <c r="M89" s="60"/>
      <c r="N89" s="60"/>
      <c r="O89" s="60"/>
      <c r="P89" s="60"/>
      <c r="Q89" s="60"/>
      <c r="R89" s="60"/>
      <c r="S89" s="60"/>
      <c r="T89" s="60"/>
      <c r="U89" s="60"/>
      <c r="V89" s="60"/>
      <c r="W89" s="60"/>
      <c r="X89" s="60"/>
      <c r="Y89" s="60"/>
      <c r="Z89" s="60"/>
    </row>
    <row r="90" ht="53.25" customHeight="1">
      <c r="A90" s="62">
        <v>258.0</v>
      </c>
      <c r="B90" s="60" t="s">
        <v>36</v>
      </c>
      <c r="C90" s="84" t="s">
        <v>21693</v>
      </c>
      <c r="D90" s="60" t="s">
        <v>19616</v>
      </c>
      <c r="E90" s="60" t="s">
        <v>19610</v>
      </c>
      <c r="F90" s="85" t="s">
        <v>21694</v>
      </c>
      <c r="G90" s="85" t="s">
        <v>21151</v>
      </c>
      <c r="H90" s="62">
        <v>75.0</v>
      </c>
      <c r="I90" s="60"/>
      <c r="J90" s="60"/>
      <c r="K90" s="60"/>
      <c r="L90" s="60"/>
      <c r="M90" s="60"/>
      <c r="N90" s="60"/>
      <c r="O90" s="60"/>
      <c r="P90" s="60"/>
      <c r="Q90" s="60"/>
      <c r="R90" s="60"/>
      <c r="S90" s="60"/>
      <c r="T90" s="60"/>
      <c r="U90" s="60"/>
      <c r="V90" s="60"/>
      <c r="W90" s="60"/>
      <c r="X90" s="60"/>
      <c r="Y90" s="60"/>
      <c r="Z90" s="60"/>
    </row>
    <row r="91" ht="53.25" customHeight="1">
      <c r="A91" s="62">
        <v>269.0</v>
      </c>
      <c r="B91" s="60" t="s">
        <v>1345</v>
      </c>
      <c r="C91" s="84" t="s">
        <v>21695</v>
      </c>
      <c r="D91" s="60" t="s">
        <v>20157</v>
      </c>
      <c r="E91" s="60" t="s">
        <v>20158</v>
      </c>
      <c r="F91" s="85" t="s">
        <v>21696</v>
      </c>
      <c r="G91" s="85" t="s">
        <v>21152</v>
      </c>
      <c r="H91" s="62">
        <v>75.0</v>
      </c>
      <c r="I91" s="60"/>
      <c r="J91" s="60"/>
      <c r="K91" s="60"/>
      <c r="L91" s="60"/>
      <c r="M91" s="60"/>
      <c r="N91" s="60"/>
      <c r="O91" s="60"/>
      <c r="P91" s="60"/>
      <c r="Q91" s="60"/>
      <c r="R91" s="60"/>
      <c r="S91" s="60"/>
      <c r="T91" s="60"/>
      <c r="U91" s="60"/>
      <c r="V91" s="60"/>
      <c r="W91" s="60"/>
      <c r="X91" s="60"/>
      <c r="Y91" s="60"/>
      <c r="Z91" s="60"/>
    </row>
    <row r="92" ht="53.25" customHeight="1">
      <c r="A92" s="62">
        <v>267.0</v>
      </c>
      <c r="B92" s="60" t="s">
        <v>122</v>
      </c>
      <c r="C92" s="84" t="s">
        <v>21697</v>
      </c>
      <c r="D92" s="60" t="s">
        <v>19597</v>
      </c>
      <c r="E92" s="60" t="s">
        <v>19598</v>
      </c>
      <c r="F92" s="85" t="s">
        <v>21698</v>
      </c>
      <c r="G92" s="85" t="s">
        <v>21153</v>
      </c>
      <c r="H92" s="62">
        <v>75.0</v>
      </c>
      <c r="I92" s="60"/>
      <c r="J92" s="60"/>
      <c r="K92" s="60"/>
      <c r="L92" s="60"/>
      <c r="M92" s="60"/>
      <c r="N92" s="60"/>
      <c r="O92" s="60"/>
      <c r="P92" s="60"/>
      <c r="Q92" s="60"/>
      <c r="R92" s="60"/>
      <c r="S92" s="60"/>
      <c r="T92" s="60"/>
      <c r="U92" s="60"/>
      <c r="V92" s="60"/>
      <c r="W92" s="60"/>
      <c r="X92" s="60"/>
      <c r="Y92" s="60"/>
      <c r="Z92" s="60"/>
    </row>
    <row r="93" ht="53.25" customHeight="1">
      <c r="A93" s="62">
        <v>266.0</v>
      </c>
      <c r="B93" s="60" t="s">
        <v>976</v>
      </c>
      <c r="C93" s="84" t="s">
        <v>21699</v>
      </c>
      <c r="D93" s="60" t="s">
        <v>19705</v>
      </c>
      <c r="E93" s="60" t="s">
        <v>19706</v>
      </c>
      <c r="F93" s="85" t="s">
        <v>21700</v>
      </c>
      <c r="G93" s="85" t="s">
        <v>21154</v>
      </c>
      <c r="H93" s="62">
        <v>75.0</v>
      </c>
      <c r="I93" s="60"/>
      <c r="J93" s="60"/>
      <c r="K93" s="60"/>
      <c r="L93" s="60"/>
      <c r="M93" s="60"/>
      <c r="N93" s="60"/>
      <c r="O93" s="60"/>
      <c r="P93" s="60"/>
      <c r="Q93" s="60"/>
      <c r="R93" s="60"/>
      <c r="S93" s="60"/>
      <c r="T93" s="60"/>
      <c r="U93" s="60"/>
      <c r="V93" s="60"/>
      <c r="W93" s="60"/>
      <c r="X93" s="60"/>
      <c r="Y93" s="60"/>
      <c r="Z93" s="60"/>
    </row>
    <row r="94" ht="53.25" customHeight="1">
      <c r="A94" s="62">
        <v>262.0</v>
      </c>
      <c r="B94" s="60" t="s">
        <v>1580</v>
      </c>
      <c r="C94" s="84" t="s">
        <v>21701</v>
      </c>
      <c r="D94" s="60" t="s">
        <v>20061</v>
      </c>
      <c r="E94" s="60" t="s">
        <v>19649</v>
      </c>
      <c r="F94" s="85" t="s">
        <v>21702</v>
      </c>
      <c r="G94" s="85" t="s">
        <v>21155</v>
      </c>
      <c r="H94" s="62">
        <v>75.0</v>
      </c>
      <c r="I94" s="60"/>
      <c r="J94" s="60"/>
      <c r="K94" s="60"/>
      <c r="L94" s="60"/>
      <c r="M94" s="60"/>
      <c r="N94" s="60"/>
      <c r="O94" s="60"/>
      <c r="P94" s="60"/>
      <c r="Q94" s="60"/>
      <c r="R94" s="60"/>
      <c r="S94" s="60"/>
      <c r="T94" s="60"/>
      <c r="U94" s="60"/>
      <c r="V94" s="60"/>
      <c r="W94" s="60"/>
      <c r="X94" s="60"/>
      <c r="Y94" s="60"/>
      <c r="Z94" s="60"/>
    </row>
    <row r="95" ht="53.25" customHeight="1">
      <c r="A95" s="62">
        <v>263.0</v>
      </c>
      <c r="B95" s="60" t="s">
        <v>1441</v>
      </c>
      <c r="C95" s="84" t="s">
        <v>21703</v>
      </c>
      <c r="D95" s="60" t="s">
        <v>20523</v>
      </c>
      <c r="E95" s="60" t="s">
        <v>19699</v>
      </c>
      <c r="F95" s="85" t="s">
        <v>21704</v>
      </c>
      <c r="G95" s="85" t="s">
        <v>21156</v>
      </c>
      <c r="H95" s="62">
        <v>75.0</v>
      </c>
      <c r="I95" s="60"/>
      <c r="J95" s="60"/>
      <c r="K95" s="60"/>
      <c r="L95" s="60"/>
      <c r="M95" s="60"/>
      <c r="N95" s="60"/>
      <c r="O95" s="60"/>
      <c r="P95" s="60"/>
      <c r="Q95" s="60"/>
      <c r="R95" s="60"/>
      <c r="S95" s="60"/>
      <c r="T95" s="60"/>
      <c r="U95" s="60"/>
      <c r="V95" s="60"/>
      <c r="W95" s="60"/>
      <c r="X95" s="60"/>
      <c r="Y95" s="60"/>
      <c r="Z95" s="60"/>
    </row>
    <row r="96" ht="53.25" customHeight="1">
      <c r="A96" s="62">
        <v>283.0</v>
      </c>
      <c r="B96" s="60" t="s">
        <v>1586</v>
      </c>
      <c r="C96" s="84" t="s">
        <v>21705</v>
      </c>
      <c r="D96" s="60" t="s">
        <v>19542</v>
      </c>
      <c r="E96" s="60" t="s">
        <v>19543</v>
      </c>
      <c r="F96" s="85" t="s">
        <v>21706</v>
      </c>
      <c r="G96" s="85" t="s">
        <v>21157</v>
      </c>
      <c r="H96" s="62">
        <v>75.0</v>
      </c>
      <c r="I96" s="60"/>
      <c r="J96" s="60"/>
      <c r="K96" s="60"/>
      <c r="L96" s="60"/>
      <c r="M96" s="60"/>
      <c r="N96" s="60"/>
      <c r="O96" s="60"/>
      <c r="P96" s="60"/>
      <c r="Q96" s="60"/>
      <c r="R96" s="60"/>
      <c r="S96" s="60"/>
      <c r="T96" s="60"/>
      <c r="U96" s="60"/>
      <c r="V96" s="60"/>
      <c r="W96" s="60"/>
      <c r="X96" s="60"/>
      <c r="Y96" s="60"/>
      <c r="Z96" s="60"/>
    </row>
    <row r="97" ht="53.25" customHeight="1">
      <c r="A97" s="62">
        <v>229.0</v>
      </c>
      <c r="B97" s="60" t="s">
        <v>187</v>
      </c>
      <c r="C97" s="84" t="s">
        <v>21707</v>
      </c>
      <c r="D97" s="60" t="s">
        <v>19819</v>
      </c>
      <c r="E97" s="60" t="s">
        <v>309</v>
      </c>
      <c r="F97" s="85" t="s">
        <v>21708</v>
      </c>
      <c r="G97" s="85" t="s">
        <v>21158</v>
      </c>
      <c r="H97" s="62">
        <v>75.0</v>
      </c>
      <c r="I97" s="60"/>
      <c r="J97" s="60"/>
      <c r="K97" s="60"/>
      <c r="L97" s="60"/>
      <c r="M97" s="60"/>
      <c r="N97" s="60"/>
      <c r="O97" s="60"/>
      <c r="P97" s="60"/>
      <c r="Q97" s="60"/>
      <c r="R97" s="60"/>
      <c r="S97" s="60"/>
      <c r="T97" s="60"/>
      <c r="U97" s="60"/>
      <c r="V97" s="60"/>
      <c r="W97" s="60"/>
      <c r="X97" s="60"/>
      <c r="Y97" s="60"/>
      <c r="Z97" s="60"/>
    </row>
    <row r="98" ht="53.25" customHeight="1">
      <c r="A98" s="62">
        <v>365.0</v>
      </c>
      <c r="B98" s="60" t="s">
        <v>1185</v>
      </c>
      <c r="C98" s="84" t="s">
        <v>21709</v>
      </c>
      <c r="D98" s="60" t="s">
        <v>20485</v>
      </c>
      <c r="E98" s="60" t="s">
        <v>19850</v>
      </c>
      <c r="F98" s="85" t="s">
        <v>21710</v>
      </c>
      <c r="G98" s="85" t="s">
        <v>21159</v>
      </c>
      <c r="H98" s="62">
        <v>75.0</v>
      </c>
      <c r="I98" s="60"/>
      <c r="J98" s="60"/>
      <c r="K98" s="60"/>
      <c r="L98" s="60"/>
      <c r="M98" s="60"/>
      <c r="N98" s="60"/>
      <c r="O98" s="60"/>
      <c r="P98" s="60"/>
      <c r="Q98" s="60"/>
      <c r="R98" s="60"/>
      <c r="S98" s="60"/>
      <c r="T98" s="60"/>
      <c r="U98" s="60"/>
      <c r="V98" s="60"/>
      <c r="W98" s="60"/>
      <c r="X98" s="60"/>
      <c r="Y98" s="60"/>
      <c r="Z98" s="60"/>
    </row>
    <row r="99" ht="53.25" customHeight="1">
      <c r="A99" s="62">
        <v>284.0</v>
      </c>
      <c r="B99" s="60" t="s">
        <v>908</v>
      </c>
      <c r="C99" s="84" t="s">
        <v>21711</v>
      </c>
      <c r="D99" s="60" t="s">
        <v>908</v>
      </c>
      <c r="E99" s="60" t="s">
        <v>19576</v>
      </c>
      <c r="F99" s="85" t="s">
        <v>21712</v>
      </c>
      <c r="G99" s="85" t="s">
        <v>21160</v>
      </c>
      <c r="H99" s="62">
        <v>75.0</v>
      </c>
      <c r="I99" s="60"/>
      <c r="J99" s="60"/>
      <c r="K99" s="60"/>
      <c r="L99" s="60"/>
      <c r="M99" s="60"/>
      <c r="N99" s="60"/>
      <c r="O99" s="60"/>
      <c r="P99" s="60"/>
      <c r="Q99" s="60"/>
      <c r="R99" s="60"/>
      <c r="S99" s="60"/>
      <c r="T99" s="60"/>
      <c r="U99" s="60"/>
      <c r="V99" s="60"/>
      <c r="W99" s="60"/>
      <c r="X99" s="60"/>
      <c r="Y99" s="60"/>
      <c r="Z99" s="60"/>
    </row>
    <row r="100" ht="53.25" customHeight="1">
      <c r="A100" s="62">
        <v>196.0</v>
      </c>
      <c r="B100" s="60" t="s">
        <v>101</v>
      </c>
      <c r="C100" s="84" t="s">
        <v>21713</v>
      </c>
      <c r="D100" s="60" t="s">
        <v>20318</v>
      </c>
      <c r="E100" s="60" t="s">
        <v>634</v>
      </c>
      <c r="F100" s="85" t="s">
        <v>21714</v>
      </c>
      <c r="G100" s="85" t="s">
        <v>21161</v>
      </c>
      <c r="H100" s="62">
        <v>75.0</v>
      </c>
      <c r="I100" s="60"/>
      <c r="J100" s="60"/>
      <c r="K100" s="60"/>
      <c r="L100" s="60"/>
      <c r="M100" s="60"/>
      <c r="N100" s="60"/>
      <c r="O100" s="60"/>
      <c r="P100" s="60"/>
      <c r="Q100" s="60"/>
      <c r="R100" s="60"/>
      <c r="S100" s="60"/>
      <c r="T100" s="60"/>
      <c r="U100" s="60"/>
      <c r="V100" s="60"/>
      <c r="W100" s="60"/>
      <c r="X100" s="60"/>
      <c r="Y100" s="60"/>
      <c r="Z100" s="60"/>
    </row>
    <row r="101" ht="53.25" customHeight="1">
      <c r="A101" s="62">
        <v>197.0</v>
      </c>
      <c r="B101" s="60" t="s">
        <v>1279</v>
      </c>
      <c r="C101" s="84" t="s">
        <v>21715</v>
      </c>
      <c r="D101" s="60" t="s">
        <v>20321</v>
      </c>
      <c r="E101" s="60" t="s">
        <v>19572</v>
      </c>
      <c r="F101" s="85" t="s">
        <v>21716</v>
      </c>
      <c r="G101" s="85" t="s">
        <v>21162</v>
      </c>
      <c r="H101" s="62">
        <v>75.0</v>
      </c>
      <c r="I101" s="60"/>
      <c r="J101" s="60"/>
      <c r="K101" s="60"/>
      <c r="L101" s="60"/>
      <c r="M101" s="60"/>
      <c r="N101" s="60"/>
      <c r="O101" s="60"/>
      <c r="P101" s="60"/>
      <c r="Q101" s="60"/>
      <c r="R101" s="60"/>
      <c r="S101" s="60"/>
      <c r="T101" s="60"/>
      <c r="U101" s="60"/>
      <c r="V101" s="60"/>
      <c r="W101" s="60"/>
      <c r="X101" s="60"/>
      <c r="Y101" s="60"/>
      <c r="Z101" s="60"/>
    </row>
    <row r="102" ht="53.25" customHeight="1">
      <c r="A102" s="62">
        <v>199.0</v>
      </c>
      <c r="B102" s="60" t="s">
        <v>93</v>
      </c>
      <c r="C102" s="84" t="s">
        <v>21717</v>
      </c>
      <c r="D102" s="60" t="s">
        <v>20327</v>
      </c>
      <c r="E102" s="60" t="s">
        <v>755</v>
      </c>
      <c r="F102" s="85" t="s">
        <v>21718</v>
      </c>
      <c r="G102" s="85" t="s">
        <v>21163</v>
      </c>
      <c r="H102" s="62">
        <v>75.0</v>
      </c>
      <c r="I102" s="60"/>
      <c r="J102" s="60"/>
      <c r="K102" s="60"/>
      <c r="L102" s="60"/>
      <c r="M102" s="60"/>
      <c r="N102" s="60"/>
      <c r="O102" s="60"/>
      <c r="P102" s="60"/>
      <c r="Q102" s="60"/>
      <c r="R102" s="60"/>
      <c r="S102" s="60"/>
      <c r="T102" s="60"/>
      <c r="U102" s="60"/>
      <c r="V102" s="60"/>
      <c r="W102" s="60"/>
      <c r="X102" s="60"/>
      <c r="Y102" s="60"/>
      <c r="Z102" s="60"/>
    </row>
    <row r="103" ht="53.25" customHeight="1">
      <c r="A103" s="62">
        <v>200.0</v>
      </c>
      <c r="B103" s="60" t="s">
        <v>1553</v>
      </c>
      <c r="C103" s="84" t="s">
        <v>21719</v>
      </c>
      <c r="D103" s="60" t="s">
        <v>20581</v>
      </c>
      <c r="E103" s="60" t="s">
        <v>742</v>
      </c>
      <c r="F103" s="85" t="s">
        <v>21720</v>
      </c>
      <c r="G103" s="85" t="s">
        <v>21164</v>
      </c>
      <c r="H103" s="62">
        <v>75.0</v>
      </c>
      <c r="I103" s="60"/>
      <c r="J103" s="60"/>
      <c r="K103" s="60"/>
      <c r="L103" s="60"/>
      <c r="M103" s="60"/>
      <c r="N103" s="60"/>
      <c r="O103" s="60"/>
      <c r="P103" s="60"/>
      <c r="Q103" s="60"/>
      <c r="R103" s="60"/>
      <c r="S103" s="60"/>
      <c r="T103" s="60"/>
      <c r="U103" s="60"/>
      <c r="V103" s="60"/>
      <c r="W103" s="60"/>
      <c r="X103" s="60"/>
      <c r="Y103" s="60"/>
      <c r="Z103" s="60"/>
    </row>
    <row r="104" ht="53.25" customHeight="1">
      <c r="A104" s="62">
        <v>201.0</v>
      </c>
      <c r="B104" s="60" t="s">
        <v>1100</v>
      </c>
      <c r="C104" s="84" t="s">
        <v>21721</v>
      </c>
      <c r="D104" s="60" t="s">
        <v>20929</v>
      </c>
      <c r="E104" s="60" t="s">
        <v>742</v>
      </c>
      <c r="F104" s="85" t="s">
        <v>21722</v>
      </c>
      <c r="G104" s="85" t="s">
        <v>21165</v>
      </c>
      <c r="H104" s="62">
        <v>75.0</v>
      </c>
      <c r="I104" s="60"/>
      <c r="J104" s="60"/>
      <c r="K104" s="60"/>
      <c r="L104" s="60"/>
      <c r="M104" s="60"/>
      <c r="N104" s="60"/>
      <c r="O104" s="60"/>
      <c r="P104" s="60"/>
      <c r="Q104" s="60"/>
      <c r="R104" s="60"/>
      <c r="S104" s="60"/>
      <c r="T104" s="60"/>
      <c r="U104" s="60"/>
      <c r="V104" s="60"/>
      <c r="W104" s="60"/>
      <c r="X104" s="60"/>
      <c r="Y104" s="60"/>
      <c r="Z104" s="60"/>
    </row>
    <row r="105" ht="53.25" customHeight="1">
      <c r="A105" s="62">
        <v>313.0</v>
      </c>
      <c r="B105" s="60" t="s">
        <v>921</v>
      </c>
      <c r="C105" s="84" t="s">
        <v>21723</v>
      </c>
      <c r="D105" s="60" t="s">
        <v>20238</v>
      </c>
      <c r="E105" s="60" t="s">
        <v>19813</v>
      </c>
      <c r="F105" s="85" t="s">
        <v>21724</v>
      </c>
      <c r="G105" s="85" t="s">
        <v>21166</v>
      </c>
      <c r="H105" s="62">
        <v>75.0</v>
      </c>
      <c r="I105" s="60"/>
      <c r="J105" s="60"/>
      <c r="K105" s="60"/>
      <c r="L105" s="60"/>
      <c r="M105" s="60"/>
      <c r="N105" s="60"/>
      <c r="O105" s="60"/>
      <c r="P105" s="60"/>
      <c r="Q105" s="60"/>
      <c r="R105" s="60"/>
      <c r="S105" s="60"/>
      <c r="T105" s="60"/>
      <c r="U105" s="60"/>
      <c r="V105" s="60"/>
      <c r="W105" s="60"/>
      <c r="X105" s="60"/>
      <c r="Y105" s="60"/>
      <c r="Z105" s="60"/>
    </row>
    <row r="106" ht="53.25" customHeight="1">
      <c r="A106" s="62">
        <v>205.0</v>
      </c>
      <c r="B106" s="60" t="s">
        <v>1102</v>
      </c>
      <c r="C106" s="84" t="s">
        <v>21725</v>
      </c>
      <c r="D106" s="60" t="s">
        <v>20272</v>
      </c>
      <c r="E106" s="60" t="s">
        <v>19706</v>
      </c>
      <c r="F106" s="85" t="s">
        <v>21726</v>
      </c>
      <c r="G106" s="85" t="s">
        <v>21167</v>
      </c>
      <c r="H106" s="62">
        <v>75.0</v>
      </c>
      <c r="I106" s="60"/>
      <c r="J106" s="60"/>
      <c r="K106" s="60"/>
      <c r="L106" s="60"/>
      <c r="M106" s="60"/>
      <c r="N106" s="60"/>
      <c r="O106" s="60"/>
      <c r="P106" s="60"/>
      <c r="Q106" s="60"/>
      <c r="R106" s="60"/>
      <c r="S106" s="60"/>
      <c r="T106" s="60"/>
      <c r="U106" s="60"/>
      <c r="V106" s="60"/>
      <c r="W106" s="60"/>
      <c r="X106" s="60"/>
      <c r="Y106" s="60"/>
      <c r="Z106" s="60"/>
    </row>
    <row r="107" ht="53.25" customHeight="1">
      <c r="A107" s="62">
        <v>206.0</v>
      </c>
      <c r="B107" s="60" t="s">
        <v>1098</v>
      </c>
      <c r="C107" s="84" t="s">
        <v>21727</v>
      </c>
      <c r="D107" s="60" t="s">
        <v>19686</v>
      </c>
      <c r="E107" s="60" t="s">
        <v>19602</v>
      </c>
      <c r="F107" s="85" t="s">
        <v>21728</v>
      </c>
      <c r="G107" s="85" t="s">
        <v>21168</v>
      </c>
      <c r="H107" s="62">
        <v>75.0</v>
      </c>
      <c r="I107" s="60"/>
      <c r="J107" s="60"/>
      <c r="K107" s="60"/>
      <c r="L107" s="60"/>
      <c r="M107" s="60"/>
      <c r="N107" s="60"/>
      <c r="O107" s="60"/>
      <c r="P107" s="60"/>
      <c r="Q107" s="60"/>
      <c r="R107" s="60"/>
      <c r="S107" s="60"/>
      <c r="T107" s="60"/>
      <c r="U107" s="60"/>
      <c r="V107" s="60"/>
      <c r="W107" s="60"/>
      <c r="X107" s="60"/>
      <c r="Y107" s="60"/>
      <c r="Z107" s="60"/>
    </row>
    <row r="108" ht="53.25" customHeight="1">
      <c r="A108" s="62">
        <v>208.0</v>
      </c>
      <c r="B108" s="60" t="s">
        <v>99</v>
      </c>
      <c r="C108" s="84" t="s">
        <v>21729</v>
      </c>
      <c r="D108" s="60" t="s">
        <v>99</v>
      </c>
      <c r="E108" s="60" t="s">
        <v>19885</v>
      </c>
      <c r="F108" s="85" t="s">
        <v>21730</v>
      </c>
      <c r="G108" s="85" t="s">
        <v>21169</v>
      </c>
      <c r="H108" s="62">
        <v>75.0</v>
      </c>
      <c r="I108" s="60"/>
      <c r="J108" s="60"/>
      <c r="K108" s="60"/>
      <c r="L108" s="60"/>
      <c r="M108" s="60"/>
      <c r="N108" s="60"/>
      <c r="O108" s="60"/>
      <c r="P108" s="60"/>
      <c r="Q108" s="60"/>
      <c r="R108" s="60"/>
      <c r="S108" s="60"/>
      <c r="T108" s="60"/>
      <c r="U108" s="60"/>
      <c r="V108" s="60"/>
      <c r="W108" s="60"/>
      <c r="X108" s="60"/>
      <c r="Y108" s="60"/>
      <c r="Z108" s="60"/>
    </row>
    <row r="109" ht="53.25" customHeight="1">
      <c r="A109" s="62">
        <v>305.0</v>
      </c>
      <c r="B109" s="60" t="s">
        <v>933</v>
      </c>
      <c r="C109" s="84" t="s">
        <v>21731</v>
      </c>
      <c r="D109" s="60" t="s">
        <v>19940</v>
      </c>
      <c r="E109" s="60" t="s">
        <v>19941</v>
      </c>
      <c r="F109" s="85" t="s">
        <v>21732</v>
      </c>
      <c r="G109" s="85" t="s">
        <v>21170</v>
      </c>
      <c r="H109" s="62">
        <v>75.0</v>
      </c>
      <c r="I109" s="60"/>
      <c r="J109" s="60"/>
      <c r="K109" s="60"/>
      <c r="L109" s="60"/>
      <c r="M109" s="60"/>
      <c r="N109" s="60"/>
      <c r="O109" s="60"/>
      <c r="P109" s="60"/>
      <c r="Q109" s="60"/>
      <c r="R109" s="60"/>
      <c r="S109" s="60"/>
      <c r="T109" s="60"/>
      <c r="U109" s="60"/>
      <c r="V109" s="60"/>
      <c r="W109" s="60"/>
      <c r="X109" s="60"/>
      <c r="Y109" s="60"/>
      <c r="Z109" s="60"/>
    </row>
    <row r="110" ht="53.25" customHeight="1">
      <c r="A110" s="62">
        <v>304.0</v>
      </c>
      <c r="B110" s="60" t="s">
        <v>182</v>
      </c>
      <c r="C110" s="84" t="s">
        <v>21733</v>
      </c>
      <c r="D110" s="60" t="s">
        <v>20229</v>
      </c>
      <c r="E110" s="60" t="s">
        <v>19699</v>
      </c>
      <c r="F110" s="85" t="s">
        <v>21734</v>
      </c>
      <c r="G110" s="85" t="s">
        <v>21171</v>
      </c>
      <c r="H110" s="62">
        <v>75.0</v>
      </c>
      <c r="I110" s="60"/>
      <c r="J110" s="60"/>
      <c r="K110" s="60"/>
      <c r="L110" s="60"/>
      <c r="M110" s="60"/>
      <c r="N110" s="60"/>
      <c r="O110" s="60"/>
      <c r="P110" s="60"/>
      <c r="Q110" s="60"/>
      <c r="R110" s="60"/>
      <c r="S110" s="60"/>
      <c r="T110" s="60"/>
      <c r="U110" s="60"/>
      <c r="V110" s="60"/>
      <c r="W110" s="60"/>
      <c r="X110" s="60"/>
      <c r="Y110" s="60"/>
      <c r="Z110" s="60"/>
    </row>
    <row r="111" ht="53.25" customHeight="1">
      <c r="A111" s="62">
        <v>303.0</v>
      </c>
      <c r="B111" s="60" t="s">
        <v>1143</v>
      </c>
      <c r="C111" s="84" t="s">
        <v>21735</v>
      </c>
      <c r="D111" s="60" t="s">
        <v>19924</v>
      </c>
      <c r="E111" s="60" t="s">
        <v>19925</v>
      </c>
      <c r="F111" s="85" t="s">
        <v>21736</v>
      </c>
      <c r="G111" s="85" t="s">
        <v>21172</v>
      </c>
      <c r="H111" s="62">
        <v>75.0</v>
      </c>
      <c r="I111" s="60"/>
      <c r="J111" s="60"/>
      <c r="K111" s="60"/>
      <c r="L111" s="60"/>
      <c r="M111" s="60"/>
      <c r="N111" s="60"/>
      <c r="O111" s="60"/>
      <c r="P111" s="60"/>
      <c r="Q111" s="60"/>
      <c r="R111" s="60"/>
      <c r="S111" s="60"/>
      <c r="T111" s="60"/>
      <c r="U111" s="60"/>
      <c r="V111" s="60"/>
      <c r="W111" s="60"/>
      <c r="X111" s="60"/>
      <c r="Y111" s="60"/>
      <c r="Z111" s="60"/>
    </row>
    <row r="112" ht="53.25" customHeight="1">
      <c r="A112" s="62">
        <v>301.0</v>
      </c>
      <c r="B112" s="60" t="s">
        <v>790</v>
      </c>
      <c r="C112" s="84" t="s">
        <v>21737</v>
      </c>
      <c r="D112" s="60" t="s">
        <v>20251</v>
      </c>
      <c r="E112" s="60" t="s">
        <v>20165</v>
      </c>
      <c r="F112" s="85" t="s">
        <v>21738</v>
      </c>
      <c r="G112" s="85" t="s">
        <v>21173</v>
      </c>
      <c r="H112" s="62">
        <v>75.0</v>
      </c>
      <c r="I112" s="60"/>
      <c r="J112" s="60"/>
      <c r="K112" s="60"/>
      <c r="L112" s="60"/>
      <c r="M112" s="60"/>
      <c r="N112" s="60"/>
      <c r="O112" s="60"/>
      <c r="P112" s="60"/>
      <c r="Q112" s="60"/>
      <c r="R112" s="60"/>
      <c r="S112" s="60"/>
      <c r="T112" s="60"/>
      <c r="U112" s="60"/>
      <c r="V112" s="60"/>
      <c r="W112" s="60"/>
      <c r="X112" s="60"/>
      <c r="Y112" s="60"/>
      <c r="Z112" s="60"/>
    </row>
    <row r="113" ht="53.25" customHeight="1">
      <c r="A113" s="62">
        <v>214.0</v>
      </c>
      <c r="B113" s="60" t="s">
        <v>798</v>
      </c>
      <c r="C113" s="84" t="s">
        <v>21739</v>
      </c>
      <c r="D113" s="60" t="s">
        <v>20266</v>
      </c>
      <c r="E113" s="60" t="s">
        <v>19620</v>
      </c>
      <c r="F113" s="85" t="s">
        <v>21740</v>
      </c>
      <c r="G113" s="85" t="s">
        <v>21174</v>
      </c>
      <c r="H113" s="62">
        <v>75.0</v>
      </c>
      <c r="I113" s="60"/>
      <c r="J113" s="60"/>
      <c r="K113" s="60"/>
      <c r="L113" s="60"/>
      <c r="M113" s="60"/>
      <c r="N113" s="60"/>
      <c r="O113" s="60"/>
      <c r="P113" s="60"/>
      <c r="Q113" s="60"/>
      <c r="R113" s="60"/>
      <c r="S113" s="60"/>
      <c r="T113" s="60"/>
      <c r="U113" s="60"/>
      <c r="V113" s="60"/>
      <c r="W113" s="60"/>
      <c r="X113" s="60"/>
      <c r="Y113" s="60"/>
      <c r="Z113" s="60"/>
    </row>
    <row r="114" ht="53.25" customHeight="1">
      <c r="A114" s="62">
        <v>300.0</v>
      </c>
      <c r="B114" s="60" t="s">
        <v>937</v>
      </c>
      <c r="C114" s="84" t="s">
        <v>21741</v>
      </c>
      <c r="D114" s="60" t="s">
        <v>20247</v>
      </c>
      <c r="E114" s="60" t="s">
        <v>20248</v>
      </c>
      <c r="F114" s="85" t="s">
        <v>21742</v>
      </c>
      <c r="G114" s="85" t="s">
        <v>21175</v>
      </c>
      <c r="H114" s="62">
        <v>75.0</v>
      </c>
      <c r="I114" s="60"/>
      <c r="J114" s="60"/>
      <c r="K114" s="60"/>
      <c r="L114" s="60"/>
      <c r="M114" s="60"/>
      <c r="N114" s="60"/>
      <c r="O114" s="60"/>
      <c r="P114" s="60"/>
      <c r="Q114" s="60"/>
      <c r="R114" s="60"/>
      <c r="S114" s="60"/>
      <c r="T114" s="60"/>
      <c r="U114" s="60"/>
      <c r="V114" s="60"/>
      <c r="W114" s="60"/>
      <c r="X114" s="60"/>
      <c r="Y114" s="60"/>
      <c r="Z114" s="60"/>
    </row>
    <row r="115" ht="53.25" customHeight="1">
      <c r="A115" s="62">
        <v>299.0</v>
      </c>
      <c r="B115" s="60" t="s">
        <v>1594</v>
      </c>
      <c r="C115" s="84" t="s">
        <v>21743</v>
      </c>
      <c r="D115" s="60" t="s">
        <v>19918</v>
      </c>
      <c r="E115" s="60" t="s">
        <v>19539</v>
      </c>
      <c r="F115" s="85" t="s">
        <v>21744</v>
      </c>
      <c r="G115" s="85" t="s">
        <v>21176</v>
      </c>
      <c r="H115" s="62">
        <v>75.0</v>
      </c>
      <c r="I115" s="60"/>
      <c r="J115" s="60"/>
      <c r="K115" s="60"/>
      <c r="L115" s="60"/>
      <c r="M115" s="60"/>
      <c r="N115" s="60"/>
      <c r="O115" s="60"/>
      <c r="P115" s="60"/>
      <c r="Q115" s="60"/>
      <c r="R115" s="60"/>
      <c r="S115" s="60"/>
      <c r="T115" s="60"/>
      <c r="U115" s="60"/>
      <c r="V115" s="60"/>
      <c r="W115" s="60"/>
      <c r="X115" s="60"/>
      <c r="Y115" s="60"/>
      <c r="Z115" s="60"/>
    </row>
    <row r="116" ht="53.25" customHeight="1">
      <c r="A116" s="62">
        <v>298.0</v>
      </c>
      <c r="B116" s="60" t="s">
        <v>904</v>
      </c>
      <c r="C116" s="84" t="s">
        <v>21745</v>
      </c>
      <c r="D116" s="60" t="s">
        <v>20244</v>
      </c>
      <c r="E116" s="60" t="s">
        <v>634</v>
      </c>
      <c r="F116" s="85" t="s">
        <v>21746</v>
      </c>
      <c r="G116" s="85" t="s">
        <v>21177</v>
      </c>
      <c r="H116" s="62">
        <v>75.0</v>
      </c>
      <c r="I116" s="60"/>
      <c r="J116" s="60"/>
      <c r="K116" s="60"/>
      <c r="L116" s="60"/>
      <c r="M116" s="60"/>
      <c r="N116" s="60"/>
      <c r="O116" s="60"/>
      <c r="P116" s="60"/>
      <c r="Q116" s="60"/>
      <c r="R116" s="60"/>
      <c r="S116" s="60"/>
      <c r="T116" s="60"/>
      <c r="U116" s="60"/>
      <c r="V116" s="60"/>
      <c r="W116" s="60"/>
      <c r="X116" s="60"/>
      <c r="Y116" s="60"/>
      <c r="Z116" s="60"/>
    </row>
    <row r="117" ht="53.25" customHeight="1">
      <c r="A117" s="62">
        <v>218.0</v>
      </c>
      <c r="B117" s="60" t="s">
        <v>1094</v>
      </c>
      <c r="C117" s="84" t="s">
        <v>21747</v>
      </c>
      <c r="D117" s="60" t="s">
        <v>20551</v>
      </c>
      <c r="E117" s="60" t="s">
        <v>107</v>
      </c>
      <c r="F117" s="85" t="s">
        <v>21748</v>
      </c>
      <c r="G117" s="85" t="s">
        <v>21178</v>
      </c>
      <c r="H117" s="62">
        <v>75.0</v>
      </c>
      <c r="I117" s="60"/>
      <c r="J117" s="60"/>
      <c r="K117" s="60"/>
      <c r="L117" s="60"/>
      <c r="M117" s="60"/>
      <c r="N117" s="60"/>
      <c r="O117" s="60"/>
      <c r="P117" s="60"/>
      <c r="Q117" s="60"/>
      <c r="R117" s="60"/>
      <c r="S117" s="60"/>
      <c r="T117" s="60"/>
      <c r="U117" s="60"/>
      <c r="V117" s="60"/>
      <c r="W117" s="60"/>
      <c r="X117" s="60"/>
      <c r="Y117" s="60"/>
      <c r="Z117" s="60"/>
    </row>
    <row r="118" ht="53.25" customHeight="1">
      <c r="A118" s="62">
        <v>296.0</v>
      </c>
      <c r="B118" s="60" t="s">
        <v>1254</v>
      </c>
      <c r="C118" s="84" t="s">
        <v>21749</v>
      </c>
      <c r="D118" s="60" t="s">
        <v>20630</v>
      </c>
      <c r="E118" s="60" t="s">
        <v>656</v>
      </c>
      <c r="F118" s="85" t="s">
        <v>21750</v>
      </c>
      <c r="G118" s="85" t="s">
        <v>21179</v>
      </c>
      <c r="H118" s="62">
        <v>75.0</v>
      </c>
      <c r="I118" s="60"/>
      <c r="J118" s="60"/>
      <c r="K118" s="60"/>
      <c r="L118" s="60"/>
      <c r="M118" s="60"/>
      <c r="N118" s="60"/>
      <c r="O118" s="60"/>
      <c r="P118" s="60"/>
      <c r="Q118" s="60"/>
      <c r="R118" s="60"/>
      <c r="S118" s="60"/>
      <c r="T118" s="60"/>
      <c r="U118" s="60"/>
      <c r="V118" s="60"/>
      <c r="W118" s="60"/>
      <c r="X118" s="60"/>
      <c r="Y118" s="60"/>
      <c r="Z118" s="60"/>
    </row>
    <row r="119" ht="53.25" customHeight="1">
      <c r="A119" s="62">
        <v>295.0</v>
      </c>
      <c r="B119" s="60" t="s">
        <v>37</v>
      </c>
      <c r="C119" s="84" t="s">
        <v>21751</v>
      </c>
      <c r="D119" s="60" t="s">
        <v>19550</v>
      </c>
      <c r="E119" s="60" t="s">
        <v>19551</v>
      </c>
      <c r="F119" s="85" t="s">
        <v>21752</v>
      </c>
      <c r="G119" s="85" t="s">
        <v>21180</v>
      </c>
      <c r="H119" s="62">
        <v>75.0</v>
      </c>
      <c r="I119" s="60"/>
      <c r="J119" s="60"/>
      <c r="K119" s="60"/>
      <c r="L119" s="60"/>
      <c r="M119" s="60"/>
      <c r="N119" s="60"/>
      <c r="O119" s="60"/>
      <c r="P119" s="60"/>
      <c r="Q119" s="60"/>
      <c r="R119" s="60"/>
      <c r="S119" s="60"/>
      <c r="T119" s="60"/>
      <c r="U119" s="60"/>
      <c r="V119" s="60"/>
      <c r="W119" s="60"/>
      <c r="X119" s="60"/>
      <c r="Y119" s="60"/>
      <c r="Z119" s="60"/>
    </row>
    <row r="120" ht="53.25" customHeight="1">
      <c r="A120" s="62">
        <v>293.0</v>
      </c>
      <c r="B120" s="60" t="s">
        <v>1592</v>
      </c>
      <c r="C120" s="84" t="s">
        <v>21753</v>
      </c>
      <c r="D120" s="60" t="s">
        <v>20627</v>
      </c>
      <c r="E120" s="60" t="s">
        <v>656</v>
      </c>
      <c r="F120" s="85" t="s">
        <v>21754</v>
      </c>
      <c r="G120" s="85" t="s">
        <v>21181</v>
      </c>
      <c r="H120" s="62">
        <v>75.0</v>
      </c>
      <c r="I120" s="60"/>
      <c r="J120" s="60"/>
      <c r="K120" s="60"/>
      <c r="L120" s="60"/>
      <c r="M120" s="60"/>
      <c r="N120" s="60"/>
      <c r="O120" s="60"/>
      <c r="P120" s="60"/>
      <c r="Q120" s="60"/>
      <c r="R120" s="60"/>
      <c r="S120" s="60"/>
      <c r="T120" s="60"/>
      <c r="U120" s="60"/>
      <c r="V120" s="60"/>
      <c r="W120" s="60"/>
      <c r="X120" s="60"/>
      <c r="Y120" s="60"/>
      <c r="Z120" s="60"/>
    </row>
    <row r="121" ht="53.25" customHeight="1">
      <c r="A121" s="62">
        <v>292.0</v>
      </c>
      <c r="B121" s="60" t="s">
        <v>1383</v>
      </c>
      <c r="C121" s="84" t="s">
        <v>21755</v>
      </c>
      <c r="D121" s="60" t="s">
        <v>20254</v>
      </c>
      <c r="E121" s="60" t="s">
        <v>20255</v>
      </c>
      <c r="F121" s="85" t="s">
        <v>21756</v>
      </c>
      <c r="G121" s="85" t="s">
        <v>21182</v>
      </c>
      <c r="H121" s="62">
        <v>75.0</v>
      </c>
      <c r="I121" s="60"/>
      <c r="J121" s="60"/>
      <c r="K121" s="60"/>
      <c r="L121" s="60"/>
      <c r="M121" s="60"/>
      <c r="N121" s="60"/>
      <c r="O121" s="60"/>
      <c r="P121" s="60"/>
      <c r="Q121" s="60"/>
      <c r="R121" s="60"/>
      <c r="S121" s="60"/>
      <c r="T121" s="60"/>
      <c r="U121" s="60"/>
      <c r="V121" s="60"/>
      <c r="W121" s="60"/>
      <c r="X121" s="60"/>
      <c r="Y121" s="60"/>
      <c r="Z121" s="60"/>
    </row>
    <row r="122" ht="53.25" customHeight="1">
      <c r="A122" s="62">
        <v>225.0</v>
      </c>
      <c r="B122" s="60" t="s">
        <v>1562</v>
      </c>
      <c r="C122" s="84" t="s">
        <v>21757</v>
      </c>
      <c r="D122" s="60" t="s">
        <v>19915</v>
      </c>
      <c r="E122" s="60" t="s">
        <v>672</v>
      </c>
      <c r="F122" s="85" t="s">
        <v>21758</v>
      </c>
      <c r="G122" s="85" t="s">
        <v>21183</v>
      </c>
      <c r="H122" s="62">
        <v>75.0</v>
      </c>
      <c r="I122" s="60"/>
      <c r="J122" s="60"/>
      <c r="K122" s="60"/>
      <c r="L122" s="60"/>
      <c r="M122" s="60"/>
      <c r="N122" s="60"/>
      <c r="O122" s="60"/>
      <c r="P122" s="60"/>
      <c r="Q122" s="60"/>
      <c r="R122" s="60"/>
      <c r="S122" s="60"/>
      <c r="T122" s="60"/>
      <c r="U122" s="60"/>
      <c r="V122" s="60"/>
      <c r="W122" s="60"/>
      <c r="X122" s="60"/>
      <c r="Y122" s="60"/>
      <c r="Z122" s="60"/>
    </row>
    <row r="123" ht="53.25" customHeight="1">
      <c r="A123" s="62">
        <v>286.0</v>
      </c>
      <c r="B123" s="60" t="s">
        <v>33</v>
      </c>
      <c r="C123" s="84" t="s">
        <v>21759</v>
      </c>
      <c r="D123" s="60" t="s">
        <v>19529</v>
      </c>
      <c r="E123" s="60" t="s">
        <v>740</v>
      </c>
      <c r="F123" s="85" t="s">
        <v>21760</v>
      </c>
      <c r="G123" s="85" t="s">
        <v>21184</v>
      </c>
      <c r="H123" s="62">
        <v>75.0</v>
      </c>
      <c r="I123" s="60"/>
      <c r="J123" s="60"/>
      <c r="K123" s="60"/>
      <c r="L123" s="60"/>
      <c r="M123" s="60"/>
      <c r="N123" s="60"/>
      <c r="O123" s="60"/>
      <c r="P123" s="60"/>
      <c r="Q123" s="60"/>
      <c r="R123" s="60"/>
      <c r="S123" s="60"/>
      <c r="T123" s="60"/>
      <c r="U123" s="60"/>
      <c r="V123" s="60"/>
      <c r="W123" s="60"/>
      <c r="X123" s="60"/>
      <c r="Y123" s="60"/>
      <c r="Z123" s="60"/>
    </row>
    <row r="124" ht="53.25" customHeight="1">
      <c r="A124" s="62">
        <v>285.0</v>
      </c>
      <c r="B124" s="60" t="s">
        <v>183</v>
      </c>
      <c r="C124" s="84" t="s">
        <v>21761</v>
      </c>
      <c r="D124" s="60" t="s">
        <v>19538</v>
      </c>
      <c r="E124" s="60" t="s">
        <v>19539</v>
      </c>
      <c r="F124" s="85" t="s">
        <v>21762</v>
      </c>
      <c r="G124" s="85" t="s">
        <v>21185</v>
      </c>
      <c r="H124" s="62">
        <v>75.0</v>
      </c>
      <c r="I124" s="60"/>
      <c r="J124" s="60"/>
      <c r="K124" s="60"/>
      <c r="L124" s="60"/>
      <c r="M124" s="60"/>
      <c r="N124" s="60"/>
      <c r="O124" s="60"/>
      <c r="P124" s="60"/>
      <c r="Q124" s="60"/>
      <c r="R124" s="60"/>
      <c r="S124" s="60"/>
      <c r="T124" s="60"/>
      <c r="U124" s="60"/>
      <c r="V124" s="60"/>
      <c r="W124" s="60"/>
      <c r="X124" s="60"/>
      <c r="Y124" s="60"/>
      <c r="Z124" s="60"/>
    </row>
    <row r="125" ht="53.25" customHeight="1">
      <c r="A125" s="62">
        <v>361.0</v>
      </c>
      <c r="B125" s="60" t="s">
        <v>1371</v>
      </c>
      <c r="C125" s="84" t="s">
        <v>21763</v>
      </c>
      <c r="D125" s="60" t="s">
        <v>19648</v>
      </c>
      <c r="E125" s="60" t="s">
        <v>19649</v>
      </c>
      <c r="F125" s="85" t="s">
        <v>21764</v>
      </c>
      <c r="G125" s="85" t="s">
        <v>21186</v>
      </c>
      <c r="H125" s="62">
        <v>75.0</v>
      </c>
      <c r="I125" s="60"/>
      <c r="J125" s="60"/>
      <c r="K125" s="60"/>
      <c r="L125" s="60"/>
      <c r="M125" s="60"/>
      <c r="N125" s="60"/>
      <c r="O125" s="60"/>
      <c r="P125" s="60"/>
      <c r="Q125" s="60"/>
      <c r="R125" s="60"/>
      <c r="S125" s="60"/>
      <c r="T125" s="60"/>
      <c r="U125" s="60"/>
      <c r="V125" s="60"/>
      <c r="W125" s="60"/>
      <c r="X125" s="60"/>
      <c r="Y125" s="60"/>
      <c r="Z125" s="60"/>
    </row>
    <row r="126" ht="53.25" customHeight="1">
      <c r="A126" s="62">
        <v>132.0</v>
      </c>
      <c r="B126" s="60" t="s">
        <v>1528</v>
      </c>
      <c r="C126" s="84" t="s">
        <v>21765</v>
      </c>
      <c r="D126" s="60" t="s">
        <v>20300</v>
      </c>
      <c r="E126" s="60" t="s">
        <v>20104</v>
      </c>
      <c r="F126" s="85" t="s">
        <v>21766</v>
      </c>
      <c r="G126" s="85" t="s">
        <v>21187</v>
      </c>
      <c r="H126" s="62">
        <v>75.0</v>
      </c>
      <c r="I126" s="60"/>
      <c r="J126" s="60"/>
      <c r="K126" s="60"/>
      <c r="L126" s="60"/>
      <c r="M126" s="60"/>
      <c r="N126" s="60"/>
      <c r="O126" s="60"/>
      <c r="P126" s="60"/>
      <c r="Q126" s="60"/>
      <c r="R126" s="60"/>
      <c r="S126" s="60"/>
      <c r="T126" s="60"/>
      <c r="U126" s="60"/>
      <c r="V126" s="60"/>
      <c r="W126" s="60"/>
      <c r="X126" s="60"/>
      <c r="Y126" s="60"/>
      <c r="Z126" s="60"/>
    </row>
    <row r="127" ht="53.25" customHeight="1">
      <c r="A127" s="62">
        <v>264.0</v>
      </c>
      <c r="B127" s="60" t="s">
        <v>592</v>
      </c>
      <c r="C127" s="84" t="s">
        <v>21767</v>
      </c>
      <c r="D127" s="60" t="s">
        <v>19605</v>
      </c>
      <c r="E127" s="60" t="s">
        <v>19606</v>
      </c>
      <c r="F127" s="85" t="s">
        <v>21768</v>
      </c>
      <c r="G127" s="85" t="s">
        <v>21188</v>
      </c>
      <c r="H127" s="62">
        <v>75.0</v>
      </c>
      <c r="I127" s="60"/>
      <c r="J127" s="60"/>
      <c r="K127" s="60"/>
      <c r="L127" s="60"/>
      <c r="M127" s="60"/>
      <c r="N127" s="60"/>
      <c r="O127" s="60"/>
      <c r="P127" s="60"/>
      <c r="Q127" s="60"/>
      <c r="R127" s="60"/>
      <c r="S127" s="60"/>
      <c r="T127" s="60"/>
      <c r="U127" s="60"/>
      <c r="V127" s="60"/>
      <c r="W127" s="60"/>
      <c r="X127" s="60"/>
      <c r="Y127" s="60"/>
      <c r="Z127" s="60"/>
    </row>
    <row r="128" ht="53.25" customHeight="1">
      <c r="A128" s="62">
        <v>435.0</v>
      </c>
      <c r="B128" s="60" t="s">
        <v>835</v>
      </c>
      <c r="C128" s="84" t="s">
        <v>21769</v>
      </c>
      <c r="D128" s="60" t="s">
        <v>20513</v>
      </c>
      <c r="E128" s="60" t="s">
        <v>19627</v>
      </c>
      <c r="F128" s="85" t="s">
        <v>21770</v>
      </c>
      <c r="G128" s="85" t="s">
        <v>21189</v>
      </c>
      <c r="H128" s="62">
        <v>75.0</v>
      </c>
      <c r="I128" s="60"/>
      <c r="J128" s="60"/>
      <c r="K128" s="60"/>
      <c r="L128" s="60"/>
      <c r="M128" s="60"/>
      <c r="N128" s="60"/>
      <c r="O128" s="60"/>
      <c r="P128" s="60"/>
      <c r="Q128" s="60"/>
      <c r="R128" s="60"/>
      <c r="S128" s="60"/>
      <c r="T128" s="60"/>
      <c r="U128" s="60"/>
      <c r="V128" s="60"/>
      <c r="W128" s="60"/>
      <c r="X128" s="60"/>
      <c r="Y128" s="60"/>
      <c r="Z128" s="60"/>
    </row>
    <row r="129" ht="53.25" customHeight="1">
      <c r="A129" s="62">
        <v>367.0</v>
      </c>
      <c r="B129" s="60" t="s">
        <v>886</v>
      </c>
      <c r="C129" s="84" t="s">
        <v>21771</v>
      </c>
      <c r="D129" s="60" t="s">
        <v>19902</v>
      </c>
      <c r="E129" s="60" t="s">
        <v>19827</v>
      </c>
      <c r="F129" s="85" t="s">
        <v>21772</v>
      </c>
      <c r="G129" s="85" t="s">
        <v>21190</v>
      </c>
      <c r="H129" s="62">
        <v>75.0</v>
      </c>
      <c r="I129" s="60"/>
      <c r="J129" s="60"/>
      <c r="K129" s="60"/>
      <c r="L129" s="60"/>
      <c r="M129" s="60"/>
      <c r="N129" s="60"/>
      <c r="O129" s="60"/>
      <c r="P129" s="60"/>
      <c r="Q129" s="60"/>
      <c r="R129" s="60"/>
      <c r="S129" s="60"/>
      <c r="T129" s="60"/>
      <c r="U129" s="60"/>
      <c r="V129" s="60"/>
      <c r="W129" s="60"/>
      <c r="X129" s="60"/>
      <c r="Y129" s="60"/>
      <c r="Z129" s="60"/>
    </row>
    <row r="130" ht="53.25" customHeight="1">
      <c r="A130" s="62">
        <v>63.0</v>
      </c>
      <c r="B130" s="60" t="s">
        <v>614</v>
      </c>
      <c r="C130" s="84" t="s">
        <v>21773</v>
      </c>
      <c r="D130" s="60" t="s">
        <v>20470</v>
      </c>
      <c r="E130" s="60" t="s">
        <v>19598</v>
      </c>
      <c r="F130" s="85" t="s">
        <v>21774</v>
      </c>
      <c r="G130" s="85" t="s">
        <v>21191</v>
      </c>
      <c r="H130" s="62">
        <v>75.0</v>
      </c>
      <c r="I130" s="60"/>
      <c r="J130" s="60"/>
      <c r="K130" s="60"/>
      <c r="L130" s="60"/>
      <c r="M130" s="60"/>
      <c r="N130" s="60"/>
      <c r="O130" s="60"/>
      <c r="P130" s="60"/>
      <c r="Q130" s="60"/>
      <c r="R130" s="60"/>
      <c r="S130" s="60"/>
      <c r="T130" s="60"/>
      <c r="U130" s="60"/>
      <c r="V130" s="60"/>
      <c r="W130" s="60"/>
      <c r="X130" s="60"/>
      <c r="Y130" s="60"/>
      <c r="Z130" s="60"/>
    </row>
    <row r="131" ht="53.25" customHeight="1">
      <c r="A131" s="62">
        <v>412.0</v>
      </c>
      <c r="B131" s="60" t="s">
        <v>49</v>
      </c>
      <c r="C131" s="84" t="s">
        <v>21775</v>
      </c>
      <c r="D131" s="60" t="s">
        <v>19792</v>
      </c>
      <c r="E131" s="60" t="s">
        <v>757</v>
      </c>
      <c r="F131" s="85" t="s">
        <v>21776</v>
      </c>
      <c r="G131" s="85" t="s">
        <v>21192</v>
      </c>
      <c r="H131" s="62">
        <v>75.0</v>
      </c>
      <c r="I131" s="60"/>
      <c r="J131" s="60"/>
      <c r="K131" s="60"/>
      <c r="L131" s="60"/>
      <c r="M131" s="60"/>
      <c r="N131" s="60"/>
      <c r="O131" s="60"/>
      <c r="P131" s="60"/>
      <c r="Q131" s="60"/>
      <c r="R131" s="60"/>
      <c r="S131" s="60"/>
      <c r="T131" s="60"/>
      <c r="U131" s="60"/>
      <c r="V131" s="60"/>
      <c r="W131" s="60"/>
      <c r="X131" s="60"/>
      <c r="Y131" s="60"/>
      <c r="Z131" s="60"/>
    </row>
    <row r="132" ht="53.25" customHeight="1">
      <c r="A132" s="62">
        <v>408.0</v>
      </c>
      <c r="B132" s="60" t="s">
        <v>1630</v>
      </c>
      <c r="C132" s="84" t="s">
        <v>21777</v>
      </c>
      <c r="D132" s="60" t="s">
        <v>19633</v>
      </c>
      <c r="E132" s="60" t="s">
        <v>19634</v>
      </c>
      <c r="F132" s="85" t="s">
        <v>21778</v>
      </c>
      <c r="G132" s="85" t="s">
        <v>21193</v>
      </c>
      <c r="H132" s="62">
        <v>75.0</v>
      </c>
      <c r="I132" s="60"/>
      <c r="J132" s="60"/>
      <c r="K132" s="60"/>
      <c r="L132" s="60"/>
      <c r="M132" s="60"/>
      <c r="N132" s="60"/>
      <c r="O132" s="60"/>
      <c r="P132" s="60"/>
      <c r="Q132" s="60"/>
      <c r="R132" s="60"/>
      <c r="S132" s="60"/>
      <c r="T132" s="60"/>
      <c r="U132" s="60"/>
      <c r="V132" s="60"/>
      <c r="W132" s="60"/>
      <c r="X132" s="60"/>
      <c r="Y132" s="60"/>
      <c r="Z132" s="60"/>
    </row>
    <row r="133" ht="53.25" customHeight="1">
      <c r="A133" s="62">
        <v>29.0</v>
      </c>
      <c r="B133" s="60" t="s">
        <v>1485</v>
      </c>
      <c r="C133" s="84" t="s">
        <v>21779</v>
      </c>
      <c r="D133" s="60" t="s">
        <v>20482</v>
      </c>
      <c r="E133" s="60" t="s">
        <v>20077</v>
      </c>
      <c r="F133" s="85" t="s">
        <v>21780</v>
      </c>
      <c r="G133" s="85" t="s">
        <v>21194</v>
      </c>
      <c r="H133" s="62">
        <v>75.0</v>
      </c>
      <c r="I133" s="60"/>
      <c r="J133" s="60"/>
      <c r="K133" s="60"/>
      <c r="L133" s="60"/>
      <c r="M133" s="60"/>
      <c r="N133" s="60"/>
      <c r="O133" s="60"/>
      <c r="P133" s="60"/>
      <c r="Q133" s="60"/>
      <c r="R133" s="60"/>
      <c r="S133" s="60"/>
      <c r="T133" s="60"/>
      <c r="U133" s="60"/>
      <c r="V133" s="60"/>
      <c r="W133" s="60"/>
      <c r="X133" s="60"/>
      <c r="Y133" s="60"/>
      <c r="Z133" s="60"/>
    </row>
    <row r="134" ht="53.25" customHeight="1">
      <c r="A134" s="62">
        <v>405.0</v>
      </c>
      <c r="B134" s="60" t="s">
        <v>841</v>
      </c>
      <c r="C134" s="84" t="s">
        <v>21781</v>
      </c>
      <c r="D134" s="60" t="s">
        <v>20709</v>
      </c>
      <c r="E134" s="60" t="s">
        <v>19620</v>
      </c>
      <c r="F134" s="85" t="s">
        <v>21782</v>
      </c>
      <c r="G134" s="85" t="s">
        <v>21195</v>
      </c>
      <c r="H134" s="62">
        <v>75.0</v>
      </c>
      <c r="I134" s="60"/>
      <c r="J134" s="60"/>
      <c r="K134" s="60"/>
      <c r="L134" s="60"/>
      <c r="M134" s="60"/>
      <c r="N134" s="60"/>
      <c r="O134" s="60"/>
      <c r="P134" s="60"/>
      <c r="Q134" s="60"/>
      <c r="R134" s="60"/>
      <c r="S134" s="60"/>
      <c r="T134" s="60"/>
      <c r="U134" s="60"/>
      <c r="V134" s="60"/>
      <c r="W134" s="60"/>
      <c r="X134" s="60"/>
      <c r="Y134" s="60"/>
      <c r="Z134" s="60"/>
    </row>
    <row r="135" ht="53.25" customHeight="1">
      <c r="A135" s="62">
        <v>28.0</v>
      </c>
      <c r="B135" s="60" t="s">
        <v>294</v>
      </c>
      <c r="C135" s="84" t="s">
        <v>21783</v>
      </c>
      <c r="D135" s="60" t="s">
        <v>19655</v>
      </c>
      <c r="E135" s="60" t="s">
        <v>173</v>
      </c>
      <c r="F135" s="85" t="s">
        <v>21784</v>
      </c>
      <c r="G135" s="85" t="s">
        <v>21196</v>
      </c>
      <c r="H135" s="62">
        <v>75.0</v>
      </c>
      <c r="I135" s="60"/>
      <c r="J135" s="60"/>
      <c r="K135" s="60"/>
      <c r="L135" s="60"/>
      <c r="M135" s="60"/>
      <c r="N135" s="60"/>
      <c r="O135" s="60"/>
      <c r="P135" s="60"/>
      <c r="Q135" s="60"/>
      <c r="R135" s="60"/>
      <c r="S135" s="60"/>
      <c r="T135" s="60"/>
      <c r="U135" s="60"/>
      <c r="V135" s="60"/>
      <c r="W135" s="60"/>
      <c r="X135" s="60"/>
      <c r="Y135" s="60"/>
      <c r="Z135" s="60"/>
    </row>
    <row r="136" ht="53.25" customHeight="1">
      <c r="A136" s="62">
        <v>27.0</v>
      </c>
      <c r="B136" s="60" t="s">
        <v>837</v>
      </c>
      <c r="C136" s="84" t="s">
        <v>21785</v>
      </c>
      <c r="D136" s="60" t="s">
        <v>21786</v>
      </c>
      <c r="E136" s="60" t="s">
        <v>19645</v>
      </c>
      <c r="F136" s="85" t="s">
        <v>21787</v>
      </c>
      <c r="G136" s="85" t="s">
        <v>21197</v>
      </c>
      <c r="H136" s="62">
        <v>75.0</v>
      </c>
      <c r="I136" s="60"/>
      <c r="J136" s="60"/>
      <c r="K136" s="60"/>
      <c r="L136" s="60"/>
      <c r="M136" s="60"/>
      <c r="N136" s="60"/>
      <c r="O136" s="60"/>
      <c r="P136" s="60"/>
      <c r="Q136" s="60"/>
      <c r="R136" s="60"/>
      <c r="S136" s="60"/>
      <c r="T136" s="60"/>
      <c r="U136" s="60"/>
      <c r="V136" s="60"/>
      <c r="W136" s="60"/>
      <c r="X136" s="60"/>
      <c r="Y136" s="60"/>
      <c r="Z136" s="60"/>
    </row>
    <row r="137" ht="53.25" customHeight="1">
      <c r="A137" s="62">
        <v>70.0</v>
      </c>
      <c r="B137" s="60" t="s">
        <v>41</v>
      </c>
      <c r="C137" s="84" t="s">
        <v>21788</v>
      </c>
      <c r="D137" s="60" t="s">
        <v>19768</v>
      </c>
      <c r="E137" s="60" t="s">
        <v>19769</v>
      </c>
      <c r="F137" s="85" t="s">
        <v>21789</v>
      </c>
      <c r="G137" s="85" t="s">
        <v>21198</v>
      </c>
      <c r="H137" s="62">
        <v>75.0</v>
      </c>
      <c r="I137" s="60"/>
      <c r="J137" s="60"/>
      <c r="K137" s="60"/>
      <c r="L137" s="60"/>
      <c r="M137" s="60"/>
      <c r="N137" s="60"/>
      <c r="O137" s="60"/>
      <c r="P137" s="60"/>
      <c r="Q137" s="60"/>
      <c r="R137" s="60"/>
      <c r="S137" s="60"/>
      <c r="T137" s="60"/>
      <c r="U137" s="60"/>
      <c r="V137" s="60"/>
      <c r="W137" s="60"/>
      <c r="X137" s="60"/>
      <c r="Y137" s="60"/>
      <c r="Z137" s="60"/>
    </row>
    <row r="138" ht="53.25" customHeight="1">
      <c r="A138" s="62">
        <v>71.0</v>
      </c>
      <c r="B138" s="60" t="s">
        <v>55</v>
      </c>
      <c r="C138" s="84" t="s">
        <v>21790</v>
      </c>
      <c r="D138" s="60" t="s">
        <v>19979</v>
      </c>
      <c r="E138" s="60" t="s">
        <v>19627</v>
      </c>
      <c r="F138" s="85" t="s">
        <v>21791</v>
      </c>
      <c r="G138" s="85" t="s">
        <v>21199</v>
      </c>
      <c r="H138" s="62">
        <v>75.0</v>
      </c>
      <c r="I138" s="60"/>
      <c r="J138" s="60"/>
      <c r="K138" s="60"/>
      <c r="L138" s="60"/>
      <c r="M138" s="60"/>
      <c r="N138" s="60"/>
      <c r="O138" s="60"/>
      <c r="P138" s="60"/>
      <c r="Q138" s="60"/>
      <c r="R138" s="60"/>
      <c r="S138" s="60"/>
      <c r="T138" s="60"/>
      <c r="U138" s="60"/>
      <c r="V138" s="60"/>
      <c r="W138" s="60"/>
      <c r="X138" s="60"/>
      <c r="Y138" s="60"/>
      <c r="Z138" s="60"/>
    </row>
    <row r="139" ht="53.25" customHeight="1">
      <c r="A139" s="62">
        <v>60.0</v>
      </c>
      <c r="B139" s="60" t="s">
        <v>296</v>
      </c>
      <c r="C139" s="84" t="s">
        <v>21792</v>
      </c>
      <c r="D139" s="60" t="s">
        <v>20826</v>
      </c>
      <c r="E139" s="60" t="s">
        <v>309</v>
      </c>
      <c r="F139" s="85" t="s">
        <v>21793</v>
      </c>
      <c r="G139" s="85" t="s">
        <v>21200</v>
      </c>
      <c r="H139" s="62">
        <v>75.0</v>
      </c>
      <c r="I139" s="60"/>
      <c r="J139" s="60"/>
      <c r="K139" s="60"/>
      <c r="L139" s="60"/>
      <c r="M139" s="60"/>
      <c r="N139" s="60"/>
      <c r="O139" s="60"/>
      <c r="P139" s="60"/>
      <c r="Q139" s="60"/>
      <c r="R139" s="60"/>
      <c r="S139" s="60"/>
      <c r="T139" s="60"/>
      <c r="U139" s="60"/>
      <c r="V139" s="60"/>
      <c r="W139" s="60"/>
      <c r="X139" s="60"/>
      <c r="Y139" s="60"/>
      <c r="Z139" s="60"/>
    </row>
    <row r="140" ht="53.25" customHeight="1">
      <c r="A140" s="62">
        <v>72.0</v>
      </c>
      <c r="B140" s="60" t="s">
        <v>1367</v>
      </c>
      <c r="C140" s="84" t="s">
        <v>21794</v>
      </c>
      <c r="D140" s="60" t="s">
        <v>20538</v>
      </c>
      <c r="E140" s="60" t="s">
        <v>19576</v>
      </c>
      <c r="F140" s="85" t="s">
        <v>21795</v>
      </c>
      <c r="G140" s="85" t="s">
        <v>21201</v>
      </c>
      <c r="H140" s="62">
        <v>75.0</v>
      </c>
      <c r="I140" s="60"/>
      <c r="J140" s="60"/>
      <c r="K140" s="60"/>
      <c r="L140" s="60"/>
      <c r="M140" s="60"/>
      <c r="N140" s="60"/>
      <c r="O140" s="60"/>
      <c r="P140" s="60"/>
      <c r="Q140" s="60"/>
      <c r="R140" s="60"/>
      <c r="S140" s="60"/>
      <c r="T140" s="60"/>
      <c r="U140" s="60"/>
      <c r="V140" s="60"/>
      <c r="W140" s="60"/>
      <c r="X140" s="60"/>
      <c r="Y140" s="60"/>
      <c r="Z140" s="60"/>
    </row>
    <row r="141" ht="53.25" customHeight="1">
      <c r="A141" s="62">
        <v>401.0</v>
      </c>
      <c r="B141" s="60" t="s">
        <v>1081</v>
      </c>
      <c r="C141" s="84" t="s">
        <v>21796</v>
      </c>
      <c r="D141" s="60" t="s">
        <v>19652</v>
      </c>
      <c r="E141" s="60" t="s">
        <v>702</v>
      </c>
      <c r="F141" s="85" t="s">
        <v>21797</v>
      </c>
      <c r="G141" s="85" t="s">
        <v>21202</v>
      </c>
      <c r="H141" s="62">
        <v>75.0</v>
      </c>
      <c r="I141" s="60"/>
      <c r="J141" s="60"/>
      <c r="K141" s="60"/>
      <c r="L141" s="60"/>
      <c r="M141" s="60"/>
      <c r="N141" s="60"/>
      <c r="O141" s="60"/>
      <c r="P141" s="60"/>
      <c r="Q141" s="60"/>
      <c r="R141" s="60"/>
      <c r="S141" s="60"/>
      <c r="T141" s="60"/>
      <c r="U141" s="60"/>
      <c r="V141" s="60"/>
      <c r="W141" s="60"/>
      <c r="X141" s="60"/>
      <c r="Y141" s="60"/>
      <c r="Z141" s="60"/>
    </row>
    <row r="142" ht="53.25" customHeight="1">
      <c r="A142" s="62">
        <v>398.0</v>
      </c>
      <c r="B142" s="60" t="s">
        <v>1402</v>
      </c>
      <c r="C142" s="84" t="s">
        <v>21798</v>
      </c>
      <c r="D142" s="60" t="s">
        <v>19772</v>
      </c>
      <c r="E142" s="60" t="s">
        <v>19634</v>
      </c>
      <c r="F142" s="85" t="s">
        <v>21799</v>
      </c>
      <c r="G142" s="85" t="s">
        <v>21203</v>
      </c>
      <c r="H142" s="62">
        <v>75.0</v>
      </c>
      <c r="I142" s="60"/>
      <c r="J142" s="60"/>
      <c r="K142" s="60"/>
      <c r="L142" s="60"/>
      <c r="M142" s="60"/>
      <c r="N142" s="60"/>
      <c r="O142" s="60"/>
      <c r="P142" s="60"/>
      <c r="Q142" s="60"/>
      <c r="R142" s="60"/>
      <c r="S142" s="60"/>
      <c r="T142" s="60"/>
      <c r="U142" s="60"/>
      <c r="V142" s="60"/>
      <c r="W142" s="60"/>
      <c r="X142" s="60"/>
      <c r="Y142" s="60"/>
      <c r="Z142" s="60"/>
    </row>
    <row r="143" ht="53.25" customHeight="1">
      <c r="A143" s="62">
        <v>76.0</v>
      </c>
      <c r="B143" s="60" t="s">
        <v>250</v>
      </c>
      <c r="C143" s="84" t="s">
        <v>21800</v>
      </c>
      <c r="D143" s="60" t="s">
        <v>20548</v>
      </c>
      <c r="E143" s="60" t="s">
        <v>19620</v>
      </c>
      <c r="F143" s="85" t="s">
        <v>21801</v>
      </c>
      <c r="G143" s="85" t="s">
        <v>21204</v>
      </c>
      <c r="H143" s="62">
        <v>75.0</v>
      </c>
      <c r="I143" s="60"/>
      <c r="J143" s="60"/>
      <c r="K143" s="60"/>
      <c r="L143" s="60"/>
      <c r="M143" s="60"/>
      <c r="N143" s="60"/>
      <c r="O143" s="60"/>
      <c r="P143" s="60"/>
      <c r="Q143" s="60"/>
      <c r="R143" s="60"/>
      <c r="S143" s="60"/>
      <c r="T143" s="60"/>
      <c r="U143" s="60"/>
      <c r="V143" s="60"/>
      <c r="W143" s="60"/>
      <c r="X143" s="60"/>
      <c r="Y143" s="60"/>
      <c r="Z143" s="60"/>
    </row>
    <row r="144" ht="53.25" customHeight="1">
      <c r="A144" s="62">
        <v>24.0</v>
      </c>
      <c r="B144" s="60" t="s">
        <v>451</v>
      </c>
      <c r="C144" s="84" t="s">
        <v>21802</v>
      </c>
      <c r="D144" s="60" t="s">
        <v>20015</v>
      </c>
      <c r="E144" s="60" t="s">
        <v>20016</v>
      </c>
      <c r="F144" s="85" t="s">
        <v>21803</v>
      </c>
      <c r="G144" s="85" t="s">
        <v>21205</v>
      </c>
      <c r="H144" s="62">
        <v>75.0</v>
      </c>
      <c r="I144" s="60"/>
      <c r="J144" s="60"/>
      <c r="K144" s="60"/>
      <c r="L144" s="60"/>
      <c r="M144" s="60"/>
      <c r="N144" s="60"/>
      <c r="O144" s="60"/>
      <c r="P144" s="60"/>
      <c r="Q144" s="60"/>
      <c r="R144" s="60"/>
      <c r="S144" s="60"/>
      <c r="T144" s="60"/>
      <c r="U144" s="60"/>
      <c r="V144" s="60"/>
      <c r="W144" s="60"/>
      <c r="X144" s="60"/>
      <c r="Y144" s="60"/>
      <c r="Z144" s="60"/>
    </row>
    <row r="145" ht="53.25" customHeight="1">
      <c r="A145" s="62">
        <v>78.0</v>
      </c>
      <c r="B145" s="60" t="s">
        <v>1458</v>
      </c>
      <c r="C145" s="84" t="s">
        <v>21804</v>
      </c>
      <c r="D145" s="60" t="s">
        <v>20672</v>
      </c>
      <c r="E145" s="60" t="s">
        <v>19850</v>
      </c>
      <c r="F145" s="85" t="s">
        <v>21805</v>
      </c>
      <c r="G145" s="85" t="s">
        <v>21206</v>
      </c>
      <c r="H145" s="62">
        <v>75.0</v>
      </c>
      <c r="I145" s="60"/>
      <c r="J145" s="60"/>
      <c r="K145" s="60"/>
      <c r="L145" s="60"/>
      <c r="M145" s="60"/>
      <c r="N145" s="60"/>
      <c r="O145" s="60"/>
      <c r="P145" s="60"/>
      <c r="Q145" s="60"/>
      <c r="R145" s="60"/>
      <c r="S145" s="60"/>
      <c r="T145" s="60"/>
      <c r="U145" s="60"/>
      <c r="V145" s="60"/>
      <c r="W145" s="60"/>
      <c r="X145" s="60"/>
      <c r="Y145" s="60"/>
      <c r="Z145" s="60"/>
    </row>
    <row r="146" ht="53.25" customHeight="1">
      <c r="A146" s="62">
        <v>80.0</v>
      </c>
      <c r="B146" s="60" t="s">
        <v>472</v>
      </c>
      <c r="C146" s="84" t="s">
        <v>21806</v>
      </c>
      <c r="D146" s="60" t="s">
        <v>19731</v>
      </c>
      <c r="E146" s="60" t="s">
        <v>19732</v>
      </c>
      <c r="F146" s="85" t="s">
        <v>21807</v>
      </c>
      <c r="G146" s="85" t="s">
        <v>21207</v>
      </c>
      <c r="H146" s="62">
        <v>75.0</v>
      </c>
      <c r="I146" s="60"/>
      <c r="J146" s="60"/>
      <c r="K146" s="60"/>
      <c r="L146" s="60"/>
      <c r="M146" s="60"/>
      <c r="N146" s="60"/>
      <c r="O146" s="60"/>
      <c r="P146" s="60"/>
      <c r="Q146" s="60"/>
      <c r="R146" s="60"/>
      <c r="S146" s="60"/>
      <c r="T146" s="60"/>
      <c r="U146" s="60"/>
      <c r="V146" s="60"/>
      <c r="W146" s="60"/>
      <c r="X146" s="60"/>
      <c r="Y146" s="60"/>
      <c r="Z146" s="60"/>
    </row>
    <row r="147" ht="53.25" customHeight="1">
      <c r="A147" s="62">
        <v>82.0</v>
      </c>
      <c r="B147" s="60" t="s">
        <v>1169</v>
      </c>
      <c r="C147" s="84" t="s">
        <v>21808</v>
      </c>
      <c r="D147" s="60" t="s">
        <v>20675</v>
      </c>
      <c r="E147" s="60" t="s">
        <v>314</v>
      </c>
      <c r="F147" s="85" t="s">
        <v>21809</v>
      </c>
      <c r="G147" s="85" t="s">
        <v>21208</v>
      </c>
      <c r="H147" s="62">
        <v>75.0</v>
      </c>
      <c r="I147" s="60"/>
      <c r="J147" s="60"/>
      <c r="K147" s="60"/>
      <c r="L147" s="60"/>
      <c r="M147" s="60"/>
      <c r="N147" s="60"/>
      <c r="O147" s="60"/>
      <c r="P147" s="60"/>
      <c r="Q147" s="60"/>
      <c r="R147" s="60"/>
      <c r="S147" s="60"/>
      <c r="T147" s="60"/>
      <c r="U147" s="60"/>
      <c r="V147" s="60"/>
      <c r="W147" s="60"/>
      <c r="X147" s="60"/>
      <c r="Y147" s="60"/>
      <c r="Z147" s="60"/>
    </row>
    <row r="148" ht="53.25" customHeight="1">
      <c r="A148" s="62">
        <v>393.0</v>
      </c>
      <c r="B148" s="60" t="s">
        <v>39</v>
      </c>
      <c r="C148" s="84" t="s">
        <v>21810</v>
      </c>
      <c r="D148" s="60" t="s">
        <v>19637</v>
      </c>
      <c r="E148" s="60" t="s">
        <v>717</v>
      </c>
      <c r="F148" s="85" t="s">
        <v>21811</v>
      </c>
      <c r="G148" s="85" t="s">
        <v>21209</v>
      </c>
      <c r="H148" s="62">
        <v>75.0</v>
      </c>
      <c r="I148" s="60"/>
      <c r="J148" s="60"/>
      <c r="K148" s="60"/>
      <c r="L148" s="60"/>
      <c r="M148" s="60"/>
      <c r="N148" s="60"/>
      <c r="O148" s="60"/>
      <c r="P148" s="60"/>
      <c r="Q148" s="60"/>
      <c r="R148" s="60"/>
      <c r="S148" s="60"/>
      <c r="T148" s="60"/>
      <c r="U148" s="60"/>
      <c r="V148" s="60"/>
      <c r="W148" s="60"/>
      <c r="X148" s="60"/>
      <c r="Y148" s="60"/>
      <c r="Z148" s="60"/>
    </row>
    <row r="149" ht="53.25" customHeight="1">
      <c r="A149" s="62">
        <v>61.0</v>
      </c>
      <c r="B149" s="60" t="s">
        <v>1505</v>
      </c>
      <c r="C149" s="84" t="s">
        <v>21812</v>
      </c>
      <c r="D149" s="60" t="s">
        <v>19689</v>
      </c>
      <c r="E149" s="60" t="s">
        <v>19690</v>
      </c>
      <c r="F149" s="85" t="s">
        <v>21813</v>
      </c>
      <c r="G149" s="85" t="s">
        <v>21210</v>
      </c>
      <c r="H149" s="62">
        <v>75.0</v>
      </c>
      <c r="I149" s="60"/>
      <c r="J149" s="60"/>
      <c r="K149" s="60"/>
      <c r="L149" s="60"/>
      <c r="M149" s="60"/>
      <c r="N149" s="60"/>
      <c r="O149" s="60"/>
      <c r="P149" s="60"/>
      <c r="Q149" s="60"/>
      <c r="R149" s="60"/>
      <c r="S149" s="60"/>
      <c r="T149" s="60"/>
      <c r="U149" s="60"/>
      <c r="V149" s="60"/>
      <c r="W149" s="60"/>
      <c r="X149" s="60"/>
      <c r="Y149" s="60"/>
      <c r="Z149" s="60"/>
    </row>
    <row r="150" ht="53.25" customHeight="1">
      <c r="A150" s="62">
        <v>59.0</v>
      </c>
      <c r="B150" s="60" t="s">
        <v>265</v>
      </c>
      <c r="C150" s="84" t="s">
        <v>21814</v>
      </c>
      <c r="D150" s="60" t="s">
        <v>20087</v>
      </c>
      <c r="E150" s="60" t="s">
        <v>20077</v>
      </c>
      <c r="F150" s="85" t="s">
        <v>21815</v>
      </c>
      <c r="G150" s="85" t="s">
        <v>21211</v>
      </c>
      <c r="H150" s="62">
        <v>75.0</v>
      </c>
      <c r="I150" s="60"/>
      <c r="J150" s="60"/>
      <c r="K150" s="60"/>
      <c r="L150" s="60"/>
      <c r="M150" s="60"/>
      <c r="N150" s="60"/>
      <c r="O150" s="60"/>
      <c r="P150" s="60"/>
      <c r="Q150" s="60"/>
      <c r="R150" s="60"/>
      <c r="S150" s="60"/>
      <c r="T150" s="60"/>
      <c r="U150" s="60"/>
      <c r="V150" s="60"/>
      <c r="W150" s="60"/>
      <c r="X150" s="60"/>
      <c r="Y150" s="60"/>
      <c r="Z150" s="60"/>
    </row>
    <row r="151" ht="53.25" customHeight="1">
      <c r="A151" s="62">
        <v>86.0</v>
      </c>
      <c r="B151" s="60" t="s">
        <v>1212</v>
      </c>
      <c r="C151" s="84" t="s">
        <v>21816</v>
      </c>
      <c r="D151" s="60" t="s">
        <v>20039</v>
      </c>
      <c r="E151" s="60" t="s">
        <v>19627</v>
      </c>
      <c r="F151" s="85" t="s">
        <v>21817</v>
      </c>
      <c r="G151" s="85" t="s">
        <v>21212</v>
      </c>
      <c r="H151" s="62">
        <v>75.0</v>
      </c>
      <c r="I151" s="60"/>
      <c r="J151" s="60"/>
      <c r="K151" s="60"/>
      <c r="L151" s="60"/>
      <c r="M151" s="60"/>
      <c r="N151" s="60"/>
      <c r="O151" s="60"/>
      <c r="P151" s="60"/>
      <c r="Q151" s="60"/>
      <c r="R151" s="60"/>
      <c r="S151" s="60"/>
      <c r="T151" s="60"/>
      <c r="U151" s="60"/>
      <c r="V151" s="60"/>
      <c r="W151" s="60"/>
      <c r="X151" s="60"/>
      <c r="Y151" s="60"/>
      <c r="Z151" s="60"/>
    </row>
    <row r="152" ht="53.25" customHeight="1">
      <c r="A152" s="62">
        <v>33.0</v>
      </c>
      <c r="B152" s="60" t="s">
        <v>1059</v>
      </c>
      <c r="C152" s="84" t="s">
        <v>21818</v>
      </c>
      <c r="D152" s="60" t="s">
        <v>19780</v>
      </c>
      <c r="E152" s="60" t="s">
        <v>19620</v>
      </c>
      <c r="F152" s="85" t="s">
        <v>21819</v>
      </c>
      <c r="G152" s="85" t="s">
        <v>21213</v>
      </c>
      <c r="H152" s="62">
        <v>75.0</v>
      </c>
      <c r="I152" s="60"/>
      <c r="J152" s="60"/>
      <c r="K152" s="60"/>
      <c r="L152" s="60"/>
      <c r="M152" s="60"/>
      <c r="N152" s="60"/>
      <c r="O152" s="60"/>
      <c r="P152" s="60"/>
      <c r="Q152" s="60"/>
      <c r="R152" s="60"/>
      <c r="S152" s="60"/>
      <c r="T152" s="60"/>
      <c r="U152" s="60"/>
      <c r="V152" s="60"/>
      <c r="W152" s="60"/>
      <c r="X152" s="60"/>
      <c r="Y152" s="60"/>
      <c r="Z152" s="60"/>
    </row>
    <row r="153" ht="53.25" customHeight="1">
      <c r="A153" s="62">
        <v>39.0</v>
      </c>
      <c r="B153" s="60" t="s">
        <v>953</v>
      </c>
      <c r="C153" s="84" t="s">
        <v>21820</v>
      </c>
      <c r="D153" s="60" t="s">
        <v>19963</v>
      </c>
      <c r="E153" s="60" t="s">
        <v>645</v>
      </c>
      <c r="F153" s="85" t="s">
        <v>21821</v>
      </c>
      <c r="G153" s="85" t="s">
        <v>21214</v>
      </c>
      <c r="H153" s="62">
        <v>75.0</v>
      </c>
      <c r="I153" s="60"/>
      <c r="J153" s="60"/>
      <c r="K153" s="60"/>
      <c r="L153" s="60"/>
      <c r="M153" s="60"/>
      <c r="N153" s="60"/>
      <c r="O153" s="60"/>
      <c r="P153" s="60"/>
      <c r="Q153" s="60"/>
      <c r="R153" s="60"/>
      <c r="S153" s="60"/>
      <c r="T153" s="60"/>
      <c r="U153" s="60"/>
      <c r="V153" s="60"/>
      <c r="W153" s="60"/>
      <c r="X153" s="60"/>
      <c r="Y153" s="60"/>
      <c r="Z153" s="60"/>
    </row>
    <row r="154" ht="53.25" customHeight="1">
      <c r="A154" s="62">
        <v>41.0</v>
      </c>
      <c r="B154" s="60" t="s">
        <v>839</v>
      </c>
      <c r="C154" s="84" t="s">
        <v>21822</v>
      </c>
      <c r="D154" s="60" t="s">
        <v>19586</v>
      </c>
      <c r="E154" s="60" t="s">
        <v>19587</v>
      </c>
      <c r="F154" s="85" t="s">
        <v>21823</v>
      </c>
      <c r="G154" s="85" t="s">
        <v>21215</v>
      </c>
      <c r="H154" s="62">
        <v>75.0</v>
      </c>
      <c r="I154" s="60"/>
      <c r="J154" s="60"/>
      <c r="K154" s="60"/>
      <c r="L154" s="60"/>
      <c r="M154" s="60"/>
      <c r="N154" s="60"/>
      <c r="O154" s="60"/>
      <c r="P154" s="60"/>
      <c r="Q154" s="60"/>
      <c r="R154" s="60"/>
      <c r="S154" s="60"/>
      <c r="T154" s="60"/>
      <c r="U154" s="60"/>
      <c r="V154" s="60"/>
      <c r="W154" s="60"/>
      <c r="X154" s="60"/>
      <c r="Y154" s="60"/>
      <c r="Z154" s="60"/>
    </row>
    <row r="155" ht="53.25" customHeight="1">
      <c r="A155" s="62">
        <v>42.0</v>
      </c>
      <c r="B155" s="60" t="s">
        <v>185</v>
      </c>
      <c r="C155" s="84" t="s">
        <v>21824</v>
      </c>
      <c r="D155" s="60" t="s">
        <v>19982</v>
      </c>
      <c r="E155" s="60" t="s">
        <v>19699</v>
      </c>
      <c r="F155" s="85" t="s">
        <v>21825</v>
      </c>
      <c r="G155" s="85" t="s">
        <v>21216</v>
      </c>
      <c r="H155" s="62">
        <v>75.0</v>
      </c>
      <c r="I155" s="60"/>
      <c r="J155" s="60"/>
      <c r="K155" s="60"/>
      <c r="L155" s="60"/>
      <c r="M155" s="60"/>
      <c r="N155" s="60"/>
      <c r="O155" s="60"/>
      <c r="P155" s="60"/>
      <c r="Q155" s="60"/>
      <c r="R155" s="60"/>
      <c r="S155" s="60"/>
      <c r="T155" s="60"/>
      <c r="U155" s="60"/>
      <c r="V155" s="60"/>
      <c r="W155" s="60"/>
      <c r="X155" s="60"/>
      <c r="Y155" s="60"/>
      <c r="Z155" s="60"/>
    </row>
    <row r="156" ht="53.25" customHeight="1">
      <c r="A156" s="62">
        <v>36.0</v>
      </c>
      <c r="B156" s="60" t="s">
        <v>956</v>
      </c>
      <c r="C156" s="84" t="s">
        <v>21826</v>
      </c>
      <c r="D156" s="60" t="s">
        <v>19957</v>
      </c>
      <c r="E156" s="60" t="s">
        <v>19669</v>
      </c>
      <c r="F156" s="85" t="s">
        <v>21827</v>
      </c>
      <c r="G156" s="85" t="s">
        <v>21217</v>
      </c>
      <c r="H156" s="62">
        <v>75.0</v>
      </c>
      <c r="I156" s="60"/>
      <c r="J156" s="60"/>
      <c r="K156" s="60"/>
      <c r="L156" s="60"/>
      <c r="M156" s="60"/>
      <c r="N156" s="60"/>
      <c r="O156" s="60"/>
      <c r="P156" s="60"/>
      <c r="Q156" s="60"/>
      <c r="R156" s="60"/>
      <c r="S156" s="60"/>
      <c r="T156" s="60"/>
      <c r="U156" s="60"/>
      <c r="V156" s="60"/>
      <c r="W156" s="60"/>
      <c r="X156" s="60"/>
      <c r="Y156" s="60"/>
      <c r="Z156" s="60"/>
    </row>
    <row r="157" ht="53.25" customHeight="1">
      <c r="A157" s="62">
        <v>44.0</v>
      </c>
      <c r="B157" s="60" t="s">
        <v>1057</v>
      </c>
      <c r="C157" s="84" t="s">
        <v>21828</v>
      </c>
      <c r="D157" s="60" t="s">
        <v>20479</v>
      </c>
      <c r="E157" s="60" t="s">
        <v>312</v>
      </c>
      <c r="F157" s="85" t="s">
        <v>21829</v>
      </c>
      <c r="G157" s="85" t="s">
        <v>21218</v>
      </c>
      <c r="H157" s="62">
        <v>75.0</v>
      </c>
      <c r="I157" s="60"/>
      <c r="J157" s="60"/>
      <c r="K157" s="60"/>
      <c r="L157" s="60"/>
      <c r="M157" s="60"/>
      <c r="N157" s="60"/>
      <c r="O157" s="60"/>
      <c r="P157" s="60"/>
      <c r="Q157" s="60"/>
      <c r="R157" s="60"/>
      <c r="S157" s="60"/>
      <c r="T157" s="60"/>
      <c r="U157" s="60"/>
      <c r="V157" s="60"/>
      <c r="W157" s="60"/>
      <c r="X157" s="60"/>
      <c r="Y157" s="60"/>
      <c r="Z157" s="60"/>
    </row>
    <row r="158" ht="53.25" customHeight="1">
      <c r="A158" s="62">
        <v>45.0</v>
      </c>
      <c r="B158" s="60" t="s">
        <v>1495</v>
      </c>
      <c r="C158" s="84" t="s">
        <v>21830</v>
      </c>
      <c r="D158" s="60" t="s">
        <v>20836</v>
      </c>
      <c r="E158" s="60" t="s">
        <v>634</v>
      </c>
      <c r="F158" s="85" t="s">
        <v>21831</v>
      </c>
      <c r="G158" s="85" t="s">
        <v>21219</v>
      </c>
      <c r="H158" s="62">
        <v>75.0</v>
      </c>
      <c r="I158" s="60"/>
      <c r="J158" s="60"/>
      <c r="K158" s="60"/>
      <c r="L158" s="60"/>
      <c r="M158" s="60"/>
      <c r="N158" s="60"/>
      <c r="O158" s="60"/>
      <c r="P158" s="60"/>
      <c r="Q158" s="60"/>
      <c r="R158" s="60"/>
      <c r="S158" s="60"/>
      <c r="T158" s="60"/>
      <c r="U158" s="60"/>
      <c r="V158" s="60"/>
      <c r="W158" s="60"/>
      <c r="X158" s="60"/>
      <c r="Y158" s="60"/>
      <c r="Z158" s="60"/>
    </row>
    <row r="159" ht="53.25" customHeight="1">
      <c r="A159" s="62">
        <v>433.0</v>
      </c>
      <c r="B159" s="60" t="s">
        <v>1636</v>
      </c>
      <c r="C159" s="84" t="s">
        <v>21832</v>
      </c>
      <c r="D159" s="60" t="s">
        <v>20510</v>
      </c>
      <c r="E159" s="60" t="s">
        <v>19813</v>
      </c>
      <c r="F159" s="85" t="s">
        <v>21833</v>
      </c>
      <c r="G159" s="85" t="s">
        <v>21220</v>
      </c>
      <c r="H159" s="62">
        <v>75.0</v>
      </c>
      <c r="I159" s="60"/>
      <c r="J159" s="60"/>
      <c r="K159" s="60"/>
      <c r="L159" s="60"/>
      <c r="M159" s="60"/>
      <c r="N159" s="60"/>
      <c r="O159" s="60"/>
      <c r="P159" s="60"/>
      <c r="Q159" s="60"/>
      <c r="R159" s="60"/>
      <c r="S159" s="60"/>
      <c r="T159" s="60"/>
      <c r="U159" s="60"/>
      <c r="V159" s="60"/>
      <c r="W159" s="60"/>
      <c r="X159" s="60"/>
      <c r="Y159" s="60"/>
      <c r="Z159" s="60"/>
    </row>
    <row r="160" ht="53.25" customHeight="1">
      <c r="A160" s="62">
        <v>34.0</v>
      </c>
      <c r="B160" s="60" t="s">
        <v>1487</v>
      </c>
      <c r="C160" s="84" t="s">
        <v>21834</v>
      </c>
      <c r="D160" s="60" t="s">
        <v>21835</v>
      </c>
      <c r="E160" s="60" t="s">
        <v>20009</v>
      </c>
      <c r="F160" s="85" t="s">
        <v>21836</v>
      </c>
      <c r="G160" s="85" t="s">
        <v>21221</v>
      </c>
      <c r="H160" s="62">
        <v>75.0</v>
      </c>
      <c r="I160" s="60"/>
      <c r="J160" s="60"/>
      <c r="K160" s="60"/>
      <c r="L160" s="60"/>
      <c r="M160" s="60"/>
      <c r="N160" s="60"/>
      <c r="O160" s="60"/>
      <c r="P160" s="60"/>
      <c r="Q160" s="60"/>
      <c r="R160" s="60"/>
      <c r="S160" s="60"/>
      <c r="T160" s="60"/>
      <c r="U160" s="60"/>
      <c r="V160" s="60"/>
      <c r="W160" s="60"/>
      <c r="X160" s="60"/>
      <c r="Y160" s="60"/>
      <c r="Z160" s="60"/>
    </row>
    <row r="161" ht="53.25" customHeight="1">
      <c r="A161" s="62">
        <v>47.0</v>
      </c>
      <c r="B161" s="60" t="s">
        <v>59</v>
      </c>
      <c r="C161" s="84" t="s">
        <v>21837</v>
      </c>
      <c r="D161" s="60" t="s">
        <v>19724</v>
      </c>
      <c r="E161" s="60" t="s">
        <v>19725</v>
      </c>
      <c r="F161" s="85" t="s">
        <v>21838</v>
      </c>
      <c r="G161" s="85" t="s">
        <v>21222</v>
      </c>
      <c r="H161" s="62">
        <v>75.0</v>
      </c>
      <c r="I161" s="60"/>
      <c r="J161" s="60"/>
      <c r="K161" s="60"/>
      <c r="L161" s="60"/>
      <c r="M161" s="60"/>
      <c r="N161" s="60"/>
      <c r="O161" s="60"/>
      <c r="P161" s="60"/>
      <c r="Q161" s="60"/>
      <c r="R161" s="60"/>
      <c r="S161" s="60"/>
      <c r="T161" s="60"/>
      <c r="U161" s="60"/>
      <c r="V161" s="60"/>
      <c r="W161" s="60"/>
      <c r="X161" s="60"/>
      <c r="Y161" s="60"/>
      <c r="Z161" s="60"/>
    </row>
    <row r="162" ht="53.25" customHeight="1">
      <c r="A162" s="62">
        <v>420.0</v>
      </c>
      <c r="B162" s="60" t="s">
        <v>459</v>
      </c>
      <c r="C162" s="84" t="s">
        <v>21839</v>
      </c>
      <c r="D162" s="60" t="s">
        <v>19560</v>
      </c>
      <c r="E162" s="60" t="s">
        <v>173</v>
      </c>
      <c r="F162" s="85" t="s">
        <v>21840</v>
      </c>
      <c r="G162" s="85" t="s">
        <v>21223</v>
      </c>
      <c r="H162" s="62">
        <v>75.0</v>
      </c>
      <c r="I162" s="60"/>
      <c r="J162" s="60"/>
      <c r="K162" s="60"/>
      <c r="L162" s="60"/>
      <c r="M162" s="60"/>
      <c r="N162" s="60"/>
      <c r="O162" s="60"/>
      <c r="P162" s="60"/>
      <c r="Q162" s="60"/>
      <c r="R162" s="60"/>
      <c r="S162" s="60"/>
      <c r="T162" s="60"/>
      <c r="U162" s="60"/>
      <c r="V162" s="60"/>
      <c r="W162" s="60"/>
      <c r="X162" s="60"/>
      <c r="Y162" s="60"/>
      <c r="Z162" s="60"/>
    </row>
    <row r="163" ht="53.25" customHeight="1">
      <c r="A163" s="62">
        <v>57.0</v>
      </c>
      <c r="B163" s="60" t="s">
        <v>264</v>
      </c>
      <c r="C163" s="84" t="s">
        <v>21841</v>
      </c>
      <c r="D163" s="60" t="s">
        <v>20593</v>
      </c>
      <c r="E163" s="60" t="s">
        <v>19572</v>
      </c>
      <c r="F163" s="85" t="s">
        <v>21842</v>
      </c>
      <c r="G163" s="85" t="s">
        <v>21224</v>
      </c>
      <c r="H163" s="62">
        <v>75.0</v>
      </c>
      <c r="I163" s="60"/>
      <c r="J163" s="60"/>
      <c r="K163" s="60"/>
      <c r="L163" s="60"/>
      <c r="M163" s="60"/>
      <c r="N163" s="60"/>
      <c r="O163" s="60"/>
      <c r="P163" s="60"/>
      <c r="Q163" s="60"/>
      <c r="R163" s="60"/>
      <c r="S163" s="60"/>
      <c r="T163" s="60"/>
      <c r="U163" s="60"/>
      <c r="V163" s="60"/>
      <c r="W163" s="60"/>
      <c r="X163" s="60"/>
      <c r="Y163" s="60"/>
      <c r="Z163" s="60"/>
    </row>
    <row r="164" ht="53.25" customHeight="1">
      <c r="A164" s="62">
        <v>419.0</v>
      </c>
      <c r="B164" s="60" t="s">
        <v>1074</v>
      </c>
      <c r="C164" s="84" t="s">
        <v>21843</v>
      </c>
      <c r="D164" s="60" t="s">
        <v>20854</v>
      </c>
      <c r="E164" s="60" t="s">
        <v>20855</v>
      </c>
      <c r="F164" s="85" t="s">
        <v>21844</v>
      </c>
      <c r="G164" s="85" t="s">
        <v>21225</v>
      </c>
      <c r="H164" s="62">
        <v>75.0</v>
      </c>
      <c r="I164" s="60"/>
      <c r="J164" s="60"/>
      <c r="K164" s="60"/>
      <c r="L164" s="60"/>
      <c r="M164" s="60"/>
      <c r="N164" s="60"/>
      <c r="O164" s="60"/>
      <c r="P164" s="60"/>
      <c r="Q164" s="60"/>
      <c r="R164" s="60"/>
      <c r="S164" s="60"/>
      <c r="T164" s="60"/>
      <c r="U164" s="60"/>
      <c r="V164" s="60"/>
      <c r="W164" s="60"/>
      <c r="X164" s="60"/>
      <c r="Y164" s="60"/>
      <c r="Z164" s="60"/>
    </row>
    <row r="165" ht="53.25" customHeight="1">
      <c r="A165" s="62">
        <v>32.0</v>
      </c>
      <c r="B165" s="60" t="s">
        <v>394</v>
      </c>
      <c r="C165" s="84" t="s">
        <v>21845</v>
      </c>
      <c r="D165" s="60" t="s">
        <v>20174</v>
      </c>
      <c r="E165" s="60" t="s">
        <v>740</v>
      </c>
      <c r="F165" s="85" t="s">
        <v>21846</v>
      </c>
      <c r="G165" s="85" t="s">
        <v>21226</v>
      </c>
      <c r="H165" s="62">
        <v>75.0</v>
      </c>
      <c r="I165" s="60"/>
      <c r="J165" s="60"/>
      <c r="K165" s="60"/>
      <c r="L165" s="60"/>
      <c r="M165" s="60"/>
      <c r="N165" s="60"/>
      <c r="O165" s="60"/>
      <c r="P165" s="60"/>
      <c r="Q165" s="60"/>
      <c r="R165" s="60"/>
      <c r="S165" s="60"/>
      <c r="T165" s="60"/>
      <c r="U165" s="60"/>
      <c r="V165" s="60"/>
      <c r="W165" s="60"/>
      <c r="X165" s="60"/>
      <c r="Y165" s="60"/>
      <c r="Z165" s="60"/>
    </row>
    <row r="166" ht="53.25" customHeight="1">
      <c r="A166" s="62">
        <v>418.0</v>
      </c>
      <c r="B166" s="60" t="s">
        <v>1010</v>
      </c>
      <c r="C166" s="84" t="s">
        <v>21847</v>
      </c>
      <c r="D166" s="60" t="s">
        <v>20941</v>
      </c>
      <c r="E166" s="60" t="s">
        <v>20706</v>
      </c>
      <c r="F166" s="85" t="s">
        <v>21848</v>
      </c>
      <c r="G166" s="85" t="s">
        <v>21227</v>
      </c>
      <c r="H166" s="62">
        <v>75.0</v>
      </c>
      <c r="I166" s="60"/>
      <c r="J166" s="60"/>
      <c r="K166" s="60"/>
      <c r="L166" s="60"/>
      <c r="M166" s="60"/>
      <c r="N166" s="60"/>
      <c r="O166" s="60"/>
      <c r="P166" s="60"/>
      <c r="Q166" s="60"/>
      <c r="R166" s="60"/>
      <c r="S166" s="60"/>
      <c r="T166" s="60"/>
      <c r="U166" s="60"/>
      <c r="V166" s="60"/>
      <c r="W166" s="60"/>
      <c r="X166" s="60"/>
      <c r="Y166" s="60"/>
      <c r="Z166" s="60"/>
    </row>
    <row r="167" ht="53.25" customHeight="1">
      <c r="A167" s="62">
        <v>53.0</v>
      </c>
      <c r="B167" s="60" t="s">
        <v>1498</v>
      </c>
      <c r="C167" s="84" t="s">
        <v>21849</v>
      </c>
      <c r="D167" s="60" t="s">
        <v>20590</v>
      </c>
      <c r="E167" s="60" t="s">
        <v>19598</v>
      </c>
      <c r="F167" s="85" t="s">
        <v>21850</v>
      </c>
      <c r="G167" s="85" t="s">
        <v>21228</v>
      </c>
      <c r="H167" s="62">
        <v>75.0</v>
      </c>
      <c r="I167" s="60"/>
      <c r="J167" s="60"/>
      <c r="K167" s="60"/>
      <c r="L167" s="60"/>
      <c r="M167" s="60"/>
      <c r="N167" s="60"/>
      <c r="O167" s="60"/>
      <c r="P167" s="60"/>
      <c r="Q167" s="60"/>
      <c r="R167" s="60"/>
      <c r="S167" s="60"/>
      <c r="T167" s="60"/>
      <c r="U167" s="60"/>
      <c r="V167" s="60"/>
      <c r="W167" s="60"/>
      <c r="X167" s="60"/>
      <c r="Y167" s="60"/>
      <c r="Z167" s="60"/>
    </row>
    <row r="168" ht="53.25" customHeight="1">
      <c r="A168" s="62">
        <v>31.0</v>
      </c>
      <c r="B168" s="60" t="s">
        <v>53</v>
      </c>
      <c r="C168" s="84" t="s">
        <v>21851</v>
      </c>
      <c r="D168" s="60" t="s">
        <v>20052</v>
      </c>
      <c r="E168" s="60" t="s">
        <v>719</v>
      </c>
      <c r="F168" s="85" t="s">
        <v>21852</v>
      </c>
      <c r="G168" s="85" t="s">
        <v>21229</v>
      </c>
      <c r="H168" s="62">
        <v>75.0</v>
      </c>
      <c r="I168" s="60"/>
      <c r="J168" s="60"/>
      <c r="K168" s="60"/>
      <c r="L168" s="60"/>
      <c r="M168" s="60"/>
      <c r="N168" s="60"/>
      <c r="O168" s="60"/>
      <c r="P168" s="60"/>
      <c r="Q168" s="60"/>
      <c r="R168" s="60"/>
      <c r="S168" s="60"/>
      <c r="T168" s="60"/>
      <c r="U168" s="60"/>
      <c r="V168" s="60"/>
      <c r="W168" s="60"/>
      <c r="X168" s="60"/>
      <c r="Y168" s="60"/>
      <c r="Z168" s="60"/>
    </row>
    <row r="169" ht="53.25" customHeight="1">
      <c r="A169" s="62">
        <v>416.0</v>
      </c>
      <c r="B169" s="60" t="s">
        <v>537</v>
      </c>
      <c r="C169" s="84" t="s">
        <v>21853</v>
      </c>
      <c r="D169" s="60" t="s">
        <v>20045</v>
      </c>
      <c r="E169" s="60" t="s">
        <v>670</v>
      </c>
      <c r="F169" s="85" t="s">
        <v>21854</v>
      </c>
      <c r="G169" s="85" t="s">
        <v>21230</v>
      </c>
      <c r="H169" s="62">
        <v>75.0</v>
      </c>
      <c r="I169" s="60"/>
      <c r="J169" s="60"/>
      <c r="K169" s="60"/>
      <c r="L169" s="60"/>
      <c r="M169" s="60"/>
      <c r="N169" s="60"/>
      <c r="O169" s="60"/>
      <c r="P169" s="60"/>
      <c r="Q169" s="60"/>
      <c r="R169" s="60"/>
      <c r="S169" s="60"/>
      <c r="T169" s="60"/>
      <c r="U169" s="60"/>
      <c r="V169" s="60"/>
      <c r="W169" s="60"/>
      <c r="X169" s="60"/>
      <c r="Y169" s="60"/>
      <c r="Z169" s="60"/>
    </row>
    <row r="170" ht="53.25" customHeight="1">
      <c r="A170" s="62">
        <v>434.0</v>
      </c>
      <c r="B170" s="60" t="s">
        <v>263</v>
      </c>
      <c r="C170" s="84" t="s">
        <v>21855</v>
      </c>
      <c r="D170" s="60" t="s">
        <v>19661</v>
      </c>
      <c r="E170" s="60" t="s">
        <v>19662</v>
      </c>
      <c r="F170" s="85" t="s">
        <v>21856</v>
      </c>
      <c r="G170" s="85" t="s">
        <v>21231</v>
      </c>
      <c r="H170" s="62">
        <v>75.0</v>
      </c>
      <c r="I170" s="60"/>
      <c r="J170" s="60"/>
      <c r="K170" s="60"/>
      <c r="L170" s="60"/>
      <c r="M170" s="60"/>
      <c r="N170" s="60"/>
      <c r="O170" s="60"/>
      <c r="P170" s="60"/>
      <c r="Q170" s="60"/>
      <c r="R170" s="60"/>
      <c r="S170" s="60"/>
      <c r="T170" s="60"/>
      <c r="U170" s="60"/>
      <c r="V170" s="60"/>
      <c r="W170" s="60"/>
      <c r="X170" s="60"/>
      <c r="Y170" s="60"/>
      <c r="Z170" s="60"/>
    </row>
    <row r="171" ht="53.25" customHeight="1">
      <c r="A171" s="62">
        <v>55.0</v>
      </c>
      <c r="B171" s="60" t="s">
        <v>890</v>
      </c>
      <c r="C171" s="84" t="s">
        <v>21857</v>
      </c>
      <c r="D171" s="60" t="s">
        <v>20073</v>
      </c>
      <c r="E171" s="60" t="s">
        <v>173</v>
      </c>
      <c r="F171" s="85" t="s">
        <v>21858</v>
      </c>
      <c r="G171" s="85" t="s">
        <v>21232</v>
      </c>
      <c r="H171" s="62">
        <v>75.0</v>
      </c>
      <c r="I171" s="60"/>
      <c r="J171" s="60"/>
      <c r="K171" s="60"/>
      <c r="L171" s="60"/>
      <c r="M171" s="60"/>
      <c r="N171" s="60"/>
      <c r="O171" s="60"/>
      <c r="P171" s="60"/>
      <c r="Q171" s="60"/>
      <c r="R171" s="60"/>
      <c r="S171" s="60"/>
      <c r="T171" s="60"/>
      <c r="U171" s="60"/>
      <c r="V171" s="60"/>
      <c r="W171" s="60"/>
      <c r="X171" s="60"/>
      <c r="Y171" s="60"/>
      <c r="Z171" s="60"/>
    </row>
    <row r="172" ht="53.25" customHeight="1">
      <c r="A172" s="62">
        <v>56.0</v>
      </c>
      <c r="B172" s="60" t="s">
        <v>1500</v>
      </c>
      <c r="C172" s="84" t="s">
        <v>21859</v>
      </c>
      <c r="D172" s="60" t="s">
        <v>20076</v>
      </c>
      <c r="E172" s="60" t="s">
        <v>20077</v>
      </c>
      <c r="F172" s="85" t="s">
        <v>21860</v>
      </c>
      <c r="G172" s="85" t="s">
        <v>21233</v>
      </c>
      <c r="H172" s="62">
        <v>75.0</v>
      </c>
      <c r="I172" s="60"/>
      <c r="J172" s="60"/>
      <c r="K172" s="60"/>
      <c r="L172" s="60"/>
      <c r="M172" s="60"/>
      <c r="N172" s="60"/>
      <c r="O172" s="60"/>
      <c r="P172" s="60"/>
      <c r="Q172" s="60"/>
      <c r="R172" s="60"/>
      <c r="S172" s="60"/>
      <c r="T172" s="60"/>
      <c r="U172" s="60"/>
      <c r="V172" s="60"/>
      <c r="W172" s="60"/>
      <c r="X172" s="60"/>
      <c r="Y172" s="60"/>
      <c r="Z172" s="60"/>
    </row>
    <row r="173" ht="53.25" customHeight="1">
      <c r="A173" s="62">
        <v>432.0</v>
      </c>
      <c r="B173" s="60" t="s">
        <v>809</v>
      </c>
      <c r="C173" s="84" t="s">
        <v>21861</v>
      </c>
      <c r="D173" s="60" t="s">
        <v>20506</v>
      </c>
      <c r="E173" s="60" t="s">
        <v>20507</v>
      </c>
      <c r="F173" s="85" t="s">
        <v>21862</v>
      </c>
      <c r="G173" s="85" t="s">
        <v>21234</v>
      </c>
      <c r="H173" s="62">
        <v>75.0</v>
      </c>
      <c r="I173" s="60"/>
      <c r="J173" s="60"/>
      <c r="K173" s="60"/>
      <c r="L173" s="60"/>
      <c r="M173" s="60"/>
      <c r="N173" s="60"/>
      <c r="O173" s="60"/>
      <c r="P173" s="60"/>
      <c r="Q173" s="60"/>
      <c r="R173" s="60"/>
      <c r="S173" s="60"/>
      <c r="T173" s="60"/>
      <c r="U173" s="60"/>
      <c r="V173" s="60"/>
      <c r="W173" s="60"/>
      <c r="X173" s="60"/>
      <c r="Y173" s="60"/>
      <c r="Z173" s="60"/>
    </row>
    <row r="174" ht="53.25" customHeight="1">
      <c r="A174" s="62">
        <v>391.0</v>
      </c>
      <c r="B174" s="60" t="s">
        <v>898</v>
      </c>
      <c r="C174" s="84" t="s">
        <v>21863</v>
      </c>
      <c r="D174" s="60" t="s">
        <v>20731</v>
      </c>
      <c r="E174" s="60" t="s">
        <v>19906</v>
      </c>
      <c r="F174" s="85" t="s">
        <v>21864</v>
      </c>
      <c r="G174" s="85" t="s">
        <v>21235</v>
      </c>
      <c r="H174" s="62">
        <v>75.0</v>
      </c>
      <c r="I174" s="60"/>
      <c r="J174" s="60"/>
      <c r="K174" s="60"/>
      <c r="L174" s="60"/>
      <c r="M174" s="60"/>
      <c r="N174" s="60"/>
      <c r="O174" s="60"/>
      <c r="P174" s="60"/>
      <c r="Q174" s="60"/>
      <c r="R174" s="60"/>
      <c r="S174" s="60"/>
      <c r="T174" s="60"/>
      <c r="U174" s="60"/>
      <c r="V174" s="60"/>
      <c r="W174" s="60"/>
      <c r="X174" s="60"/>
      <c r="Y174" s="60"/>
      <c r="Z174" s="60"/>
    </row>
    <row r="175" ht="53.25" customHeight="1">
      <c r="A175" s="62">
        <v>23.0</v>
      </c>
      <c r="B175" s="60" t="s">
        <v>1067</v>
      </c>
      <c r="C175" s="84" t="s">
        <v>21865</v>
      </c>
      <c r="D175" s="60" t="s">
        <v>20944</v>
      </c>
      <c r="E175" s="60" t="s">
        <v>702</v>
      </c>
      <c r="F175" s="85" t="s">
        <v>21866</v>
      </c>
      <c r="G175" s="85" t="s">
        <v>21236</v>
      </c>
      <c r="H175" s="62">
        <v>75.0</v>
      </c>
      <c r="I175" s="60"/>
      <c r="J175" s="60"/>
      <c r="K175" s="60"/>
      <c r="L175" s="60"/>
      <c r="M175" s="60"/>
      <c r="N175" s="60"/>
      <c r="O175" s="60"/>
      <c r="P175" s="60"/>
      <c r="Q175" s="60"/>
      <c r="R175" s="60"/>
      <c r="S175" s="60"/>
      <c r="T175" s="60"/>
      <c r="U175" s="60"/>
      <c r="V175" s="60"/>
      <c r="W175" s="60"/>
      <c r="X175" s="60"/>
      <c r="Y175" s="60"/>
      <c r="Z175" s="60"/>
    </row>
    <row r="176" ht="53.25" customHeight="1">
      <c r="A176" s="62">
        <v>87.0</v>
      </c>
      <c r="B176" s="60" t="s">
        <v>1515</v>
      </c>
      <c r="C176" s="84" t="s">
        <v>21867</v>
      </c>
      <c r="D176" s="60" t="s">
        <v>20421</v>
      </c>
      <c r="E176" s="60" t="s">
        <v>314</v>
      </c>
      <c r="F176" s="85" t="s">
        <v>21868</v>
      </c>
      <c r="G176" s="85" t="s">
        <v>21237</v>
      </c>
      <c r="H176" s="62">
        <v>75.0</v>
      </c>
      <c r="I176" s="60"/>
      <c r="J176" s="60"/>
      <c r="K176" s="60"/>
      <c r="L176" s="60"/>
      <c r="M176" s="60"/>
      <c r="N176" s="60"/>
      <c r="O176" s="60"/>
      <c r="P176" s="60"/>
      <c r="Q176" s="60"/>
      <c r="R176" s="60"/>
      <c r="S176" s="60"/>
      <c r="T176" s="60"/>
      <c r="U176" s="60"/>
      <c r="V176" s="60"/>
      <c r="W176" s="60"/>
      <c r="X176" s="60"/>
      <c r="Y176" s="60"/>
      <c r="Z176" s="60"/>
    </row>
    <row r="177" ht="53.25" customHeight="1">
      <c r="A177" s="62">
        <v>11.0</v>
      </c>
      <c r="B177" s="60" t="s">
        <v>278</v>
      </c>
      <c r="C177" s="84" t="s">
        <v>21869</v>
      </c>
      <c r="D177" s="60" t="s">
        <v>19775</v>
      </c>
      <c r="E177" s="60" t="s">
        <v>19620</v>
      </c>
      <c r="F177" s="85" t="s">
        <v>21870</v>
      </c>
      <c r="G177" s="85" t="s">
        <v>21238</v>
      </c>
      <c r="H177" s="62">
        <v>75.0</v>
      </c>
      <c r="I177" s="60"/>
      <c r="J177" s="60"/>
      <c r="K177" s="60"/>
      <c r="L177" s="60"/>
      <c r="M177" s="60"/>
      <c r="N177" s="60"/>
      <c r="O177" s="60"/>
      <c r="P177" s="60"/>
      <c r="Q177" s="60"/>
      <c r="R177" s="60"/>
      <c r="S177" s="60"/>
      <c r="T177" s="60"/>
      <c r="U177" s="60"/>
      <c r="V177" s="60"/>
      <c r="W177" s="60"/>
      <c r="X177" s="60"/>
      <c r="Y177" s="60"/>
      <c r="Z177" s="60"/>
    </row>
    <row r="178" ht="53.25" customHeight="1">
      <c r="A178" s="62">
        <v>104.0</v>
      </c>
      <c r="B178" s="60" t="s">
        <v>1393</v>
      </c>
      <c r="C178" s="84" t="s">
        <v>21871</v>
      </c>
      <c r="D178" s="60" t="s">
        <v>19872</v>
      </c>
      <c r="E178" s="60" t="s">
        <v>107</v>
      </c>
      <c r="F178" s="85" t="s">
        <v>21872</v>
      </c>
      <c r="G178" s="85" t="s">
        <v>21239</v>
      </c>
      <c r="H178" s="62">
        <v>75.0</v>
      </c>
      <c r="I178" s="60"/>
      <c r="J178" s="60"/>
      <c r="K178" s="60"/>
      <c r="L178" s="60"/>
      <c r="M178" s="60"/>
      <c r="N178" s="60"/>
      <c r="O178" s="60"/>
      <c r="P178" s="60"/>
      <c r="Q178" s="60"/>
      <c r="R178" s="60"/>
      <c r="S178" s="60"/>
      <c r="T178" s="60"/>
      <c r="U178" s="60"/>
      <c r="V178" s="60"/>
      <c r="W178" s="60"/>
      <c r="X178" s="60"/>
      <c r="Y178" s="60"/>
      <c r="Z178" s="60"/>
    </row>
    <row r="179" ht="53.25" customHeight="1">
      <c r="A179" s="62">
        <v>106.0</v>
      </c>
      <c r="B179" s="60" t="s">
        <v>1133</v>
      </c>
      <c r="C179" s="84" t="s">
        <v>21873</v>
      </c>
      <c r="D179" s="60" t="s">
        <v>19590</v>
      </c>
      <c r="E179" s="60" t="s">
        <v>740</v>
      </c>
      <c r="F179" s="85" t="s">
        <v>21874</v>
      </c>
      <c r="G179" s="85" t="s">
        <v>21240</v>
      </c>
      <c r="H179" s="62">
        <v>75.0</v>
      </c>
      <c r="I179" s="60"/>
      <c r="J179" s="60"/>
      <c r="K179" s="60"/>
      <c r="L179" s="60"/>
      <c r="M179" s="60"/>
      <c r="N179" s="60"/>
      <c r="O179" s="60"/>
      <c r="P179" s="60"/>
      <c r="Q179" s="60"/>
      <c r="R179" s="60"/>
      <c r="S179" s="60"/>
      <c r="T179" s="60"/>
      <c r="U179" s="60"/>
      <c r="V179" s="60"/>
      <c r="W179" s="60"/>
      <c r="X179" s="60"/>
      <c r="Y179" s="60"/>
      <c r="Z179" s="60"/>
    </row>
    <row r="180" ht="53.25" customHeight="1">
      <c r="A180" s="62">
        <v>380.0</v>
      </c>
      <c r="B180" s="60" t="s">
        <v>1165</v>
      </c>
      <c r="C180" s="84" t="s">
        <v>21875</v>
      </c>
      <c r="D180" s="60" t="s">
        <v>20460</v>
      </c>
      <c r="E180" s="60" t="s">
        <v>19598</v>
      </c>
      <c r="F180" s="85" t="s">
        <v>21876</v>
      </c>
      <c r="G180" s="85" t="s">
        <v>21241</v>
      </c>
      <c r="H180" s="62">
        <v>75.0</v>
      </c>
      <c r="I180" s="60"/>
      <c r="J180" s="60"/>
      <c r="K180" s="60"/>
      <c r="L180" s="60"/>
      <c r="M180" s="60"/>
      <c r="N180" s="60"/>
      <c r="O180" s="60"/>
      <c r="P180" s="60"/>
      <c r="Q180" s="60"/>
      <c r="R180" s="60"/>
      <c r="S180" s="60"/>
      <c r="T180" s="60"/>
      <c r="U180" s="60"/>
      <c r="V180" s="60"/>
      <c r="W180" s="60"/>
      <c r="X180" s="60"/>
      <c r="Y180" s="60"/>
      <c r="Z180" s="60"/>
    </row>
    <row r="181" ht="53.25" customHeight="1">
      <c r="A181" s="62">
        <v>10.0</v>
      </c>
      <c r="B181" s="60" t="s">
        <v>242</v>
      </c>
      <c r="C181" s="84" t="s">
        <v>21877</v>
      </c>
      <c r="D181" s="60" t="s">
        <v>242</v>
      </c>
      <c r="E181" s="60" t="s">
        <v>19765</v>
      </c>
      <c r="F181" s="85" t="s">
        <v>21878</v>
      </c>
      <c r="G181" s="85" t="s">
        <v>21242</v>
      </c>
      <c r="H181" s="62">
        <v>75.0</v>
      </c>
      <c r="I181" s="60"/>
      <c r="J181" s="60"/>
      <c r="K181" s="60"/>
      <c r="L181" s="60"/>
      <c r="M181" s="60"/>
      <c r="N181" s="60"/>
      <c r="O181" s="60"/>
      <c r="P181" s="60"/>
      <c r="Q181" s="60"/>
      <c r="R181" s="60"/>
      <c r="S181" s="60"/>
      <c r="T181" s="60"/>
      <c r="U181" s="60"/>
      <c r="V181" s="60"/>
      <c r="W181" s="60"/>
      <c r="X181" s="60"/>
      <c r="Y181" s="60"/>
      <c r="Z181" s="60"/>
    </row>
    <row r="182" ht="53.25" customHeight="1">
      <c r="A182" s="62">
        <v>109.0</v>
      </c>
      <c r="B182" s="60" t="s">
        <v>275</v>
      </c>
      <c r="C182" s="84" t="s">
        <v>21879</v>
      </c>
      <c r="D182" s="60" t="s">
        <v>19582</v>
      </c>
      <c r="E182" s="60" t="s">
        <v>19583</v>
      </c>
      <c r="F182" s="85" t="s">
        <v>21880</v>
      </c>
      <c r="G182" s="85" t="s">
        <v>21243</v>
      </c>
      <c r="H182" s="62">
        <v>75.0</v>
      </c>
      <c r="I182" s="60"/>
      <c r="J182" s="60"/>
      <c r="K182" s="60"/>
      <c r="L182" s="60"/>
      <c r="M182" s="60"/>
      <c r="N182" s="60"/>
      <c r="O182" s="60"/>
      <c r="P182" s="60"/>
      <c r="Q182" s="60"/>
      <c r="R182" s="60"/>
      <c r="S182" s="60"/>
      <c r="T182" s="60"/>
      <c r="U182" s="60"/>
      <c r="V182" s="60"/>
      <c r="W182" s="60"/>
      <c r="X182" s="60"/>
      <c r="Y182" s="60"/>
      <c r="Z182" s="60"/>
    </row>
    <row r="183" ht="53.25" customHeight="1">
      <c r="A183" s="62">
        <v>9.0</v>
      </c>
      <c r="B183" s="60" t="s">
        <v>1237</v>
      </c>
      <c r="C183" s="84" t="s">
        <v>21881</v>
      </c>
      <c r="D183" s="60" t="s">
        <v>1237</v>
      </c>
      <c r="E183" s="60" t="s">
        <v>19800</v>
      </c>
      <c r="F183" s="85" t="s">
        <v>21882</v>
      </c>
      <c r="G183" s="85" t="s">
        <v>21244</v>
      </c>
      <c r="H183" s="62">
        <v>75.0</v>
      </c>
      <c r="I183" s="60"/>
      <c r="J183" s="60"/>
      <c r="K183" s="60"/>
      <c r="L183" s="60"/>
      <c r="M183" s="60"/>
      <c r="N183" s="60"/>
      <c r="O183" s="60"/>
      <c r="P183" s="60"/>
      <c r="Q183" s="60"/>
      <c r="R183" s="60"/>
      <c r="S183" s="60"/>
      <c r="T183" s="60"/>
      <c r="U183" s="60"/>
      <c r="V183" s="60"/>
      <c r="W183" s="60"/>
      <c r="X183" s="60"/>
      <c r="Y183" s="60"/>
      <c r="Z183" s="60"/>
    </row>
    <row r="184" ht="53.25" customHeight="1">
      <c r="A184" s="62">
        <v>378.0</v>
      </c>
      <c r="B184" s="60" t="s">
        <v>1443</v>
      </c>
      <c r="C184" s="84" t="s">
        <v>21883</v>
      </c>
      <c r="D184" s="60" t="s">
        <v>20457</v>
      </c>
      <c r="E184" s="60" t="s">
        <v>19699</v>
      </c>
      <c r="F184" s="85" t="s">
        <v>21884</v>
      </c>
      <c r="G184" s="85" t="s">
        <v>21245</v>
      </c>
      <c r="H184" s="62">
        <v>75.0</v>
      </c>
      <c r="I184" s="60"/>
      <c r="J184" s="60"/>
      <c r="K184" s="60"/>
      <c r="L184" s="60"/>
      <c r="M184" s="60"/>
      <c r="N184" s="60"/>
      <c r="O184" s="60"/>
      <c r="P184" s="60"/>
      <c r="Q184" s="60"/>
      <c r="R184" s="60"/>
      <c r="S184" s="60"/>
      <c r="T184" s="60"/>
      <c r="U184" s="60"/>
      <c r="V184" s="60"/>
      <c r="W184" s="60"/>
      <c r="X184" s="60"/>
      <c r="Y184" s="60"/>
      <c r="Z184" s="60"/>
    </row>
    <row r="185" ht="53.25" customHeight="1">
      <c r="A185" s="62">
        <v>111.0</v>
      </c>
      <c r="B185" s="60" t="s">
        <v>1522</v>
      </c>
      <c r="C185" s="84" t="s">
        <v>21885</v>
      </c>
      <c r="D185" s="60" t="s">
        <v>19934</v>
      </c>
      <c r="E185" s="60" t="s">
        <v>19732</v>
      </c>
      <c r="F185" s="85" t="s">
        <v>21886</v>
      </c>
      <c r="G185" s="85" t="s">
        <v>21246</v>
      </c>
      <c r="H185" s="62">
        <v>75.0</v>
      </c>
      <c r="I185" s="60"/>
      <c r="J185" s="60"/>
      <c r="K185" s="60"/>
      <c r="L185" s="60"/>
      <c r="M185" s="60"/>
      <c r="N185" s="60"/>
      <c r="O185" s="60"/>
      <c r="P185" s="60"/>
      <c r="Q185" s="60"/>
      <c r="R185" s="60"/>
      <c r="S185" s="60"/>
      <c r="T185" s="60"/>
      <c r="U185" s="60"/>
      <c r="V185" s="60"/>
      <c r="W185" s="60"/>
      <c r="X185" s="60"/>
      <c r="Y185" s="60"/>
      <c r="Z185" s="60"/>
    </row>
    <row r="186" ht="53.25" customHeight="1">
      <c r="A186" s="62">
        <v>8.0</v>
      </c>
      <c r="B186" s="60" t="s">
        <v>1153</v>
      </c>
      <c r="C186" s="84" t="s">
        <v>21887</v>
      </c>
      <c r="D186" s="60" t="s">
        <v>20896</v>
      </c>
      <c r="E186" s="60" t="s">
        <v>19699</v>
      </c>
      <c r="F186" s="85" t="s">
        <v>21888</v>
      </c>
      <c r="G186" s="85" t="s">
        <v>21247</v>
      </c>
      <c r="H186" s="62">
        <v>75.0</v>
      </c>
      <c r="I186" s="60"/>
      <c r="J186" s="60"/>
      <c r="K186" s="60"/>
      <c r="L186" s="60"/>
      <c r="M186" s="60"/>
      <c r="N186" s="60"/>
      <c r="O186" s="60"/>
      <c r="P186" s="60"/>
      <c r="Q186" s="60"/>
      <c r="R186" s="60"/>
      <c r="S186" s="60"/>
      <c r="T186" s="60"/>
      <c r="U186" s="60"/>
      <c r="V186" s="60"/>
      <c r="W186" s="60"/>
      <c r="X186" s="60"/>
      <c r="Y186" s="60"/>
      <c r="Z186" s="60"/>
    </row>
    <row r="187" ht="53.25" customHeight="1">
      <c r="A187" s="62">
        <v>113.0</v>
      </c>
      <c r="B187" s="60" t="s">
        <v>941</v>
      </c>
      <c r="C187" s="84" t="s">
        <v>21889</v>
      </c>
      <c r="D187" s="60" t="s">
        <v>19563</v>
      </c>
      <c r="E187" s="60" t="s">
        <v>19564</v>
      </c>
      <c r="F187" s="85" t="s">
        <v>21890</v>
      </c>
      <c r="G187" s="85" t="s">
        <v>21248</v>
      </c>
      <c r="H187" s="62">
        <v>75.0</v>
      </c>
      <c r="I187" s="60"/>
      <c r="J187" s="60"/>
      <c r="K187" s="60"/>
      <c r="L187" s="60"/>
      <c r="M187" s="60"/>
      <c r="N187" s="60"/>
      <c r="O187" s="60"/>
      <c r="P187" s="60"/>
      <c r="Q187" s="60"/>
      <c r="R187" s="60"/>
      <c r="S187" s="60"/>
      <c r="T187" s="60"/>
      <c r="U187" s="60"/>
      <c r="V187" s="60"/>
      <c r="W187" s="60"/>
      <c r="X187" s="60"/>
      <c r="Y187" s="60"/>
      <c r="Z187" s="60"/>
    </row>
    <row r="188" ht="53.25" customHeight="1">
      <c r="A188" s="62">
        <v>6.0</v>
      </c>
      <c r="B188" s="60" t="s">
        <v>206</v>
      </c>
      <c r="C188" s="84" t="s">
        <v>21891</v>
      </c>
      <c r="D188" s="60" t="s">
        <v>20190</v>
      </c>
      <c r="E188" s="60" t="s">
        <v>19885</v>
      </c>
      <c r="F188" s="85" t="s">
        <v>21892</v>
      </c>
      <c r="G188" s="85" t="s">
        <v>21249</v>
      </c>
      <c r="H188" s="62">
        <v>75.0</v>
      </c>
      <c r="I188" s="60"/>
      <c r="J188" s="60"/>
      <c r="K188" s="60"/>
      <c r="L188" s="60"/>
      <c r="M188" s="60"/>
      <c r="N188" s="60"/>
      <c r="O188" s="60"/>
      <c r="P188" s="60"/>
      <c r="Q188" s="60"/>
      <c r="R188" s="60"/>
      <c r="S188" s="60"/>
      <c r="T188" s="60"/>
      <c r="U188" s="60"/>
      <c r="V188" s="60"/>
      <c r="W188" s="60"/>
      <c r="X188" s="60"/>
      <c r="Y188" s="60"/>
      <c r="Z188" s="60"/>
    </row>
    <row r="189" ht="53.25" customHeight="1">
      <c r="A189" s="62">
        <v>5.0</v>
      </c>
      <c r="B189" s="60" t="s">
        <v>1474</v>
      </c>
      <c r="C189" s="84" t="s">
        <v>21893</v>
      </c>
      <c r="D189" s="60" t="s">
        <v>19754</v>
      </c>
      <c r="E189" s="60" t="s">
        <v>19755</v>
      </c>
      <c r="F189" s="85" t="s">
        <v>21894</v>
      </c>
      <c r="G189" s="85" t="s">
        <v>21250</v>
      </c>
      <c r="H189" s="62">
        <v>75.0</v>
      </c>
      <c r="I189" s="60"/>
      <c r="J189" s="60"/>
      <c r="K189" s="60"/>
      <c r="L189" s="60"/>
      <c r="M189" s="60"/>
      <c r="N189" s="60"/>
      <c r="O189" s="60"/>
      <c r="P189" s="60"/>
      <c r="Q189" s="60"/>
      <c r="R189" s="60"/>
      <c r="S189" s="60"/>
      <c r="T189" s="60"/>
      <c r="U189" s="60"/>
      <c r="V189" s="60"/>
      <c r="W189" s="60"/>
      <c r="X189" s="60"/>
      <c r="Y189" s="60"/>
      <c r="Z189" s="60"/>
    </row>
    <row r="190" ht="53.25" customHeight="1">
      <c r="A190" s="62">
        <v>4.0</v>
      </c>
      <c r="B190" s="60" t="s">
        <v>771</v>
      </c>
      <c r="C190" s="84" t="s">
        <v>21895</v>
      </c>
      <c r="D190" s="60" t="s">
        <v>19758</v>
      </c>
      <c r="E190" s="60" t="s">
        <v>19598</v>
      </c>
      <c r="F190" s="85" t="s">
        <v>21896</v>
      </c>
      <c r="G190" s="85" t="s">
        <v>21251</v>
      </c>
      <c r="H190" s="62">
        <v>75.0</v>
      </c>
      <c r="I190" s="60"/>
      <c r="J190" s="60"/>
      <c r="K190" s="60"/>
      <c r="L190" s="60"/>
      <c r="M190" s="60"/>
      <c r="N190" s="60"/>
      <c r="O190" s="60"/>
      <c r="P190" s="60"/>
      <c r="Q190" s="60"/>
      <c r="R190" s="60"/>
      <c r="S190" s="60"/>
      <c r="T190" s="60"/>
      <c r="U190" s="60"/>
      <c r="V190" s="60"/>
      <c r="W190" s="60"/>
      <c r="X190" s="60"/>
      <c r="Y190" s="60"/>
      <c r="Z190" s="60"/>
    </row>
    <row r="191" ht="53.25" customHeight="1">
      <c r="A191" s="62">
        <v>3.0</v>
      </c>
      <c r="B191" s="60" t="s">
        <v>198</v>
      </c>
      <c r="C191" s="84" t="s">
        <v>21897</v>
      </c>
      <c r="D191" s="60" t="s">
        <v>20193</v>
      </c>
      <c r="E191" s="60" t="s">
        <v>309</v>
      </c>
      <c r="F191" s="85" t="s">
        <v>21898</v>
      </c>
      <c r="G191" s="85" t="s">
        <v>21252</v>
      </c>
      <c r="H191" s="62">
        <v>75.0</v>
      </c>
      <c r="I191" s="60"/>
      <c r="J191" s="60"/>
      <c r="K191" s="60"/>
      <c r="L191" s="60"/>
      <c r="M191" s="60"/>
      <c r="N191" s="60"/>
      <c r="O191" s="60"/>
      <c r="P191" s="60"/>
      <c r="Q191" s="60"/>
      <c r="R191" s="60"/>
      <c r="S191" s="60"/>
      <c r="T191" s="60"/>
      <c r="U191" s="60"/>
      <c r="V191" s="60"/>
      <c r="W191" s="60"/>
      <c r="X191" s="60"/>
      <c r="Y191" s="60"/>
      <c r="Z191" s="60"/>
    </row>
    <row r="192" ht="53.25" customHeight="1">
      <c r="A192" s="62">
        <v>370.0</v>
      </c>
      <c r="B192" s="60" t="s">
        <v>146</v>
      </c>
      <c r="C192" s="84" t="s">
        <v>21899</v>
      </c>
      <c r="D192" s="60" t="s">
        <v>20019</v>
      </c>
      <c r="E192" s="60" t="s">
        <v>159</v>
      </c>
      <c r="F192" s="85" t="s">
        <v>21900</v>
      </c>
      <c r="G192" s="85" t="s">
        <v>21253</v>
      </c>
      <c r="H192" s="62">
        <v>75.0</v>
      </c>
      <c r="I192" s="60"/>
      <c r="J192" s="60"/>
      <c r="K192" s="60"/>
      <c r="L192" s="60"/>
      <c r="M192" s="60"/>
      <c r="N192" s="60"/>
      <c r="O192" s="60"/>
      <c r="P192" s="60"/>
      <c r="Q192" s="60"/>
      <c r="R192" s="60"/>
      <c r="S192" s="60"/>
      <c r="T192" s="60"/>
      <c r="U192" s="60"/>
      <c r="V192" s="60"/>
      <c r="W192" s="60"/>
      <c r="X192" s="60"/>
      <c r="Y192" s="60"/>
      <c r="Z192" s="60"/>
    </row>
    <row r="193" ht="53.25" customHeight="1">
      <c r="A193" s="62">
        <v>118.0</v>
      </c>
      <c r="B193" s="60" t="s">
        <v>295</v>
      </c>
      <c r="C193" s="84" t="s">
        <v>21901</v>
      </c>
      <c r="D193" s="60" t="s">
        <v>20392</v>
      </c>
      <c r="E193" s="60" t="s">
        <v>20393</v>
      </c>
      <c r="F193" s="85" t="s">
        <v>21902</v>
      </c>
      <c r="G193" s="85" t="s">
        <v>21254</v>
      </c>
      <c r="H193" s="62">
        <v>75.0</v>
      </c>
      <c r="I193" s="60"/>
      <c r="J193" s="60"/>
      <c r="K193" s="60"/>
      <c r="L193" s="60"/>
      <c r="M193" s="60"/>
      <c r="N193" s="60"/>
      <c r="O193" s="60"/>
      <c r="P193" s="60"/>
      <c r="Q193" s="60"/>
      <c r="R193" s="60"/>
      <c r="S193" s="60"/>
      <c r="T193" s="60"/>
      <c r="U193" s="60"/>
      <c r="V193" s="60"/>
      <c r="W193" s="60"/>
      <c r="X193" s="60"/>
      <c r="Y193" s="60"/>
      <c r="Z193" s="60"/>
    </row>
    <row r="194" ht="53.25" customHeight="1">
      <c r="A194" s="62">
        <v>441.0</v>
      </c>
      <c r="B194" s="60" t="s">
        <v>1163</v>
      </c>
      <c r="C194" s="84" t="s">
        <v>21903</v>
      </c>
      <c r="D194" s="60" t="s">
        <v>20090</v>
      </c>
      <c r="E194" s="60" t="s">
        <v>19598</v>
      </c>
      <c r="F194" s="85" t="s">
        <v>21904</v>
      </c>
      <c r="G194" s="85" t="s">
        <v>21255</v>
      </c>
      <c r="H194" s="62">
        <v>75.0</v>
      </c>
      <c r="I194" s="60"/>
      <c r="J194" s="60"/>
      <c r="K194" s="60"/>
      <c r="L194" s="60"/>
      <c r="M194" s="60"/>
      <c r="N194" s="60"/>
      <c r="O194" s="60"/>
      <c r="P194" s="60"/>
      <c r="Q194" s="60"/>
      <c r="R194" s="60"/>
      <c r="S194" s="60"/>
      <c r="T194" s="60"/>
      <c r="U194" s="60"/>
      <c r="V194" s="60"/>
      <c r="W194" s="60"/>
      <c r="X194" s="60"/>
      <c r="Y194" s="60"/>
      <c r="Z194" s="60"/>
    </row>
    <row r="195" ht="53.25" customHeight="1">
      <c r="A195" s="62">
        <v>121.0</v>
      </c>
      <c r="B195" s="60" t="s">
        <v>821</v>
      </c>
      <c r="C195" s="84" t="s">
        <v>21905</v>
      </c>
      <c r="D195" s="60" t="s">
        <v>20373</v>
      </c>
      <c r="E195" s="60" t="s">
        <v>20374</v>
      </c>
      <c r="F195" s="85" t="s">
        <v>21906</v>
      </c>
      <c r="G195" s="85" t="s">
        <v>21256</v>
      </c>
      <c r="H195" s="62">
        <v>75.0</v>
      </c>
      <c r="I195" s="60"/>
      <c r="J195" s="60"/>
      <c r="K195" s="60"/>
      <c r="L195" s="60"/>
      <c r="M195" s="60"/>
      <c r="N195" s="60"/>
      <c r="O195" s="60"/>
      <c r="P195" s="60"/>
      <c r="Q195" s="60"/>
      <c r="R195" s="60"/>
      <c r="S195" s="60"/>
      <c r="T195" s="60"/>
      <c r="U195" s="60"/>
      <c r="V195" s="60"/>
      <c r="W195" s="60"/>
      <c r="X195" s="60"/>
      <c r="Y195" s="60"/>
      <c r="Z195" s="60"/>
    </row>
    <row r="196" ht="53.25" customHeight="1">
      <c r="A196" s="62">
        <v>12.0</v>
      </c>
      <c r="B196" s="60" t="s">
        <v>1061</v>
      </c>
      <c r="C196" s="84" t="s">
        <v>21907</v>
      </c>
      <c r="D196" s="60" t="s">
        <v>20042</v>
      </c>
      <c r="E196" s="60" t="s">
        <v>159</v>
      </c>
      <c r="F196" s="85" t="s">
        <v>21908</v>
      </c>
      <c r="G196" s="85" t="s">
        <v>21257</v>
      </c>
      <c r="H196" s="62">
        <v>75.0</v>
      </c>
      <c r="I196" s="60"/>
      <c r="J196" s="60"/>
      <c r="K196" s="60"/>
      <c r="L196" s="60"/>
      <c r="M196" s="60"/>
      <c r="N196" s="60"/>
      <c r="O196" s="60"/>
      <c r="P196" s="60"/>
      <c r="Q196" s="60"/>
      <c r="R196" s="60"/>
      <c r="S196" s="60"/>
      <c r="T196" s="60"/>
      <c r="U196" s="60"/>
      <c r="V196" s="60"/>
      <c r="W196" s="60"/>
      <c r="X196" s="60"/>
      <c r="Y196" s="60"/>
      <c r="Z196" s="60"/>
    </row>
    <row r="197" ht="53.25" customHeight="1">
      <c r="A197" s="62">
        <v>13.0</v>
      </c>
      <c r="B197" s="60" t="s">
        <v>1477</v>
      </c>
      <c r="C197" s="84" t="s">
        <v>21909</v>
      </c>
      <c r="D197" s="60" t="s">
        <v>20715</v>
      </c>
      <c r="E197" s="60" t="s">
        <v>20248</v>
      </c>
      <c r="F197" s="85" t="s">
        <v>21910</v>
      </c>
      <c r="G197" s="85" t="s">
        <v>21258</v>
      </c>
      <c r="H197" s="62">
        <v>75.0</v>
      </c>
      <c r="I197" s="60"/>
      <c r="J197" s="60"/>
      <c r="K197" s="60"/>
      <c r="L197" s="60"/>
      <c r="M197" s="60"/>
      <c r="N197" s="60"/>
      <c r="O197" s="60"/>
      <c r="P197" s="60"/>
      <c r="Q197" s="60"/>
      <c r="R197" s="60"/>
      <c r="S197" s="60"/>
      <c r="T197" s="60"/>
      <c r="U197" s="60"/>
      <c r="V197" s="60"/>
      <c r="W197" s="60"/>
      <c r="X197" s="60"/>
      <c r="Y197" s="60"/>
      <c r="Z197" s="60"/>
    </row>
    <row r="198" ht="53.25" customHeight="1">
      <c r="A198" s="62">
        <v>93.0</v>
      </c>
      <c r="B198" s="60" t="s">
        <v>143</v>
      </c>
      <c r="C198" s="84" t="s">
        <v>21911</v>
      </c>
      <c r="D198" s="60" t="s">
        <v>20415</v>
      </c>
      <c r="E198" s="60" t="s">
        <v>20255</v>
      </c>
      <c r="F198" s="85" t="s">
        <v>21912</v>
      </c>
      <c r="G198" s="85" t="s">
        <v>21259</v>
      </c>
      <c r="H198" s="62">
        <v>75.0</v>
      </c>
      <c r="I198" s="60"/>
      <c r="J198" s="60"/>
      <c r="K198" s="60"/>
      <c r="L198" s="60"/>
      <c r="M198" s="60"/>
      <c r="N198" s="60"/>
      <c r="O198" s="60"/>
      <c r="P198" s="60"/>
      <c r="Q198" s="60"/>
      <c r="R198" s="60"/>
      <c r="S198" s="60"/>
      <c r="T198" s="60"/>
      <c r="U198" s="60"/>
      <c r="V198" s="60"/>
      <c r="W198" s="60"/>
      <c r="X198" s="60"/>
      <c r="Y198" s="60"/>
      <c r="Z198" s="60"/>
    </row>
    <row r="199" ht="53.25" customHeight="1">
      <c r="A199" s="62">
        <v>16.0</v>
      </c>
      <c r="B199" s="60" t="s">
        <v>816</v>
      </c>
      <c r="C199" s="84" t="s">
        <v>21913</v>
      </c>
      <c r="D199" s="60" t="s">
        <v>20004</v>
      </c>
      <c r="E199" s="60" t="s">
        <v>20005</v>
      </c>
      <c r="F199" s="85" t="s">
        <v>21914</v>
      </c>
      <c r="G199" s="85" t="s">
        <v>21260</v>
      </c>
      <c r="H199" s="62">
        <v>75.0</v>
      </c>
      <c r="I199" s="60"/>
      <c r="J199" s="60"/>
      <c r="K199" s="60"/>
      <c r="L199" s="60"/>
      <c r="M199" s="60"/>
      <c r="N199" s="60"/>
      <c r="O199" s="60"/>
      <c r="P199" s="60"/>
      <c r="Q199" s="60"/>
      <c r="R199" s="60"/>
      <c r="S199" s="60"/>
      <c r="T199" s="60"/>
      <c r="U199" s="60"/>
      <c r="V199" s="60"/>
      <c r="W199" s="60"/>
      <c r="X199" s="60"/>
      <c r="Y199" s="60"/>
      <c r="Z199" s="60"/>
    </row>
    <row r="200" ht="53.25" customHeight="1">
      <c r="A200" s="62">
        <v>437.0</v>
      </c>
      <c r="B200" s="60" t="s">
        <v>1235</v>
      </c>
      <c r="C200" s="84" t="s">
        <v>21915</v>
      </c>
      <c r="D200" s="60" t="s">
        <v>20441</v>
      </c>
      <c r="E200" s="60" t="s">
        <v>20442</v>
      </c>
      <c r="F200" s="85" t="s">
        <v>21916</v>
      </c>
      <c r="G200" s="85" t="s">
        <v>21261</v>
      </c>
      <c r="H200" s="62">
        <v>75.0</v>
      </c>
      <c r="I200" s="60"/>
      <c r="J200" s="60"/>
      <c r="K200" s="60"/>
      <c r="L200" s="60"/>
      <c r="M200" s="60"/>
      <c r="N200" s="60"/>
      <c r="O200" s="60"/>
      <c r="P200" s="60"/>
      <c r="Q200" s="60"/>
      <c r="R200" s="60"/>
      <c r="S200" s="60"/>
      <c r="T200" s="60"/>
      <c r="U200" s="60"/>
      <c r="V200" s="60"/>
      <c r="W200" s="60"/>
      <c r="X200" s="60"/>
      <c r="Y200" s="60"/>
      <c r="Z200" s="60"/>
    </row>
    <row r="201" ht="53.25" customHeight="1">
      <c r="A201" s="62">
        <v>389.0</v>
      </c>
      <c r="B201" s="60" t="s">
        <v>1445</v>
      </c>
      <c r="C201" s="84" t="s">
        <v>21917</v>
      </c>
      <c r="D201" s="60" t="s">
        <v>21918</v>
      </c>
      <c r="E201" s="60" t="s">
        <v>19598</v>
      </c>
      <c r="F201" s="85" t="s">
        <v>21919</v>
      </c>
      <c r="G201" s="85" t="s">
        <v>21262</v>
      </c>
      <c r="H201" s="62">
        <v>75.0</v>
      </c>
      <c r="I201" s="60"/>
      <c r="J201" s="60"/>
      <c r="K201" s="60"/>
      <c r="L201" s="60"/>
      <c r="M201" s="60"/>
      <c r="N201" s="60"/>
      <c r="O201" s="60"/>
      <c r="P201" s="60"/>
      <c r="Q201" s="60"/>
      <c r="R201" s="60"/>
      <c r="S201" s="60"/>
      <c r="T201" s="60"/>
      <c r="U201" s="60"/>
      <c r="V201" s="60"/>
      <c r="W201" s="60"/>
      <c r="X201" s="60"/>
      <c r="Y201" s="60"/>
      <c r="Z201" s="60"/>
    </row>
    <row r="202" ht="53.25" customHeight="1">
      <c r="A202" s="62">
        <v>20.0</v>
      </c>
      <c r="B202" s="60" t="s">
        <v>1321</v>
      </c>
      <c r="C202" s="84" t="s">
        <v>21920</v>
      </c>
      <c r="D202" s="60" t="s">
        <v>20751</v>
      </c>
      <c r="E202" s="60" t="s">
        <v>20442</v>
      </c>
      <c r="F202" s="85" t="s">
        <v>21921</v>
      </c>
      <c r="G202" s="85" t="s">
        <v>21263</v>
      </c>
      <c r="H202" s="62">
        <v>75.0</v>
      </c>
      <c r="I202" s="60"/>
      <c r="J202" s="60"/>
      <c r="K202" s="60"/>
      <c r="L202" s="60"/>
      <c r="M202" s="60"/>
      <c r="N202" s="60"/>
      <c r="O202" s="60"/>
      <c r="P202" s="60"/>
      <c r="Q202" s="60"/>
      <c r="R202" s="60"/>
      <c r="S202" s="60"/>
      <c r="T202" s="60"/>
      <c r="U202" s="60"/>
      <c r="V202" s="60"/>
      <c r="W202" s="60"/>
      <c r="X202" s="60"/>
      <c r="Y202" s="60"/>
      <c r="Z202" s="60"/>
    </row>
    <row r="203" ht="53.25" customHeight="1">
      <c r="A203" s="62">
        <v>92.0</v>
      </c>
      <c r="B203" s="60" t="s">
        <v>878</v>
      </c>
      <c r="C203" s="84" t="s">
        <v>21922</v>
      </c>
      <c r="D203" s="60" t="s">
        <v>19735</v>
      </c>
      <c r="E203" s="60" t="s">
        <v>19649</v>
      </c>
      <c r="F203" s="85" t="s">
        <v>21923</v>
      </c>
      <c r="G203" s="85" t="s">
        <v>21264</v>
      </c>
      <c r="H203" s="62">
        <v>75.0</v>
      </c>
      <c r="I203" s="60"/>
      <c r="J203" s="60"/>
      <c r="K203" s="60"/>
      <c r="L203" s="60"/>
      <c r="M203" s="60"/>
      <c r="N203" s="60"/>
      <c r="O203" s="60"/>
      <c r="P203" s="60"/>
      <c r="Q203" s="60"/>
      <c r="R203" s="60"/>
      <c r="S203" s="60"/>
      <c r="T203" s="60"/>
      <c r="U203" s="60"/>
      <c r="V203" s="60"/>
      <c r="W203" s="60"/>
      <c r="X203" s="60"/>
      <c r="Y203" s="60"/>
      <c r="Z203" s="60"/>
    </row>
    <row r="204" ht="53.25" customHeight="1">
      <c r="A204" s="62">
        <v>19.0</v>
      </c>
      <c r="B204" s="60" t="s">
        <v>1481</v>
      </c>
      <c r="C204" s="84" t="s">
        <v>21924</v>
      </c>
      <c r="D204" s="60" t="s">
        <v>20012</v>
      </c>
      <c r="E204" s="60" t="s">
        <v>19850</v>
      </c>
      <c r="F204" s="85" t="s">
        <v>21925</v>
      </c>
      <c r="G204" s="85" t="s">
        <v>21265</v>
      </c>
      <c r="H204" s="62">
        <v>75.0</v>
      </c>
      <c r="I204" s="60"/>
      <c r="J204" s="60"/>
      <c r="K204" s="60"/>
      <c r="L204" s="60"/>
      <c r="M204" s="60"/>
      <c r="N204" s="60"/>
      <c r="O204" s="60"/>
      <c r="P204" s="60"/>
      <c r="Q204" s="60"/>
      <c r="R204" s="60"/>
      <c r="S204" s="60"/>
      <c r="T204" s="60"/>
      <c r="U204" s="60"/>
      <c r="V204" s="60"/>
      <c r="W204" s="60"/>
      <c r="X204" s="60"/>
      <c r="Y204" s="60"/>
      <c r="Z204" s="60"/>
    </row>
    <row r="205" ht="53.25" customHeight="1">
      <c r="A205" s="62">
        <v>18.0</v>
      </c>
      <c r="B205" s="60" t="s">
        <v>1065</v>
      </c>
      <c r="C205" s="84" t="s">
        <v>21926</v>
      </c>
      <c r="D205" s="60" t="s">
        <v>20881</v>
      </c>
      <c r="E205" s="60" t="s">
        <v>20855</v>
      </c>
      <c r="F205" s="85" t="s">
        <v>21927</v>
      </c>
      <c r="G205" s="85" t="s">
        <v>21266</v>
      </c>
      <c r="H205" s="62">
        <v>75.0</v>
      </c>
      <c r="I205" s="60"/>
      <c r="J205" s="60"/>
      <c r="K205" s="60"/>
      <c r="L205" s="60"/>
      <c r="M205" s="60"/>
      <c r="N205" s="60"/>
      <c r="O205" s="60"/>
      <c r="P205" s="60"/>
      <c r="Q205" s="60"/>
      <c r="R205" s="60"/>
      <c r="S205" s="60"/>
      <c r="T205" s="60"/>
      <c r="U205" s="60"/>
      <c r="V205" s="60"/>
      <c r="W205" s="60"/>
      <c r="X205" s="60"/>
      <c r="Y205" s="60"/>
      <c r="Z205" s="60"/>
    </row>
    <row r="206" ht="53.25" customHeight="1">
      <c r="A206" s="62">
        <v>100.0</v>
      </c>
      <c r="B206" s="60" t="s">
        <v>57</v>
      </c>
      <c r="C206" s="84" t="s">
        <v>21928</v>
      </c>
      <c r="D206" s="60" t="s">
        <v>19931</v>
      </c>
      <c r="E206" s="60" t="s">
        <v>19662</v>
      </c>
      <c r="F206" s="85" t="s">
        <v>21929</v>
      </c>
      <c r="G206" s="85" t="s">
        <v>21267</v>
      </c>
      <c r="H206" s="62">
        <v>75.0</v>
      </c>
      <c r="I206" s="60"/>
      <c r="J206" s="60"/>
      <c r="K206" s="60"/>
      <c r="L206" s="60"/>
      <c r="M206" s="60"/>
      <c r="N206" s="60"/>
      <c r="O206" s="60"/>
      <c r="P206" s="60"/>
      <c r="Q206" s="60"/>
      <c r="R206" s="60"/>
      <c r="S206" s="60"/>
      <c r="T206" s="60"/>
      <c r="U206" s="60"/>
      <c r="V206" s="60"/>
      <c r="W206" s="60"/>
      <c r="X206" s="60"/>
      <c r="Y206" s="60"/>
      <c r="Z206" s="60"/>
    </row>
    <row r="207" ht="53.25" customHeight="1">
      <c r="A207" s="62">
        <v>17.0</v>
      </c>
      <c r="B207" s="60" t="s">
        <v>244</v>
      </c>
      <c r="C207" s="84" t="s">
        <v>21930</v>
      </c>
      <c r="D207" s="60" t="s">
        <v>20008</v>
      </c>
      <c r="E207" s="60" t="s">
        <v>20009</v>
      </c>
      <c r="F207" s="85" t="s">
        <v>21931</v>
      </c>
      <c r="G207" s="85" t="s">
        <v>21268</v>
      </c>
      <c r="H207" s="62">
        <v>75.0</v>
      </c>
      <c r="I207" s="60"/>
      <c r="J207" s="60"/>
      <c r="K207" s="60"/>
      <c r="L207" s="60"/>
      <c r="M207" s="60"/>
      <c r="N207" s="60"/>
      <c r="O207" s="60"/>
      <c r="P207" s="60"/>
      <c r="Q207" s="60"/>
      <c r="R207" s="60"/>
      <c r="S207" s="60"/>
      <c r="T207" s="60"/>
      <c r="U207" s="60"/>
      <c r="V207" s="60"/>
      <c r="W207" s="60"/>
      <c r="X207" s="60"/>
      <c r="Y207" s="60"/>
      <c r="Z207" s="60"/>
    </row>
    <row r="208" ht="53.25" customHeight="1">
      <c r="A208" s="62">
        <v>37.0</v>
      </c>
      <c r="B208" s="60" t="s">
        <v>1490</v>
      </c>
      <c r="C208" s="84" t="s">
        <v>21932</v>
      </c>
      <c r="D208" s="60" t="s">
        <v>19960</v>
      </c>
      <c r="E208" s="60" t="s">
        <v>19796</v>
      </c>
      <c r="F208" s="85" t="s">
        <v>21933</v>
      </c>
      <c r="G208" s="85" t="s">
        <v>21269</v>
      </c>
      <c r="H208" s="62">
        <v>75.0</v>
      </c>
      <c r="I208" s="60"/>
      <c r="J208" s="60"/>
      <c r="K208" s="60"/>
      <c r="L208" s="60"/>
      <c r="M208" s="60"/>
      <c r="N208" s="60"/>
      <c r="O208" s="60"/>
      <c r="P208" s="60"/>
      <c r="Q208" s="60"/>
      <c r="R208" s="60"/>
      <c r="S208" s="60"/>
      <c r="T208" s="60"/>
      <c r="U208" s="60"/>
      <c r="V208" s="60"/>
      <c r="W208" s="60"/>
      <c r="X208" s="60"/>
      <c r="Y208" s="60"/>
      <c r="Z208" s="60"/>
    </row>
    <row r="209" ht="53.25" customHeight="1">
      <c r="A209" s="62">
        <v>95.0</v>
      </c>
      <c r="B209" s="60" t="s">
        <v>51</v>
      </c>
      <c r="C209" s="84" t="s">
        <v>21934</v>
      </c>
      <c r="D209" s="60" t="s">
        <v>20678</v>
      </c>
      <c r="E209" s="60" t="s">
        <v>19602</v>
      </c>
      <c r="F209" s="85" t="s">
        <v>21935</v>
      </c>
      <c r="G209" s="85" t="s">
        <v>21270</v>
      </c>
      <c r="H209" s="62">
        <v>75.0</v>
      </c>
      <c r="I209" s="60"/>
      <c r="J209" s="60"/>
      <c r="K209" s="60"/>
      <c r="L209" s="60"/>
      <c r="M209" s="60"/>
      <c r="N209" s="60"/>
      <c r="O209" s="60"/>
      <c r="P209" s="60"/>
      <c r="Q209" s="60"/>
      <c r="R209" s="60"/>
      <c r="S209" s="60"/>
      <c r="T209" s="60"/>
      <c r="U209" s="60"/>
      <c r="V209" s="60"/>
      <c r="W209" s="60"/>
      <c r="X209" s="60"/>
      <c r="Y209" s="60"/>
      <c r="Z209" s="60"/>
    </row>
    <row r="210" ht="53.25" customHeight="1">
      <c r="A210" s="62">
        <v>15.0</v>
      </c>
      <c r="B210" s="60" t="s">
        <v>1063</v>
      </c>
      <c r="C210" s="84" t="s">
        <v>21936</v>
      </c>
      <c r="D210" s="60" t="s">
        <v>20187</v>
      </c>
      <c r="E210" s="60" t="s">
        <v>19627</v>
      </c>
      <c r="F210" s="85" t="s">
        <v>21937</v>
      </c>
      <c r="G210" s="85" t="s">
        <v>21271</v>
      </c>
      <c r="H210" s="62">
        <v>75.0</v>
      </c>
      <c r="I210" s="60"/>
      <c r="J210" s="60"/>
      <c r="K210" s="60"/>
      <c r="L210" s="60"/>
      <c r="M210" s="60"/>
      <c r="N210" s="60"/>
      <c r="O210" s="60"/>
      <c r="P210" s="60"/>
      <c r="Q210" s="60"/>
      <c r="R210" s="60"/>
      <c r="S210" s="60"/>
      <c r="T210" s="60"/>
      <c r="U210" s="60"/>
      <c r="V210" s="60"/>
      <c r="W210" s="60"/>
      <c r="X210" s="60"/>
      <c r="Y210" s="60"/>
      <c r="Z210" s="60"/>
    </row>
    <row r="211" ht="53.25" customHeight="1">
      <c r="A211" s="62">
        <v>96.0</v>
      </c>
      <c r="B211" s="60" t="s">
        <v>929</v>
      </c>
      <c r="C211" s="84" t="s">
        <v>21938</v>
      </c>
      <c r="D211" s="60" t="s">
        <v>20784</v>
      </c>
      <c r="E211" s="60" t="s">
        <v>668</v>
      </c>
      <c r="F211" s="85" t="s">
        <v>21939</v>
      </c>
      <c r="G211" s="85" t="s">
        <v>21272</v>
      </c>
      <c r="H211" s="62">
        <v>75.0</v>
      </c>
      <c r="I211" s="60"/>
      <c r="J211" s="60"/>
      <c r="K211" s="60"/>
      <c r="L211" s="60"/>
      <c r="M211" s="60"/>
      <c r="N211" s="60"/>
      <c r="O211" s="60"/>
      <c r="P211" s="60"/>
      <c r="Q211" s="60"/>
      <c r="R211" s="60"/>
      <c r="S211" s="60"/>
      <c r="T211" s="60"/>
      <c r="U211" s="60"/>
      <c r="V211" s="60"/>
      <c r="W211" s="60"/>
      <c r="X211" s="60"/>
      <c r="Y211" s="60"/>
      <c r="Z211" s="60"/>
    </row>
    <row r="212" ht="53.25" customHeight="1">
      <c r="A212" s="62">
        <v>385.0</v>
      </c>
      <c r="B212" s="60" t="s">
        <v>355</v>
      </c>
      <c r="C212" s="84" t="s">
        <v>21940</v>
      </c>
      <c r="D212" s="60" t="s">
        <v>20084</v>
      </c>
      <c r="E212" s="60" t="s">
        <v>19823</v>
      </c>
      <c r="F212" s="85" t="s">
        <v>21941</v>
      </c>
      <c r="G212" s="85" t="s">
        <v>21273</v>
      </c>
      <c r="H212" s="62">
        <v>75.0</v>
      </c>
      <c r="I212" s="60"/>
      <c r="J212" s="60"/>
      <c r="K212" s="60"/>
      <c r="L212" s="60"/>
      <c r="M212" s="60"/>
      <c r="N212" s="60"/>
      <c r="O212" s="60"/>
      <c r="P212" s="60"/>
      <c r="Q212" s="60"/>
      <c r="R212" s="60"/>
      <c r="S212" s="60"/>
      <c r="T212" s="60"/>
      <c r="U212" s="60"/>
      <c r="V212" s="60"/>
      <c r="W212" s="60"/>
      <c r="X212" s="60"/>
      <c r="Y212" s="60"/>
      <c r="Z212" s="60"/>
    </row>
    <row r="213" ht="53.25" customHeight="1">
      <c r="A213" s="62">
        <v>98.0</v>
      </c>
      <c r="B213" s="60" t="s">
        <v>468</v>
      </c>
      <c r="C213" s="84" t="s">
        <v>21942</v>
      </c>
      <c r="D213" s="60" t="s">
        <v>19579</v>
      </c>
      <c r="E213" s="60" t="s">
        <v>19547</v>
      </c>
      <c r="F213" s="85" t="s">
        <v>21943</v>
      </c>
      <c r="G213" s="85" t="s">
        <v>21274</v>
      </c>
      <c r="H213" s="62">
        <v>75.0</v>
      </c>
      <c r="I213" s="60"/>
      <c r="J213" s="60"/>
      <c r="K213" s="60"/>
      <c r="L213" s="60"/>
      <c r="M213" s="60"/>
      <c r="N213" s="60"/>
      <c r="O213" s="60"/>
      <c r="P213" s="60"/>
      <c r="Q213" s="60"/>
      <c r="R213" s="60"/>
      <c r="S213" s="60"/>
      <c r="T213" s="60"/>
      <c r="U213" s="60"/>
      <c r="V213" s="60"/>
      <c r="W213" s="60"/>
      <c r="X213" s="60"/>
      <c r="Y213" s="60"/>
      <c r="Z213" s="60"/>
    </row>
    <row r="214" ht="53.25" customHeight="1">
      <c r="A214" s="62">
        <v>99.0</v>
      </c>
      <c r="B214" s="60" t="s">
        <v>147</v>
      </c>
      <c r="C214" s="84" t="s">
        <v>21944</v>
      </c>
      <c r="D214" s="60" t="s">
        <v>19928</v>
      </c>
      <c r="E214" s="60" t="s">
        <v>19606</v>
      </c>
      <c r="F214" s="85" t="s">
        <v>21945</v>
      </c>
      <c r="G214" s="85" t="s">
        <v>21275</v>
      </c>
      <c r="H214" s="62">
        <v>75.0</v>
      </c>
      <c r="I214" s="60"/>
      <c r="J214" s="60"/>
      <c r="K214" s="60"/>
      <c r="L214" s="60"/>
      <c r="M214" s="60"/>
      <c r="N214" s="60"/>
      <c r="O214" s="60"/>
      <c r="P214" s="60"/>
      <c r="Q214" s="60"/>
      <c r="R214" s="60"/>
      <c r="S214" s="60"/>
      <c r="T214" s="60"/>
      <c r="U214" s="60"/>
      <c r="V214" s="60"/>
      <c r="W214" s="60"/>
      <c r="X214" s="60"/>
      <c r="Y214" s="60"/>
      <c r="Z214" s="60"/>
    </row>
    <row r="215" ht="53.25" customHeight="1">
      <c r="A215" s="62">
        <v>271.0</v>
      </c>
      <c r="B215" s="60" t="s">
        <v>1381</v>
      </c>
      <c r="C215" s="84" t="s">
        <v>21946</v>
      </c>
      <c r="D215" s="60" t="s">
        <v>20526</v>
      </c>
      <c r="E215" s="60" t="s">
        <v>19706</v>
      </c>
      <c r="F215" s="85" t="s">
        <v>21947</v>
      </c>
      <c r="G215" s="85" t="s">
        <v>21276</v>
      </c>
      <c r="H215" s="62">
        <v>70.0</v>
      </c>
      <c r="I215" s="60"/>
      <c r="J215" s="60"/>
      <c r="K215" s="60"/>
      <c r="L215" s="60"/>
      <c r="M215" s="60"/>
      <c r="N215" s="60"/>
      <c r="O215" s="60"/>
      <c r="P215" s="60"/>
      <c r="Q215" s="60"/>
      <c r="R215" s="60"/>
      <c r="S215" s="60"/>
      <c r="T215" s="60"/>
      <c r="U215" s="60"/>
      <c r="V215" s="60"/>
      <c r="W215" s="60"/>
      <c r="X215" s="60"/>
      <c r="Y215" s="60"/>
      <c r="Z215" s="60"/>
    </row>
    <row r="216" ht="53.25" customHeight="1">
      <c r="A216" s="62">
        <v>272.0</v>
      </c>
      <c r="B216" s="60" t="s">
        <v>1361</v>
      </c>
      <c r="C216" s="84" t="s">
        <v>21948</v>
      </c>
      <c r="D216" s="60" t="s">
        <v>19613</v>
      </c>
      <c r="E216" s="60" t="s">
        <v>19576</v>
      </c>
      <c r="F216" s="85" t="s">
        <v>21949</v>
      </c>
      <c r="G216" s="85" t="s">
        <v>21277</v>
      </c>
      <c r="H216" s="62">
        <v>70.0</v>
      </c>
      <c r="I216" s="60"/>
      <c r="J216" s="60"/>
      <c r="K216" s="60"/>
      <c r="L216" s="60"/>
      <c r="M216" s="60"/>
      <c r="N216" s="60"/>
      <c r="O216" s="60"/>
      <c r="P216" s="60"/>
      <c r="Q216" s="60"/>
      <c r="R216" s="60"/>
      <c r="S216" s="60"/>
      <c r="T216" s="60"/>
      <c r="U216" s="60"/>
      <c r="V216" s="60"/>
      <c r="W216" s="60"/>
      <c r="X216" s="60"/>
      <c r="Y216" s="60"/>
      <c r="Z216" s="60"/>
    </row>
    <row r="217" ht="53.25" customHeight="1">
      <c r="A217" s="62">
        <v>279.0</v>
      </c>
      <c r="B217" s="60" t="s">
        <v>787</v>
      </c>
      <c r="C217" s="84" t="s">
        <v>21950</v>
      </c>
      <c r="D217" s="60" t="s">
        <v>20064</v>
      </c>
      <c r="E217" s="60" t="s">
        <v>19699</v>
      </c>
      <c r="F217" s="85" t="s">
        <v>21951</v>
      </c>
      <c r="G217" s="85" t="s">
        <v>21278</v>
      </c>
      <c r="H217" s="62">
        <v>70.0</v>
      </c>
      <c r="I217" s="60"/>
      <c r="J217" s="60"/>
      <c r="K217" s="60"/>
      <c r="L217" s="60"/>
      <c r="M217" s="60"/>
      <c r="N217" s="60"/>
      <c r="O217" s="60"/>
      <c r="P217" s="60"/>
      <c r="Q217" s="60"/>
      <c r="R217" s="60"/>
      <c r="S217" s="60"/>
      <c r="T217" s="60"/>
      <c r="U217" s="60"/>
      <c r="V217" s="60"/>
      <c r="W217" s="60"/>
      <c r="X217" s="60"/>
      <c r="Y217" s="60"/>
      <c r="Z217" s="60"/>
    </row>
    <row r="218" ht="53.25" customHeight="1">
      <c r="A218" s="62">
        <v>436.0</v>
      </c>
      <c r="B218" s="60" t="s">
        <v>6209</v>
      </c>
      <c r="C218" s="84" t="s">
        <v>21952</v>
      </c>
      <c r="D218" s="60" t="s">
        <v>20438</v>
      </c>
      <c r="E218" s="60" t="s">
        <v>20184</v>
      </c>
      <c r="F218" s="85" t="s">
        <v>21953</v>
      </c>
      <c r="G218" s="85" t="s">
        <v>21279</v>
      </c>
      <c r="H218" s="62">
        <v>70.0</v>
      </c>
      <c r="I218" s="60"/>
      <c r="J218" s="60"/>
      <c r="K218" s="60"/>
      <c r="L218" s="60"/>
      <c r="M218" s="60"/>
      <c r="N218" s="60"/>
      <c r="O218" s="60"/>
      <c r="P218" s="60"/>
      <c r="Q218" s="60"/>
      <c r="R218" s="60"/>
      <c r="S218" s="60"/>
      <c r="T218" s="60"/>
      <c r="U218" s="60"/>
      <c r="V218" s="60"/>
      <c r="W218" s="60"/>
      <c r="X218" s="60"/>
      <c r="Y218" s="60"/>
      <c r="Z218" s="60"/>
    </row>
    <row r="219" ht="53.25" customHeight="1">
      <c r="A219" s="62">
        <v>275.0</v>
      </c>
      <c r="B219" s="60" t="s">
        <v>965</v>
      </c>
      <c r="C219" s="84" t="s">
        <v>21954</v>
      </c>
      <c r="D219" s="60" t="s">
        <v>20355</v>
      </c>
      <c r="E219" s="60" t="s">
        <v>19677</v>
      </c>
      <c r="F219" s="85" t="s">
        <v>21955</v>
      </c>
      <c r="G219" s="85" t="s">
        <v>21280</v>
      </c>
      <c r="H219" s="62">
        <v>70.0</v>
      </c>
      <c r="I219" s="60"/>
      <c r="J219" s="60"/>
      <c r="K219" s="60"/>
      <c r="L219" s="60"/>
      <c r="M219" s="60"/>
      <c r="N219" s="60"/>
      <c r="O219" s="60"/>
      <c r="P219" s="60"/>
      <c r="Q219" s="60"/>
      <c r="R219" s="60"/>
      <c r="S219" s="60"/>
      <c r="T219" s="60"/>
      <c r="U219" s="60"/>
      <c r="V219" s="60"/>
      <c r="W219" s="60"/>
      <c r="X219" s="60"/>
      <c r="Y219" s="60"/>
      <c r="Z219" s="60"/>
    </row>
    <row r="220" ht="53.25" customHeight="1">
      <c r="A220" s="62">
        <v>440.0</v>
      </c>
      <c r="B220" s="60" t="s">
        <v>1641</v>
      </c>
      <c r="C220" s="84" t="s">
        <v>21956</v>
      </c>
      <c r="D220" s="60" t="s">
        <v>20938</v>
      </c>
      <c r="E220" s="60" t="s">
        <v>20255</v>
      </c>
      <c r="F220" s="85" t="s">
        <v>21957</v>
      </c>
      <c r="G220" s="85" t="s">
        <v>21281</v>
      </c>
      <c r="H220" s="62">
        <v>70.0</v>
      </c>
      <c r="I220" s="60"/>
      <c r="J220" s="60"/>
      <c r="K220" s="60"/>
      <c r="L220" s="60"/>
      <c r="M220" s="60"/>
      <c r="N220" s="60"/>
      <c r="O220" s="60"/>
      <c r="P220" s="60"/>
      <c r="Q220" s="60"/>
      <c r="R220" s="60"/>
      <c r="S220" s="60"/>
      <c r="T220" s="60"/>
      <c r="U220" s="60"/>
      <c r="V220" s="60"/>
      <c r="W220" s="60"/>
      <c r="X220" s="60"/>
      <c r="Y220" s="60"/>
      <c r="Z220" s="60"/>
    </row>
    <row r="221" ht="53.25" customHeight="1">
      <c r="A221" s="62">
        <v>291.0</v>
      </c>
      <c r="B221" s="60" t="s">
        <v>1590</v>
      </c>
      <c r="C221" s="84" t="s">
        <v>21958</v>
      </c>
      <c r="D221" s="60" t="s">
        <v>19575</v>
      </c>
      <c r="E221" s="60" t="s">
        <v>19576</v>
      </c>
      <c r="F221" s="85" t="s">
        <v>21959</v>
      </c>
      <c r="G221" s="85" t="s">
        <v>21282</v>
      </c>
      <c r="H221" s="62">
        <v>70.0</v>
      </c>
      <c r="I221" s="60"/>
      <c r="J221" s="60"/>
      <c r="K221" s="60"/>
      <c r="L221" s="60"/>
      <c r="M221" s="60"/>
      <c r="N221" s="60"/>
      <c r="O221" s="60"/>
      <c r="P221" s="60"/>
      <c r="Q221" s="60"/>
      <c r="R221" s="60"/>
      <c r="S221" s="60"/>
      <c r="T221" s="60"/>
      <c r="U221" s="60"/>
      <c r="V221" s="60"/>
      <c r="W221" s="60"/>
      <c r="X221" s="60"/>
      <c r="Y221" s="60"/>
      <c r="Z221" s="60"/>
    </row>
    <row r="222" ht="53.25" customHeight="1">
      <c r="A222" s="62">
        <v>276.0</v>
      </c>
      <c r="B222" s="60" t="s">
        <v>1582</v>
      </c>
      <c r="C222" s="84" t="s">
        <v>21960</v>
      </c>
      <c r="D222" s="60" t="s">
        <v>20142</v>
      </c>
      <c r="E222" s="60" t="s">
        <v>714</v>
      </c>
      <c r="F222" s="85" t="s">
        <v>21961</v>
      </c>
      <c r="G222" s="85" t="s">
        <v>21283</v>
      </c>
      <c r="H222" s="62">
        <v>70.0</v>
      </c>
      <c r="I222" s="60"/>
      <c r="J222" s="60"/>
      <c r="K222" s="60"/>
      <c r="L222" s="60"/>
      <c r="M222" s="60"/>
      <c r="N222" s="60"/>
      <c r="O222" s="60"/>
      <c r="P222" s="60"/>
      <c r="Q222" s="60"/>
      <c r="R222" s="60"/>
      <c r="S222" s="60"/>
      <c r="T222" s="60"/>
      <c r="U222" s="60"/>
      <c r="V222" s="60"/>
      <c r="W222" s="60"/>
      <c r="X222" s="60"/>
      <c r="Y222" s="60"/>
      <c r="Z222" s="60"/>
    </row>
    <row r="223" ht="53.25" customHeight="1">
      <c r="A223" s="62">
        <v>274.0</v>
      </c>
      <c r="B223" s="60" t="s">
        <v>1195</v>
      </c>
      <c r="C223" s="84" t="s">
        <v>21962</v>
      </c>
      <c r="D223" s="60" t="s">
        <v>20932</v>
      </c>
      <c r="E223" s="60" t="s">
        <v>755</v>
      </c>
      <c r="F223" s="85" t="s">
        <v>21963</v>
      </c>
      <c r="G223" s="85" t="s">
        <v>21284</v>
      </c>
      <c r="H223" s="62">
        <v>70.0</v>
      </c>
      <c r="I223" s="60"/>
      <c r="J223" s="60"/>
      <c r="K223" s="60"/>
      <c r="L223" s="60"/>
      <c r="M223" s="60"/>
      <c r="N223" s="60"/>
      <c r="O223" s="60"/>
      <c r="P223" s="60"/>
      <c r="Q223" s="60"/>
      <c r="R223" s="60"/>
      <c r="S223" s="60"/>
      <c r="T223" s="60"/>
      <c r="U223" s="60"/>
      <c r="V223" s="60"/>
      <c r="W223" s="60"/>
      <c r="X223" s="60"/>
      <c r="Y223" s="60"/>
      <c r="Z223" s="60"/>
    </row>
    <row r="224" ht="53.25" customHeight="1">
      <c r="A224" s="62">
        <v>366.0</v>
      </c>
      <c r="B224" s="60" t="s">
        <v>1245</v>
      </c>
      <c r="C224" s="84" t="s">
        <v>21964</v>
      </c>
      <c r="D224" s="60" t="s">
        <v>20866</v>
      </c>
      <c r="E224" s="60" t="s">
        <v>19706</v>
      </c>
      <c r="F224" s="85" t="s">
        <v>21965</v>
      </c>
      <c r="G224" s="85" t="s">
        <v>21285</v>
      </c>
      <c r="H224" s="62">
        <v>70.0</v>
      </c>
      <c r="I224" s="60"/>
      <c r="J224" s="60"/>
      <c r="K224" s="60"/>
      <c r="L224" s="60"/>
      <c r="M224" s="60"/>
      <c r="N224" s="60"/>
      <c r="O224" s="60"/>
      <c r="P224" s="60"/>
      <c r="Q224" s="60"/>
      <c r="R224" s="60"/>
      <c r="S224" s="60"/>
      <c r="T224" s="60"/>
      <c r="U224" s="60"/>
      <c r="V224" s="60"/>
      <c r="W224" s="60"/>
      <c r="X224" s="60"/>
      <c r="Y224" s="60"/>
      <c r="Z224" s="60"/>
    </row>
    <row r="225" ht="53.25" customHeight="1">
      <c r="A225" s="62">
        <v>294.0</v>
      </c>
      <c r="B225" s="60" t="s">
        <v>85</v>
      </c>
      <c r="C225" s="84" t="s">
        <v>21966</v>
      </c>
      <c r="D225" s="60" t="s">
        <v>19894</v>
      </c>
      <c r="E225" s="60" t="s">
        <v>19895</v>
      </c>
      <c r="F225" s="85" t="s">
        <v>21967</v>
      </c>
      <c r="G225" s="85" t="s">
        <v>21286</v>
      </c>
      <c r="H225" s="62">
        <v>70.0</v>
      </c>
      <c r="I225" s="60"/>
      <c r="J225" s="60"/>
      <c r="K225" s="60"/>
      <c r="L225" s="60"/>
      <c r="M225" s="60"/>
      <c r="N225" s="60"/>
      <c r="O225" s="60"/>
      <c r="P225" s="60"/>
      <c r="Q225" s="60"/>
      <c r="R225" s="60"/>
      <c r="S225" s="60"/>
      <c r="T225" s="60"/>
      <c r="U225" s="60"/>
      <c r="V225" s="60"/>
      <c r="W225" s="60"/>
      <c r="X225" s="60"/>
      <c r="Y225" s="60"/>
      <c r="Z225" s="60"/>
    </row>
    <row r="226" ht="53.25" customHeight="1">
      <c r="A226" s="62">
        <v>351.0</v>
      </c>
      <c r="B226" s="60" t="s">
        <v>6187</v>
      </c>
      <c r="C226" s="84" t="s">
        <v>21968</v>
      </c>
      <c r="D226" s="60" t="s">
        <v>21969</v>
      </c>
      <c r="E226" s="60" t="s">
        <v>19765</v>
      </c>
      <c r="F226" s="85" t="s">
        <v>21970</v>
      </c>
      <c r="G226" s="85" t="s">
        <v>21287</v>
      </c>
      <c r="H226" s="62">
        <v>70.0</v>
      </c>
      <c r="I226" s="60"/>
      <c r="J226" s="60"/>
      <c r="K226" s="60"/>
      <c r="L226" s="60"/>
      <c r="M226" s="60"/>
      <c r="N226" s="60"/>
      <c r="O226" s="60"/>
      <c r="P226" s="60"/>
      <c r="Q226" s="60"/>
      <c r="R226" s="60"/>
      <c r="S226" s="60"/>
      <c r="T226" s="60"/>
      <c r="U226" s="60"/>
      <c r="V226" s="60"/>
      <c r="W226" s="60"/>
      <c r="X226" s="60"/>
      <c r="Y226" s="60"/>
      <c r="Z226" s="60"/>
    </row>
    <row r="227" ht="53.25" customHeight="1">
      <c r="A227" s="62">
        <v>339.0</v>
      </c>
      <c r="B227" s="60" t="s">
        <v>1449</v>
      </c>
      <c r="C227" s="84" t="s">
        <v>21971</v>
      </c>
      <c r="D227" s="60" t="s">
        <v>21972</v>
      </c>
      <c r="E227" s="60" t="s">
        <v>734</v>
      </c>
      <c r="F227" s="85" t="s">
        <v>21973</v>
      </c>
      <c r="G227" s="85" t="s">
        <v>21288</v>
      </c>
      <c r="H227" s="62">
        <v>70.0</v>
      </c>
      <c r="I227" s="60"/>
      <c r="J227" s="60"/>
      <c r="K227" s="60"/>
      <c r="L227" s="60"/>
      <c r="M227" s="60"/>
      <c r="N227" s="60"/>
      <c r="O227" s="60"/>
      <c r="P227" s="60"/>
      <c r="Q227" s="60"/>
      <c r="R227" s="60"/>
      <c r="S227" s="60"/>
      <c r="T227" s="60"/>
      <c r="U227" s="60"/>
      <c r="V227" s="60"/>
      <c r="W227" s="60"/>
      <c r="X227" s="60"/>
      <c r="Y227" s="60"/>
      <c r="Z227" s="60"/>
    </row>
    <row r="228" ht="53.25" customHeight="1">
      <c r="A228" s="62">
        <v>387.0</v>
      </c>
      <c r="B228" s="60" t="s">
        <v>1350</v>
      </c>
      <c r="C228" s="84" t="s">
        <v>21974</v>
      </c>
      <c r="D228" s="60" t="s">
        <v>21975</v>
      </c>
      <c r="E228" s="60" t="s">
        <v>21976</v>
      </c>
      <c r="F228" s="85" t="s">
        <v>21977</v>
      </c>
      <c r="G228" s="85" t="s">
        <v>21289</v>
      </c>
      <c r="H228" s="62">
        <v>70.0</v>
      </c>
      <c r="I228" s="60"/>
      <c r="J228" s="60"/>
      <c r="K228" s="60"/>
      <c r="L228" s="60"/>
      <c r="M228" s="60"/>
      <c r="N228" s="60"/>
      <c r="O228" s="60"/>
      <c r="P228" s="60"/>
      <c r="Q228" s="60"/>
      <c r="R228" s="60"/>
      <c r="S228" s="60"/>
      <c r="T228" s="60"/>
      <c r="U228" s="60"/>
      <c r="V228" s="60"/>
      <c r="W228" s="60"/>
      <c r="X228" s="60"/>
      <c r="Y228" s="60"/>
      <c r="Z228" s="60"/>
    </row>
    <row r="229" ht="53.25" customHeight="1">
      <c r="A229" s="62">
        <v>341.0</v>
      </c>
      <c r="B229" s="60" t="s">
        <v>1373</v>
      </c>
      <c r="C229" s="84" t="s">
        <v>21978</v>
      </c>
      <c r="D229" s="60" t="s">
        <v>21979</v>
      </c>
      <c r="E229" s="60" t="s">
        <v>19568</v>
      </c>
      <c r="F229" s="85" t="s">
        <v>21980</v>
      </c>
      <c r="G229" s="85" t="s">
        <v>21290</v>
      </c>
      <c r="H229" s="62">
        <v>70.0</v>
      </c>
      <c r="I229" s="60"/>
      <c r="J229" s="60"/>
      <c r="K229" s="60"/>
      <c r="L229" s="60"/>
      <c r="M229" s="60"/>
      <c r="N229" s="60"/>
      <c r="O229" s="60"/>
      <c r="P229" s="60"/>
      <c r="Q229" s="60"/>
      <c r="R229" s="60"/>
      <c r="S229" s="60"/>
      <c r="T229" s="60"/>
      <c r="U229" s="60"/>
      <c r="V229" s="60"/>
      <c r="W229" s="60"/>
      <c r="X229" s="60"/>
      <c r="Y229" s="60"/>
      <c r="Z229" s="60"/>
    </row>
    <row r="230" ht="53.25" customHeight="1">
      <c r="A230" s="62">
        <v>345.0</v>
      </c>
      <c r="B230" s="60" t="s">
        <v>862</v>
      </c>
      <c r="C230" s="84" t="s">
        <v>21981</v>
      </c>
      <c r="D230" s="60" t="s">
        <v>19856</v>
      </c>
      <c r="E230" s="60" t="s">
        <v>19610</v>
      </c>
      <c r="F230" s="85" t="s">
        <v>21982</v>
      </c>
      <c r="G230" s="85" t="s">
        <v>21291</v>
      </c>
      <c r="H230" s="62">
        <v>70.0</v>
      </c>
      <c r="I230" s="60"/>
      <c r="J230" s="60"/>
      <c r="K230" s="60"/>
      <c r="L230" s="60"/>
      <c r="M230" s="60"/>
      <c r="N230" s="60"/>
      <c r="O230" s="60"/>
      <c r="P230" s="60"/>
      <c r="Q230" s="60"/>
      <c r="R230" s="60"/>
      <c r="S230" s="60"/>
      <c r="T230" s="60"/>
      <c r="U230" s="60"/>
      <c r="V230" s="60"/>
      <c r="W230" s="60"/>
      <c r="X230" s="60"/>
      <c r="Y230" s="60"/>
      <c r="Z230" s="60"/>
    </row>
    <row r="231" ht="53.25" customHeight="1">
      <c r="A231" s="62">
        <v>384.0</v>
      </c>
      <c r="B231" s="60" t="s">
        <v>825</v>
      </c>
      <c r="C231" s="84" t="s">
        <v>21983</v>
      </c>
      <c r="D231" s="60" t="s">
        <v>21984</v>
      </c>
      <c r="E231" s="60" t="s">
        <v>634</v>
      </c>
      <c r="F231" s="85" t="s">
        <v>21985</v>
      </c>
      <c r="G231" s="85" t="s">
        <v>21292</v>
      </c>
      <c r="H231" s="62">
        <v>70.0</v>
      </c>
      <c r="I231" s="60"/>
      <c r="J231" s="60"/>
      <c r="K231" s="60"/>
      <c r="L231" s="60"/>
      <c r="M231" s="60"/>
      <c r="N231" s="60"/>
      <c r="O231" s="60"/>
      <c r="P231" s="60"/>
      <c r="Q231" s="60"/>
      <c r="R231" s="60"/>
      <c r="S231" s="60"/>
      <c r="T231" s="60"/>
      <c r="U231" s="60"/>
      <c r="V231" s="60"/>
      <c r="W231" s="60"/>
      <c r="X231" s="60"/>
      <c r="Y231" s="60"/>
      <c r="Z231" s="60"/>
    </row>
    <row r="232" ht="53.25" customHeight="1">
      <c r="A232" s="62">
        <v>349.0</v>
      </c>
      <c r="B232" s="60" t="s">
        <v>1608</v>
      </c>
      <c r="C232" s="84" t="s">
        <v>21986</v>
      </c>
      <c r="D232" s="60" t="s">
        <v>20887</v>
      </c>
      <c r="E232" s="60" t="s">
        <v>682</v>
      </c>
      <c r="F232" s="85" t="s">
        <v>21987</v>
      </c>
      <c r="G232" s="85" t="s">
        <v>21293</v>
      </c>
      <c r="H232" s="62">
        <v>70.0</v>
      </c>
      <c r="I232" s="60"/>
      <c r="J232" s="60"/>
      <c r="K232" s="60"/>
      <c r="L232" s="60"/>
      <c r="M232" s="60"/>
      <c r="N232" s="60"/>
      <c r="O232" s="60"/>
      <c r="P232" s="60"/>
      <c r="Q232" s="60"/>
      <c r="R232" s="60"/>
      <c r="S232" s="60"/>
      <c r="T232" s="60"/>
      <c r="U232" s="60"/>
      <c r="V232" s="60"/>
      <c r="W232" s="60"/>
      <c r="X232" s="60"/>
      <c r="Y232" s="60"/>
      <c r="Z232" s="60"/>
    </row>
    <row r="233" ht="53.25" customHeight="1">
      <c r="A233" s="62">
        <v>383.0</v>
      </c>
      <c r="B233" s="60" t="s">
        <v>1028</v>
      </c>
      <c r="C233" s="84" t="s">
        <v>21988</v>
      </c>
      <c r="D233" s="60" t="s">
        <v>20727</v>
      </c>
      <c r="E233" s="60" t="s">
        <v>20728</v>
      </c>
      <c r="F233" s="85" t="s">
        <v>21989</v>
      </c>
      <c r="G233" s="85" t="s">
        <v>21294</v>
      </c>
      <c r="H233" s="62">
        <v>70.0</v>
      </c>
      <c r="I233" s="60"/>
      <c r="J233" s="60"/>
      <c r="K233" s="60"/>
      <c r="L233" s="60"/>
      <c r="M233" s="60"/>
      <c r="N233" s="60"/>
      <c r="O233" s="60"/>
      <c r="P233" s="60"/>
      <c r="Q233" s="60"/>
      <c r="R233" s="60"/>
      <c r="S233" s="60"/>
      <c r="T233" s="60"/>
      <c r="U233" s="60"/>
      <c r="V233" s="60"/>
      <c r="W233" s="60"/>
      <c r="X233" s="60"/>
      <c r="Y233" s="60"/>
      <c r="Z233" s="60"/>
    </row>
    <row r="234" ht="53.25" customHeight="1">
      <c r="A234" s="62">
        <v>381.0</v>
      </c>
      <c r="B234" s="60" t="s">
        <v>833</v>
      </c>
      <c r="C234" s="84" t="s">
        <v>21990</v>
      </c>
      <c r="D234" s="60" t="s">
        <v>20463</v>
      </c>
      <c r="E234" s="60" t="s">
        <v>20464</v>
      </c>
      <c r="F234" s="85" t="s">
        <v>21991</v>
      </c>
      <c r="G234" s="85" t="s">
        <v>21295</v>
      </c>
      <c r="H234" s="62">
        <v>70.0</v>
      </c>
      <c r="I234" s="60"/>
      <c r="J234" s="60"/>
      <c r="K234" s="60"/>
      <c r="L234" s="60"/>
      <c r="M234" s="60"/>
      <c r="N234" s="60"/>
      <c r="O234" s="60"/>
      <c r="P234" s="60"/>
      <c r="Q234" s="60"/>
      <c r="R234" s="60"/>
      <c r="S234" s="60"/>
      <c r="T234" s="60"/>
      <c r="U234" s="60"/>
      <c r="V234" s="60"/>
      <c r="W234" s="60"/>
      <c r="X234" s="60"/>
      <c r="Y234" s="60"/>
      <c r="Z234" s="60"/>
    </row>
    <row r="235" ht="53.25" customHeight="1">
      <c r="A235" s="62">
        <v>379.0</v>
      </c>
      <c r="B235" s="60" t="s">
        <v>486</v>
      </c>
      <c r="C235" s="84" t="s">
        <v>21992</v>
      </c>
      <c r="D235" s="60" t="s">
        <v>20737</v>
      </c>
      <c r="E235" s="60" t="s">
        <v>668</v>
      </c>
      <c r="F235" s="85" t="s">
        <v>21993</v>
      </c>
      <c r="G235" s="85" t="s">
        <v>21296</v>
      </c>
      <c r="H235" s="62">
        <v>70.0</v>
      </c>
      <c r="I235" s="60"/>
      <c r="J235" s="60"/>
      <c r="K235" s="60"/>
      <c r="L235" s="60"/>
      <c r="M235" s="60"/>
      <c r="N235" s="60"/>
      <c r="O235" s="60"/>
      <c r="P235" s="60"/>
      <c r="Q235" s="60"/>
      <c r="R235" s="60"/>
      <c r="S235" s="60"/>
      <c r="T235" s="60"/>
      <c r="U235" s="60"/>
      <c r="V235" s="60"/>
      <c r="W235" s="60"/>
      <c r="X235" s="60"/>
      <c r="Y235" s="60"/>
      <c r="Z235" s="60"/>
    </row>
    <row r="236" ht="53.25" customHeight="1">
      <c r="A236" s="62">
        <v>430.0</v>
      </c>
      <c r="B236" s="60" t="s">
        <v>1634</v>
      </c>
      <c r="C236" s="84" t="s">
        <v>21994</v>
      </c>
      <c r="D236" s="60" t="s">
        <v>20096</v>
      </c>
      <c r="E236" s="60" t="s">
        <v>19986</v>
      </c>
      <c r="F236" s="85" t="s">
        <v>21995</v>
      </c>
      <c r="G236" s="85" t="s">
        <v>21297</v>
      </c>
      <c r="H236" s="62">
        <v>70.0</v>
      </c>
      <c r="I236" s="60"/>
      <c r="J236" s="60"/>
      <c r="K236" s="60"/>
      <c r="L236" s="60"/>
      <c r="M236" s="60"/>
      <c r="N236" s="60"/>
      <c r="O236" s="60"/>
      <c r="P236" s="60"/>
      <c r="Q236" s="60"/>
      <c r="R236" s="60"/>
      <c r="S236" s="60"/>
      <c r="T236" s="60"/>
      <c r="U236" s="60"/>
      <c r="V236" s="60"/>
      <c r="W236" s="60"/>
      <c r="X236" s="60"/>
      <c r="Y236" s="60"/>
      <c r="Z236" s="60"/>
    </row>
    <row r="237" ht="53.25" customHeight="1">
      <c r="A237" s="62">
        <v>353.0</v>
      </c>
      <c r="B237" s="60" t="s">
        <v>1611</v>
      </c>
      <c r="C237" s="84" t="s">
        <v>21996</v>
      </c>
      <c r="D237" s="60" t="s">
        <v>19898</v>
      </c>
      <c r="E237" s="60" t="s">
        <v>19899</v>
      </c>
      <c r="F237" s="85" t="s">
        <v>21997</v>
      </c>
      <c r="G237" s="85" t="s">
        <v>21298</v>
      </c>
      <c r="H237" s="62">
        <v>70.0</v>
      </c>
      <c r="I237" s="60"/>
      <c r="J237" s="60"/>
      <c r="K237" s="60"/>
      <c r="L237" s="60"/>
      <c r="M237" s="60"/>
      <c r="N237" s="60"/>
      <c r="O237" s="60"/>
      <c r="P237" s="60"/>
      <c r="Q237" s="60"/>
      <c r="R237" s="60"/>
      <c r="S237" s="60"/>
      <c r="T237" s="60"/>
      <c r="U237" s="60"/>
      <c r="V237" s="60"/>
      <c r="W237" s="60"/>
      <c r="X237" s="60"/>
      <c r="Y237" s="60"/>
      <c r="Z237" s="60"/>
    </row>
    <row r="238" ht="53.25" customHeight="1">
      <c r="A238" s="62">
        <v>354.0</v>
      </c>
      <c r="B238" s="60" t="s">
        <v>780</v>
      </c>
      <c r="C238" s="84" t="s">
        <v>21998</v>
      </c>
      <c r="D238" s="60" t="s">
        <v>20367</v>
      </c>
      <c r="E238" s="60" t="s">
        <v>19598</v>
      </c>
      <c r="F238" s="85" t="s">
        <v>21999</v>
      </c>
      <c r="G238" s="85" t="s">
        <v>21299</v>
      </c>
      <c r="H238" s="62">
        <v>70.0</v>
      </c>
      <c r="I238" s="60"/>
      <c r="J238" s="60"/>
      <c r="K238" s="60"/>
      <c r="L238" s="60"/>
      <c r="M238" s="60"/>
      <c r="N238" s="60"/>
      <c r="O238" s="60"/>
      <c r="P238" s="60"/>
      <c r="Q238" s="60"/>
      <c r="R238" s="60"/>
      <c r="S238" s="60"/>
      <c r="T238" s="60"/>
      <c r="U238" s="60"/>
      <c r="V238" s="60"/>
      <c r="W238" s="60"/>
      <c r="X238" s="60"/>
      <c r="Y238" s="60"/>
      <c r="Z238" s="60"/>
    </row>
    <row r="239" ht="53.25" customHeight="1">
      <c r="A239" s="62">
        <v>374.0</v>
      </c>
      <c r="B239" s="60" t="s">
        <v>870</v>
      </c>
      <c r="C239" s="84" t="s">
        <v>22000</v>
      </c>
      <c r="D239" s="60" t="s">
        <v>22001</v>
      </c>
      <c r="E239" s="60" t="s">
        <v>20077</v>
      </c>
      <c r="F239" s="85" t="s">
        <v>22002</v>
      </c>
      <c r="G239" s="85" t="s">
        <v>21300</v>
      </c>
      <c r="H239" s="62">
        <v>70.0</v>
      </c>
      <c r="I239" s="60"/>
      <c r="J239" s="60"/>
      <c r="K239" s="60"/>
      <c r="L239" s="60"/>
      <c r="M239" s="60"/>
      <c r="N239" s="60"/>
      <c r="O239" s="60"/>
      <c r="P239" s="60"/>
      <c r="Q239" s="60"/>
      <c r="R239" s="60"/>
      <c r="S239" s="60"/>
      <c r="T239" s="60"/>
      <c r="U239" s="60"/>
      <c r="V239" s="60"/>
      <c r="W239" s="60"/>
      <c r="X239" s="60"/>
      <c r="Y239" s="60"/>
      <c r="Z239" s="60"/>
    </row>
    <row r="240" ht="53.25" customHeight="1">
      <c r="A240" s="62">
        <v>373.0</v>
      </c>
      <c r="B240" s="60" t="s">
        <v>1468</v>
      </c>
      <c r="C240" s="84" t="s">
        <v>22003</v>
      </c>
      <c r="D240" s="60" t="s">
        <v>20025</v>
      </c>
      <c r="E240" s="60" t="s">
        <v>656</v>
      </c>
      <c r="F240" s="85" t="s">
        <v>22004</v>
      </c>
      <c r="G240" s="85" t="s">
        <v>21301</v>
      </c>
      <c r="H240" s="62">
        <v>70.0</v>
      </c>
      <c r="I240" s="60"/>
      <c r="J240" s="60"/>
      <c r="K240" s="60"/>
      <c r="L240" s="60"/>
      <c r="M240" s="60"/>
      <c r="N240" s="60"/>
      <c r="O240" s="60"/>
      <c r="P240" s="60"/>
      <c r="Q240" s="60"/>
      <c r="R240" s="60"/>
      <c r="S240" s="60"/>
      <c r="T240" s="60"/>
      <c r="U240" s="60"/>
      <c r="V240" s="60"/>
      <c r="W240" s="60"/>
      <c r="X240" s="60"/>
      <c r="Y240" s="60"/>
      <c r="Z240" s="60"/>
    </row>
    <row r="241" ht="53.25" customHeight="1">
      <c r="A241" s="62">
        <v>372.0</v>
      </c>
      <c r="B241" s="60" t="s">
        <v>426</v>
      </c>
      <c r="C241" s="84" t="s">
        <v>22005</v>
      </c>
      <c r="D241" s="60" t="s">
        <v>20022</v>
      </c>
      <c r="E241" s="60" t="s">
        <v>19576</v>
      </c>
      <c r="F241" s="85" t="s">
        <v>22006</v>
      </c>
      <c r="G241" s="85" t="s">
        <v>21302</v>
      </c>
      <c r="H241" s="62">
        <v>70.0</v>
      </c>
      <c r="I241" s="60"/>
      <c r="J241" s="60"/>
      <c r="K241" s="60"/>
      <c r="L241" s="60"/>
      <c r="M241" s="60"/>
      <c r="N241" s="60"/>
      <c r="O241" s="60"/>
      <c r="P241" s="60"/>
      <c r="Q241" s="60"/>
      <c r="R241" s="60"/>
      <c r="S241" s="60"/>
      <c r="T241" s="60"/>
      <c r="U241" s="60"/>
      <c r="V241" s="60"/>
      <c r="W241" s="60"/>
      <c r="X241" s="60"/>
      <c r="Y241" s="60"/>
      <c r="Z241" s="60"/>
    </row>
    <row r="242" ht="53.25" customHeight="1">
      <c r="A242" s="62">
        <v>371.0</v>
      </c>
      <c r="B242" s="60" t="s">
        <v>1352</v>
      </c>
      <c r="C242" s="84" t="s">
        <v>22007</v>
      </c>
      <c r="D242" s="60" t="s">
        <v>20426</v>
      </c>
      <c r="E242" s="60" t="s">
        <v>682</v>
      </c>
      <c r="F242" s="85" t="s">
        <v>22008</v>
      </c>
      <c r="G242" s="85" t="s">
        <v>21303</v>
      </c>
      <c r="H242" s="62">
        <v>70.0</v>
      </c>
      <c r="I242" s="60"/>
      <c r="J242" s="60"/>
      <c r="K242" s="60"/>
      <c r="L242" s="60"/>
      <c r="M242" s="60"/>
      <c r="N242" s="60"/>
      <c r="O242" s="60"/>
      <c r="P242" s="60"/>
      <c r="Q242" s="60"/>
      <c r="R242" s="60"/>
      <c r="S242" s="60"/>
      <c r="T242" s="60"/>
      <c r="U242" s="60"/>
      <c r="V242" s="60"/>
      <c r="W242" s="60"/>
      <c r="X242" s="60"/>
      <c r="Y242" s="60"/>
      <c r="Z242" s="60"/>
    </row>
    <row r="243" ht="53.25" customHeight="1">
      <c r="A243" s="62">
        <v>357.0</v>
      </c>
      <c r="B243" s="60" t="s">
        <v>855</v>
      </c>
      <c r="C243" s="84" t="s">
        <v>22009</v>
      </c>
      <c r="D243" s="60" t="s">
        <v>19905</v>
      </c>
      <c r="E243" s="60" t="s">
        <v>19906</v>
      </c>
      <c r="F243" s="85" t="s">
        <v>22010</v>
      </c>
      <c r="G243" s="85" t="s">
        <v>21304</v>
      </c>
      <c r="H243" s="62">
        <v>70.0</v>
      </c>
      <c r="I243" s="60"/>
      <c r="J243" s="60"/>
      <c r="K243" s="60"/>
      <c r="L243" s="60"/>
      <c r="M243" s="60"/>
      <c r="N243" s="60"/>
      <c r="O243" s="60"/>
      <c r="P243" s="60"/>
      <c r="Q243" s="60"/>
      <c r="R243" s="60"/>
      <c r="S243" s="60"/>
      <c r="T243" s="60"/>
      <c r="U243" s="60"/>
      <c r="V243" s="60"/>
      <c r="W243" s="60"/>
      <c r="X243" s="60"/>
      <c r="Y243" s="60"/>
      <c r="Z243" s="60"/>
    </row>
    <row r="244" ht="53.25" customHeight="1">
      <c r="A244" s="62">
        <v>368.0</v>
      </c>
      <c r="B244" s="60" t="s">
        <v>1183</v>
      </c>
      <c r="C244" s="84" t="s">
        <v>22011</v>
      </c>
      <c r="D244" s="60" t="s">
        <v>20358</v>
      </c>
      <c r="E244" s="60" t="s">
        <v>20255</v>
      </c>
      <c r="F244" s="85" t="s">
        <v>22012</v>
      </c>
      <c r="G244" s="85" t="s">
        <v>21305</v>
      </c>
      <c r="H244" s="62">
        <v>70.0</v>
      </c>
      <c r="I244" s="60"/>
      <c r="J244" s="60"/>
      <c r="K244" s="60"/>
      <c r="L244" s="60"/>
      <c r="M244" s="60"/>
      <c r="N244" s="60"/>
      <c r="O244" s="60"/>
      <c r="P244" s="60"/>
      <c r="Q244" s="60"/>
      <c r="R244" s="60"/>
      <c r="S244" s="60"/>
      <c r="T244" s="60"/>
      <c r="U244" s="60"/>
      <c r="V244" s="60"/>
      <c r="W244" s="60"/>
      <c r="X244" s="60"/>
      <c r="Y244" s="60"/>
      <c r="Z244" s="60"/>
    </row>
    <row r="245" ht="53.25" customHeight="1">
      <c r="A245" s="62">
        <v>336.0</v>
      </c>
      <c r="B245" s="60" t="s">
        <v>1379</v>
      </c>
      <c r="C245" s="84" t="s">
        <v>22013</v>
      </c>
      <c r="D245" s="60" t="s">
        <v>20306</v>
      </c>
      <c r="E245" s="60" t="s">
        <v>20255</v>
      </c>
      <c r="F245" s="85" t="s">
        <v>22014</v>
      </c>
      <c r="G245" s="85" t="s">
        <v>21306</v>
      </c>
      <c r="H245" s="62">
        <v>70.0</v>
      </c>
      <c r="I245" s="60"/>
      <c r="J245" s="60"/>
      <c r="K245" s="60"/>
      <c r="L245" s="60"/>
      <c r="M245" s="60"/>
      <c r="N245" s="60"/>
      <c r="O245" s="60"/>
      <c r="P245" s="60"/>
      <c r="Q245" s="60"/>
      <c r="R245" s="60"/>
      <c r="S245" s="60"/>
      <c r="T245" s="60"/>
      <c r="U245" s="60"/>
      <c r="V245" s="60"/>
      <c r="W245" s="60"/>
      <c r="X245" s="60"/>
      <c r="Y245" s="60"/>
      <c r="Z245" s="60"/>
    </row>
    <row r="246" ht="53.25" customHeight="1">
      <c r="A246" s="62">
        <v>335.0</v>
      </c>
      <c r="B246" s="60" t="s">
        <v>864</v>
      </c>
      <c r="C246" s="84" t="s">
        <v>22015</v>
      </c>
      <c r="D246" s="60" t="s">
        <v>19840</v>
      </c>
      <c r="E246" s="60" t="s">
        <v>19641</v>
      </c>
      <c r="F246" s="85" t="s">
        <v>22016</v>
      </c>
      <c r="G246" s="85" t="s">
        <v>21307</v>
      </c>
      <c r="H246" s="62">
        <v>70.0</v>
      </c>
      <c r="I246" s="60"/>
      <c r="J246" s="60"/>
      <c r="K246" s="60"/>
      <c r="L246" s="60"/>
      <c r="M246" s="60"/>
      <c r="N246" s="60"/>
      <c r="O246" s="60"/>
      <c r="P246" s="60"/>
      <c r="Q246" s="60"/>
      <c r="R246" s="60"/>
      <c r="S246" s="60"/>
      <c r="T246" s="60"/>
      <c r="U246" s="60"/>
      <c r="V246" s="60"/>
      <c r="W246" s="60"/>
      <c r="X246" s="60"/>
      <c r="Y246" s="60"/>
      <c r="Z246" s="60"/>
    </row>
    <row r="247" ht="53.25" customHeight="1">
      <c r="A247" s="62">
        <v>388.0</v>
      </c>
      <c r="B247" s="60" t="s">
        <v>1252</v>
      </c>
      <c r="C247" s="84" t="s">
        <v>22017</v>
      </c>
      <c r="D247" s="60" t="s">
        <v>19640</v>
      </c>
      <c r="E247" s="60" t="s">
        <v>19641</v>
      </c>
      <c r="F247" s="85" t="s">
        <v>22018</v>
      </c>
      <c r="G247" s="85" t="s">
        <v>21308</v>
      </c>
      <c r="H247" s="62">
        <v>70.0</v>
      </c>
      <c r="I247" s="60"/>
      <c r="J247" s="60"/>
      <c r="K247" s="60"/>
      <c r="L247" s="60"/>
      <c r="M247" s="60"/>
      <c r="N247" s="60"/>
      <c r="O247" s="60"/>
      <c r="P247" s="60"/>
      <c r="Q247" s="60"/>
      <c r="R247" s="60"/>
      <c r="S247" s="60"/>
      <c r="T247" s="60"/>
      <c r="U247" s="60"/>
      <c r="V247" s="60"/>
      <c r="W247" s="60"/>
      <c r="X247" s="60"/>
      <c r="Y247" s="60"/>
      <c r="Z247" s="60"/>
    </row>
    <row r="248" ht="53.25" customHeight="1">
      <c r="A248" s="62">
        <v>334.0</v>
      </c>
      <c r="B248" s="60" t="s">
        <v>1171</v>
      </c>
      <c r="C248" s="84" t="s">
        <v>22019</v>
      </c>
      <c r="D248" s="60" t="s">
        <v>19709</v>
      </c>
      <c r="E248" s="60" t="s">
        <v>714</v>
      </c>
      <c r="F248" s="85" t="s">
        <v>22020</v>
      </c>
      <c r="G248" s="85" t="s">
        <v>21309</v>
      </c>
      <c r="H248" s="62">
        <v>70.0</v>
      </c>
      <c r="I248" s="60"/>
      <c r="J248" s="60"/>
      <c r="K248" s="60"/>
      <c r="L248" s="60"/>
      <c r="M248" s="60"/>
      <c r="N248" s="60"/>
      <c r="O248" s="60"/>
      <c r="P248" s="60"/>
      <c r="Q248" s="60"/>
      <c r="R248" s="60"/>
      <c r="S248" s="60"/>
      <c r="T248" s="60"/>
      <c r="U248" s="60"/>
      <c r="V248" s="60"/>
      <c r="W248" s="60"/>
      <c r="X248" s="60"/>
      <c r="Y248" s="60"/>
      <c r="Z248" s="60"/>
    </row>
    <row r="249" ht="53.25" customHeight="1">
      <c r="A249" s="62">
        <v>429.0</v>
      </c>
      <c r="B249" s="60" t="s">
        <v>71</v>
      </c>
      <c r="C249" s="84" t="s">
        <v>22021</v>
      </c>
      <c r="D249" s="60" t="s">
        <v>20451</v>
      </c>
      <c r="E249" s="60" t="s">
        <v>636</v>
      </c>
      <c r="F249" s="85" t="s">
        <v>22022</v>
      </c>
      <c r="G249" s="85" t="s">
        <v>21310</v>
      </c>
      <c r="H249" s="62">
        <v>70.0</v>
      </c>
      <c r="I249" s="60"/>
      <c r="J249" s="60"/>
      <c r="K249" s="60"/>
      <c r="L249" s="60"/>
      <c r="M249" s="60"/>
      <c r="N249" s="60"/>
      <c r="O249" s="60"/>
      <c r="P249" s="60"/>
      <c r="Q249" s="60"/>
      <c r="R249" s="60"/>
      <c r="S249" s="60"/>
      <c r="T249" s="60"/>
      <c r="U249" s="60"/>
      <c r="V249" s="60"/>
      <c r="W249" s="60"/>
      <c r="X249" s="60"/>
      <c r="Y249" s="60"/>
      <c r="Z249" s="60"/>
    </row>
    <row r="250" ht="53.25" customHeight="1">
      <c r="A250" s="62">
        <v>428.0</v>
      </c>
      <c r="B250" s="60" t="s">
        <v>1015</v>
      </c>
      <c r="C250" s="84" t="s">
        <v>22023</v>
      </c>
      <c r="D250" s="60" t="s">
        <v>20448</v>
      </c>
      <c r="E250" s="60" t="s">
        <v>159</v>
      </c>
      <c r="F250" s="85" t="s">
        <v>22024</v>
      </c>
      <c r="G250" s="85" t="s">
        <v>21311</v>
      </c>
      <c r="H250" s="62">
        <v>70.0</v>
      </c>
      <c r="I250" s="60"/>
      <c r="J250" s="60"/>
      <c r="K250" s="60"/>
      <c r="L250" s="60"/>
      <c r="M250" s="60"/>
      <c r="N250" s="60"/>
      <c r="O250" s="60"/>
      <c r="P250" s="60"/>
      <c r="Q250" s="60"/>
      <c r="R250" s="60"/>
      <c r="S250" s="60"/>
      <c r="T250" s="60"/>
      <c r="U250" s="60"/>
      <c r="V250" s="60"/>
      <c r="W250" s="60"/>
      <c r="X250" s="60"/>
      <c r="Y250" s="60"/>
      <c r="Z250" s="60"/>
    </row>
    <row r="251" ht="53.25" customHeight="1">
      <c r="A251" s="62">
        <v>302.0</v>
      </c>
      <c r="B251" s="60" t="s">
        <v>927</v>
      </c>
      <c r="C251" s="84" t="s">
        <v>22025</v>
      </c>
      <c r="D251" s="60" t="s">
        <v>20636</v>
      </c>
      <c r="E251" s="60" t="s">
        <v>20077</v>
      </c>
      <c r="F251" s="85" t="s">
        <v>22026</v>
      </c>
      <c r="G251" s="85" t="s">
        <v>21312</v>
      </c>
      <c r="H251" s="62">
        <v>70.0</v>
      </c>
      <c r="I251" s="60"/>
      <c r="J251" s="60"/>
      <c r="K251" s="60"/>
      <c r="L251" s="60"/>
      <c r="M251" s="60"/>
      <c r="N251" s="60"/>
      <c r="O251" s="60"/>
      <c r="P251" s="60"/>
      <c r="Q251" s="60"/>
      <c r="R251" s="60"/>
      <c r="S251" s="60"/>
      <c r="T251" s="60"/>
      <c r="U251" s="60"/>
      <c r="V251" s="60"/>
      <c r="W251" s="60"/>
      <c r="X251" s="60"/>
      <c r="Y251" s="60"/>
      <c r="Z251" s="60"/>
    </row>
    <row r="252" ht="53.25" customHeight="1">
      <c r="A252" s="62">
        <v>423.0</v>
      </c>
      <c r="B252" s="60" t="s">
        <v>241</v>
      </c>
      <c r="C252" s="84" t="s">
        <v>22027</v>
      </c>
      <c r="D252" s="60" t="s">
        <v>20500</v>
      </c>
      <c r="E252" s="60" t="s">
        <v>20081</v>
      </c>
      <c r="F252" s="85" t="s">
        <v>22028</v>
      </c>
      <c r="G252" s="85" t="s">
        <v>21313</v>
      </c>
      <c r="H252" s="62">
        <v>70.0</v>
      </c>
      <c r="I252" s="60"/>
      <c r="J252" s="60"/>
      <c r="K252" s="60"/>
      <c r="L252" s="60"/>
      <c r="M252" s="60"/>
      <c r="N252" s="60"/>
      <c r="O252" s="60"/>
      <c r="P252" s="60"/>
      <c r="Q252" s="60"/>
      <c r="R252" s="60"/>
      <c r="S252" s="60"/>
      <c r="T252" s="60"/>
      <c r="U252" s="60"/>
      <c r="V252" s="60"/>
      <c r="W252" s="60"/>
      <c r="X252" s="60"/>
      <c r="Y252" s="60"/>
      <c r="Z252" s="60"/>
    </row>
    <row r="253" ht="53.25" customHeight="1">
      <c r="A253" s="62">
        <v>310.0</v>
      </c>
      <c r="B253" s="60" t="s">
        <v>1041</v>
      </c>
      <c r="C253" s="84" t="s">
        <v>22029</v>
      </c>
      <c r="D253" s="60" t="s">
        <v>19944</v>
      </c>
      <c r="E253" s="60" t="s">
        <v>682</v>
      </c>
      <c r="F253" s="85" t="s">
        <v>22030</v>
      </c>
      <c r="G253" s="85" t="s">
        <v>21314</v>
      </c>
      <c r="H253" s="62">
        <v>70.0</v>
      </c>
      <c r="I253" s="60"/>
      <c r="J253" s="60"/>
      <c r="K253" s="60"/>
      <c r="L253" s="60"/>
      <c r="M253" s="60"/>
      <c r="N253" s="60"/>
      <c r="O253" s="60"/>
      <c r="P253" s="60"/>
      <c r="Q253" s="60"/>
      <c r="R253" s="60"/>
      <c r="S253" s="60"/>
      <c r="T253" s="60"/>
      <c r="U253" s="60"/>
      <c r="V253" s="60"/>
      <c r="W253" s="60"/>
      <c r="X253" s="60"/>
      <c r="Y253" s="60"/>
      <c r="Z253" s="60"/>
    </row>
    <row r="254" ht="53.25" customHeight="1">
      <c r="A254" s="62">
        <v>312.0</v>
      </c>
      <c r="B254" s="60" t="s">
        <v>19271</v>
      </c>
      <c r="C254" s="84" t="s">
        <v>22031</v>
      </c>
      <c r="D254" s="60" t="s">
        <v>20235</v>
      </c>
      <c r="E254" s="60" t="s">
        <v>309</v>
      </c>
      <c r="F254" s="85" t="s">
        <v>22032</v>
      </c>
      <c r="G254" s="85" t="s">
        <v>21315</v>
      </c>
      <c r="H254" s="62">
        <v>70.0</v>
      </c>
      <c r="I254" s="60"/>
      <c r="J254" s="60"/>
      <c r="K254" s="60"/>
      <c r="L254" s="60"/>
      <c r="M254" s="60"/>
      <c r="N254" s="60"/>
      <c r="O254" s="60"/>
      <c r="P254" s="60"/>
      <c r="Q254" s="60"/>
      <c r="R254" s="60"/>
      <c r="S254" s="60"/>
      <c r="T254" s="60"/>
      <c r="U254" s="60"/>
      <c r="V254" s="60"/>
      <c r="W254" s="60"/>
      <c r="X254" s="60"/>
      <c r="Y254" s="60"/>
      <c r="Z254" s="60"/>
    </row>
    <row r="255" ht="53.25" customHeight="1">
      <c r="A255" s="62">
        <v>314.0</v>
      </c>
      <c r="B255" s="60" t="s">
        <v>792</v>
      </c>
      <c r="C255" s="84" t="s">
        <v>22033</v>
      </c>
      <c r="D255" s="60" t="s">
        <v>22034</v>
      </c>
      <c r="E255" s="60" t="s">
        <v>20621</v>
      </c>
      <c r="F255" s="85" t="s">
        <v>22035</v>
      </c>
      <c r="G255" s="85" t="s">
        <v>21316</v>
      </c>
      <c r="H255" s="62">
        <v>70.0</v>
      </c>
      <c r="I255" s="60"/>
      <c r="J255" s="60"/>
      <c r="K255" s="60"/>
      <c r="L255" s="60"/>
      <c r="M255" s="60"/>
      <c r="N255" s="60"/>
      <c r="O255" s="60"/>
      <c r="P255" s="60"/>
      <c r="Q255" s="60"/>
      <c r="R255" s="60"/>
      <c r="S255" s="60"/>
      <c r="T255" s="60"/>
      <c r="U255" s="60"/>
      <c r="V255" s="60"/>
      <c r="W255" s="60"/>
      <c r="X255" s="60"/>
      <c r="Y255" s="60"/>
      <c r="Z255" s="60"/>
    </row>
    <row r="256" ht="53.25" customHeight="1">
      <c r="A256" s="62">
        <v>317.0</v>
      </c>
      <c r="B256" s="60" t="s">
        <v>1139</v>
      </c>
      <c r="C256" s="84" t="s">
        <v>22036</v>
      </c>
      <c r="D256" s="60" t="s">
        <v>20769</v>
      </c>
      <c r="E256" s="60" t="s">
        <v>20255</v>
      </c>
      <c r="F256" s="85" t="s">
        <v>22037</v>
      </c>
      <c r="G256" s="85" t="s">
        <v>21317</v>
      </c>
      <c r="H256" s="62">
        <v>70.0</v>
      </c>
      <c r="I256" s="60"/>
      <c r="J256" s="60"/>
      <c r="K256" s="60"/>
      <c r="L256" s="60"/>
      <c r="M256" s="60"/>
      <c r="N256" s="60"/>
      <c r="O256" s="60"/>
      <c r="P256" s="60"/>
      <c r="Q256" s="60"/>
      <c r="R256" s="60"/>
      <c r="S256" s="60"/>
      <c r="T256" s="60"/>
      <c r="U256" s="60"/>
      <c r="V256" s="60"/>
      <c r="W256" s="60"/>
      <c r="X256" s="60"/>
      <c r="Y256" s="60"/>
      <c r="Z256" s="60"/>
    </row>
    <row r="257" ht="53.25" customHeight="1">
      <c r="A257" s="62">
        <v>404.0</v>
      </c>
      <c r="B257" s="60" t="s">
        <v>89</v>
      </c>
      <c r="C257" s="84" t="s">
        <v>22038</v>
      </c>
      <c r="D257" s="60" t="s">
        <v>20123</v>
      </c>
      <c r="E257" s="60" t="s">
        <v>634</v>
      </c>
      <c r="F257" s="85" t="s">
        <v>22039</v>
      </c>
      <c r="G257" s="85" t="s">
        <v>21318</v>
      </c>
      <c r="H257" s="62">
        <v>70.0</v>
      </c>
      <c r="I257" s="60"/>
      <c r="J257" s="60"/>
      <c r="K257" s="60"/>
      <c r="L257" s="60"/>
      <c r="M257" s="60"/>
      <c r="N257" s="60"/>
      <c r="O257" s="60"/>
      <c r="P257" s="60"/>
      <c r="Q257" s="60"/>
      <c r="R257" s="60"/>
      <c r="S257" s="60"/>
      <c r="T257" s="60"/>
      <c r="U257" s="60"/>
      <c r="V257" s="60"/>
      <c r="W257" s="60"/>
      <c r="X257" s="60"/>
      <c r="Y257" s="60"/>
      <c r="Z257" s="60"/>
    </row>
    <row r="258" ht="53.25" customHeight="1">
      <c r="A258" s="62">
        <v>402.0</v>
      </c>
      <c r="B258" s="60" t="s">
        <v>1069</v>
      </c>
      <c r="C258" s="84" t="s">
        <v>22040</v>
      </c>
      <c r="D258" s="60" t="s">
        <v>20099</v>
      </c>
      <c r="E258" s="60" t="s">
        <v>20100</v>
      </c>
      <c r="F258" s="85" t="s">
        <v>22041</v>
      </c>
      <c r="G258" s="85" t="s">
        <v>21319</v>
      </c>
      <c r="H258" s="62">
        <v>70.0</v>
      </c>
      <c r="I258" s="60"/>
      <c r="J258" s="60"/>
      <c r="K258" s="60"/>
      <c r="L258" s="60"/>
      <c r="M258" s="60"/>
      <c r="N258" s="60"/>
      <c r="O258" s="60"/>
      <c r="P258" s="60"/>
      <c r="Q258" s="60"/>
      <c r="R258" s="60"/>
      <c r="S258" s="60"/>
      <c r="T258" s="60"/>
      <c r="U258" s="60"/>
      <c r="V258" s="60"/>
      <c r="W258" s="60"/>
      <c r="X258" s="60"/>
      <c r="Y258" s="60"/>
      <c r="Z258" s="60"/>
    </row>
    <row r="259" ht="53.25" customHeight="1">
      <c r="A259" s="62">
        <v>321.0</v>
      </c>
      <c r="B259" s="60" t="s">
        <v>1137</v>
      </c>
      <c r="C259" s="84" t="s">
        <v>22042</v>
      </c>
      <c r="D259" s="60" t="s">
        <v>20205</v>
      </c>
      <c r="E259" s="60" t="s">
        <v>19620</v>
      </c>
      <c r="F259" s="85" t="s">
        <v>22043</v>
      </c>
      <c r="G259" s="85" t="s">
        <v>21320</v>
      </c>
      <c r="H259" s="62">
        <v>70.0</v>
      </c>
      <c r="I259" s="60"/>
      <c r="J259" s="60"/>
      <c r="K259" s="60"/>
      <c r="L259" s="60"/>
      <c r="M259" s="60"/>
      <c r="N259" s="60"/>
      <c r="O259" s="60"/>
      <c r="P259" s="60"/>
      <c r="Q259" s="60"/>
      <c r="R259" s="60"/>
      <c r="S259" s="60"/>
      <c r="T259" s="60"/>
      <c r="U259" s="60"/>
      <c r="V259" s="60"/>
      <c r="W259" s="60"/>
      <c r="X259" s="60"/>
      <c r="Y259" s="60"/>
      <c r="Z259" s="60"/>
    </row>
    <row r="260" ht="53.25" customHeight="1">
      <c r="A260" s="62">
        <v>322.0</v>
      </c>
      <c r="B260" s="60" t="s">
        <v>1135</v>
      </c>
      <c r="C260" s="84" t="s">
        <v>22044</v>
      </c>
      <c r="D260" s="60" t="s">
        <v>19992</v>
      </c>
      <c r="E260" s="60" t="s">
        <v>19765</v>
      </c>
      <c r="F260" s="85" t="s">
        <v>22045</v>
      </c>
      <c r="G260" s="85" t="s">
        <v>21321</v>
      </c>
      <c r="H260" s="62">
        <v>70.0</v>
      </c>
      <c r="I260" s="60"/>
      <c r="J260" s="60"/>
      <c r="K260" s="60"/>
      <c r="L260" s="60"/>
      <c r="M260" s="60"/>
      <c r="N260" s="60"/>
      <c r="O260" s="60"/>
      <c r="P260" s="60"/>
      <c r="Q260" s="60"/>
      <c r="R260" s="60"/>
      <c r="S260" s="60"/>
      <c r="T260" s="60"/>
      <c r="U260" s="60"/>
      <c r="V260" s="60"/>
      <c r="W260" s="60"/>
      <c r="X260" s="60"/>
      <c r="Y260" s="60"/>
      <c r="Z260" s="60"/>
    </row>
    <row r="261" ht="53.25" customHeight="1">
      <c r="A261" s="62">
        <v>399.0</v>
      </c>
      <c r="B261" s="60" t="s">
        <v>230</v>
      </c>
      <c r="C261" s="84" t="s">
        <v>22046</v>
      </c>
      <c r="D261" s="60" t="s">
        <v>20126</v>
      </c>
      <c r="E261" s="60" t="s">
        <v>20127</v>
      </c>
      <c r="F261" s="85" t="s">
        <v>22047</v>
      </c>
      <c r="G261" s="85" t="s">
        <v>21322</v>
      </c>
      <c r="H261" s="62">
        <v>70.0</v>
      </c>
      <c r="I261" s="60"/>
      <c r="J261" s="60"/>
      <c r="K261" s="60"/>
      <c r="L261" s="60"/>
      <c r="M261" s="60"/>
      <c r="N261" s="60"/>
      <c r="O261" s="60"/>
      <c r="P261" s="60"/>
      <c r="Q261" s="60"/>
      <c r="R261" s="60"/>
      <c r="S261" s="60"/>
      <c r="T261" s="60"/>
      <c r="U261" s="60"/>
      <c r="V261" s="60"/>
      <c r="W261" s="60"/>
      <c r="X261" s="60"/>
      <c r="Y261" s="60"/>
      <c r="Z261" s="60"/>
    </row>
    <row r="262" ht="53.25" customHeight="1">
      <c r="A262" s="62">
        <v>397.0</v>
      </c>
      <c r="B262" s="60" t="s">
        <v>766</v>
      </c>
      <c r="C262" s="84" t="s">
        <v>22048</v>
      </c>
      <c r="D262" s="60" t="s">
        <v>19626</v>
      </c>
      <c r="E262" s="60" t="s">
        <v>19627</v>
      </c>
      <c r="F262" s="85" t="s">
        <v>22049</v>
      </c>
      <c r="G262" s="85" t="s">
        <v>21323</v>
      </c>
      <c r="H262" s="62">
        <v>70.0</v>
      </c>
      <c r="I262" s="60"/>
      <c r="J262" s="60"/>
      <c r="K262" s="60"/>
      <c r="L262" s="60"/>
      <c r="M262" s="60"/>
      <c r="N262" s="60"/>
      <c r="O262" s="60"/>
      <c r="P262" s="60"/>
      <c r="Q262" s="60"/>
      <c r="R262" s="60"/>
      <c r="S262" s="60"/>
      <c r="T262" s="60"/>
      <c r="U262" s="60"/>
      <c r="V262" s="60"/>
      <c r="W262" s="60"/>
      <c r="X262" s="60"/>
      <c r="Y262" s="60"/>
      <c r="Z262" s="60"/>
    </row>
    <row r="263" ht="53.25" customHeight="1">
      <c r="A263" s="62">
        <v>328.0</v>
      </c>
      <c r="B263" s="60" t="s">
        <v>1147</v>
      </c>
      <c r="C263" s="84" t="s">
        <v>22050</v>
      </c>
      <c r="D263" s="60" t="s">
        <v>22051</v>
      </c>
      <c r="E263" s="60" t="s">
        <v>19594</v>
      </c>
      <c r="F263" s="85" t="s">
        <v>22052</v>
      </c>
      <c r="G263" s="85" t="s">
        <v>21324</v>
      </c>
      <c r="H263" s="62">
        <v>70.0</v>
      </c>
      <c r="I263" s="60"/>
      <c r="J263" s="60"/>
      <c r="K263" s="60"/>
      <c r="L263" s="60"/>
      <c r="M263" s="60"/>
      <c r="N263" s="60"/>
      <c r="O263" s="60"/>
      <c r="P263" s="60"/>
      <c r="Q263" s="60"/>
      <c r="R263" s="60"/>
      <c r="S263" s="60"/>
      <c r="T263" s="60"/>
      <c r="U263" s="60"/>
      <c r="V263" s="60"/>
      <c r="W263" s="60"/>
      <c r="X263" s="60"/>
      <c r="Y263" s="60"/>
      <c r="Z263" s="60"/>
    </row>
    <row r="264" ht="53.25" customHeight="1">
      <c r="A264" s="62">
        <v>331.0</v>
      </c>
      <c r="B264" s="60" t="s">
        <v>144</v>
      </c>
      <c r="C264" s="84" t="s">
        <v>22053</v>
      </c>
      <c r="D264" s="60" t="s">
        <v>22054</v>
      </c>
      <c r="E264" s="60" t="s">
        <v>20255</v>
      </c>
      <c r="F264" s="85" t="s">
        <v>22055</v>
      </c>
      <c r="G264" s="85" t="s">
        <v>21325</v>
      </c>
      <c r="H264" s="62">
        <v>70.0</v>
      </c>
      <c r="I264" s="60"/>
      <c r="J264" s="60"/>
      <c r="K264" s="60"/>
      <c r="L264" s="60"/>
      <c r="M264" s="60"/>
      <c r="N264" s="60"/>
      <c r="O264" s="60"/>
      <c r="P264" s="60"/>
      <c r="Q264" s="60"/>
      <c r="R264" s="60"/>
      <c r="S264" s="60"/>
      <c r="T264" s="60"/>
      <c r="U264" s="60"/>
      <c r="V264" s="60"/>
      <c r="W264" s="60"/>
      <c r="X264" s="60"/>
      <c r="Y264" s="60"/>
      <c r="Z264" s="60"/>
    </row>
    <row r="265" ht="53.25" customHeight="1">
      <c r="A265" s="62">
        <v>390.0</v>
      </c>
      <c r="B265" s="60" t="s">
        <v>1149</v>
      </c>
      <c r="C265" s="84" t="s">
        <v>22056</v>
      </c>
      <c r="D265" s="60" t="s">
        <v>20893</v>
      </c>
      <c r="E265" s="60" t="s">
        <v>19662</v>
      </c>
      <c r="F265" s="85" t="s">
        <v>22057</v>
      </c>
      <c r="G265" s="85" t="s">
        <v>21326</v>
      </c>
      <c r="H265" s="62">
        <v>70.0</v>
      </c>
      <c r="I265" s="60"/>
      <c r="J265" s="60"/>
      <c r="K265" s="60"/>
      <c r="L265" s="60"/>
      <c r="M265" s="60"/>
      <c r="N265" s="60"/>
      <c r="O265" s="60"/>
      <c r="P265" s="60"/>
      <c r="Q265" s="60"/>
      <c r="R265" s="60"/>
      <c r="S265" s="60"/>
      <c r="T265" s="60"/>
      <c r="U265" s="60"/>
      <c r="V265" s="60"/>
      <c r="W265" s="60"/>
      <c r="X265" s="60"/>
      <c r="Y265" s="60"/>
      <c r="Z265" s="60"/>
    </row>
    <row r="266" ht="53.25" customHeight="1">
      <c r="A266" s="62">
        <v>413.0</v>
      </c>
      <c r="B266" s="60" t="s">
        <v>958</v>
      </c>
      <c r="C266" s="84" t="s">
        <v>22058</v>
      </c>
      <c r="D266" s="60" t="s">
        <v>20171</v>
      </c>
      <c r="E266" s="60" t="s">
        <v>19986</v>
      </c>
      <c r="F266" s="85" t="s">
        <v>22059</v>
      </c>
      <c r="G266" s="85" t="s">
        <v>21327</v>
      </c>
      <c r="H266" s="62">
        <v>70.0</v>
      </c>
      <c r="I266" s="60"/>
      <c r="J266" s="60"/>
      <c r="K266" s="60"/>
      <c r="L266" s="60"/>
      <c r="M266" s="60"/>
      <c r="N266" s="60"/>
      <c r="O266" s="60"/>
      <c r="P266" s="60"/>
      <c r="Q266" s="60"/>
      <c r="R266" s="60"/>
      <c r="S266" s="60"/>
      <c r="T266" s="60"/>
      <c r="U266" s="60"/>
      <c r="V266" s="60"/>
      <c r="W266" s="60"/>
      <c r="X266" s="60"/>
      <c r="Y266" s="60"/>
      <c r="Z266" s="60"/>
    </row>
    <row r="267" ht="53.25" customHeight="1">
      <c r="A267" s="62">
        <v>0.0</v>
      </c>
      <c r="B267" s="60" t="s">
        <v>1231</v>
      </c>
      <c r="C267" s="84" t="s">
        <v>22060</v>
      </c>
      <c r="D267" s="60" t="s">
        <v>20878</v>
      </c>
      <c r="E267" s="60" t="s">
        <v>19598</v>
      </c>
      <c r="F267" s="85" t="s">
        <v>22061</v>
      </c>
      <c r="G267" s="85" t="s">
        <v>21328</v>
      </c>
      <c r="H267" s="62">
        <v>70.0</v>
      </c>
      <c r="I267" s="60"/>
      <c r="J267" s="60"/>
      <c r="K267" s="60"/>
      <c r="L267" s="60"/>
      <c r="M267" s="60"/>
      <c r="N267" s="60"/>
      <c r="O267" s="60"/>
      <c r="P267" s="60"/>
      <c r="Q267" s="60"/>
      <c r="R267" s="60"/>
      <c r="S267" s="60"/>
      <c r="T267" s="60"/>
      <c r="U267" s="60"/>
      <c r="V267" s="60"/>
      <c r="W267" s="60"/>
      <c r="X267" s="60"/>
      <c r="Y267" s="60"/>
      <c r="Z267" s="60"/>
    </row>
    <row r="268" ht="53.25" customHeight="1">
      <c r="A268" s="62">
        <v>261.0</v>
      </c>
      <c r="B268" s="60" t="s">
        <v>1266</v>
      </c>
      <c r="C268" s="84" t="s">
        <v>22062</v>
      </c>
      <c r="D268" s="60" t="s">
        <v>20851</v>
      </c>
      <c r="E268" s="60" t="s">
        <v>702</v>
      </c>
      <c r="F268" s="85" t="s">
        <v>22063</v>
      </c>
      <c r="G268" s="85" t="s">
        <v>21329</v>
      </c>
      <c r="H268" s="62">
        <v>70.0</v>
      </c>
      <c r="I268" s="60"/>
      <c r="J268" s="60"/>
      <c r="K268" s="60"/>
      <c r="L268" s="60"/>
      <c r="M268" s="60"/>
      <c r="N268" s="60"/>
      <c r="O268" s="60"/>
      <c r="P268" s="60"/>
      <c r="Q268" s="60"/>
      <c r="R268" s="60"/>
      <c r="S268" s="60"/>
      <c r="T268" s="60"/>
      <c r="U268" s="60"/>
      <c r="V268" s="60"/>
      <c r="W268" s="60"/>
      <c r="X268" s="60"/>
      <c r="Y268" s="60"/>
      <c r="Z268" s="60"/>
    </row>
    <row r="269" ht="53.25" customHeight="1">
      <c r="A269" s="62">
        <v>149.0</v>
      </c>
      <c r="B269" s="60" t="s">
        <v>1264</v>
      </c>
      <c r="C269" s="84" t="s">
        <v>22064</v>
      </c>
      <c r="D269" s="60" t="s">
        <v>20687</v>
      </c>
      <c r="E269" s="60" t="s">
        <v>656</v>
      </c>
      <c r="F269" s="85" t="s">
        <v>22065</v>
      </c>
      <c r="G269" s="85" t="s">
        <v>21330</v>
      </c>
      <c r="H269" s="62">
        <v>70.0</v>
      </c>
      <c r="I269" s="60"/>
      <c r="J269" s="60"/>
      <c r="K269" s="60"/>
      <c r="L269" s="60"/>
      <c r="M269" s="60"/>
      <c r="N269" s="60"/>
      <c r="O269" s="60"/>
      <c r="P269" s="60"/>
      <c r="Q269" s="60"/>
      <c r="R269" s="60"/>
      <c r="S269" s="60"/>
      <c r="T269" s="60"/>
      <c r="U269" s="60"/>
      <c r="V269" s="60"/>
      <c r="W269" s="60"/>
      <c r="X269" s="60"/>
      <c r="Y269" s="60"/>
      <c r="Z269" s="60"/>
    </row>
    <row r="270" ht="53.25" customHeight="1">
      <c r="A270" s="62">
        <v>114.0</v>
      </c>
      <c r="B270" s="60" t="s">
        <v>1406</v>
      </c>
      <c r="C270" s="84" t="s">
        <v>22066</v>
      </c>
      <c r="D270" s="60" t="s">
        <v>20386</v>
      </c>
      <c r="E270" s="60" t="s">
        <v>20158</v>
      </c>
      <c r="F270" s="85" t="s">
        <v>22067</v>
      </c>
      <c r="G270" s="85" t="s">
        <v>21331</v>
      </c>
      <c r="H270" s="62">
        <v>70.0</v>
      </c>
      <c r="I270" s="60"/>
      <c r="J270" s="60"/>
      <c r="K270" s="60"/>
      <c r="L270" s="60"/>
      <c r="M270" s="60"/>
      <c r="N270" s="60"/>
      <c r="O270" s="60"/>
      <c r="P270" s="60"/>
      <c r="Q270" s="60"/>
      <c r="R270" s="60"/>
      <c r="S270" s="60"/>
      <c r="T270" s="60"/>
      <c r="U270" s="60"/>
      <c r="V270" s="60"/>
      <c r="W270" s="60"/>
      <c r="X270" s="60"/>
      <c r="Y270" s="60"/>
      <c r="Z270" s="60"/>
    </row>
    <row r="271" ht="53.25" customHeight="1">
      <c r="A271" s="62">
        <v>116.0</v>
      </c>
      <c r="B271" s="60" t="s">
        <v>1131</v>
      </c>
      <c r="C271" s="84" t="s">
        <v>22068</v>
      </c>
      <c r="D271" s="60" t="s">
        <v>20602</v>
      </c>
      <c r="E271" s="60" t="s">
        <v>747</v>
      </c>
      <c r="F271" s="85" t="s">
        <v>22069</v>
      </c>
      <c r="G271" s="85" t="s">
        <v>21332</v>
      </c>
      <c r="H271" s="62">
        <v>70.0</v>
      </c>
      <c r="I271" s="60"/>
      <c r="J271" s="60"/>
      <c r="K271" s="60"/>
      <c r="L271" s="60"/>
      <c r="M271" s="60"/>
      <c r="N271" s="60"/>
      <c r="O271" s="60"/>
      <c r="P271" s="60"/>
      <c r="Q271" s="60"/>
      <c r="R271" s="60"/>
      <c r="S271" s="60"/>
      <c r="T271" s="60"/>
      <c r="U271" s="60"/>
      <c r="V271" s="60"/>
      <c r="W271" s="60"/>
      <c r="X271" s="60"/>
      <c r="Y271" s="60"/>
      <c r="Z271" s="60"/>
    </row>
    <row r="272" ht="53.25" customHeight="1">
      <c r="A272" s="62">
        <v>117.0</v>
      </c>
      <c r="B272" s="60" t="s">
        <v>859</v>
      </c>
      <c r="C272" s="84" t="s">
        <v>22070</v>
      </c>
      <c r="D272" s="60" t="s">
        <v>20389</v>
      </c>
      <c r="E272" s="60" t="s">
        <v>19850</v>
      </c>
      <c r="F272" s="85" t="s">
        <v>22071</v>
      </c>
      <c r="G272" s="85" t="s">
        <v>21333</v>
      </c>
      <c r="H272" s="62">
        <v>70.0</v>
      </c>
      <c r="I272" s="60"/>
      <c r="J272" s="60"/>
      <c r="K272" s="60"/>
      <c r="L272" s="60"/>
      <c r="M272" s="60"/>
      <c r="N272" s="60"/>
      <c r="O272" s="60"/>
      <c r="P272" s="60"/>
      <c r="Q272" s="60"/>
      <c r="R272" s="60"/>
      <c r="S272" s="60"/>
      <c r="T272" s="60"/>
      <c r="U272" s="60"/>
      <c r="V272" s="60"/>
      <c r="W272" s="60"/>
      <c r="X272" s="60"/>
      <c r="Y272" s="60"/>
      <c r="Z272" s="60"/>
    </row>
    <row r="273" ht="53.25" customHeight="1">
      <c r="A273" s="62">
        <v>122.0</v>
      </c>
      <c r="B273" s="60" t="s">
        <v>1524</v>
      </c>
      <c r="C273" s="84" t="s">
        <v>22072</v>
      </c>
      <c r="D273" s="60" t="s">
        <v>20816</v>
      </c>
      <c r="E273" s="60" t="s">
        <v>19941</v>
      </c>
      <c r="F273" s="85" t="s">
        <v>22073</v>
      </c>
      <c r="G273" s="85" t="s">
        <v>21334</v>
      </c>
      <c r="H273" s="62">
        <v>70.0</v>
      </c>
      <c r="I273" s="60"/>
      <c r="J273" s="60"/>
      <c r="K273" s="60"/>
      <c r="L273" s="60"/>
      <c r="M273" s="60"/>
      <c r="N273" s="60"/>
      <c r="O273" s="60"/>
      <c r="P273" s="60"/>
      <c r="Q273" s="60"/>
      <c r="R273" s="60"/>
      <c r="S273" s="60"/>
      <c r="T273" s="60"/>
      <c r="U273" s="60"/>
      <c r="V273" s="60"/>
      <c r="W273" s="60"/>
      <c r="X273" s="60"/>
      <c r="Y273" s="60"/>
      <c r="Z273" s="60"/>
    </row>
    <row r="274" ht="53.25" customHeight="1">
      <c r="A274" s="62">
        <v>128.0</v>
      </c>
      <c r="B274" s="60" t="s">
        <v>1437</v>
      </c>
      <c r="C274" s="84" t="s">
        <v>22074</v>
      </c>
      <c r="D274" s="60" t="s">
        <v>20293</v>
      </c>
      <c r="E274" s="60" t="s">
        <v>20294</v>
      </c>
      <c r="F274" s="85" t="s">
        <v>22075</v>
      </c>
      <c r="G274" s="85" t="s">
        <v>21335</v>
      </c>
      <c r="H274" s="62">
        <v>70.0</v>
      </c>
      <c r="I274" s="60"/>
      <c r="J274" s="60"/>
      <c r="K274" s="60"/>
      <c r="L274" s="60"/>
      <c r="M274" s="60"/>
      <c r="N274" s="60"/>
      <c r="O274" s="60"/>
      <c r="P274" s="60"/>
      <c r="Q274" s="60"/>
      <c r="R274" s="60"/>
      <c r="S274" s="60"/>
      <c r="T274" s="60"/>
      <c r="U274" s="60"/>
      <c r="V274" s="60"/>
      <c r="W274" s="60"/>
      <c r="X274" s="60"/>
      <c r="Y274" s="60"/>
      <c r="Z274" s="60"/>
    </row>
    <row r="275" ht="53.25" customHeight="1">
      <c r="A275" s="62">
        <v>131.0</v>
      </c>
      <c r="B275" s="60" t="s">
        <v>1034</v>
      </c>
      <c r="C275" s="84" t="s">
        <v>22076</v>
      </c>
      <c r="D275" s="60" t="s">
        <v>20297</v>
      </c>
      <c r="E275" s="60" t="s">
        <v>159</v>
      </c>
      <c r="F275" s="85" t="s">
        <v>22077</v>
      </c>
      <c r="G275" s="85" t="s">
        <v>21336</v>
      </c>
      <c r="H275" s="62">
        <v>70.0</v>
      </c>
      <c r="I275" s="60"/>
      <c r="J275" s="60"/>
      <c r="K275" s="60"/>
      <c r="L275" s="60"/>
      <c r="M275" s="60"/>
      <c r="N275" s="60"/>
      <c r="O275" s="60"/>
      <c r="P275" s="60"/>
      <c r="Q275" s="60"/>
      <c r="R275" s="60"/>
      <c r="S275" s="60"/>
      <c r="T275" s="60"/>
      <c r="U275" s="60"/>
      <c r="V275" s="60"/>
      <c r="W275" s="60"/>
      <c r="X275" s="60"/>
      <c r="Y275" s="60"/>
      <c r="Z275" s="60"/>
    </row>
    <row r="276" ht="53.25" customHeight="1">
      <c r="A276" s="62">
        <v>260.0</v>
      </c>
      <c r="B276" s="60" t="s">
        <v>1348</v>
      </c>
      <c r="C276" s="84" t="s">
        <v>22078</v>
      </c>
      <c r="D276" s="60" t="s">
        <v>20058</v>
      </c>
      <c r="E276" s="60" t="s">
        <v>19572</v>
      </c>
      <c r="F276" s="85" t="s">
        <v>22079</v>
      </c>
      <c r="G276" s="85" t="s">
        <v>21337</v>
      </c>
      <c r="H276" s="62">
        <v>70.0</v>
      </c>
      <c r="I276" s="60"/>
      <c r="J276" s="60"/>
      <c r="K276" s="60"/>
      <c r="L276" s="60"/>
      <c r="M276" s="60"/>
      <c r="N276" s="60"/>
      <c r="O276" s="60"/>
      <c r="P276" s="60"/>
      <c r="Q276" s="60"/>
      <c r="R276" s="60"/>
      <c r="S276" s="60"/>
      <c r="T276" s="60"/>
      <c r="U276" s="60"/>
      <c r="V276" s="60"/>
      <c r="W276" s="60"/>
      <c r="X276" s="60"/>
      <c r="Y276" s="60"/>
      <c r="Z276" s="60"/>
    </row>
    <row r="277" ht="53.25" customHeight="1">
      <c r="A277" s="62">
        <v>138.0</v>
      </c>
      <c r="B277" s="60" t="s">
        <v>1193</v>
      </c>
      <c r="C277" s="84" t="s">
        <v>22080</v>
      </c>
      <c r="D277" s="60" t="s">
        <v>20702</v>
      </c>
      <c r="E277" s="60" t="s">
        <v>159</v>
      </c>
      <c r="F277" s="85" t="s">
        <v>22081</v>
      </c>
      <c r="G277" s="85" t="s">
        <v>21338</v>
      </c>
      <c r="H277" s="62">
        <v>70.0</v>
      </c>
      <c r="I277" s="60"/>
      <c r="J277" s="60"/>
      <c r="K277" s="60"/>
      <c r="L277" s="60"/>
      <c r="M277" s="60"/>
      <c r="N277" s="60"/>
      <c r="O277" s="60"/>
      <c r="P277" s="60"/>
      <c r="Q277" s="60"/>
      <c r="R277" s="60"/>
      <c r="S277" s="60"/>
      <c r="T277" s="60"/>
      <c r="U277" s="60"/>
      <c r="V277" s="60"/>
      <c r="W277" s="60"/>
      <c r="X277" s="60"/>
      <c r="Y277" s="60"/>
      <c r="Z277" s="60"/>
    </row>
    <row r="278" ht="53.25" customHeight="1">
      <c r="A278" s="62">
        <v>140.0</v>
      </c>
      <c r="B278" s="60" t="s">
        <v>1439</v>
      </c>
      <c r="C278" s="84" t="s">
        <v>22082</v>
      </c>
      <c r="D278" s="60" t="s">
        <v>22083</v>
      </c>
      <c r="E278" s="60" t="s">
        <v>159</v>
      </c>
      <c r="F278" s="85" t="s">
        <v>22084</v>
      </c>
      <c r="G278" s="85" t="s">
        <v>21339</v>
      </c>
      <c r="H278" s="62">
        <v>70.0</v>
      </c>
      <c r="I278" s="60"/>
      <c r="J278" s="60"/>
      <c r="K278" s="60"/>
      <c r="L278" s="60"/>
      <c r="M278" s="60"/>
      <c r="N278" s="60"/>
      <c r="O278" s="60"/>
      <c r="P278" s="60"/>
      <c r="Q278" s="60"/>
      <c r="R278" s="60"/>
      <c r="S278" s="60"/>
      <c r="T278" s="60"/>
      <c r="U278" s="60"/>
      <c r="V278" s="60"/>
      <c r="W278" s="60"/>
      <c r="X278" s="60"/>
      <c r="Y278" s="60"/>
      <c r="Z278" s="60"/>
    </row>
    <row r="279" ht="53.25" customHeight="1">
      <c r="A279" s="62">
        <v>144.0</v>
      </c>
      <c r="B279" s="60" t="s">
        <v>1262</v>
      </c>
      <c r="C279" s="84" t="s">
        <v>22085</v>
      </c>
      <c r="D279" s="60" t="s">
        <v>19880</v>
      </c>
      <c r="E279" s="60" t="s">
        <v>19881</v>
      </c>
      <c r="F279" s="85" t="s">
        <v>22086</v>
      </c>
      <c r="G279" s="85" t="s">
        <v>21340</v>
      </c>
      <c r="H279" s="62">
        <v>70.0</v>
      </c>
      <c r="I279" s="60"/>
      <c r="J279" s="60"/>
      <c r="K279" s="60"/>
      <c r="L279" s="60"/>
      <c r="M279" s="60"/>
      <c r="N279" s="60"/>
      <c r="O279" s="60"/>
      <c r="P279" s="60"/>
      <c r="Q279" s="60"/>
      <c r="R279" s="60"/>
      <c r="S279" s="60"/>
      <c r="T279" s="60"/>
      <c r="U279" s="60"/>
      <c r="V279" s="60"/>
      <c r="W279" s="60"/>
      <c r="X279" s="60"/>
      <c r="Y279" s="60"/>
      <c r="Z279" s="60"/>
    </row>
    <row r="280" ht="53.25" customHeight="1">
      <c r="A280" s="62">
        <v>150.0</v>
      </c>
      <c r="B280" s="60" t="s">
        <v>1206</v>
      </c>
      <c r="C280" s="84" t="s">
        <v>22087</v>
      </c>
      <c r="D280" s="60" t="s">
        <v>20277</v>
      </c>
      <c r="E280" s="60" t="s">
        <v>19587</v>
      </c>
      <c r="F280" s="85" t="s">
        <v>22088</v>
      </c>
      <c r="G280" s="85" t="s">
        <v>21341</v>
      </c>
      <c r="H280" s="62">
        <v>70.0</v>
      </c>
      <c r="I280" s="60"/>
      <c r="J280" s="60"/>
      <c r="K280" s="60"/>
      <c r="L280" s="60"/>
      <c r="M280" s="60"/>
      <c r="N280" s="60"/>
      <c r="O280" s="60"/>
      <c r="P280" s="60"/>
      <c r="Q280" s="60"/>
      <c r="R280" s="60"/>
      <c r="S280" s="60"/>
      <c r="T280" s="60"/>
      <c r="U280" s="60"/>
      <c r="V280" s="60"/>
      <c r="W280" s="60"/>
      <c r="X280" s="60"/>
      <c r="Y280" s="60"/>
      <c r="Z280" s="60"/>
    </row>
    <row r="281" ht="53.25" customHeight="1">
      <c r="A281" s="62">
        <v>108.0</v>
      </c>
      <c r="B281" s="60" t="s">
        <v>1256</v>
      </c>
      <c r="C281" s="84" t="s">
        <v>22089</v>
      </c>
      <c r="D281" s="60" t="s">
        <v>1256</v>
      </c>
      <c r="E281" s="60" t="s">
        <v>20165</v>
      </c>
      <c r="F281" s="85" t="s">
        <v>22090</v>
      </c>
      <c r="G281" s="85" t="s">
        <v>21342</v>
      </c>
      <c r="H281" s="62">
        <v>70.0</v>
      </c>
      <c r="I281" s="60"/>
      <c r="J281" s="60"/>
      <c r="K281" s="60"/>
      <c r="L281" s="60"/>
      <c r="M281" s="60"/>
      <c r="N281" s="60"/>
      <c r="O281" s="60"/>
      <c r="P281" s="60"/>
      <c r="Q281" s="60"/>
      <c r="R281" s="60"/>
      <c r="S281" s="60"/>
      <c r="T281" s="60"/>
      <c r="U281" s="60"/>
      <c r="V281" s="60"/>
      <c r="W281" s="60"/>
      <c r="X281" s="60"/>
      <c r="Y281" s="60"/>
      <c r="Z281" s="60"/>
    </row>
    <row r="282" ht="53.25" customHeight="1">
      <c r="A282" s="62">
        <v>153.0</v>
      </c>
      <c r="B282" s="60" t="s">
        <v>1313</v>
      </c>
      <c r="C282" s="84" t="s">
        <v>22091</v>
      </c>
      <c r="D282" s="60" t="s">
        <v>20781</v>
      </c>
      <c r="E282" s="60" t="s">
        <v>19598</v>
      </c>
      <c r="F282" s="85" t="s">
        <v>22092</v>
      </c>
      <c r="G282" s="85" t="s">
        <v>21343</v>
      </c>
      <c r="H282" s="62">
        <v>70.0</v>
      </c>
      <c r="I282" s="60"/>
      <c r="J282" s="60"/>
      <c r="K282" s="60"/>
      <c r="L282" s="60"/>
      <c r="M282" s="60"/>
      <c r="N282" s="60"/>
      <c r="O282" s="60"/>
      <c r="P282" s="60"/>
      <c r="Q282" s="60"/>
      <c r="R282" s="60"/>
      <c r="S282" s="60"/>
      <c r="T282" s="60"/>
      <c r="U282" s="60"/>
      <c r="V282" s="60"/>
      <c r="W282" s="60"/>
      <c r="X282" s="60"/>
      <c r="Y282" s="60"/>
      <c r="Z282" s="60"/>
    </row>
    <row r="283" ht="53.25" customHeight="1">
      <c r="A283" s="62">
        <v>156.0</v>
      </c>
      <c r="B283" s="60" t="s">
        <v>38</v>
      </c>
      <c r="C283" s="84" t="s">
        <v>22093</v>
      </c>
      <c r="D283" s="60" t="s">
        <v>19567</v>
      </c>
      <c r="E283" s="60" t="s">
        <v>19568</v>
      </c>
      <c r="F283" s="85" t="s">
        <v>22094</v>
      </c>
      <c r="G283" s="85" t="s">
        <v>21344</v>
      </c>
      <c r="H283" s="62">
        <v>70.0</v>
      </c>
      <c r="I283" s="60"/>
      <c r="J283" s="60"/>
      <c r="K283" s="60"/>
      <c r="L283" s="60"/>
      <c r="M283" s="60"/>
      <c r="N283" s="60"/>
      <c r="O283" s="60"/>
      <c r="P283" s="60"/>
      <c r="Q283" s="60"/>
      <c r="R283" s="60"/>
      <c r="S283" s="60"/>
      <c r="T283" s="60"/>
      <c r="U283" s="60"/>
      <c r="V283" s="60"/>
      <c r="W283" s="60"/>
      <c r="X283" s="60"/>
      <c r="Y283" s="60"/>
      <c r="Z283" s="60"/>
    </row>
    <row r="284" ht="53.25" customHeight="1">
      <c r="A284" s="62">
        <v>160.0</v>
      </c>
      <c r="B284" s="60" t="s">
        <v>254</v>
      </c>
      <c r="C284" s="84" t="s">
        <v>22095</v>
      </c>
      <c r="D284" s="60" t="s">
        <v>19969</v>
      </c>
      <c r="E284" s="60" t="s">
        <v>19970</v>
      </c>
      <c r="F284" s="85" t="s">
        <v>22096</v>
      </c>
      <c r="G284" s="85" t="s">
        <v>21345</v>
      </c>
      <c r="H284" s="62">
        <v>70.0</v>
      </c>
      <c r="I284" s="60"/>
      <c r="J284" s="60"/>
      <c r="K284" s="60"/>
      <c r="L284" s="60"/>
      <c r="M284" s="60"/>
      <c r="N284" s="60"/>
      <c r="O284" s="60"/>
      <c r="P284" s="60"/>
      <c r="Q284" s="60"/>
      <c r="R284" s="60"/>
      <c r="S284" s="60"/>
      <c r="T284" s="60"/>
      <c r="U284" s="60"/>
      <c r="V284" s="60"/>
      <c r="W284" s="60"/>
      <c r="X284" s="60"/>
      <c r="Y284" s="60"/>
      <c r="Z284" s="60"/>
    </row>
    <row r="285" ht="53.25" customHeight="1">
      <c r="A285" s="62">
        <v>161.0</v>
      </c>
      <c r="B285" s="60" t="s">
        <v>1083</v>
      </c>
      <c r="C285" s="84" t="s">
        <v>22097</v>
      </c>
      <c r="D285" s="60" t="s">
        <v>19680</v>
      </c>
      <c r="E285" s="60" t="s">
        <v>751</v>
      </c>
      <c r="F285" s="85" t="s">
        <v>22098</v>
      </c>
      <c r="G285" s="85" t="s">
        <v>21346</v>
      </c>
      <c r="H285" s="62">
        <v>70.0</v>
      </c>
      <c r="I285" s="60"/>
      <c r="J285" s="60"/>
      <c r="K285" s="60"/>
      <c r="L285" s="60"/>
      <c r="M285" s="60"/>
      <c r="N285" s="60"/>
      <c r="O285" s="60"/>
      <c r="P285" s="60"/>
      <c r="Q285" s="60"/>
      <c r="R285" s="60"/>
      <c r="S285" s="60"/>
      <c r="T285" s="60"/>
      <c r="U285" s="60"/>
      <c r="V285" s="60"/>
      <c r="W285" s="60"/>
      <c r="X285" s="60"/>
      <c r="Y285" s="60"/>
      <c r="Z285" s="60"/>
    </row>
    <row r="286" ht="53.25" customHeight="1">
      <c r="A286" s="62">
        <v>163.0</v>
      </c>
      <c r="B286" s="60" t="s">
        <v>1049</v>
      </c>
      <c r="C286" s="84" t="s">
        <v>22099</v>
      </c>
      <c r="D286" s="60" t="s">
        <v>19989</v>
      </c>
      <c r="E286" s="60" t="s">
        <v>740</v>
      </c>
      <c r="F286" s="85" t="s">
        <v>22100</v>
      </c>
      <c r="G286" s="85" t="s">
        <v>21347</v>
      </c>
      <c r="H286" s="62">
        <v>70.0</v>
      </c>
      <c r="I286" s="60"/>
      <c r="J286" s="60"/>
      <c r="K286" s="60"/>
      <c r="L286" s="60"/>
      <c r="M286" s="60"/>
      <c r="N286" s="60"/>
      <c r="O286" s="60"/>
      <c r="P286" s="60"/>
      <c r="Q286" s="60"/>
      <c r="R286" s="60"/>
      <c r="S286" s="60"/>
      <c r="T286" s="60"/>
      <c r="U286" s="60"/>
      <c r="V286" s="60"/>
      <c r="W286" s="60"/>
      <c r="X286" s="60"/>
      <c r="Y286" s="60"/>
      <c r="Z286" s="60"/>
    </row>
    <row r="287" ht="53.25" customHeight="1">
      <c r="A287" s="62">
        <v>168.0</v>
      </c>
      <c r="B287" s="60" t="s">
        <v>1319</v>
      </c>
      <c r="C287" s="84" t="s">
        <v>22101</v>
      </c>
      <c r="D287" s="60" t="s">
        <v>20801</v>
      </c>
      <c r="E287" s="60" t="s">
        <v>19732</v>
      </c>
      <c r="F287" s="85" t="s">
        <v>22102</v>
      </c>
      <c r="G287" s="85" t="s">
        <v>21348</v>
      </c>
      <c r="H287" s="62">
        <v>70.0</v>
      </c>
      <c r="I287" s="60"/>
      <c r="J287" s="60"/>
      <c r="K287" s="60"/>
      <c r="L287" s="60"/>
      <c r="M287" s="60"/>
      <c r="N287" s="60"/>
      <c r="O287" s="60"/>
      <c r="P287" s="60"/>
      <c r="Q287" s="60"/>
      <c r="R287" s="60"/>
      <c r="S287" s="60"/>
      <c r="T287" s="60"/>
      <c r="U287" s="60"/>
      <c r="V287" s="60"/>
      <c r="W287" s="60"/>
      <c r="X287" s="60"/>
      <c r="Y287" s="60"/>
      <c r="Z287" s="60"/>
    </row>
    <row r="288" ht="53.25" customHeight="1">
      <c r="A288" s="62">
        <v>169.0</v>
      </c>
      <c r="B288" s="60" t="s">
        <v>1117</v>
      </c>
      <c r="C288" s="84" t="s">
        <v>22103</v>
      </c>
      <c r="D288" s="60" t="s">
        <v>19954</v>
      </c>
      <c r="E288" s="60" t="s">
        <v>19551</v>
      </c>
      <c r="F288" s="85" t="s">
        <v>22104</v>
      </c>
      <c r="G288" s="85" t="s">
        <v>21349</v>
      </c>
      <c r="H288" s="62">
        <v>70.0</v>
      </c>
      <c r="I288" s="60"/>
      <c r="J288" s="60"/>
      <c r="K288" s="60"/>
      <c r="L288" s="60"/>
      <c r="M288" s="60"/>
      <c r="N288" s="60"/>
      <c r="O288" s="60"/>
      <c r="P288" s="60"/>
      <c r="Q288" s="60"/>
      <c r="R288" s="60"/>
      <c r="S288" s="60"/>
      <c r="T288" s="60"/>
      <c r="U288" s="60"/>
      <c r="V288" s="60"/>
      <c r="W288" s="60"/>
      <c r="X288" s="60"/>
      <c r="Y288" s="60"/>
      <c r="Z288" s="60"/>
    </row>
    <row r="289" ht="53.25" customHeight="1">
      <c r="A289" s="62">
        <v>170.0</v>
      </c>
      <c r="B289" s="60" t="s">
        <v>91</v>
      </c>
      <c r="C289" s="84" t="s">
        <v>22105</v>
      </c>
      <c r="D289" s="60" t="s">
        <v>20214</v>
      </c>
      <c r="E289" s="60" t="s">
        <v>19551</v>
      </c>
      <c r="F289" s="85" t="s">
        <v>22106</v>
      </c>
      <c r="G289" s="85" t="s">
        <v>21350</v>
      </c>
      <c r="H289" s="62">
        <v>70.0</v>
      </c>
      <c r="I289" s="60"/>
      <c r="J289" s="60"/>
      <c r="K289" s="60"/>
      <c r="L289" s="60"/>
      <c r="M289" s="60"/>
      <c r="N289" s="60"/>
      <c r="O289" s="60"/>
      <c r="P289" s="60"/>
      <c r="Q289" s="60"/>
      <c r="R289" s="60"/>
      <c r="S289" s="60"/>
      <c r="T289" s="60"/>
      <c r="U289" s="60"/>
      <c r="V289" s="60"/>
      <c r="W289" s="60"/>
      <c r="X289" s="60"/>
      <c r="Y289" s="60"/>
      <c r="Z289" s="60"/>
    </row>
    <row r="290" ht="53.25" customHeight="1">
      <c r="A290" s="62">
        <v>171.0</v>
      </c>
      <c r="B290" s="60" t="s">
        <v>1545</v>
      </c>
      <c r="C290" s="84" t="s">
        <v>22107</v>
      </c>
      <c r="D290" s="60" t="s">
        <v>20217</v>
      </c>
      <c r="E290" s="60" t="s">
        <v>682</v>
      </c>
      <c r="F290" s="85" t="s">
        <v>22108</v>
      </c>
      <c r="G290" s="85" t="s">
        <v>21351</v>
      </c>
      <c r="H290" s="62">
        <v>70.0</v>
      </c>
      <c r="I290" s="60"/>
      <c r="J290" s="60"/>
      <c r="K290" s="60"/>
      <c r="L290" s="60"/>
      <c r="M290" s="60"/>
      <c r="N290" s="60"/>
      <c r="O290" s="60"/>
      <c r="P290" s="60"/>
      <c r="Q290" s="60"/>
      <c r="R290" s="60"/>
      <c r="S290" s="60"/>
      <c r="T290" s="60"/>
      <c r="U290" s="60"/>
      <c r="V290" s="60"/>
      <c r="W290" s="60"/>
      <c r="X290" s="60"/>
      <c r="Y290" s="60"/>
      <c r="Z290" s="60"/>
    </row>
    <row r="291" ht="53.25" customHeight="1">
      <c r="A291" s="62">
        <v>178.0</v>
      </c>
      <c r="B291" s="60" t="s">
        <v>1121</v>
      </c>
      <c r="C291" s="84" t="s">
        <v>22109</v>
      </c>
      <c r="D291" s="60" t="s">
        <v>20645</v>
      </c>
      <c r="E291" s="60" t="s">
        <v>19706</v>
      </c>
      <c r="F291" s="85" t="s">
        <v>22110</v>
      </c>
      <c r="G291" s="85" t="s">
        <v>21352</v>
      </c>
      <c r="H291" s="62">
        <v>70.0</v>
      </c>
      <c r="I291" s="60"/>
      <c r="J291" s="60"/>
      <c r="K291" s="60"/>
      <c r="L291" s="60"/>
      <c r="M291" s="60"/>
      <c r="N291" s="60"/>
      <c r="O291" s="60"/>
      <c r="P291" s="60"/>
      <c r="Q291" s="60"/>
      <c r="R291" s="60"/>
      <c r="S291" s="60"/>
      <c r="T291" s="60"/>
      <c r="U291" s="60"/>
      <c r="V291" s="60"/>
      <c r="W291" s="60"/>
      <c r="X291" s="60"/>
      <c r="Y291" s="60"/>
      <c r="Z291" s="60"/>
    </row>
    <row r="292" ht="53.25" customHeight="1">
      <c r="A292" s="62">
        <v>112.0</v>
      </c>
      <c r="B292" s="60" t="s">
        <v>342</v>
      </c>
      <c r="C292" s="84" t="s">
        <v>22111</v>
      </c>
      <c r="D292" s="60" t="s">
        <v>20383</v>
      </c>
      <c r="E292" s="60" t="s">
        <v>20374</v>
      </c>
      <c r="F292" s="85" t="s">
        <v>22112</v>
      </c>
      <c r="G292" s="85" t="s">
        <v>21353</v>
      </c>
      <c r="H292" s="62">
        <v>70.0</v>
      </c>
      <c r="I292" s="60"/>
      <c r="J292" s="60"/>
      <c r="K292" s="60"/>
      <c r="L292" s="60"/>
      <c r="M292" s="60"/>
      <c r="N292" s="60"/>
      <c r="O292" s="60"/>
      <c r="P292" s="60"/>
      <c r="Q292" s="60"/>
      <c r="R292" s="60"/>
      <c r="S292" s="60"/>
      <c r="T292" s="60"/>
      <c r="U292" s="60"/>
      <c r="V292" s="60"/>
      <c r="W292" s="60"/>
      <c r="X292" s="60"/>
      <c r="Y292" s="60"/>
      <c r="Z292" s="60"/>
    </row>
    <row r="293" ht="53.25" customHeight="1">
      <c r="A293" s="62">
        <v>107.0</v>
      </c>
      <c r="B293" s="60" t="s">
        <v>1329</v>
      </c>
      <c r="C293" s="84" t="s">
        <v>22113</v>
      </c>
      <c r="D293" s="60" t="s">
        <v>20962</v>
      </c>
      <c r="E293" s="60" t="s">
        <v>20706</v>
      </c>
      <c r="F293" s="85" t="s">
        <v>22114</v>
      </c>
      <c r="G293" s="85" t="s">
        <v>21354</v>
      </c>
      <c r="H293" s="62">
        <v>70.0</v>
      </c>
      <c r="I293" s="60"/>
      <c r="J293" s="60"/>
      <c r="K293" s="60"/>
      <c r="L293" s="60"/>
      <c r="M293" s="60"/>
      <c r="N293" s="60"/>
      <c r="O293" s="60"/>
      <c r="P293" s="60"/>
      <c r="Q293" s="60"/>
      <c r="R293" s="60"/>
      <c r="S293" s="60"/>
      <c r="T293" s="60"/>
      <c r="U293" s="60"/>
      <c r="V293" s="60"/>
      <c r="W293" s="60"/>
      <c r="X293" s="60"/>
      <c r="Y293" s="60"/>
      <c r="Z293" s="60"/>
    </row>
    <row r="294" ht="53.25" customHeight="1">
      <c r="A294" s="62">
        <v>188.0</v>
      </c>
      <c r="B294" s="60" t="s">
        <v>849</v>
      </c>
      <c r="C294" s="84" t="s">
        <v>22115</v>
      </c>
      <c r="D294" s="60" t="s">
        <v>22116</v>
      </c>
      <c r="E294" s="60" t="s">
        <v>20255</v>
      </c>
      <c r="F294" s="85" t="s">
        <v>22117</v>
      </c>
      <c r="G294" s="85" t="s">
        <v>21355</v>
      </c>
      <c r="H294" s="62">
        <v>70.0</v>
      </c>
      <c r="I294" s="60"/>
      <c r="J294" s="60"/>
      <c r="K294" s="60"/>
      <c r="L294" s="60"/>
      <c r="M294" s="60"/>
      <c r="N294" s="60"/>
      <c r="O294" s="60"/>
      <c r="P294" s="60"/>
      <c r="Q294" s="60"/>
      <c r="R294" s="60"/>
      <c r="S294" s="60"/>
      <c r="T294" s="60"/>
      <c r="U294" s="60"/>
      <c r="V294" s="60"/>
      <c r="W294" s="60"/>
      <c r="X294" s="60"/>
      <c r="Y294" s="60"/>
      <c r="Z294" s="60"/>
    </row>
    <row r="295" ht="53.25" customHeight="1">
      <c r="A295" s="62">
        <v>62.0</v>
      </c>
      <c r="B295" s="60" t="s">
        <v>876</v>
      </c>
      <c r="C295" s="84" t="s">
        <v>22118</v>
      </c>
      <c r="D295" s="60" t="s">
        <v>20721</v>
      </c>
      <c r="E295" s="60" t="s">
        <v>20009</v>
      </c>
      <c r="F295" s="85" t="s">
        <v>22119</v>
      </c>
      <c r="G295" s="85" t="s">
        <v>21356</v>
      </c>
      <c r="H295" s="62">
        <v>70.0</v>
      </c>
      <c r="I295" s="60"/>
      <c r="J295" s="60"/>
      <c r="K295" s="60"/>
      <c r="L295" s="60"/>
      <c r="M295" s="60"/>
      <c r="N295" s="60"/>
      <c r="O295" s="60"/>
      <c r="P295" s="60"/>
      <c r="Q295" s="60"/>
      <c r="R295" s="60"/>
      <c r="S295" s="60"/>
      <c r="T295" s="60"/>
      <c r="U295" s="60"/>
      <c r="V295" s="60"/>
      <c r="W295" s="60"/>
      <c r="X295" s="60"/>
      <c r="Y295" s="60"/>
      <c r="Z295" s="60"/>
    </row>
    <row r="296" ht="53.25" customHeight="1">
      <c r="A296" s="62">
        <v>14.0</v>
      </c>
      <c r="B296" s="60" t="s">
        <v>1479</v>
      </c>
      <c r="C296" s="84" t="s">
        <v>22120</v>
      </c>
      <c r="D296" s="60" t="s">
        <v>19658</v>
      </c>
      <c r="E296" s="60" t="s">
        <v>19594</v>
      </c>
      <c r="F296" s="85" t="s">
        <v>22121</v>
      </c>
      <c r="G296" s="85" t="s">
        <v>21357</v>
      </c>
      <c r="H296" s="62">
        <v>70.0</v>
      </c>
      <c r="I296" s="60"/>
      <c r="J296" s="60"/>
      <c r="K296" s="60"/>
      <c r="L296" s="60"/>
      <c r="M296" s="60"/>
      <c r="N296" s="60"/>
      <c r="O296" s="60"/>
      <c r="P296" s="60"/>
      <c r="Q296" s="60"/>
      <c r="R296" s="60"/>
      <c r="S296" s="60"/>
      <c r="T296" s="60"/>
      <c r="U296" s="60"/>
      <c r="V296" s="60"/>
      <c r="W296" s="60"/>
      <c r="X296" s="60"/>
      <c r="Y296" s="60"/>
      <c r="Z296" s="60"/>
    </row>
    <row r="297" ht="53.25" customHeight="1">
      <c r="A297" s="62">
        <v>25.0</v>
      </c>
      <c r="B297" s="60" t="s">
        <v>1483</v>
      </c>
      <c r="C297" s="84" t="s">
        <v>22122</v>
      </c>
      <c r="D297" s="60" t="s">
        <v>20183</v>
      </c>
      <c r="E297" s="60" t="s">
        <v>20184</v>
      </c>
      <c r="F297" s="85" t="s">
        <v>22123</v>
      </c>
      <c r="G297" s="85" t="s">
        <v>21358</v>
      </c>
      <c r="H297" s="62">
        <v>70.0</v>
      </c>
      <c r="I297" s="60"/>
      <c r="J297" s="60"/>
      <c r="K297" s="60"/>
      <c r="L297" s="60"/>
      <c r="M297" s="60"/>
      <c r="N297" s="60"/>
      <c r="O297" s="60"/>
      <c r="P297" s="60"/>
      <c r="Q297" s="60"/>
      <c r="R297" s="60"/>
      <c r="S297" s="60"/>
      <c r="T297" s="60"/>
      <c r="U297" s="60"/>
      <c r="V297" s="60"/>
      <c r="W297" s="60"/>
      <c r="X297" s="60"/>
      <c r="Y297" s="60"/>
      <c r="Z297" s="60"/>
    </row>
    <row r="298" ht="53.25" customHeight="1">
      <c r="A298" s="62">
        <v>35.0</v>
      </c>
      <c r="B298" s="60" t="s">
        <v>1301</v>
      </c>
      <c r="C298" s="84" t="s">
        <v>22124</v>
      </c>
      <c r="D298" s="60" t="s">
        <v>19783</v>
      </c>
      <c r="E298" s="60" t="s">
        <v>702</v>
      </c>
      <c r="F298" s="85" t="s">
        <v>22125</v>
      </c>
      <c r="G298" s="85" t="s">
        <v>21359</v>
      </c>
      <c r="H298" s="62">
        <v>70.0</v>
      </c>
      <c r="I298" s="60"/>
      <c r="J298" s="60"/>
      <c r="K298" s="60"/>
      <c r="L298" s="60"/>
      <c r="M298" s="60"/>
      <c r="N298" s="60"/>
      <c r="O298" s="60"/>
      <c r="P298" s="60"/>
      <c r="Q298" s="60"/>
      <c r="R298" s="60"/>
      <c r="S298" s="60"/>
      <c r="T298" s="60"/>
      <c r="U298" s="60"/>
      <c r="V298" s="60"/>
      <c r="W298" s="60"/>
      <c r="X298" s="60"/>
      <c r="Y298" s="60"/>
      <c r="Z298" s="60"/>
    </row>
    <row r="299" ht="53.25" customHeight="1">
      <c r="A299" s="62">
        <v>40.0</v>
      </c>
      <c r="B299" s="60" t="s">
        <v>19494</v>
      </c>
      <c r="C299" s="84" t="s">
        <v>22126</v>
      </c>
      <c r="D299" s="60" t="s">
        <v>20908</v>
      </c>
      <c r="E299" s="60" t="s">
        <v>20100</v>
      </c>
      <c r="F299" s="85" t="s">
        <v>22127</v>
      </c>
      <c r="G299" s="85" t="s">
        <v>21360</v>
      </c>
      <c r="H299" s="62">
        <v>70.0</v>
      </c>
      <c r="I299" s="60"/>
      <c r="J299" s="60"/>
      <c r="K299" s="60"/>
      <c r="L299" s="60"/>
      <c r="M299" s="60"/>
      <c r="N299" s="60"/>
      <c r="O299" s="60"/>
      <c r="P299" s="60"/>
      <c r="Q299" s="60"/>
      <c r="R299" s="60"/>
      <c r="S299" s="60"/>
      <c r="T299" s="60"/>
      <c r="U299" s="60"/>
      <c r="V299" s="60"/>
      <c r="W299" s="60"/>
      <c r="X299" s="60"/>
      <c r="Y299" s="60"/>
      <c r="Z299" s="60"/>
    </row>
    <row r="300" ht="53.25" customHeight="1">
      <c r="A300" s="62">
        <v>43.0</v>
      </c>
      <c r="B300" s="60" t="s">
        <v>1493</v>
      </c>
      <c r="C300" s="84" t="s">
        <v>22128</v>
      </c>
      <c r="D300" s="60" t="s">
        <v>20974</v>
      </c>
      <c r="E300" s="60" t="s">
        <v>20184</v>
      </c>
      <c r="F300" s="85" t="s">
        <v>22129</v>
      </c>
      <c r="G300" s="85" t="s">
        <v>21361</v>
      </c>
      <c r="H300" s="62">
        <v>70.0</v>
      </c>
      <c r="I300" s="60"/>
      <c r="J300" s="60"/>
      <c r="K300" s="60"/>
      <c r="L300" s="60"/>
      <c r="M300" s="60"/>
      <c r="N300" s="60"/>
      <c r="O300" s="60"/>
      <c r="P300" s="60"/>
      <c r="Q300" s="60"/>
      <c r="R300" s="60"/>
      <c r="S300" s="60"/>
      <c r="T300" s="60"/>
      <c r="U300" s="60"/>
      <c r="V300" s="60"/>
      <c r="W300" s="60"/>
      <c r="X300" s="60"/>
      <c r="Y300" s="60"/>
      <c r="Z300" s="60"/>
    </row>
    <row r="301" ht="53.25" customHeight="1">
      <c r="A301" s="62">
        <v>46.0</v>
      </c>
      <c r="B301" s="60" t="s">
        <v>963</v>
      </c>
      <c r="C301" s="84" t="s">
        <v>22130</v>
      </c>
      <c r="D301" s="60" t="s">
        <v>19693</v>
      </c>
      <c r="E301" s="60" t="s">
        <v>668</v>
      </c>
      <c r="F301" s="85" t="s">
        <v>22131</v>
      </c>
      <c r="G301" s="85" t="s">
        <v>21362</v>
      </c>
      <c r="H301" s="62">
        <v>70.0</v>
      </c>
      <c r="I301" s="60"/>
      <c r="J301" s="60"/>
      <c r="K301" s="60"/>
      <c r="L301" s="60"/>
      <c r="M301" s="60"/>
      <c r="N301" s="60"/>
      <c r="O301" s="60"/>
      <c r="P301" s="60"/>
      <c r="Q301" s="60"/>
      <c r="R301" s="60"/>
      <c r="S301" s="60"/>
      <c r="T301" s="60"/>
      <c r="U301" s="60"/>
      <c r="V301" s="60"/>
      <c r="W301" s="60"/>
      <c r="X301" s="60"/>
      <c r="Y301" s="60"/>
      <c r="Z301" s="60"/>
    </row>
    <row r="302" ht="53.25" customHeight="1">
      <c r="A302" s="62">
        <v>48.0</v>
      </c>
      <c r="B302" s="60" t="s">
        <v>1429</v>
      </c>
      <c r="C302" s="84" t="s">
        <v>22132</v>
      </c>
      <c r="D302" s="60" t="s">
        <v>20971</v>
      </c>
      <c r="E302" s="60" t="s">
        <v>634</v>
      </c>
      <c r="F302" s="85" t="s">
        <v>22133</v>
      </c>
      <c r="G302" s="85" t="s">
        <v>21363</v>
      </c>
      <c r="H302" s="62">
        <v>70.0</v>
      </c>
      <c r="I302" s="60"/>
      <c r="J302" s="60"/>
      <c r="K302" s="60"/>
      <c r="L302" s="60"/>
      <c r="M302" s="60"/>
      <c r="N302" s="60"/>
      <c r="O302" s="60"/>
      <c r="P302" s="60"/>
      <c r="Q302" s="60"/>
      <c r="R302" s="60"/>
      <c r="S302" s="60"/>
      <c r="T302" s="60"/>
      <c r="U302" s="60"/>
      <c r="V302" s="60"/>
      <c r="W302" s="60"/>
      <c r="X302" s="60"/>
      <c r="Y302" s="60"/>
      <c r="Z302" s="60"/>
    </row>
    <row r="303" ht="53.25" customHeight="1">
      <c r="A303" s="62">
        <v>50.0</v>
      </c>
      <c r="B303" s="60" t="s">
        <v>1229</v>
      </c>
      <c r="C303" s="84" t="s">
        <v>22134</v>
      </c>
      <c r="D303" s="60" t="s">
        <v>20405</v>
      </c>
      <c r="E303" s="60" t="s">
        <v>20406</v>
      </c>
      <c r="F303" s="85" t="s">
        <v>22135</v>
      </c>
      <c r="G303" s="85" t="s">
        <v>21364</v>
      </c>
      <c r="H303" s="62">
        <v>70.0</v>
      </c>
      <c r="I303" s="60"/>
      <c r="J303" s="60"/>
      <c r="K303" s="60"/>
      <c r="L303" s="60"/>
      <c r="M303" s="60"/>
      <c r="N303" s="60"/>
      <c r="O303" s="60"/>
      <c r="P303" s="60"/>
      <c r="Q303" s="60"/>
      <c r="R303" s="60"/>
      <c r="S303" s="60"/>
      <c r="T303" s="60"/>
      <c r="U303" s="60"/>
      <c r="V303" s="60"/>
      <c r="W303" s="60"/>
      <c r="X303" s="60"/>
      <c r="Y303" s="60"/>
      <c r="Z303" s="60"/>
    </row>
    <row r="304" ht="53.25" customHeight="1">
      <c r="A304" s="62">
        <v>54.0</v>
      </c>
      <c r="B304" s="60" t="s">
        <v>145</v>
      </c>
      <c r="C304" s="84" t="s">
        <v>22136</v>
      </c>
      <c r="D304" s="60" t="s">
        <v>20476</v>
      </c>
      <c r="E304" s="60" t="s">
        <v>20077</v>
      </c>
      <c r="F304" s="85" t="s">
        <v>22137</v>
      </c>
      <c r="G304" s="85" t="s">
        <v>21365</v>
      </c>
      <c r="H304" s="62">
        <v>70.0</v>
      </c>
      <c r="I304" s="60"/>
      <c r="J304" s="60"/>
      <c r="K304" s="60"/>
      <c r="L304" s="60"/>
      <c r="M304" s="60"/>
      <c r="N304" s="60"/>
      <c r="O304" s="60"/>
      <c r="P304" s="60"/>
      <c r="Q304" s="60"/>
      <c r="R304" s="60"/>
      <c r="S304" s="60"/>
      <c r="T304" s="60"/>
      <c r="U304" s="60"/>
      <c r="V304" s="60"/>
      <c r="W304" s="60"/>
      <c r="X304" s="60"/>
      <c r="Y304" s="60"/>
      <c r="Z304" s="60"/>
    </row>
    <row r="305" ht="53.25" customHeight="1">
      <c r="A305" s="62">
        <v>58.0</v>
      </c>
      <c r="B305" s="60" t="s">
        <v>1503</v>
      </c>
      <c r="C305" s="84" t="s">
        <v>22138</v>
      </c>
      <c r="D305" s="60" t="s">
        <v>20467</v>
      </c>
      <c r="E305" s="60" t="s">
        <v>19827</v>
      </c>
      <c r="F305" s="85" t="s">
        <v>22139</v>
      </c>
      <c r="G305" s="85" t="s">
        <v>21366</v>
      </c>
      <c r="H305" s="62">
        <v>70.0</v>
      </c>
      <c r="I305" s="60"/>
      <c r="J305" s="60"/>
      <c r="K305" s="60"/>
      <c r="L305" s="60"/>
      <c r="M305" s="60"/>
      <c r="N305" s="60"/>
      <c r="O305" s="60"/>
      <c r="P305" s="60"/>
      <c r="Q305" s="60"/>
      <c r="R305" s="60"/>
      <c r="S305" s="60"/>
      <c r="T305" s="60"/>
      <c r="U305" s="60"/>
      <c r="V305" s="60"/>
      <c r="W305" s="60"/>
      <c r="X305" s="60"/>
      <c r="Y305" s="60"/>
      <c r="Z305" s="60"/>
    </row>
    <row r="306" ht="53.25" customHeight="1">
      <c r="A306" s="62">
        <v>64.0</v>
      </c>
      <c r="B306" s="60" t="s">
        <v>1181</v>
      </c>
      <c r="C306" s="84" t="s">
        <v>22140</v>
      </c>
      <c r="D306" s="60" t="s">
        <v>19795</v>
      </c>
      <c r="E306" s="60" t="s">
        <v>19796</v>
      </c>
      <c r="F306" s="85" t="s">
        <v>22141</v>
      </c>
      <c r="G306" s="85" t="s">
        <v>21367</v>
      </c>
      <c r="H306" s="62">
        <v>70.0</v>
      </c>
      <c r="I306" s="60"/>
      <c r="J306" s="60"/>
      <c r="K306" s="60"/>
      <c r="L306" s="60"/>
      <c r="M306" s="60"/>
      <c r="N306" s="60"/>
      <c r="O306" s="60"/>
      <c r="P306" s="60"/>
      <c r="Q306" s="60"/>
      <c r="R306" s="60"/>
      <c r="S306" s="60"/>
      <c r="T306" s="60"/>
      <c r="U306" s="60"/>
      <c r="V306" s="60"/>
      <c r="W306" s="60"/>
      <c r="X306" s="60"/>
      <c r="Y306" s="60"/>
      <c r="Z306" s="60"/>
    </row>
    <row r="307" ht="53.25" customHeight="1">
      <c r="A307" s="62">
        <v>102.0</v>
      </c>
      <c r="B307" s="60" t="s">
        <v>819</v>
      </c>
      <c r="C307" s="84" t="s">
        <v>22142</v>
      </c>
      <c r="D307" s="60" t="s">
        <v>20399</v>
      </c>
      <c r="E307" s="60" t="s">
        <v>19583</v>
      </c>
      <c r="F307" s="85" t="s">
        <v>22143</v>
      </c>
      <c r="G307" s="85" t="s">
        <v>21368</v>
      </c>
      <c r="H307" s="62">
        <v>70.0</v>
      </c>
      <c r="I307" s="60"/>
      <c r="J307" s="60"/>
      <c r="K307" s="60"/>
      <c r="L307" s="60"/>
      <c r="M307" s="60"/>
      <c r="N307" s="60"/>
      <c r="O307" s="60"/>
      <c r="P307" s="60"/>
      <c r="Q307" s="60"/>
      <c r="R307" s="60"/>
      <c r="S307" s="60"/>
      <c r="T307" s="60"/>
      <c r="U307" s="60"/>
      <c r="V307" s="60"/>
      <c r="W307" s="60"/>
      <c r="X307" s="60"/>
      <c r="Y307" s="60"/>
      <c r="Z307" s="60"/>
    </row>
    <row r="308" ht="53.25" customHeight="1">
      <c r="A308" s="62">
        <v>67.0</v>
      </c>
      <c r="B308" s="60" t="s">
        <v>1410</v>
      </c>
      <c r="C308" s="84" t="s">
        <v>22144</v>
      </c>
      <c r="D308" s="60" t="s">
        <v>20842</v>
      </c>
      <c r="E308" s="60" t="s">
        <v>19706</v>
      </c>
      <c r="F308" s="85" t="s">
        <v>22145</v>
      </c>
      <c r="G308" s="85" t="s">
        <v>21369</v>
      </c>
      <c r="H308" s="62">
        <v>70.0</v>
      </c>
      <c r="I308" s="60"/>
      <c r="J308" s="60"/>
      <c r="K308" s="60"/>
      <c r="L308" s="60"/>
      <c r="M308" s="60"/>
      <c r="N308" s="60"/>
      <c r="O308" s="60"/>
      <c r="P308" s="60"/>
      <c r="Q308" s="60"/>
      <c r="R308" s="60"/>
      <c r="S308" s="60"/>
      <c r="T308" s="60"/>
      <c r="U308" s="60"/>
      <c r="V308" s="60"/>
      <c r="W308" s="60"/>
      <c r="X308" s="60"/>
      <c r="Y308" s="60"/>
      <c r="Z308" s="60"/>
    </row>
    <row r="309" ht="53.25" customHeight="1">
      <c r="A309" s="62">
        <v>68.0</v>
      </c>
      <c r="B309" s="60" t="s">
        <v>1032</v>
      </c>
      <c r="C309" s="84" t="s">
        <v>22146</v>
      </c>
      <c r="D309" s="60" t="s">
        <v>20532</v>
      </c>
      <c r="E309" s="60" t="s">
        <v>19606</v>
      </c>
      <c r="F309" s="85" t="s">
        <v>22147</v>
      </c>
      <c r="G309" s="85" t="s">
        <v>21370</v>
      </c>
      <c r="H309" s="62">
        <v>70.0</v>
      </c>
      <c r="I309" s="60"/>
      <c r="J309" s="60"/>
      <c r="K309" s="60"/>
      <c r="L309" s="60"/>
      <c r="M309" s="60"/>
      <c r="N309" s="60"/>
      <c r="O309" s="60"/>
      <c r="P309" s="60"/>
      <c r="Q309" s="60"/>
      <c r="R309" s="60"/>
      <c r="S309" s="60"/>
      <c r="T309" s="60"/>
      <c r="U309" s="60"/>
      <c r="V309" s="60"/>
      <c r="W309" s="60"/>
      <c r="X309" s="60"/>
      <c r="Y309" s="60"/>
      <c r="Z309" s="60"/>
    </row>
    <row r="310" ht="53.25" customHeight="1">
      <c r="A310" s="62">
        <v>69.0</v>
      </c>
      <c r="B310" s="60" t="s">
        <v>1508</v>
      </c>
      <c r="C310" s="84" t="s">
        <v>22148</v>
      </c>
      <c r="D310" s="60" t="s">
        <v>20535</v>
      </c>
      <c r="E310" s="60" t="s">
        <v>702</v>
      </c>
      <c r="F310" s="85" t="s">
        <v>22149</v>
      </c>
      <c r="G310" s="85" t="s">
        <v>21371</v>
      </c>
      <c r="H310" s="62">
        <v>70.0</v>
      </c>
      <c r="I310" s="60"/>
      <c r="J310" s="60"/>
      <c r="K310" s="60"/>
      <c r="L310" s="60"/>
      <c r="M310" s="60"/>
      <c r="N310" s="60"/>
      <c r="O310" s="60"/>
      <c r="P310" s="60"/>
      <c r="Q310" s="60"/>
      <c r="R310" s="60"/>
      <c r="S310" s="60"/>
      <c r="T310" s="60"/>
      <c r="U310" s="60"/>
      <c r="V310" s="60"/>
      <c r="W310" s="60"/>
      <c r="X310" s="60"/>
      <c r="Y310" s="60"/>
      <c r="Z310" s="60"/>
    </row>
    <row r="311" ht="53.25" customHeight="1">
      <c r="A311" s="62">
        <v>73.0</v>
      </c>
      <c r="B311" s="60" t="s">
        <v>1161</v>
      </c>
      <c r="C311" s="84" t="s">
        <v>22150</v>
      </c>
      <c r="D311" s="60" t="s">
        <v>20541</v>
      </c>
      <c r="E311" s="60" t="s">
        <v>20542</v>
      </c>
      <c r="F311" s="85" t="s">
        <v>22151</v>
      </c>
      <c r="G311" s="85" t="s">
        <v>21372</v>
      </c>
      <c r="H311" s="62">
        <v>70.0</v>
      </c>
      <c r="I311" s="60"/>
      <c r="J311" s="60"/>
      <c r="K311" s="60"/>
      <c r="L311" s="60"/>
      <c r="M311" s="60"/>
      <c r="N311" s="60"/>
      <c r="O311" s="60"/>
      <c r="P311" s="60"/>
      <c r="Q311" s="60"/>
      <c r="R311" s="60"/>
      <c r="S311" s="60"/>
      <c r="T311" s="60"/>
      <c r="U311" s="60"/>
      <c r="V311" s="60"/>
      <c r="W311" s="60"/>
      <c r="X311" s="60"/>
      <c r="Y311" s="60"/>
      <c r="Z311" s="60"/>
    </row>
    <row r="312" ht="53.25" customHeight="1">
      <c r="A312" s="62">
        <v>74.0</v>
      </c>
      <c r="B312" s="60" t="s">
        <v>1464</v>
      </c>
      <c r="C312" s="84" t="s">
        <v>22152</v>
      </c>
      <c r="D312" s="60" t="s">
        <v>20545</v>
      </c>
      <c r="E312" s="60" t="s">
        <v>19739</v>
      </c>
      <c r="F312" s="85" t="s">
        <v>22153</v>
      </c>
      <c r="G312" s="85" t="s">
        <v>21373</v>
      </c>
      <c r="H312" s="62">
        <v>70.0</v>
      </c>
      <c r="I312" s="60"/>
      <c r="J312" s="60"/>
      <c r="K312" s="60"/>
      <c r="L312" s="60"/>
      <c r="M312" s="60"/>
      <c r="N312" s="60"/>
      <c r="O312" s="60"/>
      <c r="P312" s="60"/>
      <c r="Q312" s="60"/>
      <c r="R312" s="60"/>
      <c r="S312" s="60"/>
      <c r="T312" s="60"/>
      <c r="U312" s="60"/>
      <c r="V312" s="60"/>
      <c r="W312" s="60"/>
      <c r="X312" s="60"/>
      <c r="Y312" s="60"/>
      <c r="Z312" s="60"/>
    </row>
    <row r="313" ht="53.25" customHeight="1">
      <c r="A313" s="62">
        <v>77.0</v>
      </c>
      <c r="B313" s="60" t="s">
        <v>1365</v>
      </c>
      <c r="C313" s="84" t="s">
        <v>22154</v>
      </c>
      <c r="D313" s="60" t="s">
        <v>1365</v>
      </c>
      <c r="E313" s="60" t="s">
        <v>22155</v>
      </c>
      <c r="F313" s="85" t="s">
        <v>22156</v>
      </c>
      <c r="G313" s="85" t="s">
        <v>21374</v>
      </c>
      <c r="H313" s="62">
        <v>70.0</v>
      </c>
      <c r="I313" s="60"/>
      <c r="J313" s="60"/>
      <c r="K313" s="60"/>
      <c r="L313" s="60"/>
      <c r="M313" s="60"/>
      <c r="N313" s="60"/>
      <c r="O313" s="60"/>
      <c r="P313" s="60"/>
      <c r="Q313" s="60"/>
      <c r="R313" s="60"/>
      <c r="S313" s="60"/>
      <c r="T313" s="60"/>
      <c r="U313" s="60"/>
      <c r="V313" s="60"/>
      <c r="W313" s="60"/>
      <c r="X313" s="60"/>
      <c r="Y313" s="60"/>
      <c r="Z313" s="60"/>
    </row>
    <row r="314" ht="53.25" customHeight="1">
      <c r="A314" s="62">
        <v>85.0</v>
      </c>
      <c r="B314" s="60" t="s">
        <v>785</v>
      </c>
      <c r="C314" s="84" t="s">
        <v>22157</v>
      </c>
      <c r="D314" s="60" t="s">
        <v>20036</v>
      </c>
      <c r="E314" s="60" t="s">
        <v>19602</v>
      </c>
      <c r="F314" s="85" t="s">
        <v>22158</v>
      </c>
      <c r="G314" s="85" t="s">
        <v>21375</v>
      </c>
      <c r="H314" s="62">
        <v>70.0</v>
      </c>
      <c r="I314" s="60"/>
      <c r="J314" s="60"/>
      <c r="K314" s="60"/>
      <c r="L314" s="60"/>
      <c r="M314" s="60"/>
      <c r="N314" s="60"/>
      <c r="O314" s="60"/>
      <c r="P314" s="60"/>
      <c r="Q314" s="60"/>
      <c r="R314" s="60"/>
      <c r="S314" s="60"/>
      <c r="T314" s="60"/>
      <c r="U314" s="60"/>
      <c r="V314" s="60"/>
      <c r="W314" s="60"/>
      <c r="X314" s="60"/>
      <c r="Y314" s="60"/>
      <c r="Z314" s="60"/>
    </row>
    <row r="315" ht="53.25" customHeight="1">
      <c r="A315" s="62">
        <v>90.0</v>
      </c>
      <c r="B315" s="60" t="s">
        <v>82</v>
      </c>
      <c r="C315" s="84" t="s">
        <v>22159</v>
      </c>
      <c r="D315" s="60" t="s">
        <v>20409</v>
      </c>
      <c r="E315" s="60" t="s">
        <v>20033</v>
      </c>
      <c r="F315" s="85" t="s">
        <v>22160</v>
      </c>
      <c r="G315" s="85" t="s">
        <v>21376</v>
      </c>
      <c r="H315" s="62">
        <v>70.0</v>
      </c>
      <c r="I315" s="60"/>
      <c r="J315" s="60"/>
      <c r="K315" s="60"/>
      <c r="L315" s="60"/>
      <c r="M315" s="60"/>
      <c r="N315" s="60"/>
      <c r="O315" s="60"/>
      <c r="P315" s="60"/>
      <c r="Q315" s="60"/>
      <c r="R315" s="60"/>
      <c r="S315" s="60"/>
      <c r="T315" s="60"/>
      <c r="U315" s="60"/>
      <c r="V315" s="60"/>
      <c r="W315" s="60"/>
      <c r="X315" s="60"/>
      <c r="Y315" s="60"/>
      <c r="Z315" s="60"/>
    </row>
    <row r="316" ht="53.25" customHeight="1">
      <c r="A316" s="62">
        <v>94.0</v>
      </c>
      <c r="B316" s="60" t="s">
        <v>1338</v>
      </c>
      <c r="C316" s="84" t="s">
        <v>22161</v>
      </c>
      <c r="D316" s="60" t="s">
        <v>22162</v>
      </c>
      <c r="E316" s="60" t="s">
        <v>656</v>
      </c>
      <c r="F316" s="85" t="s">
        <v>22163</v>
      </c>
      <c r="G316" s="85" t="s">
        <v>21377</v>
      </c>
      <c r="H316" s="62">
        <v>70.0</v>
      </c>
      <c r="I316" s="60"/>
      <c r="J316" s="60"/>
      <c r="K316" s="60"/>
      <c r="L316" s="60"/>
      <c r="M316" s="60"/>
      <c r="N316" s="60"/>
      <c r="O316" s="60"/>
      <c r="P316" s="60"/>
      <c r="Q316" s="60"/>
      <c r="R316" s="60"/>
      <c r="S316" s="60"/>
      <c r="T316" s="60"/>
      <c r="U316" s="60"/>
      <c r="V316" s="60"/>
      <c r="W316" s="60"/>
      <c r="X316" s="60"/>
      <c r="Y316" s="60"/>
      <c r="Z316" s="60"/>
    </row>
    <row r="317" ht="53.25" customHeight="1">
      <c r="A317" s="62">
        <v>97.0</v>
      </c>
      <c r="B317" s="60" t="s">
        <v>939</v>
      </c>
      <c r="C317" s="84" t="s">
        <v>22164</v>
      </c>
      <c r="D317" s="60" t="s">
        <v>22165</v>
      </c>
      <c r="E317" s="60" t="s">
        <v>20442</v>
      </c>
      <c r="F317" s="85" t="s">
        <v>22166</v>
      </c>
      <c r="G317" s="85" t="s">
        <v>21378</v>
      </c>
      <c r="H317" s="62">
        <v>70.0</v>
      </c>
      <c r="I317" s="60"/>
      <c r="J317" s="60"/>
      <c r="K317" s="60"/>
      <c r="L317" s="60"/>
      <c r="M317" s="60"/>
      <c r="N317" s="60"/>
      <c r="O317" s="60"/>
      <c r="P317" s="60"/>
      <c r="Q317" s="60"/>
      <c r="R317" s="60"/>
      <c r="S317" s="60"/>
      <c r="T317" s="60"/>
      <c r="U317" s="60"/>
      <c r="V317" s="60"/>
      <c r="W317" s="60"/>
      <c r="X317" s="60"/>
      <c r="Y317" s="60"/>
      <c r="Z317" s="60"/>
    </row>
    <row r="318" ht="53.25" customHeight="1">
      <c r="A318" s="62">
        <v>186.0</v>
      </c>
      <c r="B318" s="60" t="s">
        <v>66</v>
      </c>
      <c r="C318" s="84" t="s">
        <v>22167</v>
      </c>
      <c r="D318" s="60" t="s">
        <v>19833</v>
      </c>
      <c r="E318" s="60" t="s">
        <v>19834</v>
      </c>
      <c r="F318" s="85" t="s">
        <v>22168</v>
      </c>
      <c r="G318" s="85" t="s">
        <v>21379</v>
      </c>
      <c r="H318" s="62">
        <v>70.0</v>
      </c>
      <c r="I318" s="60"/>
      <c r="J318" s="60"/>
      <c r="K318" s="60"/>
      <c r="L318" s="60"/>
      <c r="M318" s="60"/>
      <c r="N318" s="60"/>
      <c r="O318" s="60"/>
      <c r="P318" s="60"/>
      <c r="Q318" s="60"/>
      <c r="R318" s="60"/>
      <c r="S318" s="60"/>
      <c r="T318" s="60"/>
      <c r="U318" s="60"/>
      <c r="V318" s="60"/>
      <c r="W318" s="60"/>
      <c r="X318" s="60"/>
      <c r="Y318" s="60"/>
      <c r="Z318" s="60"/>
    </row>
    <row r="319" ht="53.25" customHeight="1">
      <c r="A319" s="62">
        <v>444.0</v>
      </c>
      <c r="B319" s="60" t="s">
        <v>276</v>
      </c>
      <c r="C319" s="84" t="s">
        <v>22169</v>
      </c>
      <c r="D319" s="60" t="s">
        <v>20120</v>
      </c>
      <c r="E319" s="60" t="s">
        <v>309</v>
      </c>
      <c r="F319" s="85" t="s">
        <v>22170</v>
      </c>
      <c r="G319" s="85" t="s">
        <v>21380</v>
      </c>
      <c r="H319" s="62">
        <v>70.0</v>
      </c>
      <c r="I319" s="60"/>
      <c r="J319" s="60"/>
      <c r="K319" s="60"/>
      <c r="L319" s="60"/>
      <c r="M319" s="60"/>
      <c r="N319" s="60"/>
      <c r="O319" s="60"/>
      <c r="P319" s="60"/>
      <c r="Q319" s="60"/>
      <c r="R319" s="60"/>
      <c r="S319" s="60"/>
      <c r="T319" s="60"/>
      <c r="U319" s="60"/>
      <c r="V319" s="60"/>
      <c r="W319" s="60"/>
      <c r="X319" s="60"/>
      <c r="Y319" s="60"/>
      <c r="Z319" s="60"/>
    </row>
    <row r="320" ht="53.25" customHeight="1">
      <c r="A320" s="62">
        <v>191.0</v>
      </c>
      <c r="B320" s="60" t="s">
        <v>1107</v>
      </c>
      <c r="C320" s="84" t="s">
        <v>22171</v>
      </c>
      <c r="D320" s="60" t="s">
        <v>20578</v>
      </c>
      <c r="E320" s="60" t="s">
        <v>19641</v>
      </c>
      <c r="F320" s="85" t="s">
        <v>22172</v>
      </c>
      <c r="G320" s="85" t="s">
        <v>21381</v>
      </c>
      <c r="H320" s="62">
        <v>70.0</v>
      </c>
      <c r="I320" s="60"/>
      <c r="J320" s="60"/>
      <c r="K320" s="60"/>
      <c r="L320" s="60"/>
      <c r="M320" s="60"/>
      <c r="N320" s="60"/>
      <c r="O320" s="60"/>
      <c r="P320" s="60"/>
      <c r="Q320" s="60"/>
      <c r="R320" s="60"/>
      <c r="S320" s="60"/>
      <c r="T320" s="60"/>
      <c r="U320" s="60"/>
      <c r="V320" s="60"/>
      <c r="W320" s="60"/>
      <c r="X320" s="60"/>
      <c r="Y320" s="60"/>
      <c r="Z320" s="60"/>
    </row>
    <row r="321" ht="53.25" customHeight="1">
      <c r="A321" s="62">
        <v>226.0</v>
      </c>
      <c r="B321" s="60" t="s">
        <v>1564</v>
      </c>
      <c r="C321" s="84" t="s">
        <v>22173</v>
      </c>
      <c r="D321" s="60" t="s">
        <v>20352</v>
      </c>
      <c r="E321" s="60" t="s">
        <v>19948</v>
      </c>
      <c r="F321" s="85" t="s">
        <v>22174</v>
      </c>
      <c r="G321" s="85" t="s">
        <v>21382</v>
      </c>
      <c r="H321" s="62">
        <v>70.0</v>
      </c>
      <c r="I321" s="60"/>
      <c r="J321" s="60"/>
      <c r="K321" s="60"/>
      <c r="L321" s="60"/>
      <c r="M321" s="60"/>
      <c r="N321" s="60"/>
      <c r="O321" s="60"/>
      <c r="P321" s="60"/>
      <c r="Q321" s="60"/>
      <c r="R321" s="60"/>
      <c r="S321" s="60"/>
      <c r="T321" s="60"/>
      <c r="U321" s="60"/>
      <c r="V321" s="60"/>
      <c r="W321" s="60"/>
      <c r="X321" s="60"/>
      <c r="Y321" s="60"/>
      <c r="Z321" s="60"/>
    </row>
    <row r="322" ht="53.25" customHeight="1">
      <c r="A322" s="62">
        <v>210.0</v>
      </c>
      <c r="B322" s="60" t="s">
        <v>847</v>
      </c>
      <c r="C322" s="84" t="s">
        <v>22175</v>
      </c>
      <c r="D322" s="60" t="s">
        <v>20596</v>
      </c>
      <c r="E322" s="60" t="s">
        <v>20255</v>
      </c>
      <c r="F322" s="85" t="s">
        <v>22176</v>
      </c>
      <c r="G322" s="85" t="s">
        <v>21383</v>
      </c>
      <c r="H322" s="62">
        <v>70.0</v>
      </c>
      <c r="I322" s="60"/>
      <c r="J322" s="60"/>
      <c r="K322" s="60"/>
      <c r="L322" s="60"/>
      <c r="M322" s="60"/>
      <c r="N322" s="60"/>
      <c r="O322" s="60"/>
      <c r="P322" s="60"/>
      <c r="Q322" s="60"/>
      <c r="R322" s="60"/>
      <c r="S322" s="60"/>
      <c r="T322" s="60"/>
      <c r="U322" s="60"/>
      <c r="V322" s="60"/>
      <c r="W322" s="60"/>
      <c r="X322" s="60"/>
      <c r="Y322" s="60"/>
      <c r="Z322" s="60"/>
    </row>
    <row r="323" ht="53.25" customHeight="1">
      <c r="A323" s="62">
        <v>235.0</v>
      </c>
      <c r="B323" s="60" t="s">
        <v>1569</v>
      </c>
      <c r="C323" s="84" t="s">
        <v>22177</v>
      </c>
      <c r="D323" s="60" t="s">
        <v>20333</v>
      </c>
      <c r="E323" s="60" t="s">
        <v>19706</v>
      </c>
      <c r="F323" s="85" t="s">
        <v>22178</v>
      </c>
      <c r="G323" s="85" t="s">
        <v>21384</v>
      </c>
      <c r="H323" s="62">
        <v>70.0</v>
      </c>
      <c r="I323" s="60"/>
      <c r="J323" s="60"/>
      <c r="K323" s="60"/>
      <c r="L323" s="60"/>
      <c r="M323" s="60"/>
      <c r="N323" s="60"/>
      <c r="O323" s="60"/>
      <c r="P323" s="60"/>
      <c r="Q323" s="60"/>
      <c r="R323" s="60"/>
      <c r="S323" s="60"/>
      <c r="T323" s="60"/>
      <c r="U323" s="60"/>
      <c r="V323" s="60"/>
      <c r="W323" s="60"/>
      <c r="X323" s="60"/>
      <c r="Y323" s="60"/>
      <c r="Z323" s="60"/>
    </row>
    <row r="324" ht="53.25" customHeight="1">
      <c r="A324" s="62">
        <v>228.0</v>
      </c>
      <c r="B324" s="60" t="s">
        <v>1055</v>
      </c>
      <c r="C324" s="84" t="s">
        <v>22179</v>
      </c>
      <c r="D324" s="60" t="s">
        <v>20554</v>
      </c>
      <c r="E324" s="60" t="s">
        <v>19610</v>
      </c>
      <c r="F324" s="85" t="s">
        <v>22180</v>
      </c>
      <c r="G324" s="85" t="s">
        <v>21385</v>
      </c>
      <c r="H324" s="62">
        <v>70.0</v>
      </c>
      <c r="I324" s="60"/>
      <c r="J324" s="60"/>
      <c r="K324" s="60"/>
      <c r="L324" s="60"/>
      <c r="M324" s="60"/>
      <c r="N324" s="60"/>
      <c r="O324" s="60"/>
      <c r="P324" s="60"/>
      <c r="Q324" s="60"/>
      <c r="R324" s="60"/>
      <c r="S324" s="60"/>
      <c r="T324" s="60"/>
      <c r="U324" s="60"/>
      <c r="V324" s="60"/>
      <c r="W324" s="60"/>
      <c r="X324" s="60"/>
      <c r="Y324" s="60"/>
      <c r="Z324" s="60"/>
    </row>
    <row r="325" ht="53.25" customHeight="1">
      <c r="A325" s="62">
        <v>209.0</v>
      </c>
      <c r="B325" s="60" t="s">
        <v>551</v>
      </c>
      <c r="C325" s="84" t="s">
        <v>22181</v>
      </c>
      <c r="D325" s="60" t="s">
        <v>19891</v>
      </c>
      <c r="E325" s="60" t="s">
        <v>19576</v>
      </c>
      <c r="F325" s="85" t="s">
        <v>22182</v>
      </c>
      <c r="G325" s="85" t="s">
        <v>21386</v>
      </c>
      <c r="H325" s="62">
        <v>70.0</v>
      </c>
      <c r="I325" s="60"/>
      <c r="J325" s="60"/>
      <c r="K325" s="60"/>
      <c r="L325" s="60"/>
      <c r="M325" s="60"/>
      <c r="N325" s="60"/>
      <c r="O325" s="60"/>
      <c r="P325" s="60"/>
      <c r="Q325" s="60"/>
      <c r="R325" s="60"/>
      <c r="S325" s="60"/>
      <c r="T325" s="60"/>
      <c r="U325" s="60"/>
      <c r="V325" s="60"/>
      <c r="W325" s="60"/>
      <c r="X325" s="60"/>
      <c r="Y325" s="60"/>
      <c r="Z325" s="60"/>
    </row>
    <row r="326" ht="53.25" customHeight="1">
      <c r="A326" s="62">
        <v>221.0</v>
      </c>
      <c r="B326" s="60" t="s">
        <v>1560</v>
      </c>
      <c r="C326" s="84" t="s">
        <v>22183</v>
      </c>
      <c r="D326" s="60" t="s">
        <v>19912</v>
      </c>
      <c r="E326" s="60" t="s">
        <v>19598</v>
      </c>
      <c r="F326" s="85" t="s">
        <v>22184</v>
      </c>
      <c r="G326" s="85" t="s">
        <v>21387</v>
      </c>
      <c r="H326" s="62">
        <v>70.0</v>
      </c>
      <c r="I326" s="60"/>
      <c r="J326" s="60"/>
      <c r="K326" s="60"/>
      <c r="L326" s="60"/>
      <c r="M326" s="60"/>
      <c r="N326" s="60"/>
      <c r="O326" s="60"/>
      <c r="P326" s="60"/>
      <c r="Q326" s="60"/>
      <c r="R326" s="60"/>
      <c r="S326" s="60"/>
      <c r="T326" s="60"/>
      <c r="U326" s="60"/>
      <c r="V326" s="60"/>
      <c r="W326" s="60"/>
      <c r="X326" s="60"/>
      <c r="Y326" s="60"/>
      <c r="Z326" s="60"/>
    </row>
    <row r="327" ht="53.25" customHeight="1">
      <c r="A327" s="62">
        <v>227.0</v>
      </c>
      <c r="B327" s="60" t="s">
        <v>1091</v>
      </c>
      <c r="C327" s="84" t="s">
        <v>22185</v>
      </c>
      <c r="D327" s="60" t="s">
        <v>20336</v>
      </c>
      <c r="E327" s="60" t="s">
        <v>702</v>
      </c>
      <c r="F327" s="85" t="s">
        <v>22186</v>
      </c>
      <c r="G327" s="85" t="s">
        <v>21388</v>
      </c>
      <c r="H327" s="62">
        <v>70.0</v>
      </c>
      <c r="I327" s="60"/>
      <c r="J327" s="60"/>
      <c r="K327" s="60"/>
      <c r="L327" s="60"/>
      <c r="M327" s="60"/>
      <c r="N327" s="60"/>
      <c r="O327" s="60"/>
      <c r="P327" s="60"/>
      <c r="Q327" s="60"/>
      <c r="R327" s="60"/>
      <c r="S327" s="60"/>
      <c r="T327" s="60"/>
      <c r="U327" s="60"/>
      <c r="V327" s="60"/>
      <c r="W327" s="60"/>
      <c r="X327" s="60"/>
      <c r="Y327" s="60"/>
      <c r="Z327" s="60"/>
    </row>
    <row r="328" ht="53.25" customHeight="1">
      <c r="A328" s="62">
        <v>238.0</v>
      </c>
      <c r="B328" s="60" t="s">
        <v>164</v>
      </c>
      <c r="C328" s="84" t="s">
        <v>22187</v>
      </c>
      <c r="D328" s="60" t="s">
        <v>20569</v>
      </c>
      <c r="E328" s="60" t="s">
        <v>314</v>
      </c>
      <c r="F328" s="85" t="s">
        <v>22188</v>
      </c>
      <c r="G328" s="85" t="s">
        <v>21389</v>
      </c>
      <c r="H328" s="62">
        <v>70.0</v>
      </c>
      <c r="I328" s="60"/>
      <c r="J328" s="60"/>
      <c r="K328" s="60"/>
      <c r="L328" s="60"/>
      <c r="M328" s="60"/>
      <c r="N328" s="60"/>
      <c r="O328" s="60"/>
      <c r="P328" s="60"/>
      <c r="Q328" s="60"/>
      <c r="R328" s="60"/>
      <c r="S328" s="60"/>
      <c r="T328" s="60"/>
      <c r="U328" s="60"/>
      <c r="V328" s="60"/>
      <c r="W328" s="60"/>
      <c r="X328" s="60"/>
      <c r="Y328" s="60"/>
      <c r="Z328" s="60"/>
    </row>
    <row r="329" ht="53.25" customHeight="1">
      <c r="A329" s="62">
        <v>239.0</v>
      </c>
      <c r="B329" s="60" t="s">
        <v>985</v>
      </c>
      <c r="C329" s="84" t="s">
        <v>22189</v>
      </c>
      <c r="D329" s="60" t="s">
        <v>19812</v>
      </c>
      <c r="E329" s="60" t="s">
        <v>19813</v>
      </c>
      <c r="F329" s="85" t="s">
        <v>22190</v>
      </c>
      <c r="G329" s="85" t="s">
        <v>21390</v>
      </c>
      <c r="H329" s="62">
        <v>70.0</v>
      </c>
      <c r="I329" s="60"/>
      <c r="J329" s="60"/>
      <c r="K329" s="60"/>
      <c r="L329" s="60"/>
      <c r="M329" s="60"/>
      <c r="N329" s="60"/>
      <c r="O329" s="60"/>
      <c r="P329" s="60"/>
      <c r="Q329" s="60"/>
      <c r="R329" s="60"/>
      <c r="S329" s="60"/>
      <c r="T329" s="60"/>
      <c r="U329" s="60"/>
      <c r="V329" s="60"/>
      <c r="W329" s="60"/>
      <c r="X329" s="60"/>
      <c r="Y329" s="60"/>
      <c r="Z329" s="60"/>
    </row>
    <row r="330" ht="53.25" customHeight="1">
      <c r="A330" s="62">
        <v>217.0</v>
      </c>
      <c r="B330" s="60" t="s">
        <v>1273</v>
      </c>
      <c r="C330" s="84" t="s">
        <v>22191</v>
      </c>
      <c r="D330" s="60" t="s">
        <v>20620</v>
      </c>
      <c r="E330" s="60" t="s">
        <v>20621</v>
      </c>
      <c r="F330" s="85" t="s">
        <v>22192</v>
      </c>
      <c r="G330" s="85" t="s">
        <v>21391</v>
      </c>
      <c r="H330" s="62">
        <v>70.0</v>
      </c>
      <c r="I330" s="60"/>
      <c r="J330" s="60"/>
      <c r="K330" s="60"/>
      <c r="L330" s="60"/>
      <c r="M330" s="60"/>
      <c r="N330" s="60"/>
      <c r="O330" s="60"/>
      <c r="P330" s="60"/>
      <c r="Q330" s="60"/>
      <c r="R330" s="60"/>
      <c r="S330" s="60"/>
      <c r="T330" s="60"/>
      <c r="U330" s="60"/>
      <c r="V330" s="60"/>
      <c r="W330" s="60"/>
      <c r="X330" s="60"/>
      <c r="Y330" s="60"/>
      <c r="Z330" s="60"/>
    </row>
    <row r="331" ht="53.25" customHeight="1">
      <c r="A331" s="62">
        <v>232.0</v>
      </c>
      <c r="B331" s="60" t="s">
        <v>165</v>
      </c>
      <c r="C331" s="84" t="s">
        <v>22193</v>
      </c>
      <c r="D331" s="60" t="s">
        <v>20563</v>
      </c>
      <c r="E331" s="60" t="s">
        <v>19677</v>
      </c>
      <c r="F331" s="85" t="s">
        <v>22194</v>
      </c>
      <c r="G331" s="85" t="s">
        <v>21392</v>
      </c>
      <c r="H331" s="62">
        <v>70.0</v>
      </c>
      <c r="I331" s="60"/>
      <c r="J331" s="60"/>
      <c r="K331" s="60"/>
      <c r="L331" s="60"/>
      <c r="M331" s="60"/>
      <c r="N331" s="60"/>
      <c r="O331" s="60"/>
      <c r="P331" s="60"/>
      <c r="Q331" s="60"/>
      <c r="R331" s="60"/>
      <c r="S331" s="60"/>
      <c r="T331" s="60"/>
      <c r="U331" s="60"/>
      <c r="V331" s="60"/>
      <c r="W331" s="60"/>
      <c r="X331" s="60"/>
      <c r="Y331" s="60"/>
      <c r="Z331" s="60"/>
    </row>
    <row r="332" ht="53.25" customHeight="1">
      <c r="A332" s="62">
        <v>198.0</v>
      </c>
      <c r="B332" s="60" t="s">
        <v>61</v>
      </c>
      <c r="C332" s="84" t="s">
        <v>22195</v>
      </c>
      <c r="D332" s="60" t="s">
        <v>20324</v>
      </c>
      <c r="E332" s="60" t="s">
        <v>19598</v>
      </c>
      <c r="F332" s="85" t="s">
        <v>22196</v>
      </c>
      <c r="G332" s="85" t="s">
        <v>21393</v>
      </c>
      <c r="H332" s="62">
        <v>70.0</v>
      </c>
      <c r="I332" s="60"/>
      <c r="J332" s="60"/>
      <c r="K332" s="60"/>
      <c r="L332" s="60"/>
      <c r="M332" s="60"/>
      <c r="N332" s="60"/>
      <c r="O332" s="60"/>
      <c r="P332" s="60"/>
      <c r="Q332" s="60"/>
      <c r="R332" s="60"/>
      <c r="S332" s="60"/>
      <c r="T332" s="60"/>
      <c r="U332" s="60"/>
      <c r="V332" s="60"/>
      <c r="W332" s="60"/>
      <c r="X332" s="60"/>
      <c r="Y332" s="60"/>
      <c r="Z332" s="60"/>
    </row>
    <row r="333" ht="53.25" customHeight="1">
      <c r="A333" s="62">
        <v>194.0</v>
      </c>
      <c r="B333" s="60" t="s">
        <v>1008</v>
      </c>
      <c r="C333" s="84" t="s">
        <v>22197</v>
      </c>
      <c r="D333" s="60" t="s">
        <v>19702</v>
      </c>
      <c r="E333" s="60" t="s">
        <v>19564</v>
      </c>
      <c r="F333" s="85" t="s">
        <v>22198</v>
      </c>
      <c r="G333" s="85" t="s">
        <v>21394</v>
      </c>
      <c r="H333" s="62">
        <v>70.0</v>
      </c>
      <c r="I333" s="60"/>
      <c r="J333" s="60"/>
      <c r="K333" s="60"/>
      <c r="L333" s="60"/>
      <c r="M333" s="60"/>
      <c r="N333" s="60"/>
      <c r="O333" s="60"/>
      <c r="P333" s="60"/>
      <c r="Q333" s="60"/>
      <c r="R333" s="60"/>
      <c r="S333" s="60"/>
      <c r="T333" s="60"/>
      <c r="U333" s="60"/>
      <c r="V333" s="60"/>
      <c r="W333" s="60"/>
      <c r="X333" s="60"/>
      <c r="Y333" s="60"/>
      <c r="Z333" s="60"/>
    </row>
    <row r="334" ht="53.25" customHeight="1">
      <c r="A334" s="62">
        <v>219.0</v>
      </c>
      <c r="B334" s="60" t="s">
        <v>95</v>
      </c>
      <c r="C334" s="84" t="s">
        <v>22199</v>
      </c>
      <c r="D334" s="60" t="s">
        <v>20339</v>
      </c>
      <c r="E334" s="60" t="s">
        <v>20255</v>
      </c>
      <c r="F334" s="85" t="s">
        <v>22200</v>
      </c>
      <c r="G334" s="85" t="s">
        <v>21395</v>
      </c>
      <c r="H334" s="62">
        <v>70.0</v>
      </c>
      <c r="I334" s="60"/>
      <c r="J334" s="60"/>
      <c r="K334" s="60"/>
      <c r="L334" s="60"/>
      <c r="M334" s="60"/>
      <c r="N334" s="60"/>
      <c r="O334" s="60"/>
      <c r="P334" s="60"/>
      <c r="Q334" s="60"/>
      <c r="R334" s="60"/>
      <c r="S334" s="60"/>
      <c r="T334" s="60"/>
      <c r="U334" s="60"/>
      <c r="V334" s="60"/>
      <c r="W334" s="60"/>
      <c r="X334" s="60"/>
      <c r="Y334" s="60"/>
      <c r="Z334" s="60"/>
    </row>
    <row r="335" ht="53.25" customHeight="1">
      <c r="A335" s="62">
        <v>203.0</v>
      </c>
      <c r="B335" s="60" t="s">
        <v>1281</v>
      </c>
      <c r="C335" s="84" t="s">
        <v>22201</v>
      </c>
      <c r="D335" s="60" t="s">
        <v>19888</v>
      </c>
      <c r="E335" s="60" t="s">
        <v>19606</v>
      </c>
      <c r="F335" s="85" t="s">
        <v>22202</v>
      </c>
      <c r="G335" s="85" t="s">
        <v>21396</v>
      </c>
      <c r="H335" s="62">
        <v>70.0</v>
      </c>
      <c r="I335" s="60"/>
      <c r="J335" s="60"/>
      <c r="K335" s="60"/>
      <c r="L335" s="60"/>
      <c r="M335" s="60"/>
      <c r="N335" s="60"/>
      <c r="O335" s="60"/>
      <c r="P335" s="60"/>
      <c r="Q335" s="60"/>
      <c r="R335" s="60"/>
      <c r="S335" s="60"/>
      <c r="T335" s="60"/>
      <c r="U335" s="60"/>
      <c r="V335" s="60"/>
      <c r="W335" s="60"/>
      <c r="X335" s="60"/>
      <c r="Y335" s="60"/>
      <c r="Z335" s="60"/>
    </row>
    <row r="336" ht="53.25" customHeight="1">
      <c r="A336" s="62">
        <v>223.0</v>
      </c>
      <c r="B336" s="60" t="s">
        <v>1299</v>
      </c>
      <c r="C336" s="84" t="s">
        <v>22203</v>
      </c>
      <c r="D336" s="60" t="s">
        <v>20346</v>
      </c>
      <c r="E336" s="60" t="s">
        <v>20255</v>
      </c>
      <c r="F336" s="85" t="s">
        <v>22204</v>
      </c>
      <c r="G336" s="85" t="s">
        <v>21397</v>
      </c>
      <c r="H336" s="62">
        <v>70.0</v>
      </c>
      <c r="I336" s="60"/>
      <c r="J336" s="60"/>
      <c r="K336" s="60"/>
      <c r="L336" s="60"/>
      <c r="M336" s="60"/>
      <c r="N336" s="60"/>
      <c r="O336" s="60"/>
      <c r="P336" s="60"/>
      <c r="Q336" s="60"/>
      <c r="R336" s="60"/>
      <c r="S336" s="60"/>
      <c r="T336" s="60"/>
      <c r="U336" s="60"/>
      <c r="V336" s="60"/>
      <c r="W336" s="60"/>
      <c r="X336" s="60"/>
      <c r="Y336" s="60"/>
      <c r="Z336" s="60"/>
    </row>
    <row r="337" ht="53.25" customHeight="1">
      <c r="A337" s="62">
        <v>202.0</v>
      </c>
      <c r="B337" s="60" t="s">
        <v>1433</v>
      </c>
      <c r="C337" s="84" t="s">
        <v>22205</v>
      </c>
      <c r="D337" s="60" t="s">
        <v>20920</v>
      </c>
      <c r="E337" s="60" t="s">
        <v>19706</v>
      </c>
      <c r="F337" s="85" t="s">
        <v>22206</v>
      </c>
      <c r="G337" s="85" t="s">
        <v>21398</v>
      </c>
      <c r="H337" s="62">
        <v>70.0</v>
      </c>
      <c r="I337" s="60"/>
      <c r="J337" s="60"/>
      <c r="K337" s="60"/>
      <c r="L337" s="60"/>
      <c r="M337" s="60"/>
      <c r="N337" s="60"/>
      <c r="O337" s="60"/>
      <c r="P337" s="60"/>
      <c r="Q337" s="60"/>
      <c r="R337" s="60"/>
      <c r="S337" s="60"/>
      <c r="T337" s="60"/>
      <c r="U337" s="60"/>
      <c r="V337" s="60"/>
      <c r="W337" s="60"/>
      <c r="X337" s="60"/>
      <c r="Y337" s="60"/>
      <c r="Z337" s="60"/>
    </row>
    <row r="338" ht="53.25" customHeight="1">
      <c r="A338" s="62">
        <v>259.0</v>
      </c>
      <c r="B338" s="60" t="s">
        <v>1578</v>
      </c>
      <c r="C338" s="84" t="s">
        <v>22207</v>
      </c>
      <c r="D338" s="60" t="s">
        <v>20055</v>
      </c>
      <c r="E338" s="60" t="s">
        <v>19587</v>
      </c>
      <c r="F338" s="85" t="s">
        <v>22208</v>
      </c>
      <c r="G338" s="85" t="s">
        <v>21399</v>
      </c>
      <c r="H338" s="62">
        <v>70.0</v>
      </c>
      <c r="I338" s="60"/>
      <c r="J338" s="60"/>
      <c r="K338" s="60"/>
      <c r="L338" s="60"/>
      <c r="M338" s="60"/>
      <c r="N338" s="60"/>
      <c r="O338" s="60"/>
      <c r="P338" s="60"/>
      <c r="Q338" s="60"/>
      <c r="R338" s="60"/>
      <c r="S338" s="60"/>
      <c r="T338" s="60"/>
      <c r="U338" s="60"/>
      <c r="V338" s="60"/>
      <c r="W338" s="60"/>
      <c r="X338" s="60"/>
      <c r="Y338" s="60"/>
      <c r="Z338" s="60"/>
    </row>
    <row r="339" ht="53.25" customHeight="1">
      <c r="A339" s="62">
        <v>395.0</v>
      </c>
      <c r="B339" s="60" t="s">
        <v>829</v>
      </c>
      <c r="C339" s="84" t="s">
        <v>22209</v>
      </c>
      <c r="D339" s="60" t="s">
        <v>20734</v>
      </c>
      <c r="E339" s="60" t="s">
        <v>19813</v>
      </c>
      <c r="F339" s="85" t="s">
        <v>22210</v>
      </c>
      <c r="G339" s="85" t="s">
        <v>21400</v>
      </c>
      <c r="H339" s="62">
        <v>65.0</v>
      </c>
      <c r="I339" s="60"/>
      <c r="J339" s="60"/>
      <c r="K339" s="60"/>
      <c r="L339" s="60"/>
      <c r="M339" s="60"/>
      <c r="N339" s="60"/>
      <c r="O339" s="60"/>
      <c r="P339" s="60"/>
      <c r="Q339" s="60"/>
      <c r="R339" s="60"/>
      <c r="S339" s="60"/>
      <c r="T339" s="60"/>
      <c r="U339" s="60"/>
      <c r="V339" s="60"/>
      <c r="W339" s="60"/>
      <c r="X339" s="60"/>
      <c r="Y339" s="60"/>
      <c r="Z339" s="60"/>
    </row>
    <row r="340" ht="53.25" customHeight="1">
      <c r="A340" s="62">
        <v>376.0</v>
      </c>
      <c r="B340" s="60" t="s">
        <v>1239</v>
      </c>
      <c r="C340" s="84" t="s">
        <v>22211</v>
      </c>
      <c r="D340" s="60" t="s">
        <v>20028</v>
      </c>
      <c r="E340" s="60" t="s">
        <v>20029</v>
      </c>
      <c r="F340" s="85" t="s">
        <v>22212</v>
      </c>
      <c r="G340" s="85" t="s">
        <v>21401</v>
      </c>
      <c r="H340" s="62">
        <v>65.0</v>
      </c>
      <c r="I340" s="60"/>
      <c r="J340" s="60"/>
      <c r="K340" s="60"/>
      <c r="L340" s="60"/>
      <c r="M340" s="60"/>
      <c r="N340" s="60"/>
      <c r="O340" s="60"/>
      <c r="P340" s="60"/>
      <c r="Q340" s="60"/>
      <c r="R340" s="60"/>
      <c r="S340" s="60"/>
      <c r="T340" s="60"/>
      <c r="U340" s="60"/>
      <c r="V340" s="60"/>
      <c r="W340" s="60"/>
      <c r="X340" s="60"/>
      <c r="Y340" s="60"/>
      <c r="Z340" s="60"/>
    </row>
    <row r="341" ht="53.25" customHeight="1">
      <c r="A341" s="62">
        <v>377.0</v>
      </c>
      <c r="B341" s="60" t="s">
        <v>1447</v>
      </c>
      <c r="C341" s="84" t="s">
        <v>22213</v>
      </c>
      <c r="D341" s="60" t="s">
        <v>20724</v>
      </c>
      <c r="E341" s="60" t="s">
        <v>20255</v>
      </c>
      <c r="F341" s="85" t="s">
        <v>22214</v>
      </c>
      <c r="G341" s="85" t="s">
        <v>21402</v>
      </c>
      <c r="H341" s="62">
        <v>65.0</v>
      </c>
      <c r="I341" s="60"/>
      <c r="J341" s="60"/>
      <c r="K341" s="60"/>
      <c r="L341" s="60"/>
      <c r="M341" s="60"/>
      <c r="N341" s="60"/>
      <c r="O341" s="60"/>
      <c r="P341" s="60"/>
      <c r="Q341" s="60"/>
      <c r="R341" s="60"/>
      <c r="S341" s="60"/>
      <c r="T341" s="60"/>
      <c r="U341" s="60"/>
      <c r="V341" s="60"/>
      <c r="W341" s="60"/>
      <c r="X341" s="60"/>
      <c r="Y341" s="60"/>
      <c r="Z341" s="60"/>
    </row>
    <row r="342" ht="53.25" customHeight="1">
      <c r="A342" s="62">
        <v>81.0</v>
      </c>
      <c r="B342" s="60" t="s">
        <v>1513</v>
      </c>
      <c r="C342" s="84" t="s">
        <v>22215</v>
      </c>
      <c r="D342" s="60" t="s">
        <v>19728</v>
      </c>
      <c r="E342" s="60" t="s">
        <v>19641</v>
      </c>
      <c r="F342" s="85" t="s">
        <v>22216</v>
      </c>
      <c r="G342" s="85" t="s">
        <v>21403</v>
      </c>
      <c r="H342" s="62">
        <v>65.0</v>
      </c>
      <c r="I342" s="60"/>
      <c r="J342" s="60"/>
      <c r="K342" s="60"/>
      <c r="L342" s="60"/>
      <c r="M342" s="60"/>
      <c r="N342" s="60"/>
      <c r="O342" s="60"/>
      <c r="P342" s="60"/>
      <c r="Q342" s="60"/>
      <c r="R342" s="60"/>
      <c r="S342" s="60"/>
      <c r="T342" s="60"/>
      <c r="U342" s="60"/>
      <c r="V342" s="60"/>
      <c r="W342" s="60"/>
      <c r="X342" s="60"/>
      <c r="Y342" s="60"/>
      <c r="Z342" s="60"/>
    </row>
    <row r="343" ht="53.25" customHeight="1">
      <c r="A343" s="62">
        <v>187.0</v>
      </c>
      <c r="B343" s="60" t="s">
        <v>1109</v>
      </c>
      <c r="C343" s="84" t="s">
        <v>22217</v>
      </c>
      <c r="D343" s="60" t="s">
        <v>20575</v>
      </c>
      <c r="E343" s="60" t="s">
        <v>19543</v>
      </c>
      <c r="F343" s="85" t="s">
        <v>22218</v>
      </c>
      <c r="G343" s="85" t="s">
        <v>21404</v>
      </c>
      <c r="H343" s="62">
        <v>65.0</v>
      </c>
      <c r="I343" s="60"/>
      <c r="J343" s="60"/>
      <c r="K343" s="60"/>
      <c r="L343" s="60"/>
      <c r="M343" s="60"/>
      <c r="N343" s="60"/>
      <c r="O343" s="60"/>
      <c r="P343" s="60"/>
      <c r="Q343" s="60"/>
      <c r="R343" s="60"/>
      <c r="S343" s="60"/>
      <c r="T343" s="60"/>
      <c r="U343" s="60"/>
      <c r="V343" s="60"/>
      <c r="W343" s="60"/>
      <c r="X343" s="60"/>
      <c r="Y343" s="60"/>
      <c r="Z343" s="60"/>
    </row>
    <row r="344" ht="53.25" customHeight="1">
      <c r="A344" s="62">
        <v>224.0</v>
      </c>
      <c r="B344" s="60" t="s">
        <v>1396</v>
      </c>
      <c r="C344" s="84" t="s">
        <v>22219</v>
      </c>
      <c r="D344" s="60" t="s">
        <v>20349</v>
      </c>
      <c r="E344" s="60" t="s">
        <v>20077</v>
      </c>
      <c r="F344" s="85" t="s">
        <v>22220</v>
      </c>
      <c r="G344" s="85" t="s">
        <v>21405</v>
      </c>
      <c r="H344" s="62">
        <v>65.0</v>
      </c>
      <c r="I344" s="60"/>
      <c r="J344" s="60"/>
      <c r="K344" s="60"/>
      <c r="L344" s="60"/>
      <c r="M344" s="60"/>
      <c r="N344" s="60"/>
      <c r="O344" s="60"/>
      <c r="P344" s="60"/>
      <c r="Q344" s="60"/>
      <c r="R344" s="60"/>
      <c r="S344" s="60"/>
      <c r="T344" s="60"/>
      <c r="U344" s="60"/>
      <c r="V344" s="60"/>
      <c r="W344" s="60"/>
      <c r="X344" s="60"/>
      <c r="Y344" s="60"/>
      <c r="Z344" s="60"/>
    </row>
    <row r="345" ht="53.25" customHeight="1">
      <c r="A345" s="62">
        <v>382.0</v>
      </c>
      <c r="B345" s="60" t="s">
        <v>831</v>
      </c>
      <c r="C345" s="84" t="s">
        <v>22221</v>
      </c>
      <c r="D345" s="60" t="s">
        <v>20080</v>
      </c>
      <c r="E345" s="60" t="s">
        <v>20081</v>
      </c>
      <c r="F345" s="85" t="s">
        <v>22222</v>
      </c>
      <c r="G345" s="85" t="s">
        <v>21406</v>
      </c>
      <c r="H345" s="62">
        <v>65.0</v>
      </c>
      <c r="I345" s="60"/>
      <c r="J345" s="60"/>
      <c r="K345" s="60"/>
      <c r="L345" s="60"/>
      <c r="M345" s="60"/>
      <c r="N345" s="60"/>
      <c r="O345" s="60"/>
      <c r="P345" s="60"/>
      <c r="Q345" s="60"/>
      <c r="R345" s="60"/>
      <c r="S345" s="60"/>
      <c r="T345" s="60"/>
      <c r="U345" s="60"/>
      <c r="V345" s="60"/>
      <c r="W345" s="60"/>
      <c r="X345" s="60"/>
      <c r="Y345" s="60"/>
      <c r="Z345" s="60"/>
    </row>
    <row r="346" ht="53.25" customHeight="1">
      <c r="A346" s="62">
        <v>394.0</v>
      </c>
      <c r="B346" s="60" t="s">
        <v>1151</v>
      </c>
      <c r="C346" s="84" t="s">
        <v>22223</v>
      </c>
      <c r="D346" s="60" t="s">
        <v>20740</v>
      </c>
      <c r="E346" s="60" t="s">
        <v>19899</v>
      </c>
      <c r="F346" s="85" t="s">
        <v>22224</v>
      </c>
      <c r="G346" s="85" t="s">
        <v>21407</v>
      </c>
      <c r="H346" s="62">
        <v>65.0</v>
      </c>
      <c r="I346" s="60"/>
      <c r="J346" s="60"/>
      <c r="K346" s="60"/>
      <c r="L346" s="60"/>
      <c r="M346" s="60"/>
      <c r="N346" s="60"/>
      <c r="O346" s="60"/>
      <c r="P346" s="60"/>
      <c r="Q346" s="60"/>
      <c r="R346" s="60"/>
      <c r="S346" s="60"/>
      <c r="T346" s="60"/>
      <c r="U346" s="60"/>
      <c r="V346" s="60"/>
      <c r="W346" s="60"/>
      <c r="X346" s="60"/>
      <c r="Y346" s="60"/>
      <c r="Z346" s="60"/>
    </row>
    <row r="347" ht="53.25" customHeight="1">
      <c r="A347" s="62">
        <v>83.0</v>
      </c>
      <c r="B347" s="60" t="s">
        <v>1354</v>
      </c>
      <c r="C347" s="84" t="s">
        <v>22225</v>
      </c>
      <c r="D347" s="60" t="s">
        <v>20911</v>
      </c>
      <c r="E347" s="60" t="s">
        <v>751</v>
      </c>
      <c r="F347" s="85" t="s">
        <v>22226</v>
      </c>
      <c r="G347" s="85" t="s">
        <v>21408</v>
      </c>
      <c r="H347" s="62">
        <v>65.0</v>
      </c>
      <c r="I347" s="60"/>
      <c r="J347" s="60"/>
      <c r="K347" s="60"/>
      <c r="L347" s="60"/>
      <c r="M347" s="60"/>
      <c r="N347" s="60"/>
      <c r="O347" s="60"/>
      <c r="P347" s="60"/>
      <c r="Q347" s="60"/>
      <c r="R347" s="60"/>
      <c r="S347" s="60"/>
      <c r="T347" s="60"/>
      <c r="U347" s="60"/>
      <c r="V347" s="60"/>
      <c r="W347" s="60"/>
      <c r="X347" s="60"/>
      <c r="Y347" s="60"/>
      <c r="Z347" s="60"/>
    </row>
    <row r="348" ht="53.25" customHeight="1">
      <c r="A348" s="62">
        <v>84.0</v>
      </c>
      <c r="B348" s="60" t="s">
        <v>868</v>
      </c>
      <c r="C348" s="84" t="s">
        <v>22227</v>
      </c>
      <c r="D348" s="60" t="s">
        <v>20032</v>
      </c>
      <c r="E348" s="60" t="s">
        <v>20033</v>
      </c>
      <c r="F348" s="85" t="s">
        <v>22228</v>
      </c>
      <c r="G348" s="85" t="s">
        <v>21409</v>
      </c>
      <c r="H348" s="62">
        <v>65.0</v>
      </c>
      <c r="I348" s="60"/>
      <c r="J348" s="60"/>
      <c r="K348" s="60"/>
      <c r="L348" s="60"/>
      <c r="M348" s="60"/>
      <c r="N348" s="60"/>
      <c r="O348" s="60"/>
      <c r="P348" s="60"/>
      <c r="Q348" s="60"/>
      <c r="R348" s="60"/>
      <c r="S348" s="60"/>
      <c r="T348" s="60"/>
      <c r="U348" s="60"/>
      <c r="V348" s="60"/>
      <c r="W348" s="60"/>
      <c r="X348" s="60"/>
      <c r="Y348" s="60"/>
      <c r="Z348" s="60"/>
    </row>
    <row r="349" ht="53.25" customHeight="1">
      <c r="A349" s="62">
        <v>400.0</v>
      </c>
      <c r="B349" s="60" t="s">
        <v>1023</v>
      </c>
      <c r="C349" s="84" t="s">
        <v>22229</v>
      </c>
      <c r="D349" s="60" t="s">
        <v>20884</v>
      </c>
      <c r="E349" s="60" t="s">
        <v>19706</v>
      </c>
      <c r="F349" s="85" t="s">
        <v>22230</v>
      </c>
      <c r="G349" s="85" t="s">
        <v>21410</v>
      </c>
      <c r="H349" s="62">
        <v>65.0</v>
      </c>
      <c r="I349" s="60"/>
      <c r="J349" s="60"/>
      <c r="K349" s="60"/>
      <c r="L349" s="60"/>
      <c r="M349" s="60"/>
      <c r="N349" s="60"/>
      <c r="O349" s="60"/>
      <c r="P349" s="60"/>
      <c r="Q349" s="60"/>
      <c r="R349" s="60"/>
      <c r="S349" s="60"/>
      <c r="T349" s="60"/>
      <c r="U349" s="60"/>
      <c r="V349" s="60"/>
      <c r="W349" s="60"/>
      <c r="X349" s="60"/>
      <c r="Y349" s="60"/>
      <c r="Z349" s="60"/>
    </row>
    <row r="350" ht="53.25" customHeight="1">
      <c r="A350" s="62">
        <v>289.0</v>
      </c>
      <c r="B350" s="60" t="s">
        <v>253</v>
      </c>
      <c r="C350" s="84" t="s">
        <v>22231</v>
      </c>
      <c r="D350" s="60" t="s">
        <v>20624</v>
      </c>
      <c r="E350" s="60" t="s">
        <v>19699</v>
      </c>
      <c r="F350" s="85" t="s">
        <v>22232</v>
      </c>
      <c r="G350" s="85" t="s">
        <v>21411</v>
      </c>
      <c r="H350" s="62">
        <v>65.0</v>
      </c>
      <c r="I350" s="60"/>
      <c r="J350" s="60"/>
      <c r="K350" s="60"/>
      <c r="L350" s="60"/>
      <c r="M350" s="60"/>
      <c r="N350" s="60"/>
      <c r="O350" s="60"/>
      <c r="P350" s="60"/>
      <c r="Q350" s="60"/>
      <c r="R350" s="60"/>
      <c r="S350" s="60"/>
      <c r="T350" s="60"/>
      <c r="U350" s="60"/>
      <c r="V350" s="60"/>
      <c r="W350" s="60"/>
      <c r="X350" s="60"/>
      <c r="Y350" s="60"/>
      <c r="Z350" s="60"/>
    </row>
    <row r="351" ht="53.25" customHeight="1">
      <c r="A351" s="62">
        <v>101.0</v>
      </c>
      <c r="B351" s="60" t="s">
        <v>1414</v>
      </c>
      <c r="C351" s="84" t="s">
        <v>22233</v>
      </c>
      <c r="D351" s="60" t="s">
        <v>20787</v>
      </c>
      <c r="E351" s="60" t="s">
        <v>19706</v>
      </c>
      <c r="F351" s="85" t="s">
        <v>22234</v>
      </c>
      <c r="G351" s="85" t="s">
        <v>21412</v>
      </c>
      <c r="H351" s="62">
        <v>65.0</v>
      </c>
      <c r="I351" s="60"/>
      <c r="J351" s="60"/>
      <c r="K351" s="60"/>
      <c r="L351" s="60"/>
      <c r="M351" s="60"/>
      <c r="N351" s="60"/>
      <c r="O351" s="60"/>
      <c r="P351" s="60"/>
      <c r="Q351" s="60"/>
      <c r="R351" s="60"/>
      <c r="S351" s="60"/>
      <c r="T351" s="60"/>
      <c r="U351" s="60"/>
      <c r="V351" s="60"/>
      <c r="W351" s="60"/>
      <c r="X351" s="60"/>
      <c r="Y351" s="60"/>
      <c r="Z351" s="60"/>
    </row>
    <row r="352" ht="53.25" customHeight="1">
      <c r="A352" s="62">
        <v>88.0</v>
      </c>
      <c r="B352" s="60" t="s">
        <v>1517</v>
      </c>
      <c r="C352" s="84" t="s">
        <v>22235</v>
      </c>
      <c r="D352" s="60" t="s">
        <v>20763</v>
      </c>
      <c r="E352" s="60" t="s">
        <v>314</v>
      </c>
      <c r="F352" s="85" t="s">
        <v>22236</v>
      </c>
      <c r="G352" s="85" t="s">
        <v>21413</v>
      </c>
      <c r="H352" s="62">
        <v>65.0</v>
      </c>
      <c r="I352" s="60"/>
      <c r="J352" s="60"/>
      <c r="K352" s="60"/>
      <c r="L352" s="60"/>
      <c r="M352" s="60"/>
      <c r="N352" s="60"/>
      <c r="O352" s="60"/>
      <c r="P352" s="60"/>
      <c r="Q352" s="60"/>
      <c r="R352" s="60"/>
      <c r="S352" s="60"/>
      <c r="T352" s="60"/>
      <c r="U352" s="60"/>
      <c r="V352" s="60"/>
      <c r="W352" s="60"/>
      <c r="X352" s="60"/>
      <c r="Y352" s="60"/>
      <c r="Z352" s="60"/>
    </row>
    <row r="353" ht="53.25" customHeight="1">
      <c r="A353" s="62">
        <v>66.0</v>
      </c>
      <c r="B353" s="60" t="s">
        <v>873</v>
      </c>
      <c r="C353" s="84" t="s">
        <v>22237</v>
      </c>
      <c r="D353" s="60" t="s">
        <v>20872</v>
      </c>
      <c r="E353" s="60" t="s">
        <v>19986</v>
      </c>
      <c r="F353" s="85" t="s">
        <v>22238</v>
      </c>
      <c r="G353" s="85" t="s">
        <v>21414</v>
      </c>
      <c r="H353" s="62">
        <v>65.0</v>
      </c>
      <c r="I353" s="60"/>
      <c r="J353" s="60"/>
      <c r="K353" s="60"/>
      <c r="L353" s="60"/>
      <c r="M353" s="60"/>
      <c r="N353" s="60"/>
      <c r="O353" s="60"/>
      <c r="P353" s="60"/>
      <c r="Q353" s="60"/>
      <c r="R353" s="60"/>
      <c r="S353" s="60"/>
      <c r="T353" s="60"/>
      <c r="U353" s="60"/>
      <c r="V353" s="60"/>
      <c r="W353" s="60"/>
      <c r="X353" s="60"/>
      <c r="Y353" s="60"/>
      <c r="Z353" s="60"/>
    </row>
    <row r="354" ht="53.25" customHeight="1">
      <c r="A354" s="62">
        <v>231.0</v>
      </c>
      <c r="B354" s="60" t="s">
        <v>1297</v>
      </c>
      <c r="C354" s="84" t="s">
        <v>22239</v>
      </c>
      <c r="D354" s="60" t="s">
        <v>20560</v>
      </c>
      <c r="E354" s="60" t="s">
        <v>19706</v>
      </c>
      <c r="F354" s="85" t="s">
        <v>22240</v>
      </c>
      <c r="G354" s="85" t="s">
        <v>21415</v>
      </c>
      <c r="H354" s="62">
        <v>65.0</v>
      </c>
      <c r="I354" s="60"/>
      <c r="J354" s="60"/>
      <c r="K354" s="60"/>
      <c r="L354" s="60"/>
      <c r="M354" s="60"/>
      <c r="N354" s="60"/>
      <c r="O354" s="60"/>
      <c r="P354" s="60"/>
      <c r="Q354" s="60"/>
      <c r="R354" s="60"/>
      <c r="S354" s="60"/>
      <c r="T354" s="60"/>
      <c r="U354" s="60"/>
      <c r="V354" s="60"/>
      <c r="W354" s="60"/>
      <c r="X354" s="60"/>
      <c r="Y354" s="60"/>
      <c r="Z354" s="60"/>
    </row>
    <row r="355" ht="53.25" customHeight="1">
      <c r="A355" s="62">
        <v>424.0</v>
      </c>
      <c r="B355" s="60" t="s">
        <v>1632</v>
      </c>
      <c r="C355" s="84" t="s">
        <v>22241</v>
      </c>
      <c r="D355" s="60" t="s">
        <v>19789</v>
      </c>
      <c r="E355" s="60" t="s">
        <v>19769</v>
      </c>
      <c r="F355" s="85" t="s">
        <v>22242</v>
      </c>
      <c r="G355" s="85" t="s">
        <v>21416</v>
      </c>
      <c r="H355" s="62">
        <v>65.0</v>
      </c>
      <c r="I355" s="60"/>
      <c r="J355" s="60"/>
      <c r="K355" s="60"/>
      <c r="L355" s="60"/>
      <c r="M355" s="60"/>
      <c r="N355" s="60"/>
      <c r="O355" s="60"/>
      <c r="P355" s="60"/>
      <c r="Q355" s="60"/>
      <c r="R355" s="60"/>
      <c r="S355" s="60"/>
      <c r="T355" s="60"/>
      <c r="U355" s="60"/>
      <c r="V355" s="60"/>
      <c r="W355" s="60"/>
      <c r="X355" s="60"/>
      <c r="Y355" s="60"/>
      <c r="Z355" s="60"/>
    </row>
    <row r="356" ht="53.25" customHeight="1">
      <c r="A356" s="62">
        <v>442.0</v>
      </c>
      <c r="B356" s="60" t="s">
        <v>1466</v>
      </c>
      <c r="C356" s="84" t="s">
        <v>22243</v>
      </c>
      <c r="D356" s="60" t="s">
        <v>20923</v>
      </c>
      <c r="E356" s="60" t="s">
        <v>19823</v>
      </c>
      <c r="F356" s="85" t="s">
        <v>22244</v>
      </c>
      <c r="G356" s="85" t="s">
        <v>21417</v>
      </c>
      <c r="H356" s="62">
        <v>65.0</v>
      </c>
      <c r="I356" s="60"/>
      <c r="J356" s="60"/>
      <c r="K356" s="60"/>
      <c r="L356" s="60"/>
      <c r="M356" s="60"/>
      <c r="N356" s="60"/>
      <c r="O356" s="60"/>
      <c r="P356" s="60"/>
      <c r="Q356" s="60"/>
      <c r="R356" s="60"/>
      <c r="S356" s="60"/>
      <c r="T356" s="60"/>
      <c r="U356" s="60"/>
      <c r="V356" s="60"/>
      <c r="W356" s="60"/>
      <c r="X356" s="60"/>
      <c r="Y356" s="60"/>
      <c r="Z356" s="60"/>
    </row>
    <row r="357" ht="53.25" customHeight="1">
      <c r="A357" s="62">
        <v>2.0</v>
      </c>
      <c r="B357" s="60" t="s">
        <v>35</v>
      </c>
      <c r="C357" s="84" t="s">
        <v>22245</v>
      </c>
      <c r="D357" s="60" t="s">
        <v>19532</v>
      </c>
      <c r="E357" s="60" t="s">
        <v>742</v>
      </c>
      <c r="F357" s="85" t="s">
        <v>22246</v>
      </c>
      <c r="G357" s="85" t="s">
        <v>21418</v>
      </c>
      <c r="H357" s="62">
        <v>65.0</v>
      </c>
      <c r="I357" s="60"/>
      <c r="J357" s="60"/>
      <c r="K357" s="60"/>
      <c r="L357" s="60"/>
      <c r="M357" s="60"/>
      <c r="N357" s="60"/>
      <c r="O357" s="60"/>
      <c r="P357" s="60"/>
      <c r="Q357" s="60"/>
      <c r="R357" s="60"/>
      <c r="S357" s="60"/>
      <c r="T357" s="60"/>
      <c r="U357" s="60"/>
      <c r="V357" s="60"/>
      <c r="W357" s="60"/>
      <c r="X357" s="60"/>
      <c r="Y357" s="60"/>
      <c r="Z357" s="60"/>
    </row>
    <row r="358" ht="53.25" customHeight="1">
      <c r="A358" s="62">
        <v>268.0</v>
      </c>
      <c r="B358" s="60" t="s">
        <v>46</v>
      </c>
      <c r="C358" s="84" t="s">
        <v>22247</v>
      </c>
      <c r="D358" s="60" t="s">
        <v>20154</v>
      </c>
      <c r="E358" s="60" t="s">
        <v>156</v>
      </c>
      <c r="F358" s="85" t="s">
        <v>22248</v>
      </c>
      <c r="G358" s="85" t="s">
        <v>21419</v>
      </c>
      <c r="H358" s="62">
        <v>65.0</v>
      </c>
      <c r="I358" s="60"/>
      <c r="J358" s="60"/>
      <c r="K358" s="60"/>
      <c r="L358" s="60"/>
      <c r="M358" s="60"/>
      <c r="N358" s="60"/>
      <c r="O358" s="60"/>
      <c r="P358" s="60"/>
      <c r="Q358" s="60"/>
      <c r="R358" s="60"/>
      <c r="S358" s="60"/>
      <c r="T358" s="60"/>
      <c r="U358" s="60"/>
      <c r="V358" s="60"/>
      <c r="W358" s="60"/>
      <c r="X358" s="60"/>
      <c r="Y358" s="60"/>
      <c r="Z358" s="60"/>
    </row>
    <row r="359" ht="53.25" customHeight="1">
      <c r="A359" s="62">
        <v>22.0</v>
      </c>
      <c r="B359" s="60" t="s">
        <v>542</v>
      </c>
      <c r="C359" s="84" t="s">
        <v>22249</v>
      </c>
      <c r="D359" s="60" t="s">
        <v>20754</v>
      </c>
      <c r="E359" s="60" t="s">
        <v>19627</v>
      </c>
      <c r="F359" s="85" t="s">
        <v>22250</v>
      </c>
      <c r="G359" s="85" t="s">
        <v>21420</v>
      </c>
      <c r="H359" s="62">
        <v>65.0</v>
      </c>
      <c r="I359" s="60"/>
      <c r="J359" s="60"/>
      <c r="K359" s="60"/>
      <c r="L359" s="60"/>
      <c r="M359" s="60"/>
      <c r="N359" s="60"/>
      <c r="O359" s="60"/>
      <c r="P359" s="60"/>
      <c r="Q359" s="60"/>
      <c r="R359" s="60"/>
      <c r="S359" s="60"/>
      <c r="T359" s="60"/>
      <c r="U359" s="60"/>
      <c r="V359" s="60"/>
      <c r="W359" s="60"/>
      <c r="X359" s="60"/>
      <c r="Y359" s="60"/>
      <c r="Z359" s="60"/>
    </row>
    <row r="360" ht="53.25" customHeight="1">
      <c r="A360" s="62">
        <v>26.0</v>
      </c>
      <c r="B360" s="60" t="s">
        <v>239</v>
      </c>
      <c r="C360" s="84" t="s">
        <v>22251</v>
      </c>
      <c r="D360" s="60" t="s">
        <v>239</v>
      </c>
      <c r="E360" s="60" t="s">
        <v>19699</v>
      </c>
      <c r="F360" s="85" t="s">
        <v>22252</v>
      </c>
      <c r="G360" s="85" t="s">
        <v>21421</v>
      </c>
      <c r="H360" s="62">
        <v>65.0</v>
      </c>
      <c r="I360" s="60"/>
      <c r="J360" s="60"/>
      <c r="K360" s="60"/>
      <c r="L360" s="60"/>
      <c r="M360" s="60"/>
      <c r="N360" s="60"/>
      <c r="O360" s="60"/>
      <c r="P360" s="60"/>
      <c r="Q360" s="60"/>
      <c r="R360" s="60"/>
      <c r="S360" s="60"/>
      <c r="T360" s="60"/>
      <c r="U360" s="60"/>
      <c r="V360" s="60"/>
      <c r="W360" s="60"/>
      <c r="X360" s="60"/>
      <c r="Y360" s="60"/>
      <c r="Z360" s="60"/>
    </row>
    <row r="361" ht="53.25" customHeight="1">
      <c r="A361" s="62">
        <v>30.0</v>
      </c>
      <c r="B361" s="60" t="s">
        <v>243</v>
      </c>
      <c r="C361" s="84" t="s">
        <v>22253</v>
      </c>
      <c r="D361" s="60" t="s">
        <v>19738</v>
      </c>
      <c r="E361" s="60" t="s">
        <v>19739</v>
      </c>
      <c r="F361" s="85" t="s">
        <v>22254</v>
      </c>
      <c r="G361" s="85" t="s">
        <v>21422</v>
      </c>
      <c r="H361" s="62">
        <v>65.0</v>
      </c>
      <c r="I361" s="60"/>
      <c r="J361" s="60"/>
      <c r="K361" s="60"/>
      <c r="L361" s="60"/>
      <c r="M361" s="60"/>
      <c r="N361" s="60"/>
      <c r="O361" s="60"/>
      <c r="P361" s="60"/>
      <c r="Q361" s="60"/>
      <c r="R361" s="60"/>
      <c r="S361" s="60"/>
      <c r="T361" s="60"/>
      <c r="U361" s="60"/>
      <c r="V361" s="60"/>
      <c r="W361" s="60"/>
      <c r="X361" s="60"/>
      <c r="Y361" s="60"/>
      <c r="Z361" s="60"/>
    </row>
    <row r="362" ht="53.25" customHeight="1">
      <c r="A362" s="62">
        <v>38.0</v>
      </c>
      <c r="B362" s="60" t="s">
        <v>419</v>
      </c>
      <c r="C362" s="84" t="s">
        <v>22255</v>
      </c>
      <c r="D362" s="60" t="s">
        <v>19535</v>
      </c>
      <c r="E362" s="60" t="s">
        <v>729</v>
      </c>
      <c r="F362" s="85" t="s">
        <v>22256</v>
      </c>
      <c r="G362" s="85" t="s">
        <v>21423</v>
      </c>
      <c r="H362" s="62">
        <v>65.0</v>
      </c>
      <c r="I362" s="60"/>
      <c r="J362" s="60"/>
      <c r="K362" s="60"/>
      <c r="L362" s="60"/>
      <c r="M362" s="60"/>
      <c r="N362" s="60"/>
      <c r="O362" s="60"/>
      <c r="P362" s="60"/>
      <c r="Q362" s="60"/>
      <c r="R362" s="60"/>
      <c r="S362" s="60"/>
      <c r="T362" s="60"/>
      <c r="U362" s="60"/>
      <c r="V362" s="60"/>
      <c r="W362" s="60"/>
      <c r="X362" s="60"/>
      <c r="Y362" s="60"/>
      <c r="Z362" s="60"/>
    </row>
    <row r="363" ht="53.25" customHeight="1">
      <c r="A363" s="62">
        <v>431.0</v>
      </c>
      <c r="B363" s="60" t="s">
        <v>21424</v>
      </c>
      <c r="C363" s="84" t="s">
        <v>22257</v>
      </c>
      <c r="D363" s="60" t="s">
        <v>22258</v>
      </c>
      <c r="E363" s="60" t="s">
        <v>22259</v>
      </c>
      <c r="F363" s="85" t="s">
        <v>22260</v>
      </c>
      <c r="G363" s="85" t="s">
        <v>21425</v>
      </c>
      <c r="H363" s="62">
        <v>65.0</v>
      </c>
      <c r="I363" s="60"/>
      <c r="J363" s="60"/>
      <c r="K363" s="60"/>
      <c r="L363" s="60"/>
      <c r="M363" s="60"/>
      <c r="N363" s="60"/>
      <c r="O363" s="60"/>
      <c r="P363" s="60"/>
      <c r="Q363" s="60"/>
      <c r="R363" s="60"/>
      <c r="S363" s="60"/>
      <c r="T363" s="60"/>
      <c r="U363" s="60"/>
      <c r="V363" s="60"/>
      <c r="W363" s="60"/>
      <c r="X363" s="60"/>
      <c r="Y363" s="60"/>
      <c r="Z363" s="60"/>
    </row>
    <row r="364" ht="53.25" customHeight="1">
      <c r="A364" s="62">
        <v>250.0</v>
      </c>
      <c r="B364" s="60" t="s">
        <v>21426</v>
      </c>
      <c r="C364" s="84" t="s">
        <v>22261</v>
      </c>
      <c r="D364" s="60" t="s">
        <v>22262</v>
      </c>
      <c r="E364" s="60" t="s">
        <v>20005</v>
      </c>
      <c r="F364" s="85" t="s">
        <v>22263</v>
      </c>
      <c r="G364" s="85" t="s">
        <v>21427</v>
      </c>
      <c r="H364" s="62">
        <v>65.0</v>
      </c>
      <c r="I364" s="60"/>
      <c r="J364" s="60"/>
      <c r="K364" s="60"/>
      <c r="L364" s="60"/>
      <c r="M364" s="60"/>
      <c r="N364" s="60"/>
      <c r="O364" s="60"/>
      <c r="P364" s="60"/>
      <c r="Q364" s="60"/>
      <c r="R364" s="60"/>
      <c r="S364" s="60"/>
      <c r="T364" s="60"/>
      <c r="U364" s="60"/>
      <c r="V364" s="60"/>
      <c r="W364" s="60"/>
      <c r="X364" s="60"/>
      <c r="Y364" s="60"/>
      <c r="Z364" s="60"/>
    </row>
    <row r="365" ht="53.25" customHeight="1">
      <c r="A365" s="62">
        <v>407.0</v>
      </c>
      <c r="B365" s="60" t="s">
        <v>1387</v>
      </c>
      <c r="C365" s="84" t="s">
        <v>22264</v>
      </c>
      <c r="D365" s="60" t="s">
        <v>22265</v>
      </c>
      <c r="E365" s="60" t="s">
        <v>19587</v>
      </c>
      <c r="F365" s="85" t="s">
        <v>22266</v>
      </c>
      <c r="G365" s="85" t="s">
        <v>21428</v>
      </c>
      <c r="H365" s="62">
        <v>65.0</v>
      </c>
      <c r="I365" s="60"/>
      <c r="J365" s="60"/>
      <c r="K365" s="60"/>
      <c r="L365" s="60"/>
      <c r="M365" s="60"/>
      <c r="N365" s="60"/>
      <c r="O365" s="60"/>
      <c r="P365" s="60"/>
      <c r="Q365" s="60"/>
      <c r="R365" s="60"/>
      <c r="S365" s="60"/>
      <c r="T365" s="60"/>
      <c r="U365" s="60"/>
      <c r="V365" s="60"/>
      <c r="W365" s="60"/>
      <c r="X365" s="60"/>
      <c r="Y365" s="60"/>
      <c r="Z365" s="60"/>
    </row>
    <row r="366" ht="53.25" customHeight="1">
      <c r="A366" s="62">
        <v>422.0</v>
      </c>
      <c r="B366" s="60" t="s">
        <v>1470</v>
      </c>
      <c r="C366" s="84" t="s">
        <v>22267</v>
      </c>
      <c r="D366" s="60" t="s">
        <v>19786</v>
      </c>
      <c r="E366" s="60" t="s">
        <v>309</v>
      </c>
      <c r="F366" s="85" t="s">
        <v>22268</v>
      </c>
      <c r="G366" s="85" t="s">
        <v>21429</v>
      </c>
      <c r="H366" s="62">
        <v>65.0</v>
      </c>
      <c r="I366" s="60"/>
      <c r="J366" s="60"/>
      <c r="K366" s="60"/>
      <c r="L366" s="60"/>
      <c r="M366" s="60"/>
      <c r="N366" s="60"/>
      <c r="O366" s="60"/>
      <c r="P366" s="60"/>
      <c r="Q366" s="60"/>
      <c r="R366" s="60"/>
      <c r="S366" s="60"/>
      <c r="T366" s="60"/>
      <c r="U366" s="60"/>
      <c r="V366" s="60"/>
      <c r="W366" s="60"/>
      <c r="X366" s="60"/>
      <c r="Y366" s="60"/>
      <c r="Z366" s="60"/>
    </row>
    <row r="367" ht="53.25" customHeight="1">
      <c r="A367" s="62">
        <v>49.0</v>
      </c>
      <c r="B367" s="60" t="s">
        <v>231</v>
      </c>
      <c r="C367" s="84" t="s">
        <v>22269</v>
      </c>
      <c r="D367" s="60" t="s">
        <v>19985</v>
      </c>
      <c r="E367" s="60" t="s">
        <v>19986</v>
      </c>
      <c r="F367" s="85" t="s">
        <v>22270</v>
      </c>
      <c r="G367" s="85" t="s">
        <v>21430</v>
      </c>
      <c r="H367" s="62">
        <v>65.0</v>
      </c>
      <c r="I367" s="60"/>
      <c r="J367" s="60"/>
      <c r="K367" s="60"/>
      <c r="L367" s="60"/>
      <c r="M367" s="60"/>
      <c r="N367" s="60"/>
      <c r="O367" s="60"/>
      <c r="P367" s="60"/>
      <c r="Q367" s="60"/>
      <c r="R367" s="60"/>
      <c r="S367" s="60"/>
      <c r="T367" s="60"/>
      <c r="U367" s="60"/>
      <c r="V367" s="60"/>
      <c r="W367" s="60"/>
      <c r="X367" s="60"/>
      <c r="Y367" s="60"/>
      <c r="Z367" s="60"/>
    </row>
    <row r="368" ht="53.25" customHeight="1">
      <c r="A368" s="62">
        <v>242.0</v>
      </c>
      <c r="B368" s="60" t="s">
        <v>169</v>
      </c>
      <c r="C368" s="84" t="s">
        <v>22271</v>
      </c>
      <c r="D368" s="60" t="s">
        <v>19672</v>
      </c>
      <c r="E368" s="60" t="s">
        <v>19673</v>
      </c>
      <c r="F368" s="85" t="s">
        <v>22272</v>
      </c>
      <c r="G368" s="85" t="s">
        <v>21431</v>
      </c>
      <c r="H368" s="62">
        <v>65.0</v>
      </c>
      <c r="I368" s="60"/>
      <c r="J368" s="60"/>
      <c r="K368" s="60"/>
      <c r="L368" s="60"/>
      <c r="M368" s="60"/>
      <c r="N368" s="60"/>
      <c r="O368" s="60"/>
      <c r="P368" s="60"/>
      <c r="Q368" s="60"/>
      <c r="R368" s="60"/>
      <c r="S368" s="60"/>
      <c r="T368" s="60"/>
      <c r="U368" s="60"/>
      <c r="V368" s="60"/>
      <c r="W368" s="60"/>
      <c r="X368" s="60"/>
      <c r="Y368" s="60"/>
      <c r="Z368" s="60"/>
    </row>
    <row r="369" ht="53.25" customHeight="1">
      <c r="A369" s="62">
        <v>52.0</v>
      </c>
      <c r="B369" s="60" t="s">
        <v>1427</v>
      </c>
      <c r="C369" s="84" t="s">
        <v>22273</v>
      </c>
      <c r="D369" s="60" t="s">
        <v>20822</v>
      </c>
      <c r="E369" s="60" t="s">
        <v>20823</v>
      </c>
      <c r="F369" s="85" t="s">
        <v>22274</v>
      </c>
      <c r="G369" s="85" t="s">
        <v>21432</v>
      </c>
      <c r="H369" s="62">
        <v>65.0</v>
      </c>
      <c r="I369" s="60"/>
      <c r="J369" s="60"/>
      <c r="K369" s="60"/>
      <c r="L369" s="60"/>
      <c r="M369" s="60"/>
      <c r="N369" s="60"/>
      <c r="O369" s="60"/>
      <c r="P369" s="60"/>
      <c r="Q369" s="60"/>
      <c r="R369" s="60"/>
      <c r="S369" s="60"/>
      <c r="T369" s="60"/>
      <c r="U369" s="60"/>
      <c r="V369" s="60"/>
      <c r="W369" s="60"/>
      <c r="X369" s="60"/>
      <c r="Y369" s="60"/>
      <c r="Z369" s="60"/>
    </row>
    <row r="370" ht="53.25" customHeight="1">
      <c r="A370" s="62">
        <v>240.0</v>
      </c>
      <c r="B370" s="60" t="s">
        <v>1309</v>
      </c>
      <c r="C370" s="84" t="s">
        <v>22275</v>
      </c>
      <c r="D370" s="60" t="s">
        <v>20968</v>
      </c>
      <c r="E370" s="60" t="s">
        <v>19725</v>
      </c>
      <c r="F370" s="85" t="s">
        <v>22276</v>
      </c>
      <c r="G370" s="85" t="s">
        <v>21433</v>
      </c>
      <c r="H370" s="62">
        <v>65.0</v>
      </c>
      <c r="I370" s="60"/>
      <c r="J370" s="60"/>
      <c r="K370" s="60"/>
      <c r="L370" s="60"/>
      <c r="M370" s="60"/>
      <c r="N370" s="60"/>
      <c r="O370" s="60"/>
      <c r="P370" s="60"/>
      <c r="Q370" s="60"/>
      <c r="R370" s="60"/>
      <c r="S370" s="60"/>
      <c r="T370" s="60"/>
      <c r="U370" s="60"/>
      <c r="V370" s="60"/>
      <c r="W370" s="60"/>
      <c r="X370" s="60"/>
      <c r="Y370" s="60"/>
      <c r="Z370" s="60"/>
    </row>
    <row r="371" ht="53.25" customHeight="1">
      <c r="A371" s="62">
        <v>236.0</v>
      </c>
      <c r="B371" s="60" t="s">
        <v>1385</v>
      </c>
      <c r="C371" s="84" t="s">
        <v>22277</v>
      </c>
      <c r="D371" s="60" t="s">
        <v>22278</v>
      </c>
      <c r="E371" s="60" t="s">
        <v>682</v>
      </c>
      <c r="F371" s="85" t="s">
        <v>22279</v>
      </c>
      <c r="G371" s="85" t="s">
        <v>21434</v>
      </c>
      <c r="H371" s="62">
        <v>65.0</v>
      </c>
      <c r="I371" s="60"/>
      <c r="J371" s="60"/>
      <c r="K371" s="60"/>
      <c r="L371" s="60"/>
      <c r="M371" s="60"/>
      <c r="N371" s="60"/>
      <c r="O371" s="60"/>
      <c r="P371" s="60"/>
      <c r="Q371" s="60"/>
      <c r="R371" s="60"/>
      <c r="S371" s="60"/>
      <c r="T371" s="60"/>
      <c r="U371" s="60"/>
      <c r="V371" s="60"/>
      <c r="W371" s="60"/>
      <c r="X371" s="60"/>
      <c r="Y371" s="60"/>
      <c r="Z371" s="60"/>
    </row>
    <row r="372" ht="53.25" customHeight="1">
      <c r="A372" s="62">
        <v>411.0</v>
      </c>
      <c r="B372" s="60" t="s">
        <v>1327</v>
      </c>
      <c r="C372" s="84" t="s">
        <v>22280</v>
      </c>
      <c r="D372" s="60" t="s">
        <v>20168</v>
      </c>
      <c r="E372" s="60" t="s">
        <v>751</v>
      </c>
      <c r="F372" s="85" t="s">
        <v>22281</v>
      </c>
      <c r="G372" s="85" t="s">
        <v>21435</v>
      </c>
      <c r="H372" s="62">
        <v>65.0</v>
      </c>
      <c r="I372" s="60"/>
      <c r="J372" s="60"/>
      <c r="K372" s="60"/>
      <c r="L372" s="60"/>
      <c r="M372" s="60"/>
      <c r="N372" s="60"/>
      <c r="O372" s="60"/>
      <c r="P372" s="60"/>
      <c r="Q372" s="60"/>
      <c r="R372" s="60"/>
      <c r="S372" s="60"/>
      <c r="T372" s="60"/>
      <c r="U372" s="60"/>
      <c r="V372" s="60"/>
      <c r="W372" s="60"/>
      <c r="X372" s="60"/>
      <c r="Y372" s="60"/>
      <c r="Z372" s="60"/>
    </row>
    <row r="373" ht="53.25" customHeight="1">
      <c r="A373" s="62">
        <v>65.0</v>
      </c>
      <c r="B373" s="60" t="s">
        <v>1243</v>
      </c>
      <c r="C373" s="84" t="s">
        <v>22282</v>
      </c>
      <c r="D373" s="60" t="s">
        <v>20890</v>
      </c>
      <c r="E373" s="60" t="s">
        <v>729</v>
      </c>
      <c r="F373" s="85" t="s">
        <v>22283</v>
      </c>
      <c r="G373" s="85" t="s">
        <v>21436</v>
      </c>
      <c r="H373" s="62">
        <v>65.0</v>
      </c>
      <c r="I373" s="60"/>
      <c r="J373" s="60"/>
      <c r="K373" s="60"/>
      <c r="L373" s="60"/>
      <c r="M373" s="60"/>
      <c r="N373" s="60"/>
      <c r="O373" s="60"/>
      <c r="P373" s="60"/>
      <c r="Q373" s="60"/>
      <c r="R373" s="60"/>
      <c r="S373" s="60"/>
      <c r="T373" s="60"/>
      <c r="U373" s="60"/>
      <c r="V373" s="60"/>
      <c r="W373" s="60"/>
      <c r="X373" s="60"/>
      <c r="Y373" s="60"/>
      <c r="Z373" s="60"/>
    </row>
    <row r="374" ht="53.25" customHeight="1">
      <c r="A374" s="62">
        <v>1.0</v>
      </c>
      <c r="B374" s="60" t="s">
        <v>4609</v>
      </c>
      <c r="C374" s="84" t="s">
        <v>22284</v>
      </c>
      <c r="D374" s="60" t="s">
        <v>20926</v>
      </c>
      <c r="E374" s="60" t="s">
        <v>747</v>
      </c>
      <c r="F374" s="85" t="s">
        <v>22285</v>
      </c>
      <c r="G374" s="85" t="s">
        <v>21437</v>
      </c>
      <c r="H374" s="62">
        <v>65.0</v>
      </c>
      <c r="I374" s="60"/>
      <c r="J374" s="60"/>
      <c r="K374" s="60"/>
      <c r="L374" s="60"/>
      <c r="M374" s="60"/>
      <c r="N374" s="60"/>
      <c r="O374" s="60"/>
      <c r="P374" s="60"/>
      <c r="Q374" s="60"/>
      <c r="R374" s="60"/>
      <c r="S374" s="60"/>
      <c r="T374" s="60"/>
      <c r="U374" s="60"/>
      <c r="V374" s="60"/>
      <c r="W374" s="60"/>
      <c r="X374" s="60"/>
      <c r="Y374" s="60"/>
      <c r="Z374" s="60"/>
    </row>
    <row r="375" ht="53.25" customHeight="1">
      <c r="A375" s="62">
        <v>103.0</v>
      </c>
      <c r="B375" s="60" t="s">
        <v>1400</v>
      </c>
      <c r="C375" s="84" t="s">
        <v>22286</v>
      </c>
      <c r="D375" s="60" t="s">
        <v>20402</v>
      </c>
      <c r="E375" s="60" t="s">
        <v>19587</v>
      </c>
      <c r="F375" s="85" t="s">
        <v>22287</v>
      </c>
      <c r="G375" s="85" t="s">
        <v>21438</v>
      </c>
      <c r="H375" s="62">
        <v>65.0</v>
      </c>
      <c r="I375" s="60"/>
      <c r="J375" s="60"/>
      <c r="K375" s="60"/>
      <c r="L375" s="60"/>
      <c r="M375" s="60"/>
      <c r="N375" s="60"/>
      <c r="O375" s="60"/>
      <c r="P375" s="60"/>
      <c r="Q375" s="60"/>
      <c r="R375" s="60"/>
      <c r="S375" s="60"/>
      <c r="T375" s="60"/>
      <c r="U375" s="60"/>
      <c r="V375" s="60"/>
      <c r="W375" s="60"/>
      <c r="X375" s="60"/>
      <c r="Y375" s="60"/>
      <c r="Z375" s="60"/>
    </row>
    <row r="376" ht="53.25" customHeight="1">
      <c r="A376" s="62">
        <v>311.0</v>
      </c>
      <c r="B376" s="60" t="s">
        <v>1596</v>
      </c>
      <c r="C376" s="84" t="s">
        <v>22288</v>
      </c>
      <c r="D376" s="60" t="s">
        <v>19947</v>
      </c>
      <c r="E376" s="60" t="s">
        <v>19948</v>
      </c>
      <c r="F376" s="85" t="s">
        <v>22289</v>
      </c>
      <c r="G376" s="85" t="s">
        <v>21439</v>
      </c>
      <c r="H376" s="62">
        <v>65.0</v>
      </c>
      <c r="I376" s="60"/>
      <c r="J376" s="60"/>
      <c r="K376" s="60"/>
      <c r="L376" s="60"/>
      <c r="M376" s="60"/>
      <c r="N376" s="60"/>
      <c r="O376" s="60"/>
      <c r="P376" s="60"/>
      <c r="Q376" s="60"/>
      <c r="R376" s="60"/>
      <c r="S376" s="60"/>
      <c r="T376" s="60"/>
      <c r="U376" s="60"/>
      <c r="V376" s="60"/>
      <c r="W376" s="60"/>
      <c r="X376" s="60"/>
      <c r="Y376" s="60"/>
      <c r="Z376" s="60"/>
    </row>
    <row r="377" ht="53.25" customHeight="1">
      <c r="A377" s="62">
        <v>125.0</v>
      </c>
      <c r="B377" s="60" t="s">
        <v>1526</v>
      </c>
      <c r="C377" s="84" t="s">
        <v>22290</v>
      </c>
      <c r="D377" s="60" t="s">
        <v>20380</v>
      </c>
      <c r="E377" s="60" t="s">
        <v>19860</v>
      </c>
      <c r="F377" s="85" t="s">
        <v>22291</v>
      </c>
      <c r="G377" s="85" t="s">
        <v>21440</v>
      </c>
      <c r="H377" s="62">
        <v>65.0</v>
      </c>
      <c r="I377" s="60"/>
      <c r="J377" s="60"/>
      <c r="K377" s="60"/>
      <c r="L377" s="60"/>
      <c r="M377" s="60"/>
      <c r="N377" s="60"/>
      <c r="O377" s="60"/>
      <c r="P377" s="60"/>
      <c r="Q377" s="60"/>
      <c r="R377" s="60"/>
      <c r="S377" s="60"/>
      <c r="T377" s="60"/>
      <c r="U377" s="60"/>
      <c r="V377" s="60"/>
      <c r="W377" s="60"/>
      <c r="X377" s="60"/>
      <c r="Y377" s="60"/>
      <c r="Z377" s="60"/>
    </row>
    <row r="378" ht="53.25" customHeight="1">
      <c r="A378" s="62">
        <v>152.0</v>
      </c>
      <c r="B378" s="60" t="s">
        <v>4970</v>
      </c>
      <c r="C378" s="84" t="s">
        <v>22292</v>
      </c>
      <c r="D378" s="60" t="s">
        <v>20648</v>
      </c>
      <c r="E378" s="60" t="s">
        <v>719</v>
      </c>
      <c r="F378" s="85" t="s">
        <v>22293</v>
      </c>
      <c r="G378" s="85" t="s">
        <v>21441</v>
      </c>
      <c r="H378" s="62">
        <v>65.0</v>
      </c>
      <c r="I378" s="60"/>
      <c r="J378" s="60"/>
      <c r="K378" s="60"/>
      <c r="L378" s="60"/>
      <c r="M378" s="60"/>
      <c r="N378" s="60"/>
      <c r="O378" s="60"/>
      <c r="P378" s="60"/>
      <c r="Q378" s="60"/>
      <c r="R378" s="60"/>
      <c r="S378" s="60"/>
      <c r="T378" s="60"/>
      <c r="U378" s="60"/>
      <c r="V378" s="60"/>
      <c r="W378" s="60"/>
      <c r="X378" s="60"/>
      <c r="Y378" s="60"/>
      <c r="Z378" s="60"/>
    </row>
    <row r="379" ht="53.25" customHeight="1">
      <c r="A379" s="62">
        <v>347.0</v>
      </c>
      <c r="B379" s="60" t="s">
        <v>3047</v>
      </c>
      <c r="C379" s="84" t="s">
        <v>22294</v>
      </c>
      <c r="D379" s="60" t="s">
        <v>22295</v>
      </c>
      <c r="E379" s="60" t="s">
        <v>19699</v>
      </c>
      <c r="F379" s="85" t="s">
        <v>22296</v>
      </c>
      <c r="G379" s="85" t="s">
        <v>21442</v>
      </c>
      <c r="H379" s="62">
        <v>65.0</v>
      </c>
      <c r="I379" s="60"/>
      <c r="J379" s="60"/>
      <c r="K379" s="60"/>
      <c r="L379" s="60"/>
      <c r="M379" s="60"/>
      <c r="N379" s="60"/>
      <c r="O379" s="60"/>
      <c r="P379" s="60"/>
      <c r="Q379" s="60"/>
      <c r="R379" s="60"/>
      <c r="S379" s="60"/>
      <c r="T379" s="60"/>
      <c r="U379" s="60"/>
      <c r="V379" s="60"/>
      <c r="W379" s="60"/>
      <c r="X379" s="60"/>
      <c r="Y379" s="60"/>
      <c r="Z379" s="60"/>
    </row>
    <row r="380" ht="53.25" customHeight="1">
      <c r="A380" s="62">
        <v>348.0</v>
      </c>
      <c r="B380" s="60" t="s">
        <v>277</v>
      </c>
      <c r="C380" s="84" t="s">
        <v>22297</v>
      </c>
      <c r="D380" s="60" t="s">
        <v>20953</v>
      </c>
      <c r="E380" s="60" t="s">
        <v>19572</v>
      </c>
      <c r="F380" s="85" t="s">
        <v>22298</v>
      </c>
      <c r="G380" s="85" t="s">
        <v>21443</v>
      </c>
      <c r="H380" s="62">
        <v>65.0</v>
      </c>
      <c r="I380" s="60"/>
      <c r="J380" s="60"/>
      <c r="K380" s="60"/>
      <c r="L380" s="60"/>
      <c r="M380" s="60"/>
      <c r="N380" s="60"/>
      <c r="O380" s="60"/>
      <c r="P380" s="60"/>
      <c r="Q380" s="60"/>
      <c r="R380" s="60"/>
      <c r="S380" s="60"/>
      <c r="T380" s="60"/>
      <c r="U380" s="60"/>
      <c r="V380" s="60"/>
      <c r="W380" s="60"/>
      <c r="X380" s="60"/>
      <c r="Y380" s="60"/>
      <c r="Z380" s="60"/>
    </row>
    <row r="381" ht="53.25" customHeight="1">
      <c r="A381" s="62">
        <v>308.0</v>
      </c>
      <c r="B381" s="60" t="s">
        <v>1343</v>
      </c>
      <c r="C381" s="84" t="s">
        <v>22299</v>
      </c>
      <c r="D381" s="60" t="s">
        <v>22300</v>
      </c>
      <c r="E381" s="60" t="s">
        <v>22301</v>
      </c>
      <c r="F381" s="85" t="s">
        <v>22302</v>
      </c>
      <c r="G381" s="85" t="s">
        <v>21444</v>
      </c>
      <c r="H381" s="62">
        <v>65.0</v>
      </c>
      <c r="I381" s="60"/>
      <c r="J381" s="60"/>
      <c r="K381" s="60"/>
      <c r="L381" s="60"/>
      <c r="M381" s="60"/>
      <c r="N381" s="60"/>
      <c r="O381" s="60"/>
      <c r="P381" s="60"/>
      <c r="Q381" s="60"/>
      <c r="R381" s="60"/>
      <c r="S381" s="60"/>
      <c r="T381" s="60"/>
      <c r="U381" s="60"/>
      <c r="V381" s="60"/>
      <c r="W381" s="60"/>
      <c r="X381" s="60"/>
      <c r="Y381" s="60"/>
      <c r="Z381" s="60"/>
    </row>
    <row r="382" ht="53.25" customHeight="1">
      <c r="A382" s="62">
        <v>148.0</v>
      </c>
      <c r="B382" s="60" t="s">
        <v>1204</v>
      </c>
      <c r="C382" s="84" t="s">
        <v>22303</v>
      </c>
      <c r="D382" s="60" t="s">
        <v>19863</v>
      </c>
      <c r="E382" s="60" t="s">
        <v>19587</v>
      </c>
      <c r="F382" s="85" t="s">
        <v>22304</v>
      </c>
      <c r="G382" s="85" t="s">
        <v>21445</v>
      </c>
      <c r="H382" s="62">
        <v>65.0</v>
      </c>
      <c r="I382" s="60"/>
      <c r="J382" s="60"/>
      <c r="K382" s="60"/>
      <c r="L382" s="60"/>
      <c r="M382" s="60"/>
      <c r="N382" s="60"/>
      <c r="O382" s="60"/>
      <c r="P382" s="60"/>
      <c r="Q382" s="60"/>
      <c r="R382" s="60"/>
      <c r="S382" s="60"/>
      <c r="T382" s="60"/>
      <c r="U382" s="60"/>
      <c r="V382" s="60"/>
      <c r="W382" s="60"/>
      <c r="X382" s="60"/>
      <c r="Y382" s="60"/>
      <c r="Z382" s="60"/>
    </row>
    <row r="383" ht="53.25" customHeight="1">
      <c r="A383" s="62">
        <v>309.0</v>
      </c>
      <c r="B383" s="60" t="s">
        <v>1145</v>
      </c>
      <c r="C383" s="84" t="s">
        <v>22305</v>
      </c>
      <c r="D383" s="60" t="s">
        <v>20232</v>
      </c>
      <c r="E383" s="60" t="s">
        <v>19699</v>
      </c>
      <c r="F383" s="85" t="s">
        <v>22306</v>
      </c>
      <c r="G383" s="85" t="s">
        <v>21446</v>
      </c>
      <c r="H383" s="62">
        <v>65.0</v>
      </c>
      <c r="I383" s="60"/>
      <c r="J383" s="60"/>
      <c r="K383" s="60"/>
      <c r="L383" s="60"/>
      <c r="M383" s="60"/>
      <c r="N383" s="60"/>
      <c r="O383" s="60"/>
      <c r="P383" s="60"/>
      <c r="Q383" s="60"/>
      <c r="R383" s="60"/>
      <c r="S383" s="60"/>
      <c r="T383" s="60"/>
      <c r="U383" s="60"/>
      <c r="V383" s="60"/>
      <c r="W383" s="60"/>
      <c r="X383" s="60"/>
      <c r="Y383" s="60"/>
      <c r="Z383" s="60"/>
    </row>
    <row r="384" ht="53.25" customHeight="1">
      <c r="A384" s="62">
        <v>162.0</v>
      </c>
      <c r="B384" s="60" t="s">
        <v>1543</v>
      </c>
      <c r="C384" s="84" t="s">
        <v>22307</v>
      </c>
      <c r="D384" s="60" t="s">
        <v>20223</v>
      </c>
      <c r="E384" s="60" t="s">
        <v>159</v>
      </c>
      <c r="F384" s="85" t="s">
        <v>22308</v>
      </c>
      <c r="G384" s="85" t="s">
        <v>21447</v>
      </c>
      <c r="H384" s="62">
        <v>65.0</v>
      </c>
      <c r="I384" s="60"/>
      <c r="J384" s="60"/>
      <c r="K384" s="60"/>
      <c r="L384" s="60"/>
      <c r="M384" s="60"/>
      <c r="N384" s="60"/>
      <c r="O384" s="60"/>
      <c r="P384" s="60"/>
      <c r="Q384" s="60"/>
      <c r="R384" s="60"/>
      <c r="S384" s="60"/>
      <c r="T384" s="60"/>
      <c r="U384" s="60"/>
      <c r="V384" s="60"/>
      <c r="W384" s="60"/>
      <c r="X384" s="60"/>
      <c r="Y384" s="60"/>
      <c r="Z384" s="60"/>
    </row>
    <row r="385" ht="53.25" customHeight="1">
      <c r="A385" s="62">
        <v>207.0</v>
      </c>
      <c r="B385" s="60" t="s">
        <v>1555</v>
      </c>
      <c r="C385" s="84" t="s">
        <v>22309</v>
      </c>
      <c r="D385" s="60" t="s">
        <v>20584</v>
      </c>
      <c r="E385" s="60" t="s">
        <v>634</v>
      </c>
      <c r="F385" s="85" t="s">
        <v>22310</v>
      </c>
      <c r="G385" s="85" t="s">
        <v>21448</v>
      </c>
      <c r="H385" s="62">
        <v>65.0</v>
      </c>
      <c r="I385" s="60"/>
      <c r="J385" s="60"/>
      <c r="K385" s="60"/>
      <c r="L385" s="60"/>
      <c r="M385" s="60"/>
      <c r="N385" s="60"/>
      <c r="O385" s="60"/>
      <c r="P385" s="60"/>
      <c r="Q385" s="60"/>
      <c r="R385" s="60"/>
      <c r="S385" s="60"/>
      <c r="T385" s="60"/>
      <c r="U385" s="60"/>
      <c r="V385" s="60"/>
      <c r="W385" s="60"/>
      <c r="X385" s="60"/>
      <c r="Y385" s="60"/>
      <c r="Z385" s="60"/>
    </row>
    <row r="386" ht="53.25" customHeight="1">
      <c r="A386" s="62">
        <v>213.0</v>
      </c>
      <c r="B386" s="60" t="s">
        <v>1421</v>
      </c>
      <c r="C386" s="84" t="s">
        <v>22311</v>
      </c>
      <c r="D386" s="60" t="s">
        <v>20263</v>
      </c>
      <c r="E386" s="60" t="s">
        <v>19699</v>
      </c>
      <c r="F386" s="85" t="s">
        <v>22312</v>
      </c>
      <c r="G386" s="85" t="s">
        <v>21449</v>
      </c>
      <c r="H386" s="62">
        <v>65.0</v>
      </c>
      <c r="I386" s="60"/>
      <c r="J386" s="60"/>
      <c r="K386" s="60"/>
      <c r="L386" s="60"/>
      <c r="M386" s="60"/>
      <c r="N386" s="60"/>
      <c r="O386" s="60"/>
      <c r="P386" s="60"/>
      <c r="Q386" s="60"/>
      <c r="R386" s="60"/>
      <c r="S386" s="60"/>
      <c r="T386" s="60"/>
      <c r="U386" s="60"/>
      <c r="V386" s="60"/>
      <c r="W386" s="60"/>
      <c r="X386" s="60"/>
      <c r="Y386" s="60"/>
      <c r="Z386" s="60"/>
    </row>
    <row r="387" ht="53.25" customHeight="1">
      <c r="A387" s="62">
        <v>215.0</v>
      </c>
      <c r="B387" s="60" t="s">
        <v>1558</v>
      </c>
      <c r="C387" s="84" t="s">
        <v>22313</v>
      </c>
      <c r="D387" s="60" t="s">
        <v>20829</v>
      </c>
      <c r="E387" s="60" t="s">
        <v>20830</v>
      </c>
      <c r="F387" s="85" t="s">
        <v>22314</v>
      </c>
      <c r="G387" s="85" t="s">
        <v>21450</v>
      </c>
      <c r="H387" s="62">
        <v>65.0</v>
      </c>
      <c r="I387" s="60"/>
      <c r="J387" s="60"/>
      <c r="K387" s="60"/>
      <c r="L387" s="60"/>
      <c r="M387" s="60"/>
      <c r="N387" s="60"/>
      <c r="O387" s="60"/>
      <c r="P387" s="60"/>
      <c r="Q387" s="60"/>
      <c r="R387" s="60"/>
      <c r="S387" s="60"/>
      <c r="T387" s="60"/>
      <c r="U387" s="60"/>
      <c r="V387" s="60"/>
      <c r="W387" s="60"/>
      <c r="X387" s="60"/>
      <c r="Y387" s="60"/>
      <c r="Z387" s="60"/>
    </row>
    <row r="388" ht="53.25" customHeight="1">
      <c r="A388" s="62">
        <v>166.0</v>
      </c>
      <c r="B388" s="60" t="s">
        <v>995</v>
      </c>
      <c r="C388" s="84" t="s">
        <v>22315</v>
      </c>
      <c r="D388" s="60" t="s">
        <v>20798</v>
      </c>
      <c r="E388" s="60" t="s">
        <v>19641</v>
      </c>
      <c r="F388" s="85" t="s">
        <v>22316</v>
      </c>
      <c r="G388" s="85" t="s">
        <v>21451</v>
      </c>
      <c r="H388" s="62">
        <v>65.0</v>
      </c>
      <c r="I388" s="60"/>
      <c r="J388" s="60"/>
      <c r="K388" s="60"/>
      <c r="L388" s="60"/>
      <c r="M388" s="60"/>
      <c r="N388" s="60"/>
      <c r="O388" s="60"/>
      <c r="P388" s="60"/>
      <c r="Q388" s="60"/>
      <c r="R388" s="60"/>
      <c r="S388" s="60"/>
      <c r="T388" s="60"/>
      <c r="U388" s="60"/>
      <c r="V388" s="60"/>
      <c r="W388" s="60"/>
      <c r="X388" s="60"/>
      <c r="Y388" s="60"/>
      <c r="Z388" s="60"/>
    </row>
    <row r="389" ht="53.25" customHeight="1">
      <c r="A389" s="62">
        <v>216.0</v>
      </c>
      <c r="B389" s="60" t="s">
        <v>1398</v>
      </c>
      <c r="C389" s="84" t="s">
        <v>22317</v>
      </c>
      <c r="D389" s="60" t="s">
        <v>20269</v>
      </c>
      <c r="E389" s="60" t="s">
        <v>20184</v>
      </c>
      <c r="F389" s="85" t="s">
        <v>22318</v>
      </c>
      <c r="G389" s="85" t="s">
        <v>21452</v>
      </c>
      <c r="H389" s="62">
        <v>65.0</v>
      </c>
      <c r="I389" s="60"/>
      <c r="J389" s="60"/>
      <c r="K389" s="60"/>
      <c r="L389" s="60"/>
      <c r="M389" s="60"/>
      <c r="N389" s="60"/>
      <c r="O389" s="60"/>
      <c r="P389" s="60"/>
      <c r="Q389" s="60"/>
      <c r="R389" s="60"/>
      <c r="S389" s="60"/>
      <c r="T389" s="60"/>
      <c r="U389" s="60"/>
      <c r="V389" s="60"/>
      <c r="W389" s="60"/>
      <c r="X389" s="60"/>
      <c r="Y389" s="60"/>
      <c r="Z389" s="60"/>
    </row>
    <row r="390" ht="53.25" customHeight="1">
      <c r="A390" s="62">
        <v>359.0</v>
      </c>
      <c r="B390" s="60" t="s">
        <v>777</v>
      </c>
      <c r="C390" s="84" t="s">
        <v>22319</v>
      </c>
      <c r="D390" s="60" t="s">
        <v>20617</v>
      </c>
      <c r="E390" s="60" t="s">
        <v>634</v>
      </c>
      <c r="F390" s="85" t="s">
        <v>22320</v>
      </c>
      <c r="G390" s="85" t="s">
        <v>21453</v>
      </c>
      <c r="H390" s="62">
        <v>65.0</v>
      </c>
      <c r="I390" s="60"/>
      <c r="J390" s="60"/>
      <c r="K390" s="60"/>
      <c r="L390" s="60"/>
      <c r="M390" s="60"/>
      <c r="N390" s="60"/>
      <c r="O390" s="60"/>
      <c r="P390" s="60"/>
      <c r="Q390" s="60"/>
      <c r="R390" s="60"/>
      <c r="S390" s="60"/>
      <c r="T390" s="60"/>
      <c r="U390" s="60"/>
      <c r="V390" s="60"/>
      <c r="W390" s="60"/>
      <c r="X390" s="60"/>
      <c r="Y390" s="60"/>
      <c r="Z390" s="60"/>
    </row>
    <row r="391" ht="53.25" customHeight="1">
      <c r="A391" s="62">
        <v>155.0</v>
      </c>
      <c r="B391" s="60" t="s">
        <v>1537</v>
      </c>
      <c r="C391" s="84" t="s">
        <v>22321</v>
      </c>
      <c r="D391" s="60" t="s">
        <v>19571</v>
      </c>
      <c r="E391" s="60" t="s">
        <v>19572</v>
      </c>
      <c r="F391" s="85" t="s">
        <v>22322</v>
      </c>
      <c r="G391" s="85" t="s">
        <v>21454</v>
      </c>
      <c r="H391" s="62">
        <v>65.0</v>
      </c>
      <c r="I391" s="60"/>
      <c r="J391" s="60"/>
      <c r="K391" s="60"/>
      <c r="L391" s="60"/>
      <c r="M391" s="60"/>
      <c r="N391" s="60"/>
      <c r="O391" s="60"/>
      <c r="P391" s="60"/>
      <c r="Q391" s="60"/>
      <c r="R391" s="60"/>
      <c r="S391" s="60"/>
      <c r="T391" s="60"/>
      <c r="U391" s="60"/>
      <c r="V391" s="60"/>
      <c r="W391" s="60"/>
      <c r="X391" s="60"/>
      <c r="Y391" s="60"/>
      <c r="Z391" s="60"/>
    </row>
    <row r="392" ht="53.25" customHeight="1">
      <c r="A392" s="62">
        <v>307.0</v>
      </c>
      <c r="B392" s="60" t="s">
        <v>1331</v>
      </c>
      <c r="C392" s="84" t="s">
        <v>22299</v>
      </c>
      <c r="D392" s="60" t="s">
        <v>22323</v>
      </c>
      <c r="E392" s="60" t="s">
        <v>22301</v>
      </c>
      <c r="F392" s="85" t="s">
        <v>22324</v>
      </c>
      <c r="G392" s="85" t="s">
        <v>21455</v>
      </c>
      <c r="H392" s="62">
        <v>65.0</v>
      </c>
      <c r="I392" s="60"/>
      <c r="J392" s="60"/>
      <c r="K392" s="60"/>
      <c r="L392" s="60"/>
      <c r="M392" s="60"/>
      <c r="N392" s="60"/>
      <c r="O392" s="60"/>
      <c r="P392" s="60"/>
      <c r="Q392" s="60"/>
      <c r="R392" s="60"/>
      <c r="S392" s="60"/>
      <c r="T392" s="60"/>
      <c r="U392" s="60"/>
      <c r="V392" s="60"/>
      <c r="W392" s="60"/>
      <c r="X392" s="60"/>
      <c r="Y392" s="60"/>
      <c r="Z392" s="60"/>
    </row>
    <row r="393" ht="53.25" customHeight="1">
      <c r="A393" s="62">
        <v>362.0</v>
      </c>
      <c r="B393" s="60" t="s">
        <v>888</v>
      </c>
      <c r="C393" s="84" t="s">
        <v>22325</v>
      </c>
      <c r="D393" s="60" t="s">
        <v>20136</v>
      </c>
      <c r="E393" s="60" t="s">
        <v>19543</v>
      </c>
      <c r="F393" s="85" t="s">
        <v>22326</v>
      </c>
      <c r="G393" s="85" t="s">
        <v>21456</v>
      </c>
      <c r="H393" s="62">
        <v>65.0</v>
      </c>
      <c r="I393" s="60"/>
      <c r="J393" s="60"/>
      <c r="K393" s="60"/>
      <c r="L393" s="60"/>
      <c r="M393" s="60"/>
      <c r="N393" s="60"/>
      <c r="O393" s="60"/>
      <c r="P393" s="60"/>
      <c r="Q393" s="60"/>
      <c r="R393" s="60"/>
      <c r="S393" s="60"/>
      <c r="T393" s="60"/>
      <c r="U393" s="60"/>
      <c r="V393" s="60"/>
      <c r="W393" s="60"/>
      <c r="X393" s="60"/>
      <c r="Y393" s="60"/>
      <c r="Z393" s="60"/>
    </row>
    <row r="394" ht="53.25" customHeight="1">
      <c r="A394" s="62">
        <v>180.0</v>
      </c>
      <c r="B394" s="60" t="s">
        <v>1287</v>
      </c>
      <c r="C394" s="84" t="s">
        <v>22327</v>
      </c>
      <c r="D394" s="60" t="s">
        <v>20208</v>
      </c>
      <c r="E394" s="60" t="s">
        <v>19881</v>
      </c>
      <c r="F394" s="85" t="s">
        <v>22328</v>
      </c>
      <c r="G394" s="85" t="s">
        <v>21457</v>
      </c>
      <c r="H394" s="62">
        <v>65.0</v>
      </c>
      <c r="I394" s="60"/>
      <c r="J394" s="60"/>
      <c r="K394" s="60"/>
      <c r="L394" s="60"/>
      <c r="M394" s="60"/>
      <c r="N394" s="60"/>
      <c r="O394" s="60"/>
      <c r="P394" s="60"/>
      <c r="Q394" s="60"/>
      <c r="R394" s="60"/>
      <c r="S394" s="60"/>
      <c r="T394" s="60"/>
      <c r="U394" s="60"/>
      <c r="V394" s="60"/>
      <c r="W394" s="60"/>
      <c r="X394" s="60"/>
      <c r="Y394" s="60"/>
      <c r="Z394" s="60"/>
    </row>
    <row r="395" ht="53.25" customHeight="1">
      <c r="A395" s="62">
        <v>119.0</v>
      </c>
      <c r="B395" s="60" t="s">
        <v>949</v>
      </c>
      <c r="C395" s="84" t="s">
        <v>22329</v>
      </c>
      <c r="D395" s="60" t="s">
        <v>20914</v>
      </c>
      <c r="E395" s="60" t="s">
        <v>668</v>
      </c>
      <c r="F395" s="85" t="s">
        <v>22330</v>
      </c>
      <c r="G395" s="85" t="s">
        <v>21458</v>
      </c>
      <c r="H395" s="62">
        <v>65.0</v>
      </c>
      <c r="I395" s="60"/>
      <c r="J395" s="60"/>
      <c r="K395" s="60"/>
      <c r="L395" s="60"/>
      <c r="M395" s="60"/>
      <c r="N395" s="60"/>
      <c r="O395" s="60"/>
      <c r="P395" s="60"/>
      <c r="Q395" s="60"/>
      <c r="R395" s="60"/>
      <c r="S395" s="60"/>
      <c r="T395" s="60"/>
      <c r="U395" s="60"/>
      <c r="V395" s="60"/>
      <c r="W395" s="60"/>
      <c r="X395" s="60"/>
      <c r="Y395" s="60"/>
      <c r="Z395" s="60"/>
    </row>
    <row r="396" ht="53.25" customHeight="1">
      <c r="A396" s="62">
        <v>297.0</v>
      </c>
      <c r="B396" s="60" t="s">
        <v>1141</v>
      </c>
      <c r="C396" s="84" t="s">
        <v>22331</v>
      </c>
      <c r="D396" s="60" t="s">
        <v>20633</v>
      </c>
      <c r="E396" s="60" t="s">
        <v>19899</v>
      </c>
      <c r="F396" s="85" t="s">
        <v>22332</v>
      </c>
      <c r="G396" s="85" t="s">
        <v>21459</v>
      </c>
      <c r="H396" s="62">
        <v>65.0</v>
      </c>
      <c r="I396" s="60"/>
      <c r="J396" s="60"/>
      <c r="K396" s="60"/>
      <c r="L396" s="60"/>
      <c r="M396" s="60"/>
      <c r="N396" s="60"/>
      <c r="O396" s="60"/>
      <c r="P396" s="60"/>
      <c r="Q396" s="60"/>
      <c r="R396" s="60"/>
      <c r="S396" s="60"/>
      <c r="T396" s="60"/>
      <c r="U396" s="60"/>
      <c r="V396" s="60"/>
      <c r="W396" s="60"/>
      <c r="X396" s="60"/>
      <c r="Y396" s="60"/>
      <c r="Z396" s="60"/>
    </row>
    <row r="397" ht="53.25" customHeight="1">
      <c r="A397" s="62">
        <v>124.0</v>
      </c>
      <c r="B397" s="60" t="s">
        <v>1200</v>
      </c>
      <c r="C397" s="84" t="s">
        <v>22333</v>
      </c>
      <c r="D397" s="60" t="s">
        <v>20377</v>
      </c>
      <c r="E397" s="60" t="s">
        <v>19551</v>
      </c>
      <c r="F397" s="85" t="s">
        <v>22334</v>
      </c>
      <c r="G397" s="85" t="s">
        <v>21460</v>
      </c>
      <c r="H397" s="62">
        <v>65.0</v>
      </c>
      <c r="I397" s="60"/>
      <c r="J397" s="60"/>
      <c r="K397" s="60"/>
      <c r="L397" s="60"/>
      <c r="M397" s="60"/>
      <c r="N397" s="60"/>
      <c r="O397" s="60"/>
      <c r="P397" s="60"/>
      <c r="Q397" s="60"/>
      <c r="R397" s="60"/>
      <c r="S397" s="60"/>
      <c r="T397" s="60"/>
      <c r="U397" s="60"/>
      <c r="V397" s="60"/>
      <c r="W397" s="60"/>
      <c r="X397" s="60"/>
      <c r="Y397" s="60"/>
      <c r="Z397" s="60"/>
    </row>
    <row r="398" ht="53.25" customHeight="1">
      <c r="A398" s="62">
        <v>325.0</v>
      </c>
      <c r="B398" s="60" t="s">
        <v>19411</v>
      </c>
      <c r="C398" s="84" t="s">
        <v>22335</v>
      </c>
      <c r="D398" s="60" t="s">
        <v>20663</v>
      </c>
      <c r="E398" s="60" t="s">
        <v>636</v>
      </c>
      <c r="F398" s="85" t="s">
        <v>22336</v>
      </c>
      <c r="G398" s="85" t="s">
        <v>21461</v>
      </c>
      <c r="H398" s="62">
        <v>65.0</v>
      </c>
      <c r="I398" s="60"/>
      <c r="J398" s="60"/>
      <c r="K398" s="60"/>
      <c r="L398" s="60"/>
      <c r="M398" s="60"/>
      <c r="N398" s="60"/>
      <c r="O398" s="60"/>
      <c r="P398" s="60"/>
      <c r="Q398" s="60"/>
      <c r="R398" s="60"/>
      <c r="S398" s="60"/>
      <c r="T398" s="60"/>
      <c r="U398" s="60"/>
      <c r="V398" s="60"/>
      <c r="W398" s="60"/>
      <c r="X398" s="60"/>
      <c r="Y398" s="60"/>
      <c r="Z398" s="60"/>
    </row>
    <row r="399" ht="53.25" customHeight="1">
      <c r="A399" s="62">
        <v>324.0</v>
      </c>
      <c r="B399" s="60" t="s">
        <v>609</v>
      </c>
      <c r="C399" s="84" t="s">
        <v>22337</v>
      </c>
      <c r="D399" s="60" t="s">
        <v>20775</v>
      </c>
      <c r="E399" s="60" t="s">
        <v>656</v>
      </c>
      <c r="F399" s="85" t="s">
        <v>22338</v>
      </c>
      <c r="G399" s="85" t="s">
        <v>21462</v>
      </c>
      <c r="H399" s="62">
        <v>65.0</v>
      </c>
      <c r="I399" s="60"/>
      <c r="J399" s="60"/>
      <c r="K399" s="60"/>
      <c r="L399" s="60"/>
      <c r="M399" s="60"/>
      <c r="N399" s="60"/>
      <c r="O399" s="60"/>
      <c r="P399" s="60"/>
      <c r="Q399" s="60"/>
      <c r="R399" s="60"/>
      <c r="S399" s="60"/>
      <c r="T399" s="60"/>
      <c r="U399" s="60"/>
      <c r="V399" s="60"/>
      <c r="W399" s="60"/>
      <c r="X399" s="60"/>
      <c r="Y399" s="60"/>
      <c r="Z399" s="60"/>
    </row>
    <row r="400" ht="53.25" customHeight="1">
      <c r="A400" s="62">
        <v>363.0</v>
      </c>
      <c r="B400" s="60" t="s">
        <v>19238</v>
      </c>
      <c r="C400" s="84" t="s">
        <v>22339</v>
      </c>
      <c r="D400" s="60" t="s">
        <v>20139</v>
      </c>
      <c r="E400" s="60" t="s">
        <v>20016</v>
      </c>
      <c r="F400" s="85" t="s">
        <v>22340</v>
      </c>
      <c r="G400" s="85" t="s">
        <v>21463</v>
      </c>
      <c r="H400" s="62">
        <v>65.0</v>
      </c>
      <c r="I400" s="60"/>
      <c r="J400" s="60"/>
      <c r="K400" s="60"/>
      <c r="L400" s="60"/>
      <c r="M400" s="60"/>
      <c r="N400" s="60"/>
      <c r="O400" s="60"/>
      <c r="P400" s="60"/>
      <c r="Q400" s="60"/>
      <c r="R400" s="60"/>
      <c r="S400" s="60"/>
      <c r="T400" s="60"/>
      <c r="U400" s="60"/>
      <c r="V400" s="60"/>
      <c r="W400" s="60"/>
      <c r="X400" s="60"/>
      <c r="Y400" s="60"/>
      <c r="Z400" s="60"/>
    </row>
    <row r="401" ht="53.25" customHeight="1">
      <c r="A401" s="62">
        <v>330.0</v>
      </c>
      <c r="B401" s="60" t="s">
        <v>141</v>
      </c>
      <c r="C401" s="84" t="s">
        <v>22341</v>
      </c>
      <c r="D401" s="60" t="s">
        <v>20199</v>
      </c>
      <c r="E401" s="60" t="s">
        <v>19627</v>
      </c>
      <c r="F401" s="85" t="s">
        <v>22342</v>
      </c>
      <c r="G401" s="85" t="s">
        <v>21464</v>
      </c>
      <c r="H401" s="62">
        <v>65.0</v>
      </c>
      <c r="I401" s="60"/>
      <c r="J401" s="60"/>
      <c r="K401" s="60"/>
      <c r="L401" s="60"/>
      <c r="M401" s="60"/>
      <c r="N401" s="60"/>
      <c r="O401" s="60"/>
      <c r="P401" s="60"/>
      <c r="Q401" s="60"/>
      <c r="R401" s="60"/>
      <c r="S401" s="60"/>
      <c r="T401" s="60"/>
      <c r="U401" s="60"/>
      <c r="V401" s="60"/>
      <c r="W401" s="60"/>
      <c r="X401" s="60"/>
      <c r="Y401" s="60"/>
      <c r="Z401" s="60"/>
    </row>
    <row r="402" ht="53.25" customHeight="1">
      <c r="A402" s="62">
        <v>204.0</v>
      </c>
      <c r="B402" s="60" t="s">
        <v>1293</v>
      </c>
      <c r="C402" s="84" t="s">
        <v>22343</v>
      </c>
      <c r="D402" s="60" t="s">
        <v>22344</v>
      </c>
      <c r="E402" s="60" t="s">
        <v>670</v>
      </c>
      <c r="F402" s="85" t="s">
        <v>22345</v>
      </c>
      <c r="G402" s="85" t="s">
        <v>21465</v>
      </c>
      <c r="H402" s="62">
        <v>65.0</v>
      </c>
      <c r="I402" s="60"/>
      <c r="J402" s="60"/>
      <c r="K402" s="60"/>
      <c r="L402" s="60"/>
      <c r="M402" s="60"/>
      <c r="N402" s="60"/>
      <c r="O402" s="60"/>
      <c r="P402" s="60"/>
      <c r="Q402" s="60"/>
      <c r="R402" s="60"/>
      <c r="S402" s="60"/>
      <c r="T402" s="60"/>
      <c r="U402" s="60"/>
      <c r="V402" s="60"/>
      <c r="W402" s="60"/>
      <c r="X402" s="60"/>
      <c r="Y402" s="60"/>
      <c r="Z402" s="60"/>
    </row>
    <row r="403" ht="53.25" customHeight="1">
      <c r="A403" s="62">
        <v>332.0</v>
      </c>
      <c r="B403" s="60" t="s">
        <v>142</v>
      </c>
      <c r="C403" s="84" t="s">
        <v>22346</v>
      </c>
      <c r="D403" s="60" t="s">
        <v>20778</v>
      </c>
      <c r="E403" s="60" t="s">
        <v>19941</v>
      </c>
      <c r="F403" s="85" t="s">
        <v>22347</v>
      </c>
      <c r="G403" s="85" t="s">
        <v>21466</v>
      </c>
      <c r="H403" s="62">
        <v>65.0</v>
      </c>
      <c r="I403" s="60"/>
      <c r="J403" s="60"/>
      <c r="K403" s="60"/>
      <c r="L403" s="60"/>
      <c r="M403" s="60"/>
      <c r="N403" s="60"/>
      <c r="O403" s="60"/>
      <c r="P403" s="60"/>
      <c r="Q403" s="60"/>
      <c r="R403" s="60"/>
      <c r="S403" s="60"/>
      <c r="T403" s="60"/>
      <c r="U403" s="60"/>
      <c r="V403" s="60"/>
      <c r="W403" s="60"/>
      <c r="X403" s="60"/>
      <c r="Y403" s="60"/>
      <c r="Z403" s="60"/>
    </row>
    <row r="404" ht="53.25" customHeight="1">
      <c r="A404" s="62">
        <v>426.0</v>
      </c>
      <c r="B404" s="60" t="s">
        <v>1291</v>
      </c>
      <c r="C404" s="84" t="s">
        <v>22348</v>
      </c>
      <c r="D404" s="60" t="s">
        <v>20862</v>
      </c>
      <c r="E404" s="60" t="s">
        <v>20863</v>
      </c>
      <c r="F404" s="85" t="s">
        <v>22349</v>
      </c>
      <c r="G404" s="85" t="s">
        <v>21467</v>
      </c>
      <c r="H404" s="62">
        <v>60.0</v>
      </c>
      <c r="I404" s="60"/>
      <c r="J404" s="60"/>
      <c r="K404" s="60"/>
      <c r="L404" s="60"/>
      <c r="M404" s="60"/>
      <c r="N404" s="60"/>
      <c r="O404" s="60"/>
      <c r="P404" s="60"/>
      <c r="Q404" s="60"/>
      <c r="R404" s="60"/>
      <c r="S404" s="60"/>
      <c r="T404" s="60"/>
      <c r="U404" s="60"/>
      <c r="V404" s="60"/>
      <c r="W404" s="60"/>
      <c r="X404" s="60"/>
      <c r="Y404" s="60"/>
      <c r="Z404" s="60"/>
    </row>
    <row r="405" ht="53.25" customHeight="1">
      <c r="A405" s="62">
        <v>338.0</v>
      </c>
      <c r="B405" s="60" t="s">
        <v>866</v>
      </c>
      <c r="C405" s="84" t="s">
        <v>22350</v>
      </c>
      <c r="D405" s="60" t="s">
        <v>20312</v>
      </c>
      <c r="E405" s="60" t="s">
        <v>19598</v>
      </c>
      <c r="F405" s="85" t="s">
        <v>22351</v>
      </c>
      <c r="G405" s="85" t="s">
        <v>21468</v>
      </c>
      <c r="H405" s="62">
        <v>60.0</v>
      </c>
      <c r="I405" s="60"/>
      <c r="J405" s="60"/>
      <c r="K405" s="60"/>
      <c r="L405" s="60"/>
      <c r="M405" s="60"/>
      <c r="N405" s="60"/>
      <c r="O405" s="60"/>
      <c r="P405" s="60"/>
      <c r="Q405" s="60"/>
      <c r="R405" s="60"/>
      <c r="S405" s="60"/>
      <c r="T405" s="60"/>
      <c r="U405" s="60"/>
      <c r="V405" s="60"/>
      <c r="W405" s="60"/>
      <c r="X405" s="60"/>
      <c r="Y405" s="60"/>
      <c r="Z405" s="60"/>
    </row>
    <row r="406" ht="53.25" customHeight="1">
      <c r="A406" s="62">
        <v>181.0</v>
      </c>
      <c r="B406" s="60" t="s">
        <v>1549</v>
      </c>
      <c r="C406" s="84" t="s">
        <v>22352</v>
      </c>
      <c r="D406" s="60" t="s">
        <v>20804</v>
      </c>
      <c r="E406" s="60" t="s">
        <v>20127</v>
      </c>
      <c r="F406" s="85" t="s">
        <v>22353</v>
      </c>
      <c r="G406" s="85" t="s">
        <v>21469</v>
      </c>
      <c r="H406" s="62">
        <v>60.0</v>
      </c>
      <c r="I406" s="60"/>
      <c r="J406" s="60"/>
      <c r="K406" s="60"/>
      <c r="L406" s="60"/>
      <c r="M406" s="60"/>
      <c r="N406" s="60"/>
      <c r="O406" s="60"/>
      <c r="P406" s="60"/>
      <c r="Q406" s="60"/>
      <c r="R406" s="60"/>
      <c r="S406" s="60"/>
      <c r="T406" s="60"/>
      <c r="U406" s="60"/>
      <c r="V406" s="60"/>
      <c r="W406" s="60"/>
      <c r="X406" s="60"/>
      <c r="Y406" s="60"/>
      <c r="Z406" s="60"/>
    </row>
    <row r="407" ht="53.25" customHeight="1">
      <c r="A407" s="62">
        <v>159.0</v>
      </c>
      <c r="B407" s="60" t="s">
        <v>1315</v>
      </c>
      <c r="C407" s="84" t="s">
        <v>22354</v>
      </c>
      <c r="D407" s="60" t="s">
        <v>20795</v>
      </c>
      <c r="E407" s="60" t="s">
        <v>702</v>
      </c>
      <c r="F407" s="85" t="s">
        <v>22355</v>
      </c>
      <c r="G407" s="85" t="s">
        <v>21470</v>
      </c>
      <c r="H407" s="62">
        <v>60.0</v>
      </c>
      <c r="I407" s="60"/>
      <c r="J407" s="60"/>
      <c r="K407" s="60"/>
      <c r="L407" s="60"/>
      <c r="M407" s="60"/>
      <c r="N407" s="60"/>
      <c r="O407" s="60"/>
      <c r="P407" s="60"/>
      <c r="Q407" s="60"/>
      <c r="R407" s="60"/>
      <c r="S407" s="60"/>
      <c r="T407" s="60"/>
      <c r="U407" s="60"/>
      <c r="V407" s="60"/>
      <c r="W407" s="60"/>
      <c r="X407" s="60"/>
      <c r="Y407" s="60"/>
      <c r="Z407" s="60"/>
    </row>
    <row r="408" ht="53.25" customHeight="1">
      <c r="A408" s="62">
        <v>182.0</v>
      </c>
      <c r="B408" s="60" t="s">
        <v>1123</v>
      </c>
      <c r="C408" s="84" t="s">
        <v>22356</v>
      </c>
      <c r="D408" s="60" t="s">
        <v>20766</v>
      </c>
      <c r="E408" s="60" t="s">
        <v>19645</v>
      </c>
      <c r="F408" s="85" t="s">
        <v>22357</v>
      </c>
      <c r="G408" s="85" t="s">
        <v>21471</v>
      </c>
      <c r="H408" s="62">
        <v>60.0</v>
      </c>
      <c r="I408" s="60"/>
      <c r="J408" s="60"/>
      <c r="K408" s="60"/>
      <c r="L408" s="60"/>
      <c r="M408" s="60"/>
      <c r="N408" s="60"/>
      <c r="O408" s="60"/>
      <c r="P408" s="60"/>
      <c r="Q408" s="60"/>
      <c r="R408" s="60"/>
      <c r="S408" s="60"/>
      <c r="T408" s="60"/>
      <c r="U408" s="60"/>
      <c r="V408" s="60"/>
      <c r="W408" s="60"/>
      <c r="X408" s="60"/>
      <c r="Y408" s="60"/>
      <c r="Z408" s="60"/>
    </row>
    <row r="409" ht="53.25" customHeight="1">
      <c r="A409" s="62">
        <v>157.0</v>
      </c>
      <c r="B409" s="60" t="s">
        <v>1540</v>
      </c>
      <c r="C409" s="84" t="s">
        <v>22358</v>
      </c>
      <c r="D409" s="60" t="s">
        <v>20639</v>
      </c>
      <c r="E409" s="60" t="s">
        <v>20127</v>
      </c>
      <c r="F409" s="85" t="s">
        <v>22359</v>
      </c>
      <c r="G409" s="85" t="s">
        <v>21472</v>
      </c>
      <c r="H409" s="62">
        <v>60.0</v>
      </c>
      <c r="I409" s="60"/>
      <c r="J409" s="60"/>
      <c r="K409" s="60"/>
      <c r="L409" s="60"/>
      <c r="M409" s="60"/>
      <c r="N409" s="60"/>
      <c r="O409" s="60"/>
      <c r="P409" s="60"/>
      <c r="Q409" s="60"/>
      <c r="R409" s="60"/>
      <c r="S409" s="60"/>
      <c r="T409" s="60"/>
      <c r="U409" s="60"/>
      <c r="V409" s="60"/>
      <c r="W409" s="60"/>
      <c r="X409" s="60"/>
      <c r="Y409" s="60"/>
      <c r="Z409" s="60"/>
    </row>
    <row r="410" ht="53.25" customHeight="1">
      <c r="A410" s="62">
        <v>320.0</v>
      </c>
      <c r="B410" s="60" t="s">
        <v>1599</v>
      </c>
      <c r="C410" s="84" t="s">
        <v>22360</v>
      </c>
      <c r="D410" s="60" t="s">
        <v>20772</v>
      </c>
      <c r="E410" s="60" t="s">
        <v>19551</v>
      </c>
      <c r="F410" s="85" t="s">
        <v>22361</v>
      </c>
      <c r="G410" s="85" t="s">
        <v>21473</v>
      </c>
      <c r="H410" s="62">
        <v>60.0</v>
      </c>
      <c r="I410" s="60"/>
      <c r="J410" s="60"/>
      <c r="K410" s="60"/>
      <c r="L410" s="60"/>
      <c r="M410" s="60"/>
      <c r="N410" s="60"/>
      <c r="O410" s="60"/>
      <c r="P410" s="60"/>
      <c r="Q410" s="60"/>
      <c r="R410" s="60"/>
      <c r="S410" s="60"/>
      <c r="T410" s="60"/>
      <c r="U410" s="60"/>
      <c r="V410" s="60"/>
      <c r="W410" s="60"/>
      <c r="X410" s="60"/>
      <c r="Y410" s="60"/>
      <c r="Z410" s="60"/>
    </row>
    <row r="411" ht="53.25" customHeight="1">
      <c r="A411" s="62">
        <v>306.0</v>
      </c>
      <c r="B411" s="60" t="s">
        <v>21474</v>
      </c>
      <c r="C411" s="84" t="s">
        <v>22362</v>
      </c>
      <c r="D411" s="60" t="s">
        <v>22363</v>
      </c>
      <c r="E411" s="60" t="s">
        <v>22364</v>
      </c>
      <c r="F411" s="85" t="s">
        <v>22365</v>
      </c>
      <c r="G411" s="85" t="s">
        <v>21475</v>
      </c>
      <c r="H411" s="62">
        <v>60.0</v>
      </c>
      <c r="I411" s="60"/>
      <c r="J411" s="60"/>
      <c r="K411" s="60"/>
      <c r="L411" s="60"/>
      <c r="M411" s="60"/>
      <c r="N411" s="60"/>
      <c r="O411" s="60"/>
      <c r="P411" s="60"/>
      <c r="Q411" s="60"/>
      <c r="R411" s="60"/>
      <c r="S411" s="60"/>
      <c r="T411" s="60"/>
      <c r="U411" s="60"/>
      <c r="V411" s="60"/>
      <c r="W411" s="60"/>
      <c r="X411" s="60"/>
      <c r="Y411" s="60"/>
      <c r="Z411" s="60"/>
    </row>
    <row r="412" ht="53.25" customHeight="1">
      <c r="A412" s="62">
        <v>134.0</v>
      </c>
      <c r="B412" s="60" t="s">
        <v>19445</v>
      </c>
      <c r="C412" s="84" t="s">
        <v>22366</v>
      </c>
      <c r="D412" s="60" t="s">
        <v>20760</v>
      </c>
      <c r="E412" s="60" t="s">
        <v>19885</v>
      </c>
      <c r="F412" s="85" t="s">
        <v>22367</v>
      </c>
      <c r="G412" s="85" t="s">
        <v>21476</v>
      </c>
      <c r="H412" s="62">
        <v>60.0</v>
      </c>
      <c r="I412" s="60"/>
      <c r="J412" s="60"/>
      <c r="K412" s="60"/>
      <c r="L412" s="60"/>
      <c r="M412" s="60"/>
      <c r="N412" s="60"/>
      <c r="O412" s="60"/>
      <c r="P412" s="60"/>
      <c r="Q412" s="60"/>
      <c r="R412" s="60"/>
      <c r="S412" s="60"/>
      <c r="T412" s="60"/>
      <c r="U412" s="60"/>
      <c r="V412" s="60"/>
      <c r="W412" s="60"/>
      <c r="X412" s="60"/>
      <c r="Y412" s="60"/>
      <c r="Z412" s="60"/>
    </row>
    <row r="413" ht="53.25" customHeight="1">
      <c r="A413" s="62">
        <v>356.0</v>
      </c>
      <c r="B413" s="60" t="s">
        <v>1179</v>
      </c>
      <c r="C413" s="84" t="s">
        <v>22368</v>
      </c>
      <c r="D413" s="60" t="s">
        <v>20899</v>
      </c>
      <c r="E413" s="60" t="s">
        <v>20507</v>
      </c>
      <c r="F413" s="85" t="s">
        <v>22369</v>
      </c>
      <c r="G413" s="85" t="s">
        <v>21477</v>
      </c>
      <c r="H413" s="62">
        <v>60.0</v>
      </c>
      <c r="I413" s="60"/>
      <c r="J413" s="60"/>
      <c r="K413" s="60"/>
      <c r="L413" s="60"/>
      <c r="M413" s="60"/>
      <c r="N413" s="60"/>
      <c r="O413" s="60"/>
      <c r="P413" s="60"/>
      <c r="Q413" s="60"/>
      <c r="R413" s="60"/>
      <c r="S413" s="60"/>
      <c r="T413" s="60"/>
      <c r="U413" s="60"/>
      <c r="V413" s="60"/>
      <c r="W413" s="60"/>
      <c r="X413" s="60"/>
      <c r="Y413" s="60"/>
      <c r="Z413" s="60"/>
    </row>
    <row r="414" ht="53.25" customHeight="1">
      <c r="A414" s="62">
        <v>375.0</v>
      </c>
      <c r="B414" s="60" t="s">
        <v>1167</v>
      </c>
      <c r="C414" s="84" t="s">
        <v>22370</v>
      </c>
      <c r="D414" s="60" t="s">
        <v>20491</v>
      </c>
      <c r="E414" s="60" t="s">
        <v>742</v>
      </c>
      <c r="F414" s="85" t="s">
        <v>22371</v>
      </c>
      <c r="G414" s="85" t="s">
        <v>21478</v>
      </c>
      <c r="H414" s="62">
        <v>60.0</v>
      </c>
      <c r="I414" s="60"/>
      <c r="J414" s="60"/>
      <c r="K414" s="60"/>
      <c r="L414" s="60"/>
      <c r="M414" s="60"/>
      <c r="N414" s="60"/>
      <c r="O414" s="60"/>
      <c r="P414" s="60"/>
      <c r="Q414" s="60"/>
      <c r="R414" s="60"/>
      <c r="S414" s="60"/>
      <c r="T414" s="60"/>
      <c r="U414" s="60"/>
      <c r="V414" s="60"/>
      <c r="W414" s="60"/>
      <c r="X414" s="60"/>
      <c r="Y414" s="60"/>
      <c r="Z414" s="60"/>
    </row>
    <row r="415" ht="53.25" customHeight="1">
      <c r="A415" s="62">
        <v>364.0</v>
      </c>
      <c r="B415" s="60" t="s">
        <v>19511</v>
      </c>
      <c r="C415" s="84" t="s">
        <v>22372</v>
      </c>
      <c r="D415" s="60" t="s">
        <v>20956</v>
      </c>
      <c r="E415" s="60" t="s">
        <v>20184</v>
      </c>
      <c r="F415" s="85" t="s">
        <v>22373</v>
      </c>
      <c r="G415" s="85" t="s">
        <v>21479</v>
      </c>
      <c r="H415" s="62">
        <v>60.0</v>
      </c>
      <c r="I415" s="60"/>
      <c r="J415" s="60"/>
      <c r="K415" s="60"/>
      <c r="L415" s="60"/>
      <c r="M415" s="60"/>
      <c r="N415" s="60"/>
      <c r="O415" s="60"/>
      <c r="P415" s="60"/>
      <c r="Q415" s="60"/>
      <c r="R415" s="60"/>
      <c r="S415" s="60"/>
      <c r="T415" s="60"/>
      <c r="U415" s="60"/>
      <c r="V415" s="60"/>
      <c r="W415" s="60"/>
      <c r="X415" s="60"/>
      <c r="Y415" s="60"/>
      <c r="Z415" s="60"/>
    </row>
    <row r="416" ht="53.25" customHeight="1">
      <c r="A416" s="62">
        <v>141.0</v>
      </c>
      <c r="B416" s="60" t="s">
        <v>1472</v>
      </c>
      <c r="C416" s="84" t="s">
        <v>22374</v>
      </c>
      <c r="D416" s="60" t="s">
        <v>20902</v>
      </c>
      <c r="E416" s="60" t="s">
        <v>658</v>
      </c>
      <c r="F416" s="85" t="s">
        <v>22375</v>
      </c>
      <c r="G416" s="85" t="s">
        <v>21480</v>
      </c>
      <c r="H416" s="62">
        <v>60.0</v>
      </c>
      <c r="I416" s="60"/>
      <c r="J416" s="60"/>
      <c r="K416" s="60"/>
      <c r="L416" s="60"/>
      <c r="M416" s="60"/>
      <c r="N416" s="60"/>
      <c r="O416" s="60"/>
      <c r="P416" s="60"/>
      <c r="Q416" s="60"/>
      <c r="R416" s="60"/>
      <c r="S416" s="60"/>
      <c r="T416" s="60"/>
      <c r="U416" s="60"/>
      <c r="V416" s="60"/>
      <c r="W416" s="60"/>
      <c r="X416" s="60"/>
      <c r="Y416" s="60"/>
      <c r="Z416" s="60"/>
    </row>
    <row r="417" ht="53.25" customHeight="1">
      <c r="A417" s="62">
        <v>126.0</v>
      </c>
      <c r="B417" s="60" t="s">
        <v>1391</v>
      </c>
      <c r="C417" s="84" t="s">
        <v>22376</v>
      </c>
      <c r="D417" s="60" t="s">
        <v>20608</v>
      </c>
      <c r="E417" s="60" t="s">
        <v>19662</v>
      </c>
      <c r="F417" s="85" t="s">
        <v>22377</v>
      </c>
      <c r="G417" s="85" t="s">
        <v>21481</v>
      </c>
      <c r="H417" s="62">
        <v>60.0</v>
      </c>
      <c r="I417" s="60"/>
      <c r="J417" s="60"/>
      <c r="K417" s="60"/>
      <c r="L417" s="60"/>
      <c r="M417" s="60"/>
      <c r="N417" s="60"/>
      <c r="O417" s="60"/>
      <c r="P417" s="60"/>
      <c r="Q417" s="60"/>
      <c r="R417" s="60"/>
      <c r="S417" s="60"/>
      <c r="T417" s="60"/>
      <c r="U417" s="60"/>
      <c r="V417" s="60"/>
      <c r="W417" s="60"/>
      <c r="X417" s="60"/>
      <c r="Y417" s="60"/>
      <c r="Z417" s="60"/>
    </row>
    <row r="418" ht="53.25" customHeight="1">
      <c r="A418" s="62">
        <v>427.0</v>
      </c>
      <c r="B418" s="60" t="s">
        <v>1271</v>
      </c>
      <c r="C418" s="84" t="s">
        <v>22378</v>
      </c>
      <c r="D418" s="60" t="s">
        <v>20503</v>
      </c>
      <c r="E418" s="60" t="s">
        <v>742</v>
      </c>
      <c r="F418" s="85" t="s">
        <v>22379</v>
      </c>
      <c r="G418" s="85" t="s">
        <v>21482</v>
      </c>
      <c r="H418" s="62">
        <v>55.0</v>
      </c>
      <c r="I418" s="60"/>
      <c r="J418" s="60"/>
      <c r="K418" s="60"/>
      <c r="L418" s="60"/>
      <c r="M418" s="60"/>
      <c r="N418" s="60"/>
      <c r="O418" s="60"/>
      <c r="P418" s="60"/>
      <c r="Q418" s="60"/>
      <c r="R418" s="60"/>
      <c r="S418" s="60"/>
      <c r="T418" s="60"/>
      <c r="U418" s="60"/>
      <c r="V418" s="60"/>
      <c r="W418" s="60"/>
      <c r="X418" s="60"/>
      <c r="Y418" s="60"/>
      <c r="Z418" s="60"/>
    </row>
    <row r="419" ht="53.25" customHeight="1">
      <c r="A419" s="62">
        <v>403.0</v>
      </c>
      <c r="B419" s="60" t="s">
        <v>1325</v>
      </c>
      <c r="C419" s="84" t="s">
        <v>22380</v>
      </c>
      <c r="D419" s="60" t="s">
        <v>20875</v>
      </c>
      <c r="E419" s="60" t="s">
        <v>19699</v>
      </c>
      <c r="F419" s="85" t="s">
        <v>22381</v>
      </c>
      <c r="G419" s="85" t="s">
        <v>21483</v>
      </c>
      <c r="H419" s="62">
        <v>55.0</v>
      </c>
      <c r="I419" s="60"/>
      <c r="J419" s="60"/>
      <c r="K419" s="60"/>
      <c r="L419" s="60"/>
      <c r="M419" s="60"/>
      <c r="N419" s="60"/>
      <c r="O419" s="60"/>
      <c r="P419" s="60"/>
      <c r="Q419" s="60"/>
      <c r="R419" s="60"/>
      <c r="S419" s="60"/>
      <c r="T419" s="60"/>
      <c r="U419" s="60"/>
      <c r="V419" s="60"/>
      <c r="W419" s="60"/>
      <c r="X419" s="60"/>
      <c r="Y419" s="60"/>
      <c r="Z419" s="60"/>
    </row>
    <row r="420" ht="53.25" customHeight="1">
      <c r="A420" s="62">
        <v>212.0</v>
      </c>
      <c r="B420" s="60" t="s">
        <v>5717</v>
      </c>
      <c r="C420" s="84" t="s">
        <v>22382</v>
      </c>
      <c r="D420" s="60" t="s">
        <v>20947</v>
      </c>
      <c r="E420" s="60" t="s">
        <v>107</v>
      </c>
      <c r="F420" s="85" t="s">
        <v>22383</v>
      </c>
      <c r="G420" s="85" t="s">
        <v>21484</v>
      </c>
      <c r="H420" s="62">
        <v>55.0</v>
      </c>
      <c r="I420" s="60"/>
      <c r="J420" s="60"/>
      <c r="K420" s="60"/>
      <c r="L420" s="60"/>
      <c r="M420" s="60"/>
      <c r="N420" s="60"/>
      <c r="O420" s="60"/>
      <c r="P420" s="60"/>
      <c r="Q420" s="60"/>
      <c r="R420" s="60"/>
      <c r="S420" s="60"/>
      <c r="T420" s="60"/>
      <c r="U420" s="60"/>
      <c r="V420" s="60"/>
      <c r="W420" s="60"/>
      <c r="X420" s="60"/>
      <c r="Y420" s="60"/>
      <c r="Z420" s="60"/>
    </row>
    <row r="421" ht="53.25" customHeight="1">
      <c r="A421" s="62">
        <v>75.0</v>
      </c>
      <c r="B421" s="60" t="s">
        <v>423</v>
      </c>
      <c r="C421" s="84" t="s">
        <v>22384</v>
      </c>
      <c r="D421" s="60" t="s">
        <v>20845</v>
      </c>
      <c r="E421" s="60" t="s">
        <v>19572</v>
      </c>
      <c r="F421" s="85" t="s">
        <v>22385</v>
      </c>
      <c r="G421" s="85" t="s">
        <v>21485</v>
      </c>
      <c r="H421" s="62">
        <v>55.0</v>
      </c>
      <c r="I421" s="60"/>
      <c r="J421" s="60"/>
      <c r="K421" s="60"/>
      <c r="L421" s="60"/>
      <c r="M421" s="60"/>
      <c r="N421" s="60"/>
      <c r="O421" s="60"/>
      <c r="P421" s="60"/>
      <c r="Q421" s="60"/>
      <c r="R421" s="60"/>
      <c r="S421" s="60"/>
      <c r="T421" s="60"/>
      <c r="U421" s="60"/>
      <c r="V421" s="60"/>
      <c r="W421" s="60"/>
      <c r="X421" s="60"/>
      <c r="Y421" s="60"/>
      <c r="Z421" s="60"/>
    </row>
    <row r="422" ht="53.25" customHeight="1">
      <c r="A422" s="62">
        <v>410.0</v>
      </c>
      <c r="B422" s="60" t="s">
        <v>1006</v>
      </c>
      <c r="C422" s="84" t="s">
        <v>22386</v>
      </c>
      <c r="D422" s="60" t="s">
        <v>20164</v>
      </c>
      <c r="E422" s="60" t="s">
        <v>20165</v>
      </c>
      <c r="F422" s="85" t="s">
        <v>22387</v>
      </c>
      <c r="G422" s="85" t="s">
        <v>21486</v>
      </c>
      <c r="H422" s="62">
        <v>45.0</v>
      </c>
      <c r="I422" s="60"/>
      <c r="J422" s="60"/>
      <c r="K422" s="60"/>
      <c r="L422" s="60"/>
      <c r="M422" s="60"/>
      <c r="N422" s="60"/>
      <c r="O422" s="60"/>
      <c r="P422" s="60"/>
      <c r="Q422" s="60"/>
      <c r="R422" s="60"/>
      <c r="S422" s="60"/>
      <c r="T422" s="60"/>
      <c r="U422" s="60"/>
      <c r="V422" s="60"/>
      <c r="W422" s="60"/>
      <c r="X422" s="60"/>
      <c r="Y422" s="60"/>
      <c r="Z422" s="60"/>
    </row>
    <row r="423" ht="53.25" customHeight="1">
      <c r="A423" s="62">
        <v>270.0</v>
      </c>
      <c r="B423" s="60" t="s">
        <v>1359</v>
      </c>
      <c r="C423" s="84" t="s">
        <v>22372</v>
      </c>
      <c r="D423" s="60" t="s">
        <v>22388</v>
      </c>
      <c r="E423" s="60" t="s">
        <v>22389</v>
      </c>
      <c r="F423" s="85" t="s">
        <v>22390</v>
      </c>
      <c r="G423" s="85" t="s">
        <v>21487</v>
      </c>
      <c r="H423" s="62">
        <v>45.0</v>
      </c>
      <c r="I423" s="60"/>
      <c r="J423" s="60"/>
      <c r="K423" s="60"/>
      <c r="L423" s="60"/>
      <c r="M423" s="60"/>
      <c r="N423" s="60"/>
      <c r="O423" s="60"/>
      <c r="P423" s="60"/>
      <c r="Q423" s="60"/>
      <c r="R423" s="60"/>
      <c r="S423" s="60"/>
      <c r="T423" s="60"/>
      <c r="U423" s="60"/>
      <c r="V423" s="60"/>
      <c r="W423" s="60"/>
      <c r="X423" s="60"/>
      <c r="Y423" s="60"/>
      <c r="Z423" s="60"/>
    </row>
    <row r="424" ht="53.25" customHeight="1">
      <c r="A424" s="62">
        <v>386.0</v>
      </c>
      <c r="B424" s="60" t="s">
        <v>896</v>
      </c>
      <c r="C424" s="84" t="s">
        <v>22391</v>
      </c>
      <c r="D424" s="60" t="s">
        <v>20130</v>
      </c>
      <c r="E424" s="60" t="s">
        <v>107</v>
      </c>
      <c r="F424" s="85" t="s">
        <v>22392</v>
      </c>
      <c r="G424" s="85" t="s">
        <v>21488</v>
      </c>
      <c r="H424" s="62">
        <v>45.0</v>
      </c>
      <c r="I424" s="60"/>
      <c r="J424" s="60"/>
      <c r="K424" s="60"/>
      <c r="L424" s="60"/>
      <c r="M424" s="60"/>
      <c r="N424" s="60"/>
      <c r="O424" s="60"/>
      <c r="P424" s="60"/>
      <c r="Q424" s="60"/>
      <c r="R424" s="60"/>
      <c r="S424" s="60"/>
      <c r="T424" s="60"/>
      <c r="U424" s="60"/>
      <c r="V424" s="60"/>
      <c r="W424" s="60"/>
      <c r="X424" s="60"/>
      <c r="Y424" s="60"/>
      <c r="Z424" s="60"/>
    </row>
    <row r="425" ht="53.25" customHeight="1">
      <c r="A425" s="62">
        <v>290.0</v>
      </c>
      <c r="B425" s="60" t="s">
        <v>1223</v>
      </c>
      <c r="C425" s="84" t="s">
        <v>22393</v>
      </c>
      <c r="D425" s="60" t="s">
        <v>20950</v>
      </c>
      <c r="E425" s="60" t="s">
        <v>19572</v>
      </c>
      <c r="F425" s="85" t="s">
        <v>22394</v>
      </c>
      <c r="G425" s="85" t="s">
        <v>21489</v>
      </c>
      <c r="H425" s="62">
        <v>45.0</v>
      </c>
      <c r="I425" s="60"/>
      <c r="J425" s="60"/>
      <c r="K425" s="60"/>
      <c r="L425" s="60"/>
      <c r="M425" s="60"/>
      <c r="N425" s="60"/>
      <c r="O425" s="60"/>
      <c r="P425" s="60"/>
      <c r="Q425" s="60"/>
      <c r="R425" s="60"/>
      <c r="S425" s="60"/>
      <c r="T425" s="60"/>
      <c r="U425" s="60"/>
      <c r="V425" s="60"/>
      <c r="W425" s="60"/>
      <c r="X425" s="60"/>
      <c r="Y425" s="60"/>
      <c r="Z425" s="60"/>
    </row>
    <row r="426" ht="53.25" customHeight="1">
      <c r="A426" s="62">
        <v>287.0</v>
      </c>
      <c r="B426" s="60" t="s">
        <v>823</v>
      </c>
      <c r="C426" s="84" t="s">
        <v>22395</v>
      </c>
      <c r="D426" s="60" t="s">
        <v>20807</v>
      </c>
      <c r="E426" s="60" t="s">
        <v>19641</v>
      </c>
      <c r="F426" s="85" t="s">
        <v>22396</v>
      </c>
      <c r="G426" s="85" t="s">
        <v>21490</v>
      </c>
      <c r="H426" s="62">
        <v>45.0</v>
      </c>
      <c r="I426" s="60"/>
      <c r="J426" s="60"/>
      <c r="K426" s="60"/>
      <c r="L426" s="60"/>
      <c r="M426" s="60"/>
      <c r="N426" s="60"/>
      <c r="O426" s="60"/>
      <c r="P426" s="60"/>
      <c r="Q426" s="60"/>
      <c r="R426" s="60"/>
      <c r="S426" s="60"/>
      <c r="T426" s="60"/>
      <c r="U426" s="60"/>
      <c r="V426" s="60"/>
      <c r="W426" s="60"/>
      <c r="X426" s="60"/>
      <c r="Y426" s="60"/>
      <c r="Z426" s="60"/>
    </row>
    <row r="427" ht="53.25" customHeight="1">
      <c r="A427" s="62">
        <v>438.0</v>
      </c>
      <c r="B427" s="60" t="s">
        <v>1214</v>
      </c>
      <c r="C427" s="84" t="s">
        <v>22397</v>
      </c>
      <c r="D427" s="60" t="s">
        <v>20977</v>
      </c>
      <c r="E427" s="60" t="s">
        <v>20158</v>
      </c>
      <c r="F427" s="85" t="s">
        <v>22398</v>
      </c>
      <c r="G427" s="85" t="s">
        <v>21491</v>
      </c>
      <c r="H427" s="62">
        <v>45.0</v>
      </c>
      <c r="I427" s="60"/>
      <c r="J427" s="60"/>
      <c r="K427" s="60"/>
      <c r="L427" s="60"/>
      <c r="M427" s="60"/>
      <c r="N427" s="60"/>
      <c r="O427" s="60"/>
      <c r="P427" s="60"/>
      <c r="Q427" s="60"/>
      <c r="R427" s="60"/>
      <c r="S427" s="60"/>
      <c r="T427" s="60"/>
      <c r="U427" s="60"/>
      <c r="V427" s="60"/>
      <c r="W427" s="60"/>
      <c r="X427" s="60"/>
      <c r="Y427" s="60"/>
      <c r="Z427" s="60"/>
    </row>
    <row r="428" ht="53.25" customHeight="1">
      <c r="A428" s="62">
        <v>21.0</v>
      </c>
      <c r="B428" s="60" t="s">
        <v>19252</v>
      </c>
      <c r="C428" s="84" t="s">
        <v>22399</v>
      </c>
      <c r="D428" s="60" t="s">
        <v>20180</v>
      </c>
      <c r="E428" s="60" t="s">
        <v>747</v>
      </c>
      <c r="F428" s="85" t="s">
        <v>22400</v>
      </c>
      <c r="G428" s="85" t="s">
        <v>21492</v>
      </c>
      <c r="H428" s="62">
        <v>45.0</v>
      </c>
      <c r="I428" s="60"/>
      <c r="J428" s="60"/>
      <c r="K428" s="60"/>
      <c r="L428" s="60"/>
      <c r="M428" s="60"/>
      <c r="N428" s="60"/>
      <c r="O428" s="60"/>
      <c r="P428" s="60"/>
      <c r="Q428" s="60"/>
      <c r="R428" s="60"/>
      <c r="S428" s="60"/>
      <c r="T428" s="60"/>
      <c r="U428" s="60"/>
      <c r="V428" s="60"/>
      <c r="W428" s="60"/>
      <c r="X428" s="60"/>
      <c r="Y428" s="60"/>
      <c r="Z428" s="60"/>
    </row>
    <row r="429" ht="53.25" customHeight="1">
      <c r="A429" s="62">
        <v>110.0</v>
      </c>
      <c r="B429" s="60" t="s">
        <v>3236</v>
      </c>
      <c r="C429" s="84" t="s">
        <v>22401</v>
      </c>
      <c r="D429" s="60" t="s">
        <v>20657</v>
      </c>
      <c r="E429" s="60" t="s">
        <v>309</v>
      </c>
      <c r="F429" s="85" t="s">
        <v>22402</v>
      </c>
      <c r="G429" s="85" t="s">
        <v>21493</v>
      </c>
      <c r="H429" s="62">
        <v>45.0</v>
      </c>
      <c r="I429" s="60"/>
      <c r="J429" s="60"/>
      <c r="K429" s="60"/>
      <c r="L429" s="60"/>
      <c r="M429" s="60"/>
      <c r="N429" s="60"/>
      <c r="O429" s="60"/>
      <c r="P429" s="60"/>
      <c r="Q429" s="60"/>
      <c r="R429" s="60"/>
      <c r="S429" s="60"/>
      <c r="T429" s="60"/>
      <c r="U429" s="60"/>
      <c r="V429" s="60"/>
      <c r="W429" s="60"/>
      <c r="X429" s="60"/>
      <c r="Y429" s="60"/>
      <c r="Z429" s="60"/>
    </row>
    <row r="430" ht="53.25" customHeight="1">
      <c r="A430" s="62">
        <v>220.0</v>
      </c>
      <c r="B430" s="60" t="s">
        <v>1431</v>
      </c>
      <c r="C430" s="84" t="s">
        <v>22403</v>
      </c>
      <c r="D430" s="60" t="s">
        <v>20342</v>
      </c>
      <c r="E430" s="60" t="s">
        <v>20343</v>
      </c>
      <c r="F430" s="85" t="s">
        <v>22404</v>
      </c>
      <c r="G430" s="85" t="s">
        <v>21494</v>
      </c>
      <c r="H430" s="62">
        <v>45.0</v>
      </c>
      <c r="I430" s="60"/>
      <c r="J430" s="60"/>
      <c r="K430" s="60"/>
      <c r="L430" s="60"/>
      <c r="M430" s="60"/>
      <c r="N430" s="60"/>
      <c r="O430" s="60"/>
      <c r="P430" s="60"/>
      <c r="Q430" s="60"/>
      <c r="R430" s="60"/>
      <c r="S430" s="60"/>
      <c r="T430" s="60"/>
      <c r="U430" s="60"/>
      <c r="V430" s="60"/>
      <c r="W430" s="60"/>
      <c r="X430" s="60"/>
      <c r="Y430" s="60"/>
      <c r="Z430" s="60"/>
    </row>
    <row r="431" ht="53.25" customHeight="1">
      <c r="A431" s="62">
        <v>443.0</v>
      </c>
      <c r="B431" s="60" t="s">
        <v>19521</v>
      </c>
      <c r="C431" s="84" t="s">
        <v>22405</v>
      </c>
      <c r="D431" s="60" t="s">
        <v>20983</v>
      </c>
      <c r="E431" s="60" t="s">
        <v>19641</v>
      </c>
      <c r="F431" s="85" t="s">
        <v>22406</v>
      </c>
      <c r="G431" s="85" t="s">
        <v>21495</v>
      </c>
      <c r="H431" s="62">
        <v>45.0</v>
      </c>
      <c r="I431" s="60"/>
      <c r="J431" s="60"/>
      <c r="K431" s="60"/>
      <c r="L431" s="60"/>
      <c r="M431" s="60"/>
      <c r="N431" s="60"/>
      <c r="O431" s="60"/>
      <c r="P431" s="60"/>
      <c r="Q431" s="60"/>
      <c r="R431" s="60"/>
      <c r="S431" s="60"/>
      <c r="T431" s="60"/>
      <c r="U431" s="60"/>
      <c r="V431" s="60"/>
      <c r="W431" s="60"/>
      <c r="X431" s="60"/>
      <c r="Y431" s="60"/>
      <c r="Z431" s="60"/>
    </row>
    <row r="432" ht="53.25" customHeight="1">
      <c r="A432" s="62">
        <v>288.0</v>
      </c>
      <c r="B432" s="60" t="s">
        <v>1225</v>
      </c>
      <c r="C432" s="84" t="s">
        <v>22407</v>
      </c>
      <c r="D432" s="60" t="s">
        <v>20260</v>
      </c>
      <c r="E432" s="60" t="s">
        <v>156</v>
      </c>
      <c r="F432" s="85" t="s">
        <v>22408</v>
      </c>
      <c r="G432" s="85" t="s">
        <v>21496</v>
      </c>
      <c r="H432" s="62">
        <v>45.0</v>
      </c>
      <c r="I432" s="60"/>
      <c r="J432" s="60"/>
      <c r="K432" s="60"/>
      <c r="L432" s="60"/>
      <c r="M432" s="60"/>
      <c r="N432" s="60"/>
      <c r="O432" s="60"/>
      <c r="P432" s="60"/>
      <c r="Q432" s="60"/>
      <c r="R432" s="60"/>
      <c r="S432" s="60"/>
      <c r="T432" s="60"/>
      <c r="U432" s="60"/>
      <c r="V432" s="60"/>
      <c r="W432" s="60"/>
      <c r="X432" s="60"/>
      <c r="Y432" s="60"/>
      <c r="Z432" s="60"/>
    </row>
    <row r="433" ht="53.25" customHeight="1">
      <c r="A433" s="62">
        <v>253.0</v>
      </c>
      <c r="B433" s="60" t="s">
        <v>1456</v>
      </c>
      <c r="C433" s="84" t="s">
        <v>22409</v>
      </c>
      <c r="D433" s="60" t="s">
        <v>20980</v>
      </c>
      <c r="E433" s="60" t="s">
        <v>747</v>
      </c>
      <c r="F433" s="85" t="s">
        <v>22410</v>
      </c>
      <c r="G433" s="85" t="s">
        <v>21497</v>
      </c>
      <c r="H433" s="62">
        <v>45.0</v>
      </c>
      <c r="I433" s="60"/>
      <c r="J433" s="60"/>
      <c r="K433" s="60"/>
      <c r="L433" s="60"/>
      <c r="M433" s="60"/>
      <c r="N433" s="60"/>
      <c r="O433" s="60"/>
      <c r="P433" s="60"/>
      <c r="Q433" s="60"/>
      <c r="R433" s="60"/>
      <c r="S433" s="60"/>
      <c r="T433" s="60"/>
      <c r="U433" s="60"/>
      <c r="V433" s="60"/>
      <c r="W433" s="60"/>
      <c r="X433" s="60"/>
      <c r="Y433" s="60"/>
      <c r="Z433" s="60"/>
    </row>
    <row r="434" ht="53.25" customHeight="1">
      <c r="A434" s="62">
        <v>254.0</v>
      </c>
      <c r="B434" s="60" t="s">
        <v>167</v>
      </c>
      <c r="C434" s="84" t="s">
        <v>22411</v>
      </c>
      <c r="D434" s="60" t="s">
        <v>20848</v>
      </c>
      <c r="E434" s="60" t="s">
        <v>20158</v>
      </c>
      <c r="F434" s="85" t="s">
        <v>22412</v>
      </c>
      <c r="G434" s="85" t="s">
        <v>21498</v>
      </c>
      <c r="H434" s="62">
        <v>45.0</v>
      </c>
      <c r="I434" s="60"/>
      <c r="J434" s="60"/>
      <c r="K434" s="60"/>
      <c r="L434" s="60"/>
      <c r="M434" s="60"/>
      <c r="N434" s="60"/>
      <c r="O434" s="60"/>
      <c r="P434" s="60"/>
      <c r="Q434" s="60"/>
      <c r="R434" s="60"/>
      <c r="S434" s="60"/>
      <c r="T434" s="60"/>
      <c r="U434" s="60"/>
      <c r="V434" s="60"/>
      <c r="W434" s="60"/>
      <c r="X434" s="60"/>
      <c r="Y434" s="60"/>
      <c r="Z434" s="60"/>
    </row>
    <row r="435" ht="53.25" customHeight="1">
      <c r="A435" s="62">
        <v>421.0</v>
      </c>
      <c r="B435" s="60" t="s">
        <v>1323</v>
      </c>
      <c r="C435" s="84" t="s">
        <v>22413</v>
      </c>
      <c r="D435" s="60" t="s">
        <v>20497</v>
      </c>
      <c r="E435" s="60" t="s">
        <v>636</v>
      </c>
      <c r="F435" s="85" t="s">
        <v>22414</v>
      </c>
      <c r="G435" s="85" t="s">
        <v>21499</v>
      </c>
      <c r="H435" s="62">
        <v>45.0</v>
      </c>
      <c r="I435" s="60"/>
      <c r="J435" s="60"/>
      <c r="K435" s="60"/>
      <c r="L435" s="60"/>
      <c r="M435" s="60"/>
      <c r="N435" s="60"/>
      <c r="O435" s="60"/>
      <c r="P435" s="60"/>
      <c r="Q435" s="60"/>
      <c r="R435" s="60"/>
      <c r="S435" s="60"/>
      <c r="T435" s="60"/>
      <c r="U435" s="60"/>
      <c r="V435" s="60"/>
      <c r="W435" s="60"/>
      <c r="X435" s="60"/>
      <c r="Y435" s="60"/>
      <c r="Z435" s="60"/>
    </row>
    <row r="436" ht="53.25" customHeight="1">
      <c r="A436" s="62">
        <v>211.0</v>
      </c>
      <c r="B436" s="60" t="s">
        <v>1423</v>
      </c>
      <c r="C436" s="84" t="s">
        <v>22415</v>
      </c>
      <c r="D436" s="60" t="s">
        <v>22416</v>
      </c>
      <c r="E436" s="60" t="s">
        <v>19850</v>
      </c>
      <c r="F436" s="85" t="s">
        <v>22417</v>
      </c>
      <c r="G436" s="85" t="s">
        <v>21500</v>
      </c>
      <c r="H436" s="62">
        <v>45.0</v>
      </c>
      <c r="I436" s="60"/>
      <c r="J436" s="60"/>
      <c r="K436" s="60"/>
      <c r="L436" s="60"/>
      <c r="M436" s="60"/>
      <c r="N436" s="60"/>
      <c r="O436" s="60"/>
      <c r="P436" s="60"/>
      <c r="Q436" s="60"/>
      <c r="R436" s="60"/>
      <c r="S436" s="60"/>
      <c r="T436" s="60"/>
      <c r="U436" s="60"/>
      <c r="V436" s="60"/>
      <c r="W436" s="60"/>
      <c r="X436" s="60"/>
      <c r="Y436" s="60"/>
      <c r="Z436" s="60"/>
    </row>
    <row r="437" ht="53.25" customHeight="1">
      <c r="A437" s="62">
        <v>415.0</v>
      </c>
      <c r="B437" s="60" t="s">
        <v>21501</v>
      </c>
      <c r="C437" s="84" t="s">
        <v>22418</v>
      </c>
      <c r="D437" s="60" t="s">
        <v>22419</v>
      </c>
      <c r="E437" s="60" t="s">
        <v>19899</v>
      </c>
      <c r="F437" s="85" t="s">
        <v>22420</v>
      </c>
      <c r="G437" s="85" t="s">
        <v>21502</v>
      </c>
      <c r="H437" s="62">
        <v>45.0</v>
      </c>
      <c r="I437" s="60"/>
      <c r="J437" s="60"/>
      <c r="K437" s="60"/>
      <c r="L437" s="60"/>
      <c r="M437" s="60"/>
      <c r="N437" s="60"/>
      <c r="O437" s="60"/>
      <c r="P437" s="60"/>
      <c r="Q437" s="60"/>
      <c r="R437" s="60"/>
      <c r="S437" s="60"/>
      <c r="T437" s="60"/>
      <c r="U437" s="60"/>
      <c r="V437" s="60"/>
      <c r="W437" s="60"/>
      <c r="X437" s="60"/>
      <c r="Y437" s="60"/>
      <c r="Z437" s="60"/>
    </row>
    <row r="438" ht="53.25" customHeight="1">
      <c r="A438" s="62">
        <v>406.0</v>
      </c>
      <c r="B438" s="60" t="s">
        <v>124</v>
      </c>
      <c r="C438" s="84" t="s">
        <v>22421</v>
      </c>
      <c r="D438" s="60" t="s">
        <v>20743</v>
      </c>
      <c r="E438" s="60" t="s">
        <v>747</v>
      </c>
      <c r="F438" s="85" t="s">
        <v>22422</v>
      </c>
      <c r="G438" s="85" t="s">
        <v>21503</v>
      </c>
      <c r="H438" s="62">
        <v>45.0</v>
      </c>
      <c r="I438" s="60"/>
      <c r="J438" s="60"/>
      <c r="K438" s="60"/>
      <c r="L438" s="60"/>
      <c r="M438" s="60"/>
      <c r="N438" s="60"/>
      <c r="O438" s="60"/>
      <c r="P438" s="60"/>
      <c r="Q438" s="60"/>
      <c r="R438" s="60"/>
      <c r="S438" s="60"/>
      <c r="T438" s="60"/>
      <c r="U438" s="60"/>
      <c r="V438" s="60"/>
      <c r="W438" s="60"/>
      <c r="X438" s="60"/>
      <c r="Y438" s="60"/>
      <c r="Z438" s="60"/>
    </row>
    <row r="439" ht="53.25" customHeight="1">
      <c r="A439" s="62">
        <v>115.0</v>
      </c>
      <c r="B439" s="60" t="s">
        <v>217</v>
      </c>
      <c r="C439" s="84" t="s">
        <v>22423</v>
      </c>
      <c r="D439" s="60" t="s">
        <v>20935</v>
      </c>
      <c r="E439" s="60" t="s">
        <v>159</v>
      </c>
      <c r="F439" s="85" t="s">
        <v>22424</v>
      </c>
      <c r="G439" s="85" t="s">
        <v>21504</v>
      </c>
      <c r="H439" s="62">
        <v>45.0</v>
      </c>
      <c r="I439" s="60"/>
      <c r="J439" s="60"/>
      <c r="K439" s="60"/>
      <c r="L439" s="60"/>
      <c r="M439" s="60"/>
      <c r="N439" s="60"/>
      <c r="O439" s="60"/>
      <c r="P439" s="60"/>
      <c r="Q439" s="60"/>
      <c r="R439" s="60"/>
      <c r="S439" s="60"/>
      <c r="T439" s="60"/>
      <c r="U439" s="60"/>
      <c r="V439" s="60"/>
      <c r="W439" s="60"/>
      <c r="X439" s="60"/>
      <c r="Y439" s="60"/>
      <c r="Z439" s="60"/>
    </row>
    <row r="440" ht="53.25" customHeight="1">
      <c r="A440" s="62">
        <v>89.0</v>
      </c>
      <c r="B440" s="60" t="s">
        <v>6083</v>
      </c>
      <c r="C440" s="84" t="s">
        <v>22425</v>
      </c>
      <c r="D440" s="60" t="s">
        <v>20959</v>
      </c>
      <c r="E440" s="60" t="s">
        <v>19986</v>
      </c>
      <c r="F440" s="85" t="s">
        <v>22426</v>
      </c>
      <c r="G440" s="85" t="s">
        <v>21505</v>
      </c>
      <c r="H440" s="62">
        <v>40.0</v>
      </c>
      <c r="I440" s="60"/>
      <c r="J440" s="60"/>
      <c r="K440" s="60"/>
      <c r="L440" s="60"/>
      <c r="M440" s="60"/>
      <c r="N440" s="60"/>
      <c r="O440" s="60"/>
      <c r="P440" s="60"/>
      <c r="Q440" s="60"/>
      <c r="R440" s="60"/>
      <c r="S440" s="60"/>
      <c r="T440" s="60"/>
      <c r="U440" s="60"/>
      <c r="V440" s="60"/>
      <c r="W440" s="60"/>
      <c r="X440" s="60"/>
      <c r="Y440" s="60"/>
      <c r="Z440" s="60"/>
    </row>
    <row r="441" ht="53.25" customHeight="1">
      <c r="A441" s="62">
        <v>123.0</v>
      </c>
      <c r="B441" s="60" t="s">
        <v>197</v>
      </c>
      <c r="C441" s="84" t="s">
        <v>22427</v>
      </c>
      <c r="D441" s="60" t="s">
        <v>20605</v>
      </c>
      <c r="E441" s="60" t="s">
        <v>19598</v>
      </c>
      <c r="F441" s="85" t="s">
        <v>22428</v>
      </c>
      <c r="G441" s="85" t="s">
        <v>21506</v>
      </c>
      <c r="H441" s="62">
        <v>40.0</v>
      </c>
      <c r="I441" s="60"/>
      <c r="J441" s="60"/>
      <c r="K441" s="60"/>
      <c r="L441" s="60"/>
      <c r="M441" s="60"/>
      <c r="N441" s="60"/>
      <c r="O441" s="60"/>
      <c r="P441" s="60"/>
      <c r="Q441" s="60"/>
      <c r="R441" s="60"/>
      <c r="S441" s="60"/>
      <c r="T441" s="60"/>
      <c r="U441" s="60"/>
      <c r="V441" s="60"/>
      <c r="W441" s="60"/>
      <c r="X441" s="60"/>
      <c r="Y441" s="60"/>
      <c r="Z441" s="60"/>
    </row>
    <row r="442" ht="53.25" customHeight="1">
      <c r="A442" s="62">
        <v>257.0</v>
      </c>
      <c r="B442" s="60" t="s">
        <v>163</v>
      </c>
      <c r="C442" s="84" t="s">
        <v>22429</v>
      </c>
      <c r="D442" s="60" t="s">
        <v>20965</v>
      </c>
      <c r="E442" s="60" t="s">
        <v>19551</v>
      </c>
      <c r="F442" s="85" t="s">
        <v>22430</v>
      </c>
      <c r="G442" s="85" t="s">
        <v>21507</v>
      </c>
      <c r="H442" s="62">
        <v>35.0</v>
      </c>
      <c r="I442" s="60"/>
      <c r="J442" s="60"/>
      <c r="K442" s="60"/>
      <c r="L442" s="60"/>
      <c r="M442" s="60"/>
      <c r="N442" s="60"/>
      <c r="O442" s="60"/>
      <c r="P442" s="60"/>
      <c r="Q442" s="60"/>
      <c r="R442" s="60"/>
      <c r="S442" s="60"/>
      <c r="T442" s="60"/>
      <c r="U442" s="60"/>
      <c r="V442" s="60"/>
      <c r="W442" s="60"/>
      <c r="X442" s="60"/>
      <c r="Y442" s="60"/>
      <c r="Z442" s="60"/>
    </row>
    <row r="443" ht="53.25" customHeight="1">
      <c r="A443" s="62">
        <v>425.0</v>
      </c>
      <c r="B443" s="60" t="s">
        <v>1454</v>
      </c>
      <c r="C443" s="84" t="s">
        <v>22431</v>
      </c>
      <c r="D443" s="60" t="s">
        <v>20858</v>
      </c>
      <c r="E443" s="60" t="s">
        <v>20859</v>
      </c>
      <c r="F443" s="85" t="s">
        <v>22432</v>
      </c>
      <c r="G443" s="85" t="s">
        <v>21508</v>
      </c>
      <c r="H443" s="62">
        <v>35.0</v>
      </c>
      <c r="I443" s="60"/>
      <c r="J443" s="60"/>
      <c r="K443" s="60"/>
      <c r="L443" s="60"/>
      <c r="M443" s="60"/>
      <c r="N443" s="60"/>
      <c r="O443" s="60"/>
      <c r="P443" s="60"/>
      <c r="Q443" s="60"/>
      <c r="R443" s="60"/>
      <c r="S443" s="60"/>
      <c r="T443" s="60"/>
      <c r="U443" s="60"/>
      <c r="V443" s="60"/>
      <c r="W443" s="60"/>
      <c r="X443" s="60"/>
      <c r="Y443" s="60"/>
      <c r="Z443" s="60"/>
    </row>
    <row r="444" ht="53.25" customHeight="1">
      <c r="A444" s="62">
        <v>51.0</v>
      </c>
      <c r="B444" s="60" t="s">
        <v>1389</v>
      </c>
      <c r="C444" s="84" t="s">
        <v>22433</v>
      </c>
      <c r="D444" s="60" t="s">
        <v>20819</v>
      </c>
      <c r="E444" s="60" t="s">
        <v>19598</v>
      </c>
      <c r="F444" s="85" t="s">
        <v>22434</v>
      </c>
      <c r="G444" s="85" t="s">
        <v>21509</v>
      </c>
      <c r="H444" s="62">
        <v>35.0</v>
      </c>
      <c r="I444" s="60"/>
      <c r="J444" s="60"/>
      <c r="K444" s="60"/>
      <c r="L444" s="60"/>
      <c r="M444" s="60"/>
      <c r="N444" s="60"/>
      <c r="O444" s="60"/>
      <c r="P444" s="60"/>
      <c r="Q444" s="60"/>
      <c r="R444" s="60"/>
      <c r="S444" s="60"/>
      <c r="T444" s="60"/>
      <c r="U444" s="60"/>
      <c r="V444" s="60"/>
      <c r="W444" s="60"/>
      <c r="X444" s="60"/>
      <c r="Y444" s="60"/>
      <c r="Z444" s="60"/>
    </row>
    <row r="445" ht="53.25" customHeight="1">
      <c r="A445" s="62">
        <v>120.0</v>
      </c>
      <c r="B445" s="60" t="s">
        <v>1375</v>
      </c>
      <c r="C445" s="84" t="s">
        <v>22435</v>
      </c>
      <c r="D445" s="60" t="s">
        <v>20813</v>
      </c>
      <c r="E445" s="60" t="s">
        <v>19662</v>
      </c>
      <c r="F445" s="85" t="s">
        <v>22436</v>
      </c>
      <c r="G445" s="85" t="s">
        <v>21510</v>
      </c>
      <c r="H445" s="62">
        <v>35.0</v>
      </c>
      <c r="I445" s="60"/>
      <c r="J445" s="60"/>
      <c r="K445" s="60"/>
      <c r="L445" s="60"/>
      <c r="M445" s="60"/>
      <c r="N445" s="60"/>
      <c r="O445" s="60"/>
      <c r="P445" s="60"/>
      <c r="Q445" s="60"/>
      <c r="R445" s="60"/>
      <c r="S445" s="60"/>
      <c r="T445" s="60"/>
      <c r="U445" s="60"/>
      <c r="V445" s="60"/>
      <c r="W445" s="60"/>
      <c r="X445" s="60"/>
      <c r="Y445" s="60"/>
      <c r="Z445" s="60"/>
    </row>
    <row r="446" ht="53.25" customHeight="1">
      <c r="A446" s="62">
        <v>233.0</v>
      </c>
      <c r="B446" s="60" t="s">
        <v>1462</v>
      </c>
      <c r="C446" s="84" t="s">
        <v>22437</v>
      </c>
      <c r="D446" s="60" t="s">
        <v>20986</v>
      </c>
      <c r="E446" s="60" t="s">
        <v>19641</v>
      </c>
      <c r="F446" s="85" t="s">
        <v>22438</v>
      </c>
      <c r="G446" s="85" t="s">
        <v>21511</v>
      </c>
      <c r="H446" s="62">
        <v>35.0</v>
      </c>
      <c r="I446" s="60"/>
      <c r="J446" s="60"/>
      <c r="K446" s="60"/>
      <c r="L446" s="60"/>
      <c r="M446" s="60"/>
      <c r="N446" s="60"/>
      <c r="O446" s="60"/>
      <c r="P446" s="60"/>
      <c r="Q446" s="60"/>
      <c r="R446" s="60"/>
      <c r="S446" s="60"/>
      <c r="T446" s="60"/>
      <c r="U446" s="60"/>
      <c r="V446" s="60"/>
      <c r="W446" s="60"/>
      <c r="X446" s="60"/>
      <c r="Y446" s="60"/>
      <c r="Z446" s="60"/>
    </row>
    <row r="447" ht="53.25" customHeight="1">
      <c r="A447" s="60"/>
      <c r="B447" s="60"/>
      <c r="C447" s="84"/>
      <c r="D447" s="60"/>
      <c r="E447" s="60"/>
      <c r="F447" s="85"/>
      <c r="G447" s="85"/>
      <c r="H447" s="60"/>
      <c r="I447" s="60"/>
      <c r="J447" s="60"/>
      <c r="K447" s="60"/>
      <c r="L447" s="60"/>
      <c r="M447" s="60"/>
      <c r="N447" s="60"/>
      <c r="O447" s="60"/>
      <c r="P447" s="60"/>
      <c r="Q447" s="60"/>
      <c r="R447" s="60"/>
      <c r="S447" s="60"/>
      <c r="T447" s="60"/>
      <c r="U447" s="60"/>
      <c r="V447" s="60"/>
      <c r="W447" s="60"/>
      <c r="X447" s="60"/>
      <c r="Y447" s="60"/>
      <c r="Z447" s="60"/>
    </row>
    <row r="448" ht="53.25" customHeight="1">
      <c r="A448" s="60"/>
      <c r="B448" s="60"/>
      <c r="C448" s="84"/>
      <c r="D448" s="60"/>
      <c r="E448" s="60"/>
      <c r="F448" s="85"/>
      <c r="G448" s="85"/>
      <c r="H448" s="60"/>
      <c r="I448" s="60"/>
      <c r="J448" s="60"/>
      <c r="K448" s="60"/>
      <c r="L448" s="60"/>
      <c r="M448" s="60"/>
      <c r="N448" s="60"/>
      <c r="O448" s="60"/>
      <c r="P448" s="60"/>
      <c r="Q448" s="60"/>
      <c r="R448" s="60"/>
      <c r="S448" s="60"/>
      <c r="T448" s="60"/>
      <c r="U448" s="60"/>
      <c r="V448" s="60"/>
      <c r="W448" s="60"/>
      <c r="X448" s="60"/>
      <c r="Y448" s="60"/>
      <c r="Z448" s="60"/>
    </row>
    <row r="449" ht="53.25" customHeight="1">
      <c r="A449" s="60"/>
      <c r="B449" s="60"/>
      <c r="C449" s="84"/>
      <c r="D449" s="60"/>
      <c r="E449" s="60"/>
      <c r="F449" s="85"/>
      <c r="G449" s="85"/>
      <c r="H449" s="60"/>
      <c r="I449" s="60"/>
      <c r="J449" s="60"/>
      <c r="K449" s="60"/>
      <c r="L449" s="60"/>
      <c r="M449" s="60"/>
      <c r="N449" s="60"/>
      <c r="O449" s="60"/>
      <c r="P449" s="60"/>
      <c r="Q449" s="60"/>
      <c r="R449" s="60"/>
      <c r="S449" s="60"/>
      <c r="T449" s="60"/>
      <c r="U449" s="60"/>
      <c r="V449" s="60"/>
      <c r="W449" s="60"/>
      <c r="X449" s="60"/>
      <c r="Y449" s="60"/>
      <c r="Z449" s="60"/>
    </row>
    <row r="450" ht="53.25" customHeight="1">
      <c r="A450" s="60"/>
      <c r="B450" s="60"/>
      <c r="C450" s="84"/>
      <c r="D450" s="60"/>
      <c r="E450" s="60"/>
      <c r="F450" s="85"/>
      <c r="G450" s="85"/>
      <c r="H450" s="60"/>
      <c r="I450" s="60"/>
      <c r="J450" s="60"/>
      <c r="K450" s="60"/>
      <c r="L450" s="60"/>
      <c r="M450" s="60"/>
      <c r="N450" s="60"/>
      <c r="O450" s="60"/>
      <c r="P450" s="60"/>
      <c r="Q450" s="60"/>
      <c r="R450" s="60"/>
      <c r="S450" s="60"/>
      <c r="T450" s="60"/>
      <c r="U450" s="60"/>
      <c r="V450" s="60"/>
      <c r="W450" s="60"/>
      <c r="X450" s="60"/>
      <c r="Y450" s="60"/>
      <c r="Z450" s="60"/>
    </row>
    <row r="451" ht="53.25" customHeight="1">
      <c r="A451" s="60"/>
      <c r="B451" s="60"/>
      <c r="C451" s="84"/>
      <c r="D451" s="60"/>
      <c r="E451" s="60"/>
      <c r="F451" s="85"/>
      <c r="G451" s="85"/>
      <c r="H451" s="60"/>
      <c r="I451" s="60"/>
      <c r="J451" s="60"/>
      <c r="K451" s="60"/>
      <c r="L451" s="60"/>
      <c r="M451" s="60"/>
      <c r="N451" s="60"/>
      <c r="O451" s="60"/>
      <c r="P451" s="60"/>
      <c r="Q451" s="60"/>
      <c r="R451" s="60"/>
      <c r="S451" s="60"/>
      <c r="T451" s="60"/>
      <c r="U451" s="60"/>
      <c r="V451" s="60"/>
      <c r="W451" s="60"/>
      <c r="X451" s="60"/>
      <c r="Y451" s="60"/>
      <c r="Z451" s="60"/>
    </row>
    <row r="452" ht="53.25" customHeight="1">
      <c r="A452" s="60"/>
      <c r="B452" s="60"/>
      <c r="C452" s="84"/>
      <c r="D452" s="60"/>
      <c r="E452" s="60"/>
      <c r="F452" s="85"/>
      <c r="G452" s="85"/>
      <c r="H452" s="60"/>
      <c r="I452" s="60"/>
      <c r="J452" s="60"/>
      <c r="K452" s="60"/>
      <c r="L452" s="60"/>
      <c r="M452" s="60"/>
      <c r="N452" s="60"/>
      <c r="O452" s="60"/>
      <c r="P452" s="60"/>
      <c r="Q452" s="60"/>
      <c r="R452" s="60"/>
      <c r="S452" s="60"/>
      <c r="T452" s="60"/>
      <c r="U452" s="60"/>
      <c r="V452" s="60"/>
      <c r="W452" s="60"/>
      <c r="X452" s="60"/>
      <c r="Y452" s="60"/>
      <c r="Z452" s="60"/>
    </row>
    <row r="453" ht="53.25" customHeight="1">
      <c r="A453" s="60"/>
      <c r="B453" s="60"/>
      <c r="C453" s="84"/>
      <c r="D453" s="60"/>
      <c r="E453" s="60"/>
      <c r="F453" s="85"/>
      <c r="G453" s="85"/>
      <c r="H453" s="60"/>
      <c r="I453" s="60"/>
      <c r="J453" s="60"/>
      <c r="K453" s="60"/>
      <c r="L453" s="60"/>
      <c r="M453" s="60"/>
      <c r="N453" s="60"/>
      <c r="O453" s="60"/>
      <c r="P453" s="60"/>
      <c r="Q453" s="60"/>
      <c r="R453" s="60"/>
      <c r="S453" s="60"/>
      <c r="T453" s="60"/>
      <c r="U453" s="60"/>
      <c r="V453" s="60"/>
      <c r="W453" s="60"/>
      <c r="X453" s="60"/>
      <c r="Y453" s="60"/>
      <c r="Z453" s="60"/>
    </row>
    <row r="454" ht="53.25" customHeight="1">
      <c r="A454" s="60"/>
      <c r="B454" s="60"/>
      <c r="C454" s="84"/>
      <c r="D454" s="60"/>
      <c r="E454" s="60"/>
      <c r="F454" s="85"/>
      <c r="G454" s="85"/>
      <c r="H454" s="60"/>
      <c r="I454" s="60"/>
      <c r="J454" s="60"/>
      <c r="K454" s="60"/>
      <c r="L454" s="60"/>
      <c r="M454" s="60"/>
      <c r="N454" s="60"/>
      <c r="O454" s="60"/>
      <c r="P454" s="60"/>
      <c r="Q454" s="60"/>
      <c r="R454" s="60"/>
      <c r="S454" s="60"/>
      <c r="T454" s="60"/>
      <c r="U454" s="60"/>
      <c r="V454" s="60"/>
      <c r="W454" s="60"/>
      <c r="X454" s="60"/>
      <c r="Y454" s="60"/>
      <c r="Z454" s="60"/>
    </row>
    <row r="455" ht="53.25" customHeight="1">
      <c r="A455" s="60"/>
      <c r="B455" s="60"/>
      <c r="C455" s="84"/>
      <c r="D455" s="60"/>
      <c r="E455" s="60"/>
      <c r="F455" s="85"/>
      <c r="G455" s="85"/>
      <c r="H455" s="60"/>
      <c r="I455" s="60"/>
      <c r="J455" s="60"/>
      <c r="K455" s="60"/>
      <c r="L455" s="60"/>
      <c r="M455" s="60"/>
      <c r="N455" s="60"/>
      <c r="O455" s="60"/>
      <c r="P455" s="60"/>
      <c r="Q455" s="60"/>
      <c r="R455" s="60"/>
      <c r="S455" s="60"/>
      <c r="T455" s="60"/>
      <c r="U455" s="60"/>
      <c r="V455" s="60"/>
      <c r="W455" s="60"/>
      <c r="X455" s="60"/>
      <c r="Y455" s="60"/>
      <c r="Z455" s="60"/>
    </row>
    <row r="456" ht="53.25" customHeight="1">
      <c r="A456" s="60"/>
      <c r="B456" s="60"/>
      <c r="C456" s="84"/>
      <c r="D456" s="60"/>
      <c r="E456" s="60"/>
      <c r="F456" s="85"/>
      <c r="G456" s="85"/>
      <c r="H456" s="60"/>
      <c r="I456" s="60"/>
      <c r="J456" s="60"/>
      <c r="K456" s="60"/>
      <c r="L456" s="60"/>
      <c r="M456" s="60"/>
      <c r="N456" s="60"/>
      <c r="O456" s="60"/>
      <c r="P456" s="60"/>
      <c r="Q456" s="60"/>
      <c r="R456" s="60"/>
      <c r="S456" s="60"/>
      <c r="T456" s="60"/>
      <c r="U456" s="60"/>
      <c r="V456" s="60"/>
      <c r="W456" s="60"/>
      <c r="X456" s="60"/>
      <c r="Y456" s="60"/>
      <c r="Z456" s="60"/>
    </row>
    <row r="457" ht="53.25" customHeight="1">
      <c r="A457" s="60"/>
      <c r="B457" s="60"/>
      <c r="C457" s="84"/>
      <c r="D457" s="60"/>
      <c r="E457" s="60"/>
      <c r="F457" s="85"/>
      <c r="G457" s="85"/>
      <c r="H457" s="60"/>
      <c r="I457" s="60"/>
      <c r="J457" s="60"/>
      <c r="K457" s="60"/>
      <c r="L457" s="60"/>
      <c r="M457" s="60"/>
      <c r="N457" s="60"/>
      <c r="O457" s="60"/>
      <c r="P457" s="60"/>
      <c r="Q457" s="60"/>
      <c r="R457" s="60"/>
      <c r="S457" s="60"/>
      <c r="T457" s="60"/>
      <c r="U457" s="60"/>
      <c r="V457" s="60"/>
      <c r="W457" s="60"/>
      <c r="X457" s="60"/>
      <c r="Y457" s="60"/>
      <c r="Z457" s="60"/>
    </row>
    <row r="458" ht="53.25" customHeight="1">
      <c r="A458" s="60"/>
      <c r="B458" s="60"/>
      <c r="C458" s="84"/>
      <c r="D458" s="60"/>
      <c r="E458" s="60"/>
      <c r="F458" s="85"/>
      <c r="G458" s="85"/>
      <c r="H458" s="60"/>
      <c r="I458" s="60"/>
      <c r="J458" s="60"/>
      <c r="K458" s="60"/>
      <c r="L458" s="60"/>
      <c r="M458" s="60"/>
      <c r="N458" s="60"/>
      <c r="O458" s="60"/>
      <c r="P458" s="60"/>
      <c r="Q458" s="60"/>
      <c r="R458" s="60"/>
      <c r="S458" s="60"/>
      <c r="T458" s="60"/>
      <c r="U458" s="60"/>
      <c r="V458" s="60"/>
      <c r="W458" s="60"/>
      <c r="X458" s="60"/>
      <c r="Y458" s="60"/>
      <c r="Z458" s="60"/>
    </row>
    <row r="459" ht="53.25" customHeight="1">
      <c r="A459" s="60"/>
      <c r="B459" s="60"/>
      <c r="C459" s="84"/>
      <c r="D459" s="60"/>
      <c r="E459" s="60"/>
      <c r="F459" s="85"/>
      <c r="G459" s="85"/>
      <c r="H459" s="60"/>
      <c r="I459" s="60"/>
      <c r="J459" s="60"/>
      <c r="K459" s="60"/>
      <c r="L459" s="60"/>
      <c r="M459" s="60"/>
      <c r="N459" s="60"/>
      <c r="O459" s="60"/>
      <c r="P459" s="60"/>
      <c r="Q459" s="60"/>
      <c r="R459" s="60"/>
      <c r="S459" s="60"/>
      <c r="T459" s="60"/>
      <c r="U459" s="60"/>
      <c r="V459" s="60"/>
      <c r="W459" s="60"/>
      <c r="X459" s="60"/>
      <c r="Y459" s="60"/>
      <c r="Z459" s="60"/>
    </row>
    <row r="460" ht="53.25" customHeight="1">
      <c r="A460" s="60"/>
      <c r="B460" s="60"/>
      <c r="C460" s="84"/>
      <c r="D460" s="60"/>
      <c r="E460" s="60"/>
      <c r="F460" s="85"/>
      <c r="G460" s="85"/>
      <c r="H460" s="60"/>
      <c r="I460" s="60"/>
      <c r="J460" s="60"/>
      <c r="K460" s="60"/>
      <c r="L460" s="60"/>
      <c r="M460" s="60"/>
      <c r="N460" s="60"/>
      <c r="O460" s="60"/>
      <c r="P460" s="60"/>
      <c r="Q460" s="60"/>
      <c r="R460" s="60"/>
      <c r="S460" s="60"/>
      <c r="T460" s="60"/>
      <c r="U460" s="60"/>
      <c r="V460" s="60"/>
      <c r="W460" s="60"/>
      <c r="X460" s="60"/>
      <c r="Y460" s="60"/>
      <c r="Z460" s="60"/>
    </row>
    <row r="461" ht="53.25" customHeight="1">
      <c r="A461" s="60"/>
      <c r="B461" s="60"/>
      <c r="C461" s="84"/>
      <c r="D461" s="60"/>
      <c r="E461" s="60"/>
      <c r="F461" s="85"/>
      <c r="G461" s="85"/>
      <c r="H461" s="60"/>
      <c r="I461" s="60"/>
      <c r="J461" s="60"/>
      <c r="K461" s="60"/>
      <c r="L461" s="60"/>
      <c r="M461" s="60"/>
      <c r="N461" s="60"/>
      <c r="O461" s="60"/>
      <c r="P461" s="60"/>
      <c r="Q461" s="60"/>
      <c r="R461" s="60"/>
      <c r="S461" s="60"/>
      <c r="T461" s="60"/>
      <c r="U461" s="60"/>
      <c r="V461" s="60"/>
      <c r="W461" s="60"/>
      <c r="X461" s="60"/>
      <c r="Y461" s="60"/>
      <c r="Z461" s="60"/>
    </row>
    <row r="462" ht="53.25" customHeight="1">
      <c r="A462" s="60"/>
      <c r="B462" s="60"/>
      <c r="C462" s="84"/>
      <c r="D462" s="60"/>
      <c r="E462" s="60"/>
      <c r="F462" s="85"/>
      <c r="G462" s="85"/>
      <c r="H462" s="60"/>
      <c r="I462" s="60"/>
      <c r="J462" s="60"/>
      <c r="K462" s="60"/>
      <c r="L462" s="60"/>
      <c r="M462" s="60"/>
      <c r="N462" s="60"/>
      <c r="O462" s="60"/>
      <c r="P462" s="60"/>
      <c r="Q462" s="60"/>
      <c r="R462" s="60"/>
      <c r="S462" s="60"/>
      <c r="T462" s="60"/>
      <c r="U462" s="60"/>
      <c r="V462" s="60"/>
      <c r="W462" s="60"/>
      <c r="X462" s="60"/>
      <c r="Y462" s="60"/>
      <c r="Z462" s="60"/>
    </row>
    <row r="463" ht="53.25" customHeight="1">
      <c r="A463" s="60"/>
      <c r="B463" s="60"/>
      <c r="C463" s="84"/>
      <c r="D463" s="60"/>
      <c r="E463" s="60"/>
      <c r="F463" s="85"/>
      <c r="G463" s="85"/>
      <c r="H463" s="60"/>
      <c r="I463" s="60"/>
      <c r="J463" s="60"/>
      <c r="K463" s="60"/>
      <c r="L463" s="60"/>
      <c r="M463" s="60"/>
      <c r="N463" s="60"/>
      <c r="O463" s="60"/>
      <c r="P463" s="60"/>
      <c r="Q463" s="60"/>
      <c r="R463" s="60"/>
      <c r="S463" s="60"/>
      <c r="T463" s="60"/>
      <c r="U463" s="60"/>
      <c r="V463" s="60"/>
      <c r="W463" s="60"/>
      <c r="X463" s="60"/>
      <c r="Y463" s="60"/>
      <c r="Z463" s="60"/>
    </row>
    <row r="464" ht="53.25" customHeight="1">
      <c r="A464" s="60"/>
      <c r="B464" s="60"/>
      <c r="C464" s="84"/>
      <c r="D464" s="60"/>
      <c r="E464" s="60"/>
      <c r="F464" s="85"/>
      <c r="G464" s="85"/>
      <c r="H464" s="60"/>
      <c r="I464" s="60"/>
      <c r="J464" s="60"/>
      <c r="K464" s="60"/>
      <c r="L464" s="60"/>
      <c r="M464" s="60"/>
      <c r="N464" s="60"/>
      <c r="O464" s="60"/>
      <c r="P464" s="60"/>
      <c r="Q464" s="60"/>
      <c r="R464" s="60"/>
      <c r="S464" s="60"/>
      <c r="T464" s="60"/>
      <c r="U464" s="60"/>
      <c r="V464" s="60"/>
      <c r="W464" s="60"/>
      <c r="X464" s="60"/>
      <c r="Y464" s="60"/>
      <c r="Z464" s="60"/>
    </row>
    <row r="465" ht="53.25" customHeight="1">
      <c r="A465" s="60"/>
      <c r="B465" s="60"/>
      <c r="C465" s="84"/>
      <c r="D465" s="60"/>
      <c r="E465" s="60"/>
      <c r="F465" s="85"/>
      <c r="G465" s="85"/>
      <c r="H465" s="60"/>
      <c r="I465" s="60"/>
      <c r="J465" s="60"/>
      <c r="K465" s="60"/>
      <c r="L465" s="60"/>
      <c r="M465" s="60"/>
      <c r="N465" s="60"/>
      <c r="O465" s="60"/>
      <c r="P465" s="60"/>
      <c r="Q465" s="60"/>
      <c r="R465" s="60"/>
      <c r="S465" s="60"/>
      <c r="T465" s="60"/>
      <c r="U465" s="60"/>
      <c r="V465" s="60"/>
      <c r="W465" s="60"/>
      <c r="X465" s="60"/>
      <c r="Y465" s="60"/>
      <c r="Z465" s="60"/>
    </row>
    <row r="466" ht="53.25" customHeight="1">
      <c r="A466" s="60"/>
      <c r="B466" s="60"/>
      <c r="C466" s="84"/>
      <c r="D466" s="60"/>
      <c r="E466" s="60"/>
      <c r="F466" s="85"/>
      <c r="G466" s="85"/>
      <c r="H466" s="60"/>
      <c r="I466" s="60"/>
      <c r="J466" s="60"/>
      <c r="K466" s="60"/>
      <c r="L466" s="60"/>
      <c r="M466" s="60"/>
      <c r="N466" s="60"/>
      <c r="O466" s="60"/>
      <c r="P466" s="60"/>
      <c r="Q466" s="60"/>
      <c r="R466" s="60"/>
      <c r="S466" s="60"/>
      <c r="T466" s="60"/>
      <c r="U466" s="60"/>
      <c r="V466" s="60"/>
      <c r="W466" s="60"/>
      <c r="X466" s="60"/>
      <c r="Y466" s="60"/>
      <c r="Z466" s="60"/>
    </row>
    <row r="467" ht="53.25" customHeight="1">
      <c r="A467" s="60"/>
      <c r="B467" s="60"/>
      <c r="C467" s="84"/>
      <c r="D467" s="60"/>
      <c r="E467" s="60"/>
      <c r="F467" s="85"/>
      <c r="G467" s="85"/>
      <c r="H467" s="60"/>
      <c r="I467" s="60"/>
      <c r="J467" s="60"/>
      <c r="K467" s="60"/>
      <c r="L467" s="60"/>
      <c r="M467" s="60"/>
      <c r="N467" s="60"/>
      <c r="O467" s="60"/>
      <c r="P467" s="60"/>
      <c r="Q467" s="60"/>
      <c r="R467" s="60"/>
      <c r="S467" s="60"/>
      <c r="T467" s="60"/>
      <c r="U467" s="60"/>
      <c r="V467" s="60"/>
      <c r="W467" s="60"/>
      <c r="X467" s="60"/>
      <c r="Y467" s="60"/>
      <c r="Z467" s="60"/>
    </row>
    <row r="468" ht="53.25" customHeight="1">
      <c r="A468" s="60"/>
      <c r="B468" s="60"/>
      <c r="C468" s="84"/>
      <c r="D468" s="60"/>
      <c r="E468" s="60"/>
      <c r="F468" s="85"/>
      <c r="G468" s="85"/>
      <c r="H468" s="60"/>
      <c r="I468" s="60"/>
      <c r="J468" s="60"/>
      <c r="K468" s="60"/>
      <c r="L468" s="60"/>
      <c r="M468" s="60"/>
      <c r="N468" s="60"/>
      <c r="O468" s="60"/>
      <c r="P468" s="60"/>
      <c r="Q468" s="60"/>
      <c r="R468" s="60"/>
      <c r="S468" s="60"/>
      <c r="T468" s="60"/>
      <c r="U468" s="60"/>
      <c r="V468" s="60"/>
      <c r="W468" s="60"/>
      <c r="X468" s="60"/>
      <c r="Y468" s="60"/>
      <c r="Z468" s="60"/>
    </row>
    <row r="469" ht="53.25" customHeight="1">
      <c r="A469" s="60"/>
      <c r="B469" s="60"/>
      <c r="C469" s="84"/>
      <c r="D469" s="60"/>
      <c r="E469" s="60"/>
      <c r="F469" s="85"/>
      <c r="G469" s="85"/>
      <c r="H469" s="60"/>
      <c r="I469" s="60"/>
      <c r="J469" s="60"/>
      <c r="K469" s="60"/>
      <c r="L469" s="60"/>
      <c r="M469" s="60"/>
      <c r="N469" s="60"/>
      <c r="O469" s="60"/>
      <c r="P469" s="60"/>
      <c r="Q469" s="60"/>
      <c r="R469" s="60"/>
      <c r="S469" s="60"/>
      <c r="T469" s="60"/>
      <c r="U469" s="60"/>
      <c r="V469" s="60"/>
      <c r="W469" s="60"/>
      <c r="X469" s="60"/>
      <c r="Y469" s="60"/>
      <c r="Z469" s="60"/>
    </row>
    <row r="470" ht="53.25" customHeight="1">
      <c r="A470" s="60"/>
      <c r="B470" s="60"/>
      <c r="C470" s="84"/>
      <c r="D470" s="60"/>
      <c r="E470" s="60"/>
      <c r="F470" s="85"/>
      <c r="G470" s="85"/>
      <c r="H470" s="60"/>
      <c r="I470" s="60"/>
      <c r="J470" s="60"/>
      <c r="K470" s="60"/>
      <c r="L470" s="60"/>
      <c r="M470" s="60"/>
      <c r="N470" s="60"/>
      <c r="O470" s="60"/>
      <c r="P470" s="60"/>
      <c r="Q470" s="60"/>
      <c r="R470" s="60"/>
      <c r="S470" s="60"/>
      <c r="T470" s="60"/>
      <c r="U470" s="60"/>
      <c r="V470" s="60"/>
      <c r="W470" s="60"/>
      <c r="X470" s="60"/>
      <c r="Y470" s="60"/>
      <c r="Z470" s="60"/>
    </row>
    <row r="471" ht="53.25" customHeight="1">
      <c r="A471" s="60"/>
      <c r="B471" s="60"/>
      <c r="C471" s="84"/>
      <c r="D471" s="60"/>
      <c r="E471" s="60"/>
      <c r="F471" s="85"/>
      <c r="G471" s="85"/>
      <c r="H471" s="60"/>
      <c r="I471" s="60"/>
      <c r="J471" s="60"/>
      <c r="K471" s="60"/>
      <c r="L471" s="60"/>
      <c r="M471" s="60"/>
      <c r="N471" s="60"/>
      <c r="O471" s="60"/>
      <c r="P471" s="60"/>
      <c r="Q471" s="60"/>
      <c r="R471" s="60"/>
      <c r="S471" s="60"/>
      <c r="T471" s="60"/>
      <c r="U471" s="60"/>
      <c r="V471" s="60"/>
      <c r="W471" s="60"/>
      <c r="X471" s="60"/>
      <c r="Y471" s="60"/>
      <c r="Z471" s="60"/>
    </row>
    <row r="472" ht="53.25" customHeight="1">
      <c r="A472" s="60"/>
      <c r="B472" s="60"/>
      <c r="C472" s="84"/>
      <c r="D472" s="60"/>
      <c r="E472" s="60"/>
      <c r="F472" s="85"/>
      <c r="G472" s="85"/>
      <c r="H472" s="60"/>
      <c r="I472" s="60"/>
      <c r="J472" s="60"/>
      <c r="K472" s="60"/>
      <c r="L472" s="60"/>
      <c r="M472" s="60"/>
      <c r="N472" s="60"/>
      <c r="O472" s="60"/>
      <c r="P472" s="60"/>
      <c r="Q472" s="60"/>
      <c r="R472" s="60"/>
      <c r="S472" s="60"/>
      <c r="T472" s="60"/>
      <c r="U472" s="60"/>
      <c r="V472" s="60"/>
      <c r="W472" s="60"/>
      <c r="X472" s="60"/>
      <c r="Y472" s="60"/>
      <c r="Z472" s="60"/>
    </row>
    <row r="473" ht="53.25" customHeight="1">
      <c r="A473" s="60"/>
      <c r="B473" s="60"/>
      <c r="C473" s="84"/>
      <c r="D473" s="60"/>
      <c r="E473" s="60"/>
      <c r="F473" s="85"/>
      <c r="G473" s="85"/>
      <c r="H473" s="60"/>
      <c r="I473" s="60"/>
      <c r="J473" s="60"/>
      <c r="K473" s="60"/>
      <c r="L473" s="60"/>
      <c r="M473" s="60"/>
      <c r="N473" s="60"/>
      <c r="O473" s="60"/>
      <c r="P473" s="60"/>
      <c r="Q473" s="60"/>
      <c r="R473" s="60"/>
      <c r="S473" s="60"/>
      <c r="T473" s="60"/>
      <c r="U473" s="60"/>
      <c r="V473" s="60"/>
      <c r="W473" s="60"/>
      <c r="X473" s="60"/>
      <c r="Y473" s="60"/>
      <c r="Z473" s="60"/>
    </row>
    <row r="474" ht="53.25" customHeight="1">
      <c r="A474" s="60"/>
      <c r="B474" s="60"/>
      <c r="C474" s="84"/>
      <c r="D474" s="60"/>
      <c r="E474" s="60"/>
      <c r="F474" s="85"/>
      <c r="G474" s="85"/>
      <c r="H474" s="60"/>
      <c r="I474" s="60"/>
      <c r="J474" s="60"/>
      <c r="K474" s="60"/>
      <c r="L474" s="60"/>
      <c r="M474" s="60"/>
      <c r="N474" s="60"/>
      <c r="O474" s="60"/>
      <c r="P474" s="60"/>
      <c r="Q474" s="60"/>
      <c r="R474" s="60"/>
      <c r="S474" s="60"/>
      <c r="T474" s="60"/>
      <c r="U474" s="60"/>
      <c r="V474" s="60"/>
      <c r="W474" s="60"/>
      <c r="X474" s="60"/>
      <c r="Y474" s="60"/>
      <c r="Z474" s="60"/>
    </row>
    <row r="475" ht="53.25" customHeight="1">
      <c r="A475" s="60"/>
      <c r="B475" s="60"/>
      <c r="C475" s="84"/>
      <c r="D475" s="60"/>
      <c r="E475" s="60"/>
      <c r="F475" s="85"/>
      <c r="G475" s="85"/>
      <c r="H475" s="60"/>
      <c r="I475" s="60"/>
      <c r="J475" s="60"/>
      <c r="K475" s="60"/>
      <c r="L475" s="60"/>
      <c r="M475" s="60"/>
      <c r="N475" s="60"/>
      <c r="O475" s="60"/>
      <c r="P475" s="60"/>
      <c r="Q475" s="60"/>
      <c r="R475" s="60"/>
      <c r="S475" s="60"/>
      <c r="T475" s="60"/>
      <c r="U475" s="60"/>
      <c r="V475" s="60"/>
      <c r="W475" s="60"/>
      <c r="X475" s="60"/>
      <c r="Y475" s="60"/>
      <c r="Z475" s="60"/>
    </row>
    <row r="476" ht="53.25" customHeight="1">
      <c r="A476" s="60"/>
      <c r="B476" s="60"/>
      <c r="C476" s="84"/>
      <c r="D476" s="60"/>
      <c r="E476" s="60"/>
      <c r="F476" s="85"/>
      <c r="G476" s="85"/>
      <c r="H476" s="60"/>
      <c r="I476" s="60"/>
      <c r="J476" s="60"/>
      <c r="K476" s="60"/>
      <c r="L476" s="60"/>
      <c r="M476" s="60"/>
      <c r="N476" s="60"/>
      <c r="O476" s="60"/>
      <c r="P476" s="60"/>
      <c r="Q476" s="60"/>
      <c r="R476" s="60"/>
      <c r="S476" s="60"/>
      <c r="T476" s="60"/>
      <c r="U476" s="60"/>
      <c r="V476" s="60"/>
      <c r="W476" s="60"/>
      <c r="X476" s="60"/>
      <c r="Y476" s="60"/>
      <c r="Z476" s="60"/>
    </row>
    <row r="477" ht="53.25" customHeight="1">
      <c r="A477" s="60"/>
      <c r="B477" s="60"/>
      <c r="C477" s="84"/>
      <c r="D477" s="60"/>
      <c r="E477" s="60"/>
      <c r="F477" s="85"/>
      <c r="G477" s="85"/>
      <c r="H477" s="60"/>
      <c r="I477" s="60"/>
      <c r="J477" s="60"/>
      <c r="K477" s="60"/>
      <c r="L477" s="60"/>
      <c r="M477" s="60"/>
      <c r="N477" s="60"/>
      <c r="O477" s="60"/>
      <c r="P477" s="60"/>
      <c r="Q477" s="60"/>
      <c r="R477" s="60"/>
      <c r="S477" s="60"/>
      <c r="T477" s="60"/>
      <c r="U477" s="60"/>
      <c r="V477" s="60"/>
      <c r="W477" s="60"/>
      <c r="X477" s="60"/>
      <c r="Y477" s="60"/>
      <c r="Z477" s="60"/>
    </row>
    <row r="478" ht="53.25" customHeight="1">
      <c r="A478" s="60"/>
      <c r="B478" s="60"/>
      <c r="C478" s="84"/>
      <c r="D478" s="60"/>
      <c r="E478" s="60"/>
      <c r="F478" s="85"/>
      <c r="G478" s="85"/>
      <c r="H478" s="60"/>
      <c r="I478" s="60"/>
      <c r="J478" s="60"/>
      <c r="K478" s="60"/>
      <c r="L478" s="60"/>
      <c r="M478" s="60"/>
      <c r="N478" s="60"/>
      <c r="O478" s="60"/>
      <c r="P478" s="60"/>
      <c r="Q478" s="60"/>
      <c r="R478" s="60"/>
      <c r="S478" s="60"/>
      <c r="T478" s="60"/>
      <c r="U478" s="60"/>
      <c r="V478" s="60"/>
      <c r="W478" s="60"/>
      <c r="X478" s="60"/>
      <c r="Y478" s="60"/>
      <c r="Z478" s="60"/>
    </row>
    <row r="479" ht="53.25" customHeight="1">
      <c r="A479" s="60"/>
      <c r="B479" s="60"/>
      <c r="C479" s="84"/>
      <c r="D479" s="60"/>
      <c r="E479" s="60"/>
      <c r="F479" s="85"/>
      <c r="G479" s="85"/>
      <c r="H479" s="60"/>
      <c r="I479" s="60"/>
      <c r="J479" s="60"/>
      <c r="K479" s="60"/>
      <c r="L479" s="60"/>
      <c r="M479" s="60"/>
      <c r="N479" s="60"/>
      <c r="O479" s="60"/>
      <c r="P479" s="60"/>
      <c r="Q479" s="60"/>
      <c r="R479" s="60"/>
      <c r="S479" s="60"/>
      <c r="T479" s="60"/>
      <c r="U479" s="60"/>
      <c r="V479" s="60"/>
      <c r="W479" s="60"/>
      <c r="X479" s="60"/>
      <c r="Y479" s="60"/>
      <c r="Z479" s="60"/>
    </row>
    <row r="480" ht="53.25" customHeight="1">
      <c r="A480" s="60"/>
      <c r="B480" s="60"/>
      <c r="C480" s="84"/>
      <c r="D480" s="60"/>
      <c r="E480" s="60"/>
      <c r="F480" s="85"/>
      <c r="G480" s="85"/>
      <c r="H480" s="60"/>
      <c r="I480" s="60"/>
      <c r="J480" s="60"/>
      <c r="K480" s="60"/>
      <c r="L480" s="60"/>
      <c r="M480" s="60"/>
      <c r="N480" s="60"/>
      <c r="O480" s="60"/>
      <c r="P480" s="60"/>
      <c r="Q480" s="60"/>
      <c r="R480" s="60"/>
      <c r="S480" s="60"/>
      <c r="T480" s="60"/>
      <c r="U480" s="60"/>
      <c r="V480" s="60"/>
      <c r="W480" s="60"/>
      <c r="X480" s="60"/>
      <c r="Y480" s="60"/>
      <c r="Z480" s="60"/>
    </row>
    <row r="481" ht="53.25" customHeight="1">
      <c r="A481" s="60"/>
      <c r="B481" s="60"/>
      <c r="C481" s="84"/>
      <c r="D481" s="60"/>
      <c r="E481" s="60"/>
      <c r="F481" s="85"/>
      <c r="G481" s="85"/>
      <c r="H481" s="60"/>
      <c r="I481" s="60"/>
      <c r="J481" s="60"/>
      <c r="K481" s="60"/>
      <c r="L481" s="60"/>
      <c r="M481" s="60"/>
      <c r="N481" s="60"/>
      <c r="O481" s="60"/>
      <c r="P481" s="60"/>
      <c r="Q481" s="60"/>
      <c r="R481" s="60"/>
      <c r="S481" s="60"/>
      <c r="T481" s="60"/>
      <c r="U481" s="60"/>
      <c r="V481" s="60"/>
      <c r="W481" s="60"/>
      <c r="X481" s="60"/>
      <c r="Y481" s="60"/>
      <c r="Z481" s="60"/>
    </row>
    <row r="482" ht="53.25" customHeight="1">
      <c r="A482" s="60"/>
      <c r="B482" s="60"/>
      <c r="C482" s="84"/>
      <c r="D482" s="60"/>
      <c r="E482" s="60"/>
      <c r="F482" s="85"/>
      <c r="G482" s="85"/>
      <c r="H482" s="60"/>
      <c r="I482" s="60"/>
      <c r="J482" s="60"/>
      <c r="K482" s="60"/>
      <c r="L482" s="60"/>
      <c r="M482" s="60"/>
      <c r="N482" s="60"/>
      <c r="O482" s="60"/>
      <c r="P482" s="60"/>
      <c r="Q482" s="60"/>
      <c r="R482" s="60"/>
      <c r="S482" s="60"/>
      <c r="T482" s="60"/>
      <c r="U482" s="60"/>
      <c r="V482" s="60"/>
      <c r="W482" s="60"/>
      <c r="X482" s="60"/>
      <c r="Y482" s="60"/>
      <c r="Z482" s="60"/>
    </row>
    <row r="483" ht="53.25" customHeight="1">
      <c r="A483" s="60"/>
      <c r="B483" s="60"/>
      <c r="C483" s="84"/>
      <c r="D483" s="60"/>
      <c r="E483" s="60"/>
      <c r="F483" s="85"/>
      <c r="G483" s="85"/>
      <c r="H483" s="60"/>
      <c r="I483" s="60"/>
      <c r="J483" s="60"/>
      <c r="K483" s="60"/>
      <c r="L483" s="60"/>
      <c r="M483" s="60"/>
      <c r="N483" s="60"/>
      <c r="O483" s="60"/>
      <c r="P483" s="60"/>
      <c r="Q483" s="60"/>
      <c r="R483" s="60"/>
      <c r="S483" s="60"/>
      <c r="T483" s="60"/>
      <c r="U483" s="60"/>
      <c r="V483" s="60"/>
      <c r="W483" s="60"/>
      <c r="X483" s="60"/>
      <c r="Y483" s="60"/>
      <c r="Z483" s="60"/>
    </row>
    <row r="484" ht="53.25" customHeight="1">
      <c r="A484" s="60"/>
      <c r="B484" s="60"/>
      <c r="C484" s="84"/>
      <c r="D484" s="60"/>
      <c r="E484" s="60"/>
      <c r="F484" s="85"/>
      <c r="G484" s="85"/>
      <c r="H484" s="60"/>
      <c r="I484" s="60"/>
      <c r="J484" s="60"/>
      <c r="K484" s="60"/>
      <c r="L484" s="60"/>
      <c r="M484" s="60"/>
      <c r="N484" s="60"/>
      <c r="O484" s="60"/>
      <c r="P484" s="60"/>
      <c r="Q484" s="60"/>
      <c r="R484" s="60"/>
      <c r="S484" s="60"/>
      <c r="T484" s="60"/>
      <c r="U484" s="60"/>
      <c r="V484" s="60"/>
      <c r="W484" s="60"/>
      <c r="X484" s="60"/>
      <c r="Y484" s="60"/>
      <c r="Z484" s="60"/>
    </row>
    <row r="485" ht="53.25" customHeight="1">
      <c r="A485" s="60"/>
      <c r="B485" s="60"/>
      <c r="C485" s="84"/>
      <c r="D485" s="60"/>
      <c r="E485" s="60"/>
      <c r="F485" s="85"/>
      <c r="G485" s="85"/>
      <c r="H485" s="60"/>
      <c r="I485" s="60"/>
      <c r="J485" s="60"/>
      <c r="K485" s="60"/>
      <c r="L485" s="60"/>
      <c r="M485" s="60"/>
      <c r="N485" s="60"/>
      <c r="O485" s="60"/>
      <c r="P485" s="60"/>
      <c r="Q485" s="60"/>
      <c r="R485" s="60"/>
      <c r="S485" s="60"/>
      <c r="T485" s="60"/>
      <c r="U485" s="60"/>
      <c r="V485" s="60"/>
      <c r="W485" s="60"/>
      <c r="X485" s="60"/>
      <c r="Y485" s="60"/>
      <c r="Z485" s="60"/>
    </row>
    <row r="486" ht="53.25" customHeight="1">
      <c r="A486" s="60"/>
      <c r="B486" s="60"/>
      <c r="C486" s="84"/>
      <c r="D486" s="60"/>
      <c r="E486" s="60"/>
      <c r="F486" s="85"/>
      <c r="G486" s="85"/>
      <c r="H486" s="60"/>
      <c r="I486" s="60"/>
      <c r="J486" s="60"/>
      <c r="K486" s="60"/>
      <c r="L486" s="60"/>
      <c r="M486" s="60"/>
      <c r="N486" s="60"/>
      <c r="O486" s="60"/>
      <c r="P486" s="60"/>
      <c r="Q486" s="60"/>
      <c r="R486" s="60"/>
      <c r="S486" s="60"/>
      <c r="T486" s="60"/>
      <c r="U486" s="60"/>
      <c r="V486" s="60"/>
      <c r="W486" s="60"/>
      <c r="X486" s="60"/>
      <c r="Y486" s="60"/>
      <c r="Z486" s="60"/>
    </row>
    <row r="487" ht="53.25" customHeight="1">
      <c r="A487" s="60"/>
      <c r="B487" s="60"/>
      <c r="C487" s="84"/>
      <c r="D487" s="60"/>
      <c r="E487" s="60"/>
      <c r="F487" s="85"/>
      <c r="G487" s="85"/>
      <c r="H487" s="60"/>
      <c r="I487" s="60"/>
      <c r="J487" s="60"/>
      <c r="K487" s="60"/>
      <c r="L487" s="60"/>
      <c r="M487" s="60"/>
      <c r="N487" s="60"/>
      <c r="O487" s="60"/>
      <c r="P487" s="60"/>
      <c r="Q487" s="60"/>
      <c r="R487" s="60"/>
      <c r="S487" s="60"/>
      <c r="T487" s="60"/>
      <c r="U487" s="60"/>
      <c r="V487" s="60"/>
      <c r="W487" s="60"/>
      <c r="X487" s="60"/>
      <c r="Y487" s="60"/>
      <c r="Z487" s="60"/>
    </row>
    <row r="488" ht="53.25" customHeight="1">
      <c r="A488" s="60"/>
      <c r="B488" s="60"/>
      <c r="C488" s="84"/>
      <c r="D488" s="60"/>
      <c r="E488" s="60"/>
      <c r="F488" s="85"/>
      <c r="G488" s="85"/>
      <c r="H488" s="60"/>
      <c r="I488" s="60"/>
      <c r="J488" s="60"/>
      <c r="K488" s="60"/>
      <c r="L488" s="60"/>
      <c r="M488" s="60"/>
      <c r="N488" s="60"/>
      <c r="O488" s="60"/>
      <c r="P488" s="60"/>
      <c r="Q488" s="60"/>
      <c r="R488" s="60"/>
      <c r="S488" s="60"/>
      <c r="T488" s="60"/>
      <c r="U488" s="60"/>
      <c r="V488" s="60"/>
      <c r="W488" s="60"/>
      <c r="X488" s="60"/>
      <c r="Y488" s="60"/>
      <c r="Z488" s="60"/>
    </row>
    <row r="489" ht="53.25" customHeight="1">
      <c r="A489" s="60"/>
      <c r="B489" s="60"/>
      <c r="C489" s="84"/>
      <c r="D489" s="60"/>
      <c r="E489" s="60"/>
      <c r="F489" s="85"/>
      <c r="G489" s="85"/>
      <c r="H489" s="60"/>
      <c r="I489" s="60"/>
      <c r="J489" s="60"/>
      <c r="K489" s="60"/>
      <c r="L489" s="60"/>
      <c r="M489" s="60"/>
      <c r="N489" s="60"/>
      <c r="O489" s="60"/>
      <c r="P489" s="60"/>
      <c r="Q489" s="60"/>
      <c r="R489" s="60"/>
      <c r="S489" s="60"/>
      <c r="T489" s="60"/>
      <c r="U489" s="60"/>
      <c r="V489" s="60"/>
      <c r="W489" s="60"/>
      <c r="X489" s="60"/>
      <c r="Y489" s="60"/>
      <c r="Z489" s="60"/>
    </row>
    <row r="490" ht="53.25" customHeight="1">
      <c r="A490" s="60"/>
      <c r="B490" s="60"/>
      <c r="C490" s="84"/>
      <c r="D490" s="60"/>
      <c r="E490" s="60"/>
      <c r="F490" s="85"/>
      <c r="G490" s="85"/>
      <c r="H490" s="60"/>
      <c r="I490" s="60"/>
      <c r="J490" s="60"/>
      <c r="K490" s="60"/>
      <c r="L490" s="60"/>
      <c r="M490" s="60"/>
      <c r="N490" s="60"/>
      <c r="O490" s="60"/>
      <c r="P490" s="60"/>
      <c r="Q490" s="60"/>
      <c r="R490" s="60"/>
      <c r="S490" s="60"/>
      <c r="T490" s="60"/>
      <c r="U490" s="60"/>
      <c r="V490" s="60"/>
      <c r="W490" s="60"/>
      <c r="X490" s="60"/>
      <c r="Y490" s="60"/>
      <c r="Z490" s="60"/>
    </row>
    <row r="491" ht="53.25" customHeight="1">
      <c r="A491" s="60"/>
      <c r="B491" s="60"/>
      <c r="C491" s="84"/>
      <c r="D491" s="60"/>
      <c r="E491" s="60"/>
      <c r="F491" s="85"/>
      <c r="G491" s="85"/>
      <c r="H491" s="60"/>
      <c r="I491" s="60"/>
      <c r="J491" s="60"/>
      <c r="K491" s="60"/>
      <c r="L491" s="60"/>
      <c r="M491" s="60"/>
      <c r="N491" s="60"/>
      <c r="O491" s="60"/>
      <c r="P491" s="60"/>
      <c r="Q491" s="60"/>
      <c r="R491" s="60"/>
      <c r="S491" s="60"/>
      <c r="T491" s="60"/>
      <c r="U491" s="60"/>
      <c r="V491" s="60"/>
      <c r="W491" s="60"/>
      <c r="X491" s="60"/>
      <c r="Y491" s="60"/>
      <c r="Z491" s="60"/>
    </row>
    <row r="492" ht="53.25" customHeight="1">
      <c r="A492" s="60"/>
      <c r="B492" s="60"/>
      <c r="C492" s="84"/>
      <c r="D492" s="60"/>
      <c r="E492" s="60"/>
      <c r="F492" s="85"/>
      <c r="G492" s="85"/>
      <c r="H492" s="60"/>
      <c r="I492" s="60"/>
      <c r="J492" s="60"/>
      <c r="K492" s="60"/>
      <c r="L492" s="60"/>
      <c r="M492" s="60"/>
      <c r="N492" s="60"/>
      <c r="O492" s="60"/>
      <c r="P492" s="60"/>
      <c r="Q492" s="60"/>
      <c r="R492" s="60"/>
      <c r="S492" s="60"/>
      <c r="T492" s="60"/>
      <c r="U492" s="60"/>
      <c r="V492" s="60"/>
      <c r="W492" s="60"/>
      <c r="X492" s="60"/>
      <c r="Y492" s="60"/>
      <c r="Z492" s="60"/>
    </row>
    <row r="493" ht="53.25" customHeight="1">
      <c r="A493" s="60"/>
      <c r="B493" s="60"/>
      <c r="C493" s="84"/>
      <c r="D493" s="60"/>
      <c r="E493" s="60"/>
      <c r="F493" s="85"/>
      <c r="G493" s="85"/>
      <c r="H493" s="60"/>
      <c r="I493" s="60"/>
      <c r="J493" s="60"/>
      <c r="K493" s="60"/>
      <c r="L493" s="60"/>
      <c r="M493" s="60"/>
      <c r="N493" s="60"/>
      <c r="O493" s="60"/>
      <c r="P493" s="60"/>
      <c r="Q493" s="60"/>
      <c r="R493" s="60"/>
      <c r="S493" s="60"/>
      <c r="T493" s="60"/>
      <c r="U493" s="60"/>
      <c r="V493" s="60"/>
      <c r="W493" s="60"/>
      <c r="X493" s="60"/>
      <c r="Y493" s="60"/>
      <c r="Z493" s="60"/>
    </row>
    <row r="494" ht="53.25" customHeight="1">
      <c r="A494" s="60"/>
      <c r="B494" s="60"/>
      <c r="C494" s="84"/>
      <c r="D494" s="60"/>
      <c r="E494" s="60"/>
      <c r="F494" s="85"/>
      <c r="G494" s="85"/>
      <c r="H494" s="60"/>
      <c r="I494" s="60"/>
      <c r="J494" s="60"/>
      <c r="K494" s="60"/>
      <c r="L494" s="60"/>
      <c r="M494" s="60"/>
      <c r="N494" s="60"/>
      <c r="O494" s="60"/>
      <c r="P494" s="60"/>
      <c r="Q494" s="60"/>
      <c r="R494" s="60"/>
      <c r="S494" s="60"/>
      <c r="T494" s="60"/>
      <c r="U494" s="60"/>
      <c r="V494" s="60"/>
      <c r="W494" s="60"/>
      <c r="X494" s="60"/>
      <c r="Y494" s="60"/>
      <c r="Z494" s="60"/>
    </row>
    <row r="495" ht="53.25" customHeight="1">
      <c r="A495" s="60"/>
      <c r="B495" s="60"/>
      <c r="C495" s="84"/>
      <c r="D495" s="60"/>
      <c r="E495" s="60"/>
      <c r="F495" s="85"/>
      <c r="G495" s="85"/>
      <c r="H495" s="60"/>
      <c r="I495" s="60"/>
      <c r="J495" s="60"/>
      <c r="K495" s="60"/>
      <c r="L495" s="60"/>
      <c r="M495" s="60"/>
      <c r="N495" s="60"/>
      <c r="O495" s="60"/>
      <c r="P495" s="60"/>
      <c r="Q495" s="60"/>
      <c r="R495" s="60"/>
      <c r="S495" s="60"/>
      <c r="T495" s="60"/>
      <c r="U495" s="60"/>
      <c r="V495" s="60"/>
      <c r="W495" s="60"/>
      <c r="X495" s="60"/>
      <c r="Y495" s="60"/>
      <c r="Z495" s="60"/>
    </row>
    <row r="496" ht="53.25" customHeight="1">
      <c r="A496" s="60"/>
      <c r="B496" s="60"/>
      <c r="C496" s="84"/>
      <c r="D496" s="60"/>
      <c r="E496" s="60"/>
      <c r="F496" s="85"/>
      <c r="G496" s="85"/>
      <c r="H496" s="60"/>
      <c r="I496" s="60"/>
      <c r="J496" s="60"/>
      <c r="K496" s="60"/>
      <c r="L496" s="60"/>
      <c r="M496" s="60"/>
      <c r="N496" s="60"/>
      <c r="O496" s="60"/>
      <c r="P496" s="60"/>
      <c r="Q496" s="60"/>
      <c r="R496" s="60"/>
      <c r="S496" s="60"/>
      <c r="T496" s="60"/>
      <c r="U496" s="60"/>
      <c r="V496" s="60"/>
      <c r="W496" s="60"/>
      <c r="X496" s="60"/>
      <c r="Y496" s="60"/>
      <c r="Z496" s="60"/>
    </row>
    <row r="497" ht="53.25" customHeight="1">
      <c r="A497" s="60"/>
      <c r="B497" s="60"/>
      <c r="C497" s="84"/>
      <c r="D497" s="60"/>
      <c r="E497" s="60"/>
      <c r="F497" s="85"/>
      <c r="G497" s="85"/>
      <c r="H497" s="60"/>
      <c r="I497" s="60"/>
      <c r="J497" s="60"/>
      <c r="K497" s="60"/>
      <c r="L497" s="60"/>
      <c r="M497" s="60"/>
      <c r="N497" s="60"/>
      <c r="O497" s="60"/>
      <c r="P497" s="60"/>
      <c r="Q497" s="60"/>
      <c r="R497" s="60"/>
      <c r="S497" s="60"/>
      <c r="T497" s="60"/>
      <c r="U497" s="60"/>
      <c r="V497" s="60"/>
      <c r="W497" s="60"/>
      <c r="X497" s="60"/>
      <c r="Y497" s="60"/>
      <c r="Z497" s="60"/>
    </row>
    <row r="498" ht="53.25" customHeight="1">
      <c r="A498" s="60"/>
      <c r="B498" s="60"/>
      <c r="C498" s="84"/>
      <c r="D498" s="60"/>
      <c r="E498" s="60"/>
      <c r="F498" s="85"/>
      <c r="G498" s="85"/>
      <c r="H498" s="60"/>
      <c r="I498" s="60"/>
      <c r="J498" s="60"/>
      <c r="K498" s="60"/>
      <c r="L498" s="60"/>
      <c r="M498" s="60"/>
      <c r="N498" s="60"/>
      <c r="O498" s="60"/>
      <c r="P498" s="60"/>
      <c r="Q498" s="60"/>
      <c r="R498" s="60"/>
      <c r="S498" s="60"/>
      <c r="T498" s="60"/>
      <c r="U498" s="60"/>
      <c r="V498" s="60"/>
      <c r="W498" s="60"/>
      <c r="X498" s="60"/>
      <c r="Y498" s="60"/>
      <c r="Z498" s="60"/>
    </row>
    <row r="499" ht="53.25" customHeight="1">
      <c r="A499" s="60"/>
      <c r="B499" s="60"/>
      <c r="C499" s="84"/>
      <c r="D499" s="60"/>
      <c r="E499" s="60"/>
      <c r="F499" s="85"/>
      <c r="G499" s="85"/>
      <c r="H499" s="60"/>
      <c r="I499" s="60"/>
      <c r="J499" s="60"/>
      <c r="K499" s="60"/>
      <c r="L499" s="60"/>
      <c r="M499" s="60"/>
      <c r="N499" s="60"/>
      <c r="O499" s="60"/>
      <c r="P499" s="60"/>
      <c r="Q499" s="60"/>
      <c r="R499" s="60"/>
      <c r="S499" s="60"/>
      <c r="T499" s="60"/>
      <c r="U499" s="60"/>
      <c r="V499" s="60"/>
      <c r="W499" s="60"/>
      <c r="X499" s="60"/>
      <c r="Y499" s="60"/>
      <c r="Z499" s="60"/>
    </row>
    <row r="500" ht="53.25" customHeight="1">
      <c r="A500" s="60"/>
      <c r="B500" s="60"/>
      <c r="C500" s="84"/>
      <c r="D500" s="60"/>
      <c r="E500" s="60"/>
      <c r="F500" s="85"/>
      <c r="G500" s="85"/>
      <c r="H500" s="60"/>
      <c r="I500" s="60"/>
      <c r="J500" s="60"/>
      <c r="K500" s="60"/>
      <c r="L500" s="60"/>
      <c r="M500" s="60"/>
      <c r="N500" s="60"/>
      <c r="O500" s="60"/>
      <c r="P500" s="60"/>
      <c r="Q500" s="60"/>
      <c r="R500" s="60"/>
      <c r="S500" s="60"/>
      <c r="T500" s="60"/>
      <c r="U500" s="60"/>
      <c r="V500" s="60"/>
      <c r="W500" s="60"/>
      <c r="X500" s="60"/>
      <c r="Y500" s="60"/>
      <c r="Z500" s="60"/>
    </row>
    <row r="501" ht="53.25" customHeight="1">
      <c r="A501" s="60"/>
      <c r="B501" s="60"/>
      <c r="C501" s="84"/>
      <c r="D501" s="60"/>
      <c r="E501" s="60"/>
      <c r="F501" s="85"/>
      <c r="G501" s="85"/>
      <c r="H501" s="60"/>
      <c r="I501" s="60"/>
      <c r="J501" s="60"/>
      <c r="K501" s="60"/>
      <c r="L501" s="60"/>
      <c r="M501" s="60"/>
      <c r="N501" s="60"/>
      <c r="O501" s="60"/>
      <c r="P501" s="60"/>
      <c r="Q501" s="60"/>
      <c r="R501" s="60"/>
      <c r="S501" s="60"/>
      <c r="T501" s="60"/>
      <c r="U501" s="60"/>
      <c r="V501" s="60"/>
      <c r="W501" s="60"/>
      <c r="X501" s="60"/>
      <c r="Y501" s="60"/>
      <c r="Z501" s="60"/>
    </row>
    <row r="502" ht="53.25" customHeight="1">
      <c r="A502" s="60"/>
      <c r="B502" s="60"/>
      <c r="C502" s="84"/>
      <c r="D502" s="60"/>
      <c r="E502" s="60"/>
      <c r="F502" s="85"/>
      <c r="G502" s="85"/>
      <c r="H502" s="60"/>
      <c r="I502" s="60"/>
      <c r="J502" s="60"/>
      <c r="K502" s="60"/>
      <c r="L502" s="60"/>
      <c r="M502" s="60"/>
      <c r="N502" s="60"/>
      <c r="O502" s="60"/>
      <c r="P502" s="60"/>
      <c r="Q502" s="60"/>
      <c r="R502" s="60"/>
      <c r="S502" s="60"/>
      <c r="T502" s="60"/>
      <c r="U502" s="60"/>
      <c r="V502" s="60"/>
      <c r="W502" s="60"/>
      <c r="X502" s="60"/>
      <c r="Y502" s="60"/>
      <c r="Z502" s="60"/>
    </row>
    <row r="503" ht="53.25" customHeight="1">
      <c r="A503" s="60"/>
      <c r="B503" s="60"/>
      <c r="C503" s="84"/>
      <c r="D503" s="60"/>
      <c r="E503" s="60"/>
      <c r="F503" s="85"/>
      <c r="G503" s="85"/>
      <c r="H503" s="60"/>
      <c r="I503" s="60"/>
      <c r="J503" s="60"/>
      <c r="K503" s="60"/>
      <c r="L503" s="60"/>
      <c r="M503" s="60"/>
      <c r="N503" s="60"/>
      <c r="O503" s="60"/>
      <c r="P503" s="60"/>
      <c r="Q503" s="60"/>
      <c r="R503" s="60"/>
      <c r="S503" s="60"/>
      <c r="T503" s="60"/>
      <c r="U503" s="60"/>
      <c r="V503" s="60"/>
      <c r="W503" s="60"/>
      <c r="X503" s="60"/>
      <c r="Y503" s="60"/>
      <c r="Z503" s="60"/>
    </row>
    <row r="504" ht="53.25" customHeight="1">
      <c r="A504" s="60"/>
      <c r="B504" s="60"/>
      <c r="C504" s="84"/>
      <c r="D504" s="60"/>
      <c r="E504" s="60"/>
      <c r="F504" s="85"/>
      <c r="G504" s="85"/>
      <c r="H504" s="60"/>
      <c r="I504" s="60"/>
      <c r="J504" s="60"/>
      <c r="K504" s="60"/>
      <c r="L504" s="60"/>
      <c r="M504" s="60"/>
      <c r="N504" s="60"/>
      <c r="O504" s="60"/>
      <c r="P504" s="60"/>
      <c r="Q504" s="60"/>
      <c r="R504" s="60"/>
      <c r="S504" s="60"/>
      <c r="T504" s="60"/>
      <c r="U504" s="60"/>
      <c r="V504" s="60"/>
      <c r="W504" s="60"/>
      <c r="X504" s="60"/>
      <c r="Y504" s="60"/>
      <c r="Z504" s="60"/>
    </row>
    <row r="505" ht="53.25" customHeight="1">
      <c r="A505" s="60"/>
      <c r="B505" s="60"/>
      <c r="C505" s="84"/>
      <c r="D505" s="60"/>
      <c r="E505" s="60"/>
      <c r="F505" s="85"/>
      <c r="G505" s="85"/>
      <c r="H505" s="60"/>
      <c r="I505" s="60"/>
      <c r="J505" s="60"/>
      <c r="K505" s="60"/>
      <c r="L505" s="60"/>
      <c r="M505" s="60"/>
      <c r="N505" s="60"/>
      <c r="O505" s="60"/>
      <c r="P505" s="60"/>
      <c r="Q505" s="60"/>
      <c r="R505" s="60"/>
      <c r="S505" s="60"/>
      <c r="T505" s="60"/>
      <c r="U505" s="60"/>
      <c r="V505" s="60"/>
      <c r="W505" s="60"/>
      <c r="X505" s="60"/>
      <c r="Y505" s="60"/>
      <c r="Z505" s="60"/>
    </row>
    <row r="506" ht="53.25" customHeight="1">
      <c r="A506" s="60"/>
      <c r="B506" s="60"/>
      <c r="C506" s="84"/>
      <c r="D506" s="60"/>
      <c r="E506" s="60"/>
      <c r="F506" s="85"/>
      <c r="G506" s="85"/>
      <c r="H506" s="60"/>
      <c r="I506" s="60"/>
      <c r="J506" s="60"/>
      <c r="K506" s="60"/>
      <c r="L506" s="60"/>
      <c r="M506" s="60"/>
      <c r="N506" s="60"/>
      <c r="O506" s="60"/>
      <c r="P506" s="60"/>
      <c r="Q506" s="60"/>
      <c r="R506" s="60"/>
      <c r="S506" s="60"/>
      <c r="T506" s="60"/>
      <c r="U506" s="60"/>
      <c r="V506" s="60"/>
      <c r="W506" s="60"/>
      <c r="X506" s="60"/>
      <c r="Y506" s="60"/>
      <c r="Z506" s="60"/>
    </row>
    <row r="507" ht="53.25" customHeight="1">
      <c r="A507" s="60"/>
      <c r="B507" s="60"/>
      <c r="C507" s="84"/>
      <c r="D507" s="60"/>
      <c r="E507" s="60"/>
      <c r="F507" s="85"/>
      <c r="G507" s="85"/>
      <c r="H507" s="60"/>
      <c r="I507" s="60"/>
      <c r="J507" s="60"/>
      <c r="K507" s="60"/>
      <c r="L507" s="60"/>
      <c r="M507" s="60"/>
      <c r="N507" s="60"/>
      <c r="O507" s="60"/>
      <c r="P507" s="60"/>
      <c r="Q507" s="60"/>
      <c r="R507" s="60"/>
      <c r="S507" s="60"/>
      <c r="T507" s="60"/>
      <c r="U507" s="60"/>
      <c r="V507" s="60"/>
      <c r="W507" s="60"/>
      <c r="X507" s="60"/>
      <c r="Y507" s="60"/>
      <c r="Z507" s="60"/>
    </row>
    <row r="508" ht="53.25" customHeight="1">
      <c r="A508" s="60"/>
      <c r="B508" s="60"/>
      <c r="C508" s="84"/>
      <c r="D508" s="60"/>
      <c r="E508" s="60"/>
      <c r="F508" s="85"/>
      <c r="G508" s="85"/>
      <c r="H508" s="60"/>
      <c r="I508" s="60"/>
      <c r="J508" s="60"/>
      <c r="K508" s="60"/>
      <c r="L508" s="60"/>
      <c r="M508" s="60"/>
      <c r="N508" s="60"/>
      <c r="O508" s="60"/>
      <c r="P508" s="60"/>
      <c r="Q508" s="60"/>
      <c r="R508" s="60"/>
      <c r="S508" s="60"/>
      <c r="T508" s="60"/>
      <c r="U508" s="60"/>
      <c r="V508" s="60"/>
      <c r="W508" s="60"/>
      <c r="X508" s="60"/>
      <c r="Y508" s="60"/>
      <c r="Z508" s="60"/>
    </row>
    <row r="509" ht="53.25" customHeight="1">
      <c r="A509" s="60"/>
      <c r="B509" s="60"/>
      <c r="C509" s="84"/>
      <c r="D509" s="60"/>
      <c r="E509" s="60"/>
      <c r="F509" s="85"/>
      <c r="G509" s="85"/>
      <c r="H509" s="60"/>
      <c r="I509" s="60"/>
      <c r="J509" s="60"/>
      <c r="K509" s="60"/>
      <c r="L509" s="60"/>
      <c r="M509" s="60"/>
      <c r="N509" s="60"/>
      <c r="O509" s="60"/>
      <c r="P509" s="60"/>
      <c r="Q509" s="60"/>
      <c r="R509" s="60"/>
      <c r="S509" s="60"/>
      <c r="T509" s="60"/>
      <c r="U509" s="60"/>
      <c r="V509" s="60"/>
      <c r="W509" s="60"/>
      <c r="X509" s="60"/>
      <c r="Y509" s="60"/>
      <c r="Z509" s="60"/>
    </row>
    <row r="510" ht="53.25" customHeight="1">
      <c r="A510" s="60"/>
      <c r="B510" s="60"/>
      <c r="C510" s="84"/>
      <c r="D510" s="60"/>
      <c r="E510" s="60"/>
      <c r="F510" s="85"/>
      <c r="G510" s="85"/>
      <c r="H510" s="60"/>
      <c r="I510" s="60"/>
      <c r="J510" s="60"/>
      <c r="K510" s="60"/>
      <c r="L510" s="60"/>
      <c r="M510" s="60"/>
      <c r="N510" s="60"/>
      <c r="O510" s="60"/>
      <c r="P510" s="60"/>
      <c r="Q510" s="60"/>
      <c r="R510" s="60"/>
      <c r="S510" s="60"/>
      <c r="T510" s="60"/>
      <c r="U510" s="60"/>
      <c r="V510" s="60"/>
      <c r="W510" s="60"/>
      <c r="X510" s="60"/>
      <c r="Y510" s="60"/>
      <c r="Z510" s="60"/>
    </row>
    <row r="511" ht="53.25" customHeight="1">
      <c r="A511" s="60"/>
      <c r="B511" s="60"/>
      <c r="C511" s="84"/>
      <c r="D511" s="60"/>
      <c r="E511" s="60"/>
      <c r="F511" s="85"/>
      <c r="G511" s="85"/>
      <c r="H511" s="60"/>
      <c r="I511" s="60"/>
      <c r="J511" s="60"/>
      <c r="K511" s="60"/>
      <c r="L511" s="60"/>
      <c r="M511" s="60"/>
      <c r="N511" s="60"/>
      <c r="O511" s="60"/>
      <c r="P511" s="60"/>
      <c r="Q511" s="60"/>
      <c r="R511" s="60"/>
      <c r="S511" s="60"/>
      <c r="T511" s="60"/>
      <c r="U511" s="60"/>
      <c r="V511" s="60"/>
      <c r="W511" s="60"/>
      <c r="X511" s="60"/>
      <c r="Y511" s="60"/>
      <c r="Z511" s="60"/>
    </row>
    <row r="512" ht="53.25" customHeight="1">
      <c r="A512" s="60"/>
      <c r="B512" s="60"/>
      <c r="C512" s="84"/>
      <c r="D512" s="60"/>
      <c r="E512" s="60"/>
      <c r="F512" s="85"/>
      <c r="G512" s="85"/>
      <c r="H512" s="60"/>
      <c r="I512" s="60"/>
      <c r="J512" s="60"/>
      <c r="K512" s="60"/>
      <c r="L512" s="60"/>
      <c r="M512" s="60"/>
      <c r="N512" s="60"/>
      <c r="O512" s="60"/>
      <c r="P512" s="60"/>
      <c r="Q512" s="60"/>
      <c r="R512" s="60"/>
      <c r="S512" s="60"/>
      <c r="T512" s="60"/>
      <c r="U512" s="60"/>
      <c r="V512" s="60"/>
      <c r="W512" s="60"/>
      <c r="X512" s="60"/>
      <c r="Y512" s="60"/>
      <c r="Z512" s="60"/>
    </row>
    <row r="513" ht="53.25" customHeight="1">
      <c r="A513" s="60"/>
      <c r="B513" s="60"/>
      <c r="C513" s="84"/>
      <c r="D513" s="60"/>
      <c r="E513" s="60"/>
      <c r="F513" s="85"/>
      <c r="G513" s="85"/>
      <c r="H513" s="60"/>
      <c r="I513" s="60"/>
      <c r="J513" s="60"/>
      <c r="K513" s="60"/>
      <c r="L513" s="60"/>
      <c r="M513" s="60"/>
      <c r="N513" s="60"/>
      <c r="O513" s="60"/>
      <c r="P513" s="60"/>
      <c r="Q513" s="60"/>
      <c r="R513" s="60"/>
      <c r="S513" s="60"/>
      <c r="T513" s="60"/>
      <c r="U513" s="60"/>
      <c r="V513" s="60"/>
      <c r="W513" s="60"/>
      <c r="X513" s="60"/>
      <c r="Y513" s="60"/>
      <c r="Z513" s="60"/>
    </row>
    <row r="514" ht="53.25" customHeight="1">
      <c r="A514" s="60"/>
      <c r="B514" s="60"/>
      <c r="C514" s="84"/>
      <c r="D514" s="60"/>
      <c r="E514" s="60"/>
      <c r="F514" s="85"/>
      <c r="G514" s="85"/>
      <c r="H514" s="60"/>
      <c r="I514" s="60"/>
      <c r="J514" s="60"/>
      <c r="K514" s="60"/>
      <c r="L514" s="60"/>
      <c r="M514" s="60"/>
      <c r="N514" s="60"/>
      <c r="O514" s="60"/>
      <c r="P514" s="60"/>
      <c r="Q514" s="60"/>
      <c r="R514" s="60"/>
      <c r="S514" s="60"/>
      <c r="T514" s="60"/>
      <c r="U514" s="60"/>
      <c r="V514" s="60"/>
      <c r="W514" s="60"/>
      <c r="X514" s="60"/>
      <c r="Y514" s="60"/>
      <c r="Z514" s="60"/>
    </row>
    <row r="515" ht="53.25" customHeight="1">
      <c r="A515" s="60"/>
      <c r="B515" s="60"/>
      <c r="C515" s="84"/>
      <c r="D515" s="60"/>
      <c r="E515" s="60"/>
      <c r="F515" s="85"/>
      <c r="G515" s="85"/>
      <c r="H515" s="60"/>
      <c r="I515" s="60"/>
      <c r="J515" s="60"/>
      <c r="K515" s="60"/>
      <c r="L515" s="60"/>
      <c r="M515" s="60"/>
      <c r="N515" s="60"/>
      <c r="O515" s="60"/>
      <c r="P515" s="60"/>
      <c r="Q515" s="60"/>
      <c r="R515" s="60"/>
      <c r="S515" s="60"/>
      <c r="T515" s="60"/>
      <c r="U515" s="60"/>
      <c r="V515" s="60"/>
      <c r="W515" s="60"/>
      <c r="X515" s="60"/>
      <c r="Y515" s="60"/>
      <c r="Z515" s="60"/>
    </row>
    <row r="516" ht="53.25" customHeight="1">
      <c r="A516" s="60"/>
      <c r="B516" s="60"/>
      <c r="C516" s="84"/>
      <c r="D516" s="60"/>
      <c r="E516" s="60"/>
      <c r="F516" s="85"/>
      <c r="G516" s="85"/>
      <c r="H516" s="60"/>
      <c r="I516" s="60"/>
      <c r="J516" s="60"/>
      <c r="K516" s="60"/>
      <c r="L516" s="60"/>
      <c r="M516" s="60"/>
      <c r="N516" s="60"/>
      <c r="O516" s="60"/>
      <c r="P516" s="60"/>
      <c r="Q516" s="60"/>
      <c r="R516" s="60"/>
      <c r="S516" s="60"/>
      <c r="T516" s="60"/>
      <c r="U516" s="60"/>
      <c r="V516" s="60"/>
      <c r="W516" s="60"/>
      <c r="X516" s="60"/>
      <c r="Y516" s="60"/>
      <c r="Z516" s="60"/>
    </row>
    <row r="517" ht="53.25" customHeight="1">
      <c r="A517" s="60"/>
      <c r="B517" s="60"/>
      <c r="C517" s="84"/>
      <c r="D517" s="60"/>
      <c r="E517" s="60"/>
      <c r="F517" s="85"/>
      <c r="G517" s="85"/>
      <c r="H517" s="60"/>
      <c r="I517" s="60"/>
      <c r="J517" s="60"/>
      <c r="K517" s="60"/>
      <c r="L517" s="60"/>
      <c r="M517" s="60"/>
      <c r="N517" s="60"/>
      <c r="O517" s="60"/>
      <c r="P517" s="60"/>
      <c r="Q517" s="60"/>
      <c r="R517" s="60"/>
      <c r="S517" s="60"/>
      <c r="T517" s="60"/>
      <c r="U517" s="60"/>
      <c r="V517" s="60"/>
      <c r="W517" s="60"/>
      <c r="X517" s="60"/>
      <c r="Y517" s="60"/>
      <c r="Z517" s="60"/>
    </row>
    <row r="518" ht="53.25" customHeight="1">
      <c r="A518" s="60"/>
      <c r="B518" s="60"/>
      <c r="C518" s="84"/>
      <c r="D518" s="60"/>
      <c r="E518" s="60"/>
      <c r="F518" s="85"/>
      <c r="G518" s="85"/>
      <c r="H518" s="60"/>
      <c r="I518" s="60"/>
      <c r="J518" s="60"/>
      <c r="K518" s="60"/>
      <c r="L518" s="60"/>
      <c r="M518" s="60"/>
      <c r="N518" s="60"/>
      <c r="O518" s="60"/>
      <c r="P518" s="60"/>
      <c r="Q518" s="60"/>
      <c r="R518" s="60"/>
      <c r="S518" s="60"/>
      <c r="T518" s="60"/>
      <c r="U518" s="60"/>
      <c r="V518" s="60"/>
      <c r="W518" s="60"/>
      <c r="X518" s="60"/>
      <c r="Y518" s="60"/>
      <c r="Z518" s="60"/>
    </row>
    <row r="519" ht="53.25" customHeight="1">
      <c r="A519" s="60"/>
      <c r="B519" s="60"/>
      <c r="C519" s="84"/>
      <c r="D519" s="60"/>
      <c r="E519" s="60"/>
      <c r="F519" s="85"/>
      <c r="G519" s="85"/>
      <c r="H519" s="60"/>
      <c r="I519" s="60"/>
      <c r="J519" s="60"/>
      <c r="K519" s="60"/>
      <c r="L519" s="60"/>
      <c r="M519" s="60"/>
      <c r="N519" s="60"/>
      <c r="O519" s="60"/>
      <c r="P519" s="60"/>
      <c r="Q519" s="60"/>
      <c r="R519" s="60"/>
      <c r="S519" s="60"/>
      <c r="T519" s="60"/>
      <c r="U519" s="60"/>
      <c r="V519" s="60"/>
      <c r="W519" s="60"/>
      <c r="X519" s="60"/>
      <c r="Y519" s="60"/>
      <c r="Z519" s="60"/>
    </row>
    <row r="520" ht="53.25" customHeight="1">
      <c r="A520" s="60"/>
      <c r="B520" s="60"/>
      <c r="C520" s="84"/>
      <c r="D520" s="60"/>
      <c r="E520" s="60"/>
      <c r="F520" s="85"/>
      <c r="G520" s="85"/>
      <c r="H520" s="60"/>
      <c r="I520" s="60"/>
      <c r="J520" s="60"/>
      <c r="K520" s="60"/>
      <c r="L520" s="60"/>
      <c r="M520" s="60"/>
      <c r="N520" s="60"/>
      <c r="O520" s="60"/>
      <c r="P520" s="60"/>
      <c r="Q520" s="60"/>
      <c r="R520" s="60"/>
      <c r="S520" s="60"/>
      <c r="T520" s="60"/>
      <c r="U520" s="60"/>
      <c r="V520" s="60"/>
      <c r="W520" s="60"/>
      <c r="X520" s="60"/>
      <c r="Y520" s="60"/>
      <c r="Z520" s="60"/>
    </row>
    <row r="521" ht="53.25" customHeight="1">
      <c r="A521" s="60"/>
      <c r="B521" s="60"/>
      <c r="C521" s="84"/>
      <c r="D521" s="60"/>
      <c r="E521" s="60"/>
      <c r="F521" s="85"/>
      <c r="G521" s="85"/>
      <c r="H521" s="60"/>
      <c r="I521" s="60"/>
      <c r="J521" s="60"/>
      <c r="K521" s="60"/>
      <c r="L521" s="60"/>
      <c r="M521" s="60"/>
      <c r="N521" s="60"/>
      <c r="O521" s="60"/>
      <c r="P521" s="60"/>
      <c r="Q521" s="60"/>
      <c r="R521" s="60"/>
      <c r="S521" s="60"/>
      <c r="T521" s="60"/>
      <c r="U521" s="60"/>
      <c r="V521" s="60"/>
      <c r="W521" s="60"/>
      <c r="X521" s="60"/>
      <c r="Y521" s="60"/>
      <c r="Z521" s="60"/>
    </row>
    <row r="522" ht="53.25" customHeight="1">
      <c r="A522" s="60"/>
      <c r="B522" s="60"/>
      <c r="C522" s="84"/>
      <c r="D522" s="60"/>
      <c r="E522" s="60"/>
      <c r="F522" s="85"/>
      <c r="G522" s="85"/>
      <c r="H522" s="60"/>
      <c r="I522" s="60"/>
      <c r="J522" s="60"/>
      <c r="K522" s="60"/>
      <c r="L522" s="60"/>
      <c r="M522" s="60"/>
      <c r="N522" s="60"/>
      <c r="O522" s="60"/>
      <c r="P522" s="60"/>
      <c r="Q522" s="60"/>
      <c r="R522" s="60"/>
      <c r="S522" s="60"/>
      <c r="T522" s="60"/>
      <c r="U522" s="60"/>
      <c r="V522" s="60"/>
      <c r="W522" s="60"/>
      <c r="X522" s="60"/>
      <c r="Y522" s="60"/>
      <c r="Z522" s="60"/>
    </row>
    <row r="523" ht="53.25" customHeight="1">
      <c r="A523" s="60"/>
      <c r="B523" s="60"/>
      <c r="C523" s="84"/>
      <c r="D523" s="60"/>
      <c r="E523" s="60"/>
      <c r="F523" s="85"/>
      <c r="G523" s="85"/>
      <c r="H523" s="60"/>
      <c r="I523" s="60"/>
      <c r="J523" s="60"/>
      <c r="K523" s="60"/>
      <c r="L523" s="60"/>
      <c r="M523" s="60"/>
      <c r="N523" s="60"/>
      <c r="O523" s="60"/>
      <c r="P523" s="60"/>
      <c r="Q523" s="60"/>
      <c r="R523" s="60"/>
      <c r="S523" s="60"/>
      <c r="T523" s="60"/>
      <c r="U523" s="60"/>
      <c r="V523" s="60"/>
      <c r="W523" s="60"/>
      <c r="X523" s="60"/>
      <c r="Y523" s="60"/>
      <c r="Z523" s="60"/>
    </row>
    <row r="524" ht="53.25" customHeight="1">
      <c r="A524" s="60"/>
      <c r="B524" s="60"/>
      <c r="C524" s="84"/>
      <c r="D524" s="60"/>
      <c r="E524" s="60"/>
      <c r="F524" s="85"/>
      <c r="G524" s="85"/>
      <c r="H524" s="60"/>
      <c r="I524" s="60"/>
      <c r="J524" s="60"/>
      <c r="K524" s="60"/>
      <c r="L524" s="60"/>
      <c r="M524" s="60"/>
      <c r="N524" s="60"/>
      <c r="O524" s="60"/>
      <c r="P524" s="60"/>
      <c r="Q524" s="60"/>
      <c r="R524" s="60"/>
      <c r="S524" s="60"/>
      <c r="T524" s="60"/>
      <c r="U524" s="60"/>
      <c r="V524" s="60"/>
      <c r="W524" s="60"/>
      <c r="X524" s="60"/>
      <c r="Y524" s="60"/>
      <c r="Z524" s="60"/>
    </row>
    <row r="525" ht="53.25" customHeight="1">
      <c r="A525" s="60"/>
      <c r="B525" s="60"/>
      <c r="C525" s="84"/>
      <c r="D525" s="60"/>
      <c r="E525" s="60"/>
      <c r="F525" s="85"/>
      <c r="G525" s="85"/>
      <c r="H525" s="60"/>
      <c r="I525" s="60"/>
      <c r="J525" s="60"/>
      <c r="K525" s="60"/>
      <c r="L525" s="60"/>
      <c r="M525" s="60"/>
      <c r="N525" s="60"/>
      <c r="O525" s="60"/>
      <c r="P525" s="60"/>
      <c r="Q525" s="60"/>
      <c r="R525" s="60"/>
      <c r="S525" s="60"/>
      <c r="T525" s="60"/>
      <c r="U525" s="60"/>
      <c r="V525" s="60"/>
      <c r="W525" s="60"/>
      <c r="X525" s="60"/>
      <c r="Y525" s="60"/>
      <c r="Z525" s="60"/>
    </row>
    <row r="526" ht="53.25" customHeight="1">
      <c r="A526" s="60"/>
      <c r="B526" s="60"/>
      <c r="C526" s="84"/>
      <c r="D526" s="60"/>
      <c r="E526" s="60"/>
      <c r="F526" s="85"/>
      <c r="G526" s="85"/>
      <c r="H526" s="60"/>
      <c r="I526" s="60"/>
      <c r="J526" s="60"/>
      <c r="K526" s="60"/>
      <c r="L526" s="60"/>
      <c r="M526" s="60"/>
      <c r="N526" s="60"/>
      <c r="O526" s="60"/>
      <c r="P526" s="60"/>
      <c r="Q526" s="60"/>
      <c r="R526" s="60"/>
      <c r="S526" s="60"/>
      <c r="T526" s="60"/>
      <c r="U526" s="60"/>
      <c r="V526" s="60"/>
      <c r="W526" s="60"/>
      <c r="X526" s="60"/>
      <c r="Y526" s="60"/>
      <c r="Z526" s="60"/>
    </row>
    <row r="527" ht="53.25" customHeight="1">
      <c r="A527" s="60"/>
      <c r="B527" s="60"/>
      <c r="C527" s="84"/>
      <c r="D527" s="60"/>
      <c r="E527" s="60"/>
      <c r="F527" s="85"/>
      <c r="G527" s="85"/>
      <c r="H527" s="60"/>
      <c r="I527" s="60"/>
      <c r="J527" s="60"/>
      <c r="K527" s="60"/>
      <c r="L527" s="60"/>
      <c r="M527" s="60"/>
      <c r="N527" s="60"/>
      <c r="O527" s="60"/>
      <c r="P527" s="60"/>
      <c r="Q527" s="60"/>
      <c r="R527" s="60"/>
      <c r="S527" s="60"/>
      <c r="T527" s="60"/>
      <c r="U527" s="60"/>
      <c r="V527" s="60"/>
      <c r="W527" s="60"/>
      <c r="X527" s="60"/>
      <c r="Y527" s="60"/>
      <c r="Z527" s="60"/>
    </row>
    <row r="528" ht="53.25" customHeight="1">
      <c r="A528" s="60"/>
      <c r="B528" s="60"/>
      <c r="C528" s="84"/>
      <c r="D528" s="60"/>
      <c r="E528" s="60"/>
      <c r="F528" s="85"/>
      <c r="G528" s="85"/>
      <c r="H528" s="60"/>
      <c r="I528" s="60"/>
      <c r="J528" s="60"/>
      <c r="K528" s="60"/>
      <c r="L528" s="60"/>
      <c r="M528" s="60"/>
      <c r="N528" s="60"/>
      <c r="O528" s="60"/>
      <c r="P528" s="60"/>
      <c r="Q528" s="60"/>
      <c r="R528" s="60"/>
      <c r="S528" s="60"/>
      <c r="T528" s="60"/>
      <c r="U528" s="60"/>
      <c r="V528" s="60"/>
      <c r="W528" s="60"/>
      <c r="X528" s="60"/>
      <c r="Y528" s="60"/>
      <c r="Z528" s="60"/>
    </row>
    <row r="529" ht="53.25" customHeight="1">
      <c r="A529" s="60"/>
      <c r="B529" s="60"/>
      <c r="C529" s="84"/>
      <c r="D529" s="60"/>
      <c r="E529" s="60"/>
      <c r="F529" s="85"/>
      <c r="G529" s="85"/>
      <c r="H529" s="60"/>
      <c r="I529" s="60"/>
      <c r="J529" s="60"/>
      <c r="K529" s="60"/>
      <c r="L529" s="60"/>
      <c r="M529" s="60"/>
      <c r="N529" s="60"/>
      <c r="O529" s="60"/>
      <c r="P529" s="60"/>
      <c r="Q529" s="60"/>
      <c r="R529" s="60"/>
      <c r="S529" s="60"/>
      <c r="T529" s="60"/>
      <c r="U529" s="60"/>
      <c r="V529" s="60"/>
      <c r="W529" s="60"/>
      <c r="X529" s="60"/>
      <c r="Y529" s="60"/>
      <c r="Z529" s="60"/>
    </row>
    <row r="530" ht="53.25" customHeight="1">
      <c r="A530" s="60"/>
      <c r="B530" s="60"/>
      <c r="C530" s="84"/>
      <c r="D530" s="60"/>
      <c r="E530" s="60"/>
      <c r="F530" s="85"/>
      <c r="G530" s="85"/>
      <c r="H530" s="60"/>
      <c r="I530" s="60"/>
      <c r="J530" s="60"/>
      <c r="K530" s="60"/>
      <c r="L530" s="60"/>
      <c r="M530" s="60"/>
      <c r="N530" s="60"/>
      <c r="O530" s="60"/>
      <c r="P530" s="60"/>
      <c r="Q530" s="60"/>
      <c r="R530" s="60"/>
      <c r="S530" s="60"/>
      <c r="T530" s="60"/>
      <c r="U530" s="60"/>
      <c r="V530" s="60"/>
      <c r="W530" s="60"/>
      <c r="X530" s="60"/>
      <c r="Y530" s="60"/>
      <c r="Z530" s="60"/>
    </row>
    <row r="531" ht="53.25" customHeight="1">
      <c r="A531" s="60"/>
      <c r="B531" s="60"/>
      <c r="C531" s="84"/>
      <c r="D531" s="60"/>
      <c r="E531" s="60"/>
      <c r="F531" s="85"/>
      <c r="G531" s="85"/>
      <c r="H531" s="60"/>
      <c r="I531" s="60"/>
      <c r="J531" s="60"/>
      <c r="K531" s="60"/>
      <c r="L531" s="60"/>
      <c r="M531" s="60"/>
      <c r="N531" s="60"/>
      <c r="O531" s="60"/>
      <c r="P531" s="60"/>
      <c r="Q531" s="60"/>
      <c r="R531" s="60"/>
      <c r="S531" s="60"/>
      <c r="T531" s="60"/>
      <c r="U531" s="60"/>
      <c r="V531" s="60"/>
      <c r="W531" s="60"/>
      <c r="X531" s="60"/>
      <c r="Y531" s="60"/>
      <c r="Z531" s="60"/>
    </row>
    <row r="532" ht="53.25" customHeight="1">
      <c r="A532" s="60"/>
      <c r="B532" s="60"/>
      <c r="C532" s="84"/>
      <c r="D532" s="60"/>
      <c r="E532" s="60"/>
      <c r="F532" s="85"/>
      <c r="G532" s="85"/>
      <c r="H532" s="60"/>
      <c r="I532" s="60"/>
      <c r="J532" s="60"/>
      <c r="K532" s="60"/>
      <c r="L532" s="60"/>
      <c r="M532" s="60"/>
      <c r="N532" s="60"/>
      <c r="O532" s="60"/>
      <c r="P532" s="60"/>
      <c r="Q532" s="60"/>
      <c r="R532" s="60"/>
      <c r="S532" s="60"/>
      <c r="T532" s="60"/>
      <c r="U532" s="60"/>
      <c r="V532" s="60"/>
      <c r="W532" s="60"/>
      <c r="X532" s="60"/>
      <c r="Y532" s="60"/>
      <c r="Z532" s="60"/>
    </row>
    <row r="533" ht="53.25" customHeight="1">
      <c r="A533" s="60"/>
      <c r="B533" s="60"/>
      <c r="C533" s="84"/>
      <c r="D533" s="60"/>
      <c r="E533" s="60"/>
      <c r="F533" s="85"/>
      <c r="G533" s="85"/>
      <c r="H533" s="60"/>
      <c r="I533" s="60"/>
      <c r="J533" s="60"/>
      <c r="K533" s="60"/>
      <c r="L533" s="60"/>
      <c r="M533" s="60"/>
      <c r="N533" s="60"/>
      <c r="O533" s="60"/>
      <c r="P533" s="60"/>
      <c r="Q533" s="60"/>
      <c r="R533" s="60"/>
      <c r="S533" s="60"/>
      <c r="T533" s="60"/>
      <c r="U533" s="60"/>
      <c r="V533" s="60"/>
      <c r="W533" s="60"/>
      <c r="X533" s="60"/>
      <c r="Y533" s="60"/>
      <c r="Z533" s="60"/>
    </row>
    <row r="534" ht="53.25" customHeight="1">
      <c r="A534" s="60"/>
      <c r="B534" s="60"/>
      <c r="C534" s="84"/>
      <c r="D534" s="60"/>
      <c r="E534" s="60"/>
      <c r="F534" s="85"/>
      <c r="G534" s="85"/>
      <c r="H534" s="60"/>
      <c r="I534" s="60"/>
      <c r="J534" s="60"/>
      <c r="K534" s="60"/>
      <c r="L534" s="60"/>
      <c r="M534" s="60"/>
      <c r="N534" s="60"/>
      <c r="O534" s="60"/>
      <c r="P534" s="60"/>
      <c r="Q534" s="60"/>
      <c r="R534" s="60"/>
      <c r="S534" s="60"/>
      <c r="T534" s="60"/>
      <c r="U534" s="60"/>
      <c r="V534" s="60"/>
      <c r="W534" s="60"/>
      <c r="X534" s="60"/>
      <c r="Y534" s="60"/>
      <c r="Z534" s="60"/>
    </row>
    <row r="535" ht="53.25" customHeight="1">
      <c r="A535" s="60"/>
      <c r="B535" s="60"/>
      <c r="C535" s="84"/>
      <c r="D535" s="60"/>
      <c r="E535" s="60"/>
      <c r="F535" s="85"/>
      <c r="G535" s="85"/>
      <c r="H535" s="60"/>
      <c r="I535" s="60"/>
      <c r="J535" s="60"/>
      <c r="K535" s="60"/>
      <c r="L535" s="60"/>
      <c r="M535" s="60"/>
      <c r="N535" s="60"/>
      <c r="O535" s="60"/>
      <c r="P535" s="60"/>
      <c r="Q535" s="60"/>
      <c r="R535" s="60"/>
      <c r="S535" s="60"/>
      <c r="T535" s="60"/>
      <c r="U535" s="60"/>
      <c r="V535" s="60"/>
      <c r="W535" s="60"/>
      <c r="X535" s="60"/>
      <c r="Y535" s="60"/>
      <c r="Z535" s="60"/>
    </row>
    <row r="536" ht="53.25" customHeight="1">
      <c r="A536" s="60"/>
      <c r="B536" s="60"/>
      <c r="C536" s="84"/>
      <c r="D536" s="60"/>
      <c r="E536" s="60"/>
      <c r="F536" s="85"/>
      <c r="G536" s="85"/>
      <c r="H536" s="60"/>
      <c r="I536" s="60"/>
      <c r="J536" s="60"/>
      <c r="K536" s="60"/>
      <c r="L536" s="60"/>
      <c r="M536" s="60"/>
      <c r="N536" s="60"/>
      <c r="O536" s="60"/>
      <c r="P536" s="60"/>
      <c r="Q536" s="60"/>
      <c r="R536" s="60"/>
      <c r="S536" s="60"/>
      <c r="T536" s="60"/>
      <c r="U536" s="60"/>
      <c r="V536" s="60"/>
      <c r="W536" s="60"/>
      <c r="X536" s="60"/>
      <c r="Y536" s="60"/>
      <c r="Z536" s="60"/>
    </row>
    <row r="537" ht="53.25" customHeight="1">
      <c r="A537" s="60"/>
      <c r="B537" s="60"/>
      <c r="C537" s="84"/>
      <c r="D537" s="60"/>
      <c r="E537" s="60"/>
      <c r="F537" s="85"/>
      <c r="G537" s="85"/>
      <c r="H537" s="60"/>
      <c r="I537" s="60"/>
      <c r="J537" s="60"/>
      <c r="K537" s="60"/>
      <c r="L537" s="60"/>
      <c r="M537" s="60"/>
      <c r="N537" s="60"/>
      <c r="O537" s="60"/>
      <c r="P537" s="60"/>
      <c r="Q537" s="60"/>
      <c r="R537" s="60"/>
      <c r="S537" s="60"/>
      <c r="T537" s="60"/>
      <c r="U537" s="60"/>
      <c r="V537" s="60"/>
      <c r="W537" s="60"/>
      <c r="X537" s="60"/>
      <c r="Y537" s="60"/>
      <c r="Z537" s="60"/>
    </row>
    <row r="538" ht="53.25" customHeight="1">
      <c r="A538" s="60"/>
      <c r="B538" s="60"/>
      <c r="C538" s="84"/>
      <c r="D538" s="60"/>
      <c r="E538" s="60"/>
      <c r="F538" s="85"/>
      <c r="G538" s="85"/>
      <c r="H538" s="60"/>
      <c r="I538" s="60"/>
      <c r="J538" s="60"/>
      <c r="K538" s="60"/>
      <c r="L538" s="60"/>
      <c r="M538" s="60"/>
      <c r="N538" s="60"/>
      <c r="O538" s="60"/>
      <c r="P538" s="60"/>
      <c r="Q538" s="60"/>
      <c r="R538" s="60"/>
      <c r="S538" s="60"/>
      <c r="T538" s="60"/>
      <c r="U538" s="60"/>
      <c r="V538" s="60"/>
      <c r="W538" s="60"/>
      <c r="X538" s="60"/>
      <c r="Y538" s="60"/>
      <c r="Z538" s="60"/>
    </row>
    <row r="539" ht="53.25" customHeight="1">
      <c r="A539" s="60"/>
      <c r="B539" s="60"/>
      <c r="C539" s="84"/>
      <c r="D539" s="60"/>
      <c r="E539" s="60"/>
      <c r="F539" s="85"/>
      <c r="G539" s="85"/>
      <c r="H539" s="60"/>
      <c r="I539" s="60"/>
      <c r="J539" s="60"/>
      <c r="K539" s="60"/>
      <c r="L539" s="60"/>
      <c r="M539" s="60"/>
      <c r="N539" s="60"/>
      <c r="O539" s="60"/>
      <c r="P539" s="60"/>
      <c r="Q539" s="60"/>
      <c r="R539" s="60"/>
      <c r="S539" s="60"/>
      <c r="T539" s="60"/>
      <c r="U539" s="60"/>
      <c r="V539" s="60"/>
      <c r="W539" s="60"/>
      <c r="X539" s="60"/>
      <c r="Y539" s="60"/>
      <c r="Z539" s="60"/>
    </row>
    <row r="540" ht="53.25" customHeight="1">
      <c r="A540" s="60"/>
      <c r="B540" s="60"/>
      <c r="C540" s="84"/>
      <c r="D540" s="60"/>
      <c r="E540" s="60"/>
      <c r="F540" s="85"/>
      <c r="G540" s="85"/>
      <c r="H540" s="60"/>
      <c r="I540" s="60"/>
      <c r="J540" s="60"/>
      <c r="K540" s="60"/>
      <c r="L540" s="60"/>
      <c r="M540" s="60"/>
      <c r="N540" s="60"/>
      <c r="O540" s="60"/>
      <c r="P540" s="60"/>
      <c r="Q540" s="60"/>
      <c r="R540" s="60"/>
      <c r="S540" s="60"/>
      <c r="T540" s="60"/>
      <c r="U540" s="60"/>
      <c r="V540" s="60"/>
      <c r="W540" s="60"/>
      <c r="X540" s="60"/>
      <c r="Y540" s="60"/>
      <c r="Z540" s="60"/>
    </row>
    <row r="541" ht="53.25" customHeight="1">
      <c r="A541" s="60"/>
      <c r="B541" s="60"/>
      <c r="C541" s="84"/>
      <c r="D541" s="60"/>
      <c r="E541" s="60"/>
      <c r="F541" s="85"/>
      <c r="G541" s="85"/>
      <c r="H541" s="60"/>
      <c r="I541" s="60"/>
      <c r="J541" s="60"/>
      <c r="K541" s="60"/>
      <c r="L541" s="60"/>
      <c r="M541" s="60"/>
      <c r="N541" s="60"/>
      <c r="O541" s="60"/>
      <c r="P541" s="60"/>
      <c r="Q541" s="60"/>
      <c r="R541" s="60"/>
      <c r="S541" s="60"/>
      <c r="T541" s="60"/>
      <c r="U541" s="60"/>
      <c r="V541" s="60"/>
      <c r="W541" s="60"/>
      <c r="X541" s="60"/>
      <c r="Y541" s="60"/>
      <c r="Z541" s="60"/>
    </row>
    <row r="542" ht="53.25" customHeight="1">
      <c r="A542" s="60"/>
      <c r="B542" s="60"/>
      <c r="C542" s="84"/>
      <c r="D542" s="60"/>
      <c r="E542" s="60"/>
      <c r="F542" s="85"/>
      <c r="G542" s="85"/>
      <c r="H542" s="60"/>
      <c r="I542" s="60"/>
      <c r="J542" s="60"/>
      <c r="K542" s="60"/>
      <c r="L542" s="60"/>
      <c r="M542" s="60"/>
      <c r="N542" s="60"/>
      <c r="O542" s="60"/>
      <c r="P542" s="60"/>
      <c r="Q542" s="60"/>
      <c r="R542" s="60"/>
      <c r="S542" s="60"/>
      <c r="T542" s="60"/>
      <c r="U542" s="60"/>
      <c r="V542" s="60"/>
      <c r="W542" s="60"/>
      <c r="X542" s="60"/>
      <c r="Y542" s="60"/>
      <c r="Z542" s="60"/>
    </row>
    <row r="543" ht="53.25" customHeight="1">
      <c r="A543" s="60"/>
      <c r="B543" s="60"/>
      <c r="C543" s="84"/>
      <c r="D543" s="60"/>
      <c r="E543" s="60"/>
      <c r="F543" s="85"/>
      <c r="G543" s="85"/>
      <c r="H543" s="60"/>
      <c r="I543" s="60"/>
      <c r="J543" s="60"/>
      <c r="K543" s="60"/>
      <c r="L543" s="60"/>
      <c r="M543" s="60"/>
      <c r="N543" s="60"/>
      <c r="O543" s="60"/>
      <c r="P543" s="60"/>
      <c r="Q543" s="60"/>
      <c r="R543" s="60"/>
      <c r="S543" s="60"/>
      <c r="T543" s="60"/>
      <c r="U543" s="60"/>
      <c r="V543" s="60"/>
      <c r="W543" s="60"/>
      <c r="X543" s="60"/>
      <c r="Y543" s="60"/>
      <c r="Z543" s="60"/>
    </row>
    <row r="544" ht="53.25" customHeight="1">
      <c r="A544" s="60"/>
      <c r="B544" s="60"/>
      <c r="C544" s="84"/>
      <c r="D544" s="60"/>
      <c r="E544" s="60"/>
      <c r="F544" s="85"/>
      <c r="G544" s="85"/>
      <c r="H544" s="60"/>
      <c r="I544" s="60"/>
      <c r="J544" s="60"/>
      <c r="K544" s="60"/>
      <c r="L544" s="60"/>
      <c r="M544" s="60"/>
      <c r="N544" s="60"/>
      <c r="O544" s="60"/>
      <c r="P544" s="60"/>
      <c r="Q544" s="60"/>
      <c r="R544" s="60"/>
      <c r="S544" s="60"/>
      <c r="T544" s="60"/>
      <c r="U544" s="60"/>
      <c r="V544" s="60"/>
      <c r="W544" s="60"/>
      <c r="X544" s="60"/>
      <c r="Y544" s="60"/>
      <c r="Z544" s="60"/>
    </row>
    <row r="545" ht="53.25" customHeight="1">
      <c r="A545" s="60"/>
      <c r="B545" s="60"/>
      <c r="C545" s="84"/>
      <c r="D545" s="60"/>
      <c r="E545" s="60"/>
      <c r="F545" s="85"/>
      <c r="G545" s="85"/>
      <c r="H545" s="60"/>
      <c r="I545" s="60"/>
      <c r="J545" s="60"/>
      <c r="K545" s="60"/>
      <c r="L545" s="60"/>
      <c r="M545" s="60"/>
      <c r="N545" s="60"/>
      <c r="O545" s="60"/>
      <c r="P545" s="60"/>
      <c r="Q545" s="60"/>
      <c r="R545" s="60"/>
      <c r="S545" s="60"/>
      <c r="T545" s="60"/>
      <c r="U545" s="60"/>
      <c r="V545" s="60"/>
      <c r="W545" s="60"/>
      <c r="X545" s="60"/>
      <c r="Y545" s="60"/>
      <c r="Z545" s="60"/>
    </row>
    <row r="546" ht="53.25" customHeight="1">
      <c r="A546" s="60"/>
      <c r="B546" s="60"/>
      <c r="C546" s="84"/>
      <c r="D546" s="60"/>
      <c r="E546" s="60"/>
      <c r="F546" s="85"/>
      <c r="G546" s="85"/>
      <c r="H546" s="60"/>
      <c r="I546" s="60"/>
      <c r="J546" s="60"/>
      <c r="K546" s="60"/>
      <c r="L546" s="60"/>
      <c r="M546" s="60"/>
      <c r="N546" s="60"/>
      <c r="O546" s="60"/>
      <c r="P546" s="60"/>
      <c r="Q546" s="60"/>
      <c r="R546" s="60"/>
      <c r="S546" s="60"/>
      <c r="T546" s="60"/>
      <c r="U546" s="60"/>
      <c r="V546" s="60"/>
      <c r="W546" s="60"/>
      <c r="X546" s="60"/>
      <c r="Y546" s="60"/>
      <c r="Z546" s="60"/>
    </row>
    <row r="547" ht="53.25" customHeight="1">
      <c r="A547" s="60"/>
      <c r="B547" s="60"/>
      <c r="C547" s="84"/>
      <c r="D547" s="60"/>
      <c r="E547" s="60"/>
      <c r="F547" s="85"/>
      <c r="G547" s="85"/>
      <c r="H547" s="60"/>
      <c r="I547" s="60"/>
      <c r="J547" s="60"/>
      <c r="K547" s="60"/>
      <c r="L547" s="60"/>
      <c r="M547" s="60"/>
      <c r="N547" s="60"/>
      <c r="O547" s="60"/>
      <c r="P547" s="60"/>
      <c r="Q547" s="60"/>
      <c r="R547" s="60"/>
      <c r="S547" s="60"/>
      <c r="T547" s="60"/>
      <c r="U547" s="60"/>
      <c r="V547" s="60"/>
      <c r="W547" s="60"/>
      <c r="X547" s="60"/>
      <c r="Y547" s="60"/>
      <c r="Z547" s="60"/>
    </row>
    <row r="548" ht="53.25" customHeight="1">
      <c r="A548" s="60"/>
      <c r="B548" s="60"/>
      <c r="C548" s="84"/>
      <c r="D548" s="60"/>
      <c r="E548" s="60"/>
      <c r="F548" s="85"/>
      <c r="G548" s="85"/>
      <c r="H548" s="60"/>
      <c r="I548" s="60"/>
      <c r="J548" s="60"/>
      <c r="K548" s="60"/>
      <c r="L548" s="60"/>
      <c r="M548" s="60"/>
      <c r="N548" s="60"/>
      <c r="O548" s="60"/>
      <c r="P548" s="60"/>
      <c r="Q548" s="60"/>
      <c r="R548" s="60"/>
      <c r="S548" s="60"/>
      <c r="T548" s="60"/>
      <c r="U548" s="60"/>
      <c r="V548" s="60"/>
      <c r="W548" s="60"/>
      <c r="X548" s="60"/>
      <c r="Y548" s="60"/>
      <c r="Z548" s="60"/>
    </row>
    <row r="549" ht="53.25" customHeight="1">
      <c r="A549" s="60"/>
      <c r="B549" s="60"/>
      <c r="C549" s="84"/>
      <c r="D549" s="60"/>
      <c r="E549" s="60"/>
      <c r="F549" s="85"/>
      <c r="G549" s="85"/>
      <c r="H549" s="60"/>
      <c r="I549" s="60"/>
      <c r="J549" s="60"/>
      <c r="K549" s="60"/>
      <c r="L549" s="60"/>
      <c r="M549" s="60"/>
      <c r="N549" s="60"/>
      <c r="O549" s="60"/>
      <c r="P549" s="60"/>
      <c r="Q549" s="60"/>
      <c r="R549" s="60"/>
      <c r="S549" s="60"/>
      <c r="T549" s="60"/>
      <c r="U549" s="60"/>
      <c r="V549" s="60"/>
      <c r="W549" s="60"/>
      <c r="X549" s="60"/>
      <c r="Y549" s="60"/>
      <c r="Z549" s="60"/>
    </row>
    <row r="550" ht="53.25" customHeight="1">
      <c r="A550" s="60"/>
      <c r="B550" s="60"/>
      <c r="C550" s="84"/>
      <c r="D550" s="60"/>
      <c r="E550" s="60"/>
      <c r="F550" s="85"/>
      <c r="G550" s="85"/>
      <c r="H550" s="60"/>
      <c r="I550" s="60"/>
      <c r="J550" s="60"/>
      <c r="K550" s="60"/>
      <c r="L550" s="60"/>
      <c r="M550" s="60"/>
      <c r="N550" s="60"/>
      <c r="O550" s="60"/>
      <c r="P550" s="60"/>
      <c r="Q550" s="60"/>
      <c r="R550" s="60"/>
      <c r="S550" s="60"/>
      <c r="T550" s="60"/>
      <c r="U550" s="60"/>
      <c r="V550" s="60"/>
      <c r="W550" s="60"/>
      <c r="X550" s="60"/>
      <c r="Y550" s="60"/>
      <c r="Z550" s="60"/>
    </row>
    <row r="551" ht="53.25" customHeight="1">
      <c r="A551" s="60"/>
      <c r="B551" s="60"/>
      <c r="C551" s="84"/>
      <c r="D551" s="60"/>
      <c r="E551" s="60"/>
      <c r="F551" s="85"/>
      <c r="G551" s="85"/>
      <c r="H551" s="60"/>
      <c r="I551" s="60"/>
      <c r="J551" s="60"/>
      <c r="K551" s="60"/>
      <c r="L551" s="60"/>
      <c r="M551" s="60"/>
      <c r="N551" s="60"/>
      <c r="O551" s="60"/>
      <c r="P551" s="60"/>
      <c r="Q551" s="60"/>
      <c r="R551" s="60"/>
      <c r="S551" s="60"/>
      <c r="T551" s="60"/>
      <c r="U551" s="60"/>
      <c r="V551" s="60"/>
      <c r="W551" s="60"/>
      <c r="X551" s="60"/>
      <c r="Y551" s="60"/>
      <c r="Z551" s="60"/>
    </row>
    <row r="552" ht="53.25" customHeight="1">
      <c r="A552" s="60"/>
      <c r="B552" s="60"/>
      <c r="C552" s="84"/>
      <c r="D552" s="60"/>
      <c r="E552" s="60"/>
      <c r="F552" s="85"/>
      <c r="G552" s="85"/>
      <c r="H552" s="60"/>
      <c r="I552" s="60"/>
      <c r="J552" s="60"/>
      <c r="K552" s="60"/>
      <c r="L552" s="60"/>
      <c r="M552" s="60"/>
      <c r="N552" s="60"/>
      <c r="O552" s="60"/>
      <c r="P552" s="60"/>
      <c r="Q552" s="60"/>
      <c r="R552" s="60"/>
      <c r="S552" s="60"/>
      <c r="T552" s="60"/>
      <c r="U552" s="60"/>
      <c r="V552" s="60"/>
      <c r="W552" s="60"/>
      <c r="X552" s="60"/>
      <c r="Y552" s="60"/>
      <c r="Z552" s="60"/>
    </row>
    <row r="553" ht="53.25" customHeight="1">
      <c r="A553" s="60"/>
      <c r="B553" s="60"/>
      <c r="C553" s="84"/>
      <c r="D553" s="60"/>
      <c r="E553" s="60"/>
      <c r="F553" s="85"/>
      <c r="G553" s="85"/>
      <c r="H553" s="60"/>
      <c r="I553" s="60"/>
      <c r="J553" s="60"/>
      <c r="K553" s="60"/>
      <c r="L553" s="60"/>
      <c r="M553" s="60"/>
      <c r="N553" s="60"/>
      <c r="O553" s="60"/>
      <c r="P553" s="60"/>
      <c r="Q553" s="60"/>
      <c r="R553" s="60"/>
      <c r="S553" s="60"/>
      <c r="T553" s="60"/>
      <c r="U553" s="60"/>
      <c r="V553" s="60"/>
      <c r="W553" s="60"/>
      <c r="X553" s="60"/>
      <c r="Y553" s="60"/>
      <c r="Z553" s="60"/>
    </row>
    <row r="554" ht="53.25" customHeight="1">
      <c r="A554" s="60"/>
      <c r="B554" s="60"/>
      <c r="C554" s="84"/>
      <c r="D554" s="60"/>
      <c r="E554" s="60"/>
      <c r="F554" s="85"/>
      <c r="G554" s="85"/>
      <c r="H554" s="60"/>
      <c r="I554" s="60"/>
      <c r="J554" s="60"/>
      <c r="K554" s="60"/>
      <c r="L554" s="60"/>
      <c r="M554" s="60"/>
      <c r="N554" s="60"/>
      <c r="O554" s="60"/>
      <c r="P554" s="60"/>
      <c r="Q554" s="60"/>
      <c r="R554" s="60"/>
      <c r="S554" s="60"/>
      <c r="T554" s="60"/>
      <c r="U554" s="60"/>
      <c r="V554" s="60"/>
      <c r="W554" s="60"/>
      <c r="X554" s="60"/>
      <c r="Y554" s="60"/>
      <c r="Z554" s="60"/>
    </row>
    <row r="555" ht="53.25" customHeight="1">
      <c r="A555" s="60"/>
      <c r="B555" s="60"/>
      <c r="C555" s="84"/>
      <c r="D555" s="60"/>
      <c r="E555" s="60"/>
      <c r="F555" s="85"/>
      <c r="G555" s="85"/>
      <c r="H555" s="60"/>
      <c r="I555" s="60"/>
      <c r="J555" s="60"/>
      <c r="K555" s="60"/>
      <c r="L555" s="60"/>
      <c r="M555" s="60"/>
      <c r="N555" s="60"/>
      <c r="O555" s="60"/>
      <c r="P555" s="60"/>
      <c r="Q555" s="60"/>
      <c r="R555" s="60"/>
      <c r="S555" s="60"/>
      <c r="T555" s="60"/>
      <c r="U555" s="60"/>
      <c r="V555" s="60"/>
      <c r="W555" s="60"/>
      <c r="X555" s="60"/>
      <c r="Y555" s="60"/>
      <c r="Z555" s="60"/>
    </row>
    <row r="556" ht="53.25" customHeight="1">
      <c r="A556" s="60"/>
      <c r="B556" s="60"/>
      <c r="C556" s="84"/>
      <c r="D556" s="60"/>
      <c r="E556" s="60"/>
      <c r="F556" s="85"/>
      <c r="G556" s="85"/>
      <c r="H556" s="60"/>
      <c r="I556" s="60"/>
      <c r="J556" s="60"/>
      <c r="K556" s="60"/>
      <c r="L556" s="60"/>
      <c r="M556" s="60"/>
      <c r="N556" s="60"/>
      <c r="O556" s="60"/>
      <c r="P556" s="60"/>
      <c r="Q556" s="60"/>
      <c r="R556" s="60"/>
      <c r="S556" s="60"/>
      <c r="T556" s="60"/>
      <c r="U556" s="60"/>
      <c r="V556" s="60"/>
      <c r="W556" s="60"/>
      <c r="X556" s="60"/>
      <c r="Y556" s="60"/>
      <c r="Z556" s="60"/>
    </row>
    <row r="557" ht="53.25" customHeight="1">
      <c r="A557" s="60"/>
      <c r="B557" s="60"/>
      <c r="C557" s="84"/>
      <c r="D557" s="60"/>
      <c r="E557" s="60"/>
      <c r="F557" s="85"/>
      <c r="G557" s="85"/>
      <c r="H557" s="60"/>
      <c r="I557" s="60"/>
      <c r="J557" s="60"/>
      <c r="K557" s="60"/>
      <c r="L557" s="60"/>
      <c r="M557" s="60"/>
      <c r="N557" s="60"/>
      <c r="O557" s="60"/>
      <c r="P557" s="60"/>
      <c r="Q557" s="60"/>
      <c r="R557" s="60"/>
      <c r="S557" s="60"/>
      <c r="T557" s="60"/>
      <c r="U557" s="60"/>
      <c r="V557" s="60"/>
      <c r="W557" s="60"/>
      <c r="X557" s="60"/>
      <c r="Y557" s="60"/>
      <c r="Z557" s="60"/>
    </row>
    <row r="558" ht="53.25" customHeight="1">
      <c r="A558" s="60"/>
      <c r="B558" s="60"/>
      <c r="C558" s="84"/>
      <c r="D558" s="60"/>
      <c r="E558" s="60"/>
      <c r="F558" s="85"/>
      <c r="G558" s="85"/>
      <c r="H558" s="60"/>
      <c r="I558" s="60"/>
      <c r="J558" s="60"/>
      <c r="K558" s="60"/>
      <c r="L558" s="60"/>
      <c r="M558" s="60"/>
      <c r="N558" s="60"/>
      <c r="O558" s="60"/>
      <c r="P558" s="60"/>
      <c r="Q558" s="60"/>
      <c r="R558" s="60"/>
      <c r="S558" s="60"/>
      <c r="T558" s="60"/>
      <c r="U558" s="60"/>
      <c r="V558" s="60"/>
      <c r="W558" s="60"/>
      <c r="X558" s="60"/>
      <c r="Y558" s="60"/>
      <c r="Z558" s="60"/>
    </row>
    <row r="559" ht="53.25" customHeight="1">
      <c r="A559" s="60"/>
      <c r="B559" s="60"/>
      <c r="C559" s="84"/>
      <c r="D559" s="60"/>
      <c r="E559" s="60"/>
      <c r="F559" s="85"/>
      <c r="G559" s="85"/>
      <c r="H559" s="60"/>
      <c r="I559" s="60"/>
      <c r="J559" s="60"/>
      <c r="K559" s="60"/>
      <c r="L559" s="60"/>
      <c r="M559" s="60"/>
      <c r="N559" s="60"/>
      <c r="O559" s="60"/>
      <c r="P559" s="60"/>
      <c r="Q559" s="60"/>
      <c r="R559" s="60"/>
      <c r="S559" s="60"/>
      <c r="T559" s="60"/>
      <c r="U559" s="60"/>
      <c r="V559" s="60"/>
      <c r="W559" s="60"/>
      <c r="X559" s="60"/>
      <c r="Y559" s="60"/>
      <c r="Z559" s="60"/>
    </row>
    <row r="560" ht="53.25" customHeight="1">
      <c r="A560" s="60"/>
      <c r="B560" s="60"/>
      <c r="C560" s="84"/>
      <c r="D560" s="60"/>
      <c r="E560" s="60"/>
      <c r="F560" s="85"/>
      <c r="G560" s="85"/>
      <c r="H560" s="60"/>
      <c r="I560" s="60"/>
      <c r="J560" s="60"/>
      <c r="K560" s="60"/>
      <c r="L560" s="60"/>
      <c r="M560" s="60"/>
      <c r="N560" s="60"/>
      <c r="O560" s="60"/>
      <c r="P560" s="60"/>
      <c r="Q560" s="60"/>
      <c r="R560" s="60"/>
      <c r="S560" s="60"/>
      <c r="T560" s="60"/>
      <c r="U560" s="60"/>
      <c r="V560" s="60"/>
      <c r="W560" s="60"/>
      <c r="X560" s="60"/>
      <c r="Y560" s="60"/>
      <c r="Z560" s="60"/>
    </row>
    <row r="561" ht="53.25" customHeight="1">
      <c r="A561" s="60"/>
      <c r="B561" s="60"/>
      <c r="C561" s="84"/>
      <c r="D561" s="60"/>
      <c r="E561" s="60"/>
      <c r="F561" s="85"/>
      <c r="G561" s="85"/>
      <c r="H561" s="60"/>
      <c r="I561" s="60"/>
      <c r="J561" s="60"/>
      <c r="K561" s="60"/>
      <c r="L561" s="60"/>
      <c r="M561" s="60"/>
      <c r="N561" s="60"/>
      <c r="O561" s="60"/>
      <c r="P561" s="60"/>
      <c r="Q561" s="60"/>
      <c r="R561" s="60"/>
      <c r="S561" s="60"/>
      <c r="T561" s="60"/>
      <c r="U561" s="60"/>
      <c r="V561" s="60"/>
      <c r="W561" s="60"/>
      <c r="X561" s="60"/>
      <c r="Y561" s="60"/>
      <c r="Z561" s="60"/>
    </row>
    <row r="562" ht="53.25" customHeight="1">
      <c r="A562" s="60"/>
      <c r="B562" s="60"/>
      <c r="C562" s="84"/>
      <c r="D562" s="60"/>
      <c r="E562" s="60"/>
      <c r="F562" s="85"/>
      <c r="G562" s="85"/>
      <c r="H562" s="60"/>
      <c r="I562" s="60"/>
      <c r="J562" s="60"/>
      <c r="K562" s="60"/>
      <c r="L562" s="60"/>
      <c r="M562" s="60"/>
      <c r="N562" s="60"/>
      <c r="O562" s="60"/>
      <c r="P562" s="60"/>
      <c r="Q562" s="60"/>
      <c r="R562" s="60"/>
      <c r="S562" s="60"/>
      <c r="T562" s="60"/>
      <c r="U562" s="60"/>
      <c r="V562" s="60"/>
      <c r="W562" s="60"/>
      <c r="X562" s="60"/>
      <c r="Y562" s="60"/>
      <c r="Z562" s="60"/>
    </row>
    <row r="563" ht="53.25" customHeight="1">
      <c r="A563" s="60"/>
      <c r="B563" s="60"/>
      <c r="C563" s="84"/>
      <c r="D563" s="60"/>
      <c r="E563" s="60"/>
      <c r="F563" s="85"/>
      <c r="G563" s="85"/>
      <c r="H563" s="60"/>
      <c r="I563" s="60"/>
      <c r="J563" s="60"/>
      <c r="K563" s="60"/>
      <c r="L563" s="60"/>
      <c r="M563" s="60"/>
      <c r="N563" s="60"/>
      <c r="O563" s="60"/>
      <c r="P563" s="60"/>
      <c r="Q563" s="60"/>
      <c r="R563" s="60"/>
      <c r="S563" s="60"/>
      <c r="T563" s="60"/>
      <c r="U563" s="60"/>
      <c r="V563" s="60"/>
      <c r="W563" s="60"/>
      <c r="X563" s="60"/>
      <c r="Y563" s="60"/>
      <c r="Z563" s="60"/>
    </row>
    <row r="564" ht="53.25" customHeight="1">
      <c r="A564" s="60"/>
      <c r="B564" s="60"/>
      <c r="C564" s="84"/>
      <c r="D564" s="60"/>
      <c r="E564" s="60"/>
      <c r="F564" s="85"/>
      <c r="G564" s="85"/>
      <c r="H564" s="60"/>
      <c r="I564" s="60"/>
      <c r="J564" s="60"/>
      <c r="K564" s="60"/>
      <c r="L564" s="60"/>
      <c r="M564" s="60"/>
      <c r="N564" s="60"/>
      <c r="O564" s="60"/>
      <c r="P564" s="60"/>
      <c r="Q564" s="60"/>
      <c r="R564" s="60"/>
      <c r="S564" s="60"/>
      <c r="T564" s="60"/>
      <c r="U564" s="60"/>
      <c r="V564" s="60"/>
      <c r="W564" s="60"/>
      <c r="X564" s="60"/>
      <c r="Y564" s="60"/>
      <c r="Z564" s="60"/>
    </row>
    <row r="565" ht="53.25" customHeight="1">
      <c r="A565" s="60"/>
      <c r="B565" s="60"/>
      <c r="C565" s="84"/>
      <c r="D565" s="60"/>
      <c r="E565" s="60"/>
      <c r="F565" s="85"/>
      <c r="G565" s="85"/>
      <c r="H565" s="60"/>
      <c r="I565" s="60"/>
      <c r="J565" s="60"/>
      <c r="K565" s="60"/>
      <c r="L565" s="60"/>
      <c r="M565" s="60"/>
      <c r="N565" s="60"/>
      <c r="O565" s="60"/>
      <c r="P565" s="60"/>
      <c r="Q565" s="60"/>
      <c r="R565" s="60"/>
      <c r="S565" s="60"/>
      <c r="T565" s="60"/>
      <c r="U565" s="60"/>
      <c r="V565" s="60"/>
      <c r="W565" s="60"/>
      <c r="X565" s="60"/>
      <c r="Y565" s="60"/>
      <c r="Z565" s="60"/>
    </row>
    <row r="566" ht="53.25" customHeight="1">
      <c r="A566" s="60"/>
      <c r="B566" s="60"/>
      <c r="C566" s="84"/>
      <c r="D566" s="60"/>
      <c r="E566" s="60"/>
      <c r="F566" s="85"/>
      <c r="G566" s="85"/>
      <c r="H566" s="60"/>
      <c r="I566" s="60"/>
      <c r="J566" s="60"/>
      <c r="K566" s="60"/>
      <c r="L566" s="60"/>
      <c r="M566" s="60"/>
      <c r="N566" s="60"/>
      <c r="O566" s="60"/>
      <c r="P566" s="60"/>
      <c r="Q566" s="60"/>
      <c r="R566" s="60"/>
      <c r="S566" s="60"/>
      <c r="T566" s="60"/>
      <c r="U566" s="60"/>
      <c r="V566" s="60"/>
      <c r="W566" s="60"/>
      <c r="X566" s="60"/>
      <c r="Y566" s="60"/>
      <c r="Z566" s="60"/>
    </row>
    <row r="567" ht="53.25" customHeight="1">
      <c r="A567" s="60"/>
      <c r="B567" s="60"/>
      <c r="C567" s="84"/>
      <c r="D567" s="60"/>
      <c r="E567" s="60"/>
      <c r="F567" s="85"/>
      <c r="G567" s="85"/>
      <c r="H567" s="60"/>
      <c r="I567" s="60"/>
      <c r="J567" s="60"/>
      <c r="K567" s="60"/>
      <c r="L567" s="60"/>
      <c r="M567" s="60"/>
      <c r="N567" s="60"/>
      <c r="O567" s="60"/>
      <c r="P567" s="60"/>
      <c r="Q567" s="60"/>
      <c r="R567" s="60"/>
      <c r="S567" s="60"/>
      <c r="T567" s="60"/>
      <c r="U567" s="60"/>
      <c r="V567" s="60"/>
      <c r="W567" s="60"/>
      <c r="X567" s="60"/>
      <c r="Y567" s="60"/>
      <c r="Z567" s="60"/>
    </row>
    <row r="568" ht="53.25" customHeight="1">
      <c r="A568" s="60"/>
      <c r="B568" s="60"/>
      <c r="C568" s="84"/>
      <c r="D568" s="60"/>
      <c r="E568" s="60"/>
      <c r="F568" s="85"/>
      <c r="G568" s="85"/>
      <c r="H568" s="60"/>
      <c r="I568" s="60"/>
      <c r="J568" s="60"/>
      <c r="K568" s="60"/>
      <c r="L568" s="60"/>
      <c r="M568" s="60"/>
      <c r="N568" s="60"/>
      <c r="O568" s="60"/>
      <c r="P568" s="60"/>
      <c r="Q568" s="60"/>
      <c r="R568" s="60"/>
      <c r="S568" s="60"/>
      <c r="T568" s="60"/>
      <c r="U568" s="60"/>
      <c r="V568" s="60"/>
      <c r="W568" s="60"/>
      <c r="X568" s="60"/>
      <c r="Y568" s="60"/>
      <c r="Z568" s="60"/>
    </row>
    <row r="569" ht="53.25" customHeight="1">
      <c r="A569" s="60"/>
      <c r="B569" s="60"/>
      <c r="C569" s="84"/>
      <c r="D569" s="60"/>
      <c r="E569" s="60"/>
      <c r="F569" s="85"/>
      <c r="G569" s="85"/>
      <c r="H569" s="60"/>
      <c r="I569" s="60"/>
      <c r="J569" s="60"/>
      <c r="K569" s="60"/>
      <c r="L569" s="60"/>
      <c r="M569" s="60"/>
      <c r="N569" s="60"/>
      <c r="O569" s="60"/>
      <c r="P569" s="60"/>
      <c r="Q569" s="60"/>
      <c r="R569" s="60"/>
      <c r="S569" s="60"/>
      <c r="T569" s="60"/>
      <c r="U569" s="60"/>
      <c r="V569" s="60"/>
      <c r="W569" s="60"/>
      <c r="X569" s="60"/>
      <c r="Y569" s="60"/>
      <c r="Z569" s="60"/>
    </row>
    <row r="570" ht="53.25" customHeight="1">
      <c r="A570" s="60"/>
      <c r="B570" s="60"/>
      <c r="C570" s="84"/>
      <c r="D570" s="60"/>
      <c r="E570" s="60"/>
      <c r="F570" s="85"/>
      <c r="G570" s="85"/>
      <c r="H570" s="60"/>
      <c r="I570" s="60"/>
      <c r="J570" s="60"/>
      <c r="K570" s="60"/>
      <c r="L570" s="60"/>
      <c r="M570" s="60"/>
      <c r="N570" s="60"/>
      <c r="O570" s="60"/>
      <c r="P570" s="60"/>
      <c r="Q570" s="60"/>
      <c r="R570" s="60"/>
      <c r="S570" s="60"/>
      <c r="T570" s="60"/>
      <c r="U570" s="60"/>
      <c r="V570" s="60"/>
      <c r="W570" s="60"/>
      <c r="X570" s="60"/>
      <c r="Y570" s="60"/>
      <c r="Z570" s="60"/>
    </row>
    <row r="571" ht="53.25" customHeight="1">
      <c r="A571" s="60"/>
      <c r="B571" s="60"/>
      <c r="C571" s="84"/>
      <c r="D571" s="60"/>
      <c r="E571" s="60"/>
      <c r="F571" s="85"/>
      <c r="G571" s="85"/>
      <c r="H571" s="60"/>
      <c r="I571" s="60"/>
      <c r="J571" s="60"/>
      <c r="K571" s="60"/>
      <c r="L571" s="60"/>
      <c r="M571" s="60"/>
      <c r="N571" s="60"/>
      <c r="O571" s="60"/>
      <c r="P571" s="60"/>
      <c r="Q571" s="60"/>
      <c r="R571" s="60"/>
      <c r="S571" s="60"/>
      <c r="T571" s="60"/>
      <c r="U571" s="60"/>
      <c r="V571" s="60"/>
      <c r="W571" s="60"/>
      <c r="X571" s="60"/>
      <c r="Y571" s="60"/>
      <c r="Z571" s="60"/>
    </row>
    <row r="572" ht="53.25" customHeight="1">
      <c r="A572" s="60"/>
      <c r="B572" s="60"/>
      <c r="C572" s="84"/>
      <c r="D572" s="60"/>
      <c r="E572" s="60"/>
      <c r="F572" s="85"/>
      <c r="G572" s="85"/>
      <c r="H572" s="60"/>
      <c r="I572" s="60"/>
      <c r="J572" s="60"/>
      <c r="K572" s="60"/>
      <c r="L572" s="60"/>
      <c r="M572" s="60"/>
      <c r="N572" s="60"/>
      <c r="O572" s="60"/>
      <c r="P572" s="60"/>
      <c r="Q572" s="60"/>
      <c r="R572" s="60"/>
      <c r="S572" s="60"/>
      <c r="T572" s="60"/>
      <c r="U572" s="60"/>
      <c r="V572" s="60"/>
      <c r="W572" s="60"/>
      <c r="X572" s="60"/>
      <c r="Y572" s="60"/>
      <c r="Z572" s="60"/>
    </row>
    <row r="573" ht="53.25" customHeight="1">
      <c r="A573" s="60"/>
      <c r="B573" s="60"/>
      <c r="C573" s="84"/>
      <c r="D573" s="60"/>
      <c r="E573" s="60"/>
      <c r="F573" s="85"/>
      <c r="G573" s="85"/>
      <c r="H573" s="60"/>
      <c r="I573" s="60"/>
      <c r="J573" s="60"/>
      <c r="K573" s="60"/>
      <c r="L573" s="60"/>
      <c r="M573" s="60"/>
      <c r="N573" s="60"/>
      <c r="O573" s="60"/>
      <c r="P573" s="60"/>
      <c r="Q573" s="60"/>
      <c r="R573" s="60"/>
      <c r="S573" s="60"/>
      <c r="T573" s="60"/>
      <c r="U573" s="60"/>
      <c r="V573" s="60"/>
      <c r="W573" s="60"/>
      <c r="X573" s="60"/>
      <c r="Y573" s="60"/>
      <c r="Z573" s="60"/>
    </row>
    <row r="574" ht="53.25" customHeight="1">
      <c r="A574" s="60"/>
      <c r="B574" s="60"/>
      <c r="C574" s="84"/>
      <c r="D574" s="60"/>
      <c r="E574" s="60"/>
      <c r="F574" s="85"/>
      <c r="G574" s="85"/>
      <c r="H574" s="60"/>
      <c r="I574" s="60"/>
      <c r="J574" s="60"/>
      <c r="K574" s="60"/>
      <c r="L574" s="60"/>
      <c r="M574" s="60"/>
      <c r="N574" s="60"/>
      <c r="O574" s="60"/>
      <c r="P574" s="60"/>
      <c r="Q574" s="60"/>
      <c r="R574" s="60"/>
      <c r="S574" s="60"/>
      <c r="T574" s="60"/>
      <c r="U574" s="60"/>
      <c r="V574" s="60"/>
      <c r="W574" s="60"/>
      <c r="X574" s="60"/>
      <c r="Y574" s="60"/>
      <c r="Z574" s="60"/>
    </row>
    <row r="575" ht="53.25" customHeight="1">
      <c r="A575" s="60"/>
      <c r="B575" s="60"/>
      <c r="C575" s="84"/>
      <c r="D575" s="60"/>
      <c r="E575" s="60"/>
      <c r="F575" s="85"/>
      <c r="G575" s="85"/>
      <c r="H575" s="60"/>
      <c r="I575" s="60"/>
      <c r="J575" s="60"/>
      <c r="K575" s="60"/>
      <c r="L575" s="60"/>
      <c r="M575" s="60"/>
      <c r="N575" s="60"/>
      <c r="O575" s="60"/>
      <c r="P575" s="60"/>
      <c r="Q575" s="60"/>
      <c r="R575" s="60"/>
      <c r="S575" s="60"/>
      <c r="T575" s="60"/>
      <c r="U575" s="60"/>
      <c r="V575" s="60"/>
      <c r="W575" s="60"/>
      <c r="X575" s="60"/>
      <c r="Y575" s="60"/>
      <c r="Z575" s="60"/>
    </row>
    <row r="576" ht="53.25" customHeight="1">
      <c r="A576" s="60"/>
      <c r="B576" s="60"/>
      <c r="C576" s="84"/>
      <c r="D576" s="60"/>
      <c r="E576" s="60"/>
      <c r="F576" s="85"/>
      <c r="G576" s="85"/>
      <c r="H576" s="60"/>
      <c r="I576" s="60"/>
      <c r="J576" s="60"/>
      <c r="K576" s="60"/>
      <c r="L576" s="60"/>
      <c r="M576" s="60"/>
      <c r="N576" s="60"/>
      <c r="O576" s="60"/>
      <c r="P576" s="60"/>
      <c r="Q576" s="60"/>
      <c r="R576" s="60"/>
      <c r="S576" s="60"/>
      <c r="T576" s="60"/>
      <c r="U576" s="60"/>
      <c r="V576" s="60"/>
      <c r="W576" s="60"/>
      <c r="X576" s="60"/>
      <c r="Y576" s="60"/>
      <c r="Z576" s="60"/>
    </row>
    <row r="577" ht="53.25" customHeight="1">
      <c r="A577" s="60"/>
      <c r="B577" s="60"/>
      <c r="C577" s="84"/>
      <c r="D577" s="60"/>
      <c r="E577" s="60"/>
      <c r="F577" s="85"/>
      <c r="G577" s="85"/>
      <c r="H577" s="60"/>
      <c r="I577" s="60"/>
      <c r="J577" s="60"/>
      <c r="K577" s="60"/>
      <c r="L577" s="60"/>
      <c r="M577" s="60"/>
      <c r="N577" s="60"/>
      <c r="O577" s="60"/>
      <c r="P577" s="60"/>
      <c r="Q577" s="60"/>
      <c r="R577" s="60"/>
      <c r="S577" s="60"/>
      <c r="T577" s="60"/>
      <c r="U577" s="60"/>
      <c r="V577" s="60"/>
      <c r="W577" s="60"/>
      <c r="X577" s="60"/>
      <c r="Y577" s="60"/>
      <c r="Z577" s="60"/>
    </row>
    <row r="578" ht="53.25" customHeight="1">
      <c r="A578" s="60"/>
      <c r="B578" s="60"/>
      <c r="C578" s="84"/>
      <c r="D578" s="60"/>
      <c r="E578" s="60"/>
      <c r="F578" s="85"/>
      <c r="G578" s="85"/>
      <c r="H578" s="60"/>
      <c r="I578" s="60"/>
      <c r="J578" s="60"/>
      <c r="K578" s="60"/>
      <c r="L578" s="60"/>
      <c r="M578" s="60"/>
      <c r="N578" s="60"/>
      <c r="O578" s="60"/>
      <c r="P578" s="60"/>
      <c r="Q578" s="60"/>
      <c r="R578" s="60"/>
      <c r="S578" s="60"/>
      <c r="T578" s="60"/>
      <c r="U578" s="60"/>
      <c r="V578" s="60"/>
      <c r="W578" s="60"/>
      <c r="X578" s="60"/>
      <c r="Y578" s="60"/>
      <c r="Z578" s="60"/>
    </row>
    <row r="579" ht="53.25" customHeight="1">
      <c r="A579" s="60"/>
      <c r="B579" s="60"/>
      <c r="C579" s="84"/>
      <c r="D579" s="60"/>
      <c r="E579" s="60"/>
      <c r="F579" s="85"/>
      <c r="G579" s="85"/>
      <c r="H579" s="60"/>
      <c r="I579" s="60"/>
      <c r="J579" s="60"/>
      <c r="K579" s="60"/>
      <c r="L579" s="60"/>
      <c r="M579" s="60"/>
      <c r="N579" s="60"/>
      <c r="O579" s="60"/>
      <c r="P579" s="60"/>
      <c r="Q579" s="60"/>
      <c r="R579" s="60"/>
      <c r="S579" s="60"/>
      <c r="T579" s="60"/>
      <c r="U579" s="60"/>
      <c r="V579" s="60"/>
      <c r="W579" s="60"/>
      <c r="X579" s="60"/>
      <c r="Y579" s="60"/>
      <c r="Z579" s="60"/>
    </row>
    <row r="580" ht="53.25" customHeight="1">
      <c r="A580" s="60"/>
      <c r="B580" s="60"/>
      <c r="C580" s="84"/>
      <c r="D580" s="60"/>
      <c r="E580" s="60"/>
      <c r="F580" s="85"/>
      <c r="G580" s="85"/>
      <c r="H580" s="60"/>
      <c r="I580" s="60"/>
      <c r="J580" s="60"/>
      <c r="K580" s="60"/>
      <c r="L580" s="60"/>
      <c r="M580" s="60"/>
      <c r="N580" s="60"/>
      <c r="O580" s="60"/>
      <c r="P580" s="60"/>
      <c r="Q580" s="60"/>
      <c r="R580" s="60"/>
      <c r="S580" s="60"/>
      <c r="T580" s="60"/>
      <c r="U580" s="60"/>
      <c r="V580" s="60"/>
      <c r="W580" s="60"/>
      <c r="X580" s="60"/>
      <c r="Y580" s="60"/>
      <c r="Z580" s="60"/>
    </row>
    <row r="581" ht="53.25" customHeight="1">
      <c r="A581" s="60"/>
      <c r="B581" s="60"/>
      <c r="C581" s="84"/>
      <c r="D581" s="60"/>
      <c r="E581" s="60"/>
      <c r="F581" s="85"/>
      <c r="G581" s="85"/>
      <c r="H581" s="60"/>
      <c r="I581" s="60"/>
      <c r="J581" s="60"/>
      <c r="K581" s="60"/>
      <c r="L581" s="60"/>
      <c r="M581" s="60"/>
      <c r="N581" s="60"/>
      <c r="O581" s="60"/>
      <c r="P581" s="60"/>
      <c r="Q581" s="60"/>
      <c r="R581" s="60"/>
      <c r="S581" s="60"/>
      <c r="T581" s="60"/>
      <c r="U581" s="60"/>
      <c r="V581" s="60"/>
      <c r="W581" s="60"/>
      <c r="X581" s="60"/>
      <c r="Y581" s="60"/>
      <c r="Z581" s="60"/>
    </row>
    <row r="582" ht="53.25" customHeight="1">
      <c r="A582" s="60"/>
      <c r="B582" s="60"/>
      <c r="C582" s="84"/>
      <c r="D582" s="60"/>
      <c r="E582" s="60"/>
      <c r="F582" s="85"/>
      <c r="G582" s="85"/>
      <c r="H582" s="60"/>
      <c r="I582" s="60"/>
      <c r="J582" s="60"/>
      <c r="K582" s="60"/>
      <c r="L582" s="60"/>
      <c r="M582" s="60"/>
      <c r="N582" s="60"/>
      <c r="O582" s="60"/>
      <c r="P582" s="60"/>
      <c r="Q582" s="60"/>
      <c r="R582" s="60"/>
      <c r="S582" s="60"/>
      <c r="T582" s="60"/>
      <c r="U582" s="60"/>
      <c r="V582" s="60"/>
      <c r="W582" s="60"/>
      <c r="X582" s="60"/>
      <c r="Y582" s="60"/>
      <c r="Z582" s="60"/>
    </row>
    <row r="583" ht="53.25" customHeight="1">
      <c r="A583" s="60"/>
      <c r="B583" s="60"/>
      <c r="C583" s="84"/>
      <c r="D583" s="60"/>
      <c r="E583" s="60"/>
      <c r="F583" s="85"/>
      <c r="G583" s="85"/>
      <c r="H583" s="60"/>
      <c r="I583" s="60"/>
      <c r="J583" s="60"/>
      <c r="K583" s="60"/>
      <c r="L583" s="60"/>
      <c r="M583" s="60"/>
      <c r="N583" s="60"/>
      <c r="O583" s="60"/>
      <c r="P583" s="60"/>
      <c r="Q583" s="60"/>
      <c r="R583" s="60"/>
      <c r="S583" s="60"/>
      <c r="T583" s="60"/>
      <c r="U583" s="60"/>
      <c r="V583" s="60"/>
      <c r="W583" s="60"/>
      <c r="X583" s="60"/>
      <c r="Y583" s="60"/>
      <c r="Z583" s="60"/>
    </row>
    <row r="584" ht="53.25" customHeight="1">
      <c r="A584" s="60"/>
      <c r="B584" s="60"/>
      <c r="C584" s="84"/>
      <c r="D584" s="60"/>
      <c r="E584" s="60"/>
      <c r="F584" s="85"/>
      <c r="G584" s="85"/>
      <c r="H584" s="60"/>
      <c r="I584" s="60"/>
      <c r="J584" s="60"/>
      <c r="K584" s="60"/>
      <c r="L584" s="60"/>
      <c r="M584" s="60"/>
      <c r="N584" s="60"/>
      <c r="O584" s="60"/>
      <c r="P584" s="60"/>
      <c r="Q584" s="60"/>
      <c r="R584" s="60"/>
      <c r="S584" s="60"/>
      <c r="T584" s="60"/>
      <c r="U584" s="60"/>
      <c r="V584" s="60"/>
      <c r="W584" s="60"/>
      <c r="X584" s="60"/>
      <c r="Y584" s="60"/>
      <c r="Z584" s="60"/>
    </row>
    <row r="585" ht="53.25" customHeight="1">
      <c r="A585" s="60"/>
      <c r="B585" s="60"/>
      <c r="C585" s="84"/>
      <c r="D585" s="60"/>
      <c r="E585" s="60"/>
      <c r="F585" s="85"/>
      <c r="G585" s="85"/>
      <c r="H585" s="60"/>
      <c r="I585" s="60"/>
      <c r="J585" s="60"/>
      <c r="K585" s="60"/>
      <c r="L585" s="60"/>
      <c r="M585" s="60"/>
      <c r="N585" s="60"/>
      <c r="O585" s="60"/>
      <c r="P585" s="60"/>
      <c r="Q585" s="60"/>
      <c r="R585" s="60"/>
      <c r="S585" s="60"/>
      <c r="T585" s="60"/>
      <c r="U585" s="60"/>
      <c r="V585" s="60"/>
      <c r="W585" s="60"/>
      <c r="X585" s="60"/>
      <c r="Y585" s="60"/>
      <c r="Z585" s="60"/>
    </row>
    <row r="586" ht="53.25" customHeight="1">
      <c r="A586" s="60"/>
      <c r="B586" s="60"/>
      <c r="C586" s="84"/>
      <c r="D586" s="60"/>
      <c r="E586" s="60"/>
      <c r="F586" s="85"/>
      <c r="G586" s="85"/>
      <c r="H586" s="60"/>
      <c r="I586" s="60"/>
      <c r="J586" s="60"/>
      <c r="K586" s="60"/>
      <c r="L586" s="60"/>
      <c r="M586" s="60"/>
      <c r="N586" s="60"/>
      <c r="O586" s="60"/>
      <c r="P586" s="60"/>
      <c r="Q586" s="60"/>
      <c r="R586" s="60"/>
      <c r="S586" s="60"/>
      <c r="T586" s="60"/>
      <c r="U586" s="60"/>
      <c r="V586" s="60"/>
      <c r="W586" s="60"/>
      <c r="X586" s="60"/>
      <c r="Y586" s="60"/>
      <c r="Z586" s="60"/>
    </row>
    <row r="587" ht="53.25" customHeight="1">
      <c r="A587" s="60"/>
      <c r="B587" s="60"/>
      <c r="C587" s="84"/>
      <c r="D587" s="60"/>
      <c r="E587" s="60"/>
      <c r="F587" s="85"/>
      <c r="G587" s="85"/>
      <c r="H587" s="60"/>
      <c r="I587" s="60"/>
      <c r="J587" s="60"/>
      <c r="K587" s="60"/>
      <c r="L587" s="60"/>
      <c r="M587" s="60"/>
      <c r="N587" s="60"/>
      <c r="O587" s="60"/>
      <c r="P587" s="60"/>
      <c r="Q587" s="60"/>
      <c r="R587" s="60"/>
      <c r="S587" s="60"/>
      <c r="T587" s="60"/>
      <c r="U587" s="60"/>
      <c r="V587" s="60"/>
      <c r="W587" s="60"/>
      <c r="X587" s="60"/>
      <c r="Y587" s="60"/>
      <c r="Z587" s="60"/>
    </row>
    <row r="588" ht="53.25" customHeight="1">
      <c r="A588" s="60"/>
      <c r="B588" s="60"/>
      <c r="C588" s="84"/>
      <c r="D588" s="60"/>
      <c r="E588" s="60"/>
      <c r="F588" s="85"/>
      <c r="G588" s="85"/>
      <c r="H588" s="60"/>
      <c r="I588" s="60"/>
      <c r="J588" s="60"/>
      <c r="K588" s="60"/>
      <c r="L588" s="60"/>
      <c r="M588" s="60"/>
      <c r="N588" s="60"/>
      <c r="O588" s="60"/>
      <c r="P588" s="60"/>
      <c r="Q588" s="60"/>
      <c r="R588" s="60"/>
      <c r="S588" s="60"/>
      <c r="T588" s="60"/>
      <c r="U588" s="60"/>
      <c r="V588" s="60"/>
      <c r="W588" s="60"/>
      <c r="X588" s="60"/>
      <c r="Y588" s="60"/>
      <c r="Z588" s="60"/>
    </row>
    <row r="589" ht="53.25" customHeight="1">
      <c r="A589" s="60"/>
      <c r="B589" s="60"/>
      <c r="C589" s="84"/>
      <c r="D589" s="60"/>
      <c r="E589" s="60"/>
      <c r="F589" s="85"/>
      <c r="G589" s="85"/>
      <c r="H589" s="60"/>
      <c r="I589" s="60"/>
      <c r="J589" s="60"/>
      <c r="K589" s="60"/>
      <c r="L589" s="60"/>
      <c r="M589" s="60"/>
      <c r="N589" s="60"/>
      <c r="O589" s="60"/>
      <c r="P589" s="60"/>
      <c r="Q589" s="60"/>
      <c r="R589" s="60"/>
      <c r="S589" s="60"/>
      <c r="T589" s="60"/>
      <c r="U589" s="60"/>
      <c r="V589" s="60"/>
      <c r="W589" s="60"/>
      <c r="X589" s="60"/>
      <c r="Y589" s="60"/>
      <c r="Z589" s="60"/>
    </row>
    <row r="590" ht="53.25" customHeight="1">
      <c r="A590" s="60"/>
      <c r="B590" s="60"/>
      <c r="C590" s="84"/>
      <c r="D590" s="60"/>
      <c r="E590" s="60"/>
      <c r="F590" s="85"/>
      <c r="G590" s="85"/>
      <c r="H590" s="60"/>
      <c r="I590" s="60"/>
      <c r="J590" s="60"/>
      <c r="K590" s="60"/>
      <c r="L590" s="60"/>
      <c r="M590" s="60"/>
      <c r="N590" s="60"/>
      <c r="O590" s="60"/>
      <c r="P590" s="60"/>
      <c r="Q590" s="60"/>
      <c r="R590" s="60"/>
      <c r="S590" s="60"/>
      <c r="T590" s="60"/>
      <c r="U590" s="60"/>
      <c r="V590" s="60"/>
      <c r="W590" s="60"/>
      <c r="X590" s="60"/>
      <c r="Y590" s="60"/>
      <c r="Z590" s="60"/>
    </row>
    <row r="591" ht="53.25" customHeight="1">
      <c r="A591" s="60"/>
      <c r="B591" s="60"/>
      <c r="C591" s="84"/>
      <c r="D591" s="60"/>
      <c r="E591" s="60"/>
      <c r="F591" s="85"/>
      <c r="G591" s="85"/>
      <c r="H591" s="60"/>
      <c r="I591" s="60"/>
      <c r="J591" s="60"/>
      <c r="K591" s="60"/>
      <c r="L591" s="60"/>
      <c r="M591" s="60"/>
      <c r="N591" s="60"/>
      <c r="O591" s="60"/>
      <c r="P591" s="60"/>
      <c r="Q591" s="60"/>
      <c r="R591" s="60"/>
      <c r="S591" s="60"/>
      <c r="T591" s="60"/>
      <c r="U591" s="60"/>
      <c r="V591" s="60"/>
      <c r="W591" s="60"/>
      <c r="X591" s="60"/>
      <c r="Y591" s="60"/>
      <c r="Z591" s="60"/>
    </row>
    <row r="592" ht="53.25" customHeight="1">
      <c r="A592" s="60"/>
      <c r="B592" s="60"/>
      <c r="C592" s="84"/>
      <c r="D592" s="60"/>
      <c r="E592" s="60"/>
      <c r="F592" s="85"/>
      <c r="G592" s="85"/>
      <c r="H592" s="60"/>
      <c r="I592" s="60"/>
      <c r="J592" s="60"/>
      <c r="K592" s="60"/>
      <c r="L592" s="60"/>
      <c r="M592" s="60"/>
      <c r="N592" s="60"/>
      <c r="O592" s="60"/>
      <c r="P592" s="60"/>
      <c r="Q592" s="60"/>
      <c r="R592" s="60"/>
      <c r="S592" s="60"/>
      <c r="T592" s="60"/>
      <c r="U592" s="60"/>
      <c r="V592" s="60"/>
      <c r="W592" s="60"/>
      <c r="X592" s="60"/>
      <c r="Y592" s="60"/>
      <c r="Z592" s="60"/>
    </row>
    <row r="593" ht="53.25" customHeight="1">
      <c r="A593" s="60"/>
      <c r="B593" s="60"/>
      <c r="C593" s="84"/>
      <c r="D593" s="60"/>
      <c r="E593" s="60"/>
      <c r="F593" s="85"/>
      <c r="G593" s="85"/>
      <c r="H593" s="60"/>
      <c r="I593" s="60"/>
      <c r="J593" s="60"/>
      <c r="K593" s="60"/>
      <c r="L593" s="60"/>
      <c r="M593" s="60"/>
      <c r="N593" s="60"/>
      <c r="O593" s="60"/>
      <c r="P593" s="60"/>
      <c r="Q593" s="60"/>
      <c r="R593" s="60"/>
      <c r="S593" s="60"/>
      <c r="T593" s="60"/>
      <c r="U593" s="60"/>
      <c r="V593" s="60"/>
      <c r="W593" s="60"/>
      <c r="X593" s="60"/>
      <c r="Y593" s="60"/>
      <c r="Z593" s="60"/>
    </row>
    <row r="594" ht="53.25" customHeight="1">
      <c r="A594" s="60"/>
      <c r="B594" s="60"/>
      <c r="C594" s="84"/>
      <c r="D594" s="60"/>
      <c r="E594" s="60"/>
      <c r="F594" s="85"/>
      <c r="G594" s="85"/>
      <c r="H594" s="60"/>
      <c r="I594" s="60"/>
      <c r="J594" s="60"/>
      <c r="K594" s="60"/>
      <c r="L594" s="60"/>
      <c r="M594" s="60"/>
      <c r="N594" s="60"/>
      <c r="O594" s="60"/>
      <c r="P594" s="60"/>
      <c r="Q594" s="60"/>
      <c r="R594" s="60"/>
      <c r="S594" s="60"/>
      <c r="T594" s="60"/>
      <c r="U594" s="60"/>
      <c r="V594" s="60"/>
      <c r="W594" s="60"/>
      <c r="X594" s="60"/>
      <c r="Y594" s="60"/>
      <c r="Z594" s="60"/>
    </row>
    <row r="595" ht="53.25" customHeight="1">
      <c r="A595" s="60"/>
      <c r="B595" s="60"/>
      <c r="C595" s="84"/>
      <c r="D595" s="60"/>
      <c r="E595" s="60"/>
      <c r="F595" s="85"/>
      <c r="G595" s="85"/>
      <c r="H595" s="60"/>
      <c r="I595" s="60"/>
      <c r="J595" s="60"/>
      <c r="K595" s="60"/>
      <c r="L595" s="60"/>
      <c r="M595" s="60"/>
      <c r="N595" s="60"/>
      <c r="O595" s="60"/>
      <c r="P595" s="60"/>
      <c r="Q595" s="60"/>
      <c r="R595" s="60"/>
      <c r="S595" s="60"/>
      <c r="T595" s="60"/>
      <c r="U595" s="60"/>
      <c r="V595" s="60"/>
      <c r="W595" s="60"/>
      <c r="X595" s="60"/>
      <c r="Y595" s="60"/>
      <c r="Z595" s="60"/>
    </row>
    <row r="596" ht="53.25" customHeight="1">
      <c r="A596" s="60"/>
      <c r="B596" s="60"/>
      <c r="C596" s="84"/>
      <c r="D596" s="60"/>
      <c r="E596" s="60"/>
      <c r="F596" s="85"/>
      <c r="G596" s="85"/>
      <c r="H596" s="60"/>
      <c r="I596" s="60"/>
      <c r="J596" s="60"/>
      <c r="K596" s="60"/>
      <c r="L596" s="60"/>
      <c r="M596" s="60"/>
      <c r="N596" s="60"/>
      <c r="O596" s="60"/>
      <c r="P596" s="60"/>
      <c r="Q596" s="60"/>
      <c r="R596" s="60"/>
      <c r="S596" s="60"/>
      <c r="T596" s="60"/>
      <c r="U596" s="60"/>
      <c r="V596" s="60"/>
      <c r="W596" s="60"/>
      <c r="X596" s="60"/>
      <c r="Y596" s="60"/>
      <c r="Z596" s="60"/>
    </row>
    <row r="597" ht="53.25" customHeight="1">
      <c r="A597" s="60"/>
      <c r="B597" s="60"/>
      <c r="C597" s="84"/>
      <c r="D597" s="60"/>
      <c r="E597" s="60"/>
      <c r="F597" s="85"/>
      <c r="G597" s="85"/>
      <c r="H597" s="60"/>
      <c r="I597" s="60"/>
      <c r="J597" s="60"/>
      <c r="K597" s="60"/>
      <c r="L597" s="60"/>
      <c r="M597" s="60"/>
      <c r="N597" s="60"/>
      <c r="O597" s="60"/>
      <c r="P597" s="60"/>
      <c r="Q597" s="60"/>
      <c r="R597" s="60"/>
      <c r="S597" s="60"/>
      <c r="T597" s="60"/>
      <c r="U597" s="60"/>
      <c r="V597" s="60"/>
      <c r="W597" s="60"/>
      <c r="X597" s="60"/>
      <c r="Y597" s="60"/>
      <c r="Z597" s="60"/>
    </row>
    <row r="598" ht="53.25" customHeight="1">
      <c r="A598" s="60"/>
      <c r="B598" s="60"/>
      <c r="C598" s="84"/>
      <c r="D598" s="60"/>
      <c r="E598" s="60"/>
      <c r="F598" s="85"/>
      <c r="G598" s="85"/>
      <c r="H598" s="60"/>
      <c r="I598" s="60"/>
      <c r="J598" s="60"/>
      <c r="K598" s="60"/>
      <c r="L598" s="60"/>
      <c r="M598" s="60"/>
      <c r="N598" s="60"/>
      <c r="O598" s="60"/>
      <c r="P598" s="60"/>
      <c r="Q598" s="60"/>
      <c r="R598" s="60"/>
      <c r="S598" s="60"/>
      <c r="T598" s="60"/>
      <c r="U598" s="60"/>
      <c r="V598" s="60"/>
      <c r="W598" s="60"/>
      <c r="X598" s="60"/>
      <c r="Y598" s="60"/>
      <c r="Z598" s="60"/>
    </row>
    <row r="599" ht="53.25" customHeight="1">
      <c r="A599" s="60"/>
      <c r="B599" s="60"/>
      <c r="C599" s="84"/>
      <c r="D599" s="60"/>
      <c r="E599" s="60"/>
      <c r="F599" s="85"/>
      <c r="G599" s="85"/>
      <c r="H599" s="60"/>
      <c r="I599" s="60"/>
      <c r="J599" s="60"/>
      <c r="K599" s="60"/>
      <c r="L599" s="60"/>
      <c r="M599" s="60"/>
      <c r="N599" s="60"/>
      <c r="O599" s="60"/>
      <c r="P599" s="60"/>
      <c r="Q599" s="60"/>
      <c r="R599" s="60"/>
      <c r="S599" s="60"/>
      <c r="T599" s="60"/>
      <c r="U599" s="60"/>
      <c r="V599" s="60"/>
      <c r="W599" s="60"/>
      <c r="X599" s="60"/>
      <c r="Y599" s="60"/>
      <c r="Z599" s="60"/>
    </row>
    <row r="600" ht="53.25" customHeight="1">
      <c r="A600" s="60"/>
      <c r="B600" s="60"/>
      <c r="C600" s="84"/>
      <c r="D600" s="60"/>
      <c r="E600" s="60"/>
      <c r="F600" s="85"/>
      <c r="G600" s="85"/>
      <c r="H600" s="60"/>
      <c r="I600" s="60"/>
      <c r="J600" s="60"/>
      <c r="K600" s="60"/>
      <c r="L600" s="60"/>
      <c r="M600" s="60"/>
      <c r="N600" s="60"/>
      <c r="O600" s="60"/>
      <c r="P600" s="60"/>
      <c r="Q600" s="60"/>
      <c r="R600" s="60"/>
      <c r="S600" s="60"/>
      <c r="T600" s="60"/>
      <c r="U600" s="60"/>
      <c r="V600" s="60"/>
      <c r="W600" s="60"/>
      <c r="X600" s="60"/>
      <c r="Y600" s="60"/>
      <c r="Z600" s="60"/>
    </row>
    <row r="601" ht="53.25" customHeight="1">
      <c r="A601" s="60"/>
      <c r="B601" s="60"/>
      <c r="C601" s="84"/>
      <c r="D601" s="60"/>
      <c r="E601" s="60"/>
      <c r="F601" s="85"/>
      <c r="G601" s="85"/>
      <c r="H601" s="60"/>
      <c r="I601" s="60"/>
      <c r="J601" s="60"/>
      <c r="K601" s="60"/>
      <c r="L601" s="60"/>
      <c r="M601" s="60"/>
      <c r="N601" s="60"/>
      <c r="O601" s="60"/>
      <c r="P601" s="60"/>
      <c r="Q601" s="60"/>
      <c r="R601" s="60"/>
      <c r="S601" s="60"/>
      <c r="T601" s="60"/>
      <c r="U601" s="60"/>
      <c r="V601" s="60"/>
      <c r="W601" s="60"/>
      <c r="X601" s="60"/>
      <c r="Y601" s="60"/>
      <c r="Z601" s="60"/>
    </row>
    <row r="602" ht="53.25" customHeight="1">
      <c r="A602" s="60"/>
      <c r="B602" s="60"/>
      <c r="C602" s="84"/>
      <c r="D602" s="60"/>
      <c r="E602" s="60"/>
      <c r="F602" s="85"/>
      <c r="G602" s="85"/>
      <c r="H602" s="60"/>
      <c r="I602" s="60"/>
      <c r="J602" s="60"/>
      <c r="K602" s="60"/>
      <c r="L602" s="60"/>
      <c r="M602" s="60"/>
      <c r="N602" s="60"/>
      <c r="O602" s="60"/>
      <c r="P602" s="60"/>
      <c r="Q602" s="60"/>
      <c r="R602" s="60"/>
      <c r="S602" s="60"/>
      <c r="T602" s="60"/>
      <c r="U602" s="60"/>
      <c r="V602" s="60"/>
      <c r="W602" s="60"/>
      <c r="X602" s="60"/>
      <c r="Y602" s="60"/>
      <c r="Z602" s="60"/>
    </row>
    <row r="603" ht="53.25" customHeight="1">
      <c r="A603" s="60"/>
      <c r="B603" s="60"/>
      <c r="C603" s="84"/>
      <c r="D603" s="60"/>
      <c r="E603" s="60"/>
      <c r="F603" s="85"/>
      <c r="G603" s="85"/>
      <c r="H603" s="60"/>
      <c r="I603" s="60"/>
      <c r="J603" s="60"/>
      <c r="K603" s="60"/>
      <c r="L603" s="60"/>
      <c r="M603" s="60"/>
      <c r="N603" s="60"/>
      <c r="O603" s="60"/>
      <c r="P603" s="60"/>
      <c r="Q603" s="60"/>
      <c r="R603" s="60"/>
      <c r="S603" s="60"/>
      <c r="T603" s="60"/>
      <c r="U603" s="60"/>
      <c r="V603" s="60"/>
      <c r="W603" s="60"/>
      <c r="X603" s="60"/>
      <c r="Y603" s="60"/>
      <c r="Z603" s="60"/>
    </row>
    <row r="604" ht="53.25" customHeight="1">
      <c r="A604" s="60"/>
      <c r="B604" s="60"/>
      <c r="C604" s="84"/>
      <c r="D604" s="60"/>
      <c r="E604" s="60"/>
      <c r="F604" s="85"/>
      <c r="G604" s="85"/>
      <c r="H604" s="60"/>
      <c r="I604" s="60"/>
      <c r="J604" s="60"/>
      <c r="K604" s="60"/>
      <c r="L604" s="60"/>
      <c r="M604" s="60"/>
      <c r="N604" s="60"/>
      <c r="O604" s="60"/>
      <c r="P604" s="60"/>
      <c r="Q604" s="60"/>
      <c r="R604" s="60"/>
      <c r="S604" s="60"/>
      <c r="T604" s="60"/>
      <c r="U604" s="60"/>
      <c r="V604" s="60"/>
      <c r="W604" s="60"/>
      <c r="X604" s="60"/>
      <c r="Y604" s="60"/>
      <c r="Z604" s="60"/>
    </row>
    <row r="605" ht="53.25" customHeight="1">
      <c r="A605" s="60"/>
      <c r="B605" s="60"/>
      <c r="C605" s="84"/>
      <c r="D605" s="60"/>
      <c r="E605" s="60"/>
      <c r="F605" s="85"/>
      <c r="G605" s="85"/>
      <c r="H605" s="60"/>
      <c r="I605" s="60"/>
      <c r="J605" s="60"/>
      <c r="K605" s="60"/>
      <c r="L605" s="60"/>
      <c r="M605" s="60"/>
      <c r="N605" s="60"/>
      <c r="O605" s="60"/>
      <c r="P605" s="60"/>
      <c r="Q605" s="60"/>
      <c r="R605" s="60"/>
      <c r="S605" s="60"/>
      <c r="T605" s="60"/>
      <c r="U605" s="60"/>
      <c r="V605" s="60"/>
      <c r="W605" s="60"/>
      <c r="X605" s="60"/>
      <c r="Y605" s="60"/>
      <c r="Z605" s="60"/>
    </row>
    <row r="606" ht="53.25" customHeight="1">
      <c r="A606" s="60"/>
      <c r="B606" s="60"/>
      <c r="C606" s="84"/>
      <c r="D606" s="60"/>
      <c r="E606" s="60"/>
      <c r="F606" s="85"/>
      <c r="G606" s="85"/>
      <c r="H606" s="60"/>
      <c r="I606" s="60"/>
      <c r="J606" s="60"/>
      <c r="K606" s="60"/>
      <c r="L606" s="60"/>
      <c r="M606" s="60"/>
      <c r="N606" s="60"/>
      <c r="O606" s="60"/>
      <c r="P606" s="60"/>
      <c r="Q606" s="60"/>
      <c r="R606" s="60"/>
      <c r="S606" s="60"/>
      <c r="T606" s="60"/>
      <c r="U606" s="60"/>
      <c r="V606" s="60"/>
      <c r="W606" s="60"/>
      <c r="X606" s="60"/>
      <c r="Y606" s="60"/>
      <c r="Z606" s="60"/>
    </row>
    <row r="607" ht="53.25" customHeight="1">
      <c r="A607" s="60"/>
      <c r="B607" s="60"/>
      <c r="C607" s="84"/>
      <c r="D607" s="60"/>
      <c r="E607" s="60"/>
      <c r="F607" s="85"/>
      <c r="G607" s="85"/>
      <c r="H607" s="60"/>
      <c r="I607" s="60"/>
      <c r="J607" s="60"/>
      <c r="K607" s="60"/>
      <c r="L607" s="60"/>
      <c r="M607" s="60"/>
      <c r="N607" s="60"/>
      <c r="O607" s="60"/>
      <c r="P607" s="60"/>
      <c r="Q607" s="60"/>
      <c r="R607" s="60"/>
      <c r="S607" s="60"/>
      <c r="T607" s="60"/>
      <c r="U607" s="60"/>
      <c r="V607" s="60"/>
      <c r="W607" s="60"/>
      <c r="X607" s="60"/>
      <c r="Y607" s="60"/>
      <c r="Z607" s="60"/>
    </row>
    <row r="608" ht="53.25" customHeight="1">
      <c r="A608" s="60"/>
      <c r="B608" s="60"/>
      <c r="C608" s="84"/>
      <c r="D608" s="60"/>
      <c r="E608" s="60"/>
      <c r="F608" s="85"/>
      <c r="G608" s="85"/>
      <c r="H608" s="60"/>
      <c r="I608" s="60"/>
      <c r="J608" s="60"/>
      <c r="K608" s="60"/>
      <c r="L608" s="60"/>
      <c r="M608" s="60"/>
      <c r="N608" s="60"/>
      <c r="O608" s="60"/>
      <c r="P608" s="60"/>
      <c r="Q608" s="60"/>
      <c r="R608" s="60"/>
      <c r="S608" s="60"/>
      <c r="T608" s="60"/>
      <c r="U608" s="60"/>
      <c r="V608" s="60"/>
      <c r="W608" s="60"/>
      <c r="X608" s="60"/>
      <c r="Y608" s="60"/>
      <c r="Z608" s="60"/>
    </row>
    <row r="609" ht="53.25" customHeight="1">
      <c r="A609" s="60"/>
      <c r="B609" s="60"/>
      <c r="C609" s="84"/>
      <c r="D609" s="60"/>
      <c r="E609" s="60"/>
      <c r="F609" s="85"/>
      <c r="G609" s="85"/>
      <c r="H609" s="60"/>
      <c r="I609" s="60"/>
      <c r="J609" s="60"/>
      <c r="K609" s="60"/>
      <c r="L609" s="60"/>
      <c r="M609" s="60"/>
      <c r="N609" s="60"/>
      <c r="O609" s="60"/>
      <c r="P609" s="60"/>
      <c r="Q609" s="60"/>
      <c r="R609" s="60"/>
      <c r="S609" s="60"/>
      <c r="T609" s="60"/>
      <c r="U609" s="60"/>
      <c r="V609" s="60"/>
      <c r="W609" s="60"/>
      <c r="X609" s="60"/>
      <c r="Y609" s="60"/>
      <c r="Z609" s="60"/>
    </row>
    <row r="610" ht="53.25" customHeight="1">
      <c r="A610" s="60"/>
      <c r="B610" s="60"/>
      <c r="C610" s="84"/>
      <c r="D610" s="60"/>
      <c r="E610" s="60"/>
      <c r="F610" s="85"/>
      <c r="G610" s="85"/>
      <c r="H610" s="60"/>
      <c r="I610" s="60"/>
      <c r="J610" s="60"/>
      <c r="K610" s="60"/>
      <c r="L610" s="60"/>
      <c r="M610" s="60"/>
      <c r="N610" s="60"/>
      <c r="O610" s="60"/>
      <c r="P610" s="60"/>
      <c r="Q610" s="60"/>
      <c r="R610" s="60"/>
      <c r="S610" s="60"/>
      <c r="T610" s="60"/>
      <c r="U610" s="60"/>
      <c r="V610" s="60"/>
      <c r="W610" s="60"/>
      <c r="X610" s="60"/>
      <c r="Y610" s="60"/>
      <c r="Z610" s="60"/>
    </row>
    <row r="611" ht="53.25" customHeight="1">
      <c r="A611" s="60"/>
      <c r="B611" s="60"/>
      <c r="C611" s="84"/>
      <c r="D611" s="60"/>
      <c r="E611" s="60"/>
      <c r="F611" s="85"/>
      <c r="G611" s="85"/>
      <c r="H611" s="60"/>
      <c r="I611" s="60"/>
      <c r="J611" s="60"/>
      <c r="K611" s="60"/>
      <c r="L611" s="60"/>
      <c r="M611" s="60"/>
      <c r="N611" s="60"/>
      <c r="O611" s="60"/>
      <c r="P611" s="60"/>
      <c r="Q611" s="60"/>
      <c r="R611" s="60"/>
      <c r="S611" s="60"/>
      <c r="T611" s="60"/>
      <c r="U611" s="60"/>
      <c r="V611" s="60"/>
      <c r="W611" s="60"/>
      <c r="X611" s="60"/>
      <c r="Y611" s="60"/>
      <c r="Z611" s="60"/>
    </row>
    <row r="612" ht="53.25" customHeight="1">
      <c r="A612" s="60"/>
      <c r="B612" s="60"/>
      <c r="C612" s="84"/>
      <c r="D612" s="60"/>
      <c r="E612" s="60"/>
      <c r="F612" s="85"/>
      <c r="G612" s="85"/>
      <c r="H612" s="60"/>
      <c r="I612" s="60"/>
      <c r="J612" s="60"/>
      <c r="K612" s="60"/>
      <c r="L612" s="60"/>
      <c r="M612" s="60"/>
      <c r="N612" s="60"/>
      <c r="O612" s="60"/>
      <c r="P612" s="60"/>
      <c r="Q612" s="60"/>
      <c r="R612" s="60"/>
      <c r="S612" s="60"/>
      <c r="T612" s="60"/>
      <c r="U612" s="60"/>
      <c r="V612" s="60"/>
      <c r="W612" s="60"/>
      <c r="X612" s="60"/>
      <c r="Y612" s="60"/>
      <c r="Z612" s="60"/>
    </row>
    <row r="613" ht="53.25" customHeight="1">
      <c r="A613" s="60"/>
      <c r="B613" s="60"/>
      <c r="C613" s="84"/>
      <c r="D613" s="60"/>
      <c r="E613" s="60"/>
      <c r="F613" s="85"/>
      <c r="G613" s="85"/>
      <c r="H613" s="60"/>
      <c r="I613" s="60"/>
      <c r="J613" s="60"/>
      <c r="K613" s="60"/>
      <c r="L613" s="60"/>
      <c r="M613" s="60"/>
      <c r="N613" s="60"/>
      <c r="O613" s="60"/>
      <c r="P613" s="60"/>
      <c r="Q613" s="60"/>
      <c r="R613" s="60"/>
      <c r="S613" s="60"/>
      <c r="T613" s="60"/>
      <c r="U613" s="60"/>
      <c r="V613" s="60"/>
      <c r="W613" s="60"/>
      <c r="X613" s="60"/>
      <c r="Y613" s="60"/>
      <c r="Z613" s="60"/>
    </row>
    <row r="614" ht="53.25" customHeight="1">
      <c r="A614" s="60"/>
      <c r="B614" s="60"/>
      <c r="C614" s="84"/>
      <c r="D614" s="60"/>
      <c r="E614" s="60"/>
      <c r="F614" s="85"/>
      <c r="G614" s="85"/>
      <c r="H614" s="60"/>
      <c r="I614" s="60"/>
      <c r="J614" s="60"/>
      <c r="K614" s="60"/>
      <c r="L614" s="60"/>
      <c r="M614" s="60"/>
      <c r="N614" s="60"/>
      <c r="O614" s="60"/>
      <c r="P614" s="60"/>
      <c r="Q614" s="60"/>
      <c r="R614" s="60"/>
      <c r="S614" s="60"/>
      <c r="T614" s="60"/>
      <c r="U614" s="60"/>
      <c r="V614" s="60"/>
      <c r="W614" s="60"/>
      <c r="X614" s="60"/>
      <c r="Y614" s="60"/>
      <c r="Z614" s="60"/>
    </row>
    <row r="615" ht="53.25" customHeight="1">
      <c r="A615" s="60"/>
      <c r="B615" s="60"/>
      <c r="C615" s="84"/>
      <c r="D615" s="60"/>
      <c r="E615" s="60"/>
      <c r="F615" s="85"/>
      <c r="G615" s="85"/>
      <c r="H615" s="60"/>
      <c r="I615" s="60"/>
      <c r="J615" s="60"/>
      <c r="K615" s="60"/>
      <c r="L615" s="60"/>
      <c r="M615" s="60"/>
      <c r="N615" s="60"/>
      <c r="O615" s="60"/>
      <c r="P615" s="60"/>
      <c r="Q615" s="60"/>
      <c r="R615" s="60"/>
      <c r="S615" s="60"/>
      <c r="T615" s="60"/>
      <c r="U615" s="60"/>
      <c r="V615" s="60"/>
      <c r="W615" s="60"/>
      <c r="X615" s="60"/>
      <c r="Y615" s="60"/>
      <c r="Z615" s="60"/>
    </row>
    <row r="616" ht="53.25" customHeight="1">
      <c r="A616" s="60"/>
      <c r="B616" s="60"/>
      <c r="C616" s="84"/>
      <c r="D616" s="60"/>
      <c r="E616" s="60"/>
      <c r="F616" s="85"/>
      <c r="G616" s="85"/>
      <c r="H616" s="60"/>
      <c r="I616" s="60"/>
      <c r="J616" s="60"/>
      <c r="K616" s="60"/>
      <c r="L616" s="60"/>
      <c r="M616" s="60"/>
      <c r="N616" s="60"/>
      <c r="O616" s="60"/>
      <c r="P616" s="60"/>
      <c r="Q616" s="60"/>
      <c r="R616" s="60"/>
      <c r="S616" s="60"/>
      <c r="T616" s="60"/>
      <c r="U616" s="60"/>
      <c r="V616" s="60"/>
      <c r="W616" s="60"/>
      <c r="X616" s="60"/>
      <c r="Y616" s="60"/>
      <c r="Z616" s="60"/>
    </row>
    <row r="617" ht="53.25" customHeight="1">
      <c r="A617" s="60"/>
      <c r="B617" s="60"/>
      <c r="C617" s="84"/>
      <c r="D617" s="60"/>
      <c r="E617" s="60"/>
      <c r="F617" s="85"/>
      <c r="G617" s="85"/>
      <c r="H617" s="60"/>
      <c r="I617" s="60"/>
      <c r="J617" s="60"/>
      <c r="K617" s="60"/>
      <c r="L617" s="60"/>
      <c r="M617" s="60"/>
      <c r="N617" s="60"/>
      <c r="O617" s="60"/>
      <c r="P617" s="60"/>
      <c r="Q617" s="60"/>
      <c r="R617" s="60"/>
      <c r="S617" s="60"/>
      <c r="T617" s="60"/>
      <c r="U617" s="60"/>
      <c r="V617" s="60"/>
      <c r="W617" s="60"/>
      <c r="X617" s="60"/>
      <c r="Y617" s="60"/>
      <c r="Z617" s="60"/>
    </row>
    <row r="618" ht="53.25" customHeight="1">
      <c r="A618" s="60"/>
      <c r="B618" s="60"/>
      <c r="C618" s="84"/>
      <c r="D618" s="60"/>
      <c r="E618" s="60"/>
      <c r="F618" s="85"/>
      <c r="G618" s="85"/>
      <c r="H618" s="60"/>
      <c r="I618" s="60"/>
      <c r="J618" s="60"/>
      <c r="K618" s="60"/>
      <c r="L618" s="60"/>
      <c r="M618" s="60"/>
      <c r="N618" s="60"/>
      <c r="O618" s="60"/>
      <c r="P618" s="60"/>
      <c r="Q618" s="60"/>
      <c r="R618" s="60"/>
      <c r="S618" s="60"/>
      <c r="T618" s="60"/>
      <c r="U618" s="60"/>
      <c r="V618" s="60"/>
      <c r="W618" s="60"/>
      <c r="X618" s="60"/>
      <c r="Y618" s="60"/>
      <c r="Z618" s="60"/>
    </row>
    <row r="619" ht="53.25" customHeight="1">
      <c r="A619" s="60"/>
      <c r="B619" s="60"/>
      <c r="C619" s="84"/>
      <c r="D619" s="60"/>
      <c r="E619" s="60"/>
      <c r="F619" s="85"/>
      <c r="G619" s="85"/>
      <c r="H619" s="60"/>
      <c r="I619" s="60"/>
      <c r="J619" s="60"/>
      <c r="K619" s="60"/>
      <c r="L619" s="60"/>
      <c r="M619" s="60"/>
      <c r="N619" s="60"/>
      <c r="O619" s="60"/>
      <c r="P619" s="60"/>
      <c r="Q619" s="60"/>
      <c r="R619" s="60"/>
      <c r="S619" s="60"/>
      <c r="T619" s="60"/>
      <c r="U619" s="60"/>
      <c r="V619" s="60"/>
      <c r="W619" s="60"/>
      <c r="X619" s="60"/>
      <c r="Y619" s="60"/>
      <c r="Z619" s="60"/>
    </row>
    <row r="620" ht="53.25" customHeight="1">
      <c r="A620" s="60"/>
      <c r="B620" s="60"/>
      <c r="C620" s="84"/>
      <c r="D620" s="60"/>
      <c r="E620" s="60"/>
      <c r="F620" s="85"/>
      <c r="G620" s="85"/>
      <c r="H620" s="60"/>
      <c r="I620" s="60"/>
      <c r="J620" s="60"/>
      <c r="K620" s="60"/>
      <c r="L620" s="60"/>
      <c r="M620" s="60"/>
      <c r="N620" s="60"/>
      <c r="O620" s="60"/>
      <c r="P620" s="60"/>
      <c r="Q620" s="60"/>
      <c r="R620" s="60"/>
      <c r="S620" s="60"/>
      <c r="T620" s="60"/>
      <c r="U620" s="60"/>
      <c r="V620" s="60"/>
      <c r="W620" s="60"/>
      <c r="X620" s="60"/>
      <c r="Y620" s="60"/>
      <c r="Z620" s="60"/>
    </row>
    <row r="621" ht="53.25" customHeight="1">
      <c r="A621" s="60"/>
      <c r="B621" s="60"/>
      <c r="C621" s="84"/>
      <c r="D621" s="60"/>
      <c r="E621" s="60"/>
      <c r="F621" s="85"/>
      <c r="G621" s="85"/>
      <c r="H621" s="60"/>
      <c r="I621" s="60"/>
      <c r="J621" s="60"/>
      <c r="K621" s="60"/>
      <c r="L621" s="60"/>
      <c r="M621" s="60"/>
      <c r="N621" s="60"/>
      <c r="O621" s="60"/>
      <c r="P621" s="60"/>
      <c r="Q621" s="60"/>
      <c r="R621" s="60"/>
      <c r="S621" s="60"/>
      <c r="T621" s="60"/>
      <c r="U621" s="60"/>
      <c r="V621" s="60"/>
      <c r="W621" s="60"/>
      <c r="X621" s="60"/>
      <c r="Y621" s="60"/>
      <c r="Z621" s="60"/>
    </row>
    <row r="622" ht="53.25" customHeight="1">
      <c r="A622" s="60"/>
      <c r="B622" s="60"/>
      <c r="C622" s="84"/>
      <c r="D622" s="60"/>
      <c r="E622" s="60"/>
      <c r="F622" s="85"/>
      <c r="G622" s="85"/>
      <c r="H622" s="60"/>
      <c r="I622" s="60"/>
      <c r="J622" s="60"/>
      <c r="K622" s="60"/>
      <c r="L622" s="60"/>
      <c r="M622" s="60"/>
      <c r="N622" s="60"/>
      <c r="O622" s="60"/>
      <c r="P622" s="60"/>
      <c r="Q622" s="60"/>
      <c r="R622" s="60"/>
      <c r="S622" s="60"/>
      <c r="T622" s="60"/>
      <c r="U622" s="60"/>
      <c r="V622" s="60"/>
      <c r="W622" s="60"/>
      <c r="X622" s="60"/>
      <c r="Y622" s="60"/>
      <c r="Z622" s="60"/>
    </row>
    <row r="623" ht="53.25" customHeight="1">
      <c r="A623" s="60"/>
      <c r="B623" s="60"/>
      <c r="C623" s="84"/>
      <c r="D623" s="60"/>
      <c r="E623" s="60"/>
      <c r="F623" s="85"/>
      <c r="G623" s="85"/>
      <c r="H623" s="60"/>
      <c r="I623" s="60"/>
      <c r="J623" s="60"/>
      <c r="K623" s="60"/>
      <c r="L623" s="60"/>
      <c r="M623" s="60"/>
      <c r="N623" s="60"/>
      <c r="O623" s="60"/>
      <c r="P623" s="60"/>
      <c r="Q623" s="60"/>
      <c r="R623" s="60"/>
      <c r="S623" s="60"/>
      <c r="T623" s="60"/>
      <c r="U623" s="60"/>
      <c r="V623" s="60"/>
      <c r="W623" s="60"/>
      <c r="X623" s="60"/>
      <c r="Y623" s="60"/>
      <c r="Z623" s="60"/>
    </row>
    <row r="624" ht="53.25" customHeight="1">
      <c r="A624" s="60"/>
      <c r="B624" s="60"/>
      <c r="C624" s="84"/>
      <c r="D624" s="60"/>
      <c r="E624" s="60"/>
      <c r="F624" s="85"/>
      <c r="G624" s="85"/>
      <c r="H624" s="60"/>
      <c r="I624" s="60"/>
      <c r="J624" s="60"/>
      <c r="K624" s="60"/>
      <c r="L624" s="60"/>
      <c r="M624" s="60"/>
      <c r="N624" s="60"/>
      <c r="O624" s="60"/>
      <c r="P624" s="60"/>
      <c r="Q624" s="60"/>
      <c r="R624" s="60"/>
      <c r="S624" s="60"/>
      <c r="T624" s="60"/>
      <c r="U624" s="60"/>
      <c r="V624" s="60"/>
      <c r="W624" s="60"/>
      <c r="X624" s="60"/>
      <c r="Y624" s="60"/>
      <c r="Z624" s="60"/>
    </row>
    <row r="625" ht="53.25" customHeight="1">
      <c r="A625" s="60"/>
      <c r="B625" s="60"/>
      <c r="C625" s="84"/>
      <c r="D625" s="60"/>
      <c r="E625" s="60"/>
      <c r="F625" s="85"/>
      <c r="G625" s="85"/>
      <c r="H625" s="60"/>
      <c r="I625" s="60"/>
      <c r="J625" s="60"/>
      <c r="K625" s="60"/>
      <c r="L625" s="60"/>
      <c r="M625" s="60"/>
      <c r="N625" s="60"/>
      <c r="O625" s="60"/>
      <c r="P625" s="60"/>
      <c r="Q625" s="60"/>
      <c r="R625" s="60"/>
      <c r="S625" s="60"/>
      <c r="T625" s="60"/>
      <c r="U625" s="60"/>
      <c r="V625" s="60"/>
      <c r="W625" s="60"/>
      <c r="X625" s="60"/>
      <c r="Y625" s="60"/>
      <c r="Z625" s="60"/>
    </row>
    <row r="626" ht="53.25" customHeight="1">
      <c r="A626" s="60"/>
      <c r="B626" s="60"/>
      <c r="C626" s="84"/>
      <c r="D626" s="60"/>
      <c r="E626" s="60"/>
      <c r="F626" s="85"/>
      <c r="G626" s="85"/>
      <c r="H626" s="60"/>
      <c r="I626" s="60"/>
      <c r="J626" s="60"/>
      <c r="K626" s="60"/>
      <c r="L626" s="60"/>
      <c r="M626" s="60"/>
      <c r="N626" s="60"/>
      <c r="O626" s="60"/>
      <c r="P626" s="60"/>
      <c r="Q626" s="60"/>
      <c r="R626" s="60"/>
      <c r="S626" s="60"/>
      <c r="T626" s="60"/>
      <c r="U626" s="60"/>
      <c r="V626" s="60"/>
      <c r="W626" s="60"/>
      <c r="X626" s="60"/>
      <c r="Y626" s="60"/>
      <c r="Z626" s="60"/>
    </row>
    <row r="627" ht="53.25" customHeight="1">
      <c r="A627" s="60"/>
      <c r="B627" s="60"/>
      <c r="C627" s="84"/>
      <c r="D627" s="60"/>
      <c r="E627" s="60"/>
      <c r="F627" s="85"/>
      <c r="G627" s="85"/>
      <c r="H627" s="60"/>
      <c r="I627" s="60"/>
      <c r="J627" s="60"/>
      <c r="K627" s="60"/>
      <c r="L627" s="60"/>
      <c r="M627" s="60"/>
      <c r="N627" s="60"/>
      <c r="O627" s="60"/>
      <c r="P627" s="60"/>
      <c r="Q627" s="60"/>
      <c r="R627" s="60"/>
      <c r="S627" s="60"/>
      <c r="T627" s="60"/>
      <c r="U627" s="60"/>
      <c r="V627" s="60"/>
      <c r="W627" s="60"/>
      <c r="X627" s="60"/>
      <c r="Y627" s="60"/>
      <c r="Z627" s="60"/>
    </row>
    <row r="628" ht="53.25" customHeight="1">
      <c r="A628" s="60"/>
      <c r="B628" s="60"/>
      <c r="C628" s="84"/>
      <c r="D628" s="60"/>
      <c r="E628" s="60"/>
      <c r="F628" s="85"/>
      <c r="G628" s="85"/>
      <c r="H628" s="60"/>
      <c r="I628" s="60"/>
      <c r="J628" s="60"/>
      <c r="K628" s="60"/>
      <c r="L628" s="60"/>
      <c r="M628" s="60"/>
      <c r="N628" s="60"/>
      <c r="O628" s="60"/>
      <c r="P628" s="60"/>
      <c r="Q628" s="60"/>
      <c r="R628" s="60"/>
      <c r="S628" s="60"/>
      <c r="T628" s="60"/>
      <c r="U628" s="60"/>
      <c r="V628" s="60"/>
      <c r="W628" s="60"/>
      <c r="X628" s="60"/>
      <c r="Y628" s="60"/>
      <c r="Z628" s="60"/>
    </row>
    <row r="629" ht="53.25" customHeight="1">
      <c r="A629" s="60"/>
      <c r="B629" s="60"/>
      <c r="C629" s="84"/>
      <c r="D629" s="60"/>
      <c r="E629" s="60"/>
      <c r="F629" s="85"/>
      <c r="G629" s="85"/>
      <c r="H629" s="60"/>
      <c r="I629" s="60"/>
      <c r="J629" s="60"/>
      <c r="K629" s="60"/>
      <c r="L629" s="60"/>
      <c r="M629" s="60"/>
      <c r="N629" s="60"/>
      <c r="O629" s="60"/>
      <c r="P629" s="60"/>
      <c r="Q629" s="60"/>
      <c r="R629" s="60"/>
      <c r="S629" s="60"/>
      <c r="T629" s="60"/>
      <c r="U629" s="60"/>
      <c r="V629" s="60"/>
      <c r="W629" s="60"/>
      <c r="X629" s="60"/>
      <c r="Y629" s="60"/>
      <c r="Z629" s="60"/>
    </row>
    <row r="630" ht="53.25" customHeight="1">
      <c r="A630" s="60"/>
      <c r="B630" s="60"/>
      <c r="C630" s="84"/>
      <c r="D630" s="60"/>
      <c r="E630" s="60"/>
      <c r="F630" s="85"/>
      <c r="G630" s="85"/>
      <c r="H630" s="60"/>
      <c r="I630" s="60"/>
      <c r="J630" s="60"/>
      <c r="K630" s="60"/>
      <c r="L630" s="60"/>
      <c r="M630" s="60"/>
      <c r="N630" s="60"/>
      <c r="O630" s="60"/>
      <c r="P630" s="60"/>
      <c r="Q630" s="60"/>
      <c r="R630" s="60"/>
      <c r="S630" s="60"/>
      <c r="T630" s="60"/>
      <c r="U630" s="60"/>
      <c r="V630" s="60"/>
      <c r="W630" s="60"/>
      <c r="X630" s="60"/>
      <c r="Y630" s="60"/>
      <c r="Z630" s="60"/>
    </row>
    <row r="631" ht="53.25" customHeight="1">
      <c r="A631" s="60"/>
      <c r="B631" s="60"/>
      <c r="C631" s="84"/>
      <c r="D631" s="60"/>
      <c r="E631" s="60"/>
      <c r="F631" s="85"/>
      <c r="G631" s="85"/>
      <c r="H631" s="60"/>
      <c r="I631" s="60"/>
      <c r="J631" s="60"/>
      <c r="K631" s="60"/>
      <c r="L631" s="60"/>
      <c r="M631" s="60"/>
      <c r="N631" s="60"/>
      <c r="O631" s="60"/>
      <c r="P631" s="60"/>
      <c r="Q631" s="60"/>
      <c r="R631" s="60"/>
      <c r="S631" s="60"/>
      <c r="T631" s="60"/>
      <c r="U631" s="60"/>
      <c r="V631" s="60"/>
      <c r="W631" s="60"/>
      <c r="X631" s="60"/>
      <c r="Y631" s="60"/>
      <c r="Z631" s="60"/>
    </row>
    <row r="632" ht="53.25" customHeight="1">
      <c r="A632" s="60"/>
      <c r="B632" s="60"/>
      <c r="C632" s="84"/>
      <c r="D632" s="60"/>
      <c r="E632" s="60"/>
      <c r="F632" s="85"/>
      <c r="G632" s="85"/>
      <c r="H632" s="60"/>
      <c r="I632" s="60"/>
      <c r="J632" s="60"/>
      <c r="K632" s="60"/>
      <c r="L632" s="60"/>
      <c r="M632" s="60"/>
      <c r="N632" s="60"/>
      <c r="O632" s="60"/>
      <c r="P632" s="60"/>
      <c r="Q632" s="60"/>
      <c r="R632" s="60"/>
      <c r="S632" s="60"/>
      <c r="T632" s="60"/>
      <c r="U632" s="60"/>
      <c r="V632" s="60"/>
      <c r="W632" s="60"/>
      <c r="X632" s="60"/>
      <c r="Y632" s="60"/>
      <c r="Z632" s="60"/>
    </row>
    <row r="633" ht="53.25" customHeight="1">
      <c r="A633" s="60"/>
      <c r="B633" s="60"/>
      <c r="C633" s="84"/>
      <c r="D633" s="60"/>
      <c r="E633" s="60"/>
      <c r="F633" s="85"/>
      <c r="G633" s="85"/>
      <c r="H633" s="60"/>
      <c r="I633" s="60"/>
      <c r="J633" s="60"/>
      <c r="K633" s="60"/>
      <c r="L633" s="60"/>
      <c r="M633" s="60"/>
      <c r="N633" s="60"/>
      <c r="O633" s="60"/>
      <c r="P633" s="60"/>
      <c r="Q633" s="60"/>
      <c r="R633" s="60"/>
      <c r="S633" s="60"/>
      <c r="T633" s="60"/>
      <c r="U633" s="60"/>
      <c r="V633" s="60"/>
      <c r="W633" s="60"/>
      <c r="X633" s="60"/>
      <c r="Y633" s="60"/>
      <c r="Z633" s="60"/>
    </row>
    <row r="634" ht="53.25" customHeight="1">
      <c r="A634" s="60"/>
      <c r="B634" s="60"/>
      <c r="C634" s="84"/>
      <c r="D634" s="60"/>
      <c r="E634" s="60"/>
      <c r="F634" s="85"/>
      <c r="G634" s="85"/>
      <c r="H634" s="60"/>
      <c r="I634" s="60"/>
      <c r="J634" s="60"/>
      <c r="K634" s="60"/>
      <c r="L634" s="60"/>
      <c r="M634" s="60"/>
      <c r="N634" s="60"/>
      <c r="O634" s="60"/>
      <c r="P634" s="60"/>
      <c r="Q634" s="60"/>
      <c r="R634" s="60"/>
      <c r="S634" s="60"/>
      <c r="T634" s="60"/>
      <c r="U634" s="60"/>
      <c r="V634" s="60"/>
      <c r="W634" s="60"/>
      <c r="X634" s="60"/>
      <c r="Y634" s="60"/>
      <c r="Z634" s="60"/>
    </row>
    <row r="635" ht="53.25" customHeight="1">
      <c r="A635" s="60"/>
      <c r="B635" s="60"/>
      <c r="C635" s="84"/>
      <c r="D635" s="60"/>
      <c r="E635" s="60"/>
      <c r="F635" s="85"/>
      <c r="G635" s="85"/>
      <c r="H635" s="60"/>
      <c r="I635" s="60"/>
      <c r="J635" s="60"/>
      <c r="K635" s="60"/>
      <c r="L635" s="60"/>
      <c r="M635" s="60"/>
      <c r="N635" s="60"/>
      <c r="O635" s="60"/>
      <c r="P635" s="60"/>
      <c r="Q635" s="60"/>
      <c r="R635" s="60"/>
      <c r="S635" s="60"/>
      <c r="T635" s="60"/>
      <c r="U635" s="60"/>
      <c r="V635" s="60"/>
      <c r="W635" s="60"/>
      <c r="X635" s="60"/>
      <c r="Y635" s="60"/>
      <c r="Z635" s="60"/>
    </row>
    <row r="636" ht="53.25" customHeight="1">
      <c r="A636" s="60"/>
      <c r="B636" s="60"/>
      <c r="C636" s="84"/>
      <c r="D636" s="60"/>
      <c r="E636" s="60"/>
      <c r="F636" s="85"/>
      <c r="G636" s="85"/>
      <c r="H636" s="60"/>
      <c r="I636" s="60"/>
      <c r="J636" s="60"/>
      <c r="K636" s="60"/>
      <c r="L636" s="60"/>
      <c r="M636" s="60"/>
      <c r="N636" s="60"/>
      <c r="O636" s="60"/>
      <c r="P636" s="60"/>
      <c r="Q636" s="60"/>
      <c r="R636" s="60"/>
      <c r="S636" s="60"/>
      <c r="T636" s="60"/>
      <c r="U636" s="60"/>
      <c r="V636" s="60"/>
      <c r="W636" s="60"/>
      <c r="X636" s="60"/>
      <c r="Y636" s="60"/>
      <c r="Z636" s="60"/>
    </row>
    <row r="637" ht="53.25" customHeight="1">
      <c r="A637" s="60"/>
      <c r="B637" s="60"/>
      <c r="C637" s="84"/>
      <c r="D637" s="60"/>
      <c r="E637" s="60"/>
      <c r="F637" s="85"/>
      <c r="G637" s="85"/>
      <c r="H637" s="60"/>
      <c r="I637" s="60"/>
      <c r="J637" s="60"/>
      <c r="K637" s="60"/>
      <c r="L637" s="60"/>
      <c r="M637" s="60"/>
      <c r="N637" s="60"/>
      <c r="O637" s="60"/>
      <c r="P637" s="60"/>
      <c r="Q637" s="60"/>
      <c r="R637" s="60"/>
      <c r="S637" s="60"/>
      <c r="T637" s="60"/>
      <c r="U637" s="60"/>
      <c r="V637" s="60"/>
      <c r="W637" s="60"/>
      <c r="X637" s="60"/>
      <c r="Y637" s="60"/>
      <c r="Z637" s="60"/>
    </row>
    <row r="638" ht="53.25" customHeight="1">
      <c r="A638" s="60"/>
      <c r="B638" s="60"/>
      <c r="C638" s="84"/>
      <c r="D638" s="60"/>
      <c r="E638" s="60"/>
      <c r="F638" s="85"/>
      <c r="G638" s="85"/>
      <c r="H638" s="60"/>
      <c r="I638" s="60"/>
      <c r="J638" s="60"/>
      <c r="K638" s="60"/>
      <c r="L638" s="60"/>
      <c r="M638" s="60"/>
      <c r="N638" s="60"/>
      <c r="O638" s="60"/>
      <c r="P638" s="60"/>
      <c r="Q638" s="60"/>
      <c r="R638" s="60"/>
      <c r="S638" s="60"/>
      <c r="T638" s="60"/>
      <c r="U638" s="60"/>
      <c r="V638" s="60"/>
      <c r="W638" s="60"/>
      <c r="X638" s="60"/>
      <c r="Y638" s="60"/>
      <c r="Z638" s="60"/>
    </row>
    <row r="639" ht="53.25" customHeight="1">
      <c r="A639" s="60"/>
      <c r="B639" s="60"/>
      <c r="C639" s="84"/>
      <c r="D639" s="60"/>
      <c r="E639" s="60"/>
      <c r="F639" s="85"/>
      <c r="G639" s="85"/>
      <c r="H639" s="60"/>
      <c r="I639" s="60"/>
      <c r="J639" s="60"/>
      <c r="K639" s="60"/>
      <c r="L639" s="60"/>
      <c r="M639" s="60"/>
      <c r="N639" s="60"/>
      <c r="O639" s="60"/>
      <c r="P639" s="60"/>
      <c r="Q639" s="60"/>
      <c r="R639" s="60"/>
      <c r="S639" s="60"/>
      <c r="T639" s="60"/>
      <c r="U639" s="60"/>
      <c r="V639" s="60"/>
      <c r="W639" s="60"/>
      <c r="X639" s="60"/>
      <c r="Y639" s="60"/>
      <c r="Z639" s="60"/>
    </row>
    <row r="640" ht="53.25" customHeight="1">
      <c r="A640" s="60"/>
      <c r="B640" s="60"/>
      <c r="C640" s="84"/>
      <c r="D640" s="60"/>
      <c r="E640" s="60"/>
      <c r="F640" s="85"/>
      <c r="G640" s="85"/>
      <c r="H640" s="60"/>
      <c r="I640" s="60"/>
      <c r="J640" s="60"/>
      <c r="K640" s="60"/>
      <c r="L640" s="60"/>
      <c r="M640" s="60"/>
      <c r="N640" s="60"/>
      <c r="O640" s="60"/>
      <c r="P640" s="60"/>
      <c r="Q640" s="60"/>
      <c r="R640" s="60"/>
      <c r="S640" s="60"/>
      <c r="T640" s="60"/>
      <c r="U640" s="60"/>
      <c r="V640" s="60"/>
      <c r="W640" s="60"/>
      <c r="X640" s="60"/>
      <c r="Y640" s="60"/>
      <c r="Z640" s="60"/>
    </row>
    <row r="641" ht="53.25" customHeight="1">
      <c r="A641" s="60"/>
      <c r="B641" s="60"/>
      <c r="C641" s="84"/>
      <c r="D641" s="60"/>
      <c r="E641" s="60"/>
      <c r="F641" s="85"/>
      <c r="G641" s="85"/>
      <c r="H641" s="60"/>
      <c r="I641" s="60"/>
      <c r="J641" s="60"/>
      <c r="K641" s="60"/>
      <c r="L641" s="60"/>
      <c r="M641" s="60"/>
      <c r="N641" s="60"/>
      <c r="O641" s="60"/>
      <c r="P641" s="60"/>
      <c r="Q641" s="60"/>
      <c r="R641" s="60"/>
      <c r="S641" s="60"/>
      <c r="T641" s="60"/>
      <c r="U641" s="60"/>
      <c r="V641" s="60"/>
      <c r="W641" s="60"/>
      <c r="X641" s="60"/>
      <c r="Y641" s="60"/>
      <c r="Z641" s="60"/>
    </row>
    <row r="642" ht="53.25" customHeight="1">
      <c r="A642" s="60"/>
      <c r="B642" s="60"/>
      <c r="C642" s="84"/>
      <c r="D642" s="60"/>
      <c r="E642" s="60"/>
      <c r="F642" s="85"/>
      <c r="G642" s="85"/>
      <c r="H642" s="60"/>
      <c r="I642" s="60"/>
      <c r="J642" s="60"/>
      <c r="K642" s="60"/>
      <c r="L642" s="60"/>
      <c r="M642" s="60"/>
      <c r="N642" s="60"/>
      <c r="O642" s="60"/>
      <c r="P642" s="60"/>
      <c r="Q642" s="60"/>
      <c r="R642" s="60"/>
      <c r="S642" s="60"/>
      <c r="T642" s="60"/>
      <c r="U642" s="60"/>
      <c r="V642" s="60"/>
      <c r="W642" s="60"/>
      <c r="X642" s="60"/>
      <c r="Y642" s="60"/>
      <c r="Z642" s="60"/>
    </row>
    <row r="643" ht="53.25" customHeight="1">
      <c r="A643" s="60"/>
      <c r="B643" s="60"/>
      <c r="C643" s="84"/>
      <c r="D643" s="60"/>
      <c r="E643" s="60"/>
      <c r="F643" s="85"/>
      <c r="G643" s="85"/>
      <c r="H643" s="60"/>
      <c r="I643" s="60"/>
      <c r="J643" s="60"/>
      <c r="K643" s="60"/>
      <c r="L643" s="60"/>
      <c r="M643" s="60"/>
      <c r="N643" s="60"/>
      <c r="O643" s="60"/>
      <c r="P643" s="60"/>
      <c r="Q643" s="60"/>
      <c r="R643" s="60"/>
      <c r="S643" s="60"/>
      <c r="T643" s="60"/>
      <c r="U643" s="60"/>
      <c r="V643" s="60"/>
      <c r="W643" s="60"/>
      <c r="X643" s="60"/>
      <c r="Y643" s="60"/>
      <c r="Z643" s="60"/>
    </row>
    <row r="644" ht="53.25" customHeight="1">
      <c r="A644" s="60"/>
      <c r="B644" s="60"/>
      <c r="C644" s="84"/>
      <c r="D644" s="60"/>
      <c r="E644" s="60"/>
      <c r="F644" s="85"/>
      <c r="G644" s="85"/>
      <c r="H644" s="60"/>
      <c r="I644" s="60"/>
      <c r="J644" s="60"/>
      <c r="K644" s="60"/>
      <c r="L644" s="60"/>
      <c r="M644" s="60"/>
      <c r="N644" s="60"/>
      <c r="O644" s="60"/>
      <c r="P644" s="60"/>
      <c r="Q644" s="60"/>
      <c r="R644" s="60"/>
      <c r="S644" s="60"/>
      <c r="T644" s="60"/>
      <c r="U644" s="60"/>
      <c r="V644" s="60"/>
      <c r="W644" s="60"/>
      <c r="X644" s="60"/>
      <c r="Y644" s="60"/>
      <c r="Z644" s="60"/>
    </row>
    <row r="645" ht="53.25" customHeight="1">
      <c r="A645" s="60"/>
      <c r="B645" s="60"/>
      <c r="C645" s="84"/>
      <c r="D645" s="60"/>
      <c r="E645" s="60"/>
      <c r="F645" s="85"/>
      <c r="G645" s="85"/>
      <c r="H645" s="60"/>
      <c r="I645" s="60"/>
      <c r="J645" s="60"/>
      <c r="K645" s="60"/>
      <c r="L645" s="60"/>
      <c r="M645" s="60"/>
      <c r="N645" s="60"/>
      <c r="O645" s="60"/>
      <c r="P645" s="60"/>
      <c r="Q645" s="60"/>
      <c r="R645" s="60"/>
      <c r="S645" s="60"/>
      <c r="T645" s="60"/>
      <c r="U645" s="60"/>
      <c r="V645" s="60"/>
      <c r="W645" s="60"/>
      <c r="X645" s="60"/>
      <c r="Y645" s="60"/>
      <c r="Z645" s="60"/>
    </row>
    <row r="646" ht="53.25" customHeight="1">
      <c r="A646" s="60"/>
      <c r="B646" s="60"/>
      <c r="C646" s="84"/>
      <c r="D646" s="60"/>
      <c r="E646" s="60"/>
      <c r="F646" s="85"/>
      <c r="G646" s="85"/>
      <c r="H646" s="60"/>
      <c r="I646" s="60"/>
      <c r="J646" s="60"/>
      <c r="K646" s="60"/>
      <c r="L646" s="60"/>
      <c r="M646" s="60"/>
      <c r="N646" s="60"/>
      <c r="O646" s="60"/>
      <c r="P646" s="60"/>
      <c r="Q646" s="60"/>
      <c r="R646" s="60"/>
      <c r="S646" s="60"/>
      <c r="T646" s="60"/>
      <c r="U646" s="60"/>
      <c r="V646" s="60"/>
      <c r="W646" s="60"/>
      <c r="X646" s="60"/>
      <c r="Y646" s="60"/>
      <c r="Z646" s="60"/>
    </row>
    <row r="647" ht="53.25" customHeight="1">
      <c r="A647" s="60"/>
      <c r="B647" s="60"/>
      <c r="C647" s="84"/>
      <c r="D647" s="60"/>
      <c r="E647" s="60"/>
      <c r="F647" s="85"/>
      <c r="G647" s="85"/>
      <c r="H647" s="60"/>
      <c r="I647" s="60"/>
      <c r="J647" s="60"/>
      <c r="K647" s="60"/>
      <c r="L647" s="60"/>
      <c r="M647" s="60"/>
      <c r="N647" s="60"/>
      <c r="O647" s="60"/>
      <c r="P647" s="60"/>
      <c r="Q647" s="60"/>
      <c r="R647" s="60"/>
      <c r="S647" s="60"/>
      <c r="T647" s="60"/>
      <c r="U647" s="60"/>
      <c r="V647" s="60"/>
      <c r="W647" s="60"/>
      <c r="X647" s="60"/>
      <c r="Y647" s="60"/>
      <c r="Z647" s="60"/>
    </row>
    <row r="648" ht="53.25" customHeight="1">
      <c r="A648" s="60"/>
      <c r="B648" s="60"/>
      <c r="C648" s="84"/>
      <c r="D648" s="60"/>
      <c r="E648" s="60"/>
      <c r="F648" s="85"/>
      <c r="G648" s="85"/>
      <c r="H648" s="60"/>
      <c r="I648" s="60"/>
      <c r="J648" s="60"/>
      <c r="K648" s="60"/>
      <c r="L648" s="60"/>
      <c r="M648" s="60"/>
      <c r="N648" s="60"/>
      <c r="O648" s="60"/>
      <c r="P648" s="60"/>
      <c r="Q648" s="60"/>
      <c r="R648" s="60"/>
      <c r="S648" s="60"/>
      <c r="T648" s="60"/>
      <c r="U648" s="60"/>
      <c r="V648" s="60"/>
      <c r="W648" s="60"/>
      <c r="X648" s="60"/>
      <c r="Y648" s="60"/>
      <c r="Z648" s="60"/>
    </row>
    <row r="649" ht="53.25" customHeight="1">
      <c r="A649" s="60"/>
      <c r="B649" s="60"/>
      <c r="C649" s="84"/>
      <c r="D649" s="60"/>
      <c r="E649" s="60"/>
      <c r="F649" s="85"/>
      <c r="G649" s="85"/>
      <c r="H649" s="60"/>
      <c r="I649" s="60"/>
      <c r="J649" s="60"/>
      <c r="K649" s="60"/>
      <c r="L649" s="60"/>
      <c r="M649" s="60"/>
      <c r="N649" s="60"/>
      <c r="O649" s="60"/>
      <c r="P649" s="60"/>
      <c r="Q649" s="60"/>
      <c r="R649" s="60"/>
      <c r="S649" s="60"/>
      <c r="T649" s="60"/>
      <c r="U649" s="60"/>
      <c r="V649" s="60"/>
      <c r="W649" s="60"/>
      <c r="X649" s="60"/>
      <c r="Y649" s="60"/>
      <c r="Z649" s="60"/>
    </row>
    <row r="650" ht="53.25" customHeight="1">
      <c r="A650" s="60"/>
      <c r="B650" s="60"/>
      <c r="C650" s="84"/>
      <c r="D650" s="60"/>
      <c r="E650" s="60"/>
      <c r="F650" s="85"/>
      <c r="G650" s="85"/>
      <c r="H650" s="60"/>
      <c r="I650" s="60"/>
      <c r="J650" s="60"/>
      <c r="K650" s="60"/>
      <c r="L650" s="60"/>
      <c r="M650" s="60"/>
      <c r="N650" s="60"/>
      <c r="O650" s="60"/>
      <c r="P650" s="60"/>
      <c r="Q650" s="60"/>
      <c r="R650" s="60"/>
      <c r="S650" s="60"/>
      <c r="T650" s="60"/>
      <c r="U650" s="60"/>
      <c r="V650" s="60"/>
      <c r="W650" s="60"/>
      <c r="X650" s="60"/>
      <c r="Y650" s="60"/>
      <c r="Z650" s="60"/>
    </row>
    <row r="651" ht="53.25" customHeight="1">
      <c r="A651" s="60"/>
      <c r="B651" s="60"/>
      <c r="C651" s="84"/>
      <c r="D651" s="60"/>
      <c r="E651" s="60"/>
      <c r="F651" s="85"/>
      <c r="G651" s="85"/>
      <c r="H651" s="60"/>
      <c r="I651" s="60"/>
      <c r="J651" s="60"/>
      <c r="K651" s="60"/>
      <c r="L651" s="60"/>
      <c r="M651" s="60"/>
      <c r="N651" s="60"/>
      <c r="O651" s="60"/>
      <c r="P651" s="60"/>
      <c r="Q651" s="60"/>
      <c r="R651" s="60"/>
      <c r="S651" s="60"/>
      <c r="T651" s="60"/>
      <c r="U651" s="60"/>
      <c r="V651" s="60"/>
      <c r="W651" s="60"/>
      <c r="X651" s="60"/>
      <c r="Y651" s="60"/>
      <c r="Z651" s="60"/>
    </row>
    <row r="652" ht="53.25" customHeight="1">
      <c r="A652" s="60"/>
      <c r="B652" s="60"/>
      <c r="C652" s="84"/>
      <c r="D652" s="60"/>
      <c r="E652" s="60"/>
      <c r="F652" s="85"/>
      <c r="G652" s="85"/>
      <c r="H652" s="60"/>
      <c r="I652" s="60"/>
      <c r="J652" s="60"/>
      <c r="K652" s="60"/>
      <c r="L652" s="60"/>
      <c r="M652" s="60"/>
      <c r="N652" s="60"/>
      <c r="O652" s="60"/>
      <c r="P652" s="60"/>
      <c r="Q652" s="60"/>
      <c r="R652" s="60"/>
      <c r="S652" s="60"/>
      <c r="T652" s="60"/>
      <c r="U652" s="60"/>
      <c r="V652" s="60"/>
      <c r="W652" s="60"/>
      <c r="X652" s="60"/>
      <c r="Y652" s="60"/>
      <c r="Z652" s="60"/>
    </row>
    <row r="653" ht="53.25" customHeight="1">
      <c r="A653" s="60"/>
      <c r="B653" s="60"/>
      <c r="C653" s="84"/>
      <c r="D653" s="60"/>
      <c r="E653" s="60"/>
      <c r="F653" s="85"/>
      <c r="G653" s="85"/>
      <c r="H653" s="60"/>
      <c r="I653" s="60"/>
      <c r="J653" s="60"/>
      <c r="K653" s="60"/>
      <c r="L653" s="60"/>
      <c r="M653" s="60"/>
      <c r="N653" s="60"/>
      <c r="O653" s="60"/>
      <c r="P653" s="60"/>
      <c r="Q653" s="60"/>
      <c r="R653" s="60"/>
      <c r="S653" s="60"/>
      <c r="T653" s="60"/>
      <c r="U653" s="60"/>
      <c r="V653" s="60"/>
      <c r="W653" s="60"/>
      <c r="X653" s="60"/>
      <c r="Y653" s="60"/>
      <c r="Z653" s="60"/>
    </row>
    <row r="654" ht="53.25" customHeight="1">
      <c r="A654" s="60"/>
      <c r="B654" s="60"/>
      <c r="C654" s="84"/>
      <c r="D654" s="60"/>
      <c r="E654" s="60"/>
      <c r="F654" s="85"/>
      <c r="G654" s="85"/>
      <c r="H654" s="60"/>
      <c r="I654" s="60"/>
      <c r="J654" s="60"/>
      <c r="K654" s="60"/>
      <c r="L654" s="60"/>
      <c r="M654" s="60"/>
      <c r="N654" s="60"/>
      <c r="O654" s="60"/>
      <c r="P654" s="60"/>
      <c r="Q654" s="60"/>
      <c r="R654" s="60"/>
      <c r="S654" s="60"/>
      <c r="T654" s="60"/>
      <c r="U654" s="60"/>
      <c r="V654" s="60"/>
      <c r="W654" s="60"/>
      <c r="X654" s="60"/>
      <c r="Y654" s="60"/>
      <c r="Z654" s="60"/>
    </row>
    <row r="655" ht="53.25" customHeight="1">
      <c r="A655" s="60"/>
      <c r="B655" s="60"/>
      <c r="C655" s="84"/>
      <c r="D655" s="60"/>
      <c r="E655" s="60"/>
      <c r="F655" s="85"/>
      <c r="G655" s="85"/>
      <c r="H655" s="60"/>
      <c r="I655" s="60"/>
      <c r="J655" s="60"/>
      <c r="K655" s="60"/>
      <c r="L655" s="60"/>
      <c r="M655" s="60"/>
      <c r="N655" s="60"/>
      <c r="O655" s="60"/>
      <c r="P655" s="60"/>
      <c r="Q655" s="60"/>
      <c r="R655" s="60"/>
      <c r="S655" s="60"/>
      <c r="T655" s="60"/>
      <c r="U655" s="60"/>
      <c r="V655" s="60"/>
      <c r="W655" s="60"/>
      <c r="X655" s="60"/>
      <c r="Y655" s="60"/>
      <c r="Z655" s="60"/>
    </row>
    <row r="656" ht="53.25" customHeight="1">
      <c r="A656" s="60"/>
      <c r="B656" s="60"/>
      <c r="C656" s="84"/>
      <c r="D656" s="60"/>
      <c r="E656" s="60"/>
      <c r="F656" s="85"/>
      <c r="G656" s="85"/>
      <c r="H656" s="60"/>
      <c r="I656" s="60"/>
      <c r="J656" s="60"/>
      <c r="K656" s="60"/>
      <c r="L656" s="60"/>
      <c r="M656" s="60"/>
      <c r="N656" s="60"/>
      <c r="O656" s="60"/>
      <c r="P656" s="60"/>
      <c r="Q656" s="60"/>
      <c r="R656" s="60"/>
      <c r="S656" s="60"/>
      <c r="T656" s="60"/>
      <c r="U656" s="60"/>
      <c r="V656" s="60"/>
      <c r="W656" s="60"/>
      <c r="X656" s="60"/>
      <c r="Y656" s="60"/>
      <c r="Z656" s="60"/>
    </row>
    <row r="657" ht="53.25" customHeight="1">
      <c r="A657" s="60"/>
      <c r="B657" s="60"/>
      <c r="C657" s="84"/>
      <c r="D657" s="60"/>
      <c r="E657" s="60"/>
      <c r="F657" s="85"/>
      <c r="G657" s="85"/>
      <c r="H657" s="60"/>
      <c r="I657" s="60"/>
      <c r="J657" s="60"/>
      <c r="K657" s="60"/>
      <c r="L657" s="60"/>
      <c r="M657" s="60"/>
      <c r="N657" s="60"/>
      <c r="O657" s="60"/>
      <c r="P657" s="60"/>
      <c r="Q657" s="60"/>
      <c r="R657" s="60"/>
      <c r="S657" s="60"/>
      <c r="T657" s="60"/>
      <c r="U657" s="60"/>
      <c r="V657" s="60"/>
      <c r="W657" s="60"/>
      <c r="X657" s="60"/>
      <c r="Y657" s="60"/>
      <c r="Z657" s="60"/>
    </row>
    <row r="658" ht="53.25" customHeight="1">
      <c r="A658" s="60"/>
      <c r="B658" s="60"/>
      <c r="C658" s="84"/>
      <c r="D658" s="60"/>
      <c r="E658" s="60"/>
      <c r="F658" s="85"/>
      <c r="G658" s="85"/>
      <c r="H658" s="60"/>
      <c r="I658" s="60"/>
      <c r="J658" s="60"/>
      <c r="K658" s="60"/>
      <c r="L658" s="60"/>
      <c r="M658" s="60"/>
      <c r="N658" s="60"/>
      <c r="O658" s="60"/>
      <c r="P658" s="60"/>
      <c r="Q658" s="60"/>
      <c r="R658" s="60"/>
      <c r="S658" s="60"/>
      <c r="T658" s="60"/>
      <c r="U658" s="60"/>
      <c r="V658" s="60"/>
      <c r="W658" s="60"/>
      <c r="X658" s="60"/>
      <c r="Y658" s="60"/>
      <c r="Z658" s="60"/>
    </row>
    <row r="659" ht="53.25" customHeight="1">
      <c r="A659" s="60"/>
      <c r="B659" s="60"/>
      <c r="C659" s="84"/>
      <c r="D659" s="60"/>
      <c r="E659" s="60"/>
      <c r="F659" s="85"/>
      <c r="G659" s="85"/>
      <c r="H659" s="60"/>
      <c r="I659" s="60"/>
      <c r="J659" s="60"/>
      <c r="K659" s="60"/>
      <c r="L659" s="60"/>
      <c r="M659" s="60"/>
      <c r="N659" s="60"/>
      <c r="O659" s="60"/>
      <c r="P659" s="60"/>
      <c r="Q659" s="60"/>
      <c r="R659" s="60"/>
      <c r="S659" s="60"/>
      <c r="T659" s="60"/>
      <c r="U659" s="60"/>
      <c r="V659" s="60"/>
      <c r="W659" s="60"/>
      <c r="X659" s="60"/>
      <c r="Y659" s="60"/>
      <c r="Z659" s="60"/>
    </row>
    <row r="660" ht="53.25" customHeight="1">
      <c r="A660" s="60"/>
      <c r="B660" s="60"/>
      <c r="C660" s="84"/>
      <c r="D660" s="60"/>
      <c r="E660" s="60"/>
      <c r="F660" s="85"/>
      <c r="G660" s="85"/>
      <c r="H660" s="60"/>
      <c r="I660" s="60"/>
      <c r="J660" s="60"/>
      <c r="K660" s="60"/>
      <c r="L660" s="60"/>
      <c r="M660" s="60"/>
      <c r="N660" s="60"/>
      <c r="O660" s="60"/>
      <c r="P660" s="60"/>
      <c r="Q660" s="60"/>
      <c r="R660" s="60"/>
      <c r="S660" s="60"/>
      <c r="T660" s="60"/>
      <c r="U660" s="60"/>
      <c r="V660" s="60"/>
      <c r="W660" s="60"/>
      <c r="X660" s="60"/>
      <c r="Y660" s="60"/>
      <c r="Z660" s="60"/>
    </row>
    <row r="661" ht="53.25" customHeight="1">
      <c r="A661" s="60"/>
      <c r="B661" s="60"/>
      <c r="C661" s="84"/>
      <c r="D661" s="60"/>
      <c r="E661" s="60"/>
      <c r="F661" s="85"/>
      <c r="G661" s="85"/>
      <c r="H661" s="60"/>
      <c r="I661" s="60"/>
      <c r="J661" s="60"/>
      <c r="K661" s="60"/>
      <c r="L661" s="60"/>
      <c r="M661" s="60"/>
      <c r="N661" s="60"/>
      <c r="O661" s="60"/>
      <c r="P661" s="60"/>
      <c r="Q661" s="60"/>
      <c r="R661" s="60"/>
      <c r="S661" s="60"/>
      <c r="T661" s="60"/>
      <c r="U661" s="60"/>
      <c r="V661" s="60"/>
      <c r="W661" s="60"/>
      <c r="X661" s="60"/>
      <c r="Y661" s="60"/>
      <c r="Z661" s="60"/>
    </row>
    <row r="662" ht="53.25" customHeight="1">
      <c r="A662" s="60"/>
      <c r="B662" s="60"/>
      <c r="C662" s="84"/>
      <c r="D662" s="60"/>
      <c r="E662" s="60"/>
      <c r="F662" s="85"/>
      <c r="G662" s="85"/>
      <c r="H662" s="60"/>
      <c r="I662" s="60"/>
      <c r="J662" s="60"/>
      <c r="K662" s="60"/>
      <c r="L662" s="60"/>
      <c r="M662" s="60"/>
      <c r="N662" s="60"/>
      <c r="O662" s="60"/>
      <c r="P662" s="60"/>
      <c r="Q662" s="60"/>
      <c r="R662" s="60"/>
      <c r="S662" s="60"/>
      <c r="T662" s="60"/>
      <c r="U662" s="60"/>
      <c r="V662" s="60"/>
      <c r="W662" s="60"/>
      <c r="X662" s="60"/>
      <c r="Y662" s="60"/>
      <c r="Z662" s="60"/>
    </row>
    <row r="663" ht="53.25" customHeight="1">
      <c r="A663" s="60"/>
      <c r="B663" s="60"/>
      <c r="C663" s="84"/>
      <c r="D663" s="60"/>
      <c r="E663" s="60"/>
      <c r="F663" s="85"/>
      <c r="G663" s="85"/>
      <c r="H663" s="60"/>
      <c r="I663" s="60"/>
      <c r="J663" s="60"/>
      <c r="K663" s="60"/>
      <c r="L663" s="60"/>
      <c r="M663" s="60"/>
      <c r="N663" s="60"/>
      <c r="O663" s="60"/>
      <c r="P663" s="60"/>
      <c r="Q663" s="60"/>
      <c r="R663" s="60"/>
      <c r="S663" s="60"/>
      <c r="T663" s="60"/>
      <c r="U663" s="60"/>
      <c r="V663" s="60"/>
      <c r="W663" s="60"/>
      <c r="X663" s="60"/>
      <c r="Y663" s="60"/>
      <c r="Z663" s="60"/>
    </row>
    <row r="664" ht="53.25" customHeight="1">
      <c r="A664" s="60"/>
      <c r="B664" s="60"/>
      <c r="C664" s="84"/>
      <c r="D664" s="60"/>
      <c r="E664" s="60"/>
      <c r="F664" s="85"/>
      <c r="G664" s="85"/>
      <c r="H664" s="60"/>
      <c r="I664" s="60"/>
      <c r="J664" s="60"/>
      <c r="K664" s="60"/>
      <c r="L664" s="60"/>
      <c r="M664" s="60"/>
      <c r="N664" s="60"/>
      <c r="O664" s="60"/>
      <c r="P664" s="60"/>
      <c r="Q664" s="60"/>
      <c r="R664" s="60"/>
      <c r="S664" s="60"/>
      <c r="T664" s="60"/>
      <c r="U664" s="60"/>
      <c r="V664" s="60"/>
      <c r="W664" s="60"/>
      <c r="X664" s="60"/>
      <c r="Y664" s="60"/>
      <c r="Z664" s="60"/>
    </row>
    <row r="665" ht="53.25" customHeight="1">
      <c r="A665" s="60"/>
      <c r="B665" s="60"/>
      <c r="C665" s="84"/>
      <c r="D665" s="60"/>
      <c r="E665" s="60"/>
      <c r="F665" s="85"/>
      <c r="G665" s="85"/>
      <c r="H665" s="60"/>
      <c r="I665" s="60"/>
      <c r="J665" s="60"/>
      <c r="K665" s="60"/>
      <c r="L665" s="60"/>
      <c r="M665" s="60"/>
      <c r="N665" s="60"/>
      <c r="O665" s="60"/>
      <c r="P665" s="60"/>
      <c r="Q665" s="60"/>
      <c r="R665" s="60"/>
      <c r="S665" s="60"/>
      <c r="T665" s="60"/>
      <c r="U665" s="60"/>
      <c r="V665" s="60"/>
      <c r="W665" s="60"/>
      <c r="X665" s="60"/>
      <c r="Y665" s="60"/>
      <c r="Z665" s="60"/>
    </row>
    <row r="666" ht="53.25" customHeight="1">
      <c r="A666" s="60"/>
      <c r="B666" s="60"/>
      <c r="C666" s="84"/>
      <c r="D666" s="60"/>
      <c r="E666" s="60"/>
      <c r="F666" s="85"/>
      <c r="G666" s="85"/>
      <c r="H666" s="60"/>
      <c r="I666" s="60"/>
      <c r="J666" s="60"/>
      <c r="K666" s="60"/>
      <c r="L666" s="60"/>
      <c r="M666" s="60"/>
      <c r="N666" s="60"/>
      <c r="O666" s="60"/>
      <c r="P666" s="60"/>
      <c r="Q666" s="60"/>
      <c r="R666" s="60"/>
      <c r="S666" s="60"/>
      <c r="T666" s="60"/>
      <c r="U666" s="60"/>
      <c r="V666" s="60"/>
      <c r="W666" s="60"/>
      <c r="X666" s="60"/>
      <c r="Y666" s="60"/>
      <c r="Z666" s="60"/>
    </row>
    <row r="667" ht="53.25" customHeight="1">
      <c r="A667" s="60"/>
      <c r="B667" s="60"/>
      <c r="C667" s="84"/>
      <c r="D667" s="60"/>
      <c r="E667" s="60"/>
      <c r="F667" s="85"/>
      <c r="G667" s="85"/>
      <c r="H667" s="60"/>
      <c r="I667" s="60"/>
      <c r="J667" s="60"/>
      <c r="K667" s="60"/>
      <c r="L667" s="60"/>
      <c r="M667" s="60"/>
      <c r="N667" s="60"/>
      <c r="O667" s="60"/>
      <c r="P667" s="60"/>
      <c r="Q667" s="60"/>
      <c r="R667" s="60"/>
      <c r="S667" s="60"/>
      <c r="T667" s="60"/>
      <c r="U667" s="60"/>
      <c r="V667" s="60"/>
      <c r="W667" s="60"/>
      <c r="X667" s="60"/>
      <c r="Y667" s="60"/>
      <c r="Z667" s="60"/>
    </row>
    <row r="668" ht="53.25" customHeight="1">
      <c r="A668" s="60"/>
      <c r="B668" s="60"/>
      <c r="C668" s="84"/>
      <c r="D668" s="60"/>
      <c r="E668" s="60"/>
      <c r="F668" s="85"/>
      <c r="G668" s="85"/>
      <c r="H668" s="60"/>
      <c r="I668" s="60"/>
      <c r="J668" s="60"/>
      <c r="K668" s="60"/>
      <c r="L668" s="60"/>
      <c r="M668" s="60"/>
      <c r="N668" s="60"/>
      <c r="O668" s="60"/>
      <c r="P668" s="60"/>
      <c r="Q668" s="60"/>
      <c r="R668" s="60"/>
      <c r="S668" s="60"/>
      <c r="T668" s="60"/>
      <c r="U668" s="60"/>
      <c r="V668" s="60"/>
      <c r="W668" s="60"/>
      <c r="X668" s="60"/>
      <c r="Y668" s="60"/>
      <c r="Z668" s="60"/>
    </row>
    <row r="669" ht="53.25" customHeight="1">
      <c r="A669" s="60"/>
      <c r="B669" s="60"/>
      <c r="C669" s="84"/>
      <c r="D669" s="60"/>
      <c r="E669" s="60"/>
      <c r="F669" s="85"/>
      <c r="G669" s="85"/>
      <c r="H669" s="60"/>
      <c r="I669" s="60"/>
      <c r="J669" s="60"/>
      <c r="K669" s="60"/>
      <c r="L669" s="60"/>
      <c r="M669" s="60"/>
      <c r="N669" s="60"/>
      <c r="O669" s="60"/>
      <c r="P669" s="60"/>
      <c r="Q669" s="60"/>
      <c r="R669" s="60"/>
      <c r="S669" s="60"/>
      <c r="T669" s="60"/>
      <c r="U669" s="60"/>
      <c r="V669" s="60"/>
      <c r="W669" s="60"/>
      <c r="X669" s="60"/>
      <c r="Y669" s="60"/>
      <c r="Z669" s="60"/>
    </row>
    <row r="670" ht="53.25" customHeight="1">
      <c r="A670" s="60"/>
      <c r="B670" s="60"/>
      <c r="C670" s="84"/>
      <c r="D670" s="60"/>
      <c r="E670" s="60"/>
      <c r="F670" s="85"/>
      <c r="G670" s="85"/>
      <c r="H670" s="60"/>
      <c r="I670" s="60"/>
      <c r="J670" s="60"/>
      <c r="K670" s="60"/>
      <c r="L670" s="60"/>
      <c r="M670" s="60"/>
      <c r="N670" s="60"/>
      <c r="O670" s="60"/>
      <c r="P670" s="60"/>
      <c r="Q670" s="60"/>
      <c r="R670" s="60"/>
      <c r="S670" s="60"/>
      <c r="T670" s="60"/>
      <c r="U670" s="60"/>
      <c r="V670" s="60"/>
      <c r="W670" s="60"/>
      <c r="X670" s="60"/>
      <c r="Y670" s="60"/>
      <c r="Z670" s="60"/>
    </row>
    <row r="671" ht="53.25" customHeight="1">
      <c r="A671" s="60"/>
      <c r="B671" s="60"/>
      <c r="C671" s="84"/>
      <c r="D671" s="60"/>
      <c r="E671" s="60"/>
      <c r="F671" s="85"/>
      <c r="G671" s="85"/>
      <c r="H671" s="60"/>
      <c r="I671" s="60"/>
      <c r="J671" s="60"/>
      <c r="K671" s="60"/>
      <c r="L671" s="60"/>
      <c r="M671" s="60"/>
      <c r="N671" s="60"/>
      <c r="O671" s="60"/>
      <c r="P671" s="60"/>
      <c r="Q671" s="60"/>
      <c r="R671" s="60"/>
      <c r="S671" s="60"/>
      <c r="T671" s="60"/>
      <c r="U671" s="60"/>
      <c r="V671" s="60"/>
      <c r="W671" s="60"/>
      <c r="X671" s="60"/>
      <c r="Y671" s="60"/>
      <c r="Z671" s="60"/>
    </row>
    <row r="672" ht="53.25" customHeight="1">
      <c r="A672" s="60"/>
      <c r="B672" s="60"/>
      <c r="C672" s="84"/>
      <c r="D672" s="60"/>
      <c r="E672" s="60"/>
      <c r="F672" s="85"/>
      <c r="G672" s="85"/>
      <c r="H672" s="60"/>
      <c r="I672" s="60"/>
      <c r="J672" s="60"/>
      <c r="K672" s="60"/>
      <c r="L672" s="60"/>
      <c r="M672" s="60"/>
      <c r="N672" s="60"/>
      <c r="O672" s="60"/>
      <c r="P672" s="60"/>
      <c r="Q672" s="60"/>
      <c r="R672" s="60"/>
      <c r="S672" s="60"/>
      <c r="T672" s="60"/>
      <c r="U672" s="60"/>
      <c r="V672" s="60"/>
      <c r="W672" s="60"/>
      <c r="X672" s="60"/>
      <c r="Y672" s="60"/>
      <c r="Z672" s="60"/>
    </row>
    <row r="673" ht="53.25" customHeight="1">
      <c r="A673" s="60"/>
      <c r="B673" s="60"/>
      <c r="C673" s="84"/>
      <c r="D673" s="60"/>
      <c r="E673" s="60"/>
      <c r="F673" s="85"/>
      <c r="G673" s="85"/>
      <c r="H673" s="60"/>
      <c r="I673" s="60"/>
      <c r="J673" s="60"/>
      <c r="K673" s="60"/>
      <c r="L673" s="60"/>
      <c r="M673" s="60"/>
      <c r="N673" s="60"/>
      <c r="O673" s="60"/>
      <c r="P673" s="60"/>
      <c r="Q673" s="60"/>
      <c r="R673" s="60"/>
      <c r="S673" s="60"/>
      <c r="T673" s="60"/>
      <c r="U673" s="60"/>
      <c r="V673" s="60"/>
      <c r="W673" s="60"/>
      <c r="X673" s="60"/>
      <c r="Y673" s="60"/>
      <c r="Z673" s="60"/>
    </row>
    <row r="674" ht="53.25" customHeight="1">
      <c r="A674" s="60"/>
      <c r="B674" s="60"/>
      <c r="C674" s="84"/>
      <c r="D674" s="60"/>
      <c r="E674" s="60"/>
      <c r="F674" s="85"/>
      <c r="G674" s="85"/>
      <c r="H674" s="60"/>
      <c r="I674" s="60"/>
      <c r="J674" s="60"/>
      <c r="K674" s="60"/>
      <c r="L674" s="60"/>
      <c r="M674" s="60"/>
      <c r="N674" s="60"/>
      <c r="O674" s="60"/>
      <c r="P674" s="60"/>
      <c r="Q674" s="60"/>
      <c r="R674" s="60"/>
      <c r="S674" s="60"/>
      <c r="T674" s="60"/>
      <c r="U674" s="60"/>
      <c r="V674" s="60"/>
      <c r="W674" s="60"/>
      <c r="X674" s="60"/>
      <c r="Y674" s="60"/>
      <c r="Z674" s="60"/>
    </row>
    <row r="675" ht="53.25" customHeight="1">
      <c r="A675" s="60"/>
      <c r="B675" s="60"/>
      <c r="C675" s="84"/>
      <c r="D675" s="60"/>
      <c r="E675" s="60"/>
      <c r="F675" s="85"/>
      <c r="G675" s="85"/>
      <c r="H675" s="60"/>
      <c r="I675" s="60"/>
      <c r="J675" s="60"/>
      <c r="K675" s="60"/>
      <c r="L675" s="60"/>
      <c r="M675" s="60"/>
      <c r="N675" s="60"/>
      <c r="O675" s="60"/>
      <c r="P675" s="60"/>
      <c r="Q675" s="60"/>
      <c r="R675" s="60"/>
      <c r="S675" s="60"/>
      <c r="T675" s="60"/>
      <c r="U675" s="60"/>
      <c r="V675" s="60"/>
      <c r="W675" s="60"/>
      <c r="X675" s="60"/>
      <c r="Y675" s="60"/>
      <c r="Z675" s="60"/>
    </row>
    <row r="676" ht="53.25" customHeight="1">
      <c r="A676" s="60"/>
      <c r="B676" s="60"/>
      <c r="C676" s="84"/>
      <c r="D676" s="60"/>
      <c r="E676" s="60"/>
      <c r="F676" s="85"/>
      <c r="G676" s="85"/>
      <c r="H676" s="60"/>
      <c r="I676" s="60"/>
      <c r="J676" s="60"/>
      <c r="K676" s="60"/>
      <c r="L676" s="60"/>
      <c r="M676" s="60"/>
      <c r="N676" s="60"/>
      <c r="O676" s="60"/>
      <c r="P676" s="60"/>
      <c r="Q676" s="60"/>
      <c r="R676" s="60"/>
      <c r="S676" s="60"/>
      <c r="T676" s="60"/>
      <c r="U676" s="60"/>
      <c r="V676" s="60"/>
      <c r="W676" s="60"/>
      <c r="X676" s="60"/>
      <c r="Y676" s="60"/>
      <c r="Z676" s="60"/>
    </row>
    <row r="677" ht="53.25" customHeight="1">
      <c r="A677" s="60"/>
      <c r="B677" s="60"/>
      <c r="C677" s="84"/>
      <c r="D677" s="60"/>
      <c r="E677" s="60"/>
      <c r="F677" s="85"/>
      <c r="G677" s="85"/>
      <c r="H677" s="60"/>
      <c r="I677" s="60"/>
      <c r="J677" s="60"/>
      <c r="K677" s="60"/>
      <c r="L677" s="60"/>
      <c r="M677" s="60"/>
      <c r="N677" s="60"/>
      <c r="O677" s="60"/>
      <c r="P677" s="60"/>
      <c r="Q677" s="60"/>
      <c r="R677" s="60"/>
      <c r="S677" s="60"/>
      <c r="T677" s="60"/>
      <c r="U677" s="60"/>
      <c r="V677" s="60"/>
      <c r="W677" s="60"/>
      <c r="X677" s="60"/>
      <c r="Y677" s="60"/>
      <c r="Z677" s="60"/>
    </row>
    <row r="678" ht="53.25" customHeight="1">
      <c r="A678" s="60"/>
      <c r="B678" s="60"/>
      <c r="C678" s="84"/>
      <c r="D678" s="60"/>
      <c r="E678" s="60"/>
      <c r="F678" s="85"/>
      <c r="G678" s="85"/>
      <c r="H678" s="60"/>
      <c r="I678" s="60"/>
      <c r="J678" s="60"/>
      <c r="K678" s="60"/>
      <c r="L678" s="60"/>
      <c r="M678" s="60"/>
      <c r="N678" s="60"/>
      <c r="O678" s="60"/>
      <c r="P678" s="60"/>
      <c r="Q678" s="60"/>
      <c r="R678" s="60"/>
      <c r="S678" s="60"/>
      <c r="T678" s="60"/>
      <c r="U678" s="60"/>
      <c r="V678" s="60"/>
      <c r="W678" s="60"/>
      <c r="X678" s="60"/>
      <c r="Y678" s="60"/>
      <c r="Z678" s="60"/>
    </row>
    <row r="679" ht="53.25" customHeight="1">
      <c r="A679" s="60"/>
      <c r="B679" s="60"/>
      <c r="C679" s="84"/>
      <c r="D679" s="60"/>
      <c r="E679" s="60"/>
      <c r="F679" s="85"/>
      <c r="G679" s="85"/>
      <c r="H679" s="60"/>
      <c r="I679" s="60"/>
      <c r="J679" s="60"/>
      <c r="K679" s="60"/>
      <c r="L679" s="60"/>
      <c r="M679" s="60"/>
      <c r="N679" s="60"/>
      <c r="O679" s="60"/>
      <c r="P679" s="60"/>
      <c r="Q679" s="60"/>
      <c r="R679" s="60"/>
      <c r="S679" s="60"/>
      <c r="T679" s="60"/>
      <c r="U679" s="60"/>
      <c r="V679" s="60"/>
      <c r="W679" s="60"/>
      <c r="X679" s="60"/>
      <c r="Y679" s="60"/>
      <c r="Z679" s="60"/>
    </row>
    <row r="680" ht="53.25" customHeight="1">
      <c r="A680" s="60"/>
      <c r="B680" s="60"/>
      <c r="C680" s="84"/>
      <c r="D680" s="60"/>
      <c r="E680" s="60"/>
      <c r="F680" s="85"/>
      <c r="G680" s="85"/>
      <c r="H680" s="60"/>
      <c r="I680" s="60"/>
      <c r="J680" s="60"/>
      <c r="K680" s="60"/>
      <c r="L680" s="60"/>
      <c r="M680" s="60"/>
      <c r="N680" s="60"/>
      <c r="O680" s="60"/>
      <c r="P680" s="60"/>
      <c r="Q680" s="60"/>
      <c r="R680" s="60"/>
      <c r="S680" s="60"/>
      <c r="T680" s="60"/>
      <c r="U680" s="60"/>
      <c r="V680" s="60"/>
      <c r="W680" s="60"/>
      <c r="X680" s="60"/>
      <c r="Y680" s="60"/>
      <c r="Z680" s="60"/>
    </row>
    <row r="681" ht="53.25" customHeight="1">
      <c r="A681" s="60"/>
      <c r="B681" s="60"/>
      <c r="C681" s="84"/>
      <c r="D681" s="60"/>
      <c r="E681" s="60"/>
      <c r="F681" s="85"/>
      <c r="G681" s="85"/>
      <c r="H681" s="60"/>
      <c r="I681" s="60"/>
      <c r="J681" s="60"/>
      <c r="K681" s="60"/>
      <c r="L681" s="60"/>
      <c r="M681" s="60"/>
      <c r="N681" s="60"/>
      <c r="O681" s="60"/>
      <c r="P681" s="60"/>
      <c r="Q681" s="60"/>
      <c r="R681" s="60"/>
      <c r="S681" s="60"/>
      <c r="T681" s="60"/>
      <c r="U681" s="60"/>
      <c r="V681" s="60"/>
      <c r="W681" s="60"/>
      <c r="X681" s="60"/>
      <c r="Y681" s="60"/>
      <c r="Z681" s="60"/>
    </row>
    <row r="682" ht="53.25" customHeight="1">
      <c r="A682" s="60"/>
      <c r="B682" s="60"/>
      <c r="C682" s="84"/>
      <c r="D682" s="60"/>
      <c r="E682" s="60"/>
      <c r="F682" s="85"/>
      <c r="G682" s="85"/>
      <c r="H682" s="60"/>
      <c r="I682" s="60"/>
      <c r="J682" s="60"/>
      <c r="K682" s="60"/>
      <c r="L682" s="60"/>
      <c r="M682" s="60"/>
      <c r="N682" s="60"/>
      <c r="O682" s="60"/>
      <c r="P682" s="60"/>
      <c r="Q682" s="60"/>
      <c r="R682" s="60"/>
      <c r="S682" s="60"/>
      <c r="T682" s="60"/>
      <c r="U682" s="60"/>
      <c r="V682" s="60"/>
      <c r="W682" s="60"/>
      <c r="X682" s="60"/>
      <c r="Y682" s="60"/>
      <c r="Z682" s="60"/>
    </row>
    <row r="683" ht="53.25" customHeight="1">
      <c r="A683" s="60"/>
      <c r="B683" s="60"/>
      <c r="C683" s="84"/>
      <c r="D683" s="60"/>
      <c r="E683" s="60"/>
      <c r="F683" s="85"/>
      <c r="G683" s="85"/>
      <c r="H683" s="60"/>
      <c r="I683" s="60"/>
      <c r="J683" s="60"/>
      <c r="K683" s="60"/>
      <c r="L683" s="60"/>
      <c r="M683" s="60"/>
      <c r="N683" s="60"/>
      <c r="O683" s="60"/>
      <c r="P683" s="60"/>
      <c r="Q683" s="60"/>
      <c r="R683" s="60"/>
      <c r="S683" s="60"/>
      <c r="T683" s="60"/>
      <c r="U683" s="60"/>
      <c r="V683" s="60"/>
      <c r="W683" s="60"/>
      <c r="X683" s="60"/>
      <c r="Y683" s="60"/>
      <c r="Z683" s="60"/>
    </row>
    <row r="684" ht="53.25" customHeight="1">
      <c r="A684" s="60"/>
      <c r="B684" s="60"/>
      <c r="C684" s="84"/>
      <c r="D684" s="60"/>
      <c r="E684" s="60"/>
      <c r="F684" s="85"/>
      <c r="G684" s="85"/>
      <c r="H684" s="60"/>
      <c r="I684" s="60"/>
      <c r="J684" s="60"/>
      <c r="K684" s="60"/>
      <c r="L684" s="60"/>
      <c r="M684" s="60"/>
      <c r="N684" s="60"/>
      <c r="O684" s="60"/>
      <c r="P684" s="60"/>
      <c r="Q684" s="60"/>
      <c r="R684" s="60"/>
      <c r="S684" s="60"/>
      <c r="T684" s="60"/>
      <c r="U684" s="60"/>
      <c r="V684" s="60"/>
      <c r="W684" s="60"/>
      <c r="X684" s="60"/>
      <c r="Y684" s="60"/>
      <c r="Z684" s="60"/>
    </row>
    <row r="685" ht="53.25" customHeight="1">
      <c r="A685" s="60"/>
      <c r="B685" s="60"/>
      <c r="C685" s="84"/>
      <c r="D685" s="60"/>
      <c r="E685" s="60"/>
      <c r="F685" s="85"/>
      <c r="G685" s="85"/>
      <c r="H685" s="60"/>
      <c r="I685" s="60"/>
      <c r="J685" s="60"/>
      <c r="K685" s="60"/>
      <c r="L685" s="60"/>
      <c r="M685" s="60"/>
      <c r="N685" s="60"/>
      <c r="O685" s="60"/>
      <c r="P685" s="60"/>
      <c r="Q685" s="60"/>
      <c r="R685" s="60"/>
      <c r="S685" s="60"/>
      <c r="T685" s="60"/>
      <c r="U685" s="60"/>
      <c r="V685" s="60"/>
      <c r="W685" s="60"/>
      <c r="X685" s="60"/>
      <c r="Y685" s="60"/>
      <c r="Z685" s="60"/>
    </row>
    <row r="686" ht="53.25" customHeight="1">
      <c r="A686" s="60"/>
      <c r="B686" s="60"/>
      <c r="C686" s="84"/>
      <c r="D686" s="60"/>
      <c r="E686" s="60"/>
      <c r="F686" s="85"/>
      <c r="G686" s="85"/>
      <c r="H686" s="60"/>
      <c r="I686" s="60"/>
      <c r="J686" s="60"/>
      <c r="K686" s="60"/>
      <c r="L686" s="60"/>
      <c r="M686" s="60"/>
      <c r="N686" s="60"/>
      <c r="O686" s="60"/>
      <c r="P686" s="60"/>
      <c r="Q686" s="60"/>
      <c r="R686" s="60"/>
      <c r="S686" s="60"/>
      <c r="T686" s="60"/>
      <c r="U686" s="60"/>
      <c r="V686" s="60"/>
      <c r="W686" s="60"/>
      <c r="X686" s="60"/>
      <c r="Y686" s="60"/>
      <c r="Z686" s="60"/>
    </row>
    <row r="687" ht="53.25" customHeight="1">
      <c r="A687" s="60"/>
      <c r="B687" s="60"/>
      <c r="C687" s="84"/>
      <c r="D687" s="60"/>
      <c r="E687" s="60"/>
      <c r="F687" s="85"/>
      <c r="G687" s="85"/>
      <c r="H687" s="60"/>
      <c r="I687" s="60"/>
      <c r="J687" s="60"/>
      <c r="K687" s="60"/>
      <c r="L687" s="60"/>
      <c r="M687" s="60"/>
      <c r="N687" s="60"/>
      <c r="O687" s="60"/>
      <c r="P687" s="60"/>
      <c r="Q687" s="60"/>
      <c r="R687" s="60"/>
      <c r="S687" s="60"/>
      <c r="T687" s="60"/>
      <c r="U687" s="60"/>
      <c r="V687" s="60"/>
      <c r="W687" s="60"/>
      <c r="X687" s="60"/>
      <c r="Y687" s="60"/>
      <c r="Z687" s="60"/>
    </row>
    <row r="688" ht="53.25" customHeight="1">
      <c r="A688" s="60"/>
      <c r="B688" s="60"/>
      <c r="C688" s="84"/>
      <c r="D688" s="60"/>
      <c r="E688" s="60"/>
      <c r="F688" s="85"/>
      <c r="G688" s="85"/>
      <c r="H688" s="60"/>
      <c r="I688" s="60"/>
      <c r="J688" s="60"/>
      <c r="K688" s="60"/>
      <c r="L688" s="60"/>
      <c r="M688" s="60"/>
      <c r="N688" s="60"/>
      <c r="O688" s="60"/>
      <c r="P688" s="60"/>
      <c r="Q688" s="60"/>
      <c r="R688" s="60"/>
      <c r="S688" s="60"/>
      <c r="T688" s="60"/>
      <c r="U688" s="60"/>
      <c r="V688" s="60"/>
      <c r="W688" s="60"/>
      <c r="X688" s="60"/>
      <c r="Y688" s="60"/>
      <c r="Z688" s="60"/>
    </row>
    <row r="689" ht="53.25" customHeight="1">
      <c r="A689" s="60"/>
      <c r="B689" s="60"/>
      <c r="C689" s="84"/>
      <c r="D689" s="60"/>
      <c r="E689" s="60"/>
      <c r="F689" s="85"/>
      <c r="G689" s="85"/>
      <c r="H689" s="60"/>
      <c r="I689" s="60"/>
      <c r="J689" s="60"/>
      <c r="K689" s="60"/>
      <c r="L689" s="60"/>
      <c r="M689" s="60"/>
      <c r="N689" s="60"/>
      <c r="O689" s="60"/>
      <c r="P689" s="60"/>
      <c r="Q689" s="60"/>
      <c r="R689" s="60"/>
      <c r="S689" s="60"/>
      <c r="T689" s="60"/>
      <c r="U689" s="60"/>
      <c r="V689" s="60"/>
      <c r="W689" s="60"/>
      <c r="X689" s="60"/>
      <c r="Y689" s="60"/>
      <c r="Z689" s="60"/>
    </row>
    <row r="690" ht="53.25" customHeight="1">
      <c r="A690" s="60"/>
      <c r="B690" s="60"/>
      <c r="C690" s="84"/>
      <c r="D690" s="60"/>
      <c r="E690" s="60"/>
      <c r="F690" s="85"/>
      <c r="G690" s="85"/>
      <c r="H690" s="60"/>
      <c r="I690" s="60"/>
      <c r="J690" s="60"/>
      <c r="K690" s="60"/>
      <c r="L690" s="60"/>
      <c r="M690" s="60"/>
      <c r="N690" s="60"/>
      <c r="O690" s="60"/>
      <c r="P690" s="60"/>
      <c r="Q690" s="60"/>
      <c r="R690" s="60"/>
      <c r="S690" s="60"/>
      <c r="T690" s="60"/>
      <c r="U690" s="60"/>
      <c r="V690" s="60"/>
      <c r="W690" s="60"/>
      <c r="X690" s="60"/>
      <c r="Y690" s="60"/>
      <c r="Z690" s="60"/>
    </row>
    <row r="691" ht="53.25" customHeight="1">
      <c r="A691" s="60"/>
      <c r="B691" s="60"/>
      <c r="C691" s="84"/>
      <c r="D691" s="60"/>
      <c r="E691" s="60"/>
      <c r="F691" s="85"/>
      <c r="G691" s="85"/>
      <c r="H691" s="60"/>
      <c r="I691" s="60"/>
      <c r="J691" s="60"/>
      <c r="K691" s="60"/>
      <c r="L691" s="60"/>
      <c r="M691" s="60"/>
      <c r="N691" s="60"/>
      <c r="O691" s="60"/>
      <c r="P691" s="60"/>
      <c r="Q691" s="60"/>
      <c r="R691" s="60"/>
      <c r="S691" s="60"/>
      <c r="T691" s="60"/>
      <c r="U691" s="60"/>
      <c r="V691" s="60"/>
      <c r="W691" s="60"/>
      <c r="X691" s="60"/>
      <c r="Y691" s="60"/>
      <c r="Z691" s="60"/>
    </row>
    <row r="692" ht="53.25" customHeight="1">
      <c r="A692" s="60"/>
      <c r="B692" s="60"/>
      <c r="C692" s="84"/>
      <c r="D692" s="60"/>
      <c r="E692" s="60"/>
      <c r="F692" s="85"/>
      <c r="G692" s="85"/>
      <c r="H692" s="60"/>
      <c r="I692" s="60"/>
      <c r="J692" s="60"/>
      <c r="K692" s="60"/>
      <c r="L692" s="60"/>
      <c r="M692" s="60"/>
      <c r="N692" s="60"/>
      <c r="O692" s="60"/>
      <c r="P692" s="60"/>
      <c r="Q692" s="60"/>
      <c r="R692" s="60"/>
      <c r="S692" s="60"/>
      <c r="T692" s="60"/>
      <c r="U692" s="60"/>
      <c r="V692" s="60"/>
      <c r="W692" s="60"/>
      <c r="X692" s="60"/>
      <c r="Y692" s="60"/>
      <c r="Z692" s="60"/>
    </row>
    <row r="693" ht="53.25" customHeight="1">
      <c r="A693" s="60"/>
      <c r="B693" s="60"/>
      <c r="C693" s="84"/>
      <c r="D693" s="60"/>
      <c r="E693" s="60"/>
      <c r="F693" s="85"/>
      <c r="G693" s="85"/>
      <c r="H693" s="60"/>
      <c r="I693" s="60"/>
      <c r="J693" s="60"/>
      <c r="K693" s="60"/>
      <c r="L693" s="60"/>
      <c r="M693" s="60"/>
      <c r="N693" s="60"/>
      <c r="O693" s="60"/>
      <c r="P693" s="60"/>
      <c r="Q693" s="60"/>
      <c r="R693" s="60"/>
      <c r="S693" s="60"/>
      <c r="T693" s="60"/>
      <c r="U693" s="60"/>
      <c r="V693" s="60"/>
      <c r="W693" s="60"/>
      <c r="X693" s="60"/>
      <c r="Y693" s="60"/>
      <c r="Z693" s="60"/>
    </row>
    <row r="694" ht="53.25" customHeight="1">
      <c r="A694" s="60"/>
      <c r="B694" s="60"/>
      <c r="C694" s="84"/>
      <c r="D694" s="60"/>
      <c r="E694" s="60"/>
      <c r="F694" s="85"/>
      <c r="G694" s="85"/>
      <c r="H694" s="60"/>
      <c r="I694" s="60"/>
      <c r="J694" s="60"/>
      <c r="K694" s="60"/>
      <c r="L694" s="60"/>
      <c r="M694" s="60"/>
      <c r="N694" s="60"/>
      <c r="O694" s="60"/>
      <c r="P694" s="60"/>
      <c r="Q694" s="60"/>
      <c r="R694" s="60"/>
      <c r="S694" s="60"/>
      <c r="T694" s="60"/>
      <c r="U694" s="60"/>
      <c r="V694" s="60"/>
      <c r="W694" s="60"/>
      <c r="X694" s="60"/>
      <c r="Y694" s="60"/>
      <c r="Z694" s="60"/>
    </row>
    <row r="695" ht="53.25" customHeight="1">
      <c r="A695" s="60"/>
      <c r="B695" s="60"/>
      <c r="C695" s="84"/>
      <c r="D695" s="60"/>
      <c r="E695" s="60"/>
      <c r="F695" s="85"/>
      <c r="G695" s="85"/>
      <c r="H695" s="60"/>
      <c r="I695" s="60"/>
      <c r="J695" s="60"/>
      <c r="K695" s="60"/>
      <c r="L695" s="60"/>
      <c r="M695" s="60"/>
      <c r="N695" s="60"/>
      <c r="O695" s="60"/>
      <c r="P695" s="60"/>
      <c r="Q695" s="60"/>
      <c r="R695" s="60"/>
      <c r="S695" s="60"/>
      <c r="T695" s="60"/>
      <c r="U695" s="60"/>
      <c r="V695" s="60"/>
      <c r="W695" s="60"/>
      <c r="X695" s="60"/>
      <c r="Y695" s="60"/>
      <c r="Z695" s="60"/>
    </row>
    <row r="696" ht="53.25" customHeight="1">
      <c r="A696" s="60"/>
      <c r="B696" s="60"/>
      <c r="C696" s="84"/>
      <c r="D696" s="60"/>
      <c r="E696" s="60"/>
      <c r="F696" s="85"/>
      <c r="G696" s="85"/>
      <c r="H696" s="60"/>
      <c r="I696" s="60"/>
      <c r="J696" s="60"/>
      <c r="K696" s="60"/>
      <c r="L696" s="60"/>
      <c r="M696" s="60"/>
      <c r="N696" s="60"/>
      <c r="O696" s="60"/>
      <c r="P696" s="60"/>
      <c r="Q696" s="60"/>
      <c r="R696" s="60"/>
      <c r="S696" s="60"/>
      <c r="T696" s="60"/>
      <c r="U696" s="60"/>
      <c r="V696" s="60"/>
      <c r="W696" s="60"/>
      <c r="X696" s="60"/>
      <c r="Y696" s="60"/>
      <c r="Z696" s="60"/>
    </row>
    <row r="697" ht="53.25" customHeight="1">
      <c r="A697" s="60"/>
      <c r="B697" s="60"/>
      <c r="C697" s="84"/>
      <c r="D697" s="60"/>
      <c r="E697" s="60"/>
      <c r="F697" s="85"/>
      <c r="G697" s="85"/>
      <c r="H697" s="60"/>
      <c r="I697" s="60"/>
      <c r="J697" s="60"/>
      <c r="K697" s="60"/>
      <c r="L697" s="60"/>
      <c r="M697" s="60"/>
      <c r="N697" s="60"/>
      <c r="O697" s="60"/>
      <c r="P697" s="60"/>
      <c r="Q697" s="60"/>
      <c r="R697" s="60"/>
      <c r="S697" s="60"/>
      <c r="T697" s="60"/>
      <c r="U697" s="60"/>
      <c r="V697" s="60"/>
      <c r="W697" s="60"/>
      <c r="X697" s="60"/>
      <c r="Y697" s="60"/>
      <c r="Z697" s="60"/>
    </row>
    <row r="698" ht="53.25" customHeight="1">
      <c r="A698" s="60"/>
      <c r="B698" s="60"/>
      <c r="C698" s="84"/>
      <c r="D698" s="60"/>
      <c r="E698" s="60"/>
      <c r="F698" s="85"/>
      <c r="G698" s="85"/>
      <c r="H698" s="60"/>
      <c r="I698" s="60"/>
      <c r="J698" s="60"/>
      <c r="K698" s="60"/>
      <c r="L698" s="60"/>
      <c r="M698" s="60"/>
      <c r="N698" s="60"/>
      <c r="O698" s="60"/>
      <c r="P698" s="60"/>
      <c r="Q698" s="60"/>
      <c r="R698" s="60"/>
      <c r="S698" s="60"/>
      <c r="T698" s="60"/>
      <c r="U698" s="60"/>
      <c r="V698" s="60"/>
      <c r="W698" s="60"/>
      <c r="X698" s="60"/>
      <c r="Y698" s="60"/>
      <c r="Z698" s="60"/>
    </row>
    <row r="699" ht="53.25" customHeight="1">
      <c r="A699" s="60"/>
      <c r="B699" s="60"/>
      <c r="C699" s="84"/>
      <c r="D699" s="60"/>
      <c r="E699" s="60"/>
      <c r="F699" s="85"/>
      <c r="G699" s="85"/>
      <c r="H699" s="60"/>
      <c r="I699" s="60"/>
      <c r="J699" s="60"/>
      <c r="K699" s="60"/>
      <c r="L699" s="60"/>
      <c r="M699" s="60"/>
      <c r="N699" s="60"/>
      <c r="O699" s="60"/>
      <c r="P699" s="60"/>
      <c r="Q699" s="60"/>
      <c r="R699" s="60"/>
      <c r="S699" s="60"/>
      <c r="T699" s="60"/>
      <c r="U699" s="60"/>
      <c r="V699" s="60"/>
      <c r="W699" s="60"/>
      <c r="X699" s="60"/>
      <c r="Y699" s="60"/>
      <c r="Z699" s="60"/>
    </row>
    <row r="700" ht="53.25" customHeight="1">
      <c r="A700" s="60"/>
      <c r="B700" s="60"/>
      <c r="C700" s="84"/>
      <c r="D700" s="60"/>
      <c r="E700" s="60"/>
      <c r="F700" s="85"/>
      <c r="G700" s="85"/>
      <c r="H700" s="60"/>
      <c r="I700" s="60"/>
      <c r="J700" s="60"/>
      <c r="K700" s="60"/>
      <c r="L700" s="60"/>
      <c r="M700" s="60"/>
      <c r="N700" s="60"/>
      <c r="O700" s="60"/>
      <c r="P700" s="60"/>
      <c r="Q700" s="60"/>
      <c r="R700" s="60"/>
      <c r="S700" s="60"/>
      <c r="T700" s="60"/>
      <c r="U700" s="60"/>
      <c r="V700" s="60"/>
      <c r="W700" s="60"/>
      <c r="X700" s="60"/>
      <c r="Y700" s="60"/>
      <c r="Z700" s="60"/>
    </row>
    <row r="701" ht="53.25" customHeight="1">
      <c r="A701" s="60"/>
      <c r="B701" s="60"/>
      <c r="C701" s="84"/>
      <c r="D701" s="60"/>
      <c r="E701" s="60"/>
      <c r="F701" s="85"/>
      <c r="G701" s="85"/>
      <c r="H701" s="60"/>
      <c r="I701" s="60"/>
      <c r="J701" s="60"/>
      <c r="K701" s="60"/>
      <c r="L701" s="60"/>
      <c r="M701" s="60"/>
      <c r="N701" s="60"/>
      <c r="O701" s="60"/>
      <c r="P701" s="60"/>
      <c r="Q701" s="60"/>
      <c r="R701" s="60"/>
      <c r="S701" s="60"/>
      <c r="T701" s="60"/>
      <c r="U701" s="60"/>
      <c r="V701" s="60"/>
      <c r="W701" s="60"/>
      <c r="X701" s="60"/>
      <c r="Y701" s="60"/>
      <c r="Z701" s="60"/>
    </row>
    <row r="702" ht="53.25" customHeight="1">
      <c r="A702" s="60"/>
      <c r="B702" s="60"/>
      <c r="C702" s="84"/>
      <c r="D702" s="60"/>
      <c r="E702" s="60"/>
      <c r="F702" s="85"/>
      <c r="G702" s="85"/>
      <c r="H702" s="60"/>
      <c r="I702" s="60"/>
      <c r="J702" s="60"/>
      <c r="K702" s="60"/>
      <c r="L702" s="60"/>
      <c r="M702" s="60"/>
      <c r="N702" s="60"/>
      <c r="O702" s="60"/>
      <c r="P702" s="60"/>
      <c r="Q702" s="60"/>
      <c r="R702" s="60"/>
      <c r="S702" s="60"/>
      <c r="T702" s="60"/>
      <c r="U702" s="60"/>
      <c r="V702" s="60"/>
      <c r="W702" s="60"/>
      <c r="X702" s="60"/>
      <c r="Y702" s="60"/>
      <c r="Z702" s="60"/>
    </row>
    <row r="703" ht="53.25" customHeight="1">
      <c r="A703" s="60"/>
      <c r="B703" s="60"/>
      <c r="C703" s="84"/>
      <c r="D703" s="60"/>
      <c r="E703" s="60"/>
      <c r="F703" s="85"/>
      <c r="G703" s="85"/>
      <c r="H703" s="60"/>
      <c r="I703" s="60"/>
      <c r="J703" s="60"/>
      <c r="K703" s="60"/>
      <c r="L703" s="60"/>
      <c r="M703" s="60"/>
      <c r="N703" s="60"/>
      <c r="O703" s="60"/>
      <c r="P703" s="60"/>
      <c r="Q703" s="60"/>
      <c r="R703" s="60"/>
      <c r="S703" s="60"/>
      <c r="T703" s="60"/>
      <c r="U703" s="60"/>
      <c r="V703" s="60"/>
      <c r="W703" s="60"/>
      <c r="X703" s="60"/>
      <c r="Y703" s="60"/>
      <c r="Z703" s="60"/>
    </row>
    <row r="704" ht="53.25" customHeight="1">
      <c r="A704" s="60"/>
      <c r="B704" s="60"/>
      <c r="C704" s="84"/>
      <c r="D704" s="60"/>
      <c r="E704" s="60"/>
      <c r="F704" s="85"/>
      <c r="G704" s="85"/>
      <c r="H704" s="60"/>
      <c r="I704" s="60"/>
      <c r="J704" s="60"/>
      <c r="K704" s="60"/>
      <c r="L704" s="60"/>
      <c r="M704" s="60"/>
      <c r="N704" s="60"/>
      <c r="O704" s="60"/>
      <c r="P704" s="60"/>
      <c r="Q704" s="60"/>
      <c r="R704" s="60"/>
      <c r="S704" s="60"/>
      <c r="T704" s="60"/>
      <c r="U704" s="60"/>
      <c r="V704" s="60"/>
      <c r="W704" s="60"/>
      <c r="X704" s="60"/>
      <c r="Y704" s="60"/>
      <c r="Z704" s="60"/>
    </row>
    <row r="705" ht="53.25" customHeight="1">
      <c r="A705" s="60"/>
      <c r="B705" s="60"/>
      <c r="C705" s="84"/>
      <c r="D705" s="60"/>
      <c r="E705" s="60"/>
      <c r="F705" s="85"/>
      <c r="G705" s="85"/>
      <c r="H705" s="60"/>
      <c r="I705" s="60"/>
      <c r="J705" s="60"/>
      <c r="K705" s="60"/>
      <c r="L705" s="60"/>
      <c r="M705" s="60"/>
      <c r="N705" s="60"/>
      <c r="O705" s="60"/>
      <c r="P705" s="60"/>
      <c r="Q705" s="60"/>
      <c r="R705" s="60"/>
      <c r="S705" s="60"/>
      <c r="T705" s="60"/>
      <c r="U705" s="60"/>
      <c r="V705" s="60"/>
      <c r="W705" s="60"/>
      <c r="X705" s="60"/>
      <c r="Y705" s="60"/>
      <c r="Z705" s="60"/>
    </row>
    <row r="706" ht="53.25" customHeight="1">
      <c r="A706" s="60"/>
      <c r="B706" s="60"/>
      <c r="C706" s="84"/>
      <c r="D706" s="60"/>
      <c r="E706" s="60"/>
      <c r="F706" s="85"/>
      <c r="G706" s="85"/>
      <c r="H706" s="60"/>
      <c r="I706" s="60"/>
      <c r="J706" s="60"/>
      <c r="K706" s="60"/>
      <c r="L706" s="60"/>
      <c r="M706" s="60"/>
      <c r="N706" s="60"/>
      <c r="O706" s="60"/>
      <c r="P706" s="60"/>
      <c r="Q706" s="60"/>
      <c r="R706" s="60"/>
      <c r="S706" s="60"/>
      <c r="T706" s="60"/>
      <c r="U706" s="60"/>
      <c r="V706" s="60"/>
      <c r="W706" s="60"/>
      <c r="X706" s="60"/>
      <c r="Y706" s="60"/>
      <c r="Z706" s="60"/>
    </row>
    <row r="707" ht="53.25" customHeight="1">
      <c r="A707" s="60"/>
      <c r="B707" s="60"/>
      <c r="C707" s="84"/>
      <c r="D707" s="60"/>
      <c r="E707" s="60"/>
      <c r="F707" s="85"/>
      <c r="G707" s="85"/>
      <c r="H707" s="60"/>
      <c r="I707" s="60"/>
      <c r="J707" s="60"/>
      <c r="K707" s="60"/>
      <c r="L707" s="60"/>
      <c r="M707" s="60"/>
      <c r="N707" s="60"/>
      <c r="O707" s="60"/>
      <c r="P707" s="60"/>
      <c r="Q707" s="60"/>
      <c r="R707" s="60"/>
      <c r="S707" s="60"/>
      <c r="T707" s="60"/>
      <c r="U707" s="60"/>
      <c r="V707" s="60"/>
      <c r="W707" s="60"/>
      <c r="X707" s="60"/>
      <c r="Y707" s="60"/>
      <c r="Z707" s="60"/>
    </row>
    <row r="708" ht="53.25" customHeight="1">
      <c r="A708" s="60"/>
      <c r="B708" s="60"/>
      <c r="C708" s="84"/>
      <c r="D708" s="60"/>
      <c r="E708" s="60"/>
      <c r="F708" s="85"/>
      <c r="G708" s="85"/>
      <c r="H708" s="60"/>
      <c r="I708" s="60"/>
      <c r="J708" s="60"/>
      <c r="K708" s="60"/>
      <c r="L708" s="60"/>
      <c r="M708" s="60"/>
      <c r="N708" s="60"/>
      <c r="O708" s="60"/>
      <c r="P708" s="60"/>
      <c r="Q708" s="60"/>
      <c r="R708" s="60"/>
      <c r="S708" s="60"/>
      <c r="T708" s="60"/>
      <c r="U708" s="60"/>
      <c r="V708" s="60"/>
      <c r="W708" s="60"/>
      <c r="X708" s="60"/>
      <c r="Y708" s="60"/>
      <c r="Z708" s="60"/>
    </row>
    <row r="709" ht="53.25" customHeight="1">
      <c r="A709" s="60"/>
      <c r="B709" s="60"/>
      <c r="C709" s="84"/>
      <c r="D709" s="60"/>
      <c r="E709" s="60"/>
      <c r="F709" s="85"/>
      <c r="G709" s="85"/>
      <c r="H709" s="60"/>
      <c r="I709" s="60"/>
      <c r="J709" s="60"/>
      <c r="K709" s="60"/>
      <c r="L709" s="60"/>
      <c r="M709" s="60"/>
      <c r="N709" s="60"/>
      <c r="O709" s="60"/>
      <c r="P709" s="60"/>
      <c r="Q709" s="60"/>
      <c r="R709" s="60"/>
      <c r="S709" s="60"/>
      <c r="T709" s="60"/>
      <c r="U709" s="60"/>
      <c r="V709" s="60"/>
      <c r="W709" s="60"/>
      <c r="X709" s="60"/>
      <c r="Y709" s="60"/>
      <c r="Z709" s="60"/>
    </row>
    <row r="710" ht="53.25" customHeight="1">
      <c r="A710" s="60"/>
      <c r="B710" s="60"/>
      <c r="C710" s="84"/>
      <c r="D710" s="60"/>
      <c r="E710" s="60"/>
      <c r="F710" s="85"/>
      <c r="G710" s="85"/>
      <c r="H710" s="60"/>
      <c r="I710" s="60"/>
      <c r="J710" s="60"/>
      <c r="K710" s="60"/>
      <c r="L710" s="60"/>
      <c r="M710" s="60"/>
      <c r="N710" s="60"/>
      <c r="O710" s="60"/>
      <c r="P710" s="60"/>
      <c r="Q710" s="60"/>
      <c r="R710" s="60"/>
      <c r="S710" s="60"/>
      <c r="T710" s="60"/>
      <c r="U710" s="60"/>
      <c r="V710" s="60"/>
      <c r="W710" s="60"/>
      <c r="X710" s="60"/>
      <c r="Y710" s="60"/>
      <c r="Z710" s="60"/>
    </row>
    <row r="711" ht="53.25" customHeight="1">
      <c r="A711" s="60"/>
      <c r="B711" s="60"/>
      <c r="C711" s="84"/>
      <c r="D711" s="60"/>
      <c r="E711" s="60"/>
      <c r="F711" s="85"/>
      <c r="G711" s="85"/>
      <c r="H711" s="60"/>
      <c r="I711" s="60"/>
      <c r="J711" s="60"/>
      <c r="K711" s="60"/>
      <c r="L711" s="60"/>
      <c r="M711" s="60"/>
      <c r="N711" s="60"/>
      <c r="O711" s="60"/>
      <c r="P711" s="60"/>
      <c r="Q711" s="60"/>
      <c r="R711" s="60"/>
      <c r="S711" s="60"/>
      <c r="T711" s="60"/>
      <c r="U711" s="60"/>
      <c r="V711" s="60"/>
      <c r="W711" s="60"/>
      <c r="X711" s="60"/>
      <c r="Y711" s="60"/>
      <c r="Z711" s="60"/>
    </row>
    <row r="712" ht="53.25" customHeight="1">
      <c r="A712" s="60"/>
      <c r="B712" s="60"/>
      <c r="C712" s="84"/>
      <c r="D712" s="60"/>
      <c r="E712" s="60"/>
      <c r="F712" s="85"/>
      <c r="G712" s="85"/>
      <c r="H712" s="60"/>
      <c r="I712" s="60"/>
      <c r="J712" s="60"/>
      <c r="K712" s="60"/>
      <c r="L712" s="60"/>
      <c r="M712" s="60"/>
      <c r="N712" s="60"/>
      <c r="O712" s="60"/>
      <c r="P712" s="60"/>
      <c r="Q712" s="60"/>
      <c r="R712" s="60"/>
      <c r="S712" s="60"/>
      <c r="T712" s="60"/>
      <c r="U712" s="60"/>
      <c r="V712" s="60"/>
      <c r="W712" s="60"/>
      <c r="X712" s="60"/>
      <c r="Y712" s="60"/>
      <c r="Z712" s="60"/>
    </row>
    <row r="713" ht="53.25" customHeight="1">
      <c r="A713" s="60"/>
      <c r="B713" s="60"/>
      <c r="C713" s="84"/>
      <c r="D713" s="60"/>
      <c r="E713" s="60"/>
      <c r="F713" s="85"/>
      <c r="G713" s="85"/>
      <c r="H713" s="60"/>
      <c r="I713" s="60"/>
      <c r="J713" s="60"/>
      <c r="K713" s="60"/>
      <c r="L713" s="60"/>
      <c r="M713" s="60"/>
      <c r="N713" s="60"/>
      <c r="O713" s="60"/>
      <c r="P713" s="60"/>
      <c r="Q713" s="60"/>
      <c r="R713" s="60"/>
      <c r="S713" s="60"/>
      <c r="T713" s="60"/>
      <c r="U713" s="60"/>
      <c r="V713" s="60"/>
      <c r="W713" s="60"/>
      <c r="X713" s="60"/>
      <c r="Y713" s="60"/>
      <c r="Z713" s="60"/>
    </row>
    <row r="714" ht="53.25" customHeight="1">
      <c r="A714" s="60"/>
      <c r="B714" s="60"/>
      <c r="C714" s="84"/>
      <c r="D714" s="60"/>
      <c r="E714" s="60"/>
      <c r="F714" s="85"/>
      <c r="G714" s="85"/>
      <c r="H714" s="60"/>
      <c r="I714" s="60"/>
      <c r="J714" s="60"/>
      <c r="K714" s="60"/>
      <c r="L714" s="60"/>
      <c r="M714" s="60"/>
      <c r="N714" s="60"/>
      <c r="O714" s="60"/>
      <c r="P714" s="60"/>
      <c r="Q714" s="60"/>
      <c r="R714" s="60"/>
      <c r="S714" s="60"/>
      <c r="T714" s="60"/>
      <c r="U714" s="60"/>
      <c r="V714" s="60"/>
      <c r="W714" s="60"/>
      <c r="X714" s="60"/>
      <c r="Y714" s="60"/>
      <c r="Z714" s="60"/>
    </row>
    <row r="715" ht="53.25" customHeight="1">
      <c r="A715" s="60"/>
      <c r="B715" s="60"/>
      <c r="C715" s="84"/>
      <c r="D715" s="60"/>
      <c r="E715" s="60"/>
      <c r="F715" s="85"/>
      <c r="G715" s="85"/>
      <c r="H715" s="60"/>
      <c r="I715" s="60"/>
      <c r="J715" s="60"/>
      <c r="K715" s="60"/>
      <c r="L715" s="60"/>
      <c r="M715" s="60"/>
      <c r="N715" s="60"/>
      <c r="O715" s="60"/>
      <c r="P715" s="60"/>
      <c r="Q715" s="60"/>
      <c r="R715" s="60"/>
      <c r="S715" s="60"/>
      <c r="T715" s="60"/>
      <c r="U715" s="60"/>
      <c r="V715" s="60"/>
      <c r="W715" s="60"/>
      <c r="X715" s="60"/>
      <c r="Y715" s="60"/>
      <c r="Z715" s="60"/>
    </row>
    <row r="716" ht="53.25" customHeight="1">
      <c r="A716" s="60"/>
      <c r="B716" s="60"/>
      <c r="C716" s="84"/>
      <c r="D716" s="60"/>
      <c r="E716" s="60"/>
      <c r="F716" s="85"/>
      <c r="G716" s="85"/>
      <c r="H716" s="60"/>
      <c r="I716" s="60"/>
      <c r="J716" s="60"/>
      <c r="K716" s="60"/>
      <c r="L716" s="60"/>
      <c r="M716" s="60"/>
      <c r="N716" s="60"/>
      <c r="O716" s="60"/>
      <c r="P716" s="60"/>
      <c r="Q716" s="60"/>
      <c r="R716" s="60"/>
      <c r="S716" s="60"/>
      <c r="T716" s="60"/>
      <c r="U716" s="60"/>
      <c r="V716" s="60"/>
      <c r="W716" s="60"/>
      <c r="X716" s="60"/>
      <c r="Y716" s="60"/>
      <c r="Z716" s="60"/>
    </row>
    <row r="717" ht="53.25" customHeight="1">
      <c r="A717" s="60"/>
      <c r="B717" s="60"/>
      <c r="C717" s="84"/>
      <c r="D717" s="60"/>
      <c r="E717" s="60"/>
      <c r="F717" s="85"/>
      <c r="G717" s="85"/>
      <c r="H717" s="60"/>
      <c r="I717" s="60"/>
      <c r="J717" s="60"/>
      <c r="K717" s="60"/>
      <c r="L717" s="60"/>
      <c r="M717" s="60"/>
      <c r="N717" s="60"/>
      <c r="O717" s="60"/>
      <c r="P717" s="60"/>
      <c r="Q717" s="60"/>
      <c r="R717" s="60"/>
      <c r="S717" s="60"/>
      <c r="T717" s="60"/>
      <c r="U717" s="60"/>
      <c r="V717" s="60"/>
      <c r="W717" s="60"/>
      <c r="X717" s="60"/>
      <c r="Y717" s="60"/>
      <c r="Z717" s="60"/>
    </row>
    <row r="718" ht="53.25" customHeight="1">
      <c r="A718" s="60"/>
      <c r="B718" s="60"/>
      <c r="C718" s="84"/>
      <c r="D718" s="60"/>
      <c r="E718" s="60"/>
      <c r="F718" s="85"/>
      <c r="G718" s="85"/>
      <c r="H718" s="60"/>
      <c r="I718" s="60"/>
      <c r="J718" s="60"/>
      <c r="K718" s="60"/>
      <c r="L718" s="60"/>
      <c r="M718" s="60"/>
      <c r="N718" s="60"/>
      <c r="O718" s="60"/>
      <c r="P718" s="60"/>
      <c r="Q718" s="60"/>
      <c r="R718" s="60"/>
      <c r="S718" s="60"/>
      <c r="T718" s="60"/>
      <c r="U718" s="60"/>
      <c r="V718" s="60"/>
      <c r="W718" s="60"/>
      <c r="X718" s="60"/>
      <c r="Y718" s="60"/>
      <c r="Z718" s="60"/>
    </row>
    <row r="719" ht="53.25" customHeight="1">
      <c r="A719" s="60"/>
      <c r="B719" s="60"/>
      <c r="C719" s="84"/>
      <c r="D719" s="60"/>
      <c r="E719" s="60"/>
      <c r="F719" s="85"/>
      <c r="G719" s="85"/>
      <c r="H719" s="60"/>
      <c r="I719" s="60"/>
      <c r="J719" s="60"/>
      <c r="K719" s="60"/>
      <c r="L719" s="60"/>
      <c r="M719" s="60"/>
      <c r="N719" s="60"/>
      <c r="O719" s="60"/>
      <c r="P719" s="60"/>
      <c r="Q719" s="60"/>
      <c r="R719" s="60"/>
      <c r="S719" s="60"/>
      <c r="T719" s="60"/>
      <c r="U719" s="60"/>
      <c r="V719" s="60"/>
      <c r="W719" s="60"/>
      <c r="X719" s="60"/>
      <c r="Y719" s="60"/>
      <c r="Z719" s="60"/>
    </row>
    <row r="720" ht="53.25" customHeight="1">
      <c r="A720" s="60"/>
      <c r="B720" s="60"/>
      <c r="C720" s="84"/>
      <c r="D720" s="60"/>
      <c r="E720" s="60"/>
      <c r="F720" s="85"/>
      <c r="G720" s="85"/>
      <c r="H720" s="60"/>
      <c r="I720" s="60"/>
      <c r="J720" s="60"/>
      <c r="K720" s="60"/>
      <c r="L720" s="60"/>
      <c r="M720" s="60"/>
      <c r="N720" s="60"/>
      <c r="O720" s="60"/>
      <c r="P720" s="60"/>
      <c r="Q720" s="60"/>
      <c r="R720" s="60"/>
      <c r="S720" s="60"/>
      <c r="T720" s="60"/>
      <c r="U720" s="60"/>
      <c r="V720" s="60"/>
      <c r="W720" s="60"/>
      <c r="X720" s="60"/>
      <c r="Y720" s="60"/>
      <c r="Z720" s="60"/>
    </row>
    <row r="721" ht="53.25" customHeight="1">
      <c r="A721" s="60"/>
      <c r="B721" s="60"/>
      <c r="C721" s="84"/>
      <c r="D721" s="60"/>
      <c r="E721" s="60"/>
      <c r="F721" s="85"/>
      <c r="G721" s="85"/>
      <c r="H721" s="60"/>
      <c r="I721" s="60"/>
      <c r="J721" s="60"/>
      <c r="K721" s="60"/>
      <c r="L721" s="60"/>
      <c r="M721" s="60"/>
      <c r="N721" s="60"/>
      <c r="O721" s="60"/>
      <c r="P721" s="60"/>
      <c r="Q721" s="60"/>
      <c r="R721" s="60"/>
      <c r="S721" s="60"/>
      <c r="T721" s="60"/>
      <c r="U721" s="60"/>
      <c r="V721" s="60"/>
      <c r="W721" s="60"/>
      <c r="X721" s="60"/>
      <c r="Y721" s="60"/>
      <c r="Z721" s="60"/>
    </row>
    <row r="722" ht="53.25" customHeight="1">
      <c r="A722" s="60"/>
      <c r="B722" s="60"/>
      <c r="C722" s="84"/>
      <c r="D722" s="60"/>
      <c r="E722" s="60"/>
      <c r="F722" s="85"/>
      <c r="G722" s="85"/>
      <c r="H722" s="60"/>
      <c r="I722" s="60"/>
      <c r="J722" s="60"/>
      <c r="K722" s="60"/>
      <c r="L722" s="60"/>
      <c r="M722" s="60"/>
      <c r="N722" s="60"/>
      <c r="O722" s="60"/>
      <c r="P722" s="60"/>
      <c r="Q722" s="60"/>
      <c r="R722" s="60"/>
      <c r="S722" s="60"/>
      <c r="T722" s="60"/>
      <c r="U722" s="60"/>
      <c r="V722" s="60"/>
      <c r="W722" s="60"/>
      <c r="X722" s="60"/>
      <c r="Y722" s="60"/>
      <c r="Z722" s="60"/>
    </row>
    <row r="723" ht="53.25" customHeight="1">
      <c r="A723" s="60"/>
      <c r="B723" s="60"/>
      <c r="C723" s="84"/>
      <c r="D723" s="60"/>
      <c r="E723" s="60"/>
      <c r="F723" s="85"/>
      <c r="G723" s="85"/>
      <c r="H723" s="60"/>
      <c r="I723" s="60"/>
      <c r="J723" s="60"/>
      <c r="K723" s="60"/>
      <c r="L723" s="60"/>
      <c r="M723" s="60"/>
      <c r="N723" s="60"/>
      <c r="O723" s="60"/>
      <c r="P723" s="60"/>
      <c r="Q723" s="60"/>
      <c r="R723" s="60"/>
      <c r="S723" s="60"/>
      <c r="T723" s="60"/>
      <c r="U723" s="60"/>
      <c r="V723" s="60"/>
      <c r="W723" s="60"/>
      <c r="X723" s="60"/>
      <c r="Y723" s="60"/>
      <c r="Z723" s="60"/>
    </row>
    <row r="724" ht="53.25" customHeight="1">
      <c r="A724" s="60"/>
      <c r="B724" s="60"/>
      <c r="C724" s="84"/>
      <c r="D724" s="60"/>
      <c r="E724" s="60"/>
      <c r="F724" s="85"/>
      <c r="G724" s="85"/>
      <c r="H724" s="60"/>
      <c r="I724" s="60"/>
      <c r="J724" s="60"/>
      <c r="K724" s="60"/>
      <c r="L724" s="60"/>
      <c r="M724" s="60"/>
      <c r="N724" s="60"/>
      <c r="O724" s="60"/>
      <c r="P724" s="60"/>
      <c r="Q724" s="60"/>
      <c r="R724" s="60"/>
      <c r="S724" s="60"/>
      <c r="T724" s="60"/>
      <c r="U724" s="60"/>
      <c r="V724" s="60"/>
      <c r="W724" s="60"/>
      <c r="X724" s="60"/>
      <c r="Y724" s="60"/>
      <c r="Z724" s="60"/>
    </row>
    <row r="725" ht="53.25" customHeight="1">
      <c r="A725" s="60"/>
      <c r="B725" s="60"/>
      <c r="C725" s="84"/>
      <c r="D725" s="60"/>
      <c r="E725" s="60"/>
      <c r="F725" s="85"/>
      <c r="G725" s="85"/>
      <c r="H725" s="60"/>
      <c r="I725" s="60"/>
      <c r="J725" s="60"/>
      <c r="K725" s="60"/>
      <c r="L725" s="60"/>
      <c r="M725" s="60"/>
      <c r="N725" s="60"/>
      <c r="O725" s="60"/>
      <c r="P725" s="60"/>
      <c r="Q725" s="60"/>
      <c r="R725" s="60"/>
      <c r="S725" s="60"/>
      <c r="T725" s="60"/>
      <c r="U725" s="60"/>
      <c r="V725" s="60"/>
      <c r="W725" s="60"/>
      <c r="X725" s="60"/>
      <c r="Y725" s="60"/>
      <c r="Z725" s="60"/>
    </row>
    <row r="726" ht="53.25" customHeight="1">
      <c r="A726" s="60"/>
      <c r="B726" s="60"/>
      <c r="C726" s="84"/>
      <c r="D726" s="60"/>
      <c r="E726" s="60"/>
      <c r="F726" s="85"/>
      <c r="G726" s="85"/>
      <c r="H726" s="60"/>
      <c r="I726" s="60"/>
      <c r="J726" s="60"/>
      <c r="K726" s="60"/>
      <c r="L726" s="60"/>
      <c r="M726" s="60"/>
      <c r="N726" s="60"/>
      <c r="O726" s="60"/>
      <c r="P726" s="60"/>
      <c r="Q726" s="60"/>
      <c r="R726" s="60"/>
      <c r="S726" s="60"/>
      <c r="T726" s="60"/>
      <c r="U726" s="60"/>
      <c r="V726" s="60"/>
      <c r="W726" s="60"/>
      <c r="X726" s="60"/>
      <c r="Y726" s="60"/>
      <c r="Z726" s="60"/>
    </row>
    <row r="727" ht="53.25" customHeight="1">
      <c r="A727" s="60"/>
      <c r="B727" s="60"/>
      <c r="C727" s="84"/>
      <c r="D727" s="60"/>
      <c r="E727" s="60"/>
      <c r="F727" s="85"/>
      <c r="G727" s="85"/>
      <c r="H727" s="60"/>
      <c r="I727" s="60"/>
      <c r="J727" s="60"/>
      <c r="K727" s="60"/>
      <c r="L727" s="60"/>
      <c r="M727" s="60"/>
      <c r="N727" s="60"/>
      <c r="O727" s="60"/>
      <c r="P727" s="60"/>
      <c r="Q727" s="60"/>
      <c r="R727" s="60"/>
      <c r="S727" s="60"/>
      <c r="T727" s="60"/>
      <c r="U727" s="60"/>
      <c r="V727" s="60"/>
      <c r="W727" s="60"/>
      <c r="X727" s="60"/>
      <c r="Y727" s="60"/>
      <c r="Z727" s="60"/>
    </row>
    <row r="728" ht="53.25" customHeight="1">
      <c r="A728" s="60"/>
      <c r="B728" s="60"/>
      <c r="C728" s="84"/>
      <c r="D728" s="60"/>
      <c r="E728" s="60"/>
      <c r="F728" s="85"/>
      <c r="G728" s="85"/>
      <c r="H728" s="60"/>
      <c r="I728" s="60"/>
      <c r="J728" s="60"/>
      <c r="K728" s="60"/>
      <c r="L728" s="60"/>
      <c r="M728" s="60"/>
      <c r="N728" s="60"/>
      <c r="O728" s="60"/>
      <c r="P728" s="60"/>
      <c r="Q728" s="60"/>
      <c r="R728" s="60"/>
      <c r="S728" s="60"/>
      <c r="T728" s="60"/>
      <c r="U728" s="60"/>
      <c r="V728" s="60"/>
      <c r="W728" s="60"/>
      <c r="X728" s="60"/>
      <c r="Y728" s="60"/>
      <c r="Z728" s="60"/>
    </row>
    <row r="729" ht="53.25" customHeight="1">
      <c r="A729" s="60"/>
      <c r="B729" s="60"/>
      <c r="C729" s="84"/>
      <c r="D729" s="60"/>
      <c r="E729" s="60"/>
      <c r="F729" s="85"/>
      <c r="G729" s="85"/>
      <c r="H729" s="60"/>
      <c r="I729" s="60"/>
      <c r="J729" s="60"/>
      <c r="K729" s="60"/>
      <c r="L729" s="60"/>
      <c r="M729" s="60"/>
      <c r="N729" s="60"/>
      <c r="O729" s="60"/>
      <c r="P729" s="60"/>
      <c r="Q729" s="60"/>
      <c r="R729" s="60"/>
      <c r="S729" s="60"/>
      <c r="T729" s="60"/>
      <c r="U729" s="60"/>
      <c r="V729" s="60"/>
      <c r="W729" s="60"/>
      <c r="X729" s="60"/>
      <c r="Y729" s="60"/>
      <c r="Z729" s="60"/>
    </row>
    <row r="730" ht="53.25" customHeight="1">
      <c r="A730" s="60"/>
      <c r="B730" s="60"/>
      <c r="C730" s="84"/>
      <c r="D730" s="60"/>
      <c r="E730" s="60"/>
      <c r="F730" s="85"/>
      <c r="G730" s="85"/>
      <c r="H730" s="60"/>
      <c r="I730" s="60"/>
      <c r="J730" s="60"/>
      <c r="K730" s="60"/>
      <c r="L730" s="60"/>
      <c r="M730" s="60"/>
      <c r="N730" s="60"/>
      <c r="O730" s="60"/>
      <c r="P730" s="60"/>
      <c r="Q730" s="60"/>
      <c r="R730" s="60"/>
      <c r="S730" s="60"/>
      <c r="T730" s="60"/>
      <c r="U730" s="60"/>
      <c r="V730" s="60"/>
      <c r="W730" s="60"/>
      <c r="X730" s="60"/>
      <c r="Y730" s="60"/>
      <c r="Z730" s="60"/>
    </row>
    <row r="731" ht="53.25" customHeight="1">
      <c r="A731" s="60"/>
      <c r="B731" s="60"/>
      <c r="C731" s="84"/>
      <c r="D731" s="60"/>
      <c r="E731" s="60"/>
      <c r="F731" s="85"/>
      <c r="G731" s="85"/>
      <c r="H731" s="60"/>
      <c r="I731" s="60"/>
      <c r="J731" s="60"/>
      <c r="K731" s="60"/>
      <c r="L731" s="60"/>
      <c r="M731" s="60"/>
      <c r="N731" s="60"/>
      <c r="O731" s="60"/>
      <c r="P731" s="60"/>
      <c r="Q731" s="60"/>
      <c r="R731" s="60"/>
      <c r="S731" s="60"/>
      <c r="T731" s="60"/>
      <c r="U731" s="60"/>
      <c r="V731" s="60"/>
      <c r="W731" s="60"/>
      <c r="X731" s="60"/>
      <c r="Y731" s="60"/>
      <c r="Z731" s="60"/>
    </row>
    <row r="732" ht="53.25" customHeight="1">
      <c r="A732" s="60"/>
      <c r="B732" s="60"/>
      <c r="C732" s="84"/>
      <c r="D732" s="60"/>
      <c r="E732" s="60"/>
      <c r="F732" s="85"/>
      <c r="G732" s="85"/>
      <c r="H732" s="60"/>
      <c r="I732" s="60"/>
      <c r="J732" s="60"/>
      <c r="K732" s="60"/>
      <c r="L732" s="60"/>
      <c r="M732" s="60"/>
      <c r="N732" s="60"/>
      <c r="O732" s="60"/>
      <c r="P732" s="60"/>
      <c r="Q732" s="60"/>
      <c r="R732" s="60"/>
      <c r="S732" s="60"/>
      <c r="T732" s="60"/>
      <c r="U732" s="60"/>
      <c r="V732" s="60"/>
      <c r="W732" s="60"/>
      <c r="X732" s="60"/>
      <c r="Y732" s="60"/>
      <c r="Z732" s="60"/>
    </row>
    <row r="733" ht="53.25" customHeight="1">
      <c r="A733" s="60"/>
      <c r="B733" s="60"/>
      <c r="C733" s="84"/>
      <c r="D733" s="60"/>
      <c r="E733" s="60"/>
      <c r="F733" s="85"/>
      <c r="G733" s="85"/>
      <c r="H733" s="60"/>
      <c r="I733" s="60"/>
      <c r="J733" s="60"/>
      <c r="K733" s="60"/>
      <c r="L733" s="60"/>
      <c r="M733" s="60"/>
      <c r="N733" s="60"/>
      <c r="O733" s="60"/>
      <c r="P733" s="60"/>
      <c r="Q733" s="60"/>
      <c r="R733" s="60"/>
      <c r="S733" s="60"/>
      <c r="T733" s="60"/>
      <c r="U733" s="60"/>
      <c r="V733" s="60"/>
      <c r="W733" s="60"/>
      <c r="X733" s="60"/>
      <c r="Y733" s="60"/>
      <c r="Z733" s="60"/>
    </row>
    <row r="734" ht="53.25" customHeight="1">
      <c r="A734" s="60"/>
      <c r="B734" s="60"/>
      <c r="C734" s="84"/>
      <c r="D734" s="60"/>
      <c r="E734" s="60"/>
      <c r="F734" s="85"/>
      <c r="G734" s="85"/>
      <c r="H734" s="60"/>
      <c r="I734" s="60"/>
      <c r="J734" s="60"/>
      <c r="K734" s="60"/>
      <c r="L734" s="60"/>
      <c r="M734" s="60"/>
      <c r="N734" s="60"/>
      <c r="O734" s="60"/>
      <c r="P734" s="60"/>
      <c r="Q734" s="60"/>
      <c r="R734" s="60"/>
      <c r="S734" s="60"/>
      <c r="T734" s="60"/>
      <c r="U734" s="60"/>
      <c r="V734" s="60"/>
      <c r="W734" s="60"/>
      <c r="X734" s="60"/>
      <c r="Y734" s="60"/>
      <c r="Z734" s="60"/>
    </row>
    <row r="735" ht="53.25" customHeight="1">
      <c r="A735" s="60"/>
      <c r="B735" s="60"/>
      <c r="C735" s="84"/>
      <c r="D735" s="60"/>
      <c r="E735" s="60"/>
      <c r="F735" s="85"/>
      <c r="G735" s="85"/>
      <c r="H735" s="60"/>
      <c r="I735" s="60"/>
      <c r="J735" s="60"/>
      <c r="K735" s="60"/>
      <c r="L735" s="60"/>
      <c r="M735" s="60"/>
      <c r="N735" s="60"/>
      <c r="O735" s="60"/>
      <c r="P735" s="60"/>
      <c r="Q735" s="60"/>
      <c r="R735" s="60"/>
      <c r="S735" s="60"/>
      <c r="T735" s="60"/>
      <c r="U735" s="60"/>
      <c r="V735" s="60"/>
      <c r="W735" s="60"/>
      <c r="X735" s="60"/>
      <c r="Y735" s="60"/>
      <c r="Z735" s="60"/>
    </row>
    <row r="736" ht="53.25" customHeight="1">
      <c r="A736" s="60"/>
      <c r="B736" s="60"/>
      <c r="C736" s="84"/>
      <c r="D736" s="60"/>
      <c r="E736" s="60"/>
      <c r="F736" s="85"/>
      <c r="G736" s="85"/>
      <c r="H736" s="60"/>
      <c r="I736" s="60"/>
      <c r="J736" s="60"/>
      <c r="K736" s="60"/>
      <c r="L736" s="60"/>
      <c r="M736" s="60"/>
      <c r="N736" s="60"/>
      <c r="O736" s="60"/>
      <c r="P736" s="60"/>
      <c r="Q736" s="60"/>
      <c r="R736" s="60"/>
      <c r="S736" s="60"/>
      <c r="T736" s="60"/>
      <c r="U736" s="60"/>
      <c r="V736" s="60"/>
      <c r="W736" s="60"/>
      <c r="X736" s="60"/>
      <c r="Y736" s="60"/>
      <c r="Z736" s="60"/>
    </row>
    <row r="737" ht="53.25" customHeight="1">
      <c r="A737" s="60"/>
      <c r="B737" s="60"/>
      <c r="C737" s="84"/>
      <c r="D737" s="60"/>
      <c r="E737" s="60"/>
      <c r="F737" s="85"/>
      <c r="G737" s="85"/>
      <c r="H737" s="60"/>
      <c r="I737" s="60"/>
      <c r="J737" s="60"/>
      <c r="K737" s="60"/>
      <c r="L737" s="60"/>
      <c r="M737" s="60"/>
      <c r="N737" s="60"/>
      <c r="O737" s="60"/>
      <c r="P737" s="60"/>
      <c r="Q737" s="60"/>
      <c r="R737" s="60"/>
      <c r="S737" s="60"/>
      <c r="T737" s="60"/>
      <c r="U737" s="60"/>
      <c r="V737" s="60"/>
      <c r="W737" s="60"/>
      <c r="X737" s="60"/>
      <c r="Y737" s="60"/>
      <c r="Z737" s="60"/>
    </row>
    <row r="738" ht="53.25" customHeight="1">
      <c r="A738" s="60"/>
      <c r="B738" s="60"/>
      <c r="C738" s="84"/>
      <c r="D738" s="60"/>
      <c r="E738" s="60"/>
      <c r="F738" s="85"/>
      <c r="G738" s="85"/>
      <c r="H738" s="60"/>
      <c r="I738" s="60"/>
      <c r="J738" s="60"/>
      <c r="K738" s="60"/>
      <c r="L738" s="60"/>
      <c r="M738" s="60"/>
      <c r="N738" s="60"/>
      <c r="O738" s="60"/>
      <c r="P738" s="60"/>
      <c r="Q738" s="60"/>
      <c r="R738" s="60"/>
      <c r="S738" s="60"/>
      <c r="T738" s="60"/>
      <c r="U738" s="60"/>
      <c r="V738" s="60"/>
      <c r="W738" s="60"/>
      <c r="X738" s="60"/>
      <c r="Y738" s="60"/>
      <c r="Z738" s="60"/>
    </row>
    <row r="739" ht="53.25" customHeight="1">
      <c r="A739" s="60"/>
      <c r="B739" s="60"/>
      <c r="C739" s="84"/>
      <c r="D739" s="60"/>
      <c r="E739" s="60"/>
      <c r="F739" s="85"/>
      <c r="G739" s="85"/>
      <c r="H739" s="60"/>
      <c r="I739" s="60"/>
      <c r="J739" s="60"/>
      <c r="K739" s="60"/>
      <c r="L739" s="60"/>
      <c r="M739" s="60"/>
      <c r="N739" s="60"/>
      <c r="O739" s="60"/>
      <c r="P739" s="60"/>
      <c r="Q739" s="60"/>
      <c r="R739" s="60"/>
      <c r="S739" s="60"/>
      <c r="T739" s="60"/>
      <c r="U739" s="60"/>
      <c r="V739" s="60"/>
      <c r="W739" s="60"/>
      <c r="X739" s="60"/>
      <c r="Y739" s="60"/>
      <c r="Z739" s="60"/>
    </row>
    <row r="740" ht="53.25" customHeight="1">
      <c r="A740" s="60"/>
      <c r="B740" s="60"/>
      <c r="C740" s="84"/>
      <c r="D740" s="60"/>
      <c r="E740" s="60"/>
      <c r="F740" s="85"/>
      <c r="G740" s="85"/>
      <c r="H740" s="60"/>
      <c r="I740" s="60"/>
      <c r="J740" s="60"/>
      <c r="K740" s="60"/>
      <c r="L740" s="60"/>
      <c r="M740" s="60"/>
      <c r="N740" s="60"/>
      <c r="O740" s="60"/>
      <c r="P740" s="60"/>
      <c r="Q740" s="60"/>
      <c r="R740" s="60"/>
      <c r="S740" s="60"/>
      <c r="T740" s="60"/>
      <c r="U740" s="60"/>
      <c r="V740" s="60"/>
      <c r="W740" s="60"/>
      <c r="X740" s="60"/>
      <c r="Y740" s="60"/>
      <c r="Z740" s="60"/>
    </row>
    <row r="741" ht="53.25" customHeight="1">
      <c r="A741" s="60"/>
      <c r="B741" s="60"/>
      <c r="C741" s="84"/>
      <c r="D741" s="60"/>
      <c r="E741" s="60"/>
      <c r="F741" s="85"/>
      <c r="G741" s="85"/>
      <c r="H741" s="60"/>
      <c r="I741" s="60"/>
      <c r="J741" s="60"/>
      <c r="K741" s="60"/>
      <c r="L741" s="60"/>
      <c r="M741" s="60"/>
      <c r="N741" s="60"/>
      <c r="O741" s="60"/>
      <c r="P741" s="60"/>
      <c r="Q741" s="60"/>
      <c r="R741" s="60"/>
      <c r="S741" s="60"/>
      <c r="T741" s="60"/>
      <c r="U741" s="60"/>
      <c r="V741" s="60"/>
      <c r="W741" s="60"/>
      <c r="X741" s="60"/>
      <c r="Y741" s="60"/>
      <c r="Z741" s="60"/>
    </row>
    <row r="742" ht="53.25" customHeight="1">
      <c r="A742" s="60"/>
      <c r="B742" s="60"/>
      <c r="C742" s="84"/>
      <c r="D742" s="60"/>
      <c r="E742" s="60"/>
      <c r="F742" s="85"/>
      <c r="G742" s="85"/>
      <c r="H742" s="60"/>
      <c r="I742" s="60"/>
      <c r="J742" s="60"/>
      <c r="K742" s="60"/>
      <c r="L742" s="60"/>
      <c r="M742" s="60"/>
      <c r="N742" s="60"/>
      <c r="O742" s="60"/>
      <c r="P742" s="60"/>
      <c r="Q742" s="60"/>
      <c r="R742" s="60"/>
      <c r="S742" s="60"/>
      <c r="T742" s="60"/>
      <c r="U742" s="60"/>
      <c r="V742" s="60"/>
      <c r="W742" s="60"/>
      <c r="X742" s="60"/>
      <c r="Y742" s="60"/>
      <c r="Z742" s="60"/>
    </row>
    <row r="743" ht="53.25" customHeight="1">
      <c r="A743" s="60"/>
      <c r="B743" s="60"/>
      <c r="C743" s="84"/>
      <c r="D743" s="60"/>
      <c r="E743" s="60"/>
      <c r="F743" s="85"/>
      <c r="G743" s="85"/>
      <c r="H743" s="60"/>
      <c r="I743" s="60"/>
      <c r="J743" s="60"/>
      <c r="K743" s="60"/>
      <c r="L743" s="60"/>
      <c r="M743" s="60"/>
      <c r="N743" s="60"/>
      <c r="O743" s="60"/>
      <c r="P743" s="60"/>
      <c r="Q743" s="60"/>
      <c r="R743" s="60"/>
      <c r="S743" s="60"/>
      <c r="T743" s="60"/>
      <c r="U743" s="60"/>
      <c r="V743" s="60"/>
      <c r="W743" s="60"/>
      <c r="X743" s="60"/>
      <c r="Y743" s="60"/>
      <c r="Z743" s="60"/>
    </row>
    <row r="744" ht="53.25" customHeight="1">
      <c r="A744" s="60"/>
      <c r="B744" s="60"/>
      <c r="C744" s="84"/>
      <c r="D744" s="60"/>
      <c r="E744" s="60"/>
      <c r="F744" s="85"/>
      <c r="G744" s="85"/>
      <c r="H744" s="60"/>
      <c r="I744" s="60"/>
      <c r="J744" s="60"/>
      <c r="K744" s="60"/>
      <c r="L744" s="60"/>
      <c r="M744" s="60"/>
      <c r="N744" s="60"/>
      <c r="O744" s="60"/>
      <c r="P744" s="60"/>
      <c r="Q744" s="60"/>
      <c r="R744" s="60"/>
      <c r="S744" s="60"/>
      <c r="T744" s="60"/>
      <c r="U744" s="60"/>
      <c r="V744" s="60"/>
      <c r="W744" s="60"/>
      <c r="X744" s="60"/>
      <c r="Y744" s="60"/>
      <c r="Z744" s="60"/>
    </row>
    <row r="745" ht="53.25" customHeight="1">
      <c r="A745" s="60"/>
      <c r="B745" s="60"/>
      <c r="C745" s="84"/>
      <c r="D745" s="60"/>
      <c r="E745" s="60"/>
      <c r="F745" s="85"/>
      <c r="G745" s="85"/>
      <c r="H745" s="60"/>
      <c r="I745" s="60"/>
      <c r="J745" s="60"/>
      <c r="K745" s="60"/>
      <c r="L745" s="60"/>
      <c r="M745" s="60"/>
      <c r="N745" s="60"/>
      <c r="O745" s="60"/>
      <c r="P745" s="60"/>
      <c r="Q745" s="60"/>
      <c r="R745" s="60"/>
      <c r="S745" s="60"/>
      <c r="T745" s="60"/>
      <c r="U745" s="60"/>
      <c r="V745" s="60"/>
      <c r="W745" s="60"/>
      <c r="X745" s="60"/>
      <c r="Y745" s="60"/>
      <c r="Z745" s="60"/>
    </row>
    <row r="746" ht="53.25" customHeight="1">
      <c r="A746" s="60"/>
      <c r="B746" s="60"/>
      <c r="C746" s="84"/>
      <c r="D746" s="60"/>
      <c r="E746" s="60"/>
      <c r="F746" s="85"/>
      <c r="G746" s="85"/>
      <c r="H746" s="60"/>
      <c r="I746" s="60"/>
      <c r="J746" s="60"/>
      <c r="K746" s="60"/>
      <c r="L746" s="60"/>
      <c r="M746" s="60"/>
      <c r="N746" s="60"/>
      <c r="O746" s="60"/>
      <c r="P746" s="60"/>
      <c r="Q746" s="60"/>
      <c r="R746" s="60"/>
      <c r="S746" s="60"/>
      <c r="T746" s="60"/>
      <c r="U746" s="60"/>
      <c r="V746" s="60"/>
      <c r="W746" s="60"/>
      <c r="X746" s="60"/>
      <c r="Y746" s="60"/>
      <c r="Z746" s="60"/>
    </row>
    <row r="747" ht="53.25" customHeight="1">
      <c r="A747" s="60"/>
      <c r="B747" s="60"/>
      <c r="C747" s="84"/>
      <c r="D747" s="60"/>
      <c r="E747" s="60"/>
      <c r="F747" s="85"/>
      <c r="G747" s="85"/>
      <c r="H747" s="60"/>
      <c r="I747" s="60"/>
      <c r="J747" s="60"/>
      <c r="K747" s="60"/>
      <c r="L747" s="60"/>
      <c r="M747" s="60"/>
      <c r="N747" s="60"/>
      <c r="O747" s="60"/>
      <c r="P747" s="60"/>
      <c r="Q747" s="60"/>
      <c r="R747" s="60"/>
      <c r="S747" s="60"/>
      <c r="T747" s="60"/>
      <c r="U747" s="60"/>
      <c r="V747" s="60"/>
      <c r="W747" s="60"/>
      <c r="X747" s="60"/>
      <c r="Y747" s="60"/>
      <c r="Z747" s="60"/>
    </row>
    <row r="748" ht="53.25" customHeight="1">
      <c r="A748" s="60"/>
      <c r="B748" s="60"/>
      <c r="C748" s="84"/>
      <c r="D748" s="60"/>
      <c r="E748" s="60"/>
      <c r="F748" s="85"/>
      <c r="G748" s="85"/>
      <c r="H748" s="60"/>
      <c r="I748" s="60"/>
      <c r="J748" s="60"/>
      <c r="K748" s="60"/>
      <c r="L748" s="60"/>
      <c r="M748" s="60"/>
      <c r="N748" s="60"/>
      <c r="O748" s="60"/>
      <c r="P748" s="60"/>
      <c r="Q748" s="60"/>
      <c r="R748" s="60"/>
      <c r="S748" s="60"/>
      <c r="T748" s="60"/>
      <c r="U748" s="60"/>
      <c r="V748" s="60"/>
      <c r="W748" s="60"/>
      <c r="X748" s="60"/>
      <c r="Y748" s="60"/>
      <c r="Z748" s="60"/>
    </row>
    <row r="749" ht="53.25" customHeight="1">
      <c r="A749" s="60"/>
      <c r="B749" s="60"/>
      <c r="C749" s="84"/>
      <c r="D749" s="60"/>
      <c r="E749" s="60"/>
      <c r="F749" s="85"/>
      <c r="G749" s="85"/>
      <c r="H749" s="60"/>
      <c r="I749" s="60"/>
      <c r="J749" s="60"/>
      <c r="K749" s="60"/>
      <c r="L749" s="60"/>
      <c r="M749" s="60"/>
      <c r="N749" s="60"/>
      <c r="O749" s="60"/>
      <c r="P749" s="60"/>
      <c r="Q749" s="60"/>
      <c r="R749" s="60"/>
      <c r="S749" s="60"/>
      <c r="T749" s="60"/>
      <c r="U749" s="60"/>
      <c r="V749" s="60"/>
      <c r="W749" s="60"/>
      <c r="X749" s="60"/>
      <c r="Y749" s="60"/>
      <c r="Z749" s="60"/>
    </row>
    <row r="750" ht="53.25" customHeight="1">
      <c r="A750" s="60"/>
      <c r="B750" s="60"/>
      <c r="C750" s="84"/>
      <c r="D750" s="60"/>
      <c r="E750" s="60"/>
      <c r="F750" s="85"/>
      <c r="G750" s="85"/>
      <c r="H750" s="60"/>
      <c r="I750" s="60"/>
      <c r="J750" s="60"/>
      <c r="K750" s="60"/>
      <c r="L750" s="60"/>
      <c r="M750" s="60"/>
      <c r="N750" s="60"/>
      <c r="O750" s="60"/>
      <c r="P750" s="60"/>
      <c r="Q750" s="60"/>
      <c r="R750" s="60"/>
      <c r="S750" s="60"/>
      <c r="T750" s="60"/>
      <c r="U750" s="60"/>
      <c r="V750" s="60"/>
      <c r="W750" s="60"/>
      <c r="X750" s="60"/>
      <c r="Y750" s="60"/>
      <c r="Z750" s="60"/>
    </row>
    <row r="751" ht="53.25" customHeight="1">
      <c r="A751" s="60"/>
      <c r="B751" s="60"/>
      <c r="C751" s="84"/>
      <c r="D751" s="60"/>
      <c r="E751" s="60"/>
      <c r="F751" s="85"/>
      <c r="G751" s="85"/>
      <c r="H751" s="60"/>
      <c r="I751" s="60"/>
      <c r="J751" s="60"/>
      <c r="K751" s="60"/>
      <c r="L751" s="60"/>
      <c r="M751" s="60"/>
      <c r="N751" s="60"/>
      <c r="O751" s="60"/>
      <c r="P751" s="60"/>
      <c r="Q751" s="60"/>
      <c r="R751" s="60"/>
      <c r="S751" s="60"/>
      <c r="T751" s="60"/>
      <c r="U751" s="60"/>
      <c r="V751" s="60"/>
      <c r="W751" s="60"/>
      <c r="X751" s="60"/>
      <c r="Y751" s="60"/>
      <c r="Z751" s="60"/>
    </row>
    <row r="752" ht="53.25" customHeight="1">
      <c r="A752" s="60"/>
      <c r="B752" s="60"/>
      <c r="C752" s="84"/>
      <c r="D752" s="60"/>
      <c r="E752" s="60"/>
      <c r="F752" s="85"/>
      <c r="G752" s="85"/>
      <c r="H752" s="60"/>
      <c r="I752" s="60"/>
      <c r="J752" s="60"/>
      <c r="K752" s="60"/>
      <c r="L752" s="60"/>
      <c r="M752" s="60"/>
      <c r="N752" s="60"/>
      <c r="O752" s="60"/>
      <c r="P752" s="60"/>
      <c r="Q752" s="60"/>
      <c r="R752" s="60"/>
      <c r="S752" s="60"/>
      <c r="T752" s="60"/>
      <c r="U752" s="60"/>
      <c r="V752" s="60"/>
      <c r="W752" s="60"/>
      <c r="X752" s="60"/>
      <c r="Y752" s="60"/>
      <c r="Z752" s="60"/>
    </row>
    <row r="753" ht="53.25" customHeight="1">
      <c r="A753" s="60"/>
      <c r="B753" s="60"/>
      <c r="C753" s="84"/>
      <c r="D753" s="60"/>
      <c r="E753" s="60"/>
      <c r="F753" s="85"/>
      <c r="G753" s="85"/>
      <c r="H753" s="60"/>
      <c r="I753" s="60"/>
      <c r="J753" s="60"/>
      <c r="K753" s="60"/>
      <c r="L753" s="60"/>
      <c r="M753" s="60"/>
      <c r="N753" s="60"/>
      <c r="O753" s="60"/>
      <c r="P753" s="60"/>
      <c r="Q753" s="60"/>
      <c r="R753" s="60"/>
      <c r="S753" s="60"/>
      <c r="T753" s="60"/>
      <c r="U753" s="60"/>
      <c r="V753" s="60"/>
      <c r="W753" s="60"/>
      <c r="X753" s="60"/>
      <c r="Y753" s="60"/>
      <c r="Z753" s="60"/>
    </row>
    <row r="754" ht="53.25" customHeight="1">
      <c r="A754" s="60"/>
      <c r="B754" s="60"/>
      <c r="C754" s="84"/>
      <c r="D754" s="60"/>
      <c r="E754" s="60"/>
      <c r="F754" s="85"/>
      <c r="G754" s="85"/>
      <c r="H754" s="60"/>
      <c r="I754" s="60"/>
      <c r="J754" s="60"/>
      <c r="K754" s="60"/>
      <c r="L754" s="60"/>
      <c r="M754" s="60"/>
      <c r="N754" s="60"/>
      <c r="O754" s="60"/>
      <c r="P754" s="60"/>
      <c r="Q754" s="60"/>
      <c r="R754" s="60"/>
      <c r="S754" s="60"/>
      <c r="T754" s="60"/>
      <c r="U754" s="60"/>
      <c r="V754" s="60"/>
      <c r="W754" s="60"/>
      <c r="X754" s="60"/>
      <c r="Y754" s="60"/>
      <c r="Z754" s="60"/>
    </row>
    <row r="755" ht="53.25" customHeight="1">
      <c r="A755" s="60"/>
      <c r="B755" s="60"/>
      <c r="C755" s="84"/>
      <c r="D755" s="60"/>
      <c r="E755" s="60"/>
      <c r="F755" s="85"/>
      <c r="G755" s="85"/>
      <c r="H755" s="60"/>
      <c r="I755" s="60"/>
      <c r="J755" s="60"/>
      <c r="K755" s="60"/>
      <c r="L755" s="60"/>
      <c r="M755" s="60"/>
      <c r="N755" s="60"/>
      <c r="O755" s="60"/>
      <c r="P755" s="60"/>
      <c r="Q755" s="60"/>
      <c r="R755" s="60"/>
      <c r="S755" s="60"/>
      <c r="T755" s="60"/>
      <c r="U755" s="60"/>
      <c r="V755" s="60"/>
      <c r="W755" s="60"/>
      <c r="X755" s="60"/>
      <c r="Y755" s="60"/>
      <c r="Z755" s="60"/>
    </row>
    <row r="756" ht="53.25" customHeight="1">
      <c r="A756" s="60"/>
      <c r="B756" s="60"/>
      <c r="C756" s="84"/>
      <c r="D756" s="60"/>
      <c r="E756" s="60"/>
      <c r="F756" s="85"/>
      <c r="G756" s="85"/>
      <c r="H756" s="60"/>
      <c r="I756" s="60"/>
      <c r="J756" s="60"/>
      <c r="K756" s="60"/>
      <c r="L756" s="60"/>
      <c r="M756" s="60"/>
      <c r="N756" s="60"/>
      <c r="O756" s="60"/>
      <c r="P756" s="60"/>
      <c r="Q756" s="60"/>
      <c r="R756" s="60"/>
      <c r="S756" s="60"/>
      <c r="T756" s="60"/>
      <c r="U756" s="60"/>
      <c r="V756" s="60"/>
      <c r="W756" s="60"/>
      <c r="X756" s="60"/>
      <c r="Y756" s="60"/>
      <c r="Z756" s="60"/>
    </row>
    <row r="757" ht="53.25" customHeight="1">
      <c r="A757" s="60"/>
      <c r="B757" s="60"/>
      <c r="C757" s="84"/>
      <c r="D757" s="60"/>
      <c r="E757" s="60"/>
      <c r="F757" s="85"/>
      <c r="G757" s="85"/>
      <c r="H757" s="60"/>
      <c r="I757" s="60"/>
      <c r="J757" s="60"/>
      <c r="K757" s="60"/>
      <c r="L757" s="60"/>
      <c r="M757" s="60"/>
      <c r="N757" s="60"/>
      <c r="O757" s="60"/>
      <c r="P757" s="60"/>
      <c r="Q757" s="60"/>
      <c r="R757" s="60"/>
      <c r="S757" s="60"/>
      <c r="T757" s="60"/>
      <c r="U757" s="60"/>
      <c r="V757" s="60"/>
      <c r="W757" s="60"/>
      <c r="X757" s="60"/>
      <c r="Y757" s="60"/>
      <c r="Z757" s="60"/>
    </row>
    <row r="758" ht="53.25" customHeight="1">
      <c r="A758" s="60"/>
      <c r="B758" s="60"/>
      <c r="C758" s="84"/>
      <c r="D758" s="60"/>
      <c r="E758" s="60"/>
      <c r="F758" s="85"/>
      <c r="G758" s="85"/>
      <c r="H758" s="60"/>
      <c r="I758" s="60"/>
      <c r="J758" s="60"/>
      <c r="K758" s="60"/>
      <c r="L758" s="60"/>
      <c r="M758" s="60"/>
      <c r="N758" s="60"/>
      <c r="O758" s="60"/>
      <c r="P758" s="60"/>
      <c r="Q758" s="60"/>
      <c r="R758" s="60"/>
      <c r="S758" s="60"/>
      <c r="T758" s="60"/>
      <c r="U758" s="60"/>
      <c r="V758" s="60"/>
      <c r="W758" s="60"/>
      <c r="X758" s="60"/>
      <c r="Y758" s="60"/>
      <c r="Z758" s="60"/>
    </row>
    <row r="759" ht="53.25" customHeight="1">
      <c r="A759" s="60"/>
      <c r="B759" s="60"/>
      <c r="C759" s="84"/>
      <c r="D759" s="60"/>
      <c r="E759" s="60"/>
      <c r="F759" s="85"/>
      <c r="G759" s="85"/>
      <c r="H759" s="60"/>
      <c r="I759" s="60"/>
      <c r="J759" s="60"/>
      <c r="K759" s="60"/>
      <c r="L759" s="60"/>
      <c r="M759" s="60"/>
      <c r="N759" s="60"/>
      <c r="O759" s="60"/>
      <c r="P759" s="60"/>
      <c r="Q759" s="60"/>
      <c r="R759" s="60"/>
      <c r="S759" s="60"/>
      <c r="T759" s="60"/>
      <c r="U759" s="60"/>
      <c r="V759" s="60"/>
      <c r="W759" s="60"/>
      <c r="X759" s="60"/>
      <c r="Y759" s="60"/>
      <c r="Z759" s="60"/>
    </row>
    <row r="760" ht="53.25" customHeight="1">
      <c r="A760" s="60"/>
      <c r="B760" s="60"/>
      <c r="C760" s="84"/>
      <c r="D760" s="60"/>
      <c r="E760" s="60"/>
      <c r="F760" s="85"/>
      <c r="G760" s="85"/>
      <c r="H760" s="60"/>
      <c r="I760" s="60"/>
      <c r="J760" s="60"/>
      <c r="K760" s="60"/>
      <c r="L760" s="60"/>
      <c r="M760" s="60"/>
      <c r="N760" s="60"/>
      <c r="O760" s="60"/>
      <c r="P760" s="60"/>
      <c r="Q760" s="60"/>
      <c r="R760" s="60"/>
      <c r="S760" s="60"/>
      <c r="T760" s="60"/>
      <c r="U760" s="60"/>
      <c r="V760" s="60"/>
      <c r="W760" s="60"/>
      <c r="X760" s="60"/>
      <c r="Y760" s="60"/>
      <c r="Z760" s="60"/>
    </row>
    <row r="761" ht="53.25" customHeight="1">
      <c r="A761" s="60"/>
      <c r="B761" s="60"/>
      <c r="C761" s="84"/>
      <c r="D761" s="60"/>
      <c r="E761" s="60"/>
      <c r="F761" s="85"/>
      <c r="G761" s="85"/>
      <c r="H761" s="60"/>
      <c r="I761" s="60"/>
      <c r="J761" s="60"/>
      <c r="K761" s="60"/>
      <c r="L761" s="60"/>
      <c r="M761" s="60"/>
      <c r="N761" s="60"/>
      <c r="O761" s="60"/>
      <c r="P761" s="60"/>
      <c r="Q761" s="60"/>
      <c r="R761" s="60"/>
      <c r="S761" s="60"/>
      <c r="T761" s="60"/>
      <c r="U761" s="60"/>
      <c r="V761" s="60"/>
      <c r="W761" s="60"/>
      <c r="X761" s="60"/>
      <c r="Y761" s="60"/>
      <c r="Z761" s="60"/>
    </row>
    <row r="762" ht="53.25" customHeight="1">
      <c r="A762" s="60"/>
      <c r="B762" s="60"/>
      <c r="C762" s="84"/>
      <c r="D762" s="60"/>
      <c r="E762" s="60"/>
      <c r="F762" s="85"/>
      <c r="G762" s="85"/>
      <c r="H762" s="60"/>
      <c r="I762" s="60"/>
      <c r="J762" s="60"/>
      <c r="K762" s="60"/>
      <c r="L762" s="60"/>
      <c r="M762" s="60"/>
      <c r="N762" s="60"/>
      <c r="O762" s="60"/>
      <c r="P762" s="60"/>
      <c r="Q762" s="60"/>
      <c r="R762" s="60"/>
      <c r="S762" s="60"/>
      <c r="T762" s="60"/>
      <c r="U762" s="60"/>
      <c r="V762" s="60"/>
      <c r="W762" s="60"/>
      <c r="X762" s="60"/>
      <c r="Y762" s="60"/>
      <c r="Z762" s="60"/>
    </row>
    <row r="763" ht="53.25" customHeight="1">
      <c r="A763" s="60"/>
      <c r="B763" s="60"/>
      <c r="C763" s="84"/>
      <c r="D763" s="60"/>
      <c r="E763" s="60"/>
      <c r="F763" s="85"/>
      <c r="G763" s="85"/>
      <c r="H763" s="60"/>
      <c r="I763" s="60"/>
      <c r="J763" s="60"/>
      <c r="K763" s="60"/>
      <c r="L763" s="60"/>
      <c r="M763" s="60"/>
      <c r="N763" s="60"/>
      <c r="O763" s="60"/>
      <c r="P763" s="60"/>
      <c r="Q763" s="60"/>
      <c r="R763" s="60"/>
      <c r="S763" s="60"/>
      <c r="T763" s="60"/>
      <c r="U763" s="60"/>
      <c r="V763" s="60"/>
      <c r="W763" s="60"/>
      <c r="X763" s="60"/>
      <c r="Y763" s="60"/>
      <c r="Z763" s="60"/>
    </row>
    <row r="764" ht="53.25" customHeight="1">
      <c r="A764" s="60"/>
      <c r="B764" s="60"/>
      <c r="C764" s="84"/>
      <c r="D764" s="60"/>
      <c r="E764" s="60"/>
      <c r="F764" s="85"/>
      <c r="G764" s="85"/>
      <c r="H764" s="60"/>
      <c r="I764" s="60"/>
      <c r="J764" s="60"/>
      <c r="K764" s="60"/>
      <c r="L764" s="60"/>
      <c r="M764" s="60"/>
      <c r="N764" s="60"/>
      <c r="O764" s="60"/>
      <c r="P764" s="60"/>
      <c r="Q764" s="60"/>
      <c r="R764" s="60"/>
      <c r="S764" s="60"/>
      <c r="T764" s="60"/>
      <c r="U764" s="60"/>
      <c r="V764" s="60"/>
      <c r="W764" s="60"/>
      <c r="X764" s="60"/>
      <c r="Y764" s="60"/>
      <c r="Z764" s="60"/>
    </row>
    <row r="765" ht="53.25" customHeight="1">
      <c r="A765" s="60"/>
      <c r="B765" s="60"/>
      <c r="C765" s="84"/>
      <c r="D765" s="60"/>
      <c r="E765" s="60"/>
      <c r="F765" s="85"/>
      <c r="G765" s="85"/>
      <c r="H765" s="60"/>
      <c r="I765" s="60"/>
      <c r="J765" s="60"/>
      <c r="K765" s="60"/>
      <c r="L765" s="60"/>
      <c r="M765" s="60"/>
      <c r="N765" s="60"/>
      <c r="O765" s="60"/>
      <c r="P765" s="60"/>
      <c r="Q765" s="60"/>
      <c r="R765" s="60"/>
      <c r="S765" s="60"/>
      <c r="T765" s="60"/>
      <c r="U765" s="60"/>
      <c r="V765" s="60"/>
      <c r="W765" s="60"/>
      <c r="X765" s="60"/>
      <c r="Y765" s="60"/>
      <c r="Z765" s="60"/>
    </row>
    <row r="766" ht="53.25" customHeight="1">
      <c r="A766" s="60"/>
      <c r="B766" s="60"/>
      <c r="C766" s="84"/>
      <c r="D766" s="60"/>
      <c r="E766" s="60"/>
      <c r="F766" s="85"/>
      <c r="G766" s="85"/>
      <c r="H766" s="60"/>
      <c r="I766" s="60"/>
      <c r="J766" s="60"/>
      <c r="K766" s="60"/>
      <c r="L766" s="60"/>
      <c r="M766" s="60"/>
      <c r="N766" s="60"/>
      <c r="O766" s="60"/>
      <c r="P766" s="60"/>
      <c r="Q766" s="60"/>
      <c r="R766" s="60"/>
      <c r="S766" s="60"/>
      <c r="T766" s="60"/>
      <c r="U766" s="60"/>
      <c r="V766" s="60"/>
      <c r="W766" s="60"/>
      <c r="X766" s="60"/>
      <c r="Y766" s="60"/>
      <c r="Z766" s="60"/>
    </row>
    <row r="767" ht="53.25" customHeight="1">
      <c r="A767" s="60"/>
      <c r="B767" s="60"/>
      <c r="C767" s="84"/>
      <c r="D767" s="60"/>
      <c r="E767" s="60"/>
      <c r="F767" s="85"/>
      <c r="G767" s="85"/>
      <c r="H767" s="60"/>
      <c r="I767" s="60"/>
      <c r="J767" s="60"/>
      <c r="K767" s="60"/>
      <c r="L767" s="60"/>
      <c r="M767" s="60"/>
      <c r="N767" s="60"/>
      <c r="O767" s="60"/>
      <c r="P767" s="60"/>
      <c r="Q767" s="60"/>
      <c r="R767" s="60"/>
      <c r="S767" s="60"/>
      <c r="T767" s="60"/>
      <c r="U767" s="60"/>
      <c r="V767" s="60"/>
      <c r="W767" s="60"/>
      <c r="X767" s="60"/>
      <c r="Y767" s="60"/>
      <c r="Z767" s="60"/>
    </row>
    <row r="768" ht="53.25" customHeight="1">
      <c r="A768" s="60"/>
      <c r="B768" s="60"/>
      <c r="C768" s="84"/>
      <c r="D768" s="60"/>
      <c r="E768" s="60"/>
      <c r="F768" s="85"/>
      <c r="G768" s="85"/>
      <c r="H768" s="60"/>
      <c r="I768" s="60"/>
      <c r="J768" s="60"/>
      <c r="K768" s="60"/>
      <c r="L768" s="60"/>
      <c r="M768" s="60"/>
      <c r="N768" s="60"/>
      <c r="O768" s="60"/>
      <c r="P768" s="60"/>
      <c r="Q768" s="60"/>
      <c r="R768" s="60"/>
      <c r="S768" s="60"/>
      <c r="T768" s="60"/>
      <c r="U768" s="60"/>
      <c r="V768" s="60"/>
      <c r="W768" s="60"/>
      <c r="X768" s="60"/>
      <c r="Y768" s="60"/>
      <c r="Z768" s="60"/>
    </row>
    <row r="769" ht="53.25" customHeight="1">
      <c r="A769" s="60"/>
      <c r="B769" s="60"/>
      <c r="C769" s="84"/>
      <c r="D769" s="60"/>
      <c r="E769" s="60"/>
      <c r="F769" s="85"/>
      <c r="G769" s="85"/>
      <c r="H769" s="60"/>
      <c r="I769" s="60"/>
      <c r="J769" s="60"/>
      <c r="K769" s="60"/>
      <c r="L769" s="60"/>
      <c r="M769" s="60"/>
      <c r="N769" s="60"/>
      <c r="O769" s="60"/>
      <c r="P769" s="60"/>
      <c r="Q769" s="60"/>
      <c r="R769" s="60"/>
      <c r="S769" s="60"/>
      <c r="T769" s="60"/>
      <c r="U769" s="60"/>
      <c r="V769" s="60"/>
      <c r="W769" s="60"/>
      <c r="X769" s="60"/>
      <c r="Y769" s="60"/>
      <c r="Z769" s="60"/>
    </row>
    <row r="770" ht="53.25" customHeight="1">
      <c r="A770" s="60"/>
      <c r="B770" s="60"/>
      <c r="C770" s="84"/>
      <c r="D770" s="60"/>
      <c r="E770" s="60"/>
      <c r="F770" s="85"/>
      <c r="G770" s="85"/>
      <c r="H770" s="60"/>
      <c r="I770" s="60"/>
      <c r="J770" s="60"/>
      <c r="K770" s="60"/>
      <c r="L770" s="60"/>
      <c r="M770" s="60"/>
      <c r="N770" s="60"/>
      <c r="O770" s="60"/>
      <c r="P770" s="60"/>
      <c r="Q770" s="60"/>
      <c r="R770" s="60"/>
      <c r="S770" s="60"/>
      <c r="T770" s="60"/>
      <c r="U770" s="60"/>
      <c r="V770" s="60"/>
      <c r="W770" s="60"/>
      <c r="X770" s="60"/>
      <c r="Y770" s="60"/>
      <c r="Z770" s="60"/>
    </row>
    <row r="771" ht="53.25" customHeight="1">
      <c r="A771" s="60"/>
      <c r="B771" s="60"/>
      <c r="C771" s="84"/>
      <c r="D771" s="60"/>
      <c r="E771" s="60"/>
      <c r="F771" s="85"/>
      <c r="G771" s="85"/>
      <c r="H771" s="60"/>
      <c r="I771" s="60"/>
      <c r="J771" s="60"/>
      <c r="K771" s="60"/>
      <c r="L771" s="60"/>
      <c r="M771" s="60"/>
      <c r="N771" s="60"/>
      <c r="O771" s="60"/>
      <c r="P771" s="60"/>
      <c r="Q771" s="60"/>
      <c r="R771" s="60"/>
      <c r="S771" s="60"/>
      <c r="T771" s="60"/>
      <c r="U771" s="60"/>
      <c r="V771" s="60"/>
      <c r="W771" s="60"/>
      <c r="X771" s="60"/>
      <c r="Y771" s="60"/>
      <c r="Z771" s="60"/>
    </row>
    <row r="772" ht="53.25" customHeight="1">
      <c r="A772" s="60"/>
      <c r="B772" s="60"/>
      <c r="C772" s="84"/>
      <c r="D772" s="60"/>
      <c r="E772" s="60"/>
      <c r="F772" s="85"/>
      <c r="G772" s="85"/>
      <c r="H772" s="60"/>
      <c r="I772" s="60"/>
      <c r="J772" s="60"/>
      <c r="K772" s="60"/>
      <c r="L772" s="60"/>
      <c r="M772" s="60"/>
      <c r="N772" s="60"/>
      <c r="O772" s="60"/>
      <c r="P772" s="60"/>
      <c r="Q772" s="60"/>
      <c r="R772" s="60"/>
      <c r="S772" s="60"/>
      <c r="T772" s="60"/>
      <c r="U772" s="60"/>
      <c r="V772" s="60"/>
      <c r="W772" s="60"/>
      <c r="X772" s="60"/>
      <c r="Y772" s="60"/>
      <c r="Z772" s="60"/>
    </row>
    <row r="773" ht="53.25" customHeight="1">
      <c r="A773" s="60"/>
      <c r="B773" s="60"/>
      <c r="C773" s="84"/>
      <c r="D773" s="60"/>
      <c r="E773" s="60"/>
      <c r="F773" s="85"/>
      <c r="G773" s="85"/>
      <c r="H773" s="60"/>
      <c r="I773" s="60"/>
      <c r="J773" s="60"/>
      <c r="K773" s="60"/>
      <c r="L773" s="60"/>
      <c r="M773" s="60"/>
      <c r="N773" s="60"/>
      <c r="O773" s="60"/>
      <c r="P773" s="60"/>
      <c r="Q773" s="60"/>
      <c r="R773" s="60"/>
      <c r="S773" s="60"/>
      <c r="T773" s="60"/>
      <c r="U773" s="60"/>
      <c r="V773" s="60"/>
      <c r="W773" s="60"/>
      <c r="X773" s="60"/>
      <c r="Y773" s="60"/>
      <c r="Z773" s="60"/>
    </row>
    <row r="774" ht="53.25" customHeight="1">
      <c r="A774" s="60"/>
      <c r="B774" s="60"/>
      <c r="C774" s="84"/>
      <c r="D774" s="60"/>
      <c r="E774" s="60"/>
      <c r="F774" s="85"/>
      <c r="G774" s="85"/>
      <c r="H774" s="60"/>
      <c r="I774" s="60"/>
      <c r="J774" s="60"/>
      <c r="K774" s="60"/>
      <c r="L774" s="60"/>
      <c r="M774" s="60"/>
      <c r="N774" s="60"/>
      <c r="O774" s="60"/>
      <c r="P774" s="60"/>
      <c r="Q774" s="60"/>
      <c r="R774" s="60"/>
      <c r="S774" s="60"/>
      <c r="T774" s="60"/>
      <c r="U774" s="60"/>
      <c r="V774" s="60"/>
      <c r="W774" s="60"/>
      <c r="X774" s="60"/>
      <c r="Y774" s="60"/>
      <c r="Z774" s="60"/>
    </row>
    <row r="775" ht="53.25" customHeight="1">
      <c r="A775" s="60"/>
      <c r="B775" s="60"/>
      <c r="C775" s="84"/>
      <c r="D775" s="60"/>
      <c r="E775" s="60"/>
      <c r="F775" s="85"/>
      <c r="G775" s="85"/>
      <c r="H775" s="60"/>
      <c r="I775" s="60"/>
      <c r="J775" s="60"/>
      <c r="K775" s="60"/>
      <c r="L775" s="60"/>
      <c r="M775" s="60"/>
      <c r="N775" s="60"/>
      <c r="O775" s="60"/>
      <c r="P775" s="60"/>
      <c r="Q775" s="60"/>
      <c r="R775" s="60"/>
      <c r="S775" s="60"/>
      <c r="T775" s="60"/>
      <c r="U775" s="60"/>
      <c r="V775" s="60"/>
      <c r="W775" s="60"/>
      <c r="X775" s="60"/>
      <c r="Y775" s="60"/>
      <c r="Z775" s="60"/>
    </row>
    <row r="776" ht="53.25" customHeight="1">
      <c r="A776" s="60"/>
      <c r="B776" s="60"/>
      <c r="C776" s="84"/>
      <c r="D776" s="60"/>
      <c r="E776" s="60"/>
      <c r="F776" s="85"/>
      <c r="G776" s="85"/>
      <c r="H776" s="60"/>
      <c r="I776" s="60"/>
      <c r="J776" s="60"/>
      <c r="K776" s="60"/>
      <c r="L776" s="60"/>
      <c r="M776" s="60"/>
      <c r="N776" s="60"/>
      <c r="O776" s="60"/>
      <c r="P776" s="60"/>
      <c r="Q776" s="60"/>
      <c r="R776" s="60"/>
      <c r="S776" s="60"/>
      <c r="T776" s="60"/>
      <c r="U776" s="60"/>
      <c r="V776" s="60"/>
      <c r="W776" s="60"/>
      <c r="X776" s="60"/>
      <c r="Y776" s="60"/>
      <c r="Z776" s="60"/>
    </row>
    <row r="777" ht="53.25" customHeight="1">
      <c r="A777" s="60"/>
      <c r="B777" s="60"/>
      <c r="C777" s="84"/>
      <c r="D777" s="60"/>
      <c r="E777" s="60"/>
      <c r="F777" s="85"/>
      <c r="G777" s="85"/>
      <c r="H777" s="60"/>
      <c r="I777" s="60"/>
      <c r="J777" s="60"/>
      <c r="K777" s="60"/>
      <c r="L777" s="60"/>
      <c r="M777" s="60"/>
      <c r="N777" s="60"/>
      <c r="O777" s="60"/>
      <c r="P777" s="60"/>
      <c r="Q777" s="60"/>
      <c r="R777" s="60"/>
      <c r="S777" s="60"/>
      <c r="T777" s="60"/>
      <c r="U777" s="60"/>
      <c r="V777" s="60"/>
      <c r="W777" s="60"/>
      <c r="X777" s="60"/>
      <c r="Y777" s="60"/>
      <c r="Z777" s="60"/>
    </row>
    <row r="778" ht="53.25" customHeight="1">
      <c r="A778" s="60"/>
      <c r="B778" s="60"/>
      <c r="C778" s="84"/>
      <c r="D778" s="60"/>
      <c r="E778" s="60"/>
      <c r="F778" s="85"/>
      <c r="G778" s="85"/>
      <c r="H778" s="60"/>
      <c r="I778" s="60"/>
      <c r="J778" s="60"/>
      <c r="K778" s="60"/>
      <c r="L778" s="60"/>
      <c r="M778" s="60"/>
      <c r="N778" s="60"/>
      <c r="O778" s="60"/>
      <c r="P778" s="60"/>
      <c r="Q778" s="60"/>
      <c r="R778" s="60"/>
      <c r="S778" s="60"/>
      <c r="T778" s="60"/>
      <c r="U778" s="60"/>
      <c r="V778" s="60"/>
      <c r="W778" s="60"/>
      <c r="X778" s="60"/>
      <c r="Y778" s="60"/>
      <c r="Z778" s="60"/>
    </row>
    <row r="779" ht="53.25" customHeight="1">
      <c r="A779" s="60"/>
      <c r="B779" s="60"/>
      <c r="C779" s="84"/>
      <c r="D779" s="60"/>
      <c r="E779" s="60"/>
      <c r="F779" s="85"/>
      <c r="G779" s="85"/>
      <c r="H779" s="60"/>
      <c r="I779" s="60"/>
      <c r="J779" s="60"/>
      <c r="K779" s="60"/>
      <c r="L779" s="60"/>
      <c r="M779" s="60"/>
      <c r="N779" s="60"/>
      <c r="O779" s="60"/>
      <c r="P779" s="60"/>
      <c r="Q779" s="60"/>
      <c r="R779" s="60"/>
      <c r="S779" s="60"/>
      <c r="T779" s="60"/>
      <c r="U779" s="60"/>
      <c r="V779" s="60"/>
      <c r="W779" s="60"/>
      <c r="X779" s="60"/>
      <c r="Y779" s="60"/>
      <c r="Z779" s="60"/>
    </row>
    <row r="780" ht="53.25" customHeight="1">
      <c r="A780" s="60"/>
      <c r="B780" s="60"/>
      <c r="C780" s="84"/>
      <c r="D780" s="60"/>
      <c r="E780" s="60"/>
      <c r="F780" s="85"/>
      <c r="G780" s="85"/>
      <c r="H780" s="60"/>
      <c r="I780" s="60"/>
      <c r="J780" s="60"/>
      <c r="K780" s="60"/>
      <c r="L780" s="60"/>
      <c r="M780" s="60"/>
      <c r="N780" s="60"/>
      <c r="O780" s="60"/>
      <c r="P780" s="60"/>
      <c r="Q780" s="60"/>
      <c r="R780" s="60"/>
      <c r="S780" s="60"/>
      <c r="T780" s="60"/>
      <c r="U780" s="60"/>
      <c r="V780" s="60"/>
      <c r="W780" s="60"/>
      <c r="X780" s="60"/>
      <c r="Y780" s="60"/>
      <c r="Z780" s="60"/>
    </row>
    <row r="781" ht="53.25" customHeight="1">
      <c r="A781" s="60"/>
      <c r="B781" s="60"/>
      <c r="C781" s="84"/>
      <c r="D781" s="60"/>
      <c r="E781" s="60"/>
      <c r="F781" s="85"/>
      <c r="G781" s="85"/>
      <c r="H781" s="60"/>
      <c r="I781" s="60"/>
      <c r="J781" s="60"/>
      <c r="K781" s="60"/>
      <c r="L781" s="60"/>
      <c r="M781" s="60"/>
      <c r="N781" s="60"/>
      <c r="O781" s="60"/>
      <c r="P781" s="60"/>
      <c r="Q781" s="60"/>
      <c r="R781" s="60"/>
      <c r="S781" s="60"/>
      <c r="T781" s="60"/>
      <c r="U781" s="60"/>
      <c r="V781" s="60"/>
      <c r="W781" s="60"/>
      <c r="X781" s="60"/>
      <c r="Y781" s="60"/>
      <c r="Z781" s="60"/>
    </row>
    <row r="782" ht="53.25" customHeight="1">
      <c r="A782" s="60"/>
      <c r="B782" s="60"/>
      <c r="C782" s="84"/>
      <c r="D782" s="60"/>
      <c r="E782" s="60"/>
      <c r="F782" s="85"/>
      <c r="G782" s="85"/>
      <c r="H782" s="60"/>
      <c r="I782" s="60"/>
      <c r="J782" s="60"/>
      <c r="K782" s="60"/>
      <c r="L782" s="60"/>
      <c r="M782" s="60"/>
      <c r="N782" s="60"/>
      <c r="O782" s="60"/>
      <c r="P782" s="60"/>
      <c r="Q782" s="60"/>
      <c r="R782" s="60"/>
      <c r="S782" s="60"/>
      <c r="T782" s="60"/>
      <c r="U782" s="60"/>
      <c r="V782" s="60"/>
      <c r="W782" s="60"/>
      <c r="X782" s="60"/>
      <c r="Y782" s="60"/>
      <c r="Z782" s="60"/>
    </row>
    <row r="783" ht="53.25" customHeight="1">
      <c r="A783" s="60"/>
      <c r="B783" s="60"/>
      <c r="C783" s="84"/>
      <c r="D783" s="60"/>
      <c r="E783" s="60"/>
      <c r="F783" s="85"/>
      <c r="G783" s="85"/>
      <c r="H783" s="60"/>
      <c r="I783" s="60"/>
      <c r="J783" s="60"/>
      <c r="K783" s="60"/>
      <c r="L783" s="60"/>
      <c r="M783" s="60"/>
      <c r="N783" s="60"/>
      <c r="O783" s="60"/>
      <c r="P783" s="60"/>
      <c r="Q783" s="60"/>
      <c r="R783" s="60"/>
      <c r="S783" s="60"/>
      <c r="T783" s="60"/>
      <c r="U783" s="60"/>
      <c r="V783" s="60"/>
      <c r="W783" s="60"/>
      <c r="X783" s="60"/>
      <c r="Y783" s="60"/>
      <c r="Z783" s="60"/>
    </row>
    <row r="784" ht="53.25" customHeight="1">
      <c r="A784" s="60"/>
      <c r="B784" s="60"/>
      <c r="C784" s="84"/>
      <c r="D784" s="60"/>
      <c r="E784" s="60"/>
      <c r="F784" s="85"/>
      <c r="G784" s="85"/>
      <c r="H784" s="60"/>
      <c r="I784" s="60"/>
      <c r="J784" s="60"/>
      <c r="K784" s="60"/>
      <c r="L784" s="60"/>
      <c r="M784" s="60"/>
      <c r="N784" s="60"/>
      <c r="O784" s="60"/>
      <c r="P784" s="60"/>
      <c r="Q784" s="60"/>
      <c r="R784" s="60"/>
      <c r="S784" s="60"/>
      <c r="T784" s="60"/>
      <c r="U784" s="60"/>
      <c r="V784" s="60"/>
      <c r="W784" s="60"/>
      <c r="X784" s="60"/>
      <c r="Y784" s="60"/>
      <c r="Z784" s="60"/>
    </row>
    <row r="785" ht="53.25" customHeight="1">
      <c r="A785" s="60"/>
      <c r="B785" s="60"/>
      <c r="C785" s="84"/>
      <c r="D785" s="60"/>
      <c r="E785" s="60"/>
      <c r="F785" s="85"/>
      <c r="G785" s="85"/>
      <c r="H785" s="60"/>
      <c r="I785" s="60"/>
      <c r="J785" s="60"/>
      <c r="K785" s="60"/>
      <c r="L785" s="60"/>
      <c r="M785" s="60"/>
      <c r="N785" s="60"/>
      <c r="O785" s="60"/>
      <c r="P785" s="60"/>
      <c r="Q785" s="60"/>
      <c r="R785" s="60"/>
      <c r="S785" s="60"/>
      <c r="T785" s="60"/>
      <c r="U785" s="60"/>
      <c r="V785" s="60"/>
      <c r="W785" s="60"/>
      <c r="X785" s="60"/>
      <c r="Y785" s="60"/>
      <c r="Z785" s="60"/>
    </row>
    <row r="786" ht="53.25" customHeight="1">
      <c r="A786" s="60"/>
      <c r="B786" s="60"/>
      <c r="C786" s="84"/>
      <c r="D786" s="60"/>
      <c r="E786" s="60"/>
      <c r="F786" s="85"/>
      <c r="G786" s="85"/>
      <c r="H786" s="60"/>
      <c r="I786" s="60"/>
      <c r="J786" s="60"/>
      <c r="K786" s="60"/>
      <c r="L786" s="60"/>
      <c r="M786" s="60"/>
      <c r="N786" s="60"/>
      <c r="O786" s="60"/>
      <c r="P786" s="60"/>
      <c r="Q786" s="60"/>
      <c r="R786" s="60"/>
      <c r="S786" s="60"/>
      <c r="T786" s="60"/>
      <c r="U786" s="60"/>
      <c r="V786" s="60"/>
      <c r="W786" s="60"/>
      <c r="X786" s="60"/>
      <c r="Y786" s="60"/>
      <c r="Z786" s="60"/>
    </row>
    <row r="787" ht="53.25" customHeight="1">
      <c r="A787" s="60"/>
      <c r="B787" s="60"/>
      <c r="C787" s="84"/>
      <c r="D787" s="60"/>
      <c r="E787" s="60"/>
      <c r="F787" s="85"/>
      <c r="G787" s="85"/>
      <c r="H787" s="60"/>
      <c r="I787" s="60"/>
      <c r="J787" s="60"/>
      <c r="K787" s="60"/>
      <c r="L787" s="60"/>
      <c r="M787" s="60"/>
      <c r="N787" s="60"/>
      <c r="O787" s="60"/>
      <c r="P787" s="60"/>
      <c r="Q787" s="60"/>
      <c r="R787" s="60"/>
      <c r="S787" s="60"/>
      <c r="T787" s="60"/>
      <c r="U787" s="60"/>
      <c r="V787" s="60"/>
      <c r="W787" s="60"/>
      <c r="X787" s="60"/>
      <c r="Y787" s="60"/>
      <c r="Z787" s="60"/>
    </row>
    <row r="788" ht="53.25" customHeight="1">
      <c r="A788" s="60"/>
      <c r="B788" s="60"/>
      <c r="C788" s="84"/>
      <c r="D788" s="60"/>
      <c r="E788" s="60"/>
      <c r="F788" s="85"/>
      <c r="G788" s="85"/>
      <c r="H788" s="60"/>
      <c r="I788" s="60"/>
      <c r="J788" s="60"/>
      <c r="K788" s="60"/>
      <c r="L788" s="60"/>
      <c r="M788" s="60"/>
      <c r="N788" s="60"/>
      <c r="O788" s="60"/>
      <c r="P788" s="60"/>
      <c r="Q788" s="60"/>
      <c r="R788" s="60"/>
      <c r="S788" s="60"/>
      <c r="T788" s="60"/>
      <c r="U788" s="60"/>
      <c r="V788" s="60"/>
      <c r="W788" s="60"/>
      <c r="X788" s="60"/>
      <c r="Y788" s="60"/>
      <c r="Z788" s="60"/>
    </row>
    <row r="789" ht="53.25" customHeight="1">
      <c r="A789" s="60"/>
      <c r="B789" s="60"/>
      <c r="C789" s="84"/>
      <c r="D789" s="60"/>
      <c r="E789" s="60"/>
      <c r="F789" s="85"/>
      <c r="G789" s="85"/>
      <c r="H789" s="60"/>
      <c r="I789" s="60"/>
      <c r="J789" s="60"/>
      <c r="K789" s="60"/>
      <c r="L789" s="60"/>
      <c r="M789" s="60"/>
      <c r="N789" s="60"/>
      <c r="O789" s="60"/>
      <c r="P789" s="60"/>
      <c r="Q789" s="60"/>
      <c r="R789" s="60"/>
      <c r="S789" s="60"/>
      <c r="T789" s="60"/>
      <c r="U789" s="60"/>
      <c r="V789" s="60"/>
      <c r="W789" s="60"/>
      <c r="X789" s="60"/>
      <c r="Y789" s="60"/>
      <c r="Z789" s="60"/>
    </row>
    <row r="790" ht="53.25" customHeight="1">
      <c r="A790" s="60"/>
      <c r="B790" s="60"/>
      <c r="C790" s="84"/>
      <c r="D790" s="60"/>
      <c r="E790" s="60"/>
      <c r="F790" s="85"/>
      <c r="G790" s="85"/>
      <c r="H790" s="60"/>
      <c r="I790" s="60"/>
      <c r="J790" s="60"/>
      <c r="K790" s="60"/>
      <c r="L790" s="60"/>
      <c r="M790" s="60"/>
      <c r="N790" s="60"/>
      <c r="O790" s="60"/>
      <c r="P790" s="60"/>
      <c r="Q790" s="60"/>
      <c r="R790" s="60"/>
      <c r="S790" s="60"/>
      <c r="T790" s="60"/>
      <c r="U790" s="60"/>
      <c r="V790" s="60"/>
      <c r="W790" s="60"/>
      <c r="X790" s="60"/>
      <c r="Y790" s="60"/>
      <c r="Z790" s="60"/>
    </row>
    <row r="791" ht="53.25" customHeight="1">
      <c r="A791" s="60"/>
      <c r="B791" s="60"/>
      <c r="C791" s="84"/>
      <c r="D791" s="60"/>
      <c r="E791" s="60"/>
      <c r="F791" s="85"/>
      <c r="G791" s="85"/>
      <c r="H791" s="60"/>
      <c r="I791" s="60"/>
      <c r="J791" s="60"/>
      <c r="K791" s="60"/>
      <c r="L791" s="60"/>
      <c r="M791" s="60"/>
      <c r="N791" s="60"/>
      <c r="O791" s="60"/>
      <c r="P791" s="60"/>
      <c r="Q791" s="60"/>
      <c r="R791" s="60"/>
      <c r="S791" s="60"/>
      <c r="T791" s="60"/>
      <c r="U791" s="60"/>
      <c r="V791" s="60"/>
      <c r="W791" s="60"/>
      <c r="X791" s="60"/>
      <c r="Y791" s="60"/>
      <c r="Z791" s="60"/>
    </row>
    <row r="792" ht="53.25" customHeight="1">
      <c r="A792" s="60"/>
      <c r="B792" s="60"/>
      <c r="C792" s="84"/>
      <c r="D792" s="60"/>
      <c r="E792" s="60"/>
      <c r="F792" s="85"/>
      <c r="G792" s="85"/>
      <c r="H792" s="60"/>
      <c r="I792" s="60"/>
      <c r="J792" s="60"/>
      <c r="K792" s="60"/>
      <c r="L792" s="60"/>
      <c r="M792" s="60"/>
      <c r="N792" s="60"/>
      <c r="O792" s="60"/>
      <c r="P792" s="60"/>
      <c r="Q792" s="60"/>
      <c r="R792" s="60"/>
      <c r="S792" s="60"/>
      <c r="T792" s="60"/>
      <c r="U792" s="60"/>
      <c r="V792" s="60"/>
      <c r="W792" s="60"/>
      <c r="X792" s="60"/>
      <c r="Y792" s="60"/>
      <c r="Z792" s="60"/>
    </row>
    <row r="793" ht="53.25" customHeight="1">
      <c r="A793" s="60"/>
      <c r="B793" s="60"/>
      <c r="C793" s="84"/>
      <c r="D793" s="60"/>
      <c r="E793" s="60"/>
      <c r="F793" s="85"/>
      <c r="G793" s="85"/>
      <c r="H793" s="60"/>
      <c r="I793" s="60"/>
      <c r="J793" s="60"/>
      <c r="K793" s="60"/>
      <c r="L793" s="60"/>
      <c r="M793" s="60"/>
      <c r="N793" s="60"/>
      <c r="O793" s="60"/>
      <c r="P793" s="60"/>
      <c r="Q793" s="60"/>
      <c r="R793" s="60"/>
      <c r="S793" s="60"/>
      <c r="T793" s="60"/>
      <c r="U793" s="60"/>
      <c r="V793" s="60"/>
      <c r="W793" s="60"/>
      <c r="X793" s="60"/>
      <c r="Y793" s="60"/>
      <c r="Z793" s="60"/>
    </row>
    <row r="794" ht="53.25" customHeight="1">
      <c r="A794" s="60"/>
      <c r="B794" s="60"/>
      <c r="C794" s="84"/>
      <c r="D794" s="60"/>
      <c r="E794" s="60"/>
      <c r="F794" s="85"/>
      <c r="G794" s="85"/>
      <c r="H794" s="60"/>
      <c r="I794" s="60"/>
      <c r="J794" s="60"/>
      <c r="K794" s="60"/>
      <c r="L794" s="60"/>
      <c r="M794" s="60"/>
      <c r="N794" s="60"/>
      <c r="O794" s="60"/>
      <c r="P794" s="60"/>
      <c r="Q794" s="60"/>
      <c r="R794" s="60"/>
      <c r="S794" s="60"/>
      <c r="T794" s="60"/>
      <c r="U794" s="60"/>
      <c r="V794" s="60"/>
      <c r="W794" s="60"/>
      <c r="X794" s="60"/>
      <c r="Y794" s="60"/>
      <c r="Z794" s="60"/>
    </row>
    <row r="795" ht="53.25" customHeight="1">
      <c r="A795" s="60"/>
      <c r="B795" s="60"/>
      <c r="C795" s="84"/>
      <c r="D795" s="60"/>
      <c r="E795" s="60"/>
      <c r="F795" s="85"/>
      <c r="G795" s="85"/>
      <c r="H795" s="60"/>
      <c r="I795" s="60"/>
      <c r="J795" s="60"/>
      <c r="K795" s="60"/>
      <c r="L795" s="60"/>
      <c r="M795" s="60"/>
      <c r="N795" s="60"/>
      <c r="O795" s="60"/>
      <c r="P795" s="60"/>
      <c r="Q795" s="60"/>
      <c r="R795" s="60"/>
      <c r="S795" s="60"/>
      <c r="T795" s="60"/>
      <c r="U795" s="60"/>
      <c r="V795" s="60"/>
      <c r="W795" s="60"/>
      <c r="X795" s="60"/>
      <c r="Y795" s="60"/>
      <c r="Z795" s="60"/>
    </row>
    <row r="796" ht="53.25" customHeight="1">
      <c r="A796" s="60"/>
      <c r="B796" s="60"/>
      <c r="C796" s="84"/>
      <c r="D796" s="60"/>
      <c r="E796" s="60"/>
      <c r="F796" s="85"/>
      <c r="G796" s="85"/>
      <c r="H796" s="60"/>
      <c r="I796" s="60"/>
      <c r="J796" s="60"/>
      <c r="K796" s="60"/>
      <c r="L796" s="60"/>
      <c r="M796" s="60"/>
      <c r="N796" s="60"/>
      <c r="O796" s="60"/>
      <c r="P796" s="60"/>
      <c r="Q796" s="60"/>
      <c r="R796" s="60"/>
      <c r="S796" s="60"/>
      <c r="T796" s="60"/>
      <c r="U796" s="60"/>
      <c r="V796" s="60"/>
      <c r="W796" s="60"/>
      <c r="X796" s="60"/>
      <c r="Y796" s="60"/>
      <c r="Z796" s="60"/>
    </row>
    <row r="797" ht="53.25" customHeight="1">
      <c r="A797" s="60"/>
      <c r="B797" s="60"/>
      <c r="C797" s="84"/>
      <c r="D797" s="60"/>
      <c r="E797" s="60"/>
      <c r="F797" s="85"/>
      <c r="G797" s="85"/>
      <c r="H797" s="60"/>
      <c r="I797" s="60"/>
      <c r="J797" s="60"/>
      <c r="K797" s="60"/>
      <c r="L797" s="60"/>
      <c r="M797" s="60"/>
      <c r="N797" s="60"/>
      <c r="O797" s="60"/>
      <c r="P797" s="60"/>
      <c r="Q797" s="60"/>
      <c r="R797" s="60"/>
      <c r="S797" s="60"/>
      <c r="T797" s="60"/>
      <c r="U797" s="60"/>
      <c r="V797" s="60"/>
      <c r="W797" s="60"/>
      <c r="X797" s="60"/>
      <c r="Y797" s="60"/>
      <c r="Z797" s="60"/>
    </row>
    <row r="798" ht="53.25" customHeight="1">
      <c r="A798" s="60"/>
      <c r="B798" s="60"/>
      <c r="C798" s="84"/>
      <c r="D798" s="60"/>
      <c r="E798" s="60"/>
      <c r="F798" s="85"/>
      <c r="G798" s="85"/>
      <c r="H798" s="60"/>
      <c r="I798" s="60"/>
      <c r="J798" s="60"/>
      <c r="K798" s="60"/>
      <c r="L798" s="60"/>
      <c r="M798" s="60"/>
      <c r="N798" s="60"/>
      <c r="O798" s="60"/>
      <c r="P798" s="60"/>
      <c r="Q798" s="60"/>
      <c r="R798" s="60"/>
      <c r="S798" s="60"/>
      <c r="T798" s="60"/>
      <c r="U798" s="60"/>
      <c r="V798" s="60"/>
      <c r="W798" s="60"/>
      <c r="X798" s="60"/>
      <c r="Y798" s="60"/>
      <c r="Z798" s="60"/>
    </row>
    <row r="799" ht="53.25" customHeight="1">
      <c r="A799" s="60"/>
      <c r="B799" s="60"/>
      <c r="C799" s="84"/>
      <c r="D799" s="60"/>
      <c r="E799" s="60"/>
      <c r="F799" s="85"/>
      <c r="G799" s="85"/>
      <c r="H799" s="60"/>
      <c r="I799" s="60"/>
      <c r="J799" s="60"/>
      <c r="K799" s="60"/>
      <c r="L799" s="60"/>
      <c r="M799" s="60"/>
      <c r="N799" s="60"/>
      <c r="O799" s="60"/>
      <c r="P799" s="60"/>
      <c r="Q799" s="60"/>
      <c r="R799" s="60"/>
      <c r="S799" s="60"/>
      <c r="T799" s="60"/>
      <c r="U799" s="60"/>
      <c r="V799" s="60"/>
      <c r="W799" s="60"/>
      <c r="X799" s="60"/>
      <c r="Y799" s="60"/>
      <c r="Z799" s="60"/>
    </row>
    <row r="800" ht="53.25" customHeight="1">
      <c r="A800" s="60"/>
      <c r="B800" s="60"/>
      <c r="C800" s="84"/>
      <c r="D800" s="60"/>
      <c r="E800" s="60"/>
      <c r="F800" s="85"/>
      <c r="G800" s="85"/>
      <c r="H800" s="60"/>
      <c r="I800" s="60"/>
      <c r="J800" s="60"/>
      <c r="K800" s="60"/>
      <c r="L800" s="60"/>
      <c r="M800" s="60"/>
      <c r="N800" s="60"/>
      <c r="O800" s="60"/>
      <c r="P800" s="60"/>
      <c r="Q800" s="60"/>
      <c r="R800" s="60"/>
      <c r="S800" s="60"/>
      <c r="T800" s="60"/>
      <c r="U800" s="60"/>
      <c r="V800" s="60"/>
      <c r="W800" s="60"/>
      <c r="X800" s="60"/>
      <c r="Y800" s="60"/>
      <c r="Z800" s="60"/>
    </row>
    <row r="801" ht="53.25" customHeight="1">
      <c r="A801" s="60"/>
      <c r="B801" s="60"/>
      <c r="C801" s="84"/>
      <c r="D801" s="60"/>
      <c r="E801" s="60"/>
      <c r="F801" s="85"/>
      <c r="G801" s="85"/>
      <c r="H801" s="60"/>
      <c r="I801" s="60"/>
      <c r="J801" s="60"/>
      <c r="K801" s="60"/>
      <c r="L801" s="60"/>
      <c r="M801" s="60"/>
      <c r="N801" s="60"/>
      <c r="O801" s="60"/>
      <c r="P801" s="60"/>
      <c r="Q801" s="60"/>
      <c r="R801" s="60"/>
      <c r="S801" s="60"/>
      <c r="T801" s="60"/>
      <c r="U801" s="60"/>
      <c r="V801" s="60"/>
      <c r="W801" s="60"/>
      <c r="X801" s="60"/>
      <c r="Y801" s="60"/>
      <c r="Z801" s="60"/>
    </row>
    <row r="802" ht="53.25" customHeight="1">
      <c r="A802" s="60"/>
      <c r="B802" s="60"/>
      <c r="C802" s="84"/>
      <c r="D802" s="60"/>
      <c r="E802" s="60"/>
      <c r="F802" s="85"/>
      <c r="G802" s="85"/>
      <c r="H802" s="60"/>
      <c r="I802" s="60"/>
      <c r="J802" s="60"/>
      <c r="K802" s="60"/>
      <c r="L802" s="60"/>
      <c r="M802" s="60"/>
      <c r="N802" s="60"/>
      <c r="O802" s="60"/>
      <c r="P802" s="60"/>
      <c r="Q802" s="60"/>
      <c r="R802" s="60"/>
      <c r="S802" s="60"/>
      <c r="T802" s="60"/>
      <c r="U802" s="60"/>
      <c r="V802" s="60"/>
      <c r="W802" s="60"/>
      <c r="X802" s="60"/>
      <c r="Y802" s="60"/>
      <c r="Z802" s="60"/>
    </row>
    <row r="803" ht="53.25" customHeight="1">
      <c r="A803" s="60"/>
      <c r="B803" s="60"/>
      <c r="C803" s="84"/>
      <c r="D803" s="60"/>
      <c r="E803" s="60"/>
      <c r="F803" s="85"/>
      <c r="G803" s="85"/>
      <c r="H803" s="60"/>
      <c r="I803" s="60"/>
      <c r="J803" s="60"/>
      <c r="K803" s="60"/>
      <c r="L803" s="60"/>
      <c r="M803" s="60"/>
      <c r="N803" s="60"/>
      <c r="O803" s="60"/>
      <c r="P803" s="60"/>
      <c r="Q803" s="60"/>
      <c r="R803" s="60"/>
      <c r="S803" s="60"/>
      <c r="T803" s="60"/>
      <c r="U803" s="60"/>
      <c r="V803" s="60"/>
      <c r="W803" s="60"/>
      <c r="X803" s="60"/>
      <c r="Y803" s="60"/>
      <c r="Z803" s="60"/>
    </row>
    <row r="804" ht="53.25" customHeight="1">
      <c r="A804" s="60"/>
      <c r="B804" s="60"/>
      <c r="C804" s="84"/>
      <c r="D804" s="60"/>
      <c r="E804" s="60"/>
      <c r="F804" s="85"/>
      <c r="G804" s="85"/>
      <c r="H804" s="60"/>
      <c r="I804" s="60"/>
      <c r="J804" s="60"/>
      <c r="K804" s="60"/>
      <c r="L804" s="60"/>
      <c r="M804" s="60"/>
      <c r="N804" s="60"/>
      <c r="O804" s="60"/>
      <c r="P804" s="60"/>
      <c r="Q804" s="60"/>
      <c r="R804" s="60"/>
      <c r="S804" s="60"/>
      <c r="T804" s="60"/>
      <c r="U804" s="60"/>
      <c r="V804" s="60"/>
      <c r="W804" s="60"/>
      <c r="X804" s="60"/>
      <c r="Y804" s="60"/>
      <c r="Z804" s="60"/>
    </row>
    <row r="805" ht="53.25" customHeight="1">
      <c r="A805" s="60"/>
      <c r="B805" s="60"/>
      <c r="C805" s="84"/>
      <c r="D805" s="60"/>
      <c r="E805" s="60"/>
      <c r="F805" s="85"/>
      <c r="G805" s="85"/>
      <c r="H805" s="60"/>
      <c r="I805" s="60"/>
      <c r="J805" s="60"/>
      <c r="K805" s="60"/>
      <c r="L805" s="60"/>
      <c r="M805" s="60"/>
      <c r="N805" s="60"/>
      <c r="O805" s="60"/>
      <c r="P805" s="60"/>
      <c r="Q805" s="60"/>
      <c r="R805" s="60"/>
      <c r="S805" s="60"/>
      <c r="T805" s="60"/>
      <c r="U805" s="60"/>
      <c r="V805" s="60"/>
      <c r="W805" s="60"/>
      <c r="X805" s="60"/>
      <c r="Y805" s="60"/>
      <c r="Z805" s="60"/>
    </row>
    <row r="806" ht="53.25" customHeight="1">
      <c r="A806" s="60"/>
      <c r="B806" s="60"/>
      <c r="C806" s="84"/>
      <c r="D806" s="60"/>
      <c r="E806" s="60"/>
      <c r="F806" s="85"/>
      <c r="G806" s="85"/>
      <c r="H806" s="60"/>
      <c r="I806" s="60"/>
      <c r="J806" s="60"/>
      <c r="K806" s="60"/>
      <c r="L806" s="60"/>
      <c r="M806" s="60"/>
      <c r="N806" s="60"/>
      <c r="O806" s="60"/>
      <c r="P806" s="60"/>
      <c r="Q806" s="60"/>
      <c r="R806" s="60"/>
      <c r="S806" s="60"/>
      <c r="T806" s="60"/>
      <c r="U806" s="60"/>
      <c r="V806" s="60"/>
      <c r="W806" s="60"/>
      <c r="X806" s="60"/>
      <c r="Y806" s="60"/>
      <c r="Z806" s="60"/>
    </row>
    <row r="807" ht="53.25" customHeight="1">
      <c r="A807" s="60"/>
      <c r="B807" s="60"/>
      <c r="C807" s="84"/>
      <c r="D807" s="60"/>
      <c r="E807" s="60"/>
      <c r="F807" s="85"/>
      <c r="G807" s="85"/>
      <c r="H807" s="60"/>
      <c r="I807" s="60"/>
      <c r="J807" s="60"/>
      <c r="K807" s="60"/>
      <c r="L807" s="60"/>
      <c r="M807" s="60"/>
      <c r="N807" s="60"/>
      <c r="O807" s="60"/>
      <c r="P807" s="60"/>
      <c r="Q807" s="60"/>
      <c r="R807" s="60"/>
      <c r="S807" s="60"/>
      <c r="T807" s="60"/>
      <c r="U807" s="60"/>
      <c r="V807" s="60"/>
      <c r="W807" s="60"/>
      <c r="X807" s="60"/>
      <c r="Y807" s="60"/>
      <c r="Z807" s="60"/>
    </row>
    <row r="808" ht="53.25" customHeight="1">
      <c r="A808" s="60"/>
      <c r="B808" s="60"/>
      <c r="C808" s="84"/>
      <c r="D808" s="60"/>
      <c r="E808" s="60"/>
      <c r="F808" s="85"/>
      <c r="G808" s="85"/>
      <c r="H808" s="60"/>
      <c r="I808" s="60"/>
      <c r="J808" s="60"/>
      <c r="K808" s="60"/>
      <c r="L808" s="60"/>
      <c r="M808" s="60"/>
      <c r="N808" s="60"/>
      <c r="O808" s="60"/>
      <c r="P808" s="60"/>
      <c r="Q808" s="60"/>
      <c r="R808" s="60"/>
      <c r="S808" s="60"/>
      <c r="T808" s="60"/>
      <c r="U808" s="60"/>
      <c r="V808" s="60"/>
      <c r="W808" s="60"/>
      <c r="X808" s="60"/>
      <c r="Y808" s="60"/>
      <c r="Z808" s="60"/>
    </row>
    <row r="809" ht="53.25" customHeight="1">
      <c r="A809" s="60"/>
      <c r="B809" s="60"/>
      <c r="C809" s="84"/>
      <c r="D809" s="60"/>
      <c r="E809" s="60"/>
      <c r="F809" s="85"/>
      <c r="G809" s="85"/>
      <c r="H809" s="60"/>
      <c r="I809" s="60"/>
      <c r="J809" s="60"/>
      <c r="K809" s="60"/>
      <c r="L809" s="60"/>
      <c r="M809" s="60"/>
      <c r="N809" s="60"/>
      <c r="O809" s="60"/>
      <c r="P809" s="60"/>
      <c r="Q809" s="60"/>
      <c r="R809" s="60"/>
      <c r="S809" s="60"/>
      <c r="T809" s="60"/>
      <c r="U809" s="60"/>
      <c r="V809" s="60"/>
      <c r="W809" s="60"/>
      <c r="X809" s="60"/>
      <c r="Y809" s="60"/>
      <c r="Z809" s="60"/>
    </row>
    <row r="810" ht="53.25" customHeight="1">
      <c r="A810" s="60"/>
      <c r="B810" s="60"/>
      <c r="C810" s="84"/>
      <c r="D810" s="60"/>
      <c r="E810" s="60"/>
      <c r="F810" s="85"/>
      <c r="G810" s="85"/>
      <c r="H810" s="60"/>
      <c r="I810" s="60"/>
      <c r="J810" s="60"/>
      <c r="K810" s="60"/>
      <c r="L810" s="60"/>
      <c r="M810" s="60"/>
      <c r="N810" s="60"/>
      <c r="O810" s="60"/>
      <c r="P810" s="60"/>
      <c r="Q810" s="60"/>
      <c r="R810" s="60"/>
      <c r="S810" s="60"/>
      <c r="T810" s="60"/>
      <c r="U810" s="60"/>
      <c r="V810" s="60"/>
      <c r="W810" s="60"/>
      <c r="X810" s="60"/>
      <c r="Y810" s="60"/>
      <c r="Z810" s="60"/>
    </row>
    <row r="811" ht="53.25" customHeight="1">
      <c r="A811" s="60"/>
      <c r="B811" s="60"/>
      <c r="C811" s="84"/>
      <c r="D811" s="60"/>
      <c r="E811" s="60"/>
      <c r="F811" s="85"/>
      <c r="G811" s="85"/>
      <c r="H811" s="60"/>
      <c r="I811" s="60"/>
      <c r="J811" s="60"/>
      <c r="K811" s="60"/>
      <c r="L811" s="60"/>
      <c r="M811" s="60"/>
      <c r="N811" s="60"/>
      <c r="O811" s="60"/>
      <c r="P811" s="60"/>
      <c r="Q811" s="60"/>
      <c r="R811" s="60"/>
      <c r="S811" s="60"/>
      <c r="T811" s="60"/>
      <c r="U811" s="60"/>
      <c r="V811" s="60"/>
      <c r="W811" s="60"/>
      <c r="X811" s="60"/>
      <c r="Y811" s="60"/>
      <c r="Z811" s="60"/>
    </row>
    <row r="812" ht="53.25" customHeight="1">
      <c r="A812" s="60"/>
      <c r="B812" s="60"/>
      <c r="C812" s="84"/>
      <c r="D812" s="60"/>
      <c r="E812" s="60"/>
      <c r="F812" s="85"/>
      <c r="G812" s="85"/>
      <c r="H812" s="60"/>
      <c r="I812" s="60"/>
      <c r="J812" s="60"/>
      <c r="K812" s="60"/>
      <c r="L812" s="60"/>
      <c r="M812" s="60"/>
      <c r="N812" s="60"/>
      <c r="O812" s="60"/>
      <c r="P812" s="60"/>
      <c r="Q812" s="60"/>
      <c r="R812" s="60"/>
      <c r="S812" s="60"/>
      <c r="T812" s="60"/>
      <c r="U812" s="60"/>
      <c r="V812" s="60"/>
      <c r="W812" s="60"/>
      <c r="X812" s="60"/>
      <c r="Y812" s="60"/>
      <c r="Z812" s="60"/>
    </row>
    <row r="813" ht="53.25" customHeight="1">
      <c r="A813" s="60"/>
      <c r="B813" s="60"/>
      <c r="C813" s="84"/>
      <c r="D813" s="60"/>
      <c r="E813" s="60"/>
      <c r="F813" s="85"/>
      <c r="G813" s="85"/>
      <c r="H813" s="60"/>
      <c r="I813" s="60"/>
      <c r="J813" s="60"/>
      <c r="K813" s="60"/>
      <c r="L813" s="60"/>
      <c r="M813" s="60"/>
      <c r="N813" s="60"/>
      <c r="O813" s="60"/>
      <c r="P813" s="60"/>
      <c r="Q813" s="60"/>
      <c r="R813" s="60"/>
      <c r="S813" s="60"/>
      <c r="T813" s="60"/>
      <c r="U813" s="60"/>
      <c r="V813" s="60"/>
      <c r="W813" s="60"/>
      <c r="X813" s="60"/>
      <c r="Y813" s="60"/>
      <c r="Z813" s="60"/>
    </row>
    <row r="814" ht="53.25" customHeight="1">
      <c r="A814" s="60"/>
      <c r="B814" s="60"/>
      <c r="C814" s="84"/>
      <c r="D814" s="60"/>
      <c r="E814" s="60"/>
      <c r="F814" s="85"/>
      <c r="G814" s="85"/>
      <c r="H814" s="60"/>
      <c r="I814" s="60"/>
      <c r="J814" s="60"/>
      <c r="K814" s="60"/>
      <c r="L814" s="60"/>
      <c r="M814" s="60"/>
      <c r="N814" s="60"/>
      <c r="O814" s="60"/>
      <c r="P814" s="60"/>
      <c r="Q814" s="60"/>
      <c r="R814" s="60"/>
      <c r="S814" s="60"/>
      <c r="T814" s="60"/>
      <c r="U814" s="60"/>
      <c r="V814" s="60"/>
      <c r="W814" s="60"/>
      <c r="X814" s="60"/>
      <c r="Y814" s="60"/>
      <c r="Z814" s="60"/>
    </row>
    <row r="815" ht="53.25" customHeight="1">
      <c r="A815" s="60"/>
      <c r="B815" s="60"/>
      <c r="C815" s="84"/>
      <c r="D815" s="60"/>
      <c r="E815" s="60"/>
      <c r="F815" s="85"/>
      <c r="G815" s="85"/>
      <c r="H815" s="60"/>
      <c r="I815" s="60"/>
      <c r="J815" s="60"/>
      <c r="K815" s="60"/>
      <c r="L815" s="60"/>
      <c r="M815" s="60"/>
      <c r="N815" s="60"/>
      <c r="O815" s="60"/>
      <c r="P815" s="60"/>
      <c r="Q815" s="60"/>
      <c r="R815" s="60"/>
      <c r="S815" s="60"/>
      <c r="T815" s="60"/>
      <c r="U815" s="60"/>
      <c r="V815" s="60"/>
      <c r="W815" s="60"/>
      <c r="X815" s="60"/>
      <c r="Y815" s="60"/>
      <c r="Z815" s="60"/>
    </row>
    <row r="816" ht="53.25" customHeight="1">
      <c r="A816" s="60"/>
      <c r="B816" s="60"/>
      <c r="C816" s="84"/>
      <c r="D816" s="60"/>
      <c r="E816" s="60"/>
      <c r="F816" s="85"/>
      <c r="G816" s="85"/>
      <c r="H816" s="60"/>
      <c r="I816" s="60"/>
      <c r="J816" s="60"/>
      <c r="K816" s="60"/>
      <c r="L816" s="60"/>
      <c r="M816" s="60"/>
      <c r="N816" s="60"/>
      <c r="O816" s="60"/>
      <c r="P816" s="60"/>
      <c r="Q816" s="60"/>
      <c r="R816" s="60"/>
      <c r="S816" s="60"/>
      <c r="T816" s="60"/>
      <c r="U816" s="60"/>
      <c r="V816" s="60"/>
      <c r="W816" s="60"/>
      <c r="X816" s="60"/>
      <c r="Y816" s="60"/>
      <c r="Z816" s="60"/>
    </row>
    <row r="817" ht="53.25" customHeight="1">
      <c r="A817" s="60"/>
      <c r="B817" s="60"/>
      <c r="C817" s="84"/>
      <c r="D817" s="60"/>
      <c r="E817" s="60"/>
      <c r="F817" s="85"/>
      <c r="G817" s="85"/>
      <c r="H817" s="60"/>
      <c r="I817" s="60"/>
      <c r="J817" s="60"/>
      <c r="K817" s="60"/>
      <c r="L817" s="60"/>
      <c r="M817" s="60"/>
      <c r="N817" s="60"/>
      <c r="O817" s="60"/>
      <c r="P817" s="60"/>
      <c r="Q817" s="60"/>
      <c r="R817" s="60"/>
      <c r="S817" s="60"/>
      <c r="T817" s="60"/>
      <c r="U817" s="60"/>
      <c r="V817" s="60"/>
      <c r="W817" s="60"/>
      <c r="X817" s="60"/>
      <c r="Y817" s="60"/>
      <c r="Z817" s="60"/>
    </row>
    <row r="818" ht="53.25" customHeight="1">
      <c r="A818" s="60"/>
      <c r="B818" s="60"/>
      <c r="C818" s="84"/>
      <c r="D818" s="60"/>
      <c r="E818" s="60"/>
      <c r="F818" s="85"/>
      <c r="G818" s="85"/>
      <c r="H818" s="60"/>
      <c r="I818" s="60"/>
      <c r="J818" s="60"/>
      <c r="K818" s="60"/>
      <c r="L818" s="60"/>
      <c r="M818" s="60"/>
      <c r="N818" s="60"/>
      <c r="O818" s="60"/>
      <c r="P818" s="60"/>
      <c r="Q818" s="60"/>
      <c r="R818" s="60"/>
      <c r="S818" s="60"/>
      <c r="T818" s="60"/>
      <c r="U818" s="60"/>
      <c r="V818" s="60"/>
      <c r="W818" s="60"/>
      <c r="X818" s="60"/>
      <c r="Y818" s="60"/>
      <c r="Z818" s="60"/>
    </row>
    <row r="819" ht="53.25" customHeight="1">
      <c r="A819" s="60"/>
      <c r="B819" s="60"/>
      <c r="C819" s="84"/>
      <c r="D819" s="60"/>
      <c r="E819" s="60"/>
      <c r="F819" s="85"/>
      <c r="G819" s="85"/>
      <c r="H819" s="60"/>
      <c r="I819" s="60"/>
      <c r="J819" s="60"/>
      <c r="K819" s="60"/>
      <c r="L819" s="60"/>
      <c r="M819" s="60"/>
      <c r="N819" s="60"/>
      <c r="O819" s="60"/>
      <c r="P819" s="60"/>
      <c r="Q819" s="60"/>
      <c r="R819" s="60"/>
      <c r="S819" s="60"/>
      <c r="T819" s="60"/>
      <c r="U819" s="60"/>
      <c r="V819" s="60"/>
      <c r="W819" s="60"/>
      <c r="X819" s="60"/>
      <c r="Y819" s="60"/>
      <c r="Z819" s="60"/>
    </row>
    <row r="820" ht="53.25" customHeight="1">
      <c r="A820" s="60"/>
      <c r="B820" s="60"/>
      <c r="C820" s="84"/>
      <c r="D820" s="60"/>
      <c r="E820" s="60"/>
      <c r="F820" s="85"/>
      <c r="G820" s="85"/>
      <c r="H820" s="60"/>
      <c r="I820" s="60"/>
      <c r="J820" s="60"/>
      <c r="K820" s="60"/>
      <c r="L820" s="60"/>
      <c r="M820" s="60"/>
      <c r="N820" s="60"/>
      <c r="O820" s="60"/>
      <c r="P820" s="60"/>
      <c r="Q820" s="60"/>
      <c r="R820" s="60"/>
      <c r="S820" s="60"/>
      <c r="T820" s="60"/>
      <c r="U820" s="60"/>
      <c r="V820" s="60"/>
      <c r="W820" s="60"/>
      <c r="X820" s="60"/>
      <c r="Y820" s="60"/>
      <c r="Z820" s="60"/>
    </row>
    <row r="821" ht="53.25" customHeight="1">
      <c r="A821" s="60"/>
      <c r="B821" s="60"/>
      <c r="C821" s="84"/>
      <c r="D821" s="60"/>
      <c r="E821" s="60"/>
      <c r="F821" s="85"/>
      <c r="G821" s="85"/>
      <c r="H821" s="60"/>
      <c r="I821" s="60"/>
      <c r="J821" s="60"/>
      <c r="K821" s="60"/>
      <c r="L821" s="60"/>
      <c r="M821" s="60"/>
      <c r="N821" s="60"/>
      <c r="O821" s="60"/>
      <c r="P821" s="60"/>
      <c r="Q821" s="60"/>
      <c r="R821" s="60"/>
      <c r="S821" s="60"/>
      <c r="T821" s="60"/>
      <c r="U821" s="60"/>
      <c r="V821" s="60"/>
      <c r="W821" s="60"/>
      <c r="X821" s="60"/>
      <c r="Y821" s="60"/>
      <c r="Z821" s="60"/>
    </row>
    <row r="822" ht="53.25" customHeight="1">
      <c r="A822" s="60"/>
      <c r="B822" s="60"/>
      <c r="C822" s="84"/>
      <c r="D822" s="60"/>
      <c r="E822" s="60"/>
      <c r="F822" s="85"/>
      <c r="G822" s="85"/>
      <c r="H822" s="60"/>
      <c r="I822" s="60"/>
      <c r="J822" s="60"/>
      <c r="K822" s="60"/>
      <c r="L822" s="60"/>
      <c r="M822" s="60"/>
      <c r="N822" s="60"/>
      <c r="O822" s="60"/>
      <c r="P822" s="60"/>
      <c r="Q822" s="60"/>
      <c r="R822" s="60"/>
      <c r="S822" s="60"/>
      <c r="T822" s="60"/>
      <c r="U822" s="60"/>
      <c r="V822" s="60"/>
      <c r="W822" s="60"/>
      <c r="X822" s="60"/>
      <c r="Y822" s="60"/>
      <c r="Z822" s="60"/>
    </row>
    <row r="823" ht="53.25" customHeight="1">
      <c r="A823" s="60"/>
      <c r="B823" s="60"/>
      <c r="C823" s="84"/>
      <c r="D823" s="60"/>
      <c r="E823" s="60"/>
      <c r="F823" s="85"/>
      <c r="G823" s="85"/>
      <c r="H823" s="60"/>
      <c r="I823" s="60"/>
      <c r="J823" s="60"/>
      <c r="K823" s="60"/>
      <c r="L823" s="60"/>
      <c r="M823" s="60"/>
      <c r="N823" s="60"/>
      <c r="O823" s="60"/>
      <c r="P823" s="60"/>
      <c r="Q823" s="60"/>
      <c r="R823" s="60"/>
      <c r="S823" s="60"/>
      <c r="T823" s="60"/>
      <c r="U823" s="60"/>
      <c r="V823" s="60"/>
      <c r="W823" s="60"/>
      <c r="X823" s="60"/>
      <c r="Y823" s="60"/>
      <c r="Z823" s="60"/>
    </row>
    <row r="824" ht="53.25" customHeight="1">
      <c r="A824" s="60"/>
      <c r="B824" s="60"/>
      <c r="C824" s="84"/>
      <c r="D824" s="60"/>
      <c r="E824" s="60"/>
      <c r="F824" s="85"/>
      <c r="G824" s="85"/>
      <c r="H824" s="60"/>
      <c r="I824" s="60"/>
      <c r="J824" s="60"/>
      <c r="K824" s="60"/>
      <c r="L824" s="60"/>
      <c r="M824" s="60"/>
      <c r="N824" s="60"/>
      <c r="O824" s="60"/>
      <c r="P824" s="60"/>
      <c r="Q824" s="60"/>
      <c r="R824" s="60"/>
      <c r="S824" s="60"/>
      <c r="T824" s="60"/>
      <c r="U824" s="60"/>
      <c r="V824" s="60"/>
      <c r="W824" s="60"/>
      <c r="X824" s="60"/>
      <c r="Y824" s="60"/>
      <c r="Z824" s="60"/>
    </row>
    <row r="825" ht="53.25" customHeight="1">
      <c r="A825" s="60"/>
      <c r="B825" s="60"/>
      <c r="C825" s="84"/>
      <c r="D825" s="60"/>
      <c r="E825" s="60"/>
      <c r="F825" s="85"/>
      <c r="G825" s="85"/>
      <c r="H825" s="60"/>
      <c r="I825" s="60"/>
      <c r="J825" s="60"/>
      <c r="K825" s="60"/>
      <c r="L825" s="60"/>
      <c r="M825" s="60"/>
      <c r="N825" s="60"/>
      <c r="O825" s="60"/>
      <c r="P825" s="60"/>
      <c r="Q825" s="60"/>
      <c r="R825" s="60"/>
      <c r="S825" s="60"/>
      <c r="T825" s="60"/>
      <c r="U825" s="60"/>
      <c r="V825" s="60"/>
      <c r="W825" s="60"/>
      <c r="X825" s="60"/>
      <c r="Y825" s="60"/>
      <c r="Z825" s="60"/>
    </row>
    <row r="826" ht="53.25" customHeight="1">
      <c r="A826" s="60"/>
      <c r="B826" s="60"/>
      <c r="C826" s="84"/>
      <c r="D826" s="60"/>
      <c r="E826" s="60"/>
      <c r="F826" s="85"/>
      <c r="G826" s="85"/>
      <c r="H826" s="60"/>
      <c r="I826" s="60"/>
      <c r="J826" s="60"/>
      <c r="K826" s="60"/>
      <c r="L826" s="60"/>
      <c r="M826" s="60"/>
      <c r="N826" s="60"/>
      <c r="O826" s="60"/>
      <c r="P826" s="60"/>
      <c r="Q826" s="60"/>
      <c r="R826" s="60"/>
      <c r="S826" s="60"/>
      <c r="T826" s="60"/>
      <c r="U826" s="60"/>
      <c r="V826" s="60"/>
      <c r="W826" s="60"/>
      <c r="X826" s="60"/>
      <c r="Y826" s="60"/>
      <c r="Z826" s="60"/>
    </row>
    <row r="827" ht="53.25" customHeight="1">
      <c r="A827" s="60"/>
      <c r="B827" s="60"/>
      <c r="C827" s="84"/>
      <c r="D827" s="60"/>
      <c r="E827" s="60"/>
      <c r="F827" s="85"/>
      <c r="G827" s="85"/>
      <c r="H827" s="60"/>
      <c r="I827" s="60"/>
      <c r="J827" s="60"/>
      <c r="K827" s="60"/>
      <c r="L827" s="60"/>
      <c r="M827" s="60"/>
      <c r="N827" s="60"/>
      <c r="O827" s="60"/>
      <c r="P827" s="60"/>
      <c r="Q827" s="60"/>
      <c r="R827" s="60"/>
      <c r="S827" s="60"/>
      <c r="T827" s="60"/>
      <c r="U827" s="60"/>
      <c r="V827" s="60"/>
      <c r="W827" s="60"/>
      <c r="X827" s="60"/>
      <c r="Y827" s="60"/>
      <c r="Z827" s="60"/>
    </row>
    <row r="828" ht="53.25" customHeight="1">
      <c r="A828" s="60"/>
      <c r="B828" s="60"/>
      <c r="C828" s="84"/>
      <c r="D828" s="60"/>
      <c r="E828" s="60"/>
      <c r="F828" s="85"/>
      <c r="G828" s="85"/>
      <c r="H828" s="60"/>
      <c r="I828" s="60"/>
      <c r="J828" s="60"/>
      <c r="K828" s="60"/>
      <c r="L828" s="60"/>
      <c r="M828" s="60"/>
      <c r="N828" s="60"/>
      <c r="O828" s="60"/>
      <c r="P828" s="60"/>
      <c r="Q828" s="60"/>
      <c r="R828" s="60"/>
      <c r="S828" s="60"/>
      <c r="T828" s="60"/>
      <c r="U828" s="60"/>
      <c r="V828" s="60"/>
      <c r="W828" s="60"/>
      <c r="X828" s="60"/>
      <c r="Y828" s="60"/>
      <c r="Z828" s="60"/>
    </row>
    <row r="829" ht="53.25" customHeight="1">
      <c r="A829" s="60"/>
      <c r="B829" s="60"/>
      <c r="C829" s="84"/>
      <c r="D829" s="60"/>
      <c r="E829" s="60"/>
      <c r="F829" s="85"/>
      <c r="G829" s="85"/>
      <c r="H829" s="60"/>
      <c r="I829" s="60"/>
      <c r="J829" s="60"/>
      <c r="K829" s="60"/>
      <c r="L829" s="60"/>
      <c r="M829" s="60"/>
      <c r="N829" s="60"/>
      <c r="O829" s="60"/>
      <c r="P829" s="60"/>
      <c r="Q829" s="60"/>
      <c r="R829" s="60"/>
      <c r="S829" s="60"/>
      <c r="T829" s="60"/>
      <c r="U829" s="60"/>
      <c r="V829" s="60"/>
      <c r="W829" s="60"/>
      <c r="X829" s="60"/>
      <c r="Y829" s="60"/>
      <c r="Z829" s="60"/>
    </row>
    <row r="830" ht="53.25" customHeight="1">
      <c r="A830" s="60"/>
      <c r="B830" s="60"/>
      <c r="C830" s="84"/>
      <c r="D830" s="60"/>
      <c r="E830" s="60"/>
      <c r="F830" s="85"/>
      <c r="G830" s="85"/>
      <c r="H830" s="60"/>
      <c r="I830" s="60"/>
      <c r="J830" s="60"/>
      <c r="K830" s="60"/>
      <c r="L830" s="60"/>
      <c r="M830" s="60"/>
      <c r="N830" s="60"/>
      <c r="O830" s="60"/>
      <c r="P830" s="60"/>
      <c r="Q830" s="60"/>
      <c r="R830" s="60"/>
      <c r="S830" s="60"/>
      <c r="T830" s="60"/>
      <c r="U830" s="60"/>
      <c r="V830" s="60"/>
      <c r="W830" s="60"/>
      <c r="X830" s="60"/>
      <c r="Y830" s="60"/>
      <c r="Z830" s="60"/>
    </row>
    <row r="831" ht="53.25" customHeight="1">
      <c r="A831" s="60"/>
      <c r="B831" s="60"/>
      <c r="C831" s="84"/>
      <c r="D831" s="60"/>
      <c r="E831" s="60"/>
      <c r="F831" s="85"/>
      <c r="G831" s="85"/>
      <c r="H831" s="60"/>
      <c r="I831" s="60"/>
      <c r="J831" s="60"/>
      <c r="K831" s="60"/>
      <c r="L831" s="60"/>
      <c r="M831" s="60"/>
      <c r="N831" s="60"/>
      <c r="O831" s="60"/>
      <c r="P831" s="60"/>
      <c r="Q831" s="60"/>
      <c r="R831" s="60"/>
      <c r="S831" s="60"/>
      <c r="T831" s="60"/>
      <c r="U831" s="60"/>
      <c r="V831" s="60"/>
      <c r="W831" s="60"/>
      <c r="X831" s="60"/>
      <c r="Y831" s="60"/>
      <c r="Z831" s="60"/>
    </row>
    <row r="832" ht="53.25" customHeight="1">
      <c r="A832" s="60"/>
      <c r="B832" s="60"/>
      <c r="C832" s="84"/>
      <c r="D832" s="60"/>
      <c r="E832" s="60"/>
      <c r="F832" s="85"/>
      <c r="G832" s="85"/>
      <c r="H832" s="60"/>
      <c r="I832" s="60"/>
      <c r="J832" s="60"/>
      <c r="K832" s="60"/>
      <c r="L832" s="60"/>
      <c r="M832" s="60"/>
      <c r="N832" s="60"/>
      <c r="O832" s="60"/>
      <c r="P832" s="60"/>
      <c r="Q832" s="60"/>
      <c r="R832" s="60"/>
      <c r="S832" s="60"/>
      <c r="T832" s="60"/>
      <c r="U832" s="60"/>
      <c r="V832" s="60"/>
      <c r="W832" s="60"/>
      <c r="X832" s="60"/>
      <c r="Y832" s="60"/>
      <c r="Z832" s="60"/>
    </row>
    <row r="833" ht="53.25" customHeight="1">
      <c r="A833" s="60"/>
      <c r="B833" s="60"/>
      <c r="C833" s="84"/>
      <c r="D833" s="60"/>
      <c r="E833" s="60"/>
      <c r="F833" s="85"/>
      <c r="G833" s="85"/>
      <c r="H833" s="60"/>
      <c r="I833" s="60"/>
      <c r="J833" s="60"/>
      <c r="K833" s="60"/>
      <c r="L833" s="60"/>
      <c r="M833" s="60"/>
      <c r="N833" s="60"/>
      <c r="O833" s="60"/>
      <c r="P833" s="60"/>
      <c r="Q833" s="60"/>
      <c r="R833" s="60"/>
      <c r="S833" s="60"/>
      <c r="T833" s="60"/>
      <c r="U833" s="60"/>
      <c r="V833" s="60"/>
      <c r="W833" s="60"/>
      <c r="X833" s="60"/>
      <c r="Y833" s="60"/>
      <c r="Z833" s="60"/>
    </row>
    <row r="834" ht="53.25" customHeight="1">
      <c r="A834" s="60"/>
      <c r="B834" s="60"/>
      <c r="C834" s="84"/>
      <c r="D834" s="60"/>
      <c r="E834" s="60"/>
      <c r="F834" s="85"/>
      <c r="G834" s="85"/>
      <c r="H834" s="60"/>
      <c r="I834" s="60"/>
      <c r="J834" s="60"/>
      <c r="K834" s="60"/>
      <c r="L834" s="60"/>
      <c r="M834" s="60"/>
      <c r="N834" s="60"/>
      <c r="O834" s="60"/>
      <c r="P834" s="60"/>
      <c r="Q834" s="60"/>
      <c r="R834" s="60"/>
      <c r="S834" s="60"/>
      <c r="T834" s="60"/>
      <c r="U834" s="60"/>
      <c r="V834" s="60"/>
      <c r="W834" s="60"/>
      <c r="X834" s="60"/>
      <c r="Y834" s="60"/>
      <c r="Z834" s="60"/>
    </row>
    <row r="835" ht="53.25" customHeight="1">
      <c r="A835" s="60"/>
      <c r="B835" s="60"/>
      <c r="C835" s="84"/>
      <c r="D835" s="60"/>
      <c r="E835" s="60"/>
      <c r="F835" s="85"/>
      <c r="G835" s="85"/>
      <c r="H835" s="60"/>
      <c r="I835" s="60"/>
      <c r="J835" s="60"/>
      <c r="K835" s="60"/>
      <c r="L835" s="60"/>
      <c r="M835" s="60"/>
      <c r="N835" s="60"/>
      <c r="O835" s="60"/>
      <c r="P835" s="60"/>
      <c r="Q835" s="60"/>
      <c r="R835" s="60"/>
      <c r="S835" s="60"/>
      <c r="T835" s="60"/>
      <c r="U835" s="60"/>
      <c r="V835" s="60"/>
      <c r="W835" s="60"/>
      <c r="X835" s="60"/>
      <c r="Y835" s="60"/>
      <c r="Z835" s="60"/>
    </row>
    <row r="836" ht="53.25" customHeight="1">
      <c r="A836" s="60"/>
      <c r="B836" s="60"/>
      <c r="C836" s="84"/>
      <c r="D836" s="60"/>
      <c r="E836" s="60"/>
      <c r="F836" s="85"/>
      <c r="G836" s="85"/>
      <c r="H836" s="60"/>
      <c r="I836" s="60"/>
      <c r="J836" s="60"/>
      <c r="K836" s="60"/>
      <c r="L836" s="60"/>
      <c r="M836" s="60"/>
      <c r="N836" s="60"/>
      <c r="O836" s="60"/>
      <c r="P836" s="60"/>
      <c r="Q836" s="60"/>
      <c r="R836" s="60"/>
      <c r="S836" s="60"/>
      <c r="T836" s="60"/>
      <c r="U836" s="60"/>
      <c r="V836" s="60"/>
      <c r="W836" s="60"/>
      <c r="X836" s="60"/>
      <c r="Y836" s="60"/>
      <c r="Z836" s="60"/>
    </row>
    <row r="837" ht="53.25" customHeight="1">
      <c r="A837" s="60"/>
      <c r="B837" s="60"/>
      <c r="C837" s="84"/>
      <c r="D837" s="60"/>
      <c r="E837" s="60"/>
      <c r="F837" s="85"/>
      <c r="G837" s="85"/>
      <c r="H837" s="60"/>
      <c r="I837" s="60"/>
      <c r="J837" s="60"/>
      <c r="K837" s="60"/>
      <c r="L837" s="60"/>
      <c r="M837" s="60"/>
      <c r="N837" s="60"/>
      <c r="O837" s="60"/>
      <c r="P837" s="60"/>
      <c r="Q837" s="60"/>
      <c r="R837" s="60"/>
      <c r="S837" s="60"/>
      <c r="T837" s="60"/>
      <c r="U837" s="60"/>
      <c r="V837" s="60"/>
      <c r="W837" s="60"/>
      <c r="X837" s="60"/>
      <c r="Y837" s="60"/>
      <c r="Z837" s="60"/>
    </row>
    <row r="838" ht="53.25" customHeight="1">
      <c r="A838" s="60"/>
      <c r="B838" s="60"/>
      <c r="C838" s="84"/>
      <c r="D838" s="60"/>
      <c r="E838" s="60"/>
      <c r="F838" s="85"/>
      <c r="G838" s="85"/>
      <c r="H838" s="60"/>
      <c r="I838" s="60"/>
      <c r="J838" s="60"/>
      <c r="K838" s="60"/>
      <c r="L838" s="60"/>
      <c r="M838" s="60"/>
      <c r="N838" s="60"/>
      <c r="O838" s="60"/>
      <c r="P838" s="60"/>
      <c r="Q838" s="60"/>
      <c r="R838" s="60"/>
      <c r="S838" s="60"/>
      <c r="T838" s="60"/>
      <c r="U838" s="60"/>
      <c r="V838" s="60"/>
      <c r="W838" s="60"/>
      <c r="X838" s="60"/>
      <c r="Y838" s="60"/>
      <c r="Z838" s="60"/>
    </row>
    <row r="839" ht="53.25" customHeight="1">
      <c r="A839" s="60"/>
      <c r="B839" s="60"/>
      <c r="C839" s="84"/>
      <c r="D839" s="60"/>
      <c r="E839" s="60"/>
      <c r="F839" s="85"/>
      <c r="G839" s="85"/>
      <c r="H839" s="60"/>
      <c r="I839" s="60"/>
      <c r="J839" s="60"/>
      <c r="K839" s="60"/>
      <c r="L839" s="60"/>
      <c r="M839" s="60"/>
      <c r="N839" s="60"/>
      <c r="O839" s="60"/>
      <c r="P839" s="60"/>
      <c r="Q839" s="60"/>
      <c r="R839" s="60"/>
      <c r="S839" s="60"/>
      <c r="T839" s="60"/>
      <c r="U839" s="60"/>
      <c r="V839" s="60"/>
      <c r="W839" s="60"/>
      <c r="X839" s="60"/>
      <c r="Y839" s="60"/>
      <c r="Z839" s="60"/>
    </row>
    <row r="840" ht="53.25" customHeight="1">
      <c r="A840" s="60"/>
      <c r="B840" s="60"/>
      <c r="C840" s="84"/>
      <c r="D840" s="60"/>
      <c r="E840" s="60"/>
      <c r="F840" s="85"/>
      <c r="G840" s="85"/>
      <c r="H840" s="60"/>
      <c r="I840" s="60"/>
      <c r="J840" s="60"/>
      <c r="K840" s="60"/>
      <c r="L840" s="60"/>
      <c r="M840" s="60"/>
      <c r="N840" s="60"/>
      <c r="O840" s="60"/>
      <c r="P840" s="60"/>
      <c r="Q840" s="60"/>
      <c r="R840" s="60"/>
      <c r="S840" s="60"/>
      <c r="T840" s="60"/>
      <c r="U840" s="60"/>
      <c r="V840" s="60"/>
      <c r="W840" s="60"/>
      <c r="X840" s="60"/>
      <c r="Y840" s="60"/>
      <c r="Z840" s="60"/>
    </row>
    <row r="841" ht="53.25" customHeight="1">
      <c r="A841" s="60"/>
      <c r="B841" s="60"/>
      <c r="C841" s="84"/>
      <c r="D841" s="60"/>
      <c r="E841" s="60"/>
      <c r="F841" s="85"/>
      <c r="G841" s="85"/>
      <c r="H841" s="60"/>
      <c r="I841" s="60"/>
      <c r="J841" s="60"/>
      <c r="K841" s="60"/>
      <c r="L841" s="60"/>
      <c r="M841" s="60"/>
      <c r="N841" s="60"/>
      <c r="O841" s="60"/>
      <c r="P841" s="60"/>
      <c r="Q841" s="60"/>
      <c r="R841" s="60"/>
      <c r="S841" s="60"/>
      <c r="T841" s="60"/>
      <c r="U841" s="60"/>
      <c r="V841" s="60"/>
      <c r="W841" s="60"/>
      <c r="X841" s="60"/>
      <c r="Y841" s="60"/>
      <c r="Z841" s="60"/>
    </row>
    <row r="842" ht="53.25" customHeight="1">
      <c r="A842" s="60"/>
      <c r="B842" s="60"/>
      <c r="C842" s="84"/>
      <c r="D842" s="60"/>
      <c r="E842" s="60"/>
      <c r="F842" s="85"/>
      <c r="G842" s="85"/>
      <c r="H842" s="60"/>
      <c r="I842" s="60"/>
      <c r="J842" s="60"/>
      <c r="K842" s="60"/>
      <c r="L842" s="60"/>
      <c r="M842" s="60"/>
      <c r="N842" s="60"/>
      <c r="O842" s="60"/>
      <c r="P842" s="60"/>
      <c r="Q842" s="60"/>
      <c r="R842" s="60"/>
      <c r="S842" s="60"/>
      <c r="T842" s="60"/>
      <c r="U842" s="60"/>
      <c r="V842" s="60"/>
      <c r="W842" s="60"/>
      <c r="X842" s="60"/>
      <c r="Y842" s="60"/>
      <c r="Z842" s="60"/>
    </row>
    <row r="843" ht="53.25" customHeight="1">
      <c r="A843" s="60"/>
      <c r="B843" s="60"/>
      <c r="C843" s="84"/>
      <c r="D843" s="60"/>
      <c r="E843" s="60"/>
      <c r="F843" s="85"/>
      <c r="G843" s="85"/>
      <c r="H843" s="60"/>
      <c r="I843" s="60"/>
      <c r="J843" s="60"/>
      <c r="K843" s="60"/>
      <c r="L843" s="60"/>
      <c r="M843" s="60"/>
      <c r="N843" s="60"/>
      <c r="O843" s="60"/>
      <c r="P843" s="60"/>
      <c r="Q843" s="60"/>
      <c r="R843" s="60"/>
      <c r="S843" s="60"/>
      <c r="T843" s="60"/>
      <c r="U843" s="60"/>
      <c r="V843" s="60"/>
      <c r="W843" s="60"/>
      <c r="X843" s="60"/>
      <c r="Y843" s="60"/>
      <c r="Z843" s="60"/>
    </row>
    <row r="844" ht="53.25" customHeight="1">
      <c r="A844" s="60"/>
      <c r="B844" s="60"/>
      <c r="C844" s="84"/>
      <c r="D844" s="60"/>
      <c r="E844" s="60"/>
      <c r="F844" s="85"/>
      <c r="G844" s="85"/>
      <c r="H844" s="60"/>
      <c r="I844" s="60"/>
      <c r="J844" s="60"/>
      <c r="K844" s="60"/>
      <c r="L844" s="60"/>
      <c r="M844" s="60"/>
      <c r="N844" s="60"/>
      <c r="O844" s="60"/>
      <c r="P844" s="60"/>
      <c r="Q844" s="60"/>
      <c r="R844" s="60"/>
      <c r="S844" s="60"/>
      <c r="T844" s="60"/>
      <c r="U844" s="60"/>
      <c r="V844" s="60"/>
      <c r="W844" s="60"/>
      <c r="X844" s="60"/>
      <c r="Y844" s="60"/>
      <c r="Z844" s="60"/>
    </row>
    <row r="845" ht="53.25" customHeight="1">
      <c r="A845" s="60"/>
      <c r="B845" s="60"/>
      <c r="C845" s="84"/>
      <c r="D845" s="60"/>
      <c r="E845" s="60"/>
      <c r="F845" s="85"/>
      <c r="G845" s="85"/>
      <c r="H845" s="60"/>
      <c r="I845" s="60"/>
      <c r="J845" s="60"/>
      <c r="K845" s="60"/>
      <c r="L845" s="60"/>
      <c r="M845" s="60"/>
      <c r="N845" s="60"/>
      <c r="O845" s="60"/>
      <c r="P845" s="60"/>
      <c r="Q845" s="60"/>
      <c r="R845" s="60"/>
      <c r="S845" s="60"/>
      <c r="T845" s="60"/>
      <c r="U845" s="60"/>
      <c r="V845" s="60"/>
      <c r="W845" s="60"/>
      <c r="X845" s="60"/>
      <c r="Y845" s="60"/>
      <c r="Z845" s="60"/>
    </row>
    <row r="846" ht="53.25" customHeight="1">
      <c r="A846" s="60"/>
      <c r="B846" s="60"/>
      <c r="C846" s="84"/>
      <c r="D846" s="60"/>
      <c r="E846" s="60"/>
      <c r="F846" s="85"/>
      <c r="G846" s="85"/>
      <c r="H846" s="60"/>
      <c r="I846" s="60"/>
      <c r="J846" s="60"/>
      <c r="K846" s="60"/>
      <c r="L846" s="60"/>
      <c r="M846" s="60"/>
      <c r="N846" s="60"/>
      <c r="O846" s="60"/>
      <c r="P846" s="60"/>
      <c r="Q846" s="60"/>
      <c r="R846" s="60"/>
      <c r="S846" s="60"/>
      <c r="T846" s="60"/>
      <c r="U846" s="60"/>
      <c r="V846" s="60"/>
      <c r="W846" s="60"/>
      <c r="X846" s="60"/>
      <c r="Y846" s="60"/>
      <c r="Z846" s="60"/>
    </row>
    <row r="847" ht="53.25" customHeight="1">
      <c r="A847" s="60"/>
      <c r="B847" s="60"/>
      <c r="C847" s="84"/>
      <c r="D847" s="60"/>
      <c r="E847" s="60"/>
      <c r="F847" s="85"/>
      <c r="G847" s="85"/>
      <c r="H847" s="60"/>
      <c r="I847" s="60"/>
      <c r="J847" s="60"/>
      <c r="K847" s="60"/>
      <c r="L847" s="60"/>
      <c r="M847" s="60"/>
      <c r="N847" s="60"/>
      <c r="O847" s="60"/>
      <c r="P847" s="60"/>
      <c r="Q847" s="60"/>
      <c r="R847" s="60"/>
      <c r="S847" s="60"/>
      <c r="T847" s="60"/>
      <c r="U847" s="60"/>
      <c r="V847" s="60"/>
      <c r="W847" s="60"/>
      <c r="X847" s="60"/>
      <c r="Y847" s="60"/>
      <c r="Z847" s="60"/>
    </row>
    <row r="848" ht="53.25" customHeight="1">
      <c r="A848" s="60"/>
      <c r="B848" s="60"/>
      <c r="C848" s="84"/>
      <c r="D848" s="60"/>
      <c r="E848" s="60"/>
      <c r="F848" s="85"/>
      <c r="G848" s="85"/>
      <c r="H848" s="60"/>
      <c r="I848" s="60"/>
      <c r="J848" s="60"/>
      <c r="K848" s="60"/>
      <c r="L848" s="60"/>
      <c r="M848" s="60"/>
      <c r="N848" s="60"/>
      <c r="O848" s="60"/>
      <c r="P848" s="60"/>
      <c r="Q848" s="60"/>
      <c r="R848" s="60"/>
      <c r="S848" s="60"/>
      <c r="T848" s="60"/>
      <c r="U848" s="60"/>
      <c r="V848" s="60"/>
      <c r="W848" s="60"/>
      <c r="X848" s="60"/>
      <c r="Y848" s="60"/>
      <c r="Z848" s="60"/>
    </row>
    <row r="849" ht="53.25" customHeight="1">
      <c r="A849" s="60"/>
      <c r="B849" s="60"/>
      <c r="C849" s="84"/>
      <c r="D849" s="60"/>
      <c r="E849" s="60"/>
      <c r="F849" s="85"/>
      <c r="G849" s="85"/>
      <c r="H849" s="60"/>
      <c r="I849" s="60"/>
      <c r="J849" s="60"/>
      <c r="K849" s="60"/>
      <c r="L849" s="60"/>
      <c r="M849" s="60"/>
      <c r="N849" s="60"/>
      <c r="O849" s="60"/>
      <c r="P849" s="60"/>
      <c r="Q849" s="60"/>
      <c r="R849" s="60"/>
      <c r="S849" s="60"/>
      <c r="T849" s="60"/>
      <c r="U849" s="60"/>
      <c r="V849" s="60"/>
      <c r="W849" s="60"/>
      <c r="X849" s="60"/>
      <c r="Y849" s="60"/>
      <c r="Z849" s="60"/>
    </row>
    <row r="850" ht="53.25" customHeight="1">
      <c r="A850" s="60"/>
      <c r="B850" s="60"/>
      <c r="C850" s="84"/>
      <c r="D850" s="60"/>
      <c r="E850" s="60"/>
      <c r="F850" s="85"/>
      <c r="G850" s="85"/>
      <c r="H850" s="60"/>
      <c r="I850" s="60"/>
      <c r="J850" s="60"/>
      <c r="K850" s="60"/>
      <c r="L850" s="60"/>
      <c r="M850" s="60"/>
      <c r="N850" s="60"/>
      <c r="O850" s="60"/>
      <c r="P850" s="60"/>
      <c r="Q850" s="60"/>
      <c r="R850" s="60"/>
      <c r="S850" s="60"/>
      <c r="T850" s="60"/>
      <c r="U850" s="60"/>
      <c r="V850" s="60"/>
      <c r="W850" s="60"/>
      <c r="X850" s="60"/>
      <c r="Y850" s="60"/>
      <c r="Z850" s="60"/>
    </row>
    <row r="851" ht="53.25" customHeight="1">
      <c r="A851" s="60"/>
      <c r="B851" s="60"/>
      <c r="C851" s="84"/>
      <c r="D851" s="60"/>
      <c r="E851" s="60"/>
      <c r="F851" s="85"/>
      <c r="G851" s="85"/>
      <c r="H851" s="60"/>
      <c r="I851" s="60"/>
      <c r="J851" s="60"/>
      <c r="K851" s="60"/>
      <c r="L851" s="60"/>
      <c r="M851" s="60"/>
      <c r="N851" s="60"/>
      <c r="O851" s="60"/>
      <c r="P851" s="60"/>
      <c r="Q851" s="60"/>
      <c r="R851" s="60"/>
      <c r="S851" s="60"/>
      <c r="T851" s="60"/>
      <c r="U851" s="60"/>
      <c r="V851" s="60"/>
      <c r="W851" s="60"/>
      <c r="X851" s="60"/>
      <c r="Y851" s="60"/>
      <c r="Z851" s="60"/>
    </row>
    <row r="852" ht="53.25" customHeight="1">
      <c r="A852" s="60"/>
      <c r="B852" s="60"/>
      <c r="C852" s="84"/>
      <c r="D852" s="60"/>
      <c r="E852" s="60"/>
      <c r="F852" s="85"/>
      <c r="G852" s="85"/>
      <c r="H852" s="60"/>
      <c r="I852" s="60"/>
      <c r="J852" s="60"/>
      <c r="K852" s="60"/>
      <c r="L852" s="60"/>
      <c r="M852" s="60"/>
      <c r="N852" s="60"/>
      <c r="O852" s="60"/>
      <c r="P852" s="60"/>
      <c r="Q852" s="60"/>
      <c r="R852" s="60"/>
      <c r="S852" s="60"/>
      <c r="T852" s="60"/>
      <c r="U852" s="60"/>
      <c r="V852" s="60"/>
      <c r="W852" s="60"/>
      <c r="X852" s="60"/>
      <c r="Y852" s="60"/>
      <c r="Z852" s="60"/>
    </row>
    <row r="853" ht="53.25" customHeight="1">
      <c r="A853" s="60"/>
      <c r="B853" s="60"/>
      <c r="C853" s="84"/>
      <c r="D853" s="60"/>
      <c r="E853" s="60"/>
      <c r="F853" s="85"/>
      <c r="G853" s="85"/>
      <c r="H853" s="60"/>
      <c r="I853" s="60"/>
      <c r="J853" s="60"/>
      <c r="K853" s="60"/>
      <c r="L853" s="60"/>
      <c r="M853" s="60"/>
      <c r="N853" s="60"/>
      <c r="O853" s="60"/>
      <c r="P853" s="60"/>
      <c r="Q853" s="60"/>
      <c r="R853" s="60"/>
      <c r="S853" s="60"/>
      <c r="T853" s="60"/>
      <c r="U853" s="60"/>
      <c r="V853" s="60"/>
      <c r="W853" s="60"/>
      <c r="X853" s="60"/>
      <c r="Y853" s="60"/>
      <c r="Z853" s="60"/>
    </row>
    <row r="854" ht="53.25" customHeight="1">
      <c r="A854" s="60"/>
      <c r="B854" s="60"/>
      <c r="C854" s="84"/>
      <c r="D854" s="60"/>
      <c r="E854" s="60"/>
      <c r="F854" s="85"/>
      <c r="G854" s="85"/>
      <c r="H854" s="60"/>
      <c r="I854" s="60"/>
      <c r="J854" s="60"/>
      <c r="K854" s="60"/>
      <c r="L854" s="60"/>
      <c r="M854" s="60"/>
      <c r="N854" s="60"/>
      <c r="O854" s="60"/>
      <c r="P854" s="60"/>
      <c r="Q854" s="60"/>
      <c r="R854" s="60"/>
      <c r="S854" s="60"/>
      <c r="T854" s="60"/>
      <c r="U854" s="60"/>
      <c r="V854" s="60"/>
      <c r="W854" s="60"/>
      <c r="X854" s="60"/>
      <c r="Y854" s="60"/>
      <c r="Z854" s="60"/>
    </row>
    <row r="855" ht="53.25" customHeight="1">
      <c r="A855" s="60"/>
      <c r="B855" s="60"/>
      <c r="C855" s="84"/>
      <c r="D855" s="60"/>
      <c r="E855" s="60"/>
      <c r="F855" s="85"/>
      <c r="G855" s="85"/>
      <c r="H855" s="60"/>
      <c r="I855" s="60"/>
      <c r="J855" s="60"/>
      <c r="K855" s="60"/>
      <c r="L855" s="60"/>
      <c r="M855" s="60"/>
      <c r="N855" s="60"/>
      <c r="O855" s="60"/>
      <c r="P855" s="60"/>
      <c r="Q855" s="60"/>
      <c r="R855" s="60"/>
      <c r="S855" s="60"/>
      <c r="T855" s="60"/>
      <c r="U855" s="60"/>
      <c r="V855" s="60"/>
      <c r="W855" s="60"/>
      <c r="X855" s="60"/>
      <c r="Y855" s="60"/>
      <c r="Z855" s="60"/>
    </row>
    <row r="856" ht="53.25" customHeight="1">
      <c r="A856" s="60"/>
      <c r="B856" s="60"/>
      <c r="C856" s="84"/>
      <c r="D856" s="60"/>
      <c r="E856" s="60"/>
      <c r="F856" s="85"/>
      <c r="G856" s="85"/>
      <c r="H856" s="60"/>
      <c r="I856" s="60"/>
      <c r="J856" s="60"/>
      <c r="K856" s="60"/>
      <c r="L856" s="60"/>
      <c r="M856" s="60"/>
      <c r="N856" s="60"/>
      <c r="O856" s="60"/>
      <c r="P856" s="60"/>
      <c r="Q856" s="60"/>
      <c r="R856" s="60"/>
      <c r="S856" s="60"/>
      <c r="T856" s="60"/>
      <c r="U856" s="60"/>
      <c r="V856" s="60"/>
      <c r="W856" s="60"/>
      <c r="X856" s="60"/>
      <c r="Y856" s="60"/>
      <c r="Z856" s="60"/>
    </row>
    <row r="857" ht="53.25" customHeight="1">
      <c r="A857" s="60"/>
      <c r="B857" s="60"/>
      <c r="C857" s="84"/>
      <c r="D857" s="60"/>
      <c r="E857" s="60"/>
      <c r="F857" s="85"/>
      <c r="G857" s="85"/>
      <c r="H857" s="60"/>
      <c r="I857" s="60"/>
      <c r="J857" s="60"/>
      <c r="K857" s="60"/>
      <c r="L857" s="60"/>
      <c r="M857" s="60"/>
      <c r="N857" s="60"/>
      <c r="O857" s="60"/>
      <c r="P857" s="60"/>
      <c r="Q857" s="60"/>
      <c r="R857" s="60"/>
      <c r="S857" s="60"/>
      <c r="T857" s="60"/>
      <c r="U857" s="60"/>
      <c r="V857" s="60"/>
      <c r="W857" s="60"/>
      <c r="X857" s="60"/>
      <c r="Y857" s="60"/>
      <c r="Z857" s="60"/>
    </row>
    <row r="858" ht="53.25" customHeight="1">
      <c r="A858" s="60"/>
      <c r="B858" s="60"/>
      <c r="C858" s="84"/>
      <c r="D858" s="60"/>
      <c r="E858" s="60"/>
      <c r="F858" s="85"/>
      <c r="G858" s="85"/>
      <c r="H858" s="60"/>
      <c r="I858" s="60"/>
      <c r="J858" s="60"/>
      <c r="K858" s="60"/>
      <c r="L858" s="60"/>
      <c r="M858" s="60"/>
      <c r="N858" s="60"/>
      <c r="O858" s="60"/>
      <c r="P858" s="60"/>
      <c r="Q858" s="60"/>
      <c r="R858" s="60"/>
      <c r="S858" s="60"/>
      <c r="T858" s="60"/>
      <c r="U858" s="60"/>
      <c r="V858" s="60"/>
      <c r="W858" s="60"/>
      <c r="X858" s="60"/>
      <c r="Y858" s="60"/>
      <c r="Z858" s="60"/>
    </row>
    <row r="859" ht="53.25" customHeight="1">
      <c r="A859" s="60"/>
      <c r="B859" s="60"/>
      <c r="C859" s="84"/>
      <c r="D859" s="60"/>
      <c r="E859" s="60"/>
      <c r="F859" s="85"/>
      <c r="G859" s="85"/>
      <c r="H859" s="60"/>
      <c r="I859" s="60"/>
      <c r="J859" s="60"/>
      <c r="K859" s="60"/>
      <c r="L859" s="60"/>
      <c r="M859" s="60"/>
      <c r="N859" s="60"/>
      <c r="O859" s="60"/>
      <c r="P859" s="60"/>
      <c r="Q859" s="60"/>
      <c r="R859" s="60"/>
      <c r="S859" s="60"/>
      <c r="T859" s="60"/>
      <c r="U859" s="60"/>
      <c r="V859" s="60"/>
      <c r="W859" s="60"/>
      <c r="X859" s="60"/>
      <c r="Y859" s="60"/>
      <c r="Z859" s="60"/>
    </row>
    <row r="860" ht="53.25" customHeight="1">
      <c r="A860" s="60"/>
      <c r="B860" s="60"/>
      <c r="C860" s="84"/>
      <c r="D860" s="60"/>
      <c r="E860" s="60"/>
      <c r="F860" s="85"/>
      <c r="G860" s="85"/>
      <c r="H860" s="60"/>
      <c r="I860" s="60"/>
      <c r="J860" s="60"/>
      <c r="K860" s="60"/>
      <c r="L860" s="60"/>
      <c r="M860" s="60"/>
      <c r="N860" s="60"/>
      <c r="O860" s="60"/>
      <c r="P860" s="60"/>
      <c r="Q860" s="60"/>
      <c r="R860" s="60"/>
      <c r="S860" s="60"/>
      <c r="T860" s="60"/>
      <c r="U860" s="60"/>
      <c r="V860" s="60"/>
      <c r="W860" s="60"/>
      <c r="X860" s="60"/>
      <c r="Y860" s="60"/>
      <c r="Z860" s="60"/>
    </row>
    <row r="861" ht="53.25" customHeight="1">
      <c r="A861" s="60"/>
      <c r="B861" s="60"/>
      <c r="C861" s="84"/>
      <c r="D861" s="60"/>
      <c r="E861" s="60"/>
      <c r="F861" s="85"/>
      <c r="G861" s="85"/>
      <c r="H861" s="60"/>
      <c r="I861" s="60"/>
      <c r="J861" s="60"/>
      <c r="K861" s="60"/>
      <c r="L861" s="60"/>
      <c r="M861" s="60"/>
      <c r="N861" s="60"/>
      <c r="O861" s="60"/>
      <c r="P861" s="60"/>
      <c r="Q861" s="60"/>
      <c r="R861" s="60"/>
      <c r="S861" s="60"/>
      <c r="T861" s="60"/>
      <c r="U861" s="60"/>
      <c r="V861" s="60"/>
      <c r="W861" s="60"/>
      <c r="X861" s="60"/>
      <c r="Y861" s="60"/>
      <c r="Z861" s="60"/>
    </row>
    <row r="862" ht="53.25" customHeight="1">
      <c r="A862" s="60"/>
      <c r="B862" s="60"/>
      <c r="C862" s="84"/>
      <c r="D862" s="60"/>
      <c r="E862" s="60"/>
      <c r="F862" s="85"/>
      <c r="G862" s="85"/>
      <c r="H862" s="60"/>
      <c r="I862" s="60"/>
      <c r="J862" s="60"/>
      <c r="K862" s="60"/>
      <c r="L862" s="60"/>
      <c r="M862" s="60"/>
      <c r="N862" s="60"/>
      <c r="O862" s="60"/>
      <c r="P862" s="60"/>
      <c r="Q862" s="60"/>
      <c r="R862" s="60"/>
      <c r="S862" s="60"/>
      <c r="T862" s="60"/>
      <c r="U862" s="60"/>
      <c r="V862" s="60"/>
      <c r="W862" s="60"/>
      <c r="X862" s="60"/>
      <c r="Y862" s="60"/>
      <c r="Z862" s="60"/>
    </row>
    <row r="863" ht="53.25" customHeight="1">
      <c r="A863" s="60"/>
      <c r="B863" s="60"/>
      <c r="C863" s="84"/>
      <c r="D863" s="60"/>
      <c r="E863" s="60"/>
      <c r="F863" s="85"/>
      <c r="G863" s="85"/>
      <c r="H863" s="60"/>
      <c r="I863" s="60"/>
      <c r="J863" s="60"/>
      <c r="K863" s="60"/>
      <c r="L863" s="60"/>
      <c r="M863" s="60"/>
      <c r="N863" s="60"/>
      <c r="O863" s="60"/>
      <c r="P863" s="60"/>
      <c r="Q863" s="60"/>
      <c r="R863" s="60"/>
      <c r="S863" s="60"/>
      <c r="T863" s="60"/>
      <c r="U863" s="60"/>
      <c r="V863" s="60"/>
      <c r="W863" s="60"/>
      <c r="X863" s="60"/>
      <c r="Y863" s="60"/>
      <c r="Z863" s="60"/>
    </row>
    <row r="864" ht="53.25" customHeight="1">
      <c r="A864" s="60"/>
      <c r="B864" s="60"/>
      <c r="C864" s="84"/>
      <c r="D864" s="60"/>
      <c r="E864" s="60"/>
      <c r="F864" s="85"/>
      <c r="G864" s="85"/>
      <c r="H864" s="60"/>
      <c r="I864" s="60"/>
      <c r="J864" s="60"/>
      <c r="K864" s="60"/>
      <c r="L864" s="60"/>
      <c r="M864" s="60"/>
      <c r="N864" s="60"/>
      <c r="O864" s="60"/>
      <c r="P864" s="60"/>
      <c r="Q864" s="60"/>
      <c r="R864" s="60"/>
      <c r="S864" s="60"/>
      <c r="T864" s="60"/>
      <c r="U864" s="60"/>
      <c r="V864" s="60"/>
      <c r="W864" s="60"/>
      <c r="X864" s="60"/>
      <c r="Y864" s="60"/>
      <c r="Z864" s="60"/>
    </row>
    <row r="865" ht="53.25" customHeight="1">
      <c r="A865" s="60"/>
      <c r="B865" s="60"/>
      <c r="C865" s="84"/>
      <c r="D865" s="60"/>
      <c r="E865" s="60"/>
      <c r="F865" s="85"/>
      <c r="G865" s="85"/>
      <c r="H865" s="60"/>
      <c r="I865" s="60"/>
      <c r="J865" s="60"/>
      <c r="K865" s="60"/>
      <c r="L865" s="60"/>
      <c r="M865" s="60"/>
      <c r="N865" s="60"/>
      <c r="O865" s="60"/>
      <c r="P865" s="60"/>
      <c r="Q865" s="60"/>
      <c r="R865" s="60"/>
      <c r="S865" s="60"/>
      <c r="T865" s="60"/>
      <c r="U865" s="60"/>
      <c r="V865" s="60"/>
      <c r="W865" s="60"/>
      <c r="X865" s="60"/>
      <c r="Y865" s="60"/>
      <c r="Z865" s="60"/>
    </row>
    <row r="866" ht="53.25" customHeight="1">
      <c r="A866" s="60"/>
      <c r="B866" s="60"/>
      <c r="C866" s="84"/>
      <c r="D866" s="60"/>
      <c r="E866" s="60"/>
      <c r="F866" s="85"/>
      <c r="G866" s="85"/>
      <c r="H866" s="60"/>
      <c r="I866" s="60"/>
      <c r="J866" s="60"/>
      <c r="K866" s="60"/>
      <c r="L866" s="60"/>
      <c r="M866" s="60"/>
      <c r="N866" s="60"/>
      <c r="O866" s="60"/>
      <c r="P866" s="60"/>
      <c r="Q866" s="60"/>
      <c r="R866" s="60"/>
      <c r="S866" s="60"/>
      <c r="T866" s="60"/>
      <c r="U866" s="60"/>
      <c r="V866" s="60"/>
      <c r="W866" s="60"/>
      <c r="X866" s="60"/>
      <c r="Y866" s="60"/>
      <c r="Z866" s="60"/>
    </row>
    <row r="867" ht="53.25" customHeight="1">
      <c r="A867" s="60"/>
      <c r="B867" s="60"/>
      <c r="C867" s="84"/>
      <c r="D867" s="60"/>
      <c r="E867" s="60"/>
      <c r="F867" s="85"/>
      <c r="G867" s="85"/>
      <c r="H867" s="60"/>
      <c r="I867" s="60"/>
      <c r="J867" s="60"/>
      <c r="K867" s="60"/>
      <c r="L867" s="60"/>
      <c r="M867" s="60"/>
      <c r="N867" s="60"/>
      <c r="O867" s="60"/>
      <c r="P867" s="60"/>
      <c r="Q867" s="60"/>
      <c r="R867" s="60"/>
      <c r="S867" s="60"/>
      <c r="T867" s="60"/>
      <c r="U867" s="60"/>
      <c r="V867" s="60"/>
      <c r="W867" s="60"/>
      <c r="X867" s="60"/>
      <c r="Y867" s="60"/>
      <c r="Z867" s="60"/>
    </row>
    <row r="868" ht="53.25" customHeight="1">
      <c r="A868" s="60"/>
      <c r="B868" s="60"/>
      <c r="C868" s="84"/>
      <c r="D868" s="60"/>
      <c r="E868" s="60"/>
      <c r="F868" s="85"/>
      <c r="G868" s="85"/>
      <c r="H868" s="60"/>
      <c r="I868" s="60"/>
      <c r="J868" s="60"/>
      <c r="K868" s="60"/>
      <c r="L868" s="60"/>
      <c r="M868" s="60"/>
      <c r="N868" s="60"/>
      <c r="O868" s="60"/>
      <c r="P868" s="60"/>
      <c r="Q868" s="60"/>
      <c r="R868" s="60"/>
      <c r="S868" s="60"/>
      <c r="T868" s="60"/>
      <c r="U868" s="60"/>
      <c r="V868" s="60"/>
      <c r="W868" s="60"/>
      <c r="X868" s="60"/>
      <c r="Y868" s="60"/>
      <c r="Z868" s="60"/>
    </row>
    <row r="869" ht="53.25" customHeight="1">
      <c r="A869" s="60"/>
      <c r="B869" s="60"/>
      <c r="C869" s="84"/>
      <c r="D869" s="60"/>
      <c r="E869" s="60"/>
      <c r="F869" s="85"/>
      <c r="G869" s="85"/>
      <c r="H869" s="60"/>
      <c r="I869" s="60"/>
      <c r="J869" s="60"/>
      <c r="K869" s="60"/>
      <c r="L869" s="60"/>
      <c r="M869" s="60"/>
      <c r="N869" s="60"/>
      <c r="O869" s="60"/>
      <c r="P869" s="60"/>
      <c r="Q869" s="60"/>
      <c r="R869" s="60"/>
      <c r="S869" s="60"/>
      <c r="T869" s="60"/>
      <c r="U869" s="60"/>
      <c r="V869" s="60"/>
      <c r="W869" s="60"/>
      <c r="X869" s="60"/>
      <c r="Y869" s="60"/>
      <c r="Z869" s="60"/>
    </row>
    <row r="870" ht="53.25" customHeight="1">
      <c r="A870" s="60"/>
      <c r="B870" s="60"/>
      <c r="C870" s="84"/>
      <c r="D870" s="60"/>
      <c r="E870" s="60"/>
      <c r="F870" s="85"/>
      <c r="G870" s="85"/>
      <c r="H870" s="60"/>
      <c r="I870" s="60"/>
      <c r="J870" s="60"/>
      <c r="K870" s="60"/>
      <c r="L870" s="60"/>
      <c r="M870" s="60"/>
      <c r="N870" s="60"/>
      <c r="O870" s="60"/>
      <c r="P870" s="60"/>
      <c r="Q870" s="60"/>
      <c r="R870" s="60"/>
      <c r="S870" s="60"/>
      <c r="T870" s="60"/>
      <c r="U870" s="60"/>
      <c r="V870" s="60"/>
      <c r="W870" s="60"/>
      <c r="X870" s="60"/>
      <c r="Y870" s="60"/>
      <c r="Z870" s="60"/>
    </row>
    <row r="871" ht="53.25" customHeight="1">
      <c r="A871" s="60"/>
      <c r="B871" s="60"/>
      <c r="C871" s="84"/>
      <c r="D871" s="60"/>
      <c r="E871" s="60"/>
      <c r="F871" s="85"/>
      <c r="G871" s="85"/>
      <c r="H871" s="60"/>
      <c r="I871" s="60"/>
      <c r="J871" s="60"/>
      <c r="K871" s="60"/>
      <c r="L871" s="60"/>
      <c r="M871" s="60"/>
      <c r="N871" s="60"/>
      <c r="O871" s="60"/>
      <c r="P871" s="60"/>
      <c r="Q871" s="60"/>
      <c r="R871" s="60"/>
      <c r="S871" s="60"/>
      <c r="T871" s="60"/>
      <c r="U871" s="60"/>
      <c r="V871" s="60"/>
      <c r="W871" s="60"/>
      <c r="X871" s="60"/>
      <c r="Y871" s="60"/>
      <c r="Z871" s="60"/>
    </row>
    <row r="872" ht="53.25" customHeight="1">
      <c r="A872" s="60"/>
      <c r="B872" s="60"/>
      <c r="C872" s="84"/>
      <c r="D872" s="60"/>
      <c r="E872" s="60"/>
      <c r="F872" s="85"/>
      <c r="G872" s="85"/>
      <c r="H872" s="60"/>
      <c r="I872" s="60"/>
      <c r="J872" s="60"/>
      <c r="K872" s="60"/>
      <c r="L872" s="60"/>
      <c r="M872" s="60"/>
      <c r="N872" s="60"/>
      <c r="O872" s="60"/>
      <c r="P872" s="60"/>
      <c r="Q872" s="60"/>
      <c r="R872" s="60"/>
      <c r="S872" s="60"/>
      <c r="T872" s="60"/>
      <c r="U872" s="60"/>
      <c r="V872" s="60"/>
      <c r="W872" s="60"/>
      <c r="X872" s="60"/>
      <c r="Y872" s="60"/>
      <c r="Z872" s="60"/>
    </row>
    <row r="873" ht="53.25" customHeight="1">
      <c r="A873" s="60"/>
      <c r="B873" s="60"/>
      <c r="C873" s="84"/>
      <c r="D873" s="60"/>
      <c r="E873" s="60"/>
      <c r="F873" s="85"/>
      <c r="G873" s="85"/>
      <c r="H873" s="60"/>
      <c r="I873" s="60"/>
      <c r="J873" s="60"/>
      <c r="K873" s="60"/>
      <c r="L873" s="60"/>
      <c r="M873" s="60"/>
      <c r="N873" s="60"/>
      <c r="O873" s="60"/>
      <c r="P873" s="60"/>
      <c r="Q873" s="60"/>
      <c r="R873" s="60"/>
      <c r="S873" s="60"/>
      <c r="T873" s="60"/>
      <c r="U873" s="60"/>
      <c r="V873" s="60"/>
      <c r="W873" s="60"/>
      <c r="X873" s="60"/>
      <c r="Y873" s="60"/>
      <c r="Z873" s="60"/>
    </row>
    <row r="874" ht="53.25" customHeight="1">
      <c r="A874" s="60"/>
      <c r="B874" s="60"/>
      <c r="C874" s="84"/>
      <c r="D874" s="60"/>
      <c r="E874" s="60"/>
      <c r="F874" s="85"/>
      <c r="G874" s="85"/>
      <c r="H874" s="60"/>
      <c r="I874" s="60"/>
      <c r="J874" s="60"/>
      <c r="K874" s="60"/>
      <c r="L874" s="60"/>
      <c r="M874" s="60"/>
      <c r="N874" s="60"/>
      <c r="O874" s="60"/>
      <c r="P874" s="60"/>
      <c r="Q874" s="60"/>
      <c r="R874" s="60"/>
      <c r="S874" s="60"/>
      <c r="T874" s="60"/>
      <c r="U874" s="60"/>
      <c r="V874" s="60"/>
      <c r="W874" s="60"/>
      <c r="X874" s="60"/>
      <c r="Y874" s="60"/>
      <c r="Z874" s="60"/>
    </row>
    <row r="875" ht="53.25" customHeight="1">
      <c r="A875" s="60"/>
      <c r="B875" s="60"/>
      <c r="C875" s="84"/>
      <c r="D875" s="60"/>
      <c r="E875" s="60"/>
      <c r="F875" s="85"/>
      <c r="G875" s="85"/>
      <c r="H875" s="60"/>
      <c r="I875" s="60"/>
      <c r="J875" s="60"/>
      <c r="K875" s="60"/>
      <c r="L875" s="60"/>
      <c r="M875" s="60"/>
      <c r="N875" s="60"/>
      <c r="O875" s="60"/>
      <c r="P875" s="60"/>
      <c r="Q875" s="60"/>
      <c r="R875" s="60"/>
      <c r="S875" s="60"/>
      <c r="T875" s="60"/>
      <c r="U875" s="60"/>
      <c r="V875" s="60"/>
      <c r="W875" s="60"/>
      <c r="X875" s="60"/>
      <c r="Y875" s="60"/>
      <c r="Z875" s="60"/>
    </row>
    <row r="876" ht="53.25" customHeight="1">
      <c r="A876" s="60"/>
      <c r="B876" s="60"/>
      <c r="C876" s="84"/>
      <c r="D876" s="60"/>
      <c r="E876" s="60"/>
      <c r="F876" s="85"/>
      <c r="G876" s="85"/>
      <c r="H876" s="60"/>
      <c r="I876" s="60"/>
      <c r="J876" s="60"/>
      <c r="K876" s="60"/>
      <c r="L876" s="60"/>
      <c r="M876" s="60"/>
      <c r="N876" s="60"/>
      <c r="O876" s="60"/>
      <c r="P876" s="60"/>
      <c r="Q876" s="60"/>
      <c r="R876" s="60"/>
      <c r="S876" s="60"/>
      <c r="T876" s="60"/>
      <c r="U876" s="60"/>
      <c r="V876" s="60"/>
      <c r="W876" s="60"/>
      <c r="X876" s="60"/>
      <c r="Y876" s="60"/>
      <c r="Z876" s="60"/>
    </row>
    <row r="877" ht="53.25" customHeight="1">
      <c r="A877" s="60"/>
      <c r="B877" s="60"/>
      <c r="C877" s="84"/>
      <c r="D877" s="60"/>
      <c r="E877" s="60"/>
      <c r="F877" s="85"/>
      <c r="G877" s="85"/>
      <c r="H877" s="60"/>
      <c r="I877" s="60"/>
      <c r="J877" s="60"/>
      <c r="K877" s="60"/>
      <c r="L877" s="60"/>
      <c r="M877" s="60"/>
      <c r="N877" s="60"/>
      <c r="O877" s="60"/>
      <c r="P877" s="60"/>
      <c r="Q877" s="60"/>
      <c r="R877" s="60"/>
      <c r="S877" s="60"/>
      <c r="T877" s="60"/>
      <c r="U877" s="60"/>
      <c r="V877" s="60"/>
      <c r="W877" s="60"/>
      <c r="X877" s="60"/>
      <c r="Y877" s="60"/>
      <c r="Z877" s="60"/>
    </row>
    <row r="878" ht="53.25" customHeight="1">
      <c r="A878" s="60"/>
      <c r="B878" s="60"/>
      <c r="C878" s="84"/>
      <c r="D878" s="60"/>
      <c r="E878" s="60"/>
      <c r="F878" s="85"/>
      <c r="G878" s="85"/>
      <c r="H878" s="60"/>
      <c r="I878" s="60"/>
      <c r="J878" s="60"/>
      <c r="K878" s="60"/>
      <c r="L878" s="60"/>
      <c r="M878" s="60"/>
      <c r="N878" s="60"/>
      <c r="O878" s="60"/>
      <c r="P878" s="60"/>
      <c r="Q878" s="60"/>
      <c r="R878" s="60"/>
      <c r="S878" s="60"/>
      <c r="T878" s="60"/>
      <c r="U878" s="60"/>
      <c r="V878" s="60"/>
      <c r="W878" s="60"/>
      <c r="X878" s="60"/>
      <c r="Y878" s="60"/>
      <c r="Z878" s="60"/>
    </row>
    <row r="879" ht="53.25" customHeight="1">
      <c r="A879" s="60"/>
      <c r="B879" s="60"/>
      <c r="C879" s="84"/>
      <c r="D879" s="60"/>
      <c r="E879" s="60"/>
      <c r="F879" s="85"/>
      <c r="G879" s="85"/>
      <c r="H879" s="60"/>
      <c r="I879" s="60"/>
      <c r="J879" s="60"/>
      <c r="K879" s="60"/>
      <c r="L879" s="60"/>
      <c r="M879" s="60"/>
      <c r="N879" s="60"/>
      <c r="O879" s="60"/>
      <c r="P879" s="60"/>
      <c r="Q879" s="60"/>
      <c r="R879" s="60"/>
      <c r="S879" s="60"/>
      <c r="T879" s="60"/>
      <c r="U879" s="60"/>
      <c r="V879" s="60"/>
      <c r="W879" s="60"/>
      <c r="X879" s="60"/>
      <c r="Y879" s="60"/>
      <c r="Z879" s="60"/>
    </row>
    <row r="880" ht="53.25" customHeight="1">
      <c r="A880" s="60"/>
      <c r="B880" s="60"/>
      <c r="C880" s="84"/>
      <c r="D880" s="60"/>
      <c r="E880" s="60"/>
      <c r="F880" s="85"/>
      <c r="G880" s="85"/>
      <c r="H880" s="60"/>
      <c r="I880" s="60"/>
      <c r="J880" s="60"/>
      <c r="K880" s="60"/>
      <c r="L880" s="60"/>
      <c r="M880" s="60"/>
      <c r="N880" s="60"/>
      <c r="O880" s="60"/>
      <c r="P880" s="60"/>
      <c r="Q880" s="60"/>
      <c r="R880" s="60"/>
      <c r="S880" s="60"/>
      <c r="T880" s="60"/>
      <c r="U880" s="60"/>
      <c r="V880" s="60"/>
      <c r="W880" s="60"/>
      <c r="X880" s="60"/>
      <c r="Y880" s="60"/>
      <c r="Z880" s="60"/>
    </row>
    <row r="881" ht="53.25" customHeight="1">
      <c r="A881" s="60"/>
      <c r="B881" s="60"/>
      <c r="C881" s="84"/>
      <c r="D881" s="60"/>
      <c r="E881" s="60"/>
      <c r="F881" s="85"/>
      <c r="G881" s="85"/>
      <c r="H881" s="60"/>
      <c r="I881" s="60"/>
      <c r="J881" s="60"/>
      <c r="K881" s="60"/>
      <c r="L881" s="60"/>
      <c r="M881" s="60"/>
      <c r="N881" s="60"/>
      <c r="O881" s="60"/>
      <c r="P881" s="60"/>
      <c r="Q881" s="60"/>
      <c r="R881" s="60"/>
      <c r="S881" s="60"/>
      <c r="T881" s="60"/>
      <c r="U881" s="60"/>
      <c r="V881" s="60"/>
      <c r="W881" s="60"/>
      <c r="X881" s="60"/>
      <c r="Y881" s="60"/>
      <c r="Z881" s="60"/>
    </row>
    <row r="882" ht="53.25" customHeight="1">
      <c r="A882" s="60"/>
      <c r="B882" s="60"/>
      <c r="C882" s="84"/>
      <c r="D882" s="60"/>
      <c r="E882" s="60"/>
      <c r="F882" s="85"/>
      <c r="G882" s="85"/>
      <c r="H882" s="60"/>
      <c r="I882" s="60"/>
      <c r="J882" s="60"/>
      <c r="K882" s="60"/>
      <c r="L882" s="60"/>
      <c r="M882" s="60"/>
      <c r="N882" s="60"/>
      <c r="O882" s="60"/>
      <c r="P882" s="60"/>
      <c r="Q882" s="60"/>
      <c r="R882" s="60"/>
      <c r="S882" s="60"/>
      <c r="T882" s="60"/>
      <c r="U882" s="60"/>
      <c r="V882" s="60"/>
      <c r="W882" s="60"/>
      <c r="X882" s="60"/>
      <c r="Y882" s="60"/>
      <c r="Z882" s="60"/>
    </row>
    <row r="883" ht="53.25" customHeight="1">
      <c r="A883" s="60"/>
      <c r="B883" s="60"/>
      <c r="C883" s="84"/>
      <c r="D883" s="60"/>
      <c r="E883" s="60"/>
      <c r="F883" s="85"/>
      <c r="G883" s="85"/>
      <c r="H883" s="60"/>
      <c r="I883" s="60"/>
      <c r="J883" s="60"/>
      <c r="K883" s="60"/>
      <c r="L883" s="60"/>
      <c r="M883" s="60"/>
      <c r="N883" s="60"/>
      <c r="O883" s="60"/>
      <c r="P883" s="60"/>
      <c r="Q883" s="60"/>
      <c r="R883" s="60"/>
      <c r="S883" s="60"/>
      <c r="T883" s="60"/>
      <c r="U883" s="60"/>
      <c r="V883" s="60"/>
      <c r="W883" s="60"/>
      <c r="X883" s="60"/>
      <c r="Y883" s="60"/>
      <c r="Z883" s="60"/>
    </row>
    <row r="884" ht="53.25" customHeight="1">
      <c r="A884" s="60"/>
      <c r="B884" s="60"/>
      <c r="C884" s="84"/>
      <c r="D884" s="60"/>
      <c r="E884" s="60"/>
      <c r="F884" s="85"/>
      <c r="G884" s="85"/>
      <c r="H884" s="60"/>
      <c r="I884" s="60"/>
      <c r="J884" s="60"/>
      <c r="K884" s="60"/>
      <c r="L884" s="60"/>
      <c r="M884" s="60"/>
      <c r="N884" s="60"/>
      <c r="O884" s="60"/>
      <c r="P884" s="60"/>
      <c r="Q884" s="60"/>
      <c r="R884" s="60"/>
      <c r="S884" s="60"/>
      <c r="T884" s="60"/>
      <c r="U884" s="60"/>
      <c r="V884" s="60"/>
      <c r="W884" s="60"/>
      <c r="X884" s="60"/>
      <c r="Y884" s="60"/>
      <c r="Z884" s="60"/>
    </row>
    <row r="885" ht="53.25" customHeight="1">
      <c r="A885" s="60"/>
      <c r="B885" s="60"/>
      <c r="C885" s="84"/>
      <c r="D885" s="60"/>
      <c r="E885" s="60"/>
      <c r="F885" s="85"/>
      <c r="G885" s="85"/>
      <c r="H885" s="60"/>
      <c r="I885" s="60"/>
      <c r="J885" s="60"/>
      <c r="K885" s="60"/>
      <c r="L885" s="60"/>
      <c r="M885" s="60"/>
      <c r="N885" s="60"/>
      <c r="O885" s="60"/>
      <c r="P885" s="60"/>
      <c r="Q885" s="60"/>
      <c r="R885" s="60"/>
      <c r="S885" s="60"/>
      <c r="T885" s="60"/>
      <c r="U885" s="60"/>
      <c r="V885" s="60"/>
      <c r="W885" s="60"/>
      <c r="X885" s="60"/>
      <c r="Y885" s="60"/>
      <c r="Z885" s="60"/>
    </row>
    <row r="886" ht="53.25" customHeight="1">
      <c r="A886" s="60"/>
      <c r="B886" s="60"/>
      <c r="C886" s="84"/>
      <c r="D886" s="60"/>
      <c r="E886" s="60"/>
      <c r="F886" s="85"/>
      <c r="G886" s="85"/>
      <c r="H886" s="60"/>
      <c r="I886" s="60"/>
      <c r="J886" s="60"/>
      <c r="K886" s="60"/>
      <c r="L886" s="60"/>
      <c r="M886" s="60"/>
      <c r="N886" s="60"/>
      <c r="O886" s="60"/>
      <c r="P886" s="60"/>
      <c r="Q886" s="60"/>
      <c r="R886" s="60"/>
      <c r="S886" s="60"/>
      <c r="T886" s="60"/>
      <c r="U886" s="60"/>
      <c r="V886" s="60"/>
      <c r="W886" s="60"/>
      <c r="X886" s="60"/>
      <c r="Y886" s="60"/>
      <c r="Z886" s="60"/>
    </row>
    <row r="887" ht="53.25" customHeight="1">
      <c r="A887" s="60"/>
      <c r="B887" s="60"/>
      <c r="C887" s="84"/>
      <c r="D887" s="60"/>
      <c r="E887" s="60"/>
      <c r="F887" s="85"/>
      <c r="G887" s="85"/>
      <c r="H887" s="60"/>
      <c r="I887" s="60"/>
      <c r="J887" s="60"/>
      <c r="K887" s="60"/>
      <c r="L887" s="60"/>
      <c r="M887" s="60"/>
      <c r="N887" s="60"/>
      <c r="O887" s="60"/>
      <c r="P887" s="60"/>
      <c r="Q887" s="60"/>
      <c r="R887" s="60"/>
      <c r="S887" s="60"/>
      <c r="T887" s="60"/>
      <c r="U887" s="60"/>
      <c r="V887" s="60"/>
      <c r="W887" s="60"/>
      <c r="X887" s="60"/>
      <c r="Y887" s="60"/>
      <c r="Z887" s="60"/>
    </row>
    <row r="888" ht="53.25" customHeight="1">
      <c r="A888" s="60"/>
      <c r="B888" s="60"/>
      <c r="C888" s="84"/>
      <c r="D888" s="60"/>
      <c r="E888" s="60"/>
      <c r="F888" s="85"/>
      <c r="G888" s="85"/>
      <c r="H888" s="60"/>
      <c r="I888" s="60"/>
      <c r="J888" s="60"/>
      <c r="K888" s="60"/>
      <c r="L888" s="60"/>
      <c r="M888" s="60"/>
      <c r="N888" s="60"/>
      <c r="O888" s="60"/>
      <c r="P888" s="60"/>
      <c r="Q888" s="60"/>
      <c r="R888" s="60"/>
      <c r="S888" s="60"/>
      <c r="T888" s="60"/>
      <c r="U888" s="60"/>
      <c r="V888" s="60"/>
      <c r="W888" s="60"/>
      <c r="X888" s="60"/>
      <c r="Y888" s="60"/>
      <c r="Z888" s="60"/>
    </row>
    <row r="889" ht="53.25" customHeight="1">
      <c r="A889" s="60"/>
      <c r="B889" s="60"/>
      <c r="C889" s="84"/>
      <c r="D889" s="60"/>
      <c r="E889" s="60"/>
      <c r="F889" s="85"/>
      <c r="G889" s="85"/>
      <c r="H889" s="60"/>
      <c r="I889" s="60"/>
      <c r="J889" s="60"/>
      <c r="K889" s="60"/>
      <c r="L889" s="60"/>
      <c r="M889" s="60"/>
      <c r="N889" s="60"/>
      <c r="O889" s="60"/>
      <c r="P889" s="60"/>
      <c r="Q889" s="60"/>
      <c r="R889" s="60"/>
      <c r="S889" s="60"/>
      <c r="T889" s="60"/>
      <c r="U889" s="60"/>
      <c r="V889" s="60"/>
      <c r="W889" s="60"/>
      <c r="X889" s="60"/>
      <c r="Y889" s="60"/>
      <c r="Z889" s="60"/>
    </row>
    <row r="890" ht="53.25" customHeight="1">
      <c r="A890" s="60"/>
      <c r="B890" s="60"/>
      <c r="C890" s="84"/>
      <c r="D890" s="60"/>
      <c r="E890" s="60"/>
      <c r="F890" s="85"/>
      <c r="G890" s="85"/>
      <c r="H890" s="60"/>
      <c r="I890" s="60"/>
      <c r="J890" s="60"/>
      <c r="K890" s="60"/>
      <c r="L890" s="60"/>
      <c r="M890" s="60"/>
      <c r="N890" s="60"/>
      <c r="O890" s="60"/>
      <c r="P890" s="60"/>
      <c r="Q890" s="60"/>
      <c r="R890" s="60"/>
      <c r="S890" s="60"/>
      <c r="T890" s="60"/>
      <c r="U890" s="60"/>
      <c r="V890" s="60"/>
      <c r="W890" s="60"/>
      <c r="X890" s="60"/>
      <c r="Y890" s="60"/>
      <c r="Z890" s="60"/>
    </row>
    <row r="891" ht="53.25" customHeight="1">
      <c r="A891" s="60"/>
      <c r="B891" s="60"/>
      <c r="C891" s="84"/>
      <c r="D891" s="60"/>
      <c r="E891" s="60"/>
      <c r="F891" s="85"/>
      <c r="G891" s="85"/>
      <c r="H891" s="60"/>
      <c r="I891" s="60"/>
      <c r="J891" s="60"/>
      <c r="K891" s="60"/>
      <c r="L891" s="60"/>
      <c r="M891" s="60"/>
      <c r="N891" s="60"/>
      <c r="O891" s="60"/>
      <c r="P891" s="60"/>
      <c r="Q891" s="60"/>
      <c r="R891" s="60"/>
      <c r="S891" s="60"/>
      <c r="T891" s="60"/>
      <c r="U891" s="60"/>
      <c r="V891" s="60"/>
      <c r="W891" s="60"/>
      <c r="X891" s="60"/>
      <c r="Y891" s="60"/>
      <c r="Z891" s="60"/>
    </row>
    <row r="892" ht="53.25" customHeight="1">
      <c r="A892" s="60"/>
      <c r="B892" s="60"/>
      <c r="C892" s="84"/>
      <c r="D892" s="60"/>
      <c r="E892" s="60"/>
      <c r="F892" s="85"/>
      <c r="G892" s="85"/>
      <c r="H892" s="60"/>
      <c r="I892" s="60"/>
      <c r="J892" s="60"/>
      <c r="K892" s="60"/>
      <c r="L892" s="60"/>
      <c r="M892" s="60"/>
      <c r="N892" s="60"/>
      <c r="O892" s="60"/>
      <c r="P892" s="60"/>
      <c r="Q892" s="60"/>
      <c r="R892" s="60"/>
      <c r="S892" s="60"/>
      <c r="T892" s="60"/>
      <c r="U892" s="60"/>
      <c r="V892" s="60"/>
      <c r="W892" s="60"/>
      <c r="X892" s="60"/>
      <c r="Y892" s="60"/>
      <c r="Z892" s="60"/>
    </row>
    <row r="893" ht="53.25" customHeight="1">
      <c r="A893" s="60"/>
      <c r="B893" s="60"/>
      <c r="C893" s="84"/>
      <c r="D893" s="60"/>
      <c r="E893" s="60"/>
      <c r="F893" s="85"/>
      <c r="G893" s="85"/>
      <c r="H893" s="60"/>
      <c r="I893" s="60"/>
      <c r="J893" s="60"/>
      <c r="K893" s="60"/>
      <c r="L893" s="60"/>
      <c r="M893" s="60"/>
      <c r="N893" s="60"/>
      <c r="O893" s="60"/>
      <c r="P893" s="60"/>
      <c r="Q893" s="60"/>
      <c r="R893" s="60"/>
      <c r="S893" s="60"/>
      <c r="T893" s="60"/>
      <c r="U893" s="60"/>
      <c r="V893" s="60"/>
      <c r="W893" s="60"/>
      <c r="X893" s="60"/>
      <c r="Y893" s="60"/>
      <c r="Z893" s="60"/>
    </row>
    <row r="894" ht="53.25" customHeight="1">
      <c r="A894" s="60"/>
      <c r="B894" s="60"/>
      <c r="C894" s="84"/>
      <c r="D894" s="60"/>
      <c r="E894" s="60"/>
      <c r="F894" s="85"/>
      <c r="G894" s="85"/>
      <c r="H894" s="60"/>
      <c r="I894" s="60"/>
      <c r="J894" s="60"/>
      <c r="K894" s="60"/>
      <c r="L894" s="60"/>
      <c r="M894" s="60"/>
      <c r="N894" s="60"/>
      <c r="O894" s="60"/>
      <c r="P894" s="60"/>
      <c r="Q894" s="60"/>
      <c r="R894" s="60"/>
      <c r="S894" s="60"/>
      <c r="T894" s="60"/>
      <c r="U894" s="60"/>
      <c r="V894" s="60"/>
      <c r="W894" s="60"/>
      <c r="X894" s="60"/>
      <c r="Y894" s="60"/>
      <c r="Z894" s="60"/>
    </row>
    <row r="895" ht="53.25" customHeight="1">
      <c r="A895" s="60"/>
      <c r="B895" s="60"/>
      <c r="C895" s="84"/>
      <c r="D895" s="60"/>
      <c r="E895" s="60"/>
      <c r="F895" s="85"/>
      <c r="G895" s="85"/>
      <c r="H895" s="60"/>
      <c r="I895" s="60"/>
      <c r="J895" s="60"/>
      <c r="K895" s="60"/>
      <c r="L895" s="60"/>
      <c r="M895" s="60"/>
      <c r="N895" s="60"/>
      <c r="O895" s="60"/>
      <c r="P895" s="60"/>
      <c r="Q895" s="60"/>
      <c r="R895" s="60"/>
      <c r="S895" s="60"/>
      <c r="T895" s="60"/>
      <c r="U895" s="60"/>
      <c r="V895" s="60"/>
      <c r="W895" s="60"/>
      <c r="X895" s="60"/>
      <c r="Y895" s="60"/>
      <c r="Z895" s="60"/>
    </row>
    <row r="896" ht="53.25" customHeight="1">
      <c r="A896" s="60"/>
      <c r="B896" s="60"/>
      <c r="C896" s="84"/>
      <c r="D896" s="60"/>
      <c r="E896" s="60"/>
      <c r="F896" s="85"/>
      <c r="G896" s="85"/>
      <c r="H896" s="60"/>
      <c r="I896" s="60"/>
      <c r="J896" s="60"/>
      <c r="K896" s="60"/>
      <c r="L896" s="60"/>
      <c r="M896" s="60"/>
      <c r="N896" s="60"/>
      <c r="O896" s="60"/>
      <c r="P896" s="60"/>
      <c r="Q896" s="60"/>
      <c r="R896" s="60"/>
      <c r="S896" s="60"/>
      <c r="T896" s="60"/>
      <c r="U896" s="60"/>
      <c r="V896" s="60"/>
      <c r="W896" s="60"/>
      <c r="X896" s="60"/>
      <c r="Y896" s="60"/>
      <c r="Z896" s="60"/>
    </row>
    <row r="897" ht="53.25" customHeight="1">
      <c r="A897" s="60"/>
      <c r="B897" s="60"/>
      <c r="C897" s="84"/>
      <c r="D897" s="60"/>
      <c r="E897" s="60"/>
      <c r="F897" s="85"/>
      <c r="G897" s="85"/>
      <c r="H897" s="60"/>
      <c r="I897" s="60"/>
      <c r="J897" s="60"/>
      <c r="K897" s="60"/>
      <c r="L897" s="60"/>
      <c r="M897" s="60"/>
      <c r="N897" s="60"/>
      <c r="O897" s="60"/>
      <c r="P897" s="60"/>
      <c r="Q897" s="60"/>
      <c r="R897" s="60"/>
      <c r="S897" s="60"/>
      <c r="T897" s="60"/>
      <c r="U897" s="60"/>
      <c r="V897" s="60"/>
      <c r="W897" s="60"/>
      <c r="X897" s="60"/>
      <c r="Y897" s="60"/>
      <c r="Z897" s="60"/>
    </row>
    <row r="898" ht="53.25" customHeight="1">
      <c r="A898" s="60"/>
      <c r="B898" s="60"/>
      <c r="C898" s="84"/>
      <c r="D898" s="60"/>
      <c r="E898" s="60"/>
      <c r="F898" s="85"/>
      <c r="G898" s="85"/>
      <c r="H898" s="60"/>
      <c r="I898" s="60"/>
      <c r="J898" s="60"/>
      <c r="K898" s="60"/>
      <c r="L898" s="60"/>
      <c r="M898" s="60"/>
      <c r="N898" s="60"/>
      <c r="O898" s="60"/>
      <c r="P898" s="60"/>
      <c r="Q898" s="60"/>
      <c r="R898" s="60"/>
      <c r="S898" s="60"/>
      <c r="T898" s="60"/>
      <c r="U898" s="60"/>
      <c r="V898" s="60"/>
      <c r="W898" s="60"/>
      <c r="X898" s="60"/>
      <c r="Y898" s="60"/>
      <c r="Z898" s="60"/>
    </row>
    <row r="899" ht="53.25" customHeight="1">
      <c r="A899" s="60"/>
      <c r="B899" s="60"/>
      <c r="C899" s="84"/>
      <c r="D899" s="60"/>
      <c r="E899" s="60"/>
      <c r="F899" s="85"/>
      <c r="G899" s="85"/>
      <c r="H899" s="60"/>
      <c r="I899" s="60"/>
      <c r="J899" s="60"/>
      <c r="K899" s="60"/>
      <c r="L899" s="60"/>
      <c r="M899" s="60"/>
      <c r="N899" s="60"/>
      <c r="O899" s="60"/>
      <c r="P899" s="60"/>
      <c r="Q899" s="60"/>
      <c r="R899" s="60"/>
      <c r="S899" s="60"/>
      <c r="T899" s="60"/>
      <c r="U899" s="60"/>
      <c r="V899" s="60"/>
      <c r="W899" s="60"/>
      <c r="X899" s="60"/>
      <c r="Y899" s="60"/>
      <c r="Z899" s="60"/>
    </row>
    <row r="900" ht="53.25" customHeight="1">
      <c r="A900" s="60"/>
      <c r="B900" s="60"/>
      <c r="C900" s="84"/>
      <c r="D900" s="60"/>
      <c r="E900" s="60"/>
      <c r="F900" s="85"/>
      <c r="G900" s="85"/>
      <c r="H900" s="60"/>
      <c r="I900" s="60"/>
      <c r="J900" s="60"/>
      <c r="K900" s="60"/>
      <c r="L900" s="60"/>
      <c r="M900" s="60"/>
      <c r="N900" s="60"/>
      <c r="O900" s="60"/>
      <c r="P900" s="60"/>
      <c r="Q900" s="60"/>
      <c r="R900" s="60"/>
      <c r="S900" s="60"/>
      <c r="T900" s="60"/>
      <c r="U900" s="60"/>
      <c r="V900" s="60"/>
      <c r="W900" s="60"/>
      <c r="X900" s="60"/>
      <c r="Y900" s="60"/>
      <c r="Z900" s="60"/>
    </row>
    <row r="901" ht="53.25" customHeight="1">
      <c r="A901" s="60"/>
      <c r="B901" s="60"/>
      <c r="C901" s="84"/>
      <c r="D901" s="60"/>
      <c r="E901" s="60"/>
      <c r="F901" s="85"/>
      <c r="G901" s="85"/>
      <c r="H901" s="60"/>
      <c r="I901" s="60"/>
      <c r="J901" s="60"/>
      <c r="K901" s="60"/>
      <c r="L901" s="60"/>
      <c r="M901" s="60"/>
      <c r="N901" s="60"/>
      <c r="O901" s="60"/>
      <c r="P901" s="60"/>
      <c r="Q901" s="60"/>
      <c r="R901" s="60"/>
      <c r="S901" s="60"/>
      <c r="T901" s="60"/>
      <c r="U901" s="60"/>
      <c r="V901" s="60"/>
      <c r="W901" s="60"/>
      <c r="X901" s="60"/>
      <c r="Y901" s="60"/>
      <c r="Z901" s="60"/>
    </row>
    <row r="902" ht="53.25" customHeight="1">
      <c r="A902" s="60"/>
      <c r="B902" s="60"/>
      <c r="C902" s="84"/>
      <c r="D902" s="60"/>
      <c r="E902" s="60"/>
      <c r="F902" s="85"/>
      <c r="G902" s="85"/>
      <c r="H902" s="60"/>
      <c r="I902" s="60"/>
      <c r="J902" s="60"/>
      <c r="K902" s="60"/>
      <c r="L902" s="60"/>
      <c r="M902" s="60"/>
      <c r="N902" s="60"/>
      <c r="O902" s="60"/>
      <c r="P902" s="60"/>
      <c r="Q902" s="60"/>
      <c r="R902" s="60"/>
      <c r="S902" s="60"/>
      <c r="T902" s="60"/>
      <c r="U902" s="60"/>
      <c r="V902" s="60"/>
      <c r="W902" s="60"/>
      <c r="X902" s="60"/>
      <c r="Y902" s="60"/>
      <c r="Z902" s="60"/>
    </row>
    <row r="903" ht="53.25" customHeight="1">
      <c r="A903" s="60"/>
      <c r="B903" s="60"/>
      <c r="C903" s="84"/>
      <c r="D903" s="60"/>
      <c r="E903" s="60"/>
      <c r="F903" s="85"/>
      <c r="G903" s="85"/>
      <c r="H903" s="60"/>
      <c r="I903" s="60"/>
      <c r="J903" s="60"/>
      <c r="K903" s="60"/>
      <c r="L903" s="60"/>
      <c r="M903" s="60"/>
      <c r="N903" s="60"/>
      <c r="O903" s="60"/>
      <c r="P903" s="60"/>
      <c r="Q903" s="60"/>
      <c r="R903" s="60"/>
      <c r="S903" s="60"/>
      <c r="T903" s="60"/>
      <c r="U903" s="60"/>
      <c r="V903" s="60"/>
      <c r="W903" s="60"/>
      <c r="X903" s="60"/>
      <c r="Y903" s="60"/>
      <c r="Z903" s="60"/>
    </row>
    <row r="904" ht="53.25" customHeight="1">
      <c r="A904" s="60"/>
      <c r="B904" s="60"/>
      <c r="C904" s="84"/>
      <c r="D904" s="60"/>
      <c r="E904" s="60"/>
      <c r="F904" s="85"/>
      <c r="G904" s="85"/>
      <c r="H904" s="60"/>
      <c r="I904" s="60"/>
      <c r="J904" s="60"/>
      <c r="K904" s="60"/>
      <c r="L904" s="60"/>
      <c r="M904" s="60"/>
      <c r="N904" s="60"/>
      <c r="O904" s="60"/>
      <c r="P904" s="60"/>
      <c r="Q904" s="60"/>
      <c r="R904" s="60"/>
      <c r="S904" s="60"/>
      <c r="T904" s="60"/>
      <c r="U904" s="60"/>
      <c r="V904" s="60"/>
      <c r="W904" s="60"/>
      <c r="X904" s="60"/>
      <c r="Y904" s="60"/>
      <c r="Z904" s="60"/>
    </row>
    <row r="905" ht="53.25" customHeight="1">
      <c r="A905" s="60"/>
      <c r="B905" s="60"/>
      <c r="C905" s="84"/>
      <c r="D905" s="60"/>
      <c r="E905" s="60"/>
      <c r="F905" s="85"/>
      <c r="G905" s="85"/>
      <c r="H905" s="60"/>
      <c r="I905" s="60"/>
      <c r="J905" s="60"/>
      <c r="K905" s="60"/>
      <c r="L905" s="60"/>
      <c r="M905" s="60"/>
      <c r="N905" s="60"/>
      <c r="O905" s="60"/>
      <c r="P905" s="60"/>
      <c r="Q905" s="60"/>
      <c r="R905" s="60"/>
      <c r="S905" s="60"/>
      <c r="T905" s="60"/>
      <c r="U905" s="60"/>
      <c r="V905" s="60"/>
      <c r="W905" s="60"/>
      <c r="X905" s="60"/>
      <c r="Y905" s="60"/>
      <c r="Z905" s="60"/>
    </row>
    <row r="906" ht="53.25" customHeight="1">
      <c r="A906" s="60"/>
      <c r="B906" s="60"/>
      <c r="C906" s="84"/>
      <c r="D906" s="60"/>
      <c r="E906" s="60"/>
      <c r="F906" s="85"/>
      <c r="G906" s="85"/>
      <c r="H906" s="60"/>
      <c r="I906" s="60"/>
      <c r="J906" s="60"/>
      <c r="K906" s="60"/>
      <c r="L906" s="60"/>
      <c r="M906" s="60"/>
      <c r="N906" s="60"/>
      <c r="O906" s="60"/>
      <c r="P906" s="60"/>
      <c r="Q906" s="60"/>
      <c r="R906" s="60"/>
      <c r="S906" s="60"/>
      <c r="T906" s="60"/>
      <c r="U906" s="60"/>
      <c r="V906" s="60"/>
      <c r="W906" s="60"/>
      <c r="X906" s="60"/>
      <c r="Y906" s="60"/>
      <c r="Z906" s="60"/>
    </row>
    <row r="907" ht="53.25" customHeight="1">
      <c r="A907" s="60"/>
      <c r="B907" s="60"/>
      <c r="C907" s="84"/>
      <c r="D907" s="60"/>
      <c r="E907" s="60"/>
      <c r="F907" s="85"/>
      <c r="G907" s="85"/>
      <c r="H907" s="60"/>
      <c r="I907" s="60"/>
      <c r="J907" s="60"/>
      <c r="K907" s="60"/>
      <c r="L907" s="60"/>
      <c r="M907" s="60"/>
      <c r="N907" s="60"/>
      <c r="O907" s="60"/>
      <c r="P907" s="60"/>
      <c r="Q907" s="60"/>
      <c r="R907" s="60"/>
      <c r="S907" s="60"/>
      <c r="T907" s="60"/>
      <c r="U907" s="60"/>
      <c r="V907" s="60"/>
      <c r="W907" s="60"/>
      <c r="X907" s="60"/>
      <c r="Y907" s="60"/>
      <c r="Z907" s="60"/>
    </row>
    <row r="908" ht="53.25" customHeight="1">
      <c r="A908" s="60"/>
      <c r="B908" s="60"/>
      <c r="C908" s="84"/>
      <c r="D908" s="60"/>
      <c r="E908" s="60"/>
      <c r="F908" s="85"/>
      <c r="G908" s="85"/>
      <c r="H908" s="60"/>
      <c r="I908" s="60"/>
      <c r="J908" s="60"/>
      <c r="K908" s="60"/>
      <c r="L908" s="60"/>
      <c r="M908" s="60"/>
      <c r="N908" s="60"/>
      <c r="O908" s="60"/>
      <c r="P908" s="60"/>
      <c r="Q908" s="60"/>
      <c r="R908" s="60"/>
      <c r="S908" s="60"/>
      <c r="T908" s="60"/>
      <c r="U908" s="60"/>
      <c r="V908" s="60"/>
      <c r="W908" s="60"/>
      <c r="X908" s="60"/>
      <c r="Y908" s="60"/>
      <c r="Z908" s="60"/>
    </row>
    <row r="909" ht="53.25" customHeight="1">
      <c r="A909" s="60"/>
      <c r="B909" s="60"/>
      <c r="C909" s="84"/>
      <c r="D909" s="60"/>
      <c r="E909" s="60"/>
      <c r="F909" s="85"/>
      <c r="G909" s="85"/>
      <c r="H909" s="60"/>
      <c r="I909" s="60"/>
      <c r="J909" s="60"/>
      <c r="K909" s="60"/>
      <c r="L909" s="60"/>
      <c r="M909" s="60"/>
      <c r="N909" s="60"/>
      <c r="O909" s="60"/>
      <c r="P909" s="60"/>
      <c r="Q909" s="60"/>
      <c r="R909" s="60"/>
      <c r="S909" s="60"/>
      <c r="T909" s="60"/>
      <c r="U909" s="60"/>
      <c r="V909" s="60"/>
      <c r="W909" s="60"/>
      <c r="X909" s="60"/>
      <c r="Y909" s="60"/>
      <c r="Z909" s="60"/>
    </row>
    <row r="910" ht="53.25" customHeight="1">
      <c r="A910" s="60"/>
      <c r="B910" s="60"/>
      <c r="C910" s="84"/>
      <c r="D910" s="60"/>
      <c r="E910" s="60"/>
      <c r="F910" s="85"/>
      <c r="G910" s="85"/>
      <c r="H910" s="60"/>
      <c r="I910" s="60"/>
      <c r="J910" s="60"/>
      <c r="K910" s="60"/>
      <c r="L910" s="60"/>
      <c r="M910" s="60"/>
      <c r="N910" s="60"/>
      <c r="O910" s="60"/>
      <c r="P910" s="60"/>
      <c r="Q910" s="60"/>
      <c r="R910" s="60"/>
      <c r="S910" s="60"/>
      <c r="T910" s="60"/>
      <c r="U910" s="60"/>
      <c r="V910" s="60"/>
      <c r="W910" s="60"/>
      <c r="X910" s="60"/>
      <c r="Y910" s="60"/>
      <c r="Z910" s="60"/>
    </row>
    <row r="911" ht="53.25" customHeight="1">
      <c r="A911" s="60"/>
      <c r="B911" s="60"/>
      <c r="C911" s="84"/>
      <c r="D911" s="60"/>
      <c r="E911" s="60"/>
      <c r="F911" s="85"/>
      <c r="G911" s="85"/>
      <c r="H911" s="60"/>
      <c r="I911" s="60"/>
      <c r="J911" s="60"/>
      <c r="K911" s="60"/>
      <c r="L911" s="60"/>
      <c r="M911" s="60"/>
      <c r="N911" s="60"/>
      <c r="O911" s="60"/>
      <c r="P911" s="60"/>
      <c r="Q911" s="60"/>
      <c r="R911" s="60"/>
      <c r="S911" s="60"/>
      <c r="T911" s="60"/>
      <c r="U911" s="60"/>
      <c r="V911" s="60"/>
      <c r="W911" s="60"/>
      <c r="X911" s="60"/>
      <c r="Y911" s="60"/>
      <c r="Z911" s="60"/>
    </row>
    <row r="912" ht="53.25" customHeight="1">
      <c r="A912" s="60"/>
      <c r="B912" s="60"/>
      <c r="C912" s="84"/>
      <c r="D912" s="60"/>
      <c r="E912" s="60"/>
      <c r="F912" s="85"/>
      <c r="G912" s="85"/>
      <c r="H912" s="60"/>
      <c r="I912" s="60"/>
      <c r="J912" s="60"/>
      <c r="K912" s="60"/>
      <c r="L912" s="60"/>
      <c r="M912" s="60"/>
      <c r="N912" s="60"/>
      <c r="O912" s="60"/>
      <c r="P912" s="60"/>
      <c r="Q912" s="60"/>
      <c r="R912" s="60"/>
      <c r="S912" s="60"/>
      <c r="T912" s="60"/>
      <c r="U912" s="60"/>
      <c r="V912" s="60"/>
      <c r="W912" s="60"/>
      <c r="X912" s="60"/>
      <c r="Y912" s="60"/>
      <c r="Z912" s="60"/>
    </row>
    <row r="913" ht="53.25" customHeight="1">
      <c r="A913" s="60"/>
      <c r="B913" s="60"/>
      <c r="C913" s="84"/>
      <c r="D913" s="60"/>
      <c r="E913" s="60"/>
      <c r="F913" s="85"/>
      <c r="G913" s="85"/>
      <c r="H913" s="60"/>
      <c r="I913" s="60"/>
      <c r="J913" s="60"/>
      <c r="K913" s="60"/>
      <c r="L913" s="60"/>
      <c r="M913" s="60"/>
      <c r="N913" s="60"/>
      <c r="O913" s="60"/>
      <c r="P913" s="60"/>
      <c r="Q913" s="60"/>
      <c r="R913" s="60"/>
      <c r="S913" s="60"/>
      <c r="T913" s="60"/>
      <c r="U913" s="60"/>
      <c r="V913" s="60"/>
      <c r="W913" s="60"/>
      <c r="X913" s="60"/>
      <c r="Y913" s="60"/>
      <c r="Z913" s="60"/>
    </row>
    <row r="914" ht="53.25" customHeight="1">
      <c r="A914" s="60"/>
      <c r="B914" s="60"/>
      <c r="C914" s="84"/>
      <c r="D914" s="60"/>
      <c r="E914" s="60"/>
      <c r="F914" s="85"/>
      <c r="G914" s="85"/>
      <c r="H914" s="60"/>
      <c r="I914" s="60"/>
      <c r="J914" s="60"/>
      <c r="K914" s="60"/>
      <c r="L914" s="60"/>
      <c r="M914" s="60"/>
      <c r="N914" s="60"/>
      <c r="O914" s="60"/>
      <c r="P914" s="60"/>
      <c r="Q914" s="60"/>
      <c r="R914" s="60"/>
      <c r="S914" s="60"/>
      <c r="T914" s="60"/>
      <c r="U914" s="60"/>
      <c r="V914" s="60"/>
      <c r="W914" s="60"/>
      <c r="X914" s="60"/>
      <c r="Y914" s="60"/>
      <c r="Z914" s="60"/>
    </row>
    <row r="915" ht="53.25" customHeight="1">
      <c r="A915" s="60"/>
      <c r="B915" s="60"/>
      <c r="C915" s="84"/>
      <c r="D915" s="60"/>
      <c r="E915" s="60"/>
      <c r="F915" s="85"/>
      <c r="G915" s="85"/>
      <c r="H915" s="60"/>
      <c r="I915" s="60"/>
      <c r="J915" s="60"/>
      <c r="K915" s="60"/>
      <c r="L915" s="60"/>
      <c r="M915" s="60"/>
      <c r="N915" s="60"/>
      <c r="O915" s="60"/>
      <c r="P915" s="60"/>
      <c r="Q915" s="60"/>
      <c r="R915" s="60"/>
      <c r="S915" s="60"/>
      <c r="T915" s="60"/>
      <c r="U915" s="60"/>
      <c r="V915" s="60"/>
      <c r="W915" s="60"/>
      <c r="X915" s="60"/>
      <c r="Y915" s="60"/>
      <c r="Z915" s="60"/>
    </row>
    <row r="916" ht="53.25" customHeight="1">
      <c r="A916" s="60"/>
      <c r="B916" s="60"/>
      <c r="C916" s="84"/>
      <c r="D916" s="60"/>
      <c r="E916" s="60"/>
      <c r="F916" s="85"/>
      <c r="G916" s="85"/>
      <c r="H916" s="60"/>
      <c r="I916" s="60"/>
      <c r="J916" s="60"/>
      <c r="K916" s="60"/>
      <c r="L916" s="60"/>
      <c r="M916" s="60"/>
      <c r="N916" s="60"/>
      <c r="O916" s="60"/>
      <c r="P916" s="60"/>
      <c r="Q916" s="60"/>
      <c r="R916" s="60"/>
      <c r="S916" s="60"/>
      <c r="T916" s="60"/>
      <c r="U916" s="60"/>
      <c r="V916" s="60"/>
      <c r="W916" s="60"/>
      <c r="X916" s="60"/>
      <c r="Y916" s="60"/>
      <c r="Z916" s="60"/>
    </row>
    <row r="917" ht="53.25" customHeight="1">
      <c r="A917" s="60"/>
      <c r="B917" s="60"/>
      <c r="C917" s="84"/>
      <c r="D917" s="60"/>
      <c r="E917" s="60"/>
      <c r="F917" s="85"/>
      <c r="G917" s="85"/>
      <c r="H917" s="60"/>
      <c r="I917" s="60"/>
      <c r="J917" s="60"/>
      <c r="K917" s="60"/>
      <c r="L917" s="60"/>
      <c r="M917" s="60"/>
      <c r="N917" s="60"/>
      <c r="O917" s="60"/>
      <c r="P917" s="60"/>
      <c r="Q917" s="60"/>
      <c r="R917" s="60"/>
      <c r="S917" s="60"/>
      <c r="T917" s="60"/>
      <c r="U917" s="60"/>
      <c r="V917" s="60"/>
      <c r="W917" s="60"/>
      <c r="X917" s="60"/>
      <c r="Y917" s="60"/>
      <c r="Z917" s="60"/>
    </row>
    <row r="918" ht="53.25" customHeight="1">
      <c r="A918" s="60"/>
      <c r="B918" s="60"/>
      <c r="C918" s="84"/>
      <c r="D918" s="60"/>
      <c r="E918" s="60"/>
      <c r="F918" s="85"/>
      <c r="G918" s="85"/>
      <c r="H918" s="60"/>
      <c r="I918" s="60"/>
      <c r="J918" s="60"/>
      <c r="K918" s="60"/>
      <c r="L918" s="60"/>
      <c r="M918" s="60"/>
      <c r="N918" s="60"/>
      <c r="O918" s="60"/>
      <c r="P918" s="60"/>
      <c r="Q918" s="60"/>
      <c r="R918" s="60"/>
      <c r="S918" s="60"/>
      <c r="T918" s="60"/>
      <c r="U918" s="60"/>
      <c r="V918" s="60"/>
      <c r="W918" s="60"/>
      <c r="X918" s="60"/>
      <c r="Y918" s="60"/>
      <c r="Z918" s="60"/>
    </row>
    <row r="919" ht="53.25" customHeight="1">
      <c r="A919" s="60"/>
      <c r="B919" s="60"/>
      <c r="C919" s="84"/>
      <c r="D919" s="60"/>
      <c r="E919" s="60"/>
      <c r="F919" s="85"/>
      <c r="G919" s="85"/>
      <c r="H919" s="60"/>
      <c r="I919" s="60"/>
      <c r="J919" s="60"/>
      <c r="K919" s="60"/>
      <c r="L919" s="60"/>
      <c r="M919" s="60"/>
      <c r="N919" s="60"/>
      <c r="O919" s="60"/>
      <c r="P919" s="60"/>
      <c r="Q919" s="60"/>
      <c r="R919" s="60"/>
      <c r="S919" s="60"/>
      <c r="T919" s="60"/>
      <c r="U919" s="60"/>
      <c r="V919" s="60"/>
      <c r="W919" s="60"/>
      <c r="X919" s="60"/>
      <c r="Y919" s="60"/>
      <c r="Z919" s="60"/>
    </row>
    <row r="920" ht="53.25" customHeight="1">
      <c r="A920" s="60"/>
      <c r="B920" s="60"/>
      <c r="C920" s="84"/>
      <c r="D920" s="60"/>
      <c r="E920" s="60"/>
      <c r="F920" s="85"/>
      <c r="G920" s="85"/>
      <c r="H920" s="60"/>
      <c r="I920" s="60"/>
      <c r="J920" s="60"/>
      <c r="K920" s="60"/>
      <c r="L920" s="60"/>
      <c r="M920" s="60"/>
      <c r="N920" s="60"/>
      <c r="O920" s="60"/>
      <c r="P920" s="60"/>
      <c r="Q920" s="60"/>
      <c r="R920" s="60"/>
      <c r="S920" s="60"/>
      <c r="T920" s="60"/>
      <c r="U920" s="60"/>
      <c r="V920" s="60"/>
      <c r="W920" s="60"/>
      <c r="X920" s="60"/>
      <c r="Y920" s="60"/>
      <c r="Z920" s="60"/>
    </row>
    <row r="921" ht="53.25" customHeight="1">
      <c r="A921" s="60"/>
      <c r="B921" s="60"/>
      <c r="C921" s="84"/>
      <c r="D921" s="60"/>
      <c r="E921" s="60"/>
      <c r="F921" s="85"/>
      <c r="G921" s="85"/>
      <c r="H921" s="60"/>
      <c r="I921" s="60"/>
      <c r="J921" s="60"/>
      <c r="K921" s="60"/>
      <c r="L921" s="60"/>
      <c r="M921" s="60"/>
      <c r="N921" s="60"/>
      <c r="O921" s="60"/>
      <c r="P921" s="60"/>
      <c r="Q921" s="60"/>
      <c r="R921" s="60"/>
      <c r="S921" s="60"/>
      <c r="T921" s="60"/>
      <c r="U921" s="60"/>
      <c r="V921" s="60"/>
      <c r="W921" s="60"/>
      <c r="X921" s="60"/>
      <c r="Y921" s="60"/>
      <c r="Z921" s="60"/>
    </row>
    <row r="922" ht="53.25" customHeight="1">
      <c r="A922" s="60"/>
      <c r="B922" s="60"/>
      <c r="C922" s="84"/>
      <c r="D922" s="60"/>
      <c r="E922" s="60"/>
      <c r="F922" s="85"/>
      <c r="G922" s="85"/>
      <c r="H922" s="60"/>
      <c r="I922" s="60"/>
      <c r="J922" s="60"/>
      <c r="K922" s="60"/>
      <c r="L922" s="60"/>
      <c r="M922" s="60"/>
      <c r="N922" s="60"/>
      <c r="O922" s="60"/>
      <c r="P922" s="60"/>
      <c r="Q922" s="60"/>
      <c r="R922" s="60"/>
      <c r="S922" s="60"/>
      <c r="T922" s="60"/>
      <c r="U922" s="60"/>
      <c r="V922" s="60"/>
      <c r="W922" s="60"/>
      <c r="X922" s="60"/>
      <c r="Y922" s="60"/>
      <c r="Z922" s="60"/>
    </row>
    <row r="923" ht="53.25" customHeight="1">
      <c r="A923" s="60"/>
      <c r="B923" s="60"/>
      <c r="C923" s="84"/>
      <c r="D923" s="60"/>
      <c r="E923" s="60"/>
      <c r="F923" s="85"/>
      <c r="G923" s="85"/>
      <c r="H923" s="60"/>
      <c r="I923" s="60"/>
      <c r="J923" s="60"/>
      <c r="K923" s="60"/>
      <c r="L923" s="60"/>
      <c r="M923" s="60"/>
      <c r="N923" s="60"/>
      <c r="O923" s="60"/>
      <c r="P923" s="60"/>
      <c r="Q923" s="60"/>
      <c r="R923" s="60"/>
      <c r="S923" s="60"/>
      <c r="T923" s="60"/>
      <c r="U923" s="60"/>
      <c r="V923" s="60"/>
      <c r="W923" s="60"/>
      <c r="X923" s="60"/>
      <c r="Y923" s="60"/>
      <c r="Z923" s="60"/>
    </row>
    <row r="924" ht="53.25" customHeight="1">
      <c r="A924" s="60"/>
      <c r="B924" s="60"/>
      <c r="C924" s="84"/>
      <c r="D924" s="60"/>
      <c r="E924" s="60"/>
      <c r="F924" s="85"/>
      <c r="G924" s="85"/>
      <c r="H924" s="60"/>
      <c r="I924" s="60"/>
      <c r="J924" s="60"/>
      <c r="K924" s="60"/>
      <c r="L924" s="60"/>
      <c r="M924" s="60"/>
      <c r="N924" s="60"/>
      <c r="O924" s="60"/>
      <c r="P924" s="60"/>
      <c r="Q924" s="60"/>
      <c r="R924" s="60"/>
      <c r="S924" s="60"/>
      <c r="T924" s="60"/>
      <c r="U924" s="60"/>
      <c r="V924" s="60"/>
      <c r="W924" s="60"/>
      <c r="X924" s="60"/>
      <c r="Y924" s="60"/>
      <c r="Z924" s="60"/>
    </row>
    <row r="925" ht="53.25" customHeight="1">
      <c r="A925" s="60"/>
      <c r="B925" s="60"/>
      <c r="C925" s="84"/>
      <c r="D925" s="60"/>
      <c r="E925" s="60"/>
      <c r="F925" s="85"/>
      <c r="G925" s="85"/>
      <c r="H925" s="60"/>
      <c r="I925" s="60"/>
      <c r="J925" s="60"/>
      <c r="K925" s="60"/>
      <c r="L925" s="60"/>
      <c r="M925" s="60"/>
      <c r="N925" s="60"/>
      <c r="O925" s="60"/>
      <c r="P925" s="60"/>
      <c r="Q925" s="60"/>
      <c r="R925" s="60"/>
      <c r="S925" s="60"/>
      <c r="T925" s="60"/>
      <c r="U925" s="60"/>
      <c r="V925" s="60"/>
      <c r="W925" s="60"/>
      <c r="X925" s="60"/>
      <c r="Y925" s="60"/>
      <c r="Z925" s="60"/>
    </row>
    <row r="926" ht="53.25" customHeight="1">
      <c r="A926" s="60"/>
      <c r="B926" s="60"/>
      <c r="C926" s="84"/>
      <c r="D926" s="60"/>
      <c r="E926" s="60"/>
      <c r="F926" s="85"/>
      <c r="G926" s="85"/>
      <c r="H926" s="60"/>
      <c r="I926" s="60"/>
      <c r="J926" s="60"/>
      <c r="K926" s="60"/>
      <c r="L926" s="60"/>
      <c r="M926" s="60"/>
      <c r="N926" s="60"/>
      <c r="O926" s="60"/>
      <c r="P926" s="60"/>
      <c r="Q926" s="60"/>
      <c r="R926" s="60"/>
      <c r="S926" s="60"/>
      <c r="T926" s="60"/>
      <c r="U926" s="60"/>
      <c r="V926" s="60"/>
      <c r="W926" s="60"/>
      <c r="X926" s="60"/>
      <c r="Y926" s="60"/>
      <c r="Z926" s="60"/>
    </row>
    <row r="927" ht="53.25" customHeight="1">
      <c r="A927" s="60"/>
      <c r="B927" s="60"/>
      <c r="C927" s="84"/>
      <c r="D927" s="60"/>
      <c r="E927" s="60"/>
      <c r="F927" s="85"/>
      <c r="G927" s="85"/>
      <c r="H927" s="60"/>
      <c r="I927" s="60"/>
      <c r="J927" s="60"/>
      <c r="K927" s="60"/>
      <c r="L927" s="60"/>
      <c r="M927" s="60"/>
      <c r="N927" s="60"/>
      <c r="O927" s="60"/>
      <c r="P927" s="60"/>
      <c r="Q927" s="60"/>
      <c r="R927" s="60"/>
      <c r="S927" s="60"/>
      <c r="T927" s="60"/>
      <c r="U927" s="60"/>
      <c r="V927" s="60"/>
      <c r="W927" s="60"/>
      <c r="X927" s="60"/>
      <c r="Y927" s="60"/>
      <c r="Z927" s="60"/>
    </row>
    <row r="928" ht="53.25" customHeight="1">
      <c r="A928" s="60"/>
      <c r="B928" s="60"/>
      <c r="C928" s="84"/>
      <c r="D928" s="60"/>
      <c r="E928" s="60"/>
      <c r="F928" s="85"/>
      <c r="G928" s="85"/>
      <c r="H928" s="60"/>
      <c r="I928" s="60"/>
      <c r="J928" s="60"/>
      <c r="K928" s="60"/>
      <c r="L928" s="60"/>
      <c r="M928" s="60"/>
      <c r="N928" s="60"/>
      <c r="O928" s="60"/>
      <c r="P928" s="60"/>
      <c r="Q928" s="60"/>
      <c r="R928" s="60"/>
      <c r="S928" s="60"/>
      <c r="T928" s="60"/>
      <c r="U928" s="60"/>
      <c r="V928" s="60"/>
      <c r="W928" s="60"/>
      <c r="X928" s="60"/>
      <c r="Y928" s="60"/>
      <c r="Z928" s="60"/>
    </row>
    <row r="929" ht="53.25" customHeight="1">
      <c r="A929" s="60"/>
      <c r="B929" s="60"/>
      <c r="C929" s="84"/>
      <c r="D929" s="60"/>
      <c r="E929" s="60"/>
      <c r="F929" s="85"/>
      <c r="G929" s="85"/>
      <c r="H929" s="60"/>
      <c r="I929" s="60"/>
      <c r="J929" s="60"/>
      <c r="K929" s="60"/>
      <c r="L929" s="60"/>
      <c r="M929" s="60"/>
      <c r="N929" s="60"/>
      <c r="O929" s="60"/>
      <c r="P929" s="60"/>
      <c r="Q929" s="60"/>
      <c r="R929" s="60"/>
      <c r="S929" s="60"/>
      <c r="T929" s="60"/>
      <c r="U929" s="60"/>
      <c r="V929" s="60"/>
      <c r="W929" s="60"/>
      <c r="X929" s="60"/>
      <c r="Y929" s="60"/>
      <c r="Z929" s="60"/>
    </row>
    <row r="930" ht="53.25" customHeight="1">
      <c r="A930" s="60"/>
      <c r="B930" s="60"/>
      <c r="C930" s="84"/>
      <c r="D930" s="60"/>
      <c r="E930" s="60"/>
      <c r="F930" s="85"/>
      <c r="G930" s="85"/>
      <c r="H930" s="60"/>
      <c r="I930" s="60"/>
      <c r="J930" s="60"/>
      <c r="K930" s="60"/>
      <c r="L930" s="60"/>
      <c r="M930" s="60"/>
      <c r="N930" s="60"/>
      <c r="O930" s="60"/>
      <c r="P930" s="60"/>
      <c r="Q930" s="60"/>
      <c r="R930" s="60"/>
      <c r="S930" s="60"/>
      <c r="T930" s="60"/>
      <c r="U930" s="60"/>
      <c r="V930" s="60"/>
      <c r="W930" s="60"/>
      <c r="X930" s="60"/>
      <c r="Y930" s="60"/>
      <c r="Z930" s="60"/>
    </row>
    <row r="931" ht="53.25" customHeight="1">
      <c r="A931" s="60"/>
      <c r="B931" s="60"/>
      <c r="C931" s="84"/>
      <c r="D931" s="60"/>
      <c r="E931" s="60"/>
      <c r="F931" s="85"/>
      <c r="G931" s="85"/>
      <c r="H931" s="60"/>
      <c r="I931" s="60"/>
      <c r="J931" s="60"/>
      <c r="K931" s="60"/>
      <c r="L931" s="60"/>
      <c r="M931" s="60"/>
      <c r="N931" s="60"/>
      <c r="O931" s="60"/>
      <c r="P931" s="60"/>
      <c r="Q931" s="60"/>
      <c r="R931" s="60"/>
      <c r="S931" s="60"/>
      <c r="T931" s="60"/>
      <c r="U931" s="60"/>
      <c r="V931" s="60"/>
      <c r="W931" s="60"/>
      <c r="X931" s="60"/>
      <c r="Y931" s="60"/>
      <c r="Z931" s="60"/>
    </row>
    <row r="932" ht="53.25" customHeight="1">
      <c r="A932" s="60"/>
      <c r="B932" s="60"/>
      <c r="C932" s="84"/>
      <c r="D932" s="60"/>
      <c r="E932" s="60"/>
      <c r="F932" s="85"/>
      <c r="G932" s="85"/>
      <c r="H932" s="60"/>
      <c r="I932" s="60"/>
      <c r="J932" s="60"/>
      <c r="K932" s="60"/>
      <c r="L932" s="60"/>
      <c r="M932" s="60"/>
      <c r="N932" s="60"/>
      <c r="O932" s="60"/>
      <c r="P932" s="60"/>
      <c r="Q932" s="60"/>
      <c r="R932" s="60"/>
      <c r="S932" s="60"/>
      <c r="T932" s="60"/>
      <c r="U932" s="60"/>
      <c r="V932" s="60"/>
      <c r="W932" s="60"/>
      <c r="X932" s="60"/>
      <c r="Y932" s="60"/>
      <c r="Z932" s="60"/>
    </row>
    <row r="933" ht="53.25" customHeight="1">
      <c r="A933" s="60"/>
      <c r="B933" s="60"/>
      <c r="C933" s="84"/>
      <c r="D933" s="60"/>
      <c r="E933" s="60"/>
      <c r="F933" s="85"/>
      <c r="G933" s="85"/>
      <c r="H933" s="60"/>
      <c r="I933" s="60"/>
      <c r="J933" s="60"/>
      <c r="K933" s="60"/>
      <c r="L933" s="60"/>
      <c r="M933" s="60"/>
      <c r="N933" s="60"/>
      <c r="O933" s="60"/>
      <c r="P933" s="60"/>
      <c r="Q933" s="60"/>
      <c r="R933" s="60"/>
      <c r="S933" s="60"/>
      <c r="T933" s="60"/>
      <c r="U933" s="60"/>
      <c r="V933" s="60"/>
      <c r="W933" s="60"/>
      <c r="X933" s="60"/>
      <c r="Y933" s="60"/>
      <c r="Z933" s="60"/>
    </row>
    <row r="934" ht="53.25" customHeight="1">
      <c r="A934" s="60"/>
      <c r="B934" s="60"/>
      <c r="C934" s="84"/>
      <c r="D934" s="60"/>
      <c r="E934" s="60"/>
      <c r="F934" s="85"/>
      <c r="G934" s="85"/>
      <c r="H934" s="60"/>
      <c r="I934" s="60"/>
      <c r="J934" s="60"/>
      <c r="K934" s="60"/>
      <c r="L934" s="60"/>
      <c r="M934" s="60"/>
      <c r="N934" s="60"/>
      <c r="O934" s="60"/>
      <c r="P934" s="60"/>
      <c r="Q934" s="60"/>
      <c r="R934" s="60"/>
      <c r="S934" s="60"/>
      <c r="T934" s="60"/>
      <c r="U934" s="60"/>
      <c r="V934" s="60"/>
      <c r="W934" s="60"/>
      <c r="X934" s="60"/>
      <c r="Y934" s="60"/>
      <c r="Z934" s="60"/>
    </row>
    <row r="935" ht="53.25" customHeight="1">
      <c r="A935" s="60"/>
      <c r="B935" s="60"/>
      <c r="C935" s="84"/>
      <c r="D935" s="60"/>
      <c r="E935" s="60"/>
      <c r="F935" s="85"/>
      <c r="G935" s="85"/>
      <c r="H935" s="60"/>
      <c r="I935" s="60"/>
      <c r="J935" s="60"/>
      <c r="K935" s="60"/>
      <c r="L935" s="60"/>
      <c r="M935" s="60"/>
      <c r="N935" s="60"/>
      <c r="O935" s="60"/>
      <c r="P935" s="60"/>
      <c r="Q935" s="60"/>
      <c r="R935" s="60"/>
      <c r="S935" s="60"/>
      <c r="T935" s="60"/>
      <c r="U935" s="60"/>
      <c r="V935" s="60"/>
      <c r="W935" s="60"/>
      <c r="X935" s="60"/>
      <c r="Y935" s="60"/>
      <c r="Z935" s="60"/>
    </row>
    <row r="936" ht="53.25" customHeight="1">
      <c r="A936" s="60"/>
      <c r="B936" s="60"/>
      <c r="C936" s="84"/>
      <c r="D936" s="60"/>
      <c r="E936" s="60"/>
      <c r="F936" s="85"/>
      <c r="G936" s="85"/>
      <c r="H936" s="60"/>
      <c r="I936" s="60"/>
      <c r="J936" s="60"/>
      <c r="K936" s="60"/>
      <c r="L936" s="60"/>
      <c r="M936" s="60"/>
      <c r="N936" s="60"/>
      <c r="O936" s="60"/>
      <c r="P936" s="60"/>
      <c r="Q936" s="60"/>
      <c r="R936" s="60"/>
      <c r="S936" s="60"/>
      <c r="T936" s="60"/>
      <c r="U936" s="60"/>
      <c r="V936" s="60"/>
      <c r="W936" s="60"/>
      <c r="X936" s="60"/>
      <c r="Y936" s="60"/>
      <c r="Z936" s="60"/>
    </row>
    <row r="937" ht="53.25" customHeight="1">
      <c r="A937" s="60"/>
      <c r="B937" s="60"/>
      <c r="C937" s="84"/>
      <c r="D937" s="60"/>
      <c r="E937" s="60"/>
      <c r="F937" s="85"/>
      <c r="G937" s="85"/>
      <c r="H937" s="60"/>
      <c r="I937" s="60"/>
      <c r="J937" s="60"/>
      <c r="K937" s="60"/>
      <c r="L937" s="60"/>
      <c r="M937" s="60"/>
      <c r="N937" s="60"/>
      <c r="O937" s="60"/>
      <c r="P937" s="60"/>
      <c r="Q937" s="60"/>
      <c r="R937" s="60"/>
      <c r="S937" s="60"/>
      <c r="T937" s="60"/>
      <c r="U937" s="60"/>
      <c r="V937" s="60"/>
      <c r="W937" s="60"/>
      <c r="X937" s="60"/>
      <c r="Y937" s="60"/>
      <c r="Z937" s="60"/>
    </row>
    <row r="938" ht="53.25" customHeight="1">
      <c r="A938" s="60"/>
      <c r="B938" s="60"/>
      <c r="C938" s="84"/>
      <c r="D938" s="60"/>
      <c r="E938" s="60"/>
      <c r="F938" s="85"/>
      <c r="G938" s="85"/>
      <c r="H938" s="60"/>
      <c r="I938" s="60"/>
      <c r="J938" s="60"/>
      <c r="K938" s="60"/>
      <c r="L938" s="60"/>
      <c r="M938" s="60"/>
      <c r="N938" s="60"/>
      <c r="O938" s="60"/>
      <c r="P938" s="60"/>
      <c r="Q938" s="60"/>
      <c r="R938" s="60"/>
      <c r="S938" s="60"/>
      <c r="T938" s="60"/>
      <c r="U938" s="60"/>
      <c r="V938" s="60"/>
      <c r="W938" s="60"/>
      <c r="X938" s="60"/>
      <c r="Y938" s="60"/>
      <c r="Z938" s="60"/>
    </row>
    <row r="939" ht="53.25" customHeight="1">
      <c r="A939" s="60"/>
      <c r="B939" s="60"/>
      <c r="C939" s="84"/>
      <c r="D939" s="60"/>
      <c r="E939" s="60"/>
      <c r="F939" s="85"/>
      <c r="G939" s="85"/>
      <c r="H939" s="60"/>
      <c r="I939" s="60"/>
      <c r="J939" s="60"/>
      <c r="K939" s="60"/>
      <c r="L939" s="60"/>
      <c r="M939" s="60"/>
      <c r="N939" s="60"/>
      <c r="O939" s="60"/>
      <c r="P939" s="60"/>
      <c r="Q939" s="60"/>
      <c r="R939" s="60"/>
      <c r="S939" s="60"/>
      <c r="T939" s="60"/>
      <c r="U939" s="60"/>
      <c r="V939" s="60"/>
      <c r="W939" s="60"/>
      <c r="X939" s="60"/>
      <c r="Y939" s="60"/>
      <c r="Z939" s="60"/>
    </row>
    <row r="940" ht="53.25" customHeight="1">
      <c r="A940" s="60"/>
      <c r="B940" s="60"/>
      <c r="C940" s="84"/>
      <c r="D940" s="60"/>
      <c r="E940" s="60"/>
      <c r="F940" s="85"/>
      <c r="G940" s="85"/>
      <c r="H940" s="60"/>
      <c r="I940" s="60"/>
      <c r="J940" s="60"/>
      <c r="K940" s="60"/>
      <c r="L940" s="60"/>
      <c r="M940" s="60"/>
      <c r="N940" s="60"/>
      <c r="O940" s="60"/>
      <c r="P940" s="60"/>
      <c r="Q940" s="60"/>
      <c r="R940" s="60"/>
      <c r="S940" s="60"/>
      <c r="T940" s="60"/>
      <c r="U940" s="60"/>
      <c r="V940" s="60"/>
      <c r="W940" s="60"/>
      <c r="X940" s="60"/>
      <c r="Y940" s="60"/>
      <c r="Z940" s="60"/>
    </row>
    <row r="941" ht="53.25" customHeight="1">
      <c r="A941" s="60"/>
      <c r="B941" s="60"/>
      <c r="C941" s="84"/>
      <c r="D941" s="60"/>
      <c r="E941" s="60"/>
      <c r="F941" s="85"/>
      <c r="G941" s="85"/>
      <c r="H941" s="60"/>
      <c r="I941" s="60"/>
      <c r="J941" s="60"/>
      <c r="K941" s="60"/>
      <c r="L941" s="60"/>
      <c r="M941" s="60"/>
      <c r="N941" s="60"/>
      <c r="O941" s="60"/>
      <c r="P941" s="60"/>
      <c r="Q941" s="60"/>
      <c r="R941" s="60"/>
      <c r="S941" s="60"/>
      <c r="T941" s="60"/>
      <c r="U941" s="60"/>
      <c r="V941" s="60"/>
      <c r="W941" s="60"/>
      <c r="X941" s="60"/>
      <c r="Y941" s="60"/>
      <c r="Z941" s="60"/>
    </row>
    <row r="942" ht="53.25" customHeight="1">
      <c r="A942" s="60"/>
      <c r="B942" s="60"/>
      <c r="C942" s="84"/>
      <c r="D942" s="60"/>
      <c r="E942" s="60"/>
      <c r="F942" s="85"/>
      <c r="G942" s="85"/>
      <c r="H942" s="60"/>
      <c r="I942" s="60"/>
      <c r="J942" s="60"/>
      <c r="K942" s="60"/>
      <c r="L942" s="60"/>
      <c r="M942" s="60"/>
      <c r="N942" s="60"/>
      <c r="O942" s="60"/>
      <c r="P942" s="60"/>
      <c r="Q942" s="60"/>
      <c r="R942" s="60"/>
      <c r="S942" s="60"/>
      <c r="T942" s="60"/>
      <c r="U942" s="60"/>
      <c r="V942" s="60"/>
      <c r="W942" s="60"/>
      <c r="X942" s="60"/>
      <c r="Y942" s="60"/>
      <c r="Z942" s="60"/>
    </row>
    <row r="943" ht="53.25" customHeight="1">
      <c r="A943" s="60"/>
      <c r="B943" s="60"/>
      <c r="C943" s="84"/>
      <c r="D943" s="60"/>
      <c r="E943" s="60"/>
      <c r="F943" s="85"/>
      <c r="G943" s="85"/>
      <c r="H943" s="60"/>
      <c r="I943" s="60"/>
      <c r="J943" s="60"/>
      <c r="K943" s="60"/>
      <c r="L943" s="60"/>
      <c r="M943" s="60"/>
      <c r="N943" s="60"/>
      <c r="O943" s="60"/>
      <c r="P943" s="60"/>
      <c r="Q943" s="60"/>
      <c r="R943" s="60"/>
      <c r="S943" s="60"/>
      <c r="T943" s="60"/>
      <c r="U943" s="60"/>
      <c r="V943" s="60"/>
      <c r="W943" s="60"/>
      <c r="X943" s="60"/>
      <c r="Y943" s="60"/>
      <c r="Z943" s="60"/>
    </row>
    <row r="944" ht="53.25" customHeight="1">
      <c r="A944" s="60"/>
      <c r="B944" s="60"/>
      <c r="C944" s="84"/>
      <c r="D944" s="60"/>
      <c r="E944" s="60"/>
      <c r="F944" s="85"/>
      <c r="G944" s="85"/>
      <c r="H944" s="60"/>
      <c r="I944" s="60"/>
      <c r="J944" s="60"/>
      <c r="K944" s="60"/>
      <c r="L944" s="60"/>
      <c r="M944" s="60"/>
      <c r="N944" s="60"/>
      <c r="O944" s="60"/>
      <c r="P944" s="60"/>
      <c r="Q944" s="60"/>
      <c r="R944" s="60"/>
      <c r="S944" s="60"/>
      <c r="T944" s="60"/>
      <c r="U944" s="60"/>
      <c r="V944" s="60"/>
      <c r="W944" s="60"/>
      <c r="X944" s="60"/>
      <c r="Y944" s="60"/>
      <c r="Z944" s="60"/>
    </row>
    <row r="945" ht="53.25" customHeight="1">
      <c r="A945" s="60"/>
      <c r="B945" s="60"/>
      <c r="C945" s="84"/>
      <c r="D945" s="60"/>
      <c r="E945" s="60"/>
      <c r="F945" s="85"/>
      <c r="G945" s="85"/>
      <c r="H945" s="60"/>
      <c r="I945" s="60"/>
      <c r="J945" s="60"/>
      <c r="K945" s="60"/>
      <c r="L945" s="60"/>
      <c r="M945" s="60"/>
      <c r="N945" s="60"/>
      <c r="O945" s="60"/>
      <c r="P945" s="60"/>
      <c r="Q945" s="60"/>
      <c r="R945" s="60"/>
      <c r="S945" s="60"/>
      <c r="T945" s="60"/>
      <c r="U945" s="60"/>
      <c r="V945" s="60"/>
      <c r="W945" s="60"/>
      <c r="X945" s="60"/>
      <c r="Y945" s="60"/>
      <c r="Z945" s="60"/>
    </row>
    <row r="946" ht="53.25" customHeight="1">
      <c r="A946" s="60"/>
      <c r="B946" s="60"/>
      <c r="C946" s="84"/>
      <c r="D946" s="60"/>
      <c r="E946" s="60"/>
      <c r="F946" s="85"/>
      <c r="G946" s="85"/>
      <c r="H946" s="60"/>
      <c r="I946" s="60"/>
      <c r="J946" s="60"/>
      <c r="K946" s="60"/>
      <c r="L946" s="60"/>
      <c r="M946" s="60"/>
      <c r="N946" s="60"/>
      <c r="O946" s="60"/>
      <c r="P946" s="60"/>
      <c r="Q946" s="60"/>
      <c r="R946" s="60"/>
      <c r="S946" s="60"/>
      <c r="T946" s="60"/>
      <c r="U946" s="60"/>
      <c r="V946" s="60"/>
      <c r="W946" s="60"/>
      <c r="X946" s="60"/>
      <c r="Y946" s="60"/>
      <c r="Z946" s="60"/>
    </row>
    <row r="947" ht="53.25" customHeight="1">
      <c r="A947" s="60"/>
      <c r="B947" s="60"/>
      <c r="C947" s="84"/>
      <c r="D947" s="60"/>
      <c r="E947" s="60"/>
      <c r="F947" s="85"/>
      <c r="G947" s="85"/>
      <c r="H947" s="60"/>
      <c r="I947" s="60"/>
      <c r="J947" s="60"/>
      <c r="K947" s="60"/>
      <c r="L947" s="60"/>
      <c r="M947" s="60"/>
      <c r="N947" s="60"/>
      <c r="O947" s="60"/>
      <c r="P947" s="60"/>
      <c r="Q947" s="60"/>
      <c r="R947" s="60"/>
      <c r="S947" s="60"/>
      <c r="T947" s="60"/>
      <c r="U947" s="60"/>
      <c r="V947" s="60"/>
      <c r="W947" s="60"/>
      <c r="X947" s="60"/>
      <c r="Y947" s="60"/>
      <c r="Z947" s="60"/>
    </row>
    <row r="948" ht="53.25" customHeight="1">
      <c r="A948" s="60"/>
      <c r="B948" s="60"/>
      <c r="C948" s="84"/>
      <c r="D948" s="60"/>
      <c r="E948" s="60"/>
      <c r="F948" s="85"/>
      <c r="G948" s="85"/>
      <c r="H948" s="60"/>
      <c r="I948" s="60"/>
      <c r="J948" s="60"/>
      <c r="K948" s="60"/>
      <c r="L948" s="60"/>
      <c r="M948" s="60"/>
      <c r="N948" s="60"/>
      <c r="O948" s="60"/>
      <c r="P948" s="60"/>
      <c r="Q948" s="60"/>
      <c r="R948" s="60"/>
      <c r="S948" s="60"/>
      <c r="T948" s="60"/>
      <c r="U948" s="60"/>
      <c r="V948" s="60"/>
      <c r="W948" s="60"/>
      <c r="X948" s="60"/>
      <c r="Y948" s="60"/>
      <c r="Z948" s="60"/>
    </row>
    <row r="949" ht="53.25" customHeight="1">
      <c r="A949" s="60"/>
      <c r="B949" s="60"/>
      <c r="C949" s="84"/>
      <c r="D949" s="60"/>
      <c r="E949" s="60"/>
      <c r="F949" s="85"/>
      <c r="G949" s="85"/>
      <c r="H949" s="60"/>
      <c r="I949" s="60"/>
      <c r="J949" s="60"/>
      <c r="K949" s="60"/>
      <c r="L949" s="60"/>
      <c r="M949" s="60"/>
      <c r="N949" s="60"/>
      <c r="O949" s="60"/>
      <c r="P949" s="60"/>
      <c r="Q949" s="60"/>
      <c r="R949" s="60"/>
      <c r="S949" s="60"/>
      <c r="T949" s="60"/>
      <c r="U949" s="60"/>
      <c r="V949" s="60"/>
      <c r="W949" s="60"/>
      <c r="X949" s="60"/>
      <c r="Y949" s="60"/>
      <c r="Z949" s="60"/>
    </row>
    <row r="950" ht="53.25" customHeight="1">
      <c r="A950" s="60"/>
      <c r="B950" s="60"/>
      <c r="C950" s="84"/>
      <c r="D950" s="60"/>
      <c r="E950" s="60"/>
      <c r="F950" s="85"/>
      <c r="G950" s="85"/>
      <c r="H950" s="60"/>
      <c r="I950" s="60"/>
      <c r="J950" s="60"/>
      <c r="K950" s="60"/>
      <c r="L950" s="60"/>
      <c r="M950" s="60"/>
      <c r="N950" s="60"/>
      <c r="O950" s="60"/>
      <c r="P950" s="60"/>
      <c r="Q950" s="60"/>
      <c r="R950" s="60"/>
      <c r="S950" s="60"/>
      <c r="T950" s="60"/>
      <c r="U950" s="60"/>
      <c r="V950" s="60"/>
      <c r="W950" s="60"/>
      <c r="X950" s="60"/>
      <c r="Y950" s="60"/>
      <c r="Z950" s="60"/>
    </row>
    <row r="951" ht="53.25" customHeight="1">
      <c r="A951" s="60"/>
      <c r="B951" s="60"/>
      <c r="C951" s="84"/>
      <c r="D951" s="60"/>
      <c r="E951" s="60"/>
      <c r="F951" s="85"/>
      <c r="G951" s="85"/>
      <c r="H951" s="60"/>
      <c r="I951" s="60"/>
      <c r="J951" s="60"/>
      <c r="K951" s="60"/>
      <c r="L951" s="60"/>
      <c r="M951" s="60"/>
      <c r="N951" s="60"/>
      <c r="O951" s="60"/>
      <c r="P951" s="60"/>
      <c r="Q951" s="60"/>
      <c r="R951" s="60"/>
      <c r="S951" s="60"/>
      <c r="T951" s="60"/>
      <c r="U951" s="60"/>
      <c r="V951" s="60"/>
      <c r="W951" s="60"/>
      <c r="X951" s="60"/>
      <c r="Y951" s="60"/>
      <c r="Z951" s="60"/>
    </row>
    <row r="952" ht="53.25" customHeight="1">
      <c r="A952" s="60"/>
      <c r="B952" s="60"/>
      <c r="C952" s="84"/>
      <c r="D952" s="60"/>
      <c r="E952" s="60"/>
      <c r="F952" s="85"/>
      <c r="G952" s="85"/>
      <c r="H952" s="60"/>
      <c r="I952" s="60"/>
      <c r="J952" s="60"/>
      <c r="K952" s="60"/>
      <c r="L952" s="60"/>
      <c r="M952" s="60"/>
      <c r="N952" s="60"/>
      <c r="O952" s="60"/>
      <c r="P952" s="60"/>
      <c r="Q952" s="60"/>
      <c r="R952" s="60"/>
      <c r="S952" s="60"/>
      <c r="T952" s="60"/>
      <c r="U952" s="60"/>
      <c r="V952" s="60"/>
      <c r="W952" s="60"/>
      <c r="X952" s="60"/>
      <c r="Y952" s="60"/>
      <c r="Z952" s="60"/>
    </row>
    <row r="953" ht="53.25" customHeight="1">
      <c r="A953" s="60"/>
      <c r="B953" s="60"/>
      <c r="C953" s="84"/>
      <c r="D953" s="60"/>
      <c r="E953" s="60"/>
      <c r="F953" s="85"/>
      <c r="G953" s="85"/>
      <c r="H953" s="60"/>
      <c r="I953" s="60"/>
      <c r="J953" s="60"/>
      <c r="K953" s="60"/>
      <c r="L953" s="60"/>
      <c r="M953" s="60"/>
      <c r="N953" s="60"/>
      <c r="O953" s="60"/>
      <c r="P953" s="60"/>
      <c r="Q953" s="60"/>
      <c r="R953" s="60"/>
      <c r="S953" s="60"/>
      <c r="T953" s="60"/>
      <c r="U953" s="60"/>
      <c r="V953" s="60"/>
      <c r="W953" s="60"/>
      <c r="X953" s="60"/>
      <c r="Y953" s="60"/>
      <c r="Z953" s="60"/>
    </row>
    <row r="954" ht="53.25" customHeight="1">
      <c r="A954" s="60"/>
      <c r="B954" s="60"/>
      <c r="C954" s="84"/>
      <c r="D954" s="60"/>
      <c r="E954" s="60"/>
      <c r="F954" s="85"/>
      <c r="G954" s="85"/>
      <c r="H954" s="60"/>
      <c r="I954" s="60"/>
      <c r="J954" s="60"/>
      <c r="K954" s="60"/>
      <c r="L954" s="60"/>
      <c r="M954" s="60"/>
      <c r="N954" s="60"/>
      <c r="O954" s="60"/>
      <c r="P954" s="60"/>
      <c r="Q954" s="60"/>
      <c r="R954" s="60"/>
      <c r="S954" s="60"/>
      <c r="T954" s="60"/>
      <c r="U954" s="60"/>
      <c r="V954" s="60"/>
      <c r="W954" s="60"/>
      <c r="X954" s="60"/>
      <c r="Y954" s="60"/>
      <c r="Z954" s="60"/>
    </row>
    <row r="955" ht="53.25" customHeight="1">
      <c r="A955" s="60"/>
      <c r="B955" s="60"/>
      <c r="C955" s="84"/>
      <c r="D955" s="60"/>
      <c r="E955" s="60"/>
      <c r="F955" s="85"/>
      <c r="G955" s="85"/>
      <c r="H955" s="60"/>
      <c r="I955" s="60"/>
      <c r="J955" s="60"/>
      <c r="K955" s="60"/>
      <c r="L955" s="60"/>
      <c r="M955" s="60"/>
      <c r="N955" s="60"/>
      <c r="O955" s="60"/>
      <c r="P955" s="60"/>
      <c r="Q955" s="60"/>
      <c r="R955" s="60"/>
      <c r="S955" s="60"/>
      <c r="T955" s="60"/>
      <c r="U955" s="60"/>
      <c r="V955" s="60"/>
      <c r="W955" s="60"/>
      <c r="X955" s="60"/>
      <c r="Y955" s="60"/>
      <c r="Z955" s="60"/>
    </row>
    <row r="956" ht="53.25" customHeight="1">
      <c r="A956" s="60"/>
      <c r="B956" s="60"/>
      <c r="C956" s="84"/>
      <c r="D956" s="60"/>
      <c r="E956" s="60"/>
      <c r="F956" s="85"/>
      <c r="G956" s="85"/>
      <c r="H956" s="60"/>
      <c r="I956" s="60"/>
      <c r="J956" s="60"/>
      <c r="K956" s="60"/>
      <c r="L956" s="60"/>
      <c r="M956" s="60"/>
      <c r="N956" s="60"/>
      <c r="O956" s="60"/>
      <c r="P956" s="60"/>
      <c r="Q956" s="60"/>
      <c r="R956" s="60"/>
      <c r="S956" s="60"/>
      <c r="T956" s="60"/>
      <c r="U956" s="60"/>
      <c r="V956" s="60"/>
      <c r="W956" s="60"/>
      <c r="X956" s="60"/>
      <c r="Y956" s="60"/>
      <c r="Z956" s="60"/>
    </row>
    <row r="957" ht="53.25" customHeight="1">
      <c r="A957" s="60"/>
      <c r="B957" s="60"/>
      <c r="C957" s="84"/>
      <c r="D957" s="60"/>
      <c r="E957" s="60"/>
      <c r="F957" s="85"/>
      <c r="G957" s="85"/>
      <c r="H957" s="60"/>
      <c r="I957" s="60"/>
      <c r="J957" s="60"/>
      <c r="K957" s="60"/>
      <c r="L957" s="60"/>
      <c r="M957" s="60"/>
      <c r="N957" s="60"/>
      <c r="O957" s="60"/>
      <c r="P957" s="60"/>
      <c r="Q957" s="60"/>
      <c r="R957" s="60"/>
      <c r="S957" s="60"/>
      <c r="T957" s="60"/>
      <c r="U957" s="60"/>
      <c r="V957" s="60"/>
      <c r="W957" s="60"/>
      <c r="X957" s="60"/>
      <c r="Y957" s="60"/>
      <c r="Z957" s="60"/>
    </row>
    <row r="958" ht="53.25" customHeight="1">
      <c r="A958" s="60"/>
      <c r="B958" s="60"/>
      <c r="C958" s="84"/>
      <c r="D958" s="60"/>
      <c r="E958" s="60"/>
      <c r="F958" s="85"/>
      <c r="G958" s="85"/>
      <c r="H958" s="60"/>
      <c r="I958" s="60"/>
      <c r="J958" s="60"/>
      <c r="K958" s="60"/>
      <c r="L958" s="60"/>
      <c r="M958" s="60"/>
      <c r="N958" s="60"/>
      <c r="O958" s="60"/>
      <c r="P958" s="60"/>
      <c r="Q958" s="60"/>
      <c r="R958" s="60"/>
      <c r="S958" s="60"/>
      <c r="T958" s="60"/>
      <c r="U958" s="60"/>
      <c r="V958" s="60"/>
      <c r="W958" s="60"/>
      <c r="X958" s="60"/>
      <c r="Y958" s="60"/>
      <c r="Z958" s="60"/>
    </row>
    <row r="959" ht="53.25" customHeight="1">
      <c r="A959" s="60"/>
      <c r="B959" s="60"/>
      <c r="C959" s="84"/>
      <c r="D959" s="60"/>
      <c r="E959" s="60"/>
      <c r="F959" s="85"/>
      <c r="G959" s="85"/>
      <c r="H959" s="60"/>
      <c r="I959" s="60"/>
      <c r="J959" s="60"/>
      <c r="K959" s="60"/>
      <c r="L959" s="60"/>
      <c r="M959" s="60"/>
      <c r="N959" s="60"/>
      <c r="O959" s="60"/>
      <c r="P959" s="60"/>
      <c r="Q959" s="60"/>
      <c r="R959" s="60"/>
      <c r="S959" s="60"/>
      <c r="T959" s="60"/>
      <c r="U959" s="60"/>
      <c r="V959" s="60"/>
      <c r="W959" s="60"/>
      <c r="X959" s="60"/>
      <c r="Y959" s="60"/>
      <c r="Z959" s="60"/>
    </row>
    <row r="960" ht="53.25" customHeight="1">
      <c r="A960" s="60"/>
      <c r="B960" s="60"/>
      <c r="C960" s="84"/>
      <c r="D960" s="60"/>
      <c r="E960" s="60"/>
      <c r="F960" s="85"/>
      <c r="G960" s="85"/>
      <c r="H960" s="60"/>
      <c r="I960" s="60"/>
      <c r="J960" s="60"/>
      <c r="K960" s="60"/>
      <c r="L960" s="60"/>
      <c r="M960" s="60"/>
      <c r="N960" s="60"/>
      <c r="O960" s="60"/>
      <c r="P960" s="60"/>
      <c r="Q960" s="60"/>
      <c r="R960" s="60"/>
      <c r="S960" s="60"/>
      <c r="T960" s="60"/>
      <c r="U960" s="60"/>
      <c r="V960" s="60"/>
      <c r="W960" s="60"/>
      <c r="X960" s="60"/>
      <c r="Y960" s="60"/>
      <c r="Z960" s="60"/>
    </row>
    <row r="961" ht="53.25" customHeight="1">
      <c r="A961" s="60"/>
      <c r="B961" s="60"/>
      <c r="C961" s="84"/>
      <c r="D961" s="60"/>
      <c r="E961" s="60"/>
      <c r="F961" s="85"/>
      <c r="G961" s="85"/>
      <c r="H961" s="60"/>
      <c r="I961" s="60"/>
      <c r="J961" s="60"/>
      <c r="K961" s="60"/>
      <c r="L961" s="60"/>
      <c r="M961" s="60"/>
      <c r="N961" s="60"/>
      <c r="O961" s="60"/>
      <c r="P961" s="60"/>
      <c r="Q961" s="60"/>
      <c r="R961" s="60"/>
      <c r="S961" s="60"/>
      <c r="T961" s="60"/>
      <c r="U961" s="60"/>
      <c r="V961" s="60"/>
      <c r="W961" s="60"/>
      <c r="X961" s="60"/>
      <c r="Y961" s="60"/>
      <c r="Z961" s="60"/>
    </row>
    <row r="962" ht="53.25" customHeight="1">
      <c r="A962" s="60"/>
      <c r="B962" s="60"/>
      <c r="C962" s="84"/>
      <c r="D962" s="60"/>
      <c r="E962" s="60"/>
      <c r="F962" s="85"/>
      <c r="G962" s="85"/>
      <c r="H962" s="60"/>
      <c r="I962" s="60"/>
      <c r="J962" s="60"/>
      <c r="K962" s="60"/>
      <c r="L962" s="60"/>
      <c r="M962" s="60"/>
      <c r="N962" s="60"/>
      <c r="O962" s="60"/>
      <c r="P962" s="60"/>
      <c r="Q962" s="60"/>
      <c r="R962" s="60"/>
      <c r="S962" s="60"/>
      <c r="T962" s="60"/>
      <c r="U962" s="60"/>
      <c r="V962" s="60"/>
      <c r="W962" s="60"/>
      <c r="X962" s="60"/>
      <c r="Y962" s="60"/>
      <c r="Z962" s="60"/>
    </row>
    <row r="963" ht="53.25" customHeight="1">
      <c r="A963" s="60"/>
      <c r="B963" s="60"/>
      <c r="C963" s="84"/>
      <c r="D963" s="60"/>
      <c r="E963" s="60"/>
      <c r="F963" s="85"/>
      <c r="G963" s="85"/>
      <c r="H963" s="60"/>
      <c r="I963" s="60"/>
      <c r="J963" s="60"/>
      <c r="K963" s="60"/>
      <c r="L963" s="60"/>
      <c r="M963" s="60"/>
      <c r="N963" s="60"/>
      <c r="O963" s="60"/>
      <c r="P963" s="60"/>
      <c r="Q963" s="60"/>
      <c r="R963" s="60"/>
      <c r="S963" s="60"/>
      <c r="T963" s="60"/>
      <c r="U963" s="60"/>
      <c r="V963" s="60"/>
      <c r="W963" s="60"/>
      <c r="X963" s="60"/>
      <c r="Y963" s="60"/>
      <c r="Z963" s="60"/>
    </row>
    <row r="964" ht="53.25" customHeight="1">
      <c r="A964" s="60"/>
      <c r="B964" s="60"/>
      <c r="C964" s="84"/>
      <c r="D964" s="60"/>
      <c r="E964" s="60"/>
      <c r="F964" s="85"/>
      <c r="G964" s="85"/>
      <c r="H964" s="60"/>
      <c r="I964" s="60"/>
      <c r="J964" s="60"/>
      <c r="K964" s="60"/>
      <c r="L964" s="60"/>
      <c r="M964" s="60"/>
      <c r="N964" s="60"/>
      <c r="O964" s="60"/>
      <c r="P964" s="60"/>
      <c r="Q964" s="60"/>
      <c r="R964" s="60"/>
      <c r="S964" s="60"/>
      <c r="T964" s="60"/>
      <c r="U964" s="60"/>
      <c r="V964" s="60"/>
      <c r="W964" s="60"/>
      <c r="X964" s="60"/>
      <c r="Y964" s="60"/>
      <c r="Z964" s="60"/>
    </row>
    <row r="965" ht="53.25" customHeight="1">
      <c r="A965" s="60"/>
      <c r="B965" s="60"/>
      <c r="C965" s="84"/>
      <c r="D965" s="60"/>
      <c r="E965" s="60"/>
      <c r="F965" s="85"/>
      <c r="G965" s="85"/>
      <c r="H965" s="60"/>
      <c r="I965" s="60"/>
      <c r="J965" s="60"/>
      <c r="K965" s="60"/>
      <c r="L965" s="60"/>
      <c r="M965" s="60"/>
      <c r="N965" s="60"/>
      <c r="O965" s="60"/>
      <c r="P965" s="60"/>
      <c r="Q965" s="60"/>
      <c r="R965" s="60"/>
      <c r="S965" s="60"/>
      <c r="T965" s="60"/>
      <c r="U965" s="60"/>
      <c r="V965" s="60"/>
      <c r="W965" s="60"/>
      <c r="X965" s="60"/>
      <c r="Y965" s="60"/>
      <c r="Z965" s="60"/>
    </row>
    <row r="966" ht="53.25" customHeight="1">
      <c r="A966" s="60"/>
      <c r="B966" s="60"/>
      <c r="C966" s="84"/>
      <c r="D966" s="60"/>
      <c r="E966" s="60"/>
      <c r="F966" s="85"/>
      <c r="G966" s="85"/>
      <c r="H966" s="60"/>
      <c r="I966" s="60"/>
      <c r="J966" s="60"/>
      <c r="K966" s="60"/>
      <c r="L966" s="60"/>
      <c r="M966" s="60"/>
      <c r="N966" s="60"/>
      <c r="O966" s="60"/>
      <c r="P966" s="60"/>
      <c r="Q966" s="60"/>
      <c r="R966" s="60"/>
      <c r="S966" s="60"/>
      <c r="T966" s="60"/>
      <c r="U966" s="60"/>
      <c r="V966" s="60"/>
      <c r="W966" s="60"/>
      <c r="X966" s="60"/>
      <c r="Y966" s="60"/>
      <c r="Z966" s="60"/>
    </row>
    <row r="967" ht="53.25" customHeight="1">
      <c r="A967" s="60"/>
      <c r="B967" s="60"/>
      <c r="C967" s="84"/>
      <c r="D967" s="60"/>
      <c r="E967" s="60"/>
      <c r="F967" s="85"/>
      <c r="G967" s="85"/>
      <c r="H967" s="60"/>
      <c r="I967" s="60"/>
      <c r="J967" s="60"/>
      <c r="K967" s="60"/>
      <c r="L967" s="60"/>
      <c r="M967" s="60"/>
      <c r="N967" s="60"/>
      <c r="O967" s="60"/>
      <c r="P967" s="60"/>
      <c r="Q967" s="60"/>
      <c r="R967" s="60"/>
      <c r="S967" s="60"/>
      <c r="T967" s="60"/>
      <c r="U967" s="60"/>
      <c r="V967" s="60"/>
      <c r="W967" s="60"/>
      <c r="X967" s="60"/>
      <c r="Y967" s="60"/>
      <c r="Z967" s="60"/>
    </row>
    <row r="968" ht="53.25" customHeight="1">
      <c r="A968" s="60"/>
      <c r="B968" s="60"/>
      <c r="C968" s="84"/>
      <c r="D968" s="60"/>
      <c r="E968" s="60"/>
      <c r="F968" s="85"/>
      <c r="G968" s="85"/>
      <c r="H968" s="60"/>
      <c r="I968" s="60"/>
      <c r="J968" s="60"/>
      <c r="K968" s="60"/>
      <c r="L968" s="60"/>
      <c r="M968" s="60"/>
      <c r="N968" s="60"/>
      <c r="O968" s="60"/>
      <c r="P968" s="60"/>
      <c r="Q968" s="60"/>
      <c r="R968" s="60"/>
      <c r="S968" s="60"/>
      <c r="T968" s="60"/>
      <c r="U968" s="60"/>
      <c r="V968" s="60"/>
      <c r="W968" s="60"/>
      <c r="X968" s="60"/>
      <c r="Y968" s="60"/>
      <c r="Z968" s="60"/>
    </row>
    <row r="969" ht="53.25" customHeight="1">
      <c r="A969" s="60"/>
      <c r="B969" s="60"/>
      <c r="C969" s="84"/>
      <c r="D969" s="60"/>
      <c r="E969" s="60"/>
      <c r="F969" s="85"/>
      <c r="G969" s="85"/>
      <c r="H969" s="60"/>
      <c r="I969" s="60"/>
      <c r="J969" s="60"/>
      <c r="K969" s="60"/>
      <c r="L969" s="60"/>
      <c r="M969" s="60"/>
      <c r="N969" s="60"/>
      <c r="O969" s="60"/>
      <c r="P969" s="60"/>
      <c r="Q969" s="60"/>
      <c r="R969" s="60"/>
      <c r="S969" s="60"/>
      <c r="T969" s="60"/>
      <c r="U969" s="60"/>
      <c r="V969" s="60"/>
      <c r="W969" s="60"/>
      <c r="X969" s="60"/>
      <c r="Y969" s="60"/>
      <c r="Z969" s="60"/>
    </row>
    <row r="970" ht="53.25" customHeight="1">
      <c r="A970" s="60"/>
      <c r="B970" s="60"/>
      <c r="C970" s="84"/>
      <c r="D970" s="60"/>
      <c r="E970" s="60"/>
      <c r="F970" s="85"/>
      <c r="G970" s="85"/>
      <c r="H970" s="60"/>
      <c r="I970" s="60"/>
      <c r="J970" s="60"/>
      <c r="K970" s="60"/>
      <c r="L970" s="60"/>
      <c r="M970" s="60"/>
      <c r="N970" s="60"/>
      <c r="O970" s="60"/>
      <c r="P970" s="60"/>
      <c r="Q970" s="60"/>
      <c r="R970" s="60"/>
      <c r="S970" s="60"/>
      <c r="T970" s="60"/>
      <c r="U970" s="60"/>
      <c r="V970" s="60"/>
      <c r="W970" s="60"/>
      <c r="X970" s="60"/>
      <c r="Y970" s="60"/>
      <c r="Z970" s="60"/>
    </row>
    <row r="971" ht="53.25" customHeight="1">
      <c r="A971" s="60"/>
      <c r="B971" s="60"/>
      <c r="C971" s="84"/>
      <c r="D971" s="60"/>
      <c r="E971" s="60"/>
      <c r="F971" s="85"/>
      <c r="G971" s="85"/>
      <c r="H971" s="60"/>
      <c r="I971" s="60"/>
      <c r="J971" s="60"/>
      <c r="K971" s="60"/>
      <c r="L971" s="60"/>
      <c r="M971" s="60"/>
      <c r="N971" s="60"/>
      <c r="O971" s="60"/>
      <c r="P971" s="60"/>
      <c r="Q971" s="60"/>
      <c r="R971" s="60"/>
      <c r="S971" s="60"/>
      <c r="T971" s="60"/>
      <c r="U971" s="60"/>
      <c r="V971" s="60"/>
      <c r="W971" s="60"/>
      <c r="X971" s="60"/>
      <c r="Y971" s="60"/>
      <c r="Z971" s="60"/>
    </row>
    <row r="972" ht="53.25" customHeight="1">
      <c r="A972" s="60"/>
      <c r="B972" s="60"/>
      <c r="C972" s="84"/>
      <c r="D972" s="60"/>
      <c r="E972" s="60"/>
      <c r="F972" s="85"/>
      <c r="G972" s="85"/>
      <c r="H972" s="60"/>
      <c r="I972" s="60"/>
      <c r="J972" s="60"/>
      <c r="K972" s="60"/>
      <c r="L972" s="60"/>
      <c r="M972" s="60"/>
      <c r="N972" s="60"/>
      <c r="O972" s="60"/>
      <c r="P972" s="60"/>
      <c r="Q972" s="60"/>
      <c r="R972" s="60"/>
      <c r="S972" s="60"/>
      <c r="T972" s="60"/>
      <c r="U972" s="60"/>
      <c r="V972" s="60"/>
      <c r="W972" s="60"/>
      <c r="X972" s="60"/>
      <c r="Y972" s="60"/>
      <c r="Z972" s="60"/>
    </row>
    <row r="973" ht="53.25" customHeight="1">
      <c r="A973" s="60"/>
      <c r="B973" s="60"/>
      <c r="C973" s="84"/>
      <c r="D973" s="60"/>
      <c r="E973" s="60"/>
      <c r="F973" s="85"/>
      <c r="G973" s="85"/>
      <c r="H973" s="60"/>
      <c r="I973" s="60"/>
      <c r="J973" s="60"/>
      <c r="K973" s="60"/>
      <c r="L973" s="60"/>
      <c r="M973" s="60"/>
      <c r="N973" s="60"/>
      <c r="O973" s="60"/>
      <c r="P973" s="60"/>
      <c r="Q973" s="60"/>
      <c r="R973" s="60"/>
      <c r="S973" s="60"/>
      <c r="T973" s="60"/>
      <c r="U973" s="60"/>
      <c r="V973" s="60"/>
      <c r="W973" s="60"/>
      <c r="X973" s="60"/>
      <c r="Y973" s="60"/>
      <c r="Z973" s="60"/>
    </row>
    <row r="974" ht="53.25" customHeight="1">
      <c r="A974" s="60"/>
      <c r="B974" s="60"/>
      <c r="C974" s="84"/>
      <c r="D974" s="60"/>
      <c r="E974" s="60"/>
      <c r="F974" s="85"/>
      <c r="G974" s="85"/>
      <c r="H974" s="60"/>
      <c r="I974" s="60"/>
      <c r="J974" s="60"/>
      <c r="K974" s="60"/>
      <c r="L974" s="60"/>
      <c r="M974" s="60"/>
      <c r="N974" s="60"/>
      <c r="O974" s="60"/>
      <c r="P974" s="60"/>
      <c r="Q974" s="60"/>
      <c r="R974" s="60"/>
      <c r="S974" s="60"/>
      <c r="T974" s="60"/>
      <c r="U974" s="60"/>
      <c r="V974" s="60"/>
      <c r="W974" s="60"/>
      <c r="X974" s="60"/>
      <c r="Y974" s="60"/>
      <c r="Z974" s="60"/>
    </row>
    <row r="975" ht="53.25" customHeight="1">
      <c r="A975" s="60"/>
      <c r="B975" s="60"/>
      <c r="C975" s="84"/>
      <c r="D975" s="60"/>
      <c r="E975" s="60"/>
      <c r="F975" s="85"/>
      <c r="G975" s="85"/>
      <c r="H975" s="60"/>
      <c r="I975" s="60"/>
      <c r="J975" s="60"/>
      <c r="K975" s="60"/>
      <c r="L975" s="60"/>
      <c r="M975" s="60"/>
      <c r="N975" s="60"/>
      <c r="O975" s="60"/>
      <c r="P975" s="60"/>
      <c r="Q975" s="60"/>
      <c r="R975" s="60"/>
      <c r="S975" s="60"/>
      <c r="T975" s="60"/>
      <c r="U975" s="60"/>
      <c r="V975" s="60"/>
      <c r="W975" s="60"/>
      <c r="X975" s="60"/>
      <c r="Y975" s="60"/>
      <c r="Z975" s="60"/>
    </row>
    <row r="976" ht="53.25" customHeight="1">
      <c r="A976" s="60"/>
      <c r="B976" s="60"/>
      <c r="C976" s="84"/>
      <c r="D976" s="60"/>
      <c r="E976" s="60"/>
      <c r="F976" s="85"/>
      <c r="G976" s="85"/>
      <c r="H976" s="60"/>
      <c r="I976" s="60"/>
      <c r="J976" s="60"/>
      <c r="K976" s="60"/>
      <c r="L976" s="60"/>
      <c r="M976" s="60"/>
      <c r="N976" s="60"/>
      <c r="O976" s="60"/>
      <c r="P976" s="60"/>
      <c r="Q976" s="60"/>
      <c r="R976" s="60"/>
      <c r="S976" s="60"/>
      <c r="T976" s="60"/>
      <c r="U976" s="60"/>
      <c r="V976" s="60"/>
      <c r="W976" s="60"/>
      <c r="X976" s="60"/>
      <c r="Y976" s="60"/>
      <c r="Z976" s="60"/>
    </row>
    <row r="977" ht="53.25" customHeight="1">
      <c r="A977" s="60"/>
      <c r="B977" s="60"/>
      <c r="C977" s="84"/>
      <c r="D977" s="60"/>
      <c r="E977" s="60"/>
      <c r="F977" s="85"/>
      <c r="G977" s="85"/>
      <c r="H977" s="60"/>
      <c r="I977" s="60"/>
      <c r="J977" s="60"/>
      <c r="K977" s="60"/>
      <c r="L977" s="60"/>
      <c r="M977" s="60"/>
      <c r="N977" s="60"/>
      <c r="O977" s="60"/>
      <c r="P977" s="60"/>
      <c r="Q977" s="60"/>
      <c r="R977" s="60"/>
      <c r="S977" s="60"/>
      <c r="T977" s="60"/>
      <c r="U977" s="60"/>
      <c r="V977" s="60"/>
      <c r="W977" s="60"/>
      <c r="X977" s="60"/>
      <c r="Y977" s="60"/>
      <c r="Z977" s="60"/>
    </row>
    <row r="978" ht="53.25" customHeight="1">
      <c r="A978" s="60"/>
      <c r="B978" s="60"/>
      <c r="C978" s="84"/>
      <c r="D978" s="60"/>
      <c r="E978" s="60"/>
      <c r="F978" s="85"/>
      <c r="G978" s="85"/>
      <c r="H978" s="60"/>
      <c r="I978" s="60"/>
      <c r="J978" s="60"/>
      <c r="K978" s="60"/>
      <c r="L978" s="60"/>
      <c r="M978" s="60"/>
      <c r="N978" s="60"/>
      <c r="O978" s="60"/>
      <c r="P978" s="60"/>
      <c r="Q978" s="60"/>
      <c r="R978" s="60"/>
      <c r="S978" s="60"/>
      <c r="T978" s="60"/>
      <c r="U978" s="60"/>
      <c r="V978" s="60"/>
      <c r="W978" s="60"/>
      <c r="X978" s="60"/>
      <c r="Y978" s="60"/>
      <c r="Z978" s="60"/>
    </row>
    <row r="979" ht="53.25" customHeight="1">
      <c r="A979" s="60"/>
      <c r="B979" s="60"/>
      <c r="C979" s="84"/>
      <c r="D979" s="60"/>
      <c r="E979" s="60"/>
      <c r="F979" s="85"/>
      <c r="G979" s="85"/>
      <c r="H979" s="60"/>
      <c r="I979" s="60"/>
      <c r="J979" s="60"/>
      <c r="K979" s="60"/>
      <c r="L979" s="60"/>
      <c r="M979" s="60"/>
      <c r="N979" s="60"/>
      <c r="O979" s="60"/>
      <c r="P979" s="60"/>
      <c r="Q979" s="60"/>
      <c r="R979" s="60"/>
      <c r="S979" s="60"/>
      <c r="T979" s="60"/>
      <c r="U979" s="60"/>
      <c r="V979" s="60"/>
      <c r="W979" s="60"/>
      <c r="X979" s="60"/>
      <c r="Y979" s="60"/>
      <c r="Z979" s="60"/>
    </row>
    <row r="980" ht="53.25" customHeight="1">
      <c r="A980" s="60"/>
      <c r="B980" s="60"/>
      <c r="C980" s="84"/>
      <c r="D980" s="60"/>
      <c r="E980" s="60"/>
      <c r="F980" s="85"/>
      <c r="G980" s="85"/>
      <c r="H980" s="60"/>
      <c r="I980" s="60"/>
      <c r="J980" s="60"/>
      <c r="K980" s="60"/>
      <c r="L980" s="60"/>
      <c r="M980" s="60"/>
      <c r="N980" s="60"/>
      <c r="O980" s="60"/>
      <c r="P980" s="60"/>
      <c r="Q980" s="60"/>
      <c r="R980" s="60"/>
      <c r="S980" s="60"/>
      <c r="T980" s="60"/>
      <c r="U980" s="60"/>
      <c r="V980" s="60"/>
      <c r="W980" s="60"/>
      <c r="X980" s="60"/>
      <c r="Y980" s="60"/>
      <c r="Z980" s="60"/>
    </row>
    <row r="981" ht="53.25" customHeight="1">
      <c r="A981" s="60"/>
      <c r="B981" s="60"/>
      <c r="C981" s="84"/>
      <c r="D981" s="60"/>
      <c r="E981" s="60"/>
      <c r="F981" s="85"/>
      <c r="G981" s="85"/>
      <c r="H981" s="60"/>
      <c r="I981" s="60"/>
      <c r="J981" s="60"/>
      <c r="K981" s="60"/>
      <c r="L981" s="60"/>
      <c r="M981" s="60"/>
      <c r="N981" s="60"/>
      <c r="O981" s="60"/>
      <c r="P981" s="60"/>
      <c r="Q981" s="60"/>
      <c r="R981" s="60"/>
      <c r="S981" s="60"/>
      <c r="T981" s="60"/>
      <c r="U981" s="60"/>
      <c r="V981" s="60"/>
      <c r="W981" s="60"/>
      <c r="X981" s="60"/>
      <c r="Y981" s="60"/>
      <c r="Z981" s="60"/>
    </row>
    <row r="982" ht="53.25" customHeight="1">
      <c r="A982" s="60"/>
      <c r="B982" s="60"/>
      <c r="C982" s="84"/>
      <c r="D982" s="60"/>
      <c r="E982" s="60"/>
      <c r="F982" s="85"/>
      <c r="G982" s="85"/>
      <c r="H982" s="60"/>
      <c r="I982" s="60"/>
      <c r="J982" s="60"/>
      <c r="K982" s="60"/>
      <c r="L982" s="60"/>
      <c r="M982" s="60"/>
      <c r="N982" s="60"/>
      <c r="O982" s="60"/>
      <c r="P982" s="60"/>
      <c r="Q982" s="60"/>
      <c r="R982" s="60"/>
      <c r="S982" s="60"/>
      <c r="T982" s="60"/>
      <c r="U982" s="60"/>
      <c r="V982" s="60"/>
      <c r="W982" s="60"/>
      <c r="X982" s="60"/>
      <c r="Y982" s="60"/>
      <c r="Z982" s="60"/>
    </row>
    <row r="983" ht="53.25" customHeight="1">
      <c r="A983" s="60"/>
      <c r="B983" s="60"/>
      <c r="C983" s="84"/>
      <c r="D983" s="60"/>
      <c r="E983" s="60"/>
      <c r="F983" s="85"/>
      <c r="G983" s="85"/>
      <c r="H983" s="60"/>
      <c r="I983" s="60"/>
      <c r="J983" s="60"/>
      <c r="K983" s="60"/>
      <c r="L983" s="60"/>
      <c r="M983" s="60"/>
      <c r="N983" s="60"/>
      <c r="O983" s="60"/>
      <c r="P983" s="60"/>
      <c r="Q983" s="60"/>
      <c r="R983" s="60"/>
      <c r="S983" s="60"/>
      <c r="T983" s="60"/>
      <c r="U983" s="60"/>
      <c r="V983" s="60"/>
      <c r="W983" s="60"/>
      <c r="X983" s="60"/>
      <c r="Y983" s="60"/>
      <c r="Z983" s="60"/>
    </row>
    <row r="984" ht="53.25" customHeight="1">
      <c r="A984" s="60"/>
      <c r="B984" s="60"/>
      <c r="C984" s="84"/>
      <c r="D984" s="60"/>
      <c r="E984" s="60"/>
      <c r="F984" s="85"/>
      <c r="G984" s="85"/>
      <c r="H984" s="60"/>
      <c r="I984" s="60"/>
      <c r="J984" s="60"/>
      <c r="K984" s="60"/>
      <c r="L984" s="60"/>
      <c r="M984" s="60"/>
      <c r="N984" s="60"/>
      <c r="O984" s="60"/>
      <c r="P984" s="60"/>
      <c r="Q984" s="60"/>
      <c r="R984" s="60"/>
      <c r="S984" s="60"/>
      <c r="T984" s="60"/>
      <c r="U984" s="60"/>
      <c r="V984" s="60"/>
      <c r="W984" s="60"/>
      <c r="X984" s="60"/>
      <c r="Y984" s="60"/>
      <c r="Z984" s="60"/>
    </row>
    <row r="985" ht="53.25" customHeight="1">
      <c r="A985" s="60"/>
      <c r="B985" s="60"/>
      <c r="C985" s="84"/>
      <c r="D985" s="60"/>
      <c r="E985" s="60"/>
      <c r="F985" s="85"/>
      <c r="G985" s="85"/>
      <c r="H985" s="60"/>
      <c r="I985" s="60"/>
      <c r="J985" s="60"/>
      <c r="K985" s="60"/>
      <c r="L985" s="60"/>
      <c r="M985" s="60"/>
      <c r="N985" s="60"/>
      <c r="O985" s="60"/>
      <c r="P985" s="60"/>
      <c r="Q985" s="60"/>
      <c r="R985" s="60"/>
      <c r="S985" s="60"/>
      <c r="T985" s="60"/>
      <c r="U985" s="60"/>
      <c r="V985" s="60"/>
      <c r="W985" s="60"/>
      <c r="X985" s="60"/>
      <c r="Y985" s="60"/>
      <c r="Z985" s="60"/>
    </row>
    <row r="986" ht="53.25" customHeight="1">
      <c r="A986" s="60"/>
      <c r="B986" s="60"/>
      <c r="C986" s="84"/>
      <c r="D986" s="60"/>
      <c r="E986" s="60"/>
      <c r="F986" s="85"/>
      <c r="G986" s="85"/>
      <c r="H986" s="60"/>
      <c r="I986" s="60"/>
      <c r="J986" s="60"/>
      <c r="K986" s="60"/>
      <c r="L986" s="60"/>
      <c r="M986" s="60"/>
      <c r="N986" s="60"/>
      <c r="O986" s="60"/>
      <c r="P986" s="60"/>
      <c r="Q986" s="60"/>
      <c r="R986" s="60"/>
      <c r="S986" s="60"/>
      <c r="T986" s="60"/>
      <c r="U986" s="60"/>
      <c r="V986" s="60"/>
      <c r="W986" s="60"/>
      <c r="X986" s="60"/>
      <c r="Y986" s="60"/>
      <c r="Z986" s="60"/>
    </row>
    <row r="987" ht="53.25" customHeight="1">
      <c r="A987" s="60"/>
      <c r="B987" s="60"/>
      <c r="C987" s="84"/>
      <c r="D987" s="60"/>
      <c r="E987" s="60"/>
      <c r="F987" s="85"/>
      <c r="G987" s="85"/>
      <c r="H987" s="60"/>
      <c r="I987" s="60"/>
      <c r="J987" s="60"/>
      <c r="K987" s="60"/>
      <c r="L987" s="60"/>
      <c r="M987" s="60"/>
      <c r="N987" s="60"/>
      <c r="O987" s="60"/>
      <c r="P987" s="60"/>
      <c r="Q987" s="60"/>
      <c r="R987" s="60"/>
      <c r="S987" s="60"/>
      <c r="T987" s="60"/>
      <c r="U987" s="60"/>
      <c r="V987" s="60"/>
      <c r="W987" s="60"/>
      <c r="X987" s="60"/>
      <c r="Y987" s="60"/>
      <c r="Z987" s="60"/>
    </row>
    <row r="988" ht="53.25" customHeight="1">
      <c r="A988" s="60"/>
      <c r="B988" s="60"/>
      <c r="C988" s="84"/>
      <c r="D988" s="60"/>
      <c r="E988" s="60"/>
      <c r="F988" s="85"/>
      <c r="G988" s="85"/>
      <c r="H988" s="60"/>
      <c r="I988" s="60"/>
      <c r="J988" s="60"/>
      <c r="K988" s="60"/>
      <c r="L988" s="60"/>
      <c r="M988" s="60"/>
      <c r="N988" s="60"/>
      <c r="O988" s="60"/>
      <c r="P988" s="60"/>
      <c r="Q988" s="60"/>
      <c r="R988" s="60"/>
      <c r="S988" s="60"/>
      <c r="T988" s="60"/>
      <c r="U988" s="60"/>
      <c r="V988" s="60"/>
      <c r="W988" s="60"/>
      <c r="X988" s="60"/>
      <c r="Y988" s="60"/>
      <c r="Z988" s="60"/>
    </row>
    <row r="989" ht="53.25" customHeight="1">
      <c r="A989" s="60"/>
      <c r="B989" s="60"/>
      <c r="C989" s="84"/>
      <c r="D989" s="60"/>
      <c r="E989" s="60"/>
      <c r="F989" s="85"/>
      <c r="G989" s="85"/>
      <c r="H989" s="60"/>
      <c r="I989" s="60"/>
      <c r="J989" s="60"/>
      <c r="K989" s="60"/>
      <c r="L989" s="60"/>
      <c r="M989" s="60"/>
      <c r="N989" s="60"/>
      <c r="O989" s="60"/>
      <c r="P989" s="60"/>
      <c r="Q989" s="60"/>
      <c r="R989" s="60"/>
      <c r="S989" s="60"/>
      <c r="T989" s="60"/>
      <c r="U989" s="60"/>
      <c r="V989" s="60"/>
      <c r="W989" s="60"/>
      <c r="X989" s="60"/>
      <c r="Y989" s="60"/>
      <c r="Z989" s="60"/>
    </row>
    <row r="990" ht="53.25" customHeight="1">
      <c r="A990" s="60"/>
      <c r="B990" s="60"/>
      <c r="C990" s="84"/>
      <c r="D990" s="60"/>
      <c r="E990" s="60"/>
      <c r="F990" s="85"/>
      <c r="G990" s="85"/>
      <c r="H990" s="60"/>
      <c r="I990" s="60"/>
      <c r="J990" s="60"/>
      <c r="K990" s="60"/>
      <c r="L990" s="60"/>
      <c r="M990" s="60"/>
      <c r="N990" s="60"/>
      <c r="O990" s="60"/>
      <c r="P990" s="60"/>
      <c r="Q990" s="60"/>
      <c r="R990" s="60"/>
      <c r="S990" s="60"/>
      <c r="T990" s="60"/>
      <c r="U990" s="60"/>
      <c r="V990" s="60"/>
      <c r="W990" s="60"/>
      <c r="X990" s="60"/>
      <c r="Y990" s="60"/>
      <c r="Z990" s="60"/>
    </row>
    <row r="991" ht="53.25" customHeight="1">
      <c r="A991" s="60"/>
      <c r="B991" s="60"/>
      <c r="C991" s="84"/>
      <c r="D991" s="60"/>
      <c r="E991" s="60"/>
      <c r="F991" s="85"/>
      <c r="G991" s="85"/>
      <c r="H991" s="60"/>
      <c r="I991" s="60"/>
      <c r="J991" s="60"/>
      <c r="K991" s="60"/>
      <c r="L991" s="60"/>
      <c r="M991" s="60"/>
      <c r="N991" s="60"/>
      <c r="O991" s="60"/>
      <c r="P991" s="60"/>
      <c r="Q991" s="60"/>
      <c r="R991" s="60"/>
      <c r="S991" s="60"/>
      <c r="T991" s="60"/>
      <c r="U991" s="60"/>
      <c r="V991" s="60"/>
      <c r="W991" s="60"/>
      <c r="X991" s="60"/>
      <c r="Y991" s="60"/>
      <c r="Z991" s="60"/>
    </row>
    <row r="992" ht="53.25" customHeight="1">
      <c r="A992" s="60"/>
      <c r="B992" s="60"/>
      <c r="C992" s="84"/>
      <c r="D992" s="60"/>
      <c r="E992" s="60"/>
      <c r="F992" s="85"/>
      <c r="G992" s="85"/>
      <c r="H992" s="60"/>
      <c r="I992" s="60"/>
      <c r="J992" s="60"/>
      <c r="K992" s="60"/>
      <c r="L992" s="60"/>
      <c r="M992" s="60"/>
      <c r="N992" s="60"/>
      <c r="O992" s="60"/>
      <c r="P992" s="60"/>
      <c r="Q992" s="60"/>
      <c r="R992" s="60"/>
      <c r="S992" s="60"/>
      <c r="T992" s="60"/>
      <c r="U992" s="60"/>
      <c r="V992" s="60"/>
      <c r="W992" s="60"/>
      <c r="X992" s="60"/>
      <c r="Y992" s="60"/>
      <c r="Z992" s="60"/>
    </row>
    <row r="993" ht="53.25" customHeight="1">
      <c r="A993" s="60"/>
      <c r="B993" s="60"/>
      <c r="C993" s="84"/>
      <c r="D993" s="60"/>
      <c r="E993" s="60"/>
      <c r="F993" s="85"/>
      <c r="G993" s="85"/>
      <c r="H993" s="60"/>
      <c r="I993" s="60"/>
      <c r="J993" s="60"/>
      <c r="K993" s="60"/>
      <c r="L993" s="60"/>
      <c r="M993" s="60"/>
      <c r="N993" s="60"/>
      <c r="O993" s="60"/>
      <c r="P993" s="60"/>
      <c r="Q993" s="60"/>
      <c r="R993" s="60"/>
      <c r="S993" s="60"/>
      <c r="T993" s="60"/>
      <c r="U993" s="60"/>
      <c r="V993" s="60"/>
      <c r="W993" s="60"/>
      <c r="X993" s="60"/>
      <c r="Y993" s="60"/>
      <c r="Z993" s="60"/>
    </row>
    <row r="994" ht="53.25" customHeight="1">
      <c r="A994" s="60"/>
      <c r="B994" s="60"/>
      <c r="C994" s="84"/>
      <c r="D994" s="60"/>
      <c r="E994" s="60"/>
      <c r="F994" s="85"/>
      <c r="G994" s="85"/>
      <c r="H994" s="60"/>
      <c r="I994" s="60"/>
      <c r="J994" s="60"/>
      <c r="K994" s="60"/>
      <c r="L994" s="60"/>
      <c r="M994" s="60"/>
      <c r="N994" s="60"/>
      <c r="O994" s="60"/>
      <c r="P994" s="60"/>
      <c r="Q994" s="60"/>
      <c r="R994" s="60"/>
      <c r="S994" s="60"/>
      <c r="T994" s="60"/>
      <c r="U994" s="60"/>
      <c r="V994" s="60"/>
      <c r="W994" s="60"/>
      <c r="X994" s="60"/>
      <c r="Y994" s="60"/>
      <c r="Z994" s="60"/>
    </row>
    <row r="995" ht="53.25" customHeight="1">
      <c r="A995" s="60"/>
      <c r="B995" s="60"/>
      <c r="C995" s="84"/>
      <c r="D995" s="60"/>
      <c r="E995" s="60"/>
      <c r="F995" s="85"/>
      <c r="G995" s="85"/>
      <c r="H995" s="60"/>
      <c r="I995" s="60"/>
      <c r="J995" s="60"/>
      <c r="K995" s="60"/>
      <c r="L995" s="60"/>
      <c r="M995" s="60"/>
      <c r="N995" s="60"/>
      <c r="O995" s="60"/>
      <c r="P995" s="60"/>
      <c r="Q995" s="60"/>
      <c r="R995" s="60"/>
      <c r="S995" s="60"/>
      <c r="T995" s="60"/>
      <c r="U995" s="60"/>
      <c r="V995" s="60"/>
      <c r="W995" s="60"/>
      <c r="X995" s="60"/>
      <c r="Y995" s="60"/>
      <c r="Z995" s="60"/>
    </row>
    <row r="996" ht="53.25" customHeight="1">
      <c r="A996" s="60"/>
      <c r="B996" s="60"/>
      <c r="C996" s="84"/>
      <c r="D996" s="60"/>
      <c r="E996" s="60"/>
      <c r="F996" s="85"/>
      <c r="G996" s="85"/>
      <c r="H996" s="60"/>
      <c r="I996" s="60"/>
      <c r="J996" s="60"/>
      <c r="K996" s="60"/>
      <c r="L996" s="60"/>
      <c r="M996" s="60"/>
      <c r="N996" s="60"/>
      <c r="O996" s="60"/>
      <c r="P996" s="60"/>
      <c r="Q996" s="60"/>
      <c r="R996" s="60"/>
      <c r="S996" s="60"/>
      <c r="T996" s="60"/>
      <c r="U996" s="60"/>
      <c r="V996" s="60"/>
      <c r="W996" s="60"/>
      <c r="X996" s="60"/>
      <c r="Y996" s="60"/>
      <c r="Z996" s="60"/>
    </row>
    <row r="997" ht="53.25" customHeight="1">
      <c r="A997" s="60"/>
      <c r="B997" s="60"/>
      <c r="C997" s="84"/>
      <c r="D997" s="60"/>
      <c r="E997" s="60"/>
      <c r="F997" s="85"/>
      <c r="G997" s="85"/>
      <c r="H997" s="60"/>
      <c r="I997" s="60"/>
      <c r="J997" s="60"/>
      <c r="K997" s="60"/>
      <c r="L997" s="60"/>
      <c r="M997" s="60"/>
      <c r="N997" s="60"/>
      <c r="O997" s="60"/>
      <c r="P997" s="60"/>
      <c r="Q997" s="60"/>
      <c r="R997" s="60"/>
      <c r="S997" s="60"/>
      <c r="T997" s="60"/>
      <c r="U997" s="60"/>
      <c r="V997" s="60"/>
      <c r="W997" s="60"/>
      <c r="X997" s="60"/>
      <c r="Y997" s="60"/>
      <c r="Z997" s="60"/>
    </row>
    <row r="998" ht="53.25" customHeight="1">
      <c r="A998" s="60"/>
      <c r="B998" s="60"/>
      <c r="C998" s="84"/>
      <c r="D998" s="60"/>
      <c r="E998" s="60"/>
      <c r="F998" s="85"/>
      <c r="G998" s="85"/>
      <c r="H998" s="60"/>
      <c r="I998" s="60"/>
      <c r="J998" s="60"/>
      <c r="K998" s="60"/>
      <c r="L998" s="60"/>
      <c r="M998" s="60"/>
      <c r="N998" s="60"/>
      <c r="O998" s="60"/>
      <c r="P998" s="60"/>
      <c r="Q998" s="60"/>
      <c r="R998" s="60"/>
      <c r="S998" s="60"/>
      <c r="T998" s="60"/>
      <c r="U998" s="60"/>
      <c r="V998" s="60"/>
      <c r="W998" s="60"/>
      <c r="X998" s="60"/>
      <c r="Y998" s="60"/>
      <c r="Z998" s="60"/>
    </row>
    <row r="999" ht="53.25" customHeight="1">
      <c r="A999" s="60"/>
      <c r="B999" s="60"/>
      <c r="C999" s="84"/>
      <c r="D999" s="60"/>
      <c r="E999" s="60"/>
      <c r="F999" s="85"/>
      <c r="G999" s="85"/>
      <c r="H999" s="60"/>
      <c r="I999" s="60"/>
      <c r="J999" s="60"/>
      <c r="K999" s="60"/>
      <c r="L999" s="60"/>
      <c r="M999" s="60"/>
      <c r="N999" s="60"/>
      <c r="O999" s="60"/>
      <c r="P999" s="60"/>
      <c r="Q999" s="60"/>
      <c r="R999" s="60"/>
      <c r="S999" s="60"/>
      <c r="T999" s="60"/>
      <c r="U999" s="60"/>
      <c r="V999" s="60"/>
      <c r="W999" s="60"/>
      <c r="X999" s="60"/>
      <c r="Y999" s="60"/>
      <c r="Z999" s="60"/>
    </row>
    <row r="1000" ht="53.25" customHeight="1">
      <c r="A1000" s="60"/>
      <c r="B1000" s="60"/>
      <c r="C1000" s="84"/>
      <c r="D1000" s="60"/>
      <c r="E1000" s="60"/>
      <c r="F1000" s="85"/>
      <c r="G1000" s="85"/>
      <c r="H1000" s="60"/>
      <c r="I1000" s="60"/>
      <c r="J1000" s="60"/>
      <c r="K1000" s="60"/>
      <c r="L1000" s="60"/>
      <c r="M1000" s="60"/>
      <c r="N1000" s="60"/>
      <c r="O1000" s="60"/>
      <c r="P1000" s="60"/>
      <c r="Q1000" s="60"/>
      <c r="R1000" s="60"/>
      <c r="S1000" s="60"/>
      <c r="T1000" s="60"/>
      <c r="U1000" s="60"/>
      <c r="V1000" s="60"/>
      <c r="W1000" s="60"/>
      <c r="X1000" s="60"/>
      <c r="Y1000" s="60"/>
      <c r="Z1000" s="60"/>
    </row>
  </sheetData>
  <drawing r:id="rId1"/>
</worksheet>
</file>

<file path=xl/worksheets/sheet4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2">
      <c r="A2" s="28" t="s">
        <v>22439</v>
      </c>
    </row>
    <row r="3">
      <c r="A3" s="86"/>
    </row>
    <row r="4">
      <c r="A4" s="28" t="s">
        <v>22440</v>
      </c>
    </row>
    <row r="5">
      <c r="A5" s="28" t="s">
        <v>22441</v>
      </c>
    </row>
    <row r="6">
      <c r="A6" s="86"/>
    </row>
    <row r="7">
      <c r="A7" s="28" t="s">
        <v>22442</v>
      </c>
    </row>
    <row r="8">
      <c r="A8" s="86"/>
    </row>
    <row r="9">
      <c r="A9" s="28" t="s">
        <v>22443</v>
      </c>
    </row>
    <row r="10">
      <c r="A10" s="86"/>
    </row>
    <row r="11">
      <c r="A11" s="28" t="s">
        <v>22444</v>
      </c>
    </row>
    <row r="12">
      <c r="A12" s="86"/>
    </row>
    <row r="13">
      <c r="A13" s="28" t="s">
        <v>22445</v>
      </c>
    </row>
    <row r="14">
      <c r="A14" s="86"/>
    </row>
    <row r="15">
      <c r="A15" s="28" t="s">
        <v>22446</v>
      </c>
    </row>
    <row r="16">
      <c r="A16" s="86"/>
    </row>
    <row r="17">
      <c r="A17" s="28" t="s">
        <v>22447</v>
      </c>
    </row>
    <row r="18">
      <c r="A18" s="28" t="s">
        <v>22448</v>
      </c>
    </row>
    <row r="19">
      <c r="A19" s="28" t="s">
        <v>22449</v>
      </c>
    </row>
    <row r="20">
      <c r="A20" s="28" t="s">
        <v>22450</v>
      </c>
    </row>
    <row r="21">
      <c r="A21" s="86"/>
    </row>
    <row r="22">
      <c r="A22" s="28" t="s">
        <v>22451</v>
      </c>
    </row>
    <row r="23">
      <c r="A23" s="86"/>
    </row>
    <row r="24">
      <c r="A24" s="28" t="s">
        <v>22452</v>
      </c>
    </row>
    <row r="25">
      <c r="A25" s="86"/>
    </row>
    <row r="26">
      <c r="A26" s="28" t="s">
        <v>22453</v>
      </c>
    </row>
    <row r="27">
      <c r="A27" s="86"/>
    </row>
    <row r="28">
      <c r="A28" s="28" t="s">
        <v>22454</v>
      </c>
    </row>
    <row r="29">
      <c r="A29" s="86"/>
    </row>
    <row r="30">
      <c r="A30" s="28" t="s">
        <v>22455</v>
      </c>
    </row>
    <row r="31">
      <c r="A31" s="86"/>
    </row>
    <row r="32">
      <c r="A32" s="28" t="s">
        <v>22456</v>
      </c>
    </row>
    <row r="33">
      <c r="A33" s="86"/>
    </row>
    <row r="34">
      <c r="A34" s="28" t="s">
        <v>22457</v>
      </c>
    </row>
    <row r="35">
      <c r="A35" s="86"/>
    </row>
    <row r="36">
      <c r="A36" s="28" t="s">
        <v>22458</v>
      </c>
    </row>
    <row r="37">
      <c r="A37" s="28" t="s">
        <v>22459</v>
      </c>
    </row>
    <row r="38">
      <c r="A38" s="28" t="s">
        <v>22460</v>
      </c>
    </row>
    <row r="39">
      <c r="A39" s="28" t="s">
        <v>22461</v>
      </c>
    </row>
  </sheetData>
  <drawing r:id="rId1"/>
</worksheet>
</file>

<file path=xl/worksheets/sheet4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2.0"/>
    <col customWidth="1" min="2" max="2" width="83.88"/>
  </cols>
  <sheetData>
    <row r="1">
      <c r="A1" s="60" t="s">
        <v>623</v>
      </c>
      <c r="B1" s="85" t="s">
        <v>624</v>
      </c>
      <c r="C1" s="60" t="s">
        <v>625</v>
      </c>
    </row>
    <row r="2">
      <c r="A2" s="60" t="s">
        <v>188</v>
      </c>
      <c r="B2" s="85" t="s">
        <v>22462</v>
      </c>
      <c r="C2" s="62">
        <v>85.0</v>
      </c>
    </row>
    <row r="3">
      <c r="A3" s="60" t="s">
        <v>103</v>
      </c>
      <c r="B3" s="85" t="s">
        <v>22463</v>
      </c>
      <c r="C3" s="62">
        <v>85.0</v>
      </c>
    </row>
    <row r="4">
      <c r="A4" s="60" t="s">
        <v>194</v>
      </c>
      <c r="B4" s="85" t="s">
        <v>22464</v>
      </c>
      <c r="C4" s="62">
        <v>85.0</v>
      </c>
    </row>
    <row r="5">
      <c r="A5" s="60" t="s">
        <v>647</v>
      </c>
      <c r="B5" s="85" t="s">
        <v>22465</v>
      </c>
      <c r="C5" s="62">
        <v>85.0</v>
      </c>
    </row>
    <row r="6">
      <c r="A6" s="60" t="s">
        <v>119</v>
      </c>
      <c r="B6" s="85" t="s">
        <v>22466</v>
      </c>
      <c r="C6" s="62">
        <v>85.0</v>
      </c>
    </row>
    <row r="7">
      <c r="A7" s="60" t="s">
        <v>645</v>
      </c>
      <c r="B7" s="85" t="s">
        <v>22467</v>
      </c>
      <c r="C7" s="62">
        <v>75.0</v>
      </c>
    </row>
    <row r="8">
      <c r="A8" s="60" t="s">
        <v>751</v>
      </c>
      <c r="B8" s="85" t="s">
        <v>22468</v>
      </c>
      <c r="C8" s="62">
        <v>75.0</v>
      </c>
    </row>
    <row r="9">
      <c r="A9" s="60" t="s">
        <v>642</v>
      </c>
      <c r="B9" s="85" t="s">
        <v>22469</v>
      </c>
      <c r="C9" s="62">
        <v>75.0</v>
      </c>
    </row>
    <row r="10">
      <c r="A10" s="60" t="s">
        <v>698</v>
      </c>
      <c r="B10" s="85" t="s">
        <v>22470</v>
      </c>
      <c r="C10" s="62">
        <v>75.0</v>
      </c>
    </row>
    <row r="11">
      <c r="A11" s="60" t="s">
        <v>156</v>
      </c>
      <c r="B11" s="85" t="s">
        <v>22471</v>
      </c>
      <c r="C11" s="62">
        <v>75.0</v>
      </c>
    </row>
    <row r="12">
      <c r="A12" s="60" t="s">
        <v>684</v>
      </c>
      <c r="B12" s="85" t="s">
        <v>22472</v>
      </c>
      <c r="C12" s="62">
        <v>75.0</v>
      </c>
    </row>
    <row r="13">
      <c r="A13" s="60" t="s">
        <v>656</v>
      </c>
      <c r="B13" s="85" t="s">
        <v>22473</v>
      </c>
      <c r="C13" s="62">
        <v>75.0</v>
      </c>
    </row>
    <row r="14">
      <c r="A14" s="60" t="s">
        <v>717</v>
      </c>
      <c r="B14" s="85" t="s">
        <v>22474</v>
      </c>
      <c r="C14" s="62">
        <v>75.0</v>
      </c>
    </row>
    <row r="15">
      <c r="A15" s="60" t="s">
        <v>662</v>
      </c>
      <c r="B15" s="85" t="s">
        <v>22475</v>
      </c>
      <c r="C15" s="62">
        <v>75.0</v>
      </c>
    </row>
    <row r="16">
      <c r="A16" s="60" t="s">
        <v>173</v>
      </c>
      <c r="B16" s="85" t="s">
        <v>22476</v>
      </c>
      <c r="C16" s="62">
        <v>75.0</v>
      </c>
    </row>
    <row r="17">
      <c r="A17" s="60" t="s">
        <v>312</v>
      </c>
      <c r="B17" s="85" t="s">
        <v>22477</v>
      </c>
      <c r="C17" s="62">
        <v>75.0</v>
      </c>
    </row>
    <row r="18">
      <c r="A18" s="60" t="s">
        <v>636</v>
      </c>
      <c r="B18" s="85" t="s">
        <v>22478</v>
      </c>
      <c r="C18" s="62">
        <v>75.0</v>
      </c>
    </row>
    <row r="19">
      <c r="A19" s="60" t="s">
        <v>704</v>
      </c>
      <c r="B19" s="85" t="s">
        <v>22479</v>
      </c>
      <c r="C19" s="62">
        <v>75.0</v>
      </c>
    </row>
    <row r="20">
      <c r="A20" s="60" t="s">
        <v>153</v>
      </c>
      <c r="B20" s="85" t="s">
        <v>22480</v>
      </c>
      <c r="C20" s="62">
        <v>75.0</v>
      </c>
    </row>
    <row r="21">
      <c r="A21" s="60" t="s">
        <v>111</v>
      </c>
      <c r="B21" s="85" t="s">
        <v>22481</v>
      </c>
      <c r="C21" s="62">
        <v>75.0</v>
      </c>
    </row>
    <row r="22">
      <c r="A22" s="60" t="s">
        <v>309</v>
      </c>
      <c r="B22" s="85" t="s">
        <v>22482</v>
      </c>
      <c r="C22" s="62">
        <v>75.0</v>
      </c>
    </row>
    <row r="23">
      <c r="A23" s="60" t="s">
        <v>719</v>
      </c>
      <c r="B23" s="85" t="s">
        <v>22483</v>
      </c>
      <c r="C23" s="62">
        <v>75.0</v>
      </c>
    </row>
    <row r="24">
      <c r="A24" s="60" t="s">
        <v>710</v>
      </c>
      <c r="B24" s="85" t="s">
        <v>22484</v>
      </c>
      <c r="C24" s="62">
        <v>75.0</v>
      </c>
    </row>
    <row r="25">
      <c r="A25" s="60" t="s">
        <v>638</v>
      </c>
      <c r="B25" s="85" t="s">
        <v>22485</v>
      </c>
      <c r="C25" s="62">
        <v>75.0</v>
      </c>
    </row>
    <row r="26">
      <c r="A26" s="60" t="s">
        <v>664</v>
      </c>
      <c r="B26" s="85" t="s">
        <v>22486</v>
      </c>
      <c r="C26" s="62">
        <v>75.0</v>
      </c>
    </row>
    <row r="27">
      <c r="A27" s="60" t="s">
        <v>652</v>
      </c>
      <c r="B27" s="85" t="s">
        <v>22487</v>
      </c>
      <c r="C27" s="62">
        <v>75.0</v>
      </c>
    </row>
    <row r="28">
      <c r="A28" s="60" t="s">
        <v>736</v>
      </c>
      <c r="B28" s="85" t="s">
        <v>22488</v>
      </c>
      <c r="C28" s="62">
        <v>75.0</v>
      </c>
    </row>
    <row r="29">
      <c r="A29" s="60" t="s">
        <v>660</v>
      </c>
      <c r="B29" s="85" t="s">
        <v>22489</v>
      </c>
      <c r="C29" s="62">
        <v>75.0</v>
      </c>
    </row>
    <row r="30">
      <c r="A30" s="60" t="s">
        <v>107</v>
      </c>
      <c r="B30" s="85" t="s">
        <v>22490</v>
      </c>
      <c r="C30" s="62">
        <v>75.0</v>
      </c>
    </row>
    <row r="31">
      <c r="A31" s="60" t="s">
        <v>658</v>
      </c>
      <c r="B31" s="85" t="s">
        <v>22491</v>
      </c>
      <c r="C31" s="62">
        <v>75.0</v>
      </c>
    </row>
    <row r="32">
      <c r="A32" s="60" t="s">
        <v>654</v>
      </c>
      <c r="B32" s="85" t="s">
        <v>22492</v>
      </c>
      <c r="C32" s="62">
        <v>75.0</v>
      </c>
    </row>
    <row r="33">
      <c r="A33" s="60" t="s">
        <v>731</v>
      </c>
      <c r="B33" s="85" t="s">
        <v>22493</v>
      </c>
      <c r="C33" s="62">
        <v>75.0</v>
      </c>
    </row>
    <row r="34">
      <c r="A34" s="60" t="s">
        <v>314</v>
      </c>
      <c r="B34" s="85" t="s">
        <v>22494</v>
      </c>
      <c r="C34" s="62">
        <v>70.0</v>
      </c>
    </row>
    <row r="35">
      <c r="A35" s="60" t="s">
        <v>745</v>
      </c>
      <c r="B35" s="85" t="s">
        <v>22495</v>
      </c>
      <c r="C35" s="62">
        <v>70.0</v>
      </c>
    </row>
    <row r="36">
      <c r="A36" s="60" t="s">
        <v>649</v>
      </c>
      <c r="B36" s="85" t="s">
        <v>22496</v>
      </c>
      <c r="C36" s="62">
        <v>70.0</v>
      </c>
    </row>
    <row r="37">
      <c r="A37" s="60" t="s">
        <v>148</v>
      </c>
      <c r="B37" s="85" t="s">
        <v>22497</v>
      </c>
      <c r="C37" s="62">
        <v>70.0</v>
      </c>
    </row>
    <row r="38">
      <c r="A38" s="60" t="s">
        <v>712</v>
      </c>
      <c r="B38" s="85" t="s">
        <v>22498</v>
      </c>
      <c r="C38" s="62">
        <v>70.0</v>
      </c>
    </row>
    <row r="39">
      <c r="A39" s="60" t="s">
        <v>757</v>
      </c>
      <c r="B39" s="85" t="s">
        <v>22499</v>
      </c>
      <c r="C39" s="62">
        <v>70.0</v>
      </c>
    </row>
    <row r="40">
      <c r="A40" s="60" t="s">
        <v>702</v>
      </c>
      <c r="B40" s="85" t="s">
        <v>22500</v>
      </c>
      <c r="C40" s="62">
        <v>70.0</v>
      </c>
    </row>
    <row r="41">
      <c r="A41" s="60" t="s">
        <v>634</v>
      </c>
      <c r="B41" s="85" t="s">
        <v>22501</v>
      </c>
      <c r="C41" s="62">
        <v>70.0</v>
      </c>
    </row>
    <row r="42">
      <c r="A42" s="60" t="s">
        <v>706</v>
      </c>
      <c r="B42" s="85" t="s">
        <v>22502</v>
      </c>
      <c r="C42" s="62">
        <v>70.0</v>
      </c>
    </row>
    <row r="43">
      <c r="A43" s="60" t="s">
        <v>159</v>
      </c>
      <c r="B43" s="85" t="s">
        <v>22503</v>
      </c>
      <c r="C43" s="62">
        <v>70.0</v>
      </c>
    </row>
    <row r="44">
      <c r="A44" s="60" t="s">
        <v>686</v>
      </c>
      <c r="B44" s="85" t="s">
        <v>22504</v>
      </c>
      <c r="C44" s="62">
        <v>70.0</v>
      </c>
    </row>
    <row r="45">
      <c r="A45" s="60" t="s">
        <v>742</v>
      </c>
      <c r="B45" s="85" t="s">
        <v>22505</v>
      </c>
      <c r="C45" s="62">
        <v>70.0</v>
      </c>
    </row>
    <row r="46">
      <c r="A46" s="60" t="s">
        <v>740</v>
      </c>
      <c r="B46" s="85" t="s">
        <v>22506</v>
      </c>
      <c r="C46" s="62">
        <v>70.0</v>
      </c>
    </row>
    <row r="47">
      <c r="A47" s="60" t="s">
        <v>666</v>
      </c>
      <c r="B47" s="85" t="s">
        <v>22507</v>
      </c>
      <c r="C47" s="62">
        <v>70.0</v>
      </c>
    </row>
    <row r="48">
      <c r="A48" s="60" t="s">
        <v>177</v>
      </c>
      <c r="B48" s="85" t="s">
        <v>22508</v>
      </c>
      <c r="C48" s="62">
        <v>70.0</v>
      </c>
    </row>
    <row r="49">
      <c r="A49" s="60" t="s">
        <v>640</v>
      </c>
      <c r="B49" s="85" t="s">
        <v>22509</v>
      </c>
      <c r="C49" s="62">
        <v>70.0</v>
      </c>
    </row>
    <row r="50">
      <c r="A50" s="60" t="s">
        <v>150</v>
      </c>
      <c r="B50" s="85" t="s">
        <v>22510</v>
      </c>
      <c r="C50" s="62">
        <v>70.0</v>
      </c>
    </row>
    <row r="51">
      <c r="A51" s="60" t="s">
        <v>668</v>
      </c>
      <c r="B51" s="85" t="s">
        <v>22511</v>
      </c>
      <c r="C51" s="62">
        <v>70.0</v>
      </c>
    </row>
    <row r="52">
      <c r="A52" s="60" t="s">
        <v>675</v>
      </c>
      <c r="B52" s="85" t="s">
        <v>22512</v>
      </c>
      <c r="C52" s="62">
        <v>65.0</v>
      </c>
    </row>
    <row r="53">
      <c r="A53" s="60" t="s">
        <v>753</v>
      </c>
      <c r="B53" s="85" t="s">
        <v>22513</v>
      </c>
      <c r="C53" s="62">
        <v>65.0</v>
      </c>
    </row>
    <row r="54">
      <c r="A54" s="60" t="s">
        <v>727</v>
      </c>
      <c r="B54" s="85" t="s">
        <v>22514</v>
      </c>
      <c r="C54" s="62">
        <v>65.0</v>
      </c>
    </row>
    <row r="55">
      <c r="A55" s="60" t="s">
        <v>694</v>
      </c>
      <c r="B55" s="85" t="s">
        <v>22515</v>
      </c>
      <c r="C55" s="62">
        <v>65.0</v>
      </c>
    </row>
    <row r="56">
      <c r="A56" s="60" t="s">
        <v>725</v>
      </c>
      <c r="B56" s="85" t="s">
        <v>22516</v>
      </c>
      <c r="C56" s="62">
        <v>65.0</v>
      </c>
    </row>
    <row r="57">
      <c r="A57" s="60" t="s">
        <v>723</v>
      </c>
      <c r="B57" s="85" t="s">
        <v>22517</v>
      </c>
      <c r="C57" s="62">
        <v>65.0</v>
      </c>
    </row>
    <row r="58">
      <c r="A58" s="60" t="s">
        <v>734</v>
      </c>
      <c r="B58" s="85" t="s">
        <v>22518</v>
      </c>
      <c r="C58" s="62">
        <v>65.0</v>
      </c>
    </row>
    <row r="59">
      <c r="A59" s="60" t="s">
        <v>672</v>
      </c>
      <c r="B59" s="85" t="s">
        <v>22519</v>
      </c>
      <c r="C59" s="62">
        <v>65.0</v>
      </c>
    </row>
    <row r="60">
      <c r="A60" s="60" t="s">
        <v>755</v>
      </c>
      <c r="B60" s="85" t="s">
        <v>22520</v>
      </c>
      <c r="C60" s="62">
        <v>65.0</v>
      </c>
    </row>
    <row r="61">
      <c r="A61" s="60" t="s">
        <v>721</v>
      </c>
      <c r="B61" s="85" t="s">
        <v>22521</v>
      </c>
      <c r="C61" s="62">
        <v>65.0</v>
      </c>
    </row>
    <row r="62">
      <c r="A62" s="60" t="s">
        <v>708</v>
      </c>
      <c r="B62" s="85" t="s">
        <v>22522</v>
      </c>
      <c r="C62" s="62">
        <v>65.0</v>
      </c>
    </row>
    <row r="63">
      <c r="A63" s="60" t="s">
        <v>670</v>
      </c>
      <c r="B63" s="85" t="s">
        <v>22523</v>
      </c>
      <c r="C63" s="62">
        <v>65.0</v>
      </c>
    </row>
    <row r="64">
      <c r="A64" s="60" t="s">
        <v>692</v>
      </c>
      <c r="B64" s="85" t="s">
        <v>22524</v>
      </c>
      <c r="C64" s="62">
        <v>65.0</v>
      </c>
    </row>
    <row r="65">
      <c r="A65" s="60" t="s">
        <v>688</v>
      </c>
      <c r="B65" s="85" t="s">
        <v>22525</v>
      </c>
      <c r="C65" s="62">
        <v>65.0</v>
      </c>
    </row>
    <row r="66">
      <c r="A66" s="60" t="s">
        <v>682</v>
      </c>
      <c r="B66" s="85" t="s">
        <v>22526</v>
      </c>
      <c r="C66" s="62">
        <v>65.0</v>
      </c>
    </row>
    <row r="67">
      <c r="A67" s="60" t="s">
        <v>690</v>
      </c>
      <c r="B67" s="85" t="s">
        <v>22527</v>
      </c>
      <c r="C67" s="62">
        <v>65.0</v>
      </c>
    </row>
    <row r="68">
      <c r="A68" s="60" t="s">
        <v>738</v>
      </c>
      <c r="B68" s="85" t="s">
        <v>22528</v>
      </c>
      <c r="C68" s="62">
        <v>65.0</v>
      </c>
    </row>
    <row r="69">
      <c r="A69" s="60" t="s">
        <v>700</v>
      </c>
      <c r="B69" s="85" t="s">
        <v>22529</v>
      </c>
      <c r="C69" s="62">
        <v>65.0</v>
      </c>
    </row>
    <row r="70">
      <c r="A70" s="60" t="s">
        <v>749</v>
      </c>
      <c r="B70" s="85" t="s">
        <v>22530</v>
      </c>
      <c r="C70" s="62">
        <v>45.0</v>
      </c>
    </row>
    <row r="71">
      <c r="A71" s="60" t="s">
        <v>678</v>
      </c>
      <c r="B71" s="85" t="s">
        <v>22531</v>
      </c>
      <c r="C71" s="62">
        <v>45.0</v>
      </c>
    </row>
    <row r="72">
      <c r="A72" s="60" t="s">
        <v>729</v>
      </c>
      <c r="B72" s="85" t="s">
        <v>22532</v>
      </c>
      <c r="C72" s="62">
        <v>45.0</v>
      </c>
    </row>
    <row r="73">
      <c r="A73" s="60" t="s">
        <v>747</v>
      </c>
      <c r="B73" s="85" t="s">
        <v>22533</v>
      </c>
      <c r="C73" s="62">
        <v>45.0</v>
      </c>
    </row>
    <row r="74">
      <c r="A74" s="60" t="s">
        <v>714</v>
      </c>
      <c r="B74" s="85" t="s">
        <v>22534</v>
      </c>
      <c r="C74" s="62">
        <v>40.0</v>
      </c>
    </row>
    <row r="76">
      <c r="A76" s="60"/>
      <c r="B76" s="85"/>
      <c r="C76" s="60"/>
    </row>
    <row r="77">
      <c r="A77" s="60"/>
      <c r="B77" s="85"/>
      <c r="C77" s="60"/>
    </row>
    <row r="78">
      <c r="A78" s="60"/>
      <c r="B78" s="85"/>
      <c r="C78" s="60"/>
    </row>
    <row r="79">
      <c r="A79" s="60"/>
      <c r="B79" s="85"/>
      <c r="C79" s="60"/>
    </row>
    <row r="80">
      <c r="A80" s="60"/>
      <c r="B80" s="85"/>
      <c r="C80" s="60"/>
    </row>
    <row r="81">
      <c r="A81" s="60"/>
      <c r="B81" s="85"/>
      <c r="C81" s="60"/>
    </row>
    <row r="82">
      <c r="A82" s="60"/>
      <c r="B82" s="85"/>
      <c r="C82" s="60"/>
    </row>
    <row r="83">
      <c r="A83" s="60"/>
      <c r="B83" s="85"/>
      <c r="C83" s="60"/>
    </row>
    <row r="84">
      <c r="A84" s="60"/>
      <c r="B84" s="85"/>
      <c r="C84" s="60"/>
    </row>
    <row r="85">
      <c r="A85" s="60"/>
      <c r="B85" s="85"/>
      <c r="C85" s="60"/>
    </row>
    <row r="86">
      <c r="A86" s="60"/>
      <c r="B86" s="85"/>
      <c r="C86" s="60"/>
    </row>
    <row r="87">
      <c r="A87" s="60"/>
      <c r="B87" s="85"/>
      <c r="C87" s="60"/>
    </row>
    <row r="88">
      <c r="A88" s="60"/>
      <c r="B88" s="85"/>
      <c r="C88" s="60"/>
    </row>
    <row r="89">
      <c r="A89" s="60"/>
      <c r="B89" s="85"/>
      <c r="C89" s="60"/>
    </row>
    <row r="90">
      <c r="A90" s="60"/>
      <c r="B90" s="85"/>
      <c r="C90" s="60"/>
    </row>
    <row r="91">
      <c r="A91" s="60"/>
      <c r="B91" s="85"/>
      <c r="C91" s="60"/>
    </row>
    <row r="92">
      <c r="A92" s="60"/>
      <c r="B92" s="85"/>
      <c r="C92" s="60"/>
    </row>
    <row r="93">
      <c r="A93" s="60"/>
      <c r="B93" s="85"/>
      <c r="C93" s="60"/>
    </row>
    <row r="94">
      <c r="A94" s="60"/>
      <c r="B94" s="85"/>
      <c r="C94" s="60"/>
    </row>
    <row r="95">
      <c r="A95" s="60"/>
      <c r="B95" s="85"/>
      <c r="C95" s="60"/>
    </row>
    <row r="96">
      <c r="A96" s="60"/>
      <c r="B96" s="85"/>
      <c r="C96" s="60"/>
    </row>
    <row r="97">
      <c r="A97" s="60"/>
      <c r="B97" s="85"/>
      <c r="C97" s="60"/>
    </row>
    <row r="98">
      <c r="A98" s="60"/>
      <c r="B98" s="85"/>
      <c r="C98" s="60"/>
    </row>
    <row r="99">
      <c r="A99" s="60"/>
      <c r="B99" s="85"/>
      <c r="C99" s="60"/>
    </row>
    <row r="100">
      <c r="A100" s="60"/>
      <c r="B100" s="85"/>
      <c r="C100" s="60"/>
    </row>
    <row r="101">
      <c r="A101" s="60"/>
      <c r="B101" s="85"/>
      <c r="C101" s="60"/>
    </row>
    <row r="102">
      <c r="A102" s="60"/>
      <c r="B102" s="85"/>
      <c r="C102" s="60"/>
    </row>
    <row r="103">
      <c r="A103" s="60"/>
      <c r="B103" s="85"/>
      <c r="C103" s="60"/>
    </row>
    <row r="104">
      <c r="A104" s="60"/>
      <c r="B104" s="85"/>
      <c r="C104" s="60"/>
    </row>
    <row r="105">
      <c r="A105" s="60"/>
      <c r="B105" s="85"/>
      <c r="C105" s="60"/>
    </row>
    <row r="106">
      <c r="A106" s="60"/>
      <c r="B106" s="85"/>
      <c r="C106" s="60"/>
    </row>
    <row r="107">
      <c r="A107" s="60"/>
      <c r="B107" s="85"/>
      <c r="C107" s="60"/>
    </row>
    <row r="108">
      <c r="A108" s="60"/>
      <c r="B108" s="85"/>
      <c r="C108" s="60"/>
    </row>
    <row r="109">
      <c r="A109" s="60"/>
      <c r="B109" s="85"/>
      <c r="C109" s="60"/>
    </row>
    <row r="110">
      <c r="A110" s="60"/>
      <c r="B110" s="85"/>
      <c r="C110" s="60"/>
    </row>
    <row r="111">
      <c r="A111" s="60"/>
      <c r="B111" s="85"/>
      <c r="C111" s="60"/>
    </row>
    <row r="112">
      <c r="A112" s="60"/>
      <c r="B112" s="85"/>
      <c r="C112" s="60"/>
    </row>
    <row r="113">
      <c r="A113" s="60"/>
      <c r="B113" s="85"/>
      <c r="C113" s="60"/>
    </row>
    <row r="114">
      <c r="A114" s="60"/>
      <c r="B114" s="85"/>
      <c r="C114" s="60"/>
    </row>
    <row r="115">
      <c r="A115" s="60"/>
      <c r="B115" s="85"/>
      <c r="C115" s="60"/>
    </row>
    <row r="116">
      <c r="A116" s="60"/>
      <c r="B116" s="85"/>
      <c r="C116" s="60"/>
    </row>
    <row r="117">
      <c r="A117" s="60"/>
      <c r="B117" s="85"/>
      <c r="C117" s="60"/>
    </row>
    <row r="118">
      <c r="A118" s="60"/>
      <c r="B118" s="85"/>
      <c r="C118" s="60"/>
    </row>
    <row r="119">
      <c r="A119" s="60"/>
      <c r="B119" s="85"/>
      <c r="C119" s="60"/>
    </row>
    <row r="120">
      <c r="A120" s="60"/>
      <c r="B120" s="85"/>
      <c r="C120" s="60"/>
    </row>
    <row r="121">
      <c r="A121" s="60"/>
      <c r="B121" s="85"/>
      <c r="C121" s="60"/>
    </row>
    <row r="122">
      <c r="A122" s="60"/>
      <c r="B122" s="85"/>
      <c r="C122" s="60"/>
    </row>
    <row r="123">
      <c r="A123" s="60"/>
      <c r="B123" s="85"/>
      <c r="C123" s="60"/>
    </row>
    <row r="124">
      <c r="A124" s="60"/>
      <c r="B124" s="85"/>
      <c r="C124" s="60"/>
    </row>
    <row r="125">
      <c r="A125" s="60"/>
      <c r="B125" s="85"/>
      <c r="C125" s="60"/>
    </row>
    <row r="126">
      <c r="A126" s="60"/>
      <c r="B126" s="85"/>
      <c r="C126" s="60"/>
    </row>
    <row r="127">
      <c r="A127" s="60"/>
      <c r="B127" s="85"/>
      <c r="C127" s="60"/>
    </row>
    <row r="128">
      <c r="A128" s="60"/>
      <c r="B128" s="85"/>
      <c r="C128" s="60"/>
    </row>
    <row r="129">
      <c r="A129" s="60"/>
      <c r="B129" s="85"/>
      <c r="C129" s="60"/>
    </row>
    <row r="130">
      <c r="A130" s="60"/>
      <c r="B130" s="85"/>
      <c r="C130" s="60"/>
    </row>
    <row r="131">
      <c r="A131" s="60"/>
      <c r="B131" s="85"/>
      <c r="C131" s="60"/>
    </row>
    <row r="132">
      <c r="A132" s="60"/>
      <c r="B132" s="85"/>
      <c r="C132" s="60"/>
    </row>
    <row r="133">
      <c r="A133" s="60"/>
      <c r="B133" s="85"/>
      <c r="C133" s="60"/>
    </row>
    <row r="134">
      <c r="A134" s="60"/>
      <c r="B134" s="85"/>
      <c r="C134" s="60"/>
    </row>
    <row r="135">
      <c r="A135" s="60"/>
      <c r="B135" s="85"/>
      <c r="C135" s="60"/>
    </row>
    <row r="136">
      <c r="A136" s="60"/>
      <c r="B136" s="85"/>
      <c r="C136" s="60"/>
    </row>
    <row r="137">
      <c r="A137" s="60"/>
      <c r="B137" s="85"/>
      <c r="C137" s="60"/>
    </row>
    <row r="138">
      <c r="A138" s="60"/>
      <c r="B138" s="85"/>
      <c r="C138" s="60"/>
    </row>
    <row r="139">
      <c r="A139" s="60"/>
      <c r="B139" s="85"/>
      <c r="C139" s="60"/>
    </row>
    <row r="140">
      <c r="A140" s="60"/>
      <c r="B140" s="85"/>
      <c r="C140" s="60"/>
    </row>
    <row r="141">
      <c r="A141" s="60"/>
      <c r="B141" s="85"/>
      <c r="C141" s="60"/>
    </row>
    <row r="142">
      <c r="A142" s="60"/>
      <c r="B142" s="85"/>
      <c r="C142" s="60"/>
    </row>
    <row r="143">
      <c r="A143" s="60"/>
      <c r="B143" s="85"/>
      <c r="C143" s="60"/>
    </row>
    <row r="144">
      <c r="A144" s="60"/>
      <c r="B144" s="85"/>
      <c r="C144" s="60"/>
    </row>
    <row r="145">
      <c r="A145" s="60"/>
      <c r="B145" s="85"/>
      <c r="C145" s="60"/>
    </row>
    <row r="146">
      <c r="A146" s="60"/>
      <c r="B146" s="85"/>
      <c r="C146" s="60"/>
    </row>
    <row r="147">
      <c r="A147" s="60"/>
      <c r="B147" s="85"/>
      <c r="C147" s="60"/>
    </row>
    <row r="148">
      <c r="A148" s="60"/>
      <c r="B148" s="85"/>
      <c r="C148" s="60"/>
    </row>
    <row r="149">
      <c r="A149" s="60"/>
      <c r="B149" s="85"/>
      <c r="C149" s="60"/>
    </row>
    <row r="150">
      <c r="A150" s="60"/>
      <c r="B150" s="85"/>
      <c r="C150" s="60"/>
    </row>
    <row r="151">
      <c r="A151" s="60"/>
      <c r="B151" s="85"/>
      <c r="C151" s="60"/>
    </row>
    <row r="152">
      <c r="A152" s="60"/>
      <c r="B152" s="85"/>
      <c r="C152" s="60"/>
    </row>
    <row r="153">
      <c r="A153" s="60"/>
      <c r="B153" s="85"/>
      <c r="C153" s="60"/>
    </row>
    <row r="154">
      <c r="A154" s="60"/>
      <c r="B154" s="85"/>
      <c r="C154" s="60"/>
    </row>
    <row r="155">
      <c r="A155" s="60"/>
      <c r="B155" s="85"/>
      <c r="C155" s="60"/>
    </row>
    <row r="156">
      <c r="A156" s="60"/>
      <c r="B156" s="85"/>
      <c r="C156" s="60"/>
    </row>
    <row r="157">
      <c r="A157" s="60"/>
      <c r="B157" s="85"/>
      <c r="C157" s="60"/>
    </row>
    <row r="158">
      <c r="A158" s="60"/>
      <c r="B158" s="85"/>
      <c r="C158" s="60"/>
    </row>
    <row r="159">
      <c r="A159" s="60"/>
      <c r="B159" s="85"/>
      <c r="C159" s="60"/>
    </row>
    <row r="160">
      <c r="A160" s="60"/>
      <c r="B160" s="85"/>
      <c r="C160" s="60"/>
    </row>
    <row r="161">
      <c r="A161" s="60"/>
      <c r="B161" s="85"/>
      <c r="C161" s="60"/>
    </row>
    <row r="162">
      <c r="A162" s="60"/>
      <c r="B162" s="85"/>
      <c r="C162" s="60"/>
    </row>
    <row r="163">
      <c r="A163" s="60"/>
      <c r="B163" s="85"/>
      <c r="C163" s="60"/>
    </row>
    <row r="164">
      <c r="A164" s="60"/>
      <c r="B164" s="85"/>
      <c r="C164" s="60"/>
    </row>
    <row r="165">
      <c r="A165" s="60"/>
      <c r="B165" s="85"/>
      <c r="C165" s="60"/>
    </row>
    <row r="166">
      <c r="A166" s="60"/>
      <c r="B166" s="85"/>
      <c r="C166" s="60"/>
    </row>
    <row r="167">
      <c r="A167" s="60"/>
      <c r="B167" s="85"/>
      <c r="C167" s="60"/>
    </row>
    <row r="168">
      <c r="A168" s="60"/>
      <c r="B168" s="85"/>
      <c r="C168" s="60"/>
    </row>
    <row r="169">
      <c r="A169" s="60"/>
      <c r="B169" s="85"/>
      <c r="C169" s="60"/>
    </row>
    <row r="170">
      <c r="A170" s="60"/>
      <c r="B170" s="85"/>
      <c r="C170" s="60"/>
    </row>
    <row r="171">
      <c r="A171" s="60"/>
      <c r="B171" s="85"/>
      <c r="C171" s="60"/>
    </row>
    <row r="172">
      <c r="A172" s="60"/>
      <c r="B172" s="85"/>
      <c r="C172" s="60"/>
    </row>
    <row r="173">
      <c r="A173" s="60"/>
      <c r="B173" s="85"/>
      <c r="C173" s="60"/>
    </row>
    <row r="174">
      <c r="A174" s="60"/>
      <c r="B174" s="85"/>
      <c r="C174" s="60"/>
    </row>
    <row r="175">
      <c r="A175" s="60"/>
      <c r="B175" s="85"/>
      <c r="C175" s="60"/>
    </row>
    <row r="176">
      <c r="A176" s="60"/>
      <c r="B176" s="85"/>
      <c r="C176" s="60"/>
    </row>
    <row r="177">
      <c r="A177" s="60"/>
      <c r="B177" s="85"/>
      <c r="C177" s="60"/>
    </row>
    <row r="178">
      <c r="A178" s="60"/>
      <c r="B178" s="85"/>
      <c r="C178" s="60"/>
    </row>
    <row r="179">
      <c r="A179" s="60"/>
      <c r="B179" s="85"/>
      <c r="C179" s="60"/>
    </row>
    <row r="180">
      <c r="A180" s="60"/>
      <c r="B180" s="85"/>
      <c r="C180" s="60"/>
    </row>
    <row r="181">
      <c r="A181" s="60"/>
      <c r="B181" s="85"/>
      <c r="C181" s="60"/>
    </row>
    <row r="182">
      <c r="A182" s="60"/>
      <c r="B182" s="85"/>
      <c r="C182" s="60"/>
    </row>
    <row r="183">
      <c r="A183" s="60"/>
      <c r="B183" s="85"/>
      <c r="C183" s="60"/>
    </row>
    <row r="184">
      <c r="A184" s="60"/>
      <c r="B184" s="85"/>
      <c r="C184" s="60"/>
    </row>
    <row r="185">
      <c r="A185" s="60"/>
      <c r="B185" s="85"/>
      <c r="C185" s="60"/>
    </row>
    <row r="186">
      <c r="A186" s="60"/>
      <c r="B186" s="85"/>
      <c r="C186" s="60"/>
    </row>
    <row r="187">
      <c r="A187" s="60"/>
      <c r="B187" s="85"/>
      <c r="C187" s="60"/>
    </row>
    <row r="188">
      <c r="A188" s="60"/>
      <c r="B188" s="85"/>
      <c r="C188" s="60"/>
    </row>
    <row r="189">
      <c r="A189" s="60"/>
      <c r="B189" s="85"/>
      <c r="C189" s="60"/>
    </row>
    <row r="190">
      <c r="A190" s="60"/>
      <c r="B190" s="85"/>
      <c r="C190" s="60"/>
    </row>
    <row r="191">
      <c r="A191" s="60"/>
      <c r="B191" s="85"/>
      <c r="C191" s="60"/>
    </row>
    <row r="192">
      <c r="A192" s="60"/>
      <c r="B192" s="85"/>
      <c r="C192" s="60"/>
    </row>
    <row r="193">
      <c r="A193" s="60"/>
      <c r="B193" s="85"/>
      <c r="C193" s="60"/>
    </row>
    <row r="194">
      <c r="A194" s="60"/>
      <c r="B194" s="85"/>
      <c r="C194" s="60"/>
    </row>
    <row r="195">
      <c r="A195" s="60"/>
      <c r="B195" s="85"/>
      <c r="C195" s="60"/>
    </row>
    <row r="196">
      <c r="A196" s="60"/>
      <c r="B196" s="85"/>
      <c r="C196" s="60"/>
    </row>
    <row r="197">
      <c r="A197" s="60"/>
      <c r="B197" s="85"/>
      <c r="C197" s="60"/>
    </row>
    <row r="198">
      <c r="A198" s="60"/>
      <c r="B198" s="85"/>
      <c r="C198" s="60"/>
    </row>
    <row r="199">
      <c r="A199" s="60"/>
      <c r="B199" s="85"/>
      <c r="C199" s="60"/>
    </row>
    <row r="200">
      <c r="A200" s="60"/>
      <c r="B200" s="85"/>
      <c r="C200" s="60"/>
    </row>
    <row r="201">
      <c r="A201" s="60"/>
      <c r="B201" s="85"/>
      <c r="C201" s="60"/>
    </row>
    <row r="202">
      <c r="A202" s="60"/>
      <c r="B202" s="85"/>
      <c r="C202" s="60"/>
    </row>
    <row r="203">
      <c r="A203" s="60"/>
      <c r="B203" s="85"/>
      <c r="C203" s="60"/>
    </row>
    <row r="204">
      <c r="A204" s="60"/>
      <c r="B204" s="85"/>
      <c r="C204" s="60"/>
    </row>
    <row r="205">
      <c r="A205" s="60"/>
      <c r="B205" s="85"/>
      <c r="C205" s="60"/>
    </row>
    <row r="206">
      <c r="A206" s="60"/>
      <c r="B206" s="85"/>
      <c r="C206" s="60"/>
    </row>
    <row r="207">
      <c r="A207" s="60"/>
      <c r="B207" s="85"/>
      <c r="C207" s="60"/>
    </row>
    <row r="208">
      <c r="A208" s="60"/>
      <c r="B208" s="85"/>
      <c r="C208" s="60"/>
    </row>
    <row r="209">
      <c r="A209" s="60"/>
      <c r="B209" s="85"/>
      <c r="C209" s="60"/>
    </row>
    <row r="210">
      <c r="A210" s="60"/>
      <c r="B210" s="85"/>
      <c r="C210" s="60"/>
    </row>
    <row r="211">
      <c r="A211" s="60"/>
      <c r="B211" s="85"/>
      <c r="C211" s="60"/>
    </row>
    <row r="212">
      <c r="A212" s="60"/>
      <c r="B212" s="85"/>
      <c r="C212" s="60"/>
    </row>
    <row r="213">
      <c r="A213" s="60"/>
      <c r="B213" s="85"/>
      <c r="C213" s="60"/>
    </row>
    <row r="214">
      <c r="A214" s="60"/>
      <c r="B214" s="85"/>
      <c r="C214" s="60"/>
    </row>
    <row r="215">
      <c r="A215" s="60"/>
      <c r="B215" s="85"/>
      <c r="C215" s="60"/>
    </row>
    <row r="216">
      <c r="A216" s="60"/>
      <c r="B216" s="85"/>
      <c r="C216" s="60"/>
    </row>
    <row r="217">
      <c r="A217" s="60"/>
      <c r="B217" s="85"/>
      <c r="C217" s="60"/>
    </row>
    <row r="218">
      <c r="A218" s="60"/>
      <c r="B218" s="85"/>
      <c r="C218" s="60"/>
    </row>
    <row r="219">
      <c r="A219" s="60"/>
      <c r="B219" s="85"/>
      <c r="C219" s="60"/>
    </row>
    <row r="220">
      <c r="A220" s="60"/>
      <c r="B220" s="85"/>
      <c r="C220" s="60"/>
    </row>
    <row r="221">
      <c r="A221" s="60"/>
      <c r="B221" s="85"/>
      <c r="C221" s="60"/>
    </row>
    <row r="222">
      <c r="A222" s="60"/>
      <c r="B222" s="85"/>
      <c r="C222" s="60"/>
    </row>
    <row r="223">
      <c r="A223" s="60"/>
      <c r="B223" s="85"/>
      <c r="C223" s="60"/>
    </row>
    <row r="224">
      <c r="A224" s="60"/>
      <c r="B224" s="85"/>
      <c r="C224" s="60"/>
    </row>
    <row r="225">
      <c r="A225" s="60"/>
      <c r="B225" s="85"/>
      <c r="C225" s="60"/>
    </row>
    <row r="226">
      <c r="A226" s="60"/>
      <c r="B226" s="85"/>
      <c r="C226" s="60"/>
    </row>
    <row r="227">
      <c r="A227" s="60"/>
      <c r="B227" s="85"/>
      <c r="C227" s="60"/>
    </row>
    <row r="228">
      <c r="A228" s="60"/>
      <c r="B228" s="85"/>
      <c r="C228" s="60"/>
    </row>
    <row r="229">
      <c r="A229" s="60"/>
      <c r="B229" s="85"/>
      <c r="C229" s="60"/>
    </row>
    <row r="230">
      <c r="A230" s="60"/>
      <c r="B230" s="85"/>
      <c r="C230" s="60"/>
    </row>
    <row r="231">
      <c r="A231" s="60"/>
      <c r="B231" s="85"/>
      <c r="C231" s="60"/>
    </row>
    <row r="232">
      <c r="A232" s="60"/>
      <c r="B232" s="85"/>
      <c r="C232" s="60"/>
    </row>
    <row r="233">
      <c r="A233" s="60"/>
      <c r="B233" s="85"/>
      <c r="C233" s="60"/>
    </row>
    <row r="234">
      <c r="A234" s="60"/>
      <c r="B234" s="85"/>
      <c r="C234" s="60"/>
    </row>
    <row r="235">
      <c r="A235" s="60"/>
      <c r="B235" s="85"/>
      <c r="C235" s="60"/>
    </row>
    <row r="236">
      <c r="A236" s="60"/>
      <c r="B236" s="85"/>
      <c r="C236" s="60"/>
    </row>
    <row r="237">
      <c r="A237" s="60"/>
      <c r="B237" s="85"/>
      <c r="C237" s="60"/>
    </row>
    <row r="238">
      <c r="A238" s="60"/>
      <c r="B238" s="85"/>
      <c r="C238" s="60"/>
    </row>
    <row r="239">
      <c r="A239" s="60"/>
      <c r="B239" s="85"/>
      <c r="C239" s="60"/>
    </row>
    <row r="240">
      <c r="A240" s="60"/>
      <c r="B240" s="85"/>
      <c r="C240" s="60"/>
    </row>
    <row r="241">
      <c r="A241" s="60"/>
      <c r="B241" s="85"/>
      <c r="C241" s="60"/>
    </row>
    <row r="242">
      <c r="A242" s="60"/>
      <c r="B242" s="85"/>
      <c r="C242" s="60"/>
    </row>
    <row r="243">
      <c r="A243" s="60"/>
      <c r="B243" s="85"/>
      <c r="C243" s="60"/>
    </row>
    <row r="244">
      <c r="A244" s="60"/>
      <c r="B244" s="85"/>
      <c r="C244" s="60"/>
    </row>
    <row r="245">
      <c r="A245" s="60"/>
      <c r="B245" s="85"/>
      <c r="C245" s="60"/>
    </row>
    <row r="246">
      <c r="A246" s="60"/>
      <c r="B246" s="85"/>
      <c r="C246" s="60"/>
    </row>
    <row r="247">
      <c r="A247" s="60"/>
      <c r="B247" s="85"/>
      <c r="C247" s="60"/>
    </row>
    <row r="248">
      <c r="A248" s="60"/>
      <c r="B248" s="85"/>
      <c r="C248" s="60"/>
    </row>
    <row r="249">
      <c r="A249" s="60"/>
      <c r="B249" s="85"/>
      <c r="C249" s="60"/>
    </row>
    <row r="250">
      <c r="A250" s="60"/>
      <c r="B250" s="85"/>
      <c r="C250" s="60"/>
    </row>
    <row r="251">
      <c r="A251" s="60"/>
      <c r="B251" s="85"/>
      <c r="C251" s="60"/>
    </row>
    <row r="252">
      <c r="A252" s="60"/>
      <c r="B252" s="85"/>
      <c r="C252" s="60"/>
    </row>
    <row r="253">
      <c r="A253" s="60"/>
      <c r="B253" s="85"/>
      <c r="C253" s="60"/>
    </row>
    <row r="254">
      <c r="A254" s="60"/>
      <c r="B254" s="85"/>
      <c r="C254" s="60"/>
    </row>
    <row r="255">
      <c r="A255" s="60"/>
      <c r="B255" s="85"/>
      <c r="C255" s="60"/>
    </row>
    <row r="256">
      <c r="A256" s="60"/>
      <c r="B256" s="85"/>
      <c r="C256" s="60"/>
    </row>
    <row r="257">
      <c r="A257" s="60"/>
      <c r="B257" s="85"/>
      <c r="C257" s="60"/>
    </row>
    <row r="258">
      <c r="A258" s="60"/>
      <c r="B258" s="85"/>
      <c r="C258" s="60"/>
    </row>
    <row r="259">
      <c r="A259" s="60"/>
      <c r="B259" s="85"/>
      <c r="C259" s="60"/>
    </row>
    <row r="260">
      <c r="A260" s="60"/>
      <c r="B260" s="85"/>
      <c r="C260" s="60"/>
    </row>
    <row r="261">
      <c r="A261" s="60"/>
      <c r="B261" s="85"/>
      <c r="C261" s="60"/>
    </row>
    <row r="262">
      <c r="A262" s="60"/>
      <c r="B262" s="85"/>
      <c r="C262" s="60"/>
    </row>
    <row r="263">
      <c r="A263" s="60"/>
      <c r="B263" s="85"/>
      <c r="C263" s="60"/>
    </row>
    <row r="264">
      <c r="A264" s="60"/>
      <c r="B264" s="85"/>
      <c r="C264" s="60"/>
    </row>
    <row r="265">
      <c r="A265" s="60"/>
      <c r="B265" s="85"/>
      <c r="C265" s="60"/>
    </row>
    <row r="266">
      <c r="A266" s="60"/>
      <c r="B266" s="85"/>
      <c r="C266" s="60"/>
    </row>
    <row r="267">
      <c r="A267" s="60"/>
      <c r="B267" s="85"/>
      <c r="C267" s="60"/>
    </row>
    <row r="268">
      <c r="A268" s="60"/>
      <c r="B268" s="85"/>
      <c r="C268" s="60"/>
    </row>
    <row r="269">
      <c r="A269" s="60"/>
      <c r="B269" s="85"/>
      <c r="C269" s="60"/>
    </row>
    <row r="270">
      <c r="A270" s="60"/>
      <c r="B270" s="85"/>
      <c r="C270" s="60"/>
    </row>
    <row r="271">
      <c r="A271" s="60"/>
      <c r="B271" s="85"/>
      <c r="C271" s="60"/>
    </row>
    <row r="272">
      <c r="A272" s="60"/>
      <c r="B272" s="85"/>
      <c r="C272" s="60"/>
    </row>
    <row r="273">
      <c r="A273" s="60"/>
      <c r="B273" s="85"/>
      <c r="C273" s="60"/>
    </row>
    <row r="274">
      <c r="A274" s="60"/>
      <c r="B274" s="85"/>
      <c r="C274" s="60"/>
    </row>
    <row r="275">
      <c r="A275" s="60"/>
      <c r="B275" s="85"/>
      <c r="C275" s="60"/>
    </row>
    <row r="276">
      <c r="A276" s="60"/>
      <c r="B276" s="85"/>
      <c r="C276" s="60"/>
    </row>
    <row r="277">
      <c r="A277" s="60"/>
      <c r="B277" s="85"/>
      <c r="C277" s="60"/>
    </row>
    <row r="278">
      <c r="A278" s="60"/>
      <c r="B278" s="85"/>
      <c r="C278" s="60"/>
    </row>
    <row r="279">
      <c r="A279" s="60"/>
      <c r="B279" s="85"/>
      <c r="C279" s="60"/>
    </row>
    <row r="280">
      <c r="A280" s="60"/>
      <c r="B280" s="85"/>
      <c r="C280" s="60"/>
    </row>
    <row r="281">
      <c r="A281" s="60"/>
      <c r="B281" s="85"/>
      <c r="C281" s="60"/>
    </row>
    <row r="282">
      <c r="A282" s="60"/>
      <c r="B282" s="85"/>
      <c r="C282" s="60"/>
    </row>
    <row r="283">
      <c r="A283" s="60"/>
      <c r="B283" s="85"/>
      <c r="C283" s="60"/>
    </row>
    <row r="284">
      <c r="A284" s="60"/>
      <c r="B284" s="85"/>
      <c r="C284" s="60"/>
    </row>
    <row r="285">
      <c r="A285" s="60"/>
      <c r="B285" s="85"/>
      <c r="C285" s="60"/>
    </row>
    <row r="286">
      <c r="A286" s="60"/>
      <c r="B286" s="85"/>
      <c r="C286" s="60"/>
    </row>
    <row r="287">
      <c r="A287" s="60"/>
      <c r="B287" s="85"/>
      <c r="C287" s="60"/>
    </row>
    <row r="288">
      <c r="A288" s="60"/>
      <c r="B288" s="85"/>
      <c r="C288" s="60"/>
    </row>
    <row r="289">
      <c r="A289" s="60"/>
      <c r="B289" s="85"/>
      <c r="C289" s="60"/>
    </row>
    <row r="290">
      <c r="A290" s="60"/>
      <c r="B290" s="85"/>
      <c r="C290" s="60"/>
    </row>
    <row r="291">
      <c r="A291" s="60"/>
      <c r="B291" s="85"/>
      <c r="C291" s="60"/>
    </row>
    <row r="292">
      <c r="A292" s="60"/>
      <c r="B292" s="85"/>
      <c r="C292" s="60"/>
    </row>
    <row r="293">
      <c r="A293" s="60"/>
      <c r="B293" s="85"/>
      <c r="C293" s="60"/>
    </row>
    <row r="294">
      <c r="A294" s="60"/>
      <c r="B294" s="85"/>
      <c r="C294" s="60"/>
    </row>
    <row r="295">
      <c r="A295" s="60"/>
      <c r="B295" s="85"/>
      <c r="C295" s="60"/>
    </row>
    <row r="296">
      <c r="A296" s="60"/>
      <c r="B296" s="85"/>
      <c r="C296" s="60"/>
    </row>
    <row r="297">
      <c r="A297" s="60"/>
      <c r="B297" s="85"/>
      <c r="C297" s="60"/>
    </row>
    <row r="298">
      <c r="A298" s="60"/>
      <c r="B298" s="85"/>
      <c r="C298" s="60"/>
    </row>
    <row r="299">
      <c r="A299" s="60"/>
      <c r="B299" s="85"/>
      <c r="C299" s="60"/>
    </row>
    <row r="300">
      <c r="A300" s="60"/>
      <c r="B300" s="85"/>
      <c r="C300" s="60"/>
    </row>
    <row r="301">
      <c r="A301" s="60"/>
      <c r="B301" s="85"/>
      <c r="C301" s="60"/>
    </row>
    <row r="302">
      <c r="A302" s="60"/>
      <c r="B302" s="85"/>
      <c r="C302" s="60"/>
    </row>
    <row r="303">
      <c r="A303" s="60"/>
      <c r="B303" s="85"/>
      <c r="C303" s="60"/>
    </row>
    <row r="304">
      <c r="A304" s="60"/>
      <c r="B304" s="85"/>
      <c r="C304" s="60"/>
    </row>
    <row r="305">
      <c r="A305" s="60"/>
      <c r="B305" s="85"/>
      <c r="C305" s="60"/>
    </row>
    <row r="306">
      <c r="A306" s="60"/>
      <c r="B306" s="85"/>
      <c r="C306" s="60"/>
    </row>
    <row r="307">
      <c r="A307" s="60"/>
      <c r="B307" s="85"/>
      <c r="C307" s="60"/>
    </row>
    <row r="308">
      <c r="A308" s="60"/>
      <c r="B308" s="85"/>
      <c r="C308" s="60"/>
    </row>
    <row r="309">
      <c r="A309" s="60"/>
      <c r="B309" s="85"/>
      <c r="C309" s="60"/>
    </row>
    <row r="310">
      <c r="A310" s="60"/>
      <c r="B310" s="85"/>
      <c r="C310" s="60"/>
    </row>
    <row r="311">
      <c r="A311" s="60"/>
      <c r="B311" s="85"/>
      <c r="C311" s="60"/>
    </row>
    <row r="312">
      <c r="A312" s="60"/>
      <c r="B312" s="85"/>
      <c r="C312" s="60"/>
    </row>
    <row r="313">
      <c r="A313" s="60"/>
      <c r="B313" s="85"/>
      <c r="C313" s="60"/>
    </row>
    <row r="314">
      <c r="A314" s="60"/>
      <c r="B314" s="85"/>
      <c r="C314" s="60"/>
    </row>
    <row r="315">
      <c r="A315" s="60"/>
      <c r="B315" s="85"/>
      <c r="C315" s="60"/>
    </row>
    <row r="316">
      <c r="A316" s="60"/>
      <c r="B316" s="85"/>
      <c r="C316" s="60"/>
    </row>
    <row r="317">
      <c r="A317" s="60"/>
      <c r="B317" s="85"/>
      <c r="C317" s="60"/>
    </row>
    <row r="318">
      <c r="A318" s="60"/>
      <c r="B318" s="85"/>
      <c r="C318" s="60"/>
    </row>
    <row r="319">
      <c r="A319" s="60"/>
      <c r="B319" s="85"/>
      <c r="C319" s="60"/>
    </row>
    <row r="320">
      <c r="A320" s="60"/>
      <c r="B320" s="85"/>
      <c r="C320" s="60"/>
    </row>
    <row r="321">
      <c r="A321" s="60"/>
      <c r="B321" s="85"/>
      <c r="C321" s="60"/>
    </row>
    <row r="322">
      <c r="A322" s="60"/>
      <c r="B322" s="85"/>
      <c r="C322" s="60"/>
    </row>
    <row r="323">
      <c r="A323" s="60"/>
      <c r="B323" s="85"/>
      <c r="C323" s="60"/>
    </row>
    <row r="324">
      <c r="A324" s="60"/>
      <c r="B324" s="85"/>
      <c r="C324" s="60"/>
    </row>
    <row r="325">
      <c r="A325" s="60"/>
      <c r="B325" s="85"/>
      <c r="C325" s="60"/>
    </row>
    <row r="326">
      <c r="A326" s="60"/>
      <c r="B326" s="85"/>
      <c r="C326" s="60"/>
    </row>
    <row r="327">
      <c r="A327" s="60"/>
      <c r="B327" s="85"/>
      <c r="C327" s="60"/>
    </row>
    <row r="328">
      <c r="A328" s="60"/>
      <c r="B328" s="85"/>
      <c r="C328" s="60"/>
    </row>
    <row r="329">
      <c r="A329" s="60"/>
      <c r="B329" s="85"/>
      <c r="C329" s="60"/>
    </row>
    <row r="330">
      <c r="A330" s="60"/>
      <c r="B330" s="85"/>
      <c r="C330" s="60"/>
    </row>
    <row r="331">
      <c r="A331" s="60"/>
      <c r="B331" s="85"/>
      <c r="C331" s="60"/>
    </row>
    <row r="332">
      <c r="A332" s="60"/>
      <c r="B332" s="85"/>
      <c r="C332" s="60"/>
    </row>
    <row r="333">
      <c r="A333" s="60"/>
      <c r="B333" s="85"/>
      <c r="C333" s="60"/>
    </row>
    <row r="334">
      <c r="A334" s="60"/>
      <c r="B334" s="85"/>
      <c r="C334" s="60"/>
    </row>
    <row r="335">
      <c r="A335" s="60"/>
      <c r="B335" s="85"/>
      <c r="C335" s="60"/>
    </row>
    <row r="336">
      <c r="A336" s="60"/>
      <c r="B336" s="85"/>
      <c r="C336" s="60"/>
    </row>
    <row r="337">
      <c r="A337" s="60"/>
      <c r="B337" s="85"/>
      <c r="C337" s="60"/>
    </row>
    <row r="338">
      <c r="A338" s="60"/>
      <c r="B338" s="85"/>
      <c r="C338" s="60"/>
    </row>
    <row r="339">
      <c r="A339" s="60"/>
      <c r="B339" s="85"/>
      <c r="C339" s="60"/>
    </row>
    <row r="340">
      <c r="A340" s="60"/>
      <c r="B340" s="85"/>
      <c r="C340" s="60"/>
    </row>
    <row r="341">
      <c r="A341" s="60"/>
      <c r="B341" s="85"/>
      <c r="C341" s="60"/>
    </row>
    <row r="342">
      <c r="A342" s="60"/>
      <c r="B342" s="85"/>
      <c r="C342" s="60"/>
    </row>
    <row r="343">
      <c r="A343" s="60"/>
      <c r="B343" s="85"/>
      <c r="C343" s="60"/>
    </row>
    <row r="344">
      <c r="A344" s="60"/>
      <c r="B344" s="85"/>
      <c r="C344" s="60"/>
    </row>
    <row r="345">
      <c r="A345" s="60"/>
      <c r="B345" s="85"/>
      <c r="C345" s="60"/>
    </row>
    <row r="346">
      <c r="A346" s="60"/>
      <c r="B346" s="85"/>
      <c r="C346" s="60"/>
    </row>
    <row r="347">
      <c r="A347" s="60"/>
      <c r="B347" s="85"/>
      <c r="C347" s="60"/>
    </row>
    <row r="348">
      <c r="A348" s="60"/>
      <c r="B348" s="85"/>
      <c r="C348" s="60"/>
    </row>
    <row r="349">
      <c r="A349" s="60"/>
      <c r="B349" s="85"/>
      <c r="C349" s="60"/>
    </row>
    <row r="350">
      <c r="A350" s="60"/>
      <c r="B350" s="85"/>
      <c r="C350" s="60"/>
    </row>
    <row r="351">
      <c r="A351" s="60"/>
      <c r="B351" s="85"/>
      <c r="C351" s="60"/>
    </row>
    <row r="352">
      <c r="A352" s="60"/>
      <c r="B352" s="85"/>
      <c r="C352" s="60"/>
    </row>
    <row r="353">
      <c r="A353" s="60"/>
      <c r="B353" s="85"/>
      <c r="C353" s="60"/>
    </row>
    <row r="354">
      <c r="A354" s="60"/>
      <c r="B354" s="85"/>
      <c r="C354" s="60"/>
    </row>
    <row r="355">
      <c r="A355" s="60"/>
      <c r="B355" s="85"/>
      <c r="C355" s="60"/>
    </row>
    <row r="356">
      <c r="A356" s="60"/>
      <c r="B356" s="85"/>
      <c r="C356" s="60"/>
    </row>
    <row r="357">
      <c r="A357" s="60"/>
      <c r="B357" s="85"/>
      <c r="C357" s="60"/>
    </row>
    <row r="358">
      <c r="A358" s="60"/>
      <c r="B358" s="85"/>
      <c r="C358" s="60"/>
    </row>
    <row r="359">
      <c r="A359" s="60"/>
      <c r="B359" s="85"/>
      <c r="C359" s="60"/>
    </row>
    <row r="360">
      <c r="A360" s="60"/>
      <c r="B360" s="85"/>
      <c r="C360" s="60"/>
    </row>
    <row r="361">
      <c r="A361" s="60"/>
      <c r="B361" s="85"/>
      <c r="C361" s="60"/>
    </row>
    <row r="362">
      <c r="A362" s="60"/>
      <c r="B362" s="85"/>
      <c r="C362" s="60"/>
    </row>
    <row r="363">
      <c r="A363" s="60"/>
      <c r="B363" s="85"/>
      <c r="C363" s="60"/>
    </row>
    <row r="364">
      <c r="A364" s="60"/>
      <c r="B364" s="85"/>
      <c r="C364" s="60"/>
    </row>
    <row r="365">
      <c r="A365" s="60"/>
      <c r="B365" s="85"/>
      <c r="C365" s="60"/>
    </row>
    <row r="366">
      <c r="A366" s="60"/>
      <c r="B366" s="85"/>
      <c r="C366" s="60"/>
    </row>
    <row r="367">
      <c r="A367" s="60"/>
      <c r="B367" s="85"/>
      <c r="C367" s="60"/>
    </row>
    <row r="368">
      <c r="A368" s="60"/>
      <c r="B368" s="85"/>
      <c r="C368" s="60"/>
    </row>
    <row r="369">
      <c r="A369" s="60"/>
      <c r="B369" s="85"/>
      <c r="C369" s="60"/>
    </row>
    <row r="370">
      <c r="A370" s="60"/>
      <c r="B370" s="85"/>
      <c r="C370" s="60"/>
    </row>
    <row r="371">
      <c r="A371" s="60"/>
      <c r="B371" s="85"/>
      <c r="C371" s="60"/>
    </row>
    <row r="372">
      <c r="A372" s="60"/>
      <c r="B372" s="85"/>
      <c r="C372" s="60"/>
    </row>
    <row r="373">
      <c r="A373" s="60"/>
      <c r="B373" s="85"/>
      <c r="C373" s="60"/>
    </row>
    <row r="374">
      <c r="A374" s="60"/>
      <c r="B374" s="85"/>
      <c r="C374" s="60"/>
    </row>
    <row r="375">
      <c r="A375" s="60"/>
      <c r="B375" s="85"/>
      <c r="C375" s="60"/>
    </row>
    <row r="376">
      <c r="A376" s="60"/>
      <c r="B376" s="85"/>
      <c r="C376" s="60"/>
    </row>
    <row r="377">
      <c r="A377" s="60"/>
      <c r="B377" s="85"/>
      <c r="C377" s="60"/>
    </row>
    <row r="378">
      <c r="A378" s="60"/>
      <c r="B378" s="85"/>
      <c r="C378" s="60"/>
    </row>
    <row r="379">
      <c r="A379" s="60"/>
      <c r="B379" s="85"/>
      <c r="C379" s="60"/>
    </row>
    <row r="380">
      <c r="A380" s="60"/>
      <c r="B380" s="85"/>
      <c r="C380" s="60"/>
    </row>
    <row r="381">
      <c r="A381" s="60"/>
      <c r="B381" s="85"/>
      <c r="C381" s="60"/>
    </row>
    <row r="382">
      <c r="A382" s="60"/>
      <c r="B382" s="85"/>
      <c r="C382" s="60"/>
    </row>
    <row r="383">
      <c r="A383" s="60"/>
      <c r="B383" s="85"/>
      <c r="C383" s="60"/>
    </row>
    <row r="384">
      <c r="A384" s="60"/>
      <c r="B384" s="85"/>
      <c r="C384" s="60"/>
    </row>
    <row r="385">
      <c r="A385" s="60"/>
      <c r="B385" s="85"/>
      <c r="C385" s="60"/>
    </row>
    <row r="386">
      <c r="A386" s="60"/>
      <c r="B386" s="85"/>
      <c r="C386" s="60"/>
    </row>
    <row r="387">
      <c r="A387" s="60"/>
      <c r="B387" s="85"/>
      <c r="C387" s="60"/>
    </row>
    <row r="388">
      <c r="A388" s="60"/>
      <c r="B388" s="85"/>
      <c r="C388" s="60"/>
    </row>
    <row r="389">
      <c r="A389" s="60"/>
      <c r="B389" s="85"/>
      <c r="C389" s="60"/>
    </row>
    <row r="390">
      <c r="A390" s="60"/>
      <c r="B390" s="85"/>
      <c r="C390" s="60"/>
    </row>
    <row r="391">
      <c r="A391" s="60"/>
      <c r="B391" s="85"/>
      <c r="C391" s="60"/>
    </row>
    <row r="392">
      <c r="A392" s="60"/>
      <c r="B392" s="85"/>
      <c r="C392" s="60"/>
    </row>
    <row r="393">
      <c r="A393" s="60"/>
      <c r="B393" s="85"/>
      <c r="C393" s="60"/>
    </row>
    <row r="394">
      <c r="A394" s="60"/>
      <c r="B394" s="85"/>
      <c r="C394" s="60"/>
    </row>
    <row r="395">
      <c r="A395" s="60"/>
      <c r="B395" s="85"/>
      <c r="C395" s="60"/>
    </row>
    <row r="396">
      <c r="A396" s="60"/>
      <c r="B396" s="85"/>
      <c r="C396" s="60"/>
    </row>
    <row r="397">
      <c r="A397" s="60"/>
      <c r="B397" s="85"/>
      <c r="C397" s="60"/>
    </row>
    <row r="398">
      <c r="A398" s="60"/>
      <c r="B398" s="85"/>
      <c r="C398" s="60"/>
    </row>
    <row r="399">
      <c r="A399" s="60"/>
      <c r="B399" s="85"/>
      <c r="C399" s="60"/>
    </row>
    <row r="400">
      <c r="A400" s="60"/>
      <c r="B400" s="85"/>
      <c r="C400" s="60"/>
    </row>
    <row r="401">
      <c r="A401" s="60"/>
      <c r="B401" s="85"/>
      <c r="C401" s="60"/>
    </row>
    <row r="402">
      <c r="A402" s="60"/>
      <c r="B402" s="85"/>
      <c r="C402" s="60"/>
    </row>
    <row r="403">
      <c r="A403" s="60"/>
      <c r="B403" s="85"/>
      <c r="C403" s="60"/>
    </row>
    <row r="404">
      <c r="A404" s="60"/>
      <c r="B404" s="85"/>
      <c r="C404" s="60"/>
    </row>
    <row r="405">
      <c r="A405" s="60"/>
      <c r="B405" s="85"/>
      <c r="C405" s="60"/>
    </row>
    <row r="406">
      <c r="A406" s="60"/>
      <c r="B406" s="85"/>
      <c r="C406" s="60"/>
    </row>
    <row r="407">
      <c r="A407" s="60"/>
      <c r="B407" s="85"/>
      <c r="C407" s="60"/>
    </row>
    <row r="408">
      <c r="A408" s="60"/>
      <c r="B408" s="85"/>
      <c r="C408" s="60"/>
    </row>
    <row r="409">
      <c r="A409" s="60"/>
      <c r="B409" s="85"/>
      <c r="C409" s="60"/>
    </row>
    <row r="410">
      <c r="A410" s="60"/>
      <c r="B410" s="85"/>
      <c r="C410" s="60"/>
    </row>
    <row r="411">
      <c r="A411" s="60"/>
      <c r="B411" s="85"/>
      <c r="C411" s="60"/>
    </row>
    <row r="412">
      <c r="A412" s="60"/>
      <c r="B412" s="85"/>
      <c r="C412" s="60"/>
    </row>
    <row r="413">
      <c r="A413" s="60"/>
      <c r="B413" s="85"/>
      <c r="C413" s="60"/>
    </row>
    <row r="414">
      <c r="A414" s="60"/>
      <c r="B414" s="85"/>
      <c r="C414" s="60"/>
    </row>
    <row r="415">
      <c r="A415" s="60"/>
      <c r="B415" s="85"/>
      <c r="C415" s="60"/>
    </row>
    <row r="416">
      <c r="A416" s="60"/>
      <c r="B416" s="85"/>
      <c r="C416" s="60"/>
    </row>
    <row r="417">
      <c r="A417" s="60"/>
      <c r="B417" s="85"/>
      <c r="C417" s="60"/>
    </row>
    <row r="418">
      <c r="A418" s="60"/>
      <c r="B418" s="85"/>
      <c r="C418" s="60"/>
    </row>
    <row r="419">
      <c r="A419" s="60"/>
      <c r="B419" s="85"/>
      <c r="C419" s="60"/>
    </row>
    <row r="420">
      <c r="A420" s="60"/>
      <c r="B420" s="85"/>
      <c r="C420" s="60"/>
    </row>
    <row r="421">
      <c r="A421" s="60"/>
      <c r="B421" s="85"/>
      <c r="C421" s="60"/>
    </row>
    <row r="422">
      <c r="A422" s="60"/>
      <c r="B422" s="85"/>
      <c r="C422" s="60"/>
    </row>
    <row r="423">
      <c r="A423" s="60"/>
      <c r="B423" s="85"/>
      <c r="C423" s="60"/>
    </row>
    <row r="424">
      <c r="A424" s="60"/>
      <c r="B424" s="85"/>
      <c r="C424" s="60"/>
    </row>
    <row r="425">
      <c r="A425" s="60"/>
      <c r="B425" s="85"/>
      <c r="C425" s="60"/>
    </row>
    <row r="426">
      <c r="A426" s="60"/>
      <c r="B426" s="85"/>
      <c r="C426" s="60"/>
    </row>
    <row r="427">
      <c r="A427" s="60"/>
      <c r="B427" s="85"/>
      <c r="C427" s="60"/>
    </row>
    <row r="428">
      <c r="A428" s="60"/>
      <c r="B428" s="85"/>
      <c r="C428" s="60"/>
    </row>
    <row r="429">
      <c r="A429" s="60"/>
      <c r="B429" s="85"/>
      <c r="C429" s="60"/>
    </row>
    <row r="430">
      <c r="A430" s="60"/>
      <c r="B430" s="85"/>
      <c r="C430" s="60"/>
    </row>
    <row r="431">
      <c r="A431" s="60"/>
      <c r="B431" s="85"/>
      <c r="C431" s="60"/>
    </row>
    <row r="432">
      <c r="A432" s="60"/>
      <c r="B432" s="85"/>
      <c r="C432" s="60"/>
    </row>
    <row r="433">
      <c r="A433" s="60"/>
      <c r="B433" s="85"/>
      <c r="C433" s="60"/>
    </row>
    <row r="434">
      <c r="A434" s="60"/>
      <c r="B434" s="85"/>
      <c r="C434" s="60"/>
    </row>
    <row r="435">
      <c r="A435" s="60"/>
      <c r="B435" s="85"/>
      <c r="C435" s="60"/>
    </row>
    <row r="436">
      <c r="A436" s="60"/>
      <c r="B436" s="85"/>
      <c r="C436" s="60"/>
    </row>
    <row r="437">
      <c r="A437" s="60"/>
      <c r="B437" s="85"/>
      <c r="C437" s="60"/>
    </row>
    <row r="438">
      <c r="A438" s="60"/>
      <c r="B438" s="85"/>
      <c r="C438" s="60"/>
    </row>
    <row r="439">
      <c r="A439" s="60"/>
      <c r="B439" s="85"/>
      <c r="C439" s="60"/>
    </row>
    <row r="440">
      <c r="A440" s="60"/>
      <c r="B440" s="85"/>
      <c r="C440" s="60"/>
    </row>
    <row r="441">
      <c r="A441" s="60"/>
      <c r="B441" s="85"/>
      <c r="C441" s="60"/>
    </row>
    <row r="442">
      <c r="A442" s="60"/>
      <c r="B442" s="85"/>
      <c r="C442" s="60"/>
    </row>
    <row r="443">
      <c r="A443" s="60"/>
      <c r="B443" s="85"/>
      <c r="C443" s="60"/>
    </row>
    <row r="444">
      <c r="A444" s="60"/>
      <c r="B444" s="85"/>
      <c r="C444" s="60"/>
    </row>
    <row r="445">
      <c r="A445" s="60"/>
      <c r="B445" s="85"/>
      <c r="C445" s="60"/>
    </row>
    <row r="446">
      <c r="A446" s="60"/>
      <c r="B446" s="85"/>
      <c r="C446" s="60"/>
    </row>
    <row r="447">
      <c r="A447" s="60"/>
      <c r="B447" s="85"/>
      <c r="C447" s="60"/>
    </row>
    <row r="448">
      <c r="A448" s="60"/>
      <c r="B448" s="85"/>
      <c r="C448" s="60"/>
    </row>
    <row r="449">
      <c r="A449" s="60"/>
      <c r="B449" s="85"/>
      <c r="C449" s="60"/>
    </row>
    <row r="450">
      <c r="A450" s="60"/>
      <c r="B450" s="85"/>
      <c r="C450" s="60"/>
    </row>
    <row r="451">
      <c r="A451" s="60"/>
      <c r="B451" s="85"/>
      <c r="C451" s="60"/>
    </row>
    <row r="452">
      <c r="A452" s="60"/>
      <c r="B452" s="85"/>
      <c r="C452" s="60"/>
    </row>
    <row r="453">
      <c r="A453" s="60"/>
      <c r="B453" s="85"/>
      <c r="C453" s="60"/>
    </row>
    <row r="454">
      <c r="A454" s="60"/>
      <c r="B454" s="85"/>
      <c r="C454" s="60"/>
    </row>
    <row r="455">
      <c r="A455" s="60"/>
      <c r="B455" s="85"/>
      <c r="C455" s="60"/>
    </row>
    <row r="456">
      <c r="A456" s="60"/>
      <c r="B456" s="85"/>
      <c r="C456" s="60"/>
    </row>
    <row r="457">
      <c r="A457" s="60"/>
      <c r="B457" s="85"/>
      <c r="C457" s="60"/>
    </row>
    <row r="458">
      <c r="A458" s="60"/>
      <c r="B458" s="85"/>
      <c r="C458" s="60"/>
    </row>
    <row r="459">
      <c r="A459" s="60"/>
      <c r="B459" s="85"/>
      <c r="C459" s="60"/>
    </row>
    <row r="460">
      <c r="A460" s="60"/>
      <c r="B460" s="85"/>
      <c r="C460" s="60"/>
    </row>
    <row r="461">
      <c r="A461" s="60"/>
      <c r="B461" s="85"/>
      <c r="C461" s="60"/>
    </row>
    <row r="462">
      <c r="A462" s="60"/>
      <c r="B462" s="85"/>
      <c r="C462" s="60"/>
    </row>
    <row r="463">
      <c r="A463" s="60"/>
      <c r="B463" s="85"/>
      <c r="C463" s="60"/>
    </row>
    <row r="464">
      <c r="A464" s="60"/>
      <c r="B464" s="85"/>
      <c r="C464" s="60"/>
    </row>
    <row r="465">
      <c r="A465" s="60"/>
      <c r="B465" s="85"/>
      <c r="C465" s="60"/>
    </row>
    <row r="466">
      <c r="A466" s="60"/>
      <c r="B466" s="85"/>
      <c r="C466" s="60"/>
    </row>
    <row r="467">
      <c r="A467" s="60"/>
      <c r="B467" s="85"/>
      <c r="C467" s="60"/>
    </row>
    <row r="468">
      <c r="A468" s="60"/>
      <c r="B468" s="85"/>
      <c r="C468" s="60"/>
    </row>
    <row r="469">
      <c r="A469" s="60"/>
      <c r="B469" s="85"/>
      <c r="C469" s="60"/>
    </row>
    <row r="470">
      <c r="A470" s="60"/>
      <c r="B470" s="85"/>
      <c r="C470" s="60"/>
    </row>
    <row r="471">
      <c r="A471" s="60"/>
      <c r="B471" s="85"/>
      <c r="C471" s="60"/>
    </row>
    <row r="472">
      <c r="A472" s="60"/>
      <c r="B472" s="85"/>
      <c r="C472" s="60"/>
    </row>
    <row r="473">
      <c r="A473" s="60"/>
      <c r="B473" s="85"/>
      <c r="C473" s="60"/>
    </row>
    <row r="474">
      <c r="A474" s="60"/>
      <c r="B474" s="85"/>
      <c r="C474" s="60"/>
    </row>
    <row r="475">
      <c r="A475" s="60"/>
      <c r="B475" s="85"/>
      <c r="C475" s="60"/>
    </row>
    <row r="476">
      <c r="A476" s="60"/>
      <c r="B476" s="85"/>
      <c r="C476" s="60"/>
    </row>
    <row r="477">
      <c r="A477" s="60"/>
      <c r="B477" s="85"/>
      <c r="C477" s="60"/>
    </row>
    <row r="478">
      <c r="A478" s="60"/>
      <c r="B478" s="85"/>
      <c r="C478" s="60"/>
    </row>
    <row r="479">
      <c r="A479" s="60"/>
      <c r="B479" s="85"/>
      <c r="C479" s="60"/>
    </row>
    <row r="480">
      <c r="A480" s="60"/>
      <c r="B480" s="85"/>
      <c r="C480" s="60"/>
    </row>
    <row r="481">
      <c r="A481" s="60"/>
      <c r="B481" s="85"/>
      <c r="C481" s="60"/>
    </row>
    <row r="482">
      <c r="A482" s="60"/>
      <c r="B482" s="85"/>
      <c r="C482" s="60"/>
    </row>
    <row r="483">
      <c r="A483" s="60"/>
      <c r="B483" s="85"/>
      <c r="C483" s="60"/>
    </row>
    <row r="484">
      <c r="A484" s="60"/>
      <c r="B484" s="85"/>
      <c r="C484" s="60"/>
    </row>
    <row r="485">
      <c r="A485" s="60"/>
      <c r="B485" s="85"/>
      <c r="C485" s="60"/>
    </row>
    <row r="486">
      <c r="A486" s="60"/>
      <c r="B486" s="85"/>
      <c r="C486" s="60"/>
    </row>
    <row r="487">
      <c r="A487" s="60"/>
      <c r="B487" s="85"/>
      <c r="C487" s="60"/>
    </row>
    <row r="488">
      <c r="A488" s="60"/>
      <c r="B488" s="85"/>
      <c r="C488" s="60"/>
    </row>
    <row r="489">
      <c r="A489" s="60"/>
      <c r="B489" s="85"/>
      <c r="C489" s="60"/>
    </row>
    <row r="490">
      <c r="A490" s="60"/>
      <c r="B490" s="85"/>
      <c r="C490" s="60"/>
    </row>
    <row r="491">
      <c r="A491" s="60"/>
      <c r="B491" s="85"/>
      <c r="C491" s="60"/>
    </row>
    <row r="492">
      <c r="A492" s="60"/>
      <c r="B492" s="85"/>
      <c r="C492" s="60"/>
    </row>
    <row r="493">
      <c r="A493" s="60"/>
      <c r="B493" s="85"/>
      <c r="C493" s="60"/>
    </row>
    <row r="494">
      <c r="A494" s="60"/>
      <c r="B494" s="85"/>
      <c r="C494" s="60"/>
    </row>
    <row r="495">
      <c r="A495" s="60"/>
      <c r="B495" s="85"/>
      <c r="C495" s="60"/>
    </row>
    <row r="496">
      <c r="A496" s="60"/>
      <c r="B496" s="85"/>
      <c r="C496" s="60"/>
    </row>
    <row r="497">
      <c r="A497" s="60"/>
      <c r="B497" s="85"/>
      <c r="C497" s="60"/>
    </row>
    <row r="498">
      <c r="A498" s="60"/>
      <c r="B498" s="85"/>
      <c r="C498" s="60"/>
    </row>
    <row r="499">
      <c r="A499" s="60"/>
      <c r="B499" s="85"/>
      <c r="C499" s="60"/>
    </row>
    <row r="500">
      <c r="A500" s="60"/>
      <c r="B500" s="85"/>
      <c r="C500" s="60"/>
    </row>
    <row r="501">
      <c r="A501" s="60"/>
      <c r="B501" s="85"/>
      <c r="C501" s="60"/>
    </row>
    <row r="502">
      <c r="A502" s="60"/>
      <c r="B502" s="85"/>
      <c r="C502" s="60"/>
    </row>
    <row r="503">
      <c r="A503" s="60"/>
      <c r="B503" s="85"/>
      <c r="C503" s="60"/>
    </row>
    <row r="504">
      <c r="A504" s="60"/>
      <c r="B504" s="85"/>
      <c r="C504" s="60"/>
    </row>
    <row r="505">
      <c r="A505" s="60"/>
      <c r="B505" s="85"/>
      <c r="C505" s="60"/>
    </row>
    <row r="506">
      <c r="A506" s="60"/>
      <c r="B506" s="85"/>
      <c r="C506" s="60"/>
    </row>
    <row r="507">
      <c r="A507" s="60"/>
      <c r="B507" s="85"/>
      <c r="C507" s="60"/>
    </row>
    <row r="508">
      <c r="A508" s="60"/>
      <c r="B508" s="85"/>
      <c r="C508" s="60"/>
    </row>
    <row r="509">
      <c r="A509" s="60"/>
      <c r="B509" s="85"/>
      <c r="C509" s="60"/>
    </row>
    <row r="510">
      <c r="A510" s="60"/>
      <c r="B510" s="85"/>
      <c r="C510" s="60"/>
    </row>
    <row r="511">
      <c r="A511" s="60"/>
      <c r="B511" s="85"/>
      <c r="C511" s="60"/>
    </row>
    <row r="512">
      <c r="A512" s="60"/>
      <c r="B512" s="85"/>
      <c r="C512" s="60"/>
    </row>
    <row r="513">
      <c r="A513" s="60"/>
      <c r="B513" s="85"/>
      <c r="C513" s="60"/>
    </row>
    <row r="514">
      <c r="A514" s="60"/>
      <c r="B514" s="85"/>
      <c r="C514" s="60"/>
    </row>
    <row r="515">
      <c r="A515" s="60"/>
      <c r="B515" s="85"/>
      <c r="C515" s="60"/>
    </row>
    <row r="516">
      <c r="A516" s="60"/>
      <c r="B516" s="85"/>
      <c r="C516" s="60"/>
    </row>
    <row r="517">
      <c r="A517" s="60"/>
      <c r="B517" s="85"/>
      <c r="C517" s="60"/>
    </row>
    <row r="518">
      <c r="A518" s="60"/>
      <c r="B518" s="85"/>
      <c r="C518" s="60"/>
    </row>
    <row r="519">
      <c r="A519" s="60"/>
      <c r="B519" s="85"/>
      <c r="C519" s="60"/>
    </row>
    <row r="520">
      <c r="A520" s="60"/>
      <c r="B520" s="85"/>
      <c r="C520" s="60"/>
    </row>
    <row r="521">
      <c r="A521" s="60"/>
      <c r="B521" s="85"/>
      <c r="C521" s="60"/>
    </row>
    <row r="522">
      <c r="A522" s="60"/>
      <c r="B522" s="85"/>
      <c r="C522" s="60"/>
    </row>
    <row r="523">
      <c r="A523" s="60"/>
      <c r="B523" s="85"/>
      <c r="C523" s="60"/>
    </row>
    <row r="524">
      <c r="A524" s="60"/>
      <c r="B524" s="85"/>
      <c r="C524" s="60"/>
    </row>
    <row r="525">
      <c r="A525" s="60"/>
      <c r="B525" s="85"/>
      <c r="C525" s="60"/>
    </row>
    <row r="526">
      <c r="A526" s="60"/>
      <c r="B526" s="85"/>
      <c r="C526" s="60"/>
    </row>
    <row r="527">
      <c r="A527" s="60"/>
      <c r="B527" s="85"/>
      <c r="C527" s="60"/>
    </row>
    <row r="528">
      <c r="A528" s="60"/>
      <c r="B528" s="85"/>
      <c r="C528" s="60"/>
    </row>
    <row r="529">
      <c r="A529" s="60"/>
      <c r="B529" s="85"/>
      <c r="C529" s="60"/>
    </row>
    <row r="530">
      <c r="A530" s="60"/>
      <c r="B530" s="85"/>
      <c r="C530" s="60"/>
    </row>
    <row r="531">
      <c r="A531" s="60"/>
      <c r="B531" s="85"/>
      <c r="C531" s="60"/>
    </row>
    <row r="532">
      <c r="A532" s="60"/>
      <c r="B532" s="85"/>
      <c r="C532" s="60"/>
    </row>
    <row r="533">
      <c r="A533" s="60"/>
      <c r="B533" s="85"/>
      <c r="C533" s="60"/>
    </row>
    <row r="534">
      <c r="A534" s="60"/>
      <c r="B534" s="85"/>
      <c r="C534" s="60"/>
    </row>
    <row r="535">
      <c r="A535" s="60"/>
      <c r="B535" s="85"/>
      <c r="C535" s="60"/>
    </row>
    <row r="536">
      <c r="A536" s="60"/>
      <c r="B536" s="85"/>
      <c r="C536" s="60"/>
    </row>
    <row r="537">
      <c r="A537" s="60"/>
      <c r="B537" s="85"/>
      <c r="C537" s="60"/>
    </row>
    <row r="538">
      <c r="A538" s="60"/>
      <c r="B538" s="85"/>
      <c r="C538" s="60"/>
    </row>
    <row r="539">
      <c r="A539" s="60"/>
      <c r="B539" s="85"/>
      <c r="C539" s="60"/>
    </row>
    <row r="540">
      <c r="A540" s="60"/>
      <c r="B540" s="85"/>
      <c r="C540" s="60"/>
    </row>
    <row r="541">
      <c r="A541" s="60"/>
      <c r="B541" s="85"/>
      <c r="C541" s="60"/>
    </row>
    <row r="542">
      <c r="A542" s="60"/>
      <c r="B542" s="85"/>
      <c r="C542" s="60"/>
    </row>
    <row r="543">
      <c r="A543" s="60"/>
      <c r="B543" s="85"/>
      <c r="C543" s="60"/>
    </row>
    <row r="544">
      <c r="A544" s="60"/>
      <c r="B544" s="85"/>
      <c r="C544" s="60"/>
    </row>
    <row r="545">
      <c r="A545" s="60"/>
      <c r="B545" s="85"/>
      <c r="C545" s="60"/>
    </row>
    <row r="546">
      <c r="A546" s="60"/>
      <c r="B546" s="85"/>
      <c r="C546" s="60"/>
    </row>
    <row r="547">
      <c r="A547" s="60"/>
      <c r="B547" s="85"/>
      <c r="C547" s="60"/>
    </row>
    <row r="548">
      <c r="A548" s="60"/>
      <c r="B548" s="85"/>
      <c r="C548" s="60"/>
    </row>
    <row r="549">
      <c r="A549" s="60"/>
      <c r="B549" s="85"/>
      <c r="C549" s="60"/>
    </row>
    <row r="550">
      <c r="A550" s="60"/>
      <c r="B550" s="85"/>
      <c r="C550" s="60"/>
    </row>
    <row r="551">
      <c r="A551" s="60"/>
      <c r="B551" s="85"/>
      <c r="C551" s="60"/>
    </row>
    <row r="552">
      <c r="A552" s="60"/>
      <c r="B552" s="85"/>
      <c r="C552" s="60"/>
    </row>
    <row r="553">
      <c r="A553" s="60"/>
      <c r="B553" s="85"/>
      <c r="C553" s="60"/>
    </row>
    <row r="554">
      <c r="A554" s="60"/>
      <c r="B554" s="85"/>
      <c r="C554" s="60"/>
    </row>
    <row r="555">
      <c r="A555" s="60"/>
      <c r="B555" s="85"/>
      <c r="C555" s="60"/>
    </row>
    <row r="556">
      <c r="A556" s="60"/>
      <c r="B556" s="85"/>
      <c r="C556" s="60"/>
    </row>
    <row r="557">
      <c r="A557" s="60"/>
      <c r="B557" s="85"/>
      <c r="C557" s="60"/>
    </row>
    <row r="558">
      <c r="A558" s="60"/>
      <c r="B558" s="85"/>
      <c r="C558" s="60"/>
    </row>
    <row r="559">
      <c r="A559" s="60"/>
      <c r="B559" s="85"/>
      <c r="C559" s="60"/>
    </row>
    <row r="560">
      <c r="A560" s="60"/>
      <c r="B560" s="85"/>
      <c r="C560" s="60"/>
    </row>
    <row r="561">
      <c r="A561" s="60"/>
      <c r="B561" s="85"/>
      <c r="C561" s="60"/>
    </row>
    <row r="562">
      <c r="A562" s="60"/>
      <c r="B562" s="85"/>
      <c r="C562" s="60"/>
    </row>
    <row r="563">
      <c r="A563" s="60"/>
      <c r="B563" s="85"/>
      <c r="C563" s="60"/>
    </row>
    <row r="564">
      <c r="A564" s="60"/>
      <c r="B564" s="85"/>
      <c r="C564" s="60"/>
    </row>
    <row r="565">
      <c r="A565" s="60"/>
      <c r="B565" s="85"/>
      <c r="C565" s="60"/>
    </row>
    <row r="566">
      <c r="A566" s="60"/>
      <c r="B566" s="85"/>
      <c r="C566" s="60"/>
    </row>
    <row r="567">
      <c r="A567" s="60"/>
      <c r="B567" s="85"/>
      <c r="C567" s="60"/>
    </row>
    <row r="568">
      <c r="A568" s="60"/>
      <c r="B568" s="85"/>
      <c r="C568" s="60"/>
    </row>
    <row r="569">
      <c r="A569" s="60"/>
      <c r="B569" s="85"/>
      <c r="C569" s="60"/>
    </row>
    <row r="570">
      <c r="A570" s="60"/>
      <c r="B570" s="85"/>
      <c r="C570" s="60"/>
    </row>
    <row r="571">
      <c r="A571" s="60"/>
      <c r="B571" s="85"/>
      <c r="C571" s="60"/>
    </row>
    <row r="572">
      <c r="A572" s="60"/>
      <c r="B572" s="85"/>
      <c r="C572" s="60"/>
    </row>
    <row r="573">
      <c r="A573" s="60"/>
      <c r="B573" s="85"/>
      <c r="C573" s="60"/>
    </row>
    <row r="574">
      <c r="A574" s="60"/>
      <c r="B574" s="85"/>
      <c r="C574" s="60"/>
    </row>
    <row r="575">
      <c r="A575" s="60"/>
      <c r="B575" s="85"/>
      <c r="C575" s="60"/>
    </row>
    <row r="576">
      <c r="A576" s="60"/>
      <c r="B576" s="85"/>
      <c r="C576" s="60"/>
    </row>
    <row r="577">
      <c r="A577" s="60"/>
      <c r="B577" s="85"/>
      <c r="C577" s="60"/>
    </row>
    <row r="578">
      <c r="A578" s="60"/>
      <c r="B578" s="85"/>
      <c r="C578" s="60"/>
    </row>
    <row r="579">
      <c r="A579" s="60"/>
      <c r="B579" s="85"/>
      <c r="C579" s="60"/>
    </row>
    <row r="580">
      <c r="A580" s="60"/>
      <c r="B580" s="85"/>
      <c r="C580" s="60"/>
    </row>
    <row r="581">
      <c r="A581" s="60"/>
      <c r="B581" s="85"/>
      <c r="C581" s="60"/>
    </row>
    <row r="582">
      <c r="A582" s="60"/>
      <c r="B582" s="85"/>
      <c r="C582" s="60"/>
    </row>
    <row r="583">
      <c r="A583" s="60"/>
      <c r="B583" s="85"/>
      <c r="C583" s="60"/>
    </row>
    <row r="584">
      <c r="A584" s="60"/>
      <c r="B584" s="85"/>
      <c r="C584" s="60"/>
    </row>
    <row r="585">
      <c r="A585" s="60"/>
      <c r="B585" s="85"/>
      <c r="C585" s="60"/>
    </row>
    <row r="586">
      <c r="A586" s="60"/>
      <c r="B586" s="85"/>
      <c r="C586" s="60"/>
    </row>
    <row r="587">
      <c r="A587" s="60"/>
      <c r="B587" s="85"/>
      <c r="C587" s="60"/>
    </row>
    <row r="588">
      <c r="A588" s="60"/>
      <c r="B588" s="85"/>
      <c r="C588" s="60"/>
    </row>
    <row r="589">
      <c r="A589" s="60"/>
      <c r="B589" s="85"/>
      <c r="C589" s="60"/>
    </row>
    <row r="590">
      <c r="A590" s="60"/>
      <c r="B590" s="85"/>
      <c r="C590" s="60"/>
    </row>
    <row r="591">
      <c r="A591" s="60"/>
      <c r="B591" s="85"/>
      <c r="C591" s="60"/>
    </row>
    <row r="592">
      <c r="A592" s="60"/>
      <c r="B592" s="85"/>
      <c r="C592" s="60"/>
    </row>
    <row r="593">
      <c r="A593" s="60"/>
      <c r="B593" s="85"/>
      <c r="C593" s="60"/>
    </row>
    <row r="594">
      <c r="A594" s="60"/>
      <c r="B594" s="85"/>
      <c r="C594" s="60"/>
    </row>
    <row r="595">
      <c r="A595" s="60"/>
      <c r="B595" s="85"/>
      <c r="C595" s="60"/>
    </row>
    <row r="596">
      <c r="A596" s="60"/>
      <c r="B596" s="85"/>
      <c r="C596" s="60"/>
    </row>
    <row r="597">
      <c r="A597" s="60"/>
      <c r="B597" s="85"/>
      <c r="C597" s="60"/>
    </row>
    <row r="598">
      <c r="A598" s="60"/>
      <c r="B598" s="85"/>
      <c r="C598" s="60"/>
    </row>
    <row r="599">
      <c r="A599" s="60"/>
      <c r="B599" s="85"/>
      <c r="C599" s="60"/>
    </row>
    <row r="600">
      <c r="A600" s="60"/>
      <c r="B600" s="85"/>
      <c r="C600" s="60"/>
    </row>
    <row r="601">
      <c r="A601" s="60"/>
      <c r="B601" s="85"/>
      <c r="C601" s="60"/>
    </row>
    <row r="602">
      <c r="A602" s="60"/>
      <c r="B602" s="85"/>
      <c r="C602" s="60"/>
    </row>
    <row r="603">
      <c r="A603" s="60"/>
      <c r="B603" s="85"/>
      <c r="C603" s="60"/>
    </row>
    <row r="604">
      <c r="A604" s="60"/>
      <c r="B604" s="85"/>
      <c r="C604" s="60"/>
    </row>
    <row r="605">
      <c r="A605" s="60"/>
      <c r="B605" s="85"/>
      <c r="C605" s="60"/>
    </row>
    <row r="606">
      <c r="A606" s="60"/>
      <c r="B606" s="85"/>
      <c r="C606" s="60"/>
    </row>
    <row r="607">
      <c r="A607" s="60"/>
      <c r="B607" s="85"/>
      <c r="C607" s="60"/>
    </row>
    <row r="608">
      <c r="A608" s="60"/>
      <c r="B608" s="85"/>
      <c r="C608" s="60"/>
    </row>
    <row r="609">
      <c r="A609" s="60"/>
      <c r="B609" s="85"/>
      <c r="C609" s="60"/>
    </row>
    <row r="610">
      <c r="A610" s="60"/>
      <c r="B610" s="85"/>
      <c r="C610" s="60"/>
    </row>
    <row r="611">
      <c r="A611" s="60"/>
      <c r="B611" s="85"/>
      <c r="C611" s="60"/>
    </row>
    <row r="612">
      <c r="A612" s="60"/>
      <c r="B612" s="85"/>
      <c r="C612" s="60"/>
    </row>
    <row r="613">
      <c r="A613" s="60"/>
      <c r="B613" s="85"/>
      <c r="C613" s="60"/>
    </row>
    <row r="614">
      <c r="A614" s="60"/>
      <c r="B614" s="85"/>
      <c r="C614" s="60"/>
    </row>
    <row r="615">
      <c r="A615" s="60"/>
      <c r="B615" s="85"/>
      <c r="C615" s="60"/>
    </row>
    <row r="616">
      <c r="A616" s="60"/>
      <c r="B616" s="85"/>
      <c r="C616" s="60"/>
    </row>
    <row r="617">
      <c r="A617" s="60"/>
      <c r="B617" s="85"/>
      <c r="C617" s="60"/>
    </row>
    <row r="618">
      <c r="A618" s="60"/>
      <c r="B618" s="85"/>
      <c r="C618" s="60"/>
    </row>
    <row r="619">
      <c r="A619" s="60"/>
      <c r="B619" s="85"/>
      <c r="C619" s="60"/>
    </row>
    <row r="620">
      <c r="A620" s="60"/>
      <c r="B620" s="85"/>
      <c r="C620" s="60"/>
    </row>
    <row r="621">
      <c r="A621" s="60"/>
      <c r="B621" s="85"/>
      <c r="C621" s="60"/>
    </row>
    <row r="622">
      <c r="A622" s="60"/>
      <c r="B622" s="85"/>
      <c r="C622" s="60"/>
    </row>
    <row r="623">
      <c r="A623" s="60"/>
      <c r="B623" s="85"/>
      <c r="C623" s="60"/>
    </row>
    <row r="624">
      <c r="A624" s="60"/>
      <c r="B624" s="85"/>
      <c r="C624" s="60"/>
    </row>
    <row r="625">
      <c r="A625" s="60"/>
      <c r="B625" s="85"/>
      <c r="C625" s="60"/>
    </row>
    <row r="626">
      <c r="A626" s="60"/>
      <c r="B626" s="85"/>
      <c r="C626" s="60"/>
    </row>
    <row r="627">
      <c r="A627" s="60"/>
      <c r="B627" s="85"/>
      <c r="C627" s="60"/>
    </row>
    <row r="628">
      <c r="A628" s="60"/>
      <c r="B628" s="85"/>
      <c r="C628" s="60"/>
    </row>
    <row r="629">
      <c r="A629" s="60"/>
      <c r="B629" s="85"/>
      <c r="C629" s="60"/>
    </row>
    <row r="630">
      <c r="A630" s="60"/>
      <c r="B630" s="85"/>
      <c r="C630" s="60"/>
    </row>
    <row r="631">
      <c r="A631" s="60"/>
      <c r="B631" s="85"/>
      <c r="C631" s="60"/>
    </row>
    <row r="632">
      <c r="A632" s="60"/>
      <c r="B632" s="85"/>
      <c r="C632" s="60"/>
    </row>
    <row r="633">
      <c r="A633" s="60"/>
      <c r="B633" s="85"/>
      <c r="C633" s="60"/>
    </row>
    <row r="634">
      <c r="A634" s="60"/>
      <c r="B634" s="85"/>
      <c r="C634" s="60"/>
    </row>
    <row r="635">
      <c r="A635" s="60"/>
      <c r="B635" s="85"/>
      <c r="C635" s="60"/>
    </row>
    <row r="636">
      <c r="A636" s="60"/>
      <c r="B636" s="85"/>
      <c r="C636" s="60"/>
    </row>
    <row r="637">
      <c r="A637" s="60"/>
      <c r="B637" s="85"/>
      <c r="C637" s="60"/>
    </row>
    <row r="638">
      <c r="A638" s="60"/>
      <c r="B638" s="85"/>
      <c r="C638" s="60"/>
    </row>
    <row r="639">
      <c r="A639" s="60"/>
      <c r="B639" s="85"/>
      <c r="C639" s="60"/>
    </row>
    <row r="640">
      <c r="A640" s="60"/>
      <c r="B640" s="85"/>
      <c r="C640" s="60"/>
    </row>
    <row r="641">
      <c r="A641" s="60"/>
      <c r="B641" s="85"/>
      <c r="C641" s="60"/>
    </row>
    <row r="642">
      <c r="A642" s="60"/>
      <c r="B642" s="85"/>
      <c r="C642" s="60"/>
    </row>
    <row r="643">
      <c r="A643" s="60"/>
      <c r="B643" s="85"/>
      <c r="C643" s="60"/>
    </row>
    <row r="644">
      <c r="A644" s="60"/>
      <c r="B644" s="85"/>
      <c r="C644" s="60"/>
    </row>
    <row r="645">
      <c r="A645" s="60"/>
      <c r="B645" s="85"/>
      <c r="C645" s="60"/>
    </row>
    <row r="646">
      <c r="A646" s="60"/>
      <c r="B646" s="85"/>
      <c r="C646" s="60"/>
    </row>
    <row r="647">
      <c r="A647" s="60"/>
      <c r="B647" s="85"/>
      <c r="C647" s="60"/>
    </row>
    <row r="648">
      <c r="A648" s="60"/>
      <c r="B648" s="85"/>
      <c r="C648" s="60"/>
    </row>
    <row r="649">
      <c r="A649" s="60"/>
      <c r="B649" s="85"/>
      <c r="C649" s="60"/>
    </row>
    <row r="650">
      <c r="A650" s="60"/>
      <c r="B650" s="85"/>
      <c r="C650" s="60"/>
    </row>
    <row r="651">
      <c r="A651" s="60"/>
      <c r="B651" s="85"/>
      <c r="C651" s="60"/>
    </row>
    <row r="652">
      <c r="A652" s="60"/>
      <c r="B652" s="85"/>
      <c r="C652" s="60"/>
    </row>
    <row r="653">
      <c r="A653" s="60"/>
      <c r="B653" s="85"/>
      <c r="C653" s="60"/>
    </row>
    <row r="654">
      <c r="A654" s="60"/>
      <c r="B654" s="85"/>
      <c r="C654" s="60"/>
    </row>
    <row r="655">
      <c r="A655" s="60"/>
      <c r="B655" s="85"/>
      <c r="C655" s="60"/>
    </row>
    <row r="656">
      <c r="A656" s="60"/>
      <c r="B656" s="85"/>
      <c r="C656" s="60"/>
    </row>
    <row r="657">
      <c r="A657" s="60"/>
      <c r="B657" s="85"/>
      <c r="C657" s="60"/>
    </row>
    <row r="658">
      <c r="A658" s="60"/>
      <c r="B658" s="85"/>
      <c r="C658" s="60"/>
    </row>
    <row r="659">
      <c r="A659" s="60"/>
      <c r="B659" s="85"/>
      <c r="C659" s="60"/>
    </row>
    <row r="660">
      <c r="A660" s="60"/>
      <c r="B660" s="85"/>
      <c r="C660" s="60"/>
    </row>
    <row r="661">
      <c r="A661" s="60"/>
      <c r="B661" s="85"/>
      <c r="C661" s="60"/>
    </row>
    <row r="662">
      <c r="A662" s="60"/>
      <c r="B662" s="85"/>
      <c r="C662" s="60"/>
    </row>
    <row r="663">
      <c r="A663" s="60"/>
      <c r="B663" s="85"/>
      <c r="C663" s="60"/>
    </row>
    <row r="664">
      <c r="A664" s="60"/>
      <c r="B664" s="85"/>
      <c r="C664" s="60"/>
    </row>
    <row r="665">
      <c r="A665" s="60"/>
      <c r="B665" s="85"/>
      <c r="C665" s="60"/>
    </row>
    <row r="666">
      <c r="A666" s="60"/>
      <c r="B666" s="85"/>
      <c r="C666" s="60"/>
    </row>
    <row r="667">
      <c r="A667" s="60"/>
      <c r="B667" s="85"/>
      <c r="C667" s="60"/>
    </row>
    <row r="668">
      <c r="A668" s="60"/>
      <c r="B668" s="85"/>
      <c r="C668" s="60"/>
    </row>
    <row r="669">
      <c r="A669" s="60"/>
      <c r="B669" s="85"/>
      <c r="C669" s="60"/>
    </row>
    <row r="670">
      <c r="A670" s="60"/>
      <c r="B670" s="85"/>
      <c r="C670" s="60"/>
    </row>
    <row r="671">
      <c r="A671" s="60"/>
      <c r="B671" s="85"/>
      <c r="C671" s="60"/>
    </row>
    <row r="672">
      <c r="A672" s="60"/>
      <c r="B672" s="85"/>
      <c r="C672" s="60"/>
    </row>
    <row r="673">
      <c r="A673" s="60"/>
      <c r="B673" s="85"/>
      <c r="C673" s="60"/>
    </row>
    <row r="674">
      <c r="A674" s="60"/>
      <c r="B674" s="85"/>
      <c r="C674" s="60"/>
    </row>
    <row r="675">
      <c r="A675" s="60"/>
      <c r="B675" s="85"/>
      <c r="C675" s="60"/>
    </row>
    <row r="676">
      <c r="A676" s="60"/>
      <c r="B676" s="85"/>
      <c r="C676" s="60"/>
    </row>
    <row r="677">
      <c r="A677" s="60"/>
      <c r="B677" s="85"/>
      <c r="C677" s="60"/>
    </row>
    <row r="678">
      <c r="A678" s="60"/>
      <c r="B678" s="85"/>
      <c r="C678" s="60"/>
    </row>
    <row r="679">
      <c r="A679" s="60"/>
      <c r="B679" s="85"/>
      <c r="C679" s="60"/>
    </row>
    <row r="680">
      <c r="A680" s="60"/>
      <c r="B680" s="85"/>
      <c r="C680" s="60"/>
    </row>
    <row r="681">
      <c r="A681" s="60"/>
      <c r="B681" s="85"/>
      <c r="C681" s="60"/>
    </row>
    <row r="682">
      <c r="A682" s="60"/>
      <c r="B682" s="85"/>
      <c r="C682" s="60"/>
    </row>
    <row r="683">
      <c r="A683" s="60"/>
      <c r="B683" s="85"/>
      <c r="C683" s="60"/>
    </row>
    <row r="684">
      <c r="A684" s="60"/>
      <c r="B684" s="85"/>
      <c r="C684" s="60"/>
    </row>
    <row r="685">
      <c r="A685" s="60"/>
      <c r="B685" s="85"/>
      <c r="C685" s="60"/>
    </row>
    <row r="686">
      <c r="A686" s="60"/>
      <c r="B686" s="85"/>
      <c r="C686" s="60"/>
    </row>
    <row r="687">
      <c r="A687" s="60"/>
      <c r="B687" s="85"/>
      <c r="C687" s="60"/>
    </row>
    <row r="688">
      <c r="A688" s="60"/>
      <c r="B688" s="85"/>
      <c r="C688" s="60"/>
    </row>
    <row r="689">
      <c r="A689" s="60"/>
      <c r="B689" s="85"/>
      <c r="C689" s="60"/>
    </row>
    <row r="690">
      <c r="A690" s="60"/>
      <c r="B690" s="85"/>
      <c r="C690" s="60"/>
    </row>
    <row r="691">
      <c r="A691" s="60"/>
      <c r="B691" s="85"/>
      <c r="C691" s="60"/>
    </row>
    <row r="692">
      <c r="A692" s="60"/>
      <c r="B692" s="85"/>
      <c r="C692" s="60"/>
    </row>
    <row r="693">
      <c r="A693" s="60"/>
      <c r="B693" s="85"/>
      <c r="C693" s="60"/>
    </row>
    <row r="694">
      <c r="A694" s="60"/>
      <c r="B694" s="85"/>
      <c r="C694" s="60"/>
    </row>
    <row r="695">
      <c r="A695" s="60"/>
      <c r="B695" s="85"/>
      <c r="C695" s="60"/>
    </row>
    <row r="696">
      <c r="A696" s="60"/>
      <c r="B696" s="85"/>
      <c r="C696" s="60"/>
    </row>
    <row r="697">
      <c r="A697" s="60"/>
      <c r="B697" s="85"/>
      <c r="C697" s="60"/>
    </row>
    <row r="698">
      <c r="A698" s="60"/>
      <c r="B698" s="85"/>
      <c r="C698" s="60"/>
    </row>
    <row r="699">
      <c r="A699" s="60"/>
      <c r="B699" s="85"/>
      <c r="C699" s="60"/>
    </row>
    <row r="700">
      <c r="A700" s="60"/>
      <c r="B700" s="85"/>
      <c r="C700" s="60"/>
    </row>
    <row r="701">
      <c r="A701" s="60"/>
      <c r="B701" s="85"/>
      <c r="C701" s="60"/>
    </row>
    <row r="702">
      <c r="A702" s="60"/>
      <c r="B702" s="85"/>
      <c r="C702" s="60"/>
    </row>
    <row r="703">
      <c r="A703" s="60"/>
      <c r="B703" s="85"/>
      <c r="C703" s="60"/>
    </row>
    <row r="704">
      <c r="A704" s="60"/>
      <c r="B704" s="85"/>
      <c r="C704" s="60"/>
    </row>
    <row r="705">
      <c r="A705" s="60"/>
      <c r="B705" s="85"/>
      <c r="C705" s="60"/>
    </row>
    <row r="706">
      <c r="A706" s="60"/>
      <c r="B706" s="85"/>
      <c r="C706" s="60"/>
    </row>
    <row r="707">
      <c r="A707" s="60"/>
      <c r="B707" s="85"/>
      <c r="C707" s="60"/>
    </row>
    <row r="708">
      <c r="A708" s="60"/>
      <c r="B708" s="85"/>
      <c r="C708" s="60"/>
    </row>
    <row r="709">
      <c r="A709" s="60"/>
      <c r="B709" s="85"/>
      <c r="C709" s="60"/>
    </row>
    <row r="710">
      <c r="A710" s="60"/>
      <c r="B710" s="85"/>
      <c r="C710" s="60"/>
    </row>
    <row r="711">
      <c r="A711" s="60"/>
      <c r="B711" s="85"/>
      <c r="C711" s="60"/>
    </row>
    <row r="712">
      <c r="A712" s="60"/>
      <c r="B712" s="85"/>
      <c r="C712" s="60"/>
    </row>
    <row r="713">
      <c r="A713" s="60"/>
      <c r="B713" s="85"/>
      <c r="C713" s="60"/>
    </row>
    <row r="714">
      <c r="A714" s="60"/>
      <c r="B714" s="85"/>
      <c r="C714" s="60"/>
    </row>
    <row r="715">
      <c r="A715" s="60"/>
      <c r="B715" s="85"/>
      <c r="C715" s="60"/>
    </row>
    <row r="716">
      <c r="A716" s="60"/>
      <c r="B716" s="85"/>
      <c r="C716" s="60"/>
    </row>
    <row r="717">
      <c r="A717" s="60"/>
      <c r="B717" s="85"/>
      <c r="C717" s="60"/>
    </row>
    <row r="718">
      <c r="A718" s="60"/>
      <c r="B718" s="85"/>
      <c r="C718" s="60"/>
    </row>
    <row r="719">
      <c r="A719" s="60"/>
      <c r="B719" s="85"/>
      <c r="C719" s="60"/>
    </row>
    <row r="720">
      <c r="A720" s="60"/>
      <c r="B720" s="85"/>
      <c r="C720" s="60"/>
    </row>
    <row r="721">
      <c r="A721" s="60"/>
      <c r="B721" s="85"/>
      <c r="C721" s="60"/>
    </row>
    <row r="722">
      <c r="A722" s="60"/>
      <c r="B722" s="85"/>
      <c r="C722" s="60"/>
    </row>
    <row r="723">
      <c r="A723" s="60"/>
      <c r="B723" s="85"/>
      <c r="C723" s="60"/>
    </row>
    <row r="724">
      <c r="A724" s="60"/>
      <c r="B724" s="85"/>
      <c r="C724" s="60"/>
    </row>
    <row r="725">
      <c r="A725" s="60"/>
      <c r="B725" s="85"/>
      <c r="C725" s="60"/>
    </row>
    <row r="726">
      <c r="A726" s="60"/>
      <c r="B726" s="85"/>
      <c r="C726" s="60"/>
    </row>
    <row r="727">
      <c r="A727" s="60"/>
      <c r="B727" s="85"/>
      <c r="C727" s="60"/>
    </row>
    <row r="728">
      <c r="A728" s="60"/>
      <c r="B728" s="85"/>
      <c r="C728" s="60"/>
    </row>
    <row r="729">
      <c r="A729" s="60"/>
      <c r="B729" s="85"/>
      <c r="C729" s="60"/>
    </row>
    <row r="730">
      <c r="A730" s="60"/>
      <c r="B730" s="85"/>
      <c r="C730" s="60"/>
    </row>
    <row r="731">
      <c r="A731" s="60"/>
      <c r="B731" s="85"/>
      <c r="C731" s="60"/>
    </row>
    <row r="732">
      <c r="A732" s="60"/>
      <c r="B732" s="85"/>
      <c r="C732" s="60"/>
    </row>
    <row r="733">
      <c r="A733" s="60"/>
      <c r="B733" s="85"/>
      <c r="C733" s="60"/>
    </row>
    <row r="734">
      <c r="A734" s="60"/>
      <c r="B734" s="85"/>
      <c r="C734" s="60"/>
    </row>
    <row r="735">
      <c r="A735" s="60"/>
      <c r="B735" s="85"/>
      <c r="C735" s="60"/>
    </row>
    <row r="736">
      <c r="A736" s="60"/>
      <c r="B736" s="85"/>
      <c r="C736" s="60"/>
    </row>
    <row r="737">
      <c r="A737" s="60"/>
      <c r="B737" s="85"/>
      <c r="C737" s="60"/>
    </row>
    <row r="738">
      <c r="A738" s="60"/>
      <c r="B738" s="85"/>
      <c r="C738" s="60"/>
    </row>
    <row r="739">
      <c r="A739" s="60"/>
      <c r="B739" s="85"/>
      <c r="C739" s="60"/>
    </row>
    <row r="740">
      <c r="A740" s="60"/>
      <c r="B740" s="85"/>
      <c r="C740" s="60"/>
    </row>
    <row r="741">
      <c r="A741" s="60"/>
      <c r="B741" s="85"/>
      <c r="C741" s="60"/>
    </row>
    <row r="742">
      <c r="A742" s="60"/>
      <c r="B742" s="85"/>
      <c r="C742" s="60"/>
    </row>
    <row r="743">
      <c r="A743" s="60"/>
      <c r="B743" s="85"/>
      <c r="C743" s="60"/>
    </row>
    <row r="744">
      <c r="A744" s="60"/>
      <c r="B744" s="85"/>
      <c r="C744" s="60"/>
    </row>
    <row r="745">
      <c r="A745" s="60"/>
      <c r="B745" s="85"/>
      <c r="C745" s="60"/>
    </row>
    <row r="746">
      <c r="A746" s="60"/>
      <c r="B746" s="85"/>
      <c r="C746" s="60"/>
    </row>
    <row r="747">
      <c r="A747" s="60"/>
      <c r="B747" s="85"/>
      <c r="C747" s="60"/>
    </row>
    <row r="748">
      <c r="A748" s="60"/>
      <c r="B748" s="85"/>
      <c r="C748" s="60"/>
    </row>
    <row r="749">
      <c r="A749" s="60"/>
      <c r="B749" s="85"/>
      <c r="C749" s="60"/>
    </row>
    <row r="750">
      <c r="A750" s="60"/>
      <c r="B750" s="85"/>
      <c r="C750" s="60"/>
    </row>
    <row r="751">
      <c r="A751" s="60"/>
      <c r="B751" s="85"/>
      <c r="C751" s="60"/>
    </row>
    <row r="752">
      <c r="A752" s="60"/>
      <c r="B752" s="85"/>
      <c r="C752" s="60"/>
    </row>
    <row r="753">
      <c r="A753" s="60"/>
      <c r="B753" s="85"/>
      <c r="C753" s="60"/>
    </row>
    <row r="754">
      <c r="A754" s="60"/>
      <c r="B754" s="85"/>
      <c r="C754" s="60"/>
    </row>
    <row r="755">
      <c r="A755" s="60"/>
      <c r="B755" s="85"/>
      <c r="C755" s="60"/>
    </row>
    <row r="756">
      <c r="A756" s="60"/>
      <c r="B756" s="85"/>
      <c r="C756" s="60"/>
    </row>
    <row r="757">
      <c r="A757" s="60"/>
      <c r="B757" s="85"/>
      <c r="C757" s="60"/>
    </row>
    <row r="758">
      <c r="A758" s="60"/>
      <c r="B758" s="85"/>
      <c r="C758" s="60"/>
    </row>
    <row r="759">
      <c r="A759" s="60"/>
      <c r="B759" s="85"/>
      <c r="C759" s="60"/>
    </row>
    <row r="760">
      <c r="A760" s="60"/>
      <c r="B760" s="85"/>
      <c r="C760" s="60"/>
    </row>
    <row r="761">
      <c r="A761" s="60"/>
      <c r="B761" s="85"/>
      <c r="C761" s="60"/>
    </row>
    <row r="762">
      <c r="A762" s="60"/>
      <c r="B762" s="85"/>
      <c r="C762" s="60"/>
    </row>
    <row r="763">
      <c r="A763" s="60"/>
      <c r="B763" s="85"/>
      <c r="C763" s="60"/>
    </row>
    <row r="764">
      <c r="A764" s="60"/>
      <c r="B764" s="85"/>
      <c r="C764" s="60"/>
    </row>
    <row r="765">
      <c r="A765" s="60"/>
      <c r="B765" s="85"/>
      <c r="C765" s="60"/>
    </row>
    <row r="766">
      <c r="A766" s="60"/>
      <c r="B766" s="85"/>
      <c r="C766" s="60"/>
    </row>
    <row r="767">
      <c r="A767" s="60"/>
      <c r="B767" s="85"/>
      <c r="C767" s="60"/>
    </row>
    <row r="768">
      <c r="A768" s="60"/>
      <c r="B768" s="85"/>
      <c r="C768" s="60"/>
    </row>
    <row r="769">
      <c r="A769" s="60"/>
      <c r="B769" s="85"/>
      <c r="C769" s="60"/>
    </row>
    <row r="770">
      <c r="A770" s="60"/>
      <c r="B770" s="85"/>
      <c r="C770" s="60"/>
    </row>
    <row r="771">
      <c r="A771" s="60"/>
      <c r="B771" s="85"/>
      <c r="C771" s="60"/>
    </row>
    <row r="772">
      <c r="A772" s="60"/>
      <c r="B772" s="85"/>
      <c r="C772" s="60"/>
    </row>
    <row r="773">
      <c r="A773" s="60"/>
      <c r="B773" s="85"/>
      <c r="C773" s="60"/>
    </row>
    <row r="774">
      <c r="A774" s="60"/>
      <c r="B774" s="85"/>
      <c r="C774" s="60"/>
    </row>
    <row r="775">
      <c r="A775" s="60"/>
      <c r="B775" s="85"/>
      <c r="C775" s="60"/>
    </row>
    <row r="776">
      <c r="A776" s="60"/>
      <c r="B776" s="85"/>
      <c r="C776" s="60"/>
    </row>
    <row r="777">
      <c r="A777" s="60"/>
      <c r="B777" s="85"/>
      <c r="C777" s="60"/>
    </row>
    <row r="778">
      <c r="A778" s="60"/>
      <c r="B778" s="85"/>
      <c r="C778" s="60"/>
    </row>
    <row r="779">
      <c r="A779" s="60"/>
      <c r="B779" s="85"/>
      <c r="C779" s="60"/>
    </row>
    <row r="780">
      <c r="A780" s="60"/>
      <c r="B780" s="85"/>
      <c r="C780" s="60"/>
    </row>
    <row r="781">
      <c r="A781" s="60"/>
      <c r="B781" s="85"/>
      <c r="C781" s="60"/>
    </row>
    <row r="782">
      <c r="A782" s="60"/>
      <c r="B782" s="85"/>
      <c r="C782" s="60"/>
    </row>
    <row r="783">
      <c r="A783" s="60"/>
      <c r="B783" s="85"/>
      <c r="C783" s="60"/>
    </row>
    <row r="784">
      <c r="A784" s="60"/>
      <c r="B784" s="85"/>
      <c r="C784" s="60"/>
    </row>
    <row r="785">
      <c r="A785" s="60"/>
      <c r="B785" s="85"/>
      <c r="C785" s="60"/>
    </row>
    <row r="786">
      <c r="A786" s="60"/>
      <c r="B786" s="85"/>
      <c r="C786" s="60"/>
    </row>
    <row r="787">
      <c r="A787" s="60"/>
      <c r="B787" s="85"/>
      <c r="C787" s="60"/>
    </row>
    <row r="788">
      <c r="A788" s="60"/>
      <c r="B788" s="85"/>
      <c r="C788" s="60"/>
    </row>
    <row r="789">
      <c r="A789" s="60"/>
      <c r="B789" s="85"/>
      <c r="C789" s="60"/>
    </row>
    <row r="790">
      <c r="A790" s="60"/>
      <c r="B790" s="85"/>
      <c r="C790" s="60"/>
    </row>
    <row r="791">
      <c r="A791" s="60"/>
      <c r="B791" s="85"/>
      <c r="C791" s="60"/>
    </row>
    <row r="792">
      <c r="A792" s="60"/>
      <c r="B792" s="85"/>
      <c r="C792" s="60"/>
    </row>
    <row r="793">
      <c r="A793" s="60"/>
      <c r="B793" s="85"/>
      <c r="C793" s="60"/>
    </row>
    <row r="794">
      <c r="A794" s="60"/>
      <c r="B794" s="85"/>
      <c r="C794" s="60"/>
    </row>
    <row r="795">
      <c r="A795" s="60"/>
      <c r="B795" s="85"/>
      <c r="C795" s="60"/>
    </row>
    <row r="796">
      <c r="A796" s="60"/>
      <c r="B796" s="85"/>
      <c r="C796" s="60"/>
    </row>
    <row r="797">
      <c r="A797" s="60"/>
      <c r="B797" s="85"/>
      <c r="C797" s="60"/>
    </row>
    <row r="798">
      <c r="A798" s="60"/>
      <c r="B798" s="85"/>
      <c r="C798" s="60"/>
    </row>
    <row r="799">
      <c r="A799" s="60"/>
      <c r="B799" s="85"/>
      <c r="C799" s="60"/>
    </row>
    <row r="800">
      <c r="A800" s="60"/>
      <c r="B800" s="85"/>
      <c r="C800" s="60"/>
    </row>
    <row r="801">
      <c r="A801" s="60"/>
      <c r="B801" s="85"/>
      <c r="C801" s="60"/>
    </row>
    <row r="802">
      <c r="A802" s="60"/>
      <c r="B802" s="85"/>
      <c r="C802" s="60"/>
    </row>
    <row r="803">
      <c r="A803" s="60"/>
      <c r="B803" s="85"/>
      <c r="C803" s="60"/>
    </row>
    <row r="804">
      <c r="A804" s="60"/>
      <c r="B804" s="85"/>
      <c r="C804" s="60"/>
    </row>
    <row r="805">
      <c r="A805" s="60"/>
      <c r="B805" s="85"/>
      <c r="C805" s="60"/>
    </row>
    <row r="806">
      <c r="A806" s="60"/>
      <c r="B806" s="85"/>
      <c r="C806" s="60"/>
    </row>
    <row r="807">
      <c r="A807" s="60"/>
      <c r="B807" s="85"/>
      <c r="C807" s="60"/>
    </row>
    <row r="808">
      <c r="A808" s="60"/>
      <c r="B808" s="85"/>
      <c r="C808" s="60"/>
    </row>
    <row r="809">
      <c r="A809" s="60"/>
      <c r="B809" s="85"/>
      <c r="C809" s="60"/>
    </row>
    <row r="810">
      <c r="A810" s="60"/>
      <c r="B810" s="85"/>
      <c r="C810" s="60"/>
    </row>
    <row r="811">
      <c r="A811" s="60"/>
      <c r="B811" s="85"/>
      <c r="C811" s="60"/>
    </row>
    <row r="812">
      <c r="A812" s="60"/>
      <c r="B812" s="85"/>
      <c r="C812" s="60"/>
    </row>
    <row r="813">
      <c r="A813" s="60"/>
      <c r="B813" s="85"/>
      <c r="C813" s="60"/>
    </row>
    <row r="814">
      <c r="A814" s="60"/>
      <c r="B814" s="85"/>
      <c r="C814" s="60"/>
    </row>
    <row r="815">
      <c r="A815" s="60"/>
      <c r="B815" s="85"/>
      <c r="C815" s="60"/>
    </row>
    <row r="816">
      <c r="A816" s="60"/>
      <c r="B816" s="85"/>
      <c r="C816" s="60"/>
    </row>
    <row r="817">
      <c r="A817" s="60"/>
      <c r="B817" s="85"/>
      <c r="C817" s="60"/>
    </row>
    <row r="818">
      <c r="A818" s="60"/>
      <c r="B818" s="85"/>
      <c r="C818" s="60"/>
    </row>
    <row r="819">
      <c r="A819" s="60"/>
      <c r="B819" s="85"/>
      <c r="C819" s="60"/>
    </row>
    <row r="820">
      <c r="A820" s="60"/>
      <c r="B820" s="85"/>
      <c r="C820" s="60"/>
    </row>
    <row r="821">
      <c r="A821" s="60"/>
      <c r="B821" s="85"/>
      <c r="C821" s="60"/>
    </row>
    <row r="822">
      <c r="A822" s="60"/>
      <c r="B822" s="85"/>
      <c r="C822" s="60"/>
    </row>
    <row r="823">
      <c r="A823" s="60"/>
      <c r="B823" s="85"/>
      <c r="C823" s="60"/>
    </row>
    <row r="824">
      <c r="A824" s="60"/>
      <c r="B824" s="85"/>
      <c r="C824" s="60"/>
    </row>
    <row r="825">
      <c r="A825" s="60"/>
      <c r="B825" s="85"/>
      <c r="C825" s="60"/>
    </row>
    <row r="826">
      <c r="A826" s="60"/>
      <c r="B826" s="85"/>
      <c r="C826" s="60"/>
    </row>
    <row r="827">
      <c r="A827" s="60"/>
      <c r="B827" s="85"/>
      <c r="C827" s="60"/>
    </row>
    <row r="828">
      <c r="A828" s="60"/>
      <c r="B828" s="85"/>
      <c r="C828" s="60"/>
    </row>
    <row r="829">
      <c r="A829" s="60"/>
      <c r="B829" s="85"/>
      <c r="C829" s="60"/>
    </row>
    <row r="830">
      <c r="A830" s="60"/>
      <c r="B830" s="85"/>
      <c r="C830" s="60"/>
    </row>
    <row r="831">
      <c r="A831" s="60"/>
      <c r="B831" s="85"/>
      <c r="C831" s="60"/>
    </row>
    <row r="832">
      <c r="A832" s="60"/>
      <c r="B832" s="85"/>
      <c r="C832" s="60"/>
    </row>
    <row r="833">
      <c r="A833" s="60"/>
      <c r="B833" s="85"/>
      <c r="C833" s="60"/>
    </row>
    <row r="834">
      <c r="A834" s="60"/>
      <c r="B834" s="85"/>
      <c r="C834" s="60"/>
    </row>
    <row r="835">
      <c r="A835" s="60"/>
      <c r="B835" s="85"/>
      <c r="C835" s="60"/>
    </row>
    <row r="836">
      <c r="A836" s="60"/>
      <c r="B836" s="85"/>
      <c r="C836" s="60"/>
    </row>
    <row r="837">
      <c r="A837" s="60"/>
      <c r="B837" s="85"/>
      <c r="C837" s="60"/>
    </row>
    <row r="838">
      <c r="A838" s="60"/>
      <c r="B838" s="85"/>
      <c r="C838" s="60"/>
    </row>
    <row r="839">
      <c r="A839" s="60"/>
      <c r="B839" s="85"/>
      <c r="C839" s="60"/>
    </row>
    <row r="840">
      <c r="A840" s="60"/>
      <c r="B840" s="85"/>
      <c r="C840" s="60"/>
    </row>
    <row r="841">
      <c r="A841" s="60"/>
      <c r="B841" s="85"/>
      <c r="C841" s="60"/>
    </row>
    <row r="842">
      <c r="A842" s="60"/>
      <c r="B842" s="85"/>
      <c r="C842" s="60"/>
    </row>
    <row r="843">
      <c r="A843" s="60"/>
      <c r="B843" s="85"/>
      <c r="C843" s="60"/>
    </row>
    <row r="844">
      <c r="A844" s="60"/>
      <c r="B844" s="85"/>
      <c r="C844" s="60"/>
    </row>
    <row r="845">
      <c r="A845" s="60"/>
      <c r="B845" s="85"/>
      <c r="C845" s="60"/>
    </row>
    <row r="846">
      <c r="A846" s="60"/>
      <c r="B846" s="85"/>
      <c r="C846" s="60"/>
    </row>
    <row r="847">
      <c r="A847" s="60"/>
      <c r="B847" s="85"/>
      <c r="C847" s="60"/>
    </row>
    <row r="848">
      <c r="A848" s="60"/>
      <c r="B848" s="85"/>
      <c r="C848" s="60"/>
    </row>
    <row r="849">
      <c r="A849" s="60"/>
      <c r="B849" s="85"/>
      <c r="C849" s="60"/>
    </row>
    <row r="850">
      <c r="A850" s="60"/>
      <c r="B850" s="85"/>
      <c r="C850" s="60"/>
    </row>
    <row r="851">
      <c r="A851" s="60"/>
      <c r="B851" s="85"/>
      <c r="C851" s="60"/>
    </row>
    <row r="852">
      <c r="A852" s="60"/>
      <c r="B852" s="85"/>
      <c r="C852" s="60"/>
    </row>
    <row r="853">
      <c r="A853" s="60"/>
      <c r="B853" s="85"/>
      <c r="C853" s="60"/>
    </row>
    <row r="854">
      <c r="A854" s="60"/>
      <c r="B854" s="85"/>
      <c r="C854" s="60"/>
    </row>
    <row r="855">
      <c r="A855" s="60"/>
      <c r="B855" s="85"/>
      <c r="C855" s="60"/>
    </row>
    <row r="856">
      <c r="A856" s="60"/>
      <c r="B856" s="85"/>
      <c r="C856" s="60"/>
    </row>
    <row r="857">
      <c r="A857" s="60"/>
      <c r="B857" s="85"/>
      <c r="C857" s="60"/>
    </row>
    <row r="858">
      <c r="A858" s="60"/>
      <c r="B858" s="85"/>
      <c r="C858" s="60"/>
    </row>
    <row r="859">
      <c r="A859" s="60"/>
      <c r="B859" s="85"/>
      <c r="C859" s="60"/>
    </row>
    <row r="860">
      <c r="A860" s="60"/>
      <c r="B860" s="85"/>
      <c r="C860" s="60"/>
    </row>
    <row r="861">
      <c r="A861" s="60"/>
      <c r="B861" s="85"/>
      <c r="C861" s="60"/>
    </row>
    <row r="862">
      <c r="A862" s="60"/>
      <c r="B862" s="85"/>
      <c r="C862" s="60"/>
    </row>
    <row r="863">
      <c r="A863" s="60"/>
      <c r="B863" s="85"/>
      <c r="C863" s="60"/>
    </row>
    <row r="864">
      <c r="A864" s="60"/>
      <c r="B864" s="85"/>
      <c r="C864" s="60"/>
    </row>
    <row r="865">
      <c r="A865" s="60"/>
      <c r="B865" s="85"/>
      <c r="C865" s="60"/>
    </row>
    <row r="866">
      <c r="A866" s="60"/>
      <c r="B866" s="85"/>
      <c r="C866" s="60"/>
    </row>
    <row r="867">
      <c r="A867" s="60"/>
      <c r="B867" s="85"/>
      <c r="C867" s="60"/>
    </row>
    <row r="868">
      <c r="A868" s="60"/>
      <c r="B868" s="85"/>
      <c r="C868" s="60"/>
    </row>
    <row r="869">
      <c r="A869" s="60"/>
      <c r="B869" s="85"/>
      <c r="C869" s="60"/>
    </row>
    <row r="870">
      <c r="A870" s="60"/>
      <c r="B870" s="85"/>
      <c r="C870" s="60"/>
    </row>
    <row r="871">
      <c r="A871" s="60"/>
      <c r="B871" s="85"/>
      <c r="C871" s="60"/>
    </row>
    <row r="872">
      <c r="A872" s="60"/>
      <c r="B872" s="85"/>
      <c r="C872" s="60"/>
    </row>
    <row r="873">
      <c r="A873" s="60"/>
      <c r="B873" s="85"/>
      <c r="C873" s="60"/>
    </row>
    <row r="874">
      <c r="A874" s="60"/>
      <c r="B874" s="85"/>
      <c r="C874" s="60"/>
    </row>
    <row r="875">
      <c r="A875" s="60"/>
      <c r="B875" s="85"/>
      <c r="C875" s="60"/>
    </row>
    <row r="876">
      <c r="A876" s="60"/>
      <c r="B876" s="85"/>
      <c r="C876" s="60"/>
    </row>
    <row r="877">
      <c r="A877" s="60"/>
      <c r="B877" s="85"/>
      <c r="C877" s="60"/>
    </row>
    <row r="878">
      <c r="A878" s="60"/>
      <c r="B878" s="85"/>
      <c r="C878" s="60"/>
    </row>
    <row r="879">
      <c r="A879" s="60"/>
      <c r="B879" s="85"/>
      <c r="C879" s="60"/>
    </row>
    <row r="880">
      <c r="A880" s="60"/>
      <c r="B880" s="85"/>
      <c r="C880" s="60"/>
    </row>
    <row r="881">
      <c r="A881" s="60"/>
      <c r="B881" s="85"/>
      <c r="C881" s="60"/>
    </row>
    <row r="882">
      <c r="A882" s="60"/>
      <c r="B882" s="85"/>
      <c r="C882" s="60"/>
    </row>
    <row r="883">
      <c r="A883" s="60"/>
      <c r="B883" s="85"/>
      <c r="C883" s="60"/>
    </row>
    <row r="884">
      <c r="A884" s="60"/>
      <c r="B884" s="85"/>
      <c r="C884" s="60"/>
    </row>
    <row r="885">
      <c r="A885" s="60"/>
      <c r="B885" s="85"/>
      <c r="C885" s="60"/>
    </row>
    <row r="886">
      <c r="A886" s="60"/>
      <c r="B886" s="85"/>
      <c r="C886" s="60"/>
    </row>
    <row r="887">
      <c r="A887" s="60"/>
      <c r="B887" s="85"/>
      <c r="C887" s="60"/>
    </row>
    <row r="888">
      <c r="A888" s="60"/>
      <c r="B888" s="85"/>
      <c r="C888" s="60"/>
    </row>
    <row r="889">
      <c r="A889" s="60"/>
      <c r="B889" s="85"/>
      <c r="C889" s="60"/>
    </row>
    <row r="890">
      <c r="A890" s="60"/>
      <c r="B890" s="85"/>
      <c r="C890" s="60"/>
    </row>
    <row r="891">
      <c r="A891" s="60"/>
      <c r="B891" s="85"/>
      <c r="C891" s="60"/>
    </row>
    <row r="892">
      <c r="A892" s="60"/>
      <c r="B892" s="85"/>
      <c r="C892" s="60"/>
    </row>
    <row r="893">
      <c r="A893" s="60"/>
      <c r="B893" s="85"/>
      <c r="C893" s="60"/>
    </row>
    <row r="894">
      <c r="A894" s="60"/>
      <c r="B894" s="85"/>
      <c r="C894" s="60"/>
    </row>
    <row r="895">
      <c r="A895" s="60"/>
      <c r="B895" s="85"/>
      <c r="C895" s="60"/>
    </row>
    <row r="896">
      <c r="A896" s="60"/>
      <c r="B896" s="85"/>
      <c r="C896" s="60"/>
    </row>
    <row r="897">
      <c r="A897" s="60"/>
      <c r="B897" s="85"/>
      <c r="C897" s="60"/>
    </row>
    <row r="898">
      <c r="A898" s="60"/>
      <c r="B898" s="85"/>
      <c r="C898" s="60"/>
    </row>
    <row r="899">
      <c r="A899" s="60"/>
      <c r="B899" s="85"/>
      <c r="C899" s="60"/>
    </row>
    <row r="900">
      <c r="A900" s="60"/>
      <c r="B900" s="85"/>
      <c r="C900" s="60"/>
    </row>
    <row r="901">
      <c r="A901" s="60"/>
      <c r="B901" s="85"/>
      <c r="C901" s="60"/>
    </row>
    <row r="902">
      <c r="A902" s="60"/>
      <c r="B902" s="85"/>
      <c r="C902" s="60"/>
    </row>
    <row r="903">
      <c r="A903" s="60"/>
      <c r="B903" s="85"/>
      <c r="C903" s="60"/>
    </row>
    <row r="904">
      <c r="A904" s="60"/>
      <c r="B904" s="85"/>
      <c r="C904" s="60"/>
    </row>
    <row r="905">
      <c r="A905" s="60"/>
      <c r="B905" s="85"/>
      <c r="C905" s="60"/>
    </row>
    <row r="906">
      <c r="A906" s="60"/>
      <c r="B906" s="85"/>
      <c r="C906" s="60"/>
    </row>
    <row r="907">
      <c r="A907" s="60"/>
      <c r="B907" s="85"/>
      <c r="C907" s="60"/>
    </row>
    <row r="908">
      <c r="A908" s="60"/>
      <c r="B908" s="85"/>
      <c r="C908" s="60"/>
    </row>
    <row r="909">
      <c r="A909" s="60"/>
      <c r="B909" s="85"/>
      <c r="C909" s="60"/>
    </row>
    <row r="910">
      <c r="A910" s="60"/>
      <c r="B910" s="85"/>
      <c r="C910" s="60"/>
    </row>
    <row r="911">
      <c r="A911" s="60"/>
      <c r="B911" s="85"/>
      <c r="C911" s="60"/>
    </row>
    <row r="912">
      <c r="A912" s="60"/>
      <c r="B912" s="85"/>
      <c r="C912" s="60"/>
    </row>
    <row r="913">
      <c r="A913" s="60"/>
      <c r="B913" s="85"/>
      <c r="C913" s="60"/>
    </row>
    <row r="914">
      <c r="A914" s="60"/>
      <c r="B914" s="85"/>
      <c r="C914" s="60"/>
    </row>
    <row r="915">
      <c r="A915" s="60"/>
      <c r="B915" s="85"/>
      <c r="C915" s="60"/>
    </row>
    <row r="916">
      <c r="A916" s="60"/>
      <c r="B916" s="85"/>
      <c r="C916" s="60"/>
    </row>
    <row r="917">
      <c r="A917" s="60"/>
      <c r="B917" s="85"/>
      <c r="C917" s="60"/>
    </row>
    <row r="918">
      <c r="A918" s="60"/>
      <c r="B918" s="85"/>
      <c r="C918" s="60"/>
    </row>
    <row r="919">
      <c r="A919" s="60"/>
      <c r="B919" s="85"/>
      <c r="C919" s="60"/>
    </row>
    <row r="920">
      <c r="A920" s="60"/>
      <c r="B920" s="85"/>
      <c r="C920" s="60"/>
    </row>
    <row r="921">
      <c r="A921" s="60"/>
      <c r="B921" s="85"/>
      <c r="C921" s="60"/>
    </row>
    <row r="922">
      <c r="A922" s="60"/>
      <c r="B922" s="85"/>
      <c r="C922" s="60"/>
    </row>
    <row r="923">
      <c r="A923" s="60"/>
      <c r="B923" s="85"/>
      <c r="C923" s="60"/>
    </row>
    <row r="924">
      <c r="A924" s="60"/>
      <c r="B924" s="85"/>
      <c r="C924" s="60"/>
    </row>
    <row r="925">
      <c r="A925" s="60"/>
      <c r="B925" s="85"/>
      <c r="C925" s="60"/>
    </row>
    <row r="926">
      <c r="A926" s="60"/>
      <c r="B926" s="85"/>
      <c r="C926" s="60"/>
    </row>
    <row r="927">
      <c r="A927" s="60"/>
      <c r="B927" s="85"/>
      <c r="C927" s="60"/>
    </row>
    <row r="928">
      <c r="A928" s="60"/>
      <c r="B928" s="85"/>
      <c r="C928" s="60"/>
    </row>
    <row r="929">
      <c r="A929" s="60"/>
      <c r="B929" s="85"/>
      <c r="C929" s="60"/>
    </row>
    <row r="930">
      <c r="A930" s="60"/>
      <c r="B930" s="85"/>
      <c r="C930" s="60"/>
    </row>
    <row r="931">
      <c r="A931" s="60"/>
      <c r="B931" s="85"/>
      <c r="C931" s="60"/>
    </row>
    <row r="932">
      <c r="A932" s="60"/>
      <c r="B932" s="85"/>
      <c r="C932" s="60"/>
    </row>
    <row r="933">
      <c r="A933" s="60"/>
      <c r="B933" s="85"/>
      <c r="C933" s="60"/>
    </row>
    <row r="934">
      <c r="A934" s="60"/>
      <c r="B934" s="85"/>
      <c r="C934" s="60"/>
    </row>
    <row r="935">
      <c r="A935" s="60"/>
      <c r="B935" s="85"/>
      <c r="C935" s="60"/>
    </row>
    <row r="936">
      <c r="A936" s="60"/>
      <c r="B936" s="85"/>
      <c r="C936" s="60"/>
    </row>
    <row r="937">
      <c r="A937" s="60"/>
      <c r="B937" s="85"/>
      <c r="C937" s="60"/>
    </row>
    <row r="938">
      <c r="A938" s="60"/>
      <c r="B938" s="85"/>
      <c r="C938" s="60"/>
    </row>
    <row r="939">
      <c r="A939" s="60"/>
      <c r="B939" s="85"/>
      <c r="C939" s="60"/>
    </row>
    <row r="940">
      <c r="A940" s="60"/>
      <c r="B940" s="85"/>
      <c r="C940" s="60"/>
    </row>
    <row r="941">
      <c r="A941" s="60"/>
      <c r="B941" s="85"/>
      <c r="C941" s="60"/>
    </row>
    <row r="942">
      <c r="A942" s="60"/>
      <c r="B942" s="85"/>
      <c r="C942" s="60"/>
    </row>
    <row r="943">
      <c r="A943" s="60"/>
      <c r="B943" s="85"/>
      <c r="C943" s="60"/>
    </row>
    <row r="944">
      <c r="A944" s="60"/>
      <c r="B944" s="85"/>
      <c r="C944" s="60"/>
    </row>
    <row r="945">
      <c r="A945" s="60"/>
      <c r="B945" s="85"/>
      <c r="C945" s="60"/>
    </row>
    <row r="946">
      <c r="A946" s="60"/>
      <c r="B946" s="85"/>
      <c r="C946" s="60"/>
    </row>
    <row r="947">
      <c r="A947" s="60"/>
      <c r="B947" s="85"/>
      <c r="C947" s="60"/>
    </row>
    <row r="948">
      <c r="A948" s="60"/>
      <c r="B948" s="85"/>
      <c r="C948" s="60"/>
    </row>
    <row r="949">
      <c r="A949" s="60"/>
      <c r="B949" s="85"/>
      <c r="C949" s="60"/>
    </row>
    <row r="950">
      <c r="A950" s="60"/>
      <c r="B950" s="85"/>
      <c r="C950" s="60"/>
    </row>
    <row r="951">
      <c r="A951" s="60"/>
      <c r="B951" s="85"/>
      <c r="C951" s="60"/>
    </row>
    <row r="952">
      <c r="A952" s="60"/>
      <c r="B952" s="85"/>
      <c r="C952" s="60"/>
    </row>
    <row r="953">
      <c r="A953" s="60"/>
      <c r="B953" s="85"/>
      <c r="C953" s="60"/>
    </row>
    <row r="954">
      <c r="A954" s="60"/>
      <c r="B954" s="85"/>
      <c r="C954" s="60"/>
    </row>
    <row r="955">
      <c r="A955" s="60"/>
      <c r="B955" s="85"/>
      <c r="C955" s="60"/>
    </row>
    <row r="956">
      <c r="A956" s="60"/>
      <c r="B956" s="85"/>
      <c r="C956" s="60"/>
    </row>
    <row r="957">
      <c r="A957" s="60"/>
      <c r="B957" s="85"/>
      <c r="C957" s="60"/>
    </row>
    <row r="958">
      <c r="A958" s="60"/>
      <c r="B958" s="85"/>
      <c r="C958" s="60"/>
    </row>
    <row r="959">
      <c r="A959" s="60"/>
      <c r="B959" s="85"/>
      <c r="C959" s="60"/>
    </row>
    <row r="960">
      <c r="A960" s="60"/>
      <c r="B960" s="85"/>
      <c r="C960" s="60"/>
    </row>
    <row r="961">
      <c r="A961" s="60"/>
      <c r="B961" s="85"/>
      <c r="C961" s="60"/>
    </row>
    <row r="962">
      <c r="A962" s="60"/>
      <c r="B962" s="85"/>
      <c r="C962" s="60"/>
    </row>
    <row r="963">
      <c r="A963" s="60"/>
      <c r="B963" s="85"/>
      <c r="C963" s="60"/>
    </row>
    <row r="964">
      <c r="A964" s="60"/>
      <c r="B964" s="85"/>
      <c r="C964" s="60"/>
    </row>
    <row r="965">
      <c r="A965" s="60"/>
      <c r="B965" s="85"/>
      <c r="C965" s="60"/>
    </row>
    <row r="966">
      <c r="A966" s="60"/>
      <c r="B966" s="85"/>
      <c r="C966" s="60"/>
    </row>
    <row r="967">
      <c r="A967" s="60"/>
      <c r="B967" s="85"/>
      <c r="C967" s="60"/>
    </row>
    <row r="968">
      <c r="A968" s="60"/>
      <c r="B968" s="85"/>
      <c r="C968" s="60"/>
    </row>
    <row r="969">
      <c r="A969" s="60"/>
      <c r="B969" s="85"/>
      <c r="C969" s="60"/>
    </row>
    <row r="970">
      <c r="A970" s="60"/>
      <c r="B970" s="85"/>
      <c r="C970" s="60"/>
    </row>
    <row r="971">
      <c r="A971" s="60"/>
      <c r="B971" s="85"/>
      <c r="C971" s="60"/>
    </row>
    <row r="972">
      <c r="A972" s="60"/>
      <c r="B972" s="85"/>
      <c r="C972" s="60"/>
    </row>
    <row r="973">
      <c r="A973" s="60"/>
      <c r="B973" s="85"/>
      <c r="C973" s="60"/>
    </row>
    <row r="974">
      <c r="A974" s="60"/>
      <c r="B974" s="85"/>
      <c r="C974" s="60"/>
    </row>
    <row r="975">
      <c r="A975" s="60"/>
      <c r="B975" s="85"/>
      <c r="C975" s="60"/>
    </row>
    <row r="976">
      <c r="A976" s="60"/>
      <c r="B976" s="85"/>
      <c r="C976" s="60"/>
    </row>
    <row r="977">
      <c r="A977" s="60"/>
      <c r="B977" s="85"/>
      <c r="C977" s="60"/>
    </row>
    <row r="978">
      <c r="A978" s="60"/>
      <c r="B978" s="85"/>
      <c r="C978" s="60"/>
    </row>
    <row r="979">
      <c r="A979" s="60"/>
      <c r="B979" s="85"/>
      <c r="C979" s="60"/>
    </row>
    <row r="980">
      <c r="A980" s="60"/>
      <c r="B980" s="85"/>
      <c r="C980" s="60"/>
    </row>
    <row r="981">
      <c r="A981" s="60"/>
      <c r="B981" s="85"/>
      <c r="C981" s="60"/>
    </row>
    <row r="982">
      <c r="A982" s="60"/>
      <c r="B982" s="85"/>
      <c r="C982" s="60"/>
    </row>
    <row r="983">
      <c r="A983" s="60"/>
      <c r="B983" s="85"/>
      <c r="C983" s="60"/>
    </row>
    <row r="984">
      <c r="A984" s="60"/>
      <c r="B984" s="85"/>
      <c r="C984" s="60"/>
    </row>
    <row r="985">
      <c r="A985" s="60"/>
      <c r="B985" s="85"/>
      <c r="C985" s="60"/>
    </row>
    <row r="986">
      <c r="A986" s="60"/>
      <c r="B986" s="85"/>
      <c r="C986" s="60"/>
    </row>
    <row r="987">
      <c r="A987" s="60"/>
      <c r="B987" s="85"/>
      <c r="C987" s="60"/>
    </row>
    <row r="988">
      <c r="A988" s="60"/>
      <c r="B988" s="85"/>
      <c r="C988" s="60"/>
    </row>
    <row r="989">
      <c r="A989" s="60"/>
      <c r="B989" s="85"/>
      <c r="C989" s="60"/>
    </row>
    <row r="990">
      <c r="A990" s="60"/>
      <c r="B990" s="85"/>
      <c r="C990" s="60"/>
    </row>
    <row r="991">
      <c r="A991" s="60"/>
      <c r="B991" s="85"/>
      <c r="C991" s="60"/>
    </row>
    <row r="992">
      <c r="A992" s="60"/>
      <c r="B992" s="85"/>
      <c r="C992" s="60"/>
    </row>
    <row r="993">
      <c r="A993" s="60"/>
      <c r="B993" s="85"/>
      <c r="C993" s="60"/>
    </row>
    <row r="994">
      <c r="A994" s="60"/>
      <c r="B994" s="85"/>
      <c r="C994" s="60"/>
    </row>
    <row r="995">
      <c r="A995" s="60"/>
      <c r="B995" s="85"/>
      <c r="C995" s="60"/>
    </row>
    <row r="996">
      <c r="A996" s="60"/>
      <c r="B996" s="85"/>
      <c r="C996" s="60"/>
    </row>
    <row r="997">
      <c r="A997" s="60"/>
      <c r="B997" s="85"/>
      <c r="C997" s="60"/>
    </row>
    <row r="998">
      <c r="A998" s="60"/>
      <c r="B998" s="85"/>
      <c r="C998" s="60"/>
    </row>
    <row r="999">
      <c r="A999" s="60"/>
      <c r="B999" s="85"/>
      <c r="C999" s="60"/>
    </row>
    <row r="1000">
      <c r="A1000" s="60"/>
      <c r="B1000" s="85"/>
      <c r="C1000" s="60"/>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40" t="s">
        <v>623</v>
      </c>
      <c r="B1" s="40" t="s">
        <v>624</v>
      </c>
      <c r="C1" s="40" t="s">
        <v>625</v>
      </c>
      <c r="D1" s="40" t="s">
        <v>626</v>
      </c>
    </row>
    <row r="2">
      <c r="A2" s="19" t="s">
        <v>119</v>
      </c>
      <c r="B2" s="20" t="s">
        <v>2148</v>
      </c>
      <c r="C2" s="20">
        <v>75.0</v>
      </c>
      <c r="D2" s="41">
        <v>45691.0</v>
      </c>
    </row>
    <row r="3">
      <c r="A3" s="19" t="s">
        <v>115</v>
      </c>
      <c r="B3" s="20" t="s">
        <v>2149</v>
      </c>
      <c r="C3" s="20">
        <v>75.0</v>
      </c>
      <c r="D3" s="41">
        <v>45691.0</v>
      </c>
    </row>
    <row r="4">
      <c r="A4" s="19" t="s">
        <v>107</v>
      </c>
      <c r="B4" s="20" t="s">
        <v>2150</v>
      </c>
      <c r="C4" s="20">
        <v>75.0</v>
      </c>
      <c r="D4" s="41">
        <v>45691.0</v>
      </c>
    </row>
    <row r="5">
      <c r="A5" s="19" t="s">
        <v>312</v>
      </c>
      <c r="B5" s="20" t="s">
        <v>2151</v>
      </c>
      <c r="C5" s="20">
        <v>75.0</v>
      </c>
      <c r="D5" s="41">
        <v>45691.0</v>
      </c>
    </row>
    <row r="6">
      <c r="A6" s="19" t="s">
        <v>647</v>
      </c>
      <c r="B6" s="20" t="s">
        <v>2152</v>
      </c>
      <c r="C6" s="20">
        <v>75.0</v>
      </c>
      <c r="D6" s="41">
        <v>45691.0</v>
      </c>
    </row>
    <row r="7">
      <c r="A7" s="19" t="s">
        <v>636</v>
      </c>
      <c r="B7" s="20" t="s">
        <v>2153</v>
      </c>
      <c r="C7" s="20">
        <v>70.0</v>
      </c>
      <c r="D7" s="41">
        <v>45691.0</v>
      </c>
    </row>
    <row r="8">
      <c r="A8" s="19" t="s">
        <v>634</v>
      </c>
      <c r="B8" s="20" t="s">
        <v>2154</v>
      </c>
      <c r="C8" s="20">
        <v>70.0</v>
      </c>
      <c r="D8" s="41">
        <v>45691.0</v>
      </c>
    </row>
    <row r="9">
      <c r="A9" s="19" t="s">
        <v>188</v>
      </c>
      <c r="B9" s="20" t="s">
        <v>2155</v>
      </c>
      <c r="C9" s="20">
        <v>65.0</v>
      </c>
      <c r="D9" s="41">
        <v>45691.0</v>
      </c>
    </row>
    <row r="10">
      <c r="A10" s="19" t="s">
        <v>649</v>
      </c>
      <c r="B10" s="20" t="s">
        <v>2156</v>
      </c>
      <c r="C10" s="20">
        <v>65.0</v>
      </c>
      <c r="D10" s="41">
        <v>45691.0</v>
      </c>
    </row>
    <row r="11">
      <c r="A11" s="19" t="s">
        <v>660</v>
      </c>
      <c r="B11" s="20" t="s">
        <v>2157</v>
      </c>
      <c r="C11" s="20">
        <v>65.0</v>
      </c>
      <c r="D11" s="41">
        <v>45691.0</v>
      </c>
    </row>
    <row r="12">
      <c r="A12" s="19" t="s">
        <v>652</v>
      </c>
      <c r="B12" s="20" t="s">
        <v>2158</v>
      </c>
      <c r="C12" s="20">
        <v>65.0</v>
      </c>
      <c r="D12" s="41">
        <v>45691.0</v>
      </c>
    </row>
    <row r="13">
      <c r="A13" s="19" t="s">
        <v>645</v>
      </c>
      <c r="B13" s="20" t="s">
        <v>2159</v>
      </c>
      <c r="C13" s="20">
        <v>65.0</v>
      </c>
      <c r="D13" s="41">
        <v>45691.0</v>
      </c>
    </row>
    <row r="14">
      <c r="A14" s="19" t="s">
        <v>159</v>
      </c>
      <c r="B14" s="20" t="s">
        <v>2160</v>
      </c>
      <c r="C14" s="20">
        <v>65.0</v>
      </c>
      <c r="D14" s="41">
        <v>45691.0</v>
      </c>
    </row>
    <row r="15">
      <c r="A15" s="19" t="s">
        <v>658</v>
      </c>
      <c r="B15" s="20" t="s">
        <v>2161</v>
      </c>
      <c r="C15" s="20">
        <v>65.0</v>
      </c>
      <c r="D15" s="41">
        <v>45691.0</v>
      </c>
    </row>
    <row r="16">
      <c r="A16" s="19" t="s">
        <v>173</v>
      </c>
      <c r="B16" s="20" t="s">
        <v>2162</v>
      </c>
      <c r="C16" s="20">
        <v>65.0</v>
      </c>
      <c r="D16" s="41">
        <v>45691.0</v>
      </c>
    </row>
    <row r="17">
      <c r="A17" s="19" t="s">
        <v>314</v>
      </c>
      <c r="B17" s="20" t="s">
        <v>2163</v>
      </c>
      <c r="C17" s="20">
        <v>65.0</v>
      </c>
      <c r="D17" s="41">
        <v>45691.0</v>
      </c>
    </row>
    <row r="18">
      <c r="A18" s="19" t="s">
        <v>717</v>
      </c>
      <c r="B18" s="20" t="s">
        <v>2164</v>
      </c>
      <c r="C18" s="20">
        <v>65.0</v>
      </c>
      <c r="D18" s="41">
        <v>45691.0</v>
      </c>
    </row>
    <row r="19">
      <c r="A19" s="19" t="s">
        <v>638</v>
      </c>
      <c r="B19" s="20" t="s">
        <v>2165</v>
      </c>
      <c r="C19" s="20">
        <v>65.0</v>
      </c>
      <c r="D19" s="41">
        <v>45691.0</v>
      </c>
    </row>
    <row r="20">
      <c r="A20" s="19" t="s">
        <v>309</v>
      </c>
      <c r="B20" s="20" t="s">
        <v>2166</v>
      </c>
      <c r="C20" s="20">
        <v>65.0</v>
      </c>
      <c r="D20" s="41">
        <v>45691.0</v>
      </c>
    </row>
    <row r="21">
      <c r="A21" s="19" t="s">
        <v>725</v>
      </c>
      <c r="B21" s="20" t="s">
        <v>2167</v>
      </c>
      <c r="C21" s="20">
        <v>65.0</v>
      </c>
      <c r="D21" s="41">
        <v>45691.0</v>
      </c>
    </row>
    <row r="22">
      <c r="A22" s="19" t="s">
        <v>686</v>
      </c>
      <c r="B22" s="20" t="s">
        <v>2168</v>
      </c>
      <c r="C22" s="20">
        <v>65.0</v>
      </c>
      <c r="D22" s="41">
        <v>45691.0</v>
      </c>
    </row>
    <row r="23">
      <c r="A23" s="19" t="s">
        <v>708</v>
      </c>
      <c r="B23" s="20" t="s">
        <v>2169</v>
      </c>
      <c r="C23" s="20">
        <v>65.0</v>
      </c>
      <c r="D23" s="41">
        <v>45691.0</v>
      </c>
    </row>
    <row r="24">
      <c r="A24" s="19" t="s">
        <v>656</v>
      </c>
      <c r="B24" s="20" t="s">
        <v>2170</v>
      </c>
      <c r="C24" s="20">
        <v>65.0</v>
      </c>
      <c r="D24" s="41">
        <v>45691.0</v>
      </c>
    </row>
    <row r="25">
      <c r="A25" s="19" t="s">
        <v>642</v>
      </c>
      <c r="B25" s="20" t="s">
        <v>2171</v>
      </c>
      <c r="C25" s="20">
        <v>65.0</v>
      </c>
      <c r="D25" s="41">
        <v>45691.0</v>
      </c>
    </row>
    <row r="26">
      <c r="A26" s="19" t="s">
        <v>2172</v>
      </c>
      <c r="B26" s="20" t="s">
        <v>2173</v>
      </c>
      <c r="C26" s="20">
        <v>65.0</v>
      </c>
      <c r="D26" s="41">
        <v>45691.0</v>
      </c>
    </row>
    <row r="27">
      <c r="A27" s="19" t="s">
        <v>721</v>
      </c>
      <c r="B27" s="20" t="s">
        <v>2174</v>
      </c>
      <c r="C27" s="20">
        <v>55.0</v>
      </c>
      <c r="D27" s="41">
        <v>45691.0</v>
      </c>
    </row>
    <row r="28">
      <c r="A28" s="19" t="s">
        <v>714</v>
      </c>
      <c r="B28" s="20" t="s">
        <v>2175</v>
      </c>
      <c r="C28" s="20">
        <v>55.0</v>
      </c>
      <c r="D28" s="41">
        <v>45691.0</v>
      </c>
    </row>
    <row r="29">
      <c r="A29" s="19" t="s">
        <v>670</v>
      </c>
      <c r="B29" s="20" t="s">
        <v>2176</v>
      </c>
      <c r="C29" s="20">
        <v>55.0</v>
      </c>
      <c r="D29" s="41">
        <v>45691.0</v>
      </c>
    </row>
    <row r="30">
      <c r="A30" s="19" t="s">
        <v>153</v>
      </c>
      <c r="B30" s="20" t="s">
        <v>2177</v>
      </c>
      <c r="C30" s="20">
        <v>55.0</v>
      </c>
      <c r="D30" s="41">
        <v>45691.0</v>
      </c>
    </row>
    <row r="31">
      <c r="A31" s="19" t="s">
        <v>675</v>
      </c>
      <c r="B31" s="20" t="s">
        <v>2178</v>
      </c>
      <c r="C31" s="20">
        <v>55.0</v>
      </c>
      <c r="D31" s="41">
        <v>45691.0</v>
      </c>
    </row>
    <row r="32">
      <c r="A32" s="19" t="s">
        <v>704</v>
      </c>
      <c r="B32" s="20" t="s">
        <v>2179</v>
      </c>
      <c r="C32" s="20">
        <v>55.0</v>
      </c>
      <c r="D32" s="41">
        <v>45691.0</v>
      </c>
    </row>
    <row r="33">
      <c r="A33" s="19" t="s">
        <v>682</v>
      </c>
      <c r="B33" s="20" t="s">
        <v>2180</v>
      </c>
      <c r="C33" s="20">
        <v>55.0</v>
      </c>
      <c r="D33" s="41">
        <v>45691.0</v>
      </c>
    </row>
    <row r="34">
      <c r="A34" s="19" t="s">
        <v>640</v>
      </c>
      <c r="B34" s="20" t="s">
        <v>2181</v>
      </c>
      <c r="C34" s="20">
        <v>55.0</v>
      </c>
      <c r="D34" s="41">
        <v>45691.0</v>
      </c>
    </row>
    <row r="35">
      <c r="A35" s="19" t="s">
        <v>177</v>
      </c>
      <c r="B35" s="20" t="s">
        <v>2182</v>
      </c>
      <c r="C35" s="20">
        <v>55.0</v>
      </c>
      <c r="D35" s="41">
        <v>45691.0</v>
      </c>
    </row>
    <row r="36">
      <c r="A36" s="19" t="s">
        <v>740</v>
      </c>
      <c r="B36" s="20" t="s">
        <v>2183</v>
      </c>
      <c r="C36" s="20">
        <v>55.0</v>
      </c>
      <c r="D36" s="41">
        <v>45691.0</v>
      </c>
    </row>
    <row r="37">
      <c r="A37" s="19" t="s">
        <v>150</v>
      </c>
      <c r="B37" s="20" t="s">
        <v>2184</v>
      </c>
      <c r="C37" s="20">
        <v>55.0</v>
      </c>
      <c r="D37" s="41">
        <v>45691.0</v>
      </c>
    </row>
    <row r="38">
      <c r="A38" s="19" t="s">
        <v>148</v>
      </c>
      <c r="B38" s="20" t="s">
        <v>2185</v>
      </c>
      <c r="C38" s="20">
        <v>55.0</v>
      </c>
      <c r="D38" s="41">
        <v>45691.0</v>
      </c>
    </row>
    <row r="39">
      <c r="A39" s="19" t="s">
        <v>749</v>
      </c>
      <c r="B39" s="20" t="s">
        <v>2186</v>
      </c>
      <c r="C39" s="20">
        <v>55.0</v>
      </c>
      <c r="D39" s="41">
        <v>45691.0</v>
      </c>
    </row>
    <row r="40">
      <c r="A40" s="19" t="s">
        <v>751</v>
      </c>
      <c r="B40" s="20" t="s">
        <v>2187</v>
      </c>
      <c r="C40" s="20">
        <v>55.0</v>
      </c>
      <c r="D40" s="41">
        <v>45691.0</v>
      </c>
    </row>
    <row r="41">
      <c r="A41" s="19" t="s">
        <v>664</v>
      </c>
      <c r="B41" s="20" t="s">
        <v>2188</v>
      </c>
      <c r="C41" s="20">
        <v>55.0</v>
      </c>
      <c r="D41" s="41">
        <v>45691.0</v>
      </c>
    </row>
    <row r="42">
      <c r="A42" s="19" t="s">
        <v>668</v>
      </c>
      <c r="B42" s="20" t="s">
        <v>2189</v>
      </c>
      <c r="C42" s="20">
        <v>55.0</v>
      </c>
      <c r="D42" s="41">
        <v>45691.0</v>
      </c>
    </row>
    <row r="43">
      <c r="A43" s="19" t="s">
        <v>103</v>
      </c>
      <c r="B43" s="20" t="s">
        <v>2190</v>
      </c>
      <c r="C43" s="20">
        <v>55.0</v>
      </c>
      <c r="D43" s="41">
        <v>45691.0</v>
      </c>
    </row>
    <row r="44">
      <c r="A44" s="19" t="s">
        <v>666</v>
      </c>
      <c r="B44" s="20" t="s">
        <v>2191</v>
      </c>
      <c r="C44" s="20">
        <v>55.0</v>
      </c>
      <c r="D44" s="41">
        <v>45691.0</v>
      </c>
    </row>
    <row r="45">
      <c r="A45" s="19" t="s">
        <v>690</v>
      </c>
      <c r="B45" s="20" t="s">
        <v>2192</v>
      </c>
      <c r="C45" s="20">
        <v>55.0</v>
      </c>
      <c r="D45" s="41">
        <v>45691.0</v>
      </c>
    </row>
    <row r="46">
      <c r="A46" s="19" t="s">
        <v>702</v>
      </c>
      <c r="B46" s="20" t="s">
        <v>2193</v>
      </c>
      <c r="C46" s="20">
        <v>55.0</v>
      </c>
      <c r="D46" s="41">
        <v>45691.0</v>
      </c>
    </row>
    <row r="47">
      <c r="A47" s="19" t="s">
        <v>672</v>
      </c>
      <c r="B47" s="20" t="s">
        <v>2194</v>
      </c>
      <c r="C47" s="20">
        <v>55.0</v>
      </c>
      <c r="D47" s="41">
        <v>45691.0</v>
      </c>
    </row>
    <row r="48">
      <c r="A48" s="19" t="s">
        <v>662</v>
      </c>
      <c r="B48" s="20" t="s">
        <v>2195</v>
      </c>
      <c r="C48" s="20">
        <v>55.0</v>
      </c>
      <c r="D48" s="41">
        <v>45691.0</v>
      </c>
    </row>
    <row r="49">
      <c r="A49" s="19" t="s">
        <v>755</v>
      </c>
      <c r="B49" s="20" t="s">
        <v>2196</v>
      </c>
      <c r="C49" s="20">
        <v>55.0</v>
      </c>
      <c r="D49" s="41">
        <v>45691.0</v>
      </c>
    </row>
    <row r="50">
      <c r="A50" s="19" t="s">
        <v>698</v>
      </c>
      <c r="B50" s="20" t="s">
        <v>2197</v>
      </c>
      <c r="C50" s="20">
        <v>55.0</v>
      </c>
      <c r="D50" s="41">
        <v>45691.0</v>
      </c>
    </row>
    <row r="51">
      <c r="A51" s="19" t="s">
        <v>700</v>
      </c>
      <c r="B51" s="20" t="s">
        <v>2198</v>
      </c>
      <c r="C51" s="20">
        <v>55.0</v>
      </c>
      <c r="D51" s="41">
        <v>45691.0</v>
      </c>
    </row>
    <row r="52">
      <c r="A52" s="19" t="s">
        <v>710</v>
      </c>
      <c r="B52" s="20" t="s">
        <v>2199</v>
      </c>
      <c r="C52" s="20">
        <v>55.0</v>
      </c>
      <c r="D52" s="41">
        <v>45691.0</v>
      </c>
    </row>
    <row r="53">
      <c r="A53" s="19" t="s">
        <v>719</v>
      </c>
      <c r="B53" s="20" t="s">
        <v>2200</v>
      </c>
      <c r="C53" s="20">
        <v>55.0</v>
      </c>
      <c r="D53" s="41">
        <v>45691.0</v>
      </c>
    </row>
    <row r="54">
      <c r="A54" s="19" t="s">
        <v>692</v>
      </c>
      <c r="B54" s="20" t="s">
        <v>2201</v>
      </c>
      <c r="C54" s="20">
        <v>55.0</v>
      </c>
      <c r="D54" s="41">
        <v>45691.0</v>
      </c>
    </row>
    <row r="55">
      <c r="A55" s="19" t="s">
        <v>684</v>
      </c>
      <c r="B55" s="20" t="s">
        <v>2202</v>
      </c>
      <c r="C55" s="20">
        <v>55.0</v>
      </c>
      <c r="D55" s="41">
        <v>45691.0</v>
      </c>
    </row>
    <row r="56">
      <c r="A56" s="19" t="s">
        <v>688</v>
      </c>
      <c r="B56" s="20" t="s">
        <v>2203</v>
      </c>
      <c r="C56" s="20">
        <v>55.0</v>
      </c>
      <c r="D56" s="41">
        <v>45691.0</v>
      </c>
    </row>
    <row r="57">
      <c r="A57" s="19" t="s">
        <v>654</v>
      </c>
      <c r="B57" s="20" t="s">
        <v>2204</v>
      </c>
      <c r="C57" s="20">
        <v>55.0</v>
      </c>
      <c r="D57" s="41">
        <v>45691.0</v>
      </c>
    </row>
    <row r="58">
      <c r="A58" s="19" t="s">
        <v>745</v>
      </c>
      <c r="B58" s="20" t="s">
        <v>2205</v>
      </c>
      <c r="C58" s="20">
        <v>45.0</v>
      </c>
      <c r="D58" s="41">
        <v>45691.0</v>
      </c>
    </row>
    <row r="59">
      <c r="A59" s="19" t="s">
        <v>731</v>
      </c>
      <c r="B59" s="20" t="s">
        <v>2206</v>
      </c>
      <c r="C59" s="20">
        <v>45.0</v>
      </c>
      <c r="D59" s="41">
        <v>45691.0</v>
      </c>
    </row>
    <row r="60">
      <c r="A60" s="19" t="s">
        <v>111</v>
      </c>
      <c r="B60" s="20" t="s">
        <v>2207</v>
      </c>
      <c r="C60" s="20">
        <v>45.0</v>
      </c>
      <c r="D60" s="41">
        <v>45691.0</v>
      </c>
    </row>
    <row r="61">
      <c r="A61" s="19" t="s">
        <v>729</v>
      </c>
      <c r="B61" s="20" t="s">
        <v>2208</v>
      </c>
      <c r="C61" s="20">
        <v>45.0</v>
      </c>
      <c r="D61" s="41">
        <v>45691.0</v>
      </c>
    </row>
    <row r="62">
      <c r="A62" s="19" t="s">
        <v>156</v>
      </c>
      <c r="B62" s="20" t="s">
        <v>2209</v>
      </c>
      <c r="C62" s="20">
        <v>45.0</v>
      </c>
      <c r="D62" s="41">
        <v>45691.0</v>
      </c>
    </row>
    <row r="63">
      <c r="A63" s="19" t="s">
        <v>678</v>
      </c>
      <c r="B63" s="20" t="s">
        <v>2210</v>
      </c>
      <c r="C63" s="20">
        <v>45.0</v>
      </c>
      <c r="D63" s="41">
        <v>45691.0</v>
      </c>
    </row>
    <row r="64">
      <c r="A64" s="19" t="s">
        <v>727</v>
      </c>
      <c r="B64" s="20" t="s">
        <v>2211</v>
      </c>
      <c r="C64" s="20">
        <v>45.0</v>
      </c>
      <c r="D64" s="41">
        <v>45691.0</v>
      </c>
    </row>
    <row r="65">
      <c r="A65" s="19" t="s">
        <v>194</v>
      </c>
      <c r="B65" s="20" t="s">
        <v>2212</v>
      </c>
      <c r="C65" s="20">
        <v>45.0</v>
      </c>
      <c r="D65" s="41">
        <v>45691.0</v>
      </c>
    </row>
    <row r="66">
      <c r="A66" s="19" t="s">
        <v>742</v>
      </c>
      <c r="B66" s="20" t="s">
        <v>2213</v>
      </c>
      <c r="C66" s="20">
        <v>45.0</v>
      </c>
      <c r="D66" s="41">
        <v>45691.0</v>
      </c>
    </row>
    <row r="67">
      <c r="A67" s="19" t="s">
        <v>747</v>
      </c>
      <c r="B67" s="20" t="s">
        <v>2214</v>
      </c>
      <c r="C67" s="20">
        <v>45.0</v>
      </c>
      <c r="D67" s="41">
        <v>45691.0</v>
      </c>
    </row>
    <row r="68">
      <c r="A68" s="19" t="s">
        <v>712</v>
      </c>
      <c r="B68" s="20" t="s">
        <v>2215</v>
      </c>
      <c r="C68" s="20">
        <v>45.0</v>
      </c>
      <c r="D68" s="41">
        <v>45691.0</v>
      </c>
    </row>
    <row r="69">
      <c r="A69" s="19" t="s">
        <v>734</v>
      </c>
      <c r="B69" s="20" t="s">
        <v>2216</v>
      </c>
      <c r="C69" s="20">
        <v>45.0</v>
      </c>
      <c r="D69" s="41">
        <v>45691.0</v>
      </c>
    </row>
    <row r="70">
      <c r="A70" s="19" t="s">
        <v>736</v>
      </c>
      <c r="B70" s="20" t="s">
        <v>2217</v>
      </c>
      <c r="C70" s="20">
        <v>45.0</v>
      </c>
      <c r="D70" s="41">
        <v>45691.0</v>
      </c>
    </row>
    <row r="71">
      <c r="A71" s="19" t="s">
        <v>738</v>
      </c>
      <c r="B71" s="20" t="s">
        <v>2218</v>
      </c>
      <c r="C71" s="20">
        <v>45.0</v>
      </c>
      <c r="D71" s="41">
        <v>45691.0</v>
      </c>
    </row>
    <row r="72">
      <c r="A72" s="19" t="s">
        <v>694</v>
      </c>
      <c r="B72" s="20" t="s">
        <v>2219</v>
      </c>
      <c r="C72" s="20">
        <v>45.0</v>
      </c>
      <c r="D72" s="41">
        <v>45691.0</v>
      </c>
    </row>
    <row r="73">
      <c r="A73" s="19" t="s">
        <v>723</v>
      </c>
      <c r="B73" s="20" t="s">
        <v>2220</v>
      </c>
      <c r="C73" s="20">
        <v>45.0</v>
      </c>
      <c r="D73" s="41">
        <v>45691.0</v>
      </c>
    </row>
    <row r="74">
      <c r="A74" s="19" t="s">
        <v>706</v>
      </c>
      <c r="B74" s="20" t="s">
        <v>2221</v>
      </c>
      <c r="C74" s="20">
        <v>45.0</v>
      </c>
      <c r="D74" s="41">
        <v>45691.0</v>
      </c>
    </row>
    <row r="75">
      <c r="A75" s="19" t="s">
        <v>753</v>
      </c>
      <c r="B75" s="20" t="s">
        <v>2222</v>
      </c>
      <c r="C75" s="20">
        <v>45.0</v>
      </c>
      <c r="D75" s="41">
        <v>45691.0</v>
      </c>
    </row>
    <row r="76">
      <c r="A76" s="19" t="s">
        <v>757</v>
      </c>
      <c r="B76" s="20" t="s">
        <v>2223</v>
      </c>
      <c r="C76" s="20">
        <v>45.0</v>
      </c>
      <c r="D76" s="41">
        <v>45691.0</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40" t="s">
        <v>759</v>
      </c>
      <c r="B1" s="40" t="s">
        <v>625</v>
      </c>
      <c r="C1" s="40" t="s">
        <v>624</v>
      </c>
      <c r="D1" s="40" t="s">
        <v>626</v>
      </c>
      <c r="G1" s="2" t="s">
        <v>433</v>
      </c>
      <c r="H1" s="2" t="s">
        <v>625</v>
      </c>
      <c r="I1" s="2" t="s">
        <v>2224</v>
      </c>
    </row>
    <row r="2">
      <c r="A2" s="19" t="s">
        <v>239</v>
      </c>
      <c r="B2" s="20">
        <v>90.0</v>
      </c>
      <c r="C2" s="20" t="s">
        <v>2225</v>
      </c>
      <c r="D2" s="41">
        <v>45664.0</v>
      </c>
      <c r="G2" s="19" t="s">
        <v>182</v>
      </c>
      <c r="H2" s="20">
        <v>90.0</v>
      </c>
      <c r="I2" s="7">
        <f>IFERROR(__xludf.DUMMYFUNCTION("GOOGLEFINANCE(G2,""marketcap"")"),5.229772984313E12)</f>
        <v>5229772984313</v>
      </c>
    </row>
    <row r="3">
      <c r="A3" s="19" t="s">
        <v>53</v>
      </c>
      <c r="B3" s="20">
        <v>90.0</v>
      </c>
      <c r="C3" s="20" t="s">
        <v>2226</v>
      </c>
      <c r="D3" s="41">
        <v>45664.0</v>
      </c>
      <c r="G3" s="19" t="s">
        <v>184</v>
      </c>
      <c r="H3" s="20">
        <v>90.0</v>
      </c>
      <c r="I3" s="7">
        <f>IFERROR(__xludf.DUMMYFUNCTION("GOOGLEFINANCE(G3,""marketcap"")"),4.841311148549E12)</f>
        <v>4841311148549</v>
      </c>
    </row>
    <row r="4">
      <c r="A4" s="19" t="s">
        <v>904</v>
      </c>
      <c r="B4" s="20">
        <v>90.0</v>
      </c>
      <c r="C4" s="20" t="s">
        <v>2227</v>
      </c>
      <c r="D4" s="41">
        <v>45664.0</v>
      </c>
      <c r="G4" s="19" t="s">
        <v>53</v>
      </c>
      <c r="H4" s="20">
        <v>90.0</v>
      </c>
      <c r="I4" s="7">
        <f>IFERROR(__xludf.DUMMYFUNCTION("GOOGLEFINANCE(G4,""marketcap"")"),2.933245949212E12)</f>
        <v>2933245949212</v>
      </c>
    </row>
    <row r="5">
      <c r="A5" s="19" t="s">
        <v>919</v>
      </c>
      <c r="B5" s="20">
        <v>90.0</v>
      </c>
      <c r="C5" s="20" t="s">
        <v>2228</v>
      </c>
      <c r="D5" s="41">
        <v>45664.0</v>
      </c>
      <c r="G5" s="19" t="s">
        <v>185</v>
      </c>
      <c r="H5" s="20">
        <v>90.0</v>
      </c>
      <c r="I5" s="7">
        <f>IFERROR(__xludf.DUMMYFUNCTION("GOOGLEFINANCE(G5,""marketcap"")"),2.03590724E12)</f>
        <v>2035907240000</v>
      </c>
    </row>
    <row r="6">
      <c r="A6" s="19" t="s">
        <v>197</v>
      </c>
      <c r="B6" s="20">
        <v>90.0</v>
      </c>
      <c r="C6" s="20" t="s">
        <v>2229</v>
      </c>
      <c r="D6" s="41">
        <v>45664.0</v>
      </c>
      <c r="G6" s="19" t="s">
        <v>16</v>
      </c>
      <c r="H6" s="20">
        <v>90.0</v>
      </c>
      <c r="I6" s="7">
        <f>IFERROR(__xludf.DUMMYFUNCTION("GOOGLEFINANCE(G6,""marketcap"")"),1.48738493361E11)</f>
        <v>148738493361</v>
      </c>
    </row>
    <row r="7">
      <c r="A7" s="19" t="s">
        <v>16</v>
      </c>
      <c r="B7" s="20">
        <v>90.0</v>
      </c>
      <c r="C7" s="20" t="s">
        <v>2230</v>
      </c>
      <c r="D7" s="41">
        <v>45664.0</v>
      </c>
      <c r="G7" s="19" t="s">
        <v>239</v>
      </c>
      <c r="H7" s="20">
        <v>90.0</v>
      </c>
      <c r="I7" s="7">
        <f>IFERROR(__xludf.DUMMYFUNCTION("GOOGLEFINANCE(G7,""marketcap"")"),7.422331E11)</f>
        <v>742233100000</v>
      </c>
    </row>
    <row r="8">
      <c r="A8" s="19" t="s">
        <v>124</v>
      </c>
      <c r="B8" s="20">
        <v>90.0</v>
      </c>
      <c r="C8" s="20" t="s">
        <v>2231</v>
      </c>
      <c r="D8" s="41">
        <v>45664.0</v>
      </c>
      <c r="G8" s="19" t="s">
        <v>197</v>
      </c>
      <c r="H8" s="20">
        <v>90.0</v>
      </c>
      <c r="I8" s="7">
        <f>IFERROR(__xludf.DUMMYFUNCTION("GOOGLEFINANCE(G8,""marketcap"")"),1.21142018487E11)</f>
        <v>121142018487</v>
      </c>
    </row>
    <row r="9">
      <c r="A9" s="19" t="s">
        <v>185</v>
      </c>
      <c r="B9" s="20">
        <v>90.0</v>
      </c>
      <c r="C9" s="20" t="s">
        <v>2232</v>
      </c>
      <c r="D9" s="41">
        <v>45664.0</v>
      </c>
      <c r="G9" s="19" t="s">
        <v>141</v>
      </c>
      <c r="H9" s="20">
        <v>90.0</v>
      </c>
      <c r="I9" s="7">
        <f>IFERROR(__xludf.DUMMYFUNCTION("GOOGLEFINANCE(G9,""marketcap"")"),1.133613004E11)</f>
        <v>113361300400</v>
      </c>
    </row>
    <row r="10">
      <c r="A10" s="19" t="s">
        <v>184</v>
      </c>
      <c r="B10" s="20">
        <v>90.0</v>
      </c>
      <c r="C10" s="20" t="s">
        <v>2233</v>
      </c>
      <c r="D10" s="41">
        <v>45664.0</v>
      </c>
      <c r="G10" s="19" t="s">
        <v>287</v>
      </c>
      <c r="H10" s="20">
        <v>90.0</v>
      </c>
      <c r="I10" s="7">
        <f>IFERROR(__xludf.DUMMYFUNCTION("GOOGLEFINANCE(G10,""marketcap"")"),1.57506857518E11)</f>
        <v>157506857518</v>
      </c>
    </row>
    <row r="11">
      <c r="A11" s="19" t="s">
        <v>14</v>
      </c>
      <c r="B11" s="20">
        <v>90.0</v>
      </c>
      <c r="C11" s="20" t="s">
        <v>2234</v>
      </c>
      <c r="D11" s="41">
        <v>45664.0</v>
      </c>
      <c r="G11" s="19" t="s">
        <v>14</v>
      </c>
      <c r="H11" s="20">
        <v>90.0</v>
      </c>
      <c r="I11" s="7">
        <f>IFERROR(__xludf.DUMMYFUNCTION("GOOGLEFINANCE(G11,""marketcap"")"),7.494838E10)</f>
        <v>74948380000</v>
      </c>
    </row>
    <row r="12">
      <c r="A12" s="19" t="s">
        <v>287</v>
      </c>
      <c r="B12" s="20">
        <v>90.0</v>
      </c>
      <c r="C12" s="20" t="s">
        <v>2235</v>
      </c>
      <c r="D12" s="41">
        <v>45664.0</v>
      </c>
      <c r="G12" s="19" t="s">
        <v>919</v>
      </c>
      <c r="H12" s="20">
        <v>90.0</v>
      </c>
      <c r="I12" s="7">
        <f>IFERROR(__xludf.DUMMYFUNCTION("GOOGLEFINANCE(G12,""marketcap"")"),6.9257683204E10)</f>
        <v>69257683204</v>
      </c>
    </row>
    <row r="13">
      <c r="A13" s="19" t="s">
        <v>182</v>
      </c>
      <c r="B13" s="20">
        <v>90.0</v>
      </c>
      <c r="C13" s="20" t="s">
        <v>2236</v>
      </c>
      <c r="D13" s="41">
        <v>45664.0</v>
      </c>
      <c r="G13" s="19" t="s">
        <v>904</v>
      </c>
      <c r="H13" s="20">
        <v>90.0</v>
      </c>
      <c r="I13" s="7">
        <f>IFERROR(__xludf.DUMMYFUNCTION("GOOGLEFINANCE(G13,""marketcap"")"),7.8050196742E10)</f>
        <v>78050196742</v>
      </c>
    </row>
    <row r="14">
      <c r="A14" s="19" t="s">
        <v>141</v>
      </c>
      <c r="B14" s="20">
        <v>90.0</v>
      </c>
      <c r="C14" s="20" t="s">
        <v>2237</v>
      </c>
      <c r="D14" s="41">
        <v>45664.0</v>
      </c>
      <c r="G14" s="19" t="s">
        <v>124</v>
      </c>
      <c r="H14" s="20">
        <v>90.0</v>
      </c>
      <c r="I14" s="7">
        <f>IFERROR(__xludf.DUMMYFUNCTION("GOOGLEFINANCE(G14,""marketcap"")"),3.232065132E10)</f>
        <v>32320651320</v>
      </c>
    </row>
    <row r="15">
      <c r="A15" s="19" t="s">
        <v>1155</v>
      </c>
      <c r="B15" s="20">
        <v>85.0</v>
      </c>
      <c r="C15" s="20" t="s">
        <v>2238</v>
      </c>
      <c r="D15" s="41">
        <v>45664.0</v>
      </c>
    </row>
    <row r="16">
      <c r="A16" s="19" t="s">
        <v>419</v>
      </c>
      <c r="B16" s="20">
        <v>85.0</v>
      </c>
      <c r="C16" s="20" t="s">
        <v>2239</v>
      </c>
      <c r="D16" s="41">
        <v>45664.0</v>
      </c>
    </row>
    <row r="17">
      <c r="A17" s="19" t="s">
        <v>1466</v>
      </c>
      <c r="B17" s="20">
        <v>85.0</v>
      </c>
      <c r="C17" s="20" t="s">
        <v>2240</v>
      </c>
      <c r="D17" s="41">
        <v>45664.0</v>
      </c>
    </row>
    <row r="18">
      <c r="A18" s="19" t="s">
        <v>1143</v>
      </c>
      <c r="B18" s="20">
        <v>85.0</v>
      </c>
      <c r="C18" s="20" t="s">
        <v>2241</v>
      </c>
      <c r="D18" s="41">
        <v>45664.0</v>
      </c>
    </row>
    <row r="19">
      <c r="A19" s="19" t="s">
        <v>927</v>
      </c>
      <c r="B19" s="20">
        <v>85.0</v>
      </c>
      <c r="C19" s="20" t="s">
        <v>2242</v>
      </c>
      <c r="D19" s="41">
        <v>45664.0</v>
      </c>
    </row>
    <row r="20">
      <c r="A20" s="19" t="s">
        <v>937</v>
      </c>
      <c r="B20" s="20">
        <v>85.0</v>
      </c>
      <c r="C20" s="20" t="s">
        <v>2243</v>
      </c>
      <c r="D20" s="41">
        <v>45664.0</v>
      </c>
    </row>
    <row r="21">
      <c r="A21" s="19" t="s">
        <v>253</v>
      </c>
      <c r="B21" s="20">
        <v>85.0</v>
      </c>
      <c r="C21" s="20" t="s">
        <v>2244</v>
      </c>
      <c r="D21" s="41">
        <v>45664.0</v>
      </c>
    </row>
    <row r="22">
      <c r="A22" s="19" t="s">
        <v>33</v>
      </c>
      <c r="B22" s="20">
        <v>85.0</v>
      </c>
      <c r="C22" s="20" t="s">
        <v>2245</v>
      </c>
      <c r="D22" s="41">
        <v>45664.0</v>
      </c>
    </row>
    <row r="23">
      <c r="A23" s="19" t="s">
        <v>183</v>
      </c>
      <c r="B23" s="20">
        <v>85.0</v>
      </c>
      <c r="C23" s="20" t="s">
        <v>2246</v>
      </c>
      <c r="D23" s="41">
        <v>45664.0</v>
      </c>
    </row>
    <row r="24">
      <c r="A24" s="19" t="s">
        <v>908</v>
      </c>
      <c r="B24" s="20">
        <v>85.0</v>
      </c>
      <c r="C24" s="20" t="s">
        <v>2247</v>
      </c>
      <c r="D24" s="41">
        <v>45664.0</v>
      </c>
    </row>
    <row r="25">
      <c r="A25" s="19" t="s">
        <v>125</v>
      </c>
      <c r="B25" s="20">
        <v>85.0</v>
      </c>
      <c r="C25" s="20" t="s">
        <v>2248</v>
      </c>
      <c r="D25" s="41">
        <v>45664.0</v>
      </c>
    </row>
    <row r="26">
      <c r="A26" s="19" t="s">
        <v>953</v>
      </c>
      <c r="B26" s="20">
        <v>85.0</v>
      </c>
      <c r="C26" s="20" t="s">
        <v>2249</v>
      </c>
      <c r="D26" s="41">
        <v>45664.0</v>
      </c>
    </row>
    <row r="27">
      <c r="A27" s="19" t="s">
        <v>1195</v>
      </c>
      <c r="B27" s="20">
        <v>85.0</v>
      </c>
      <c r="C27" s="20" t="s">
        <v>2250</v>
      </c>
      <c r="D27" s="41">
        <v>45664.0</v>
      </c>
    </row>
    <row r="28">
      <c r="A28" s="19" t="s">
        <v>1503</v>
      </c>
      <c r="B28" s="20">
        <v>85.0</v>
      </c>
      <c r="C28" s="20" t="s">
        <v>2251</v>
      </c>
      <c r="D28" s="41">
        <v>45664.0</v>
      </c>
    </row>
    <row r="29">
      <c r="A29" s="19" t="s">
        <v>55</v>
      </c>
      <c r="B29" s="20">
        <v>85.0</v>
      </c>
      <c r="C29" s="20" t="s">
        <v>2252</v>
      </c>
      <c r="D29" s="41">
        <v>45664.0</v>
      </c>
    </row>
    <row r="30">
      <c r="A30" s="19" t="s">
        <v>1498</v>
      </c>
      <c r="B30" s="20">
        <v>85.0</v>
      </c>
      <c r="C30" s="20" t="s">
        <v>2253</v>
      </c>
      <c r="D30" s="41">
        <v>45664.0</v>
      </c>
    </row>
    <row r="31">
      <c r="A31" s="19" t="s">
        <v>1520</v>
      </c>
      <c r="B31" s="20">
        <v>85.0</v>
      </c>
      <c r="C31" s="20" t="s">
        <v>2254</v>
      </c>
      <c r="D31" s="41">
        <v>45664.0</v>
      </c>
    </row>
    <row r="32">
      <c r="A32" s="19" t="s">
        <v>265</v>
      </c>
      <c r="B32" s="20">
        <v>85.0</v>
      </c>
      <c r="C32" s="20" t="s">
        <v>2255</v>
      </c>
      <c r="D32" s="41">
        <v>45664.0</v>
      </c>
    </row>
    <row r="33">
      <c r="A33" s="19" t="s">
        <v>1383</v>
      </c>
      <c r="B33" s="20">
        <v>85.0</v>
      </c>
      <c r="C33" s="20" t="s">
        <v>2256</v>
      </c>
      <c r="D33" s="41">
        <v>45664.0</v>
      </c>
    </row>
    <row r="34">
      <c r="A34" s="19" t="s">
        <v>1135</v>
      </c>
      <c r="B34" s="20">
        <v>85.0</v>
      </c>
      <c r="C34" s="20" t="s">
        <v>2257</v>
      </c>
      <c r="D34" s="41">
        <v>45664.0</v>
      </c>
    </row>
    <row r="35">
      <c r="A35" s="19" t="s">
        <v>1343</v>
      </c>
      <c r="B35" s="20">
        <v>85.0</v>
      </c>
      <c r="C35" s="20" t="s">
        <v>2258</v>
      </c>
      <c r="D35" s="41">
        <v>45664.0</v>
      </c>
    </row>
    <row r="36">
      <c r="A36" s="19" t="s">
        <v>1596</v>
      </c>
      <c r="B36" s="20">
        <v>85.0</v>
      </c>
      <c r="C36" s="20" t="s">
        <v>2259</v>
      </c>
      <c r="D36" s="41">
        <v>45664.0</v>
      </c>
    </row>
    <row r="37">
      <c r="A37" s="19" t="s">
        <v>1145</v>
      </c>
      <c r="B37" s="20">
        <v>85.0</v>
      </c>
      <c r="C37" s="20" t="s">
        <v>2260</v>
      </c>
      <c r="D37" s="41">
        <v>45664.0</v>
      </c>
    </row>
    <row r="38">
      <c r="A38" s="19" t="s">
        <v>129</v>
      </c>
      <c r="B38" s="20">
        <v>85.0</v>
      </c>
      <c r="C38" s="20" t="s">
        <v>2261</v>
      </c>
      <c r="D38" s="41">
        <v>45664.0</v>
      </c>
    </row>
    <row r="39">
      <c r="A39" s="19" t="s">
        <v>19</v>
      </c>
      <c r="B39" s="20">
        <v>85.0</v>
      </c>
      <c r="C39" s="20" t="s">
        <v>2262</v>
      </c>
      <c r="D39" s="41">
        <v>45664.0</v>
      </c>
    </row>
    <row r="40">
      <c r="A40" s="19" t="s">
        <v>1137</v>
      </c>
      <c r="B40" s="20">
        <v>85.0</v>
      </c>
      <c r="C40" s="20" t="s">
        <v>2263</v>
      </c>
      <c r="D40" s="41">
        <v>45664.0</v>
      </c>
    </row>
    <row r="41">
      <c r="A41" s="19" t="s">
        <v>805</v>
      </c>
      <c r="B41" s="20">
        <v>85.0</v>
      </c>
      <c r="C41" s="20" t="s">
        <v>2264</v>
      </c>
      <c r="D41" s="41">
        <v>45664.0</v>
      </c>
    </row>
    <row r="42">
      <c r="A42" s="19" t="s">
        <v>1340</v>
      </c>
      <c r="B42" s="20">
        <v>85.0</v>
      </c>
      <c r="C42" s="20" t="s">
        <v>2265</v>
      </c>
      <c r="D42" s="41">
        <v>45664.0</v>
      </c>
    </row>
    <row r="43">
      <c r="A43" s="19" t="s">
        <v>609</v>
      </c>
      <c r="B43" s="20">
        <v>85.0</v>
      </c>
      <c r="C43" s="20" t="s">
        <v>2266</v>
      </c>
      <c r="D43" s="41">
        <v>45664.0</v>
      </c>
    </row>
    <row r="44">
      <c r="A44" s="19" t="s">
        <v>1464</v>
      </c>
      <c r="B44" s="20">
        <v>85.0</v>
      </c>
      <c r="C44" s="20" t="s">
        <v>2267</v>
      </c>
      <c r="D44" s="41">
        <v>45664.0</v>
      </c>
    </row>
    <row r="45">
      <c r="A45" s="19" t="s">
        <v>180</v>
      </c>
      <c r="B45" s="20">
        <v>85.0</v>
      </c>
      <c r="C45" s="20" t="s">
        <v>2268</v>
      </c>
      <c r="D45" s="41">
        <v>45664.0</v>
      </c>
    </row>
    <row r="46">
      <c r="A46" s="19" t="s">
        <v>614</v>
      </c>
      <c r="B46" s="20">
        <v>85.0</v>
      </c>
      <c r="C46" s="20" t="s">
        <v>2269</v>
      </c>
      <c r="D46" s="41">
        <v>45664.0</v>
      </c>
    </row>
    <row r="47">
      <c r="A47" s="19" t="s">
        <v>1350</v>
      </c>
      <c r="B47" s="20">
        <v>85.0</v>
      </c>
      <c r="C47" s="20" t="s">
        <v>2270</v>
      </c>
      <c r="D47" s="41">
        <v>45664.0</v>
      </c>
    </row>
    <row r="48">
      <c r="A48" s="19" t="s">
        <v>274</v>
      </c>
      <c r="B48" s="20">
        <v>85.0</v>
      </c>
      <c r="C48" s="20" t="s">
        <v>2271</v>
      </c>
      <c r="D48" s="41">
        <v>45664.0</v>
      </c>
    </row>
    <row r="49">
      <c r="A49" s="19" t="s">
        <v>231</v>
      </c>
      <c r="B49" s="20">
        <v>85.0</v>
      </c>
      <c r="C49" s="20" t="s">
        <v>2272</v>
      </c>
      <c r="D49" s="41">
        <v>45664.0</v>
      </c>
    </row>
    <row r="50">
      <c r="A50" s="19" t="s">
        <v>166</v>
      </c>
      <c r="B50" s="20">
        <v>85.0</v>
      </c>
      <c r="C50" s="20" t="s">
        <v>2273</v>
      </c>
      <c r="D50" s="41">
        <v>45664.0</v>
      </c>
    </row>
    <row r="51">
      <c r="A51" s="19" t="s">
        <v>1456</v>
      </c>
      <c r="B51" s="20">
        <v>85.0</v>
      </c>
      <c r="C51" s="20" t="s">
        <v>2274</v>
      </c>
      <c r="D51" s="41">
        <v>45664.0</v>
      </c>
    </row>
    <row r="52">
      <c r="A52" s="19" t="s">
        <v>811</v>
      </c>
      <c r="B52" s="20">
        <v>85.0</v>
      </c>
      <c r="C52" s="20" t="s">
        <v>2275</v>
      </c>
      <c r="D52" s="41">
        <v>45664.0</v>
      </c>
    </row>
    <row r="53">
      <c r="A53" s="19" t="s">
        <v>1089</v>
      </c>
      <c r="B53" s="20">
        <v>85.0</v>
      </c>
      <c r="C53" s="20" t="s">
        <v>2276</v>
      </c>
      <c r="D53" s="41">
        <v>45664.0</v>
      </c>
    </row>
    <row r="54">
      <c r="A54" s="19" t="s">
        <v>1200</v>
      </c>
      <c r="B54" s="20">
        <v>85.0</v>
      </c>
      <c r="C54" s="20" t="s">
        <v>2277</v>
      </c>
      <c r="D54" s="41">
        <v>45664.0</v>
      </c>
    </row>
    <row r="55">
      <c r="A55" s="19" t="s">
        <v>1526</v>
      </c>
      <c r="B55" s="20">
        <v>85.0</v>
      </c>
      <c r="C55" s="20" t="s">
        <v>2278</v>
      </c>
      <c r="D55" s="41">
        <v>45664.0</v>
      </c>
    </row>
    <row r="56">
      <c r="A56" s="19" t="s">
        <v>1511</v>
      </c>
      <c r="B56" s="20">
        <v>85.0</v>
      </c>
      <c r="C56" s="20" t="s">
        <v>2279</v>
      </c>
      <c r="D56" s="41">
        <v>45664.0</v>
      </c>
    </row>
    <row r="57">
      <c r="A57" s="19" t="s">
        <v>821</v>
      </c>
      <c r="B57" s="20">
        <v>85.0</v>
      </c>
      <c r="C57" s="20" t="s">
        <v>2280</v>
      </c>
      <c r="D57" s="41">
        <v>45664.0</v>
      </c>
    </row>
    <row r="58">
      <c r="A58" s="19" t="s">
        <v>1435</v>
      </c>
      <c r="B58" s="20">
        <v>85.0</v>
      </c>
      <c r="C58" s="20" t="s">
        <v>2281</v>
      </c>
      <c r="D58" s="41">
        <v>45664.0</v>
      </c>
    </row>
    <row r="59">
      <c r="A59" s="19" t="s">
        <v>147</v>
      </c>
      <c r="B59" s="20">
        <v>85.0</v>
      </c>
      <c r="C59" s="20" t="s">
        <v>2282</v>
      </c>
      <c r="D59" s="41">
        <v>45664.0</v>
      </c>
    </row>
    <row r="60">
      <c r="A60" s="19" t="s">
        <v>878</v>
      </c>
      <c r="B60" s="20">
        <v>85.0</v>
      </c>
      <c r="C60" s="20" t="s">
        <v>2283</v>
      </c>
      <c r="D60" s="41">
        <v>45664.0</v>
      </c>
    </row>
    <row r="61">
      <c r="A61" s="19" t="s">
        <v>785</v>
      </c>
      <c r="B61" s="20">
        <v>85.0</v>
      </c>
      <c r="C61" s="20" t="s">
        <v>2284</v>
      </c>
      <c r="D61" s="41">
        <v>45664.0</v>
      </c>
    </row>
    <row r="62">
      <c r="A62" s="19" t="s">
        <v>250</v>
      </c>
      <c r="B62" s="20">
        <v>85.0</v>
      </c>
      <c r="C62" s="20" t="s">
        <v>2285</v>
      </c>
      <c r="D62" s="41">
        <v>45664.0</v>
      </c>
    </row>
    <row r="63">
      <c r="A63" s="19" t="s">
        <v>819</v>
      </c>
      <c r="B63" s="20">
        <v>85.0</v>
      </c>
      <c r="C63" s="20" t="s">
        <v>2286</v>
      </c>
      <c r="D63" s="41">
        <v>45664.0</v>
      </c>
    </row>
    <row r="64">
      <c r="A64" s="19" t="s">
        <v>1393</v>
      </c>
      <c r="B64" s="20">
        <v>85.0</v>
      </c>
      <c r="C64" s="20" t="s">
        <v>2287</v>
      </c>
      <c r="D64" s="41">
        <v>45664.0</v>
      </c>
    </row>
    <row r="65">
      <c r="A65" s="19" t="s">
        <v>510</v>
      </c>
      <c r="B65" s="20">
        <v>85.0</v>
      </c>
      <c r="C65" s="20" t="s">
        <v>2288</v>
      </c>
      <c r="D65" s="41">
        <v>45664.0</v>
      </c>
    </row>
    <row r="66">
      <c r="A66" s="19" t="s">
        <v>143</v>
      </c>
      <c r="B66" s="20">
        <v>85.0</v>
      </c>
      <c r="C66" s="20" t="s">
        <v>2289</v>
      </c>
      <c r="D66" s="41">
        <v>45664.0</v>
      </c>
    </row>
    <row r="67">
      <c r="A67" s="19" t="s">
        <v>51</v>
      </c>
      <c r="B67" s="20">
        <v>85.0</v>
      </c>
      <c r="C67" s="20" t="s">
        <v>2290</v>
      </c>
      <c r="D67" s="41">
        <v>45664.0</v>
      </c>
    </row>
    <row r="68">
      <c r="A68" s="19" t="s">
        <v>252</v>
      </c>
      <c r="B68" s="20">
        <v>85.0</v>
      </c>
      <c r="C68" s="20" t="s">
        <v>2291</v>
      </c>
      <c r="D68" s="41">
        <v>45664.0</v>
      </c>
    </row>
    <row r="69">
      <c r="A69" s="19" t="s">
        <v>40</v>
      </c>
      <c r="B69" s="20">
        <v>85.0</v>
      </c>
      <c r="C69" s="20" t="s">
        <v>2292</v>
      </c>
      <c r="D69" s="41">
        <v>45664.0</v>
      </c>
    </row>
    <row r="70">
      <c r="A70" s="19" t="s">
        <v>122</v>
      </c>
      <c r="B70" s="20">
        <v>85.0</v>
      </c>
      <c r="C70" s="20" t="s">
        <v>2293</v>
      </c>
      <c r="D70" s="41">
        <v>45664.0</v>
      </c>
    </row>
    <row r="71">
      <c r="A71" s="19" t="s">
        <v>900</v>
      </c>
      <c r="B71" s="20">
        <v>85.0</v>
      </c>
      <c r="C71" s="20" t="s">
        <v>2294</v>
      </c>
      <c r="D71" s="41">
        <v>45664.0</v>
      </c>
    </row>
    <row r="72">
      <c r="A72" s="19" t="s">
        <v>46</v>
      </c>
      <c r="B72" s="20">
        <v>85.0</v>
      </c>
      <c r="C72" s="20" t="s">
        <v>2295</v>
      </c>
      <c r="D72" s="41">
        <v>45664.0</v>
      </c>
    </row>
    <row r="73">
      <c r="A73" s="19" t="s">
        <v>1219</v>
      </c>
      <c r="B73" s="20">
        <v>85.0</v>
      </c>
      <c r="C73" s="20" t="s">
        <v>2296</v>
      </c>
      <c r="D73" s="41">
        <v>45664.0</v>
      </c>
    </row>
    <row r="74">
      <c r="A74" s="19" t="s">
        <v>798</v>
      </c>
      <c r="B74" s="20">
        <v>85.0</v>
      </c>
      <c r="C74" s="20" t="s">
        <v>2297</v>
      </c>
      <c r="D74" s="41">
        <v>45664.0</v>
      </c>
    </row>
    <row r="75">
      <c r="A75" s="19" t="s">
        <v>1094</v>
      </c>
      <c r="B75" s="20">
        <v>85.0</v>
      </c>
      <c r="C75" s="20" t="s">
        <v>2298</v>
      </c>
      <c r="D75" s="41">
        <v>45664.0</v>
      </c>
    </row>
    <row r="76">
      <c r="A76" s="19" t="s">
        <v>795</v>
      </c>
      <c r="B76" s="20">
        <v>85.0</v>
      </c>
      <c r="C76" s="20" t="s">
        <v>2299</v>
      </c>
      <c r="D76" s="41">
        <v>45664.0</v>
      </c>
    </row>
    <row r="77">
      <c r="A77" s="19" t="s">
        <v>1202</v>
      </c>
      <c r="B77" s="20">
        <v>85.0</v>
      </c>
      <c r="C77" s="20" t="s">
        <v>2300</v>
      </c>
      <c r="D77" s="41">
        <v>45664.0</v>
      </c>
    </row>
    <row r="78">
      <c r="A78" s="19" t="s">
        <v>455</v>
      </c>
      <c r="B78" s="20">
        <v>85.0</v>
      </c>
      <c r="C78" s="20" t="s">
        <v>2301</v>
      </c>
      <c r="D78" s="41">
        <v>45664.0</v>
      </c>
    </row>
    <row r="79">
      <c r="A79" s="19" t="s">
        <v>170</v>
      </c>
      <c r="B79" s="20">
        <v>85.0</v>
      </c>
      <c r="C79" s="20" t="s">
        <v>2302</v>
      </c>
      <c r="D79" s="41">
        <v>45664.0</v>
      </c>
    </row>
    <row r="80">
      <c r="A80" s="19" t="s">
        <v>126</v>
      </c>
      <c r="B80" s="20">
        <v>85.0</v>
      </c>
      <c r="C80" s="20" t="s">
        <v>2303</v>
      </c>
      <c r="D80" s="41">
        <v>45664.0</v>
      </c>
    </row>
    <row r="81">
      <c r="A81" s="19" t="s">
        <v>890</v>
      </c>
      <c r="B81" s="20">
        <v>85.0</v>
      </c>
      <c r="C81" s="20" t="s">
        <v>2304</v>
      </c>
      <c r="D81" s="41">
        <v>45664.0</v>
      </c>
    </row>
    <row r="82">
      <c r="A82" s="19" t="s">
        <v>833</v>
      </c>
      <c r="B82" s="20">
        <v>85.0</v>
      </c>
      <c r="C82" s="20" t="s">
        <v>2305</v>
      </c>
      <c r="D82" s="41">
        <v>45664.0</v>
      </c>
    </row>
    <row r="83">
      <c r="A83" s="19" t="s">
        <v>777</v>
      </c>
      <c r="B83" s="20">
        <v>85.0</v>
      </c>
      <c r="C83" s="20" t="s">
        <v>2306</v>
      </c>
      <c r="D83" s="41">
        <v>45664.0</v>
      </c>
    </row>
    <row r="84">
      <c r="A84" s="19" t="s">
        <v>857</v>
      </c>
      <c r="B84" s="20">
        <v>85.0</v>
      </c>
      <c r="C84" s="20" t="s">
        <v>2307</v>
      </c>
      <c r="D84" s="41">
        <v>45664.0</v>
      </c>
    </row>
    <row r="85">
      <c r="A85" s="19" t="s">
        <v>1462</v>
      </c>
      <c r="B85" s="20">
        <v>85.0</v>
      </c>
      <c r="C85" s="20" t="s">
        <v>2308</v>
      </c>
      <c r="D85" s="41">
        <v>45664.0</v>
      </c>
    </row>
    <row r="86">
      <c r="A86" s="19" t="s">
        <v>187</v>
      </c>
      <c r="B86" s="20">
        <v>85.0</v>
      </c>
      <c r="C86" s="20" t="s">
        <v>2309</v>
      </c>
      <c r="D86" s="41">
        <v>45664.0</v>
      </c>
    </row>
    <row r="87">
      <c r="A87" s="19" t="s">
        <v>404</v>
      </c>
      <c r="B87" s="20">
        <v>85.0</v>
      </c>
      <c r="C87" s="20" t="s">
        <v>2310</v>
      </c>
      <c r="D87" s="41">
        <v>45664.0</v>
      </c>
    </row>
    <row r="88">
      <c r="A88" s="19" t="s">
        <v>870</v>
      </c>
      <c r="B88" s="20">
        <v>85.0</v>
      </c>
      <c r="C88" s="20" t="s">
        <v>2311</v>
      </c>
      <c r="D88" s="41">
        <v>45664.0</v>
      </c>
    </row>
    <row r="89">
      <c r="A89" s="19" t="s">
        <v>295</v>
      </c>
      <c r="B89" s="20">
        <v>85.0</v>
      </c>
      <c r="C89" s="20" t="s">
        <v>2312</v>
      </c>
      <c r="D89" s="41">
        <v>45664.0</v>
      </c>
    </row>
    <row r="90">
      <c r="A90" s="19" t="s">
        <v>985</v>
      </c>
      <c r="B90" s="20">
        <v>85.0</v>
      </c>
      <c r="C90" s="20" t="s">
        <v>2313</v>
      </c>
      <c r="D90" s="41">
        <v>45664.0</v>
      </c>
    </row>
    <row r="91">
      <c r="A91" s="19" t="s">
        <v>1309</v>
      </c>
      <c r="B91" s="20">
        <v>85.0</v>
      </c>
      <c r="C91" s="20" t="s">
        <v>2314</v>
      </c>
      <c r="D91" s="41">
        <v>45664.0</v>
      </c>
    </row>
    <row r="92">
      <c r="A92" s="19" t="s">
        <v>1281</v>
      </c>
      <c r="B92" s="20">
        <v>85.0</v>
      </c>
      <c r="C92" s="20" t="s">
        <v>2315</v>
      </c>
      <c r="D92" s="41">
        <v>45664.0</v>
      </c>
    </row>
    <row r="93">
      <c r="A93" s="19" t="s">
        <v>1104</v>
      </c>
      <c r="B93" s="20">
        <v>85.0</v>
      </c>
      <c r="C93" s="20" t="s">
        <v>2316</v>
      </c>
      <c r="D93" s="41">
        <v>45664.0</v>
      </c>
    </row>
    <row r="94">
      <c r="A94" s="19" t="s">
        <v>947</v>
      </c>
      <c r="B94" s="20">
        <v>85.0</v>
      </c>
      <c r="C94" s="20" t="s">
        <v>2317</v>
      </c>
      <c r="D94" s="41">
        <v>45664.0</v>
      </c>
    </row>
    <row r="95">
      <c r="A95" s="19" t="s">
        <v>1107</v>
      </c>
      <c r="B95" s="20">
        <v>85.0</v>
      </c>
      <c r="C95" s="20" t="s">
        <v>2318</v>
      </c>
      <c r="D95" s="41">
        <v>45664.0</v>
      </c>
    </row>
    <row r="96">
      <c r="A96" s="19" t="s">
        <v>945</v>
      </c>
      <c r="B96" s="20">
        <v>85.0</v>
      </c>
      <c r="C96" s="20" t="s">
        <v>2319</v>
      </c>
      <c r="D96" s="41">
        <v>45664.0</v>
      </c>
    </row>
    <row r="97">
      <c r="A97" s="19" t="s">
        <v>1133</v>
      </c>
      <c r="B97" s="20">
        <v>85.0</v>
      </c>
      <c r="C97" s="20" t="s">
        <v>2320</v>
      </c>
      <c r="D97" s="41">
        <v>45664.0</v>
      </c>
    </row>
    <row r="98">
      <c r="A98" s="19" t="s">
        <v>144</v>
      </c>
      <c r="B98" s="20">
        <v>85.0</v>
      </c>
      <c r="C98" s="20" t="s">
        <v>2321</v>
      </c>
      <c r="D98" s="41">
        <v>45664.0</v>
      </c>
    </row>
    <row r="99">
      <c r="A99" s="19" t="s">
        <v>1605</v>
      </c>
      <c r="B99" s="20">
        <v>85.0</v>
      </c>
      <c r="C99" s="20" t="s">
        <v>2322</v>
      </c>
      <c r="D99" s="41">
        <v>45664.0</v>
      </c>
    </row>
    <row r="100">
      <c r="A100" s="19" t="s">
        <v>1377</v>
      </c>
      <c r="B100" s="20">
        <v>85.0</v>
      </c>
      <c r="C100" s="20" t="s">
        <v>2323</v>
      </c>
      <c r="D100" s="41">
        <v>45664.0</v>
      </c>
    </row>
    <row r="101">
      <c r="A101" s="19" t="s">
        <v>151</v>
      </c>
      <c r="B101" s="20">
        <v>85.0</v>
      </c>
      <c r="C101" s="20" t="s">
        <v>2324</v>
      </c>
      <c r="D101" s="41">
        <v>45664.0</v>
      </c>
    </row>
    <row r="102">
      <c r="A102" s="19" t="s">
        <v>1177</v>
      </c>
      <c r="B102" s="20">
        <v>85.0</v>
      </c>
      <c r="C102" s="20" t="s">
        <v>2325</v>
      </c>
      <c r="D102" s="41">
        <v>45664.0</v>
      </c>
    </row>
    <row r="103">
      <c r="A103" s="19" t="s">
        <v>1611</v>
      </c>
      <c r="B103" s="20">
        <v>85.0</v>
      </c>
      <c r="C103" s="20" t="s">
        <v>2326</v>
      </c>
      <c r="D103" s="41">
        <v>45664.0</v>
      </c>
    </row>
    <row r="104">
      <c r="A104" s="19" t="s">
        <v>780</v>
      </c>
      <c r="B104" s="20">
        <v>85.0</v>
      </c>
      <c r="C104" s="20" t="s">
        <v>2327</v>
      </c>
      <c r="D104" s="41">
        <v>45664.0</v>
      </c>
    </row>
    <row r="105">
      <c r="A105" s="19" t="s">
        <v>15</v>
      </c>
      <c r="B105" s="20">
        <v>85.0</v>
      </c>
      <c r="C105" s="20" t="s">
        <v>2328</v>
      </c>
      <c r="D105" s="41">
        <v>45664.0</v>
      </c>
    </row>
    <row r="106">
      <c r="A106" s="19" t="s">
        <v>1613</v>
      </c>
      <c r="B106" s="20">
        <v>85.0</v>
      </c>
      <c r="C106" s="20" t="s">
        <v>2329</v>
      </c>
      <c r="D106" s="41">
        <v>45664.0</v>
      </c>
    </row>
    <row r="107">
      <c r="A107" s="19" t="s">
        <v>1125</v>
      </c>
      <c r="B107" s="20">
        <v>85.0</v>
      </c>
      <c r="C107" s="20" t="s">
        <v>2330</v>
      </c>
      <c r="D107" s="41">
        <v>45664.0</v>
      </c>
    </row>
    <row r="108">
      <c r="A108" s="19" t="s">
        <v>995</v>
      </c>
      <c r="B108" s="20">
        <v>85.0</v>
      </c>
      <c r="C108" s="20" t="s">
        <v>2331</v>
      </c>
      <c r="D108" s="41">
        <v>45664.0</v>
      </c>
    </row>
    <row r="109">
      <c r="A109" s="19" t="s">
        <v>229</v>
      </c>
      <c r="B109" s="20">
        <v>85.0</v>
      </c>
      <c r="C109" s="20" t="s">
        <v>2332</v>
      </c>
      <c r="D109" s="41">
        <v>45664.0</v>
      </c>
    </row>
    <row r="110">
      <c r="A110" s="19" t="s">
        <v>1171</v>
      </c>
      <c r="B110" s="20">
        <v>85.0</v>
      </c>
      <c r="C110" s="20" t="s">
        <v>2333</v>
      </c>
      <c r="D110" s="41">
        <v>45664.0</v>
      </c>
    </row>
    <row r="111">
      <c r="A111" s="19" t="s">
        <v>864</v>
      </c>
      <c r="B111" s="20">
        <v>85.0</v>
      </c>
      <c r="C111" s="20" t="s">
        <v>2334</v>
      </c>
      <c r="D111" s="41">
        <v>45664.0</v>
      </c>
    </row>
    <row r="112">
      <c r="A112" s="19" t="s">
        <v>1086</v>
      </c>
      <c r="B112" s="20">
        <v>85.0</v>
      </c>
      <c r="C112" s="20" t="s">
        <v>2335</v>
      </c>
      <c r="D112" s="41">
        <v>45664.0</v>
      </c>
    </row>
    <row r="113">
      <c r="A113" s="19" t="s">
        <v>987</v>
      </c>
      <c r="B113" s="20">
        <v>85.0</v>
      </c>
      <c r="C113" s="20" t="s">
        <v>2336</v>
      </c>
      <c r="D113" s="41">
        <v>45664.0</v>
      </c>
    </row>
    <row r="114">
      <c r="A114" s="19" t="s">
        <v>1547</v>
      </c>
      <c r="B114" s="20">
        <v>85.0</v>
      </c>
      <c r="C114" s="20" t="s">
        <v>2337</v>
      </c>
      <c r="D114" s="41">
        <v>45664.0</v>
      </c>
    </row>
    <row r="115">
      <c r="A115" s="19" t="s">
        <v>1334</v>
      </c>
      <c r="B115" s="20">
        <v>85.0</v>
      </c>
      <c r="C115" s="20" t="s">
        <v>2338</v>
      </c>
      <c r="D115" s="41">
        <v>45664.0</v>
      </c>
    </row>
    <row r="116">
      <c r="A116" s="19" t="s">
        <v>22</v>
      </c>
      <c r="B116" s="20">
        <v>85.0</v>
      </c>
      <c r="C116" s="20" t="s">
        <v>2339</v>
      </c>
      <c r="D116" s="41">
        <v>45664.0</v>
      </c>
    </row>
    <row r="117">
      <c r="A117" s="19" t="s">
        <v>1000</v>
      </c>
      <c r="B117" s="20">
        <v>85.0</v>
      </c>
      <c r="C117" s="20" t="s">
        <v>2340</v>
      </c>
      <c r="D117" s="41">
        <v>45664.0</v>
      </c>
    </row>
    <row r="118">
      <c r="A118" s="19" t="s">
        <v>923</v>
      </c>
      <c r="B118" s="20">
        <v>85.0</v>
      </c>
      <c r="C118" s="20" t="s">
        <v>2341</v>
      </c>
      <c r="D118" s="41">
        <v>45664.0</v>
      </c>
    </row>
    <row r="119">
      <c r="A119" s="19" t="s">
        <v>1208</v>
      </c>
      <c r="B119" s="20">
        <v>85.0</v>
      </c>
      <c r="C119" s="20" t="s">
        <v>2342</v>
      </c>
      <c r="D119" s="41">
        <v>45664.0</v>
      </c>
    </row>
    <row r="120">
      <c r="A120" s="19" t="s">
        <v>915</v>
      </c>
      <c r="B120" s="20">
        <v>85.0</v>
      </c>
      <c r="C120" s="43" t="s">
        <v>2343</v>
      </c>
      <c r="D120" s="41">
        <v>45664.0</v>
      </c>
    </row>
    <row r="121">
      <c r="A121" s="19" t="s">
        <v>1043</v>
      </c>
      <c r="B121" s="20">
        <v>85.0</v>
      </c>
      <c r="C121" s="20" t="s">
        <v>2344</v>
      </c>
      <c r="D121" s="41">
        <v>45664.0</v>
      </c>
    </row>
    <row r="122">
      <c r="A122" s="19" t="s">
        <v>1472</v>
      </c>
      <c r="B122" s="20">
        <v>85.0</v>
      </c>
      <c r="C122" s="20" t="s">
        <v>2345</v>
      </c>
      <c r="D122" s="41">
        <v>45664.0</v>
      </c>
    </row>
    <row r="123">
      <c r="A123" s="19" t="s">
        <v>1217</v>
      </c>
      <c r="B123" s="20">
        <v>85.0</v>
      </c>
      <c r="C123" s="20" t="s">
        <v>2346</v>
      </c>
      <c r="D123" s="41">
        <v>45664.0</v>
      </c>
    </row>
    <row r="124">
      <c r="A124" s="19" t="s">
        <v>1010</v>
      </c>
      <c r="B124" s="20">
        <v>85.0</v>
      </c>
      <c r="C124" s="20" t="s">
        <v>2347</v>
      </c>
      <c r="D124" s="41">
        <v>45664.0</v>
      </c>
    </row>
    <row r="125">
      <c r="A125" s="19" t="s">
        <v>1163</v>
      </c>
      <c r="B125" s="20">
        <v>85.0</v>
      </c>
      <c r="C125" s="20" t="s">
        <v>2348</v>
      </c>
      <c r="D125" s="41">
        <v>45664.0</v>
      </c>
    </row>
    <row r="126">
      <c r="A126" s="19" t="s">
        <v>1074</v>
      </c>
      <c r="B126" s="20">
        <v>85.0</v>
      </c>
      <c r="C126" s="20" t="s">
        <v>2349</v>
      </c>
      <c r="D126" s="41">
        <v>45664.0</v>
      </c>
    </row>
    <row r="127">
      <c r="A127" s="19" t="s">
        <v>459</v>
      </c>
      <c r="B127" s="20">
        <v>85.0</v>
      </c>
      <c r="C127" s="43" t="s">
        <v>2350</v>
      </c>
      <c r="D127" s="41">
        <v>45664.0</v>
      </c>
    </row>
    <row r="128">
      <c r="A128" s="19" t="s">
        <v>963</v>
      </c>
      <c r="B128" s="20">
        <v>85.0</v>
      </c>
      <c r="C128" s="20" t="s">
        <v>2351</v>
      </c>
      <c r="D128" s="41">
        <v>45664.0</v>
      </c>
    </row>
    <row r="129">
      <c r="A129" s="19" t="s">
        <v>1530</v>
      </c>
      <c r="B129" s="20">
        <v>85.0</v>
      </c>
      <c r="C129" s="20" t="s">
        <v>2352</v>
      </c>
      <c r="D129" s="41">
        <v>45664.0</v>
      </c>
    </row>
    <row r="130">
      <c r="A130" s="19" t="s">
        <v>263</v>
      </c>
      <c r="B130" s="20">
        <v>85.0</v>
      </c>
      <c r="C130" s="20" t="s">
        <v>2353</v>
      </c>
      <c r="D130" s="41">
        <v>45664.0</v>
      </c>
    </row>
    <row r="131">
      <c r="A131" s="19" t="s">
        <v>961</v>
      </c>
      <c r="B131" s="20">
        <v>85.0</v>
      </c>
      <c r="C131" s="20" t="s">
        <v>2354</v>
      </c>
      <c r="D131" s="41">
        <v>45664.0</v>
      </c>
    </row>
    <row r="132">
      <c r="A132" s="19" t="s">
        <v>1634</v>
      </c>
      <c r="B132" s="20">
        <v>85.0</v>
      </c>
      <c r="C132" s="20" t="s">
        <v>2355</v>
      </c>
      <c r="D132" s="41">
        <v>45664.0</v>
      </c>
    </row>
    <row r="133">
      <c r="A133" s="19" t="s">
        <v>843</v>
      </c>
      <c r="B133" s="20">
        <v>85.0</v>
      </c>
      <c r="C133" s="20" t="s">
        <v>2356</v>
      </c>
      <c r="D133" s="41">
        <v>45664.0</v>
      </c>
    </row>
    <row r="134">
      <c r="A134" s="19" t="s">
        <v>809</v>
      </c>
      <c r="B134" s="20">
        <v>85.0</v>
      </c>
      <c r="C134" s="20" t="s">
        <v>2357</v>
      </c>
      <c r="D134" s="41">
        <v>45664.0</v>
      </c>
    </row>
    <row r="135">
      <c r="A135" s="19" t="s">
        <v>841</v>
      </c>
      <c r="B135" s="20">
        <v>85.0</v>
      </c>
      <c r="C135" s="20" t="s">
        <v>2358</v>
      </c>
      <c r="D135" s="41">
        <v>45664.0</v>
      </c>
    </row>
    <row r="136">
      <c r="A136" s="19" t="s">
        <v>1628</v>
      </c>
      <c r="B136" s="20">
        <v>85.0</v>
      </c>
      <c r="C136" s="20" t="s">
        <v>2359</v>
      </c>
      <c r="D136" s="41">
        <v>45664.0</v>
      </c>
    </row>
    <row r="137">
      <c r="A137" s="19" t="s">
        <v>1151</v>
      </c>
      <c r="B137" s="20">
        <v>85.0</v>
      </c>
      <c r="C137" s="20" t="s">
        <v>2360</v>
      </c>
      <c r="D137" s="41">
        <v>45664.0</v>
      </c>
    </row>
    <row r="138">
      <c r="A138" s="19" t="s">
        <v>1025</v>
      </c>
      <c r="B138" s="20">
        <v>85.0</v>
      </c>
      <c r="C138" s="20" t="s">
        <v>2361</v>
      </c>
      <c r="D138" s="41">
        <v>45664.0</v>
      </c>
    </row>
    <row r="139">
      <c r="A139" s="19" t="s">
        <v>766</v>
      </c>
      <c r="B139" s="20">
        <v>85.0</v>
      </c>
      <c r="C139" s="20" t="s">
        <v>2362</v>
      </c>
      <c r="D139" s="41">
        <v>45664.0</v>
      </c>
    </row>
    <row r="140">
      <c r="A140" s="19" t="s">
        <v>958</v>
      </c>
      <c r="B140" s="20">
        <v>85.0</v>
      </c>
      <c r="C140" s="20" t="s">
        <v>2363</v>
      </c>
      <c r="D140" s="41">
        <v>45664.0</v>
      </c>
    </row>
    <row r="141">
      <c r="A141" s="19" t="s">
        <v>1023</v>
      </c>
      <c r="B141" s="20">
        <v>85.0</v>
      </c>
      <c r="C141" s="20" t="s">
        <v>2364</v>
      </c>
      <c r="D141" s="41">
        <v>45664.0</v>
      </c>
    </row>
    <row r="142">
      <c r="A142" s="19" t="s">
        <v>1061</v>
      </c>
      <c r="B142" s="20">
        <v>85.0</v>
      </c>
      <c r="C142" s="20" t="s">
        <v>2365</v>
      </c>
      <c r="D142" s="41">
        <v>45664.0</v>
      </c>
    </row>
    <row r="143">
      <c r="A143" s="19" t="s">
        <v>1387</v>
      </c>
      <c r="B143" s="20">
        <v>85.0</v>
      </c>
      <c r="C143" s="20" t="s">
        <v>2366</v>
      </c>
      <c r="D143" s="41">
        <v>45664.0</v>
      </c>
    </row>
    <row r="144">
      <c r="A144" s="19" t="s">
        <v>12</v>
      </c>
      <c r="B144" s="20">
        <v>85.0</v>
      </c>
      <c r="C144" s="20" t="s">
        <v>2367</v>
      </c>
      <c r="D144" s="41">
        <v>45664.0</v>
      </c>
    </row>
    <row r="145">
      <c r="A145" s="19" t="s">
        <v>1153</v>
      </c>
      <c r="B145" s="20">
        <v>85.0</v>
      </c>
      <c r="C145" s="20" t="s">
        <v>2368</v>
      </c>
      <c r="D145" s="41">
        <v>45664.0</v>
      </c>
    </row>
    <row r="146">
      <c r="A146" s="19" t="s">
        <v>1474</v>
      </c>
      <c r="B146" s="20">
        <v>80.0</v>
      </c>
      <c r="C146" s="20" t="s">
        <v>2369</v>
      </c>
      <c r="D146" s="41">
        <v>45664.0</v>
      </c>
    </row>
    <row r="147">
      <c r="A147" s="19" t="s">
        <v>1630</v>
      </c>
      <c r="B147" s="20">
        <v>80.0</v>
      </c>
      <c r="C147" s="20" t="s">
        <v>2370</v>
      </c>
      <c r="D147" s="41">
        <v>45664.0</v>
      </c>
    </row>
    <row r="148">
      <c r="A148" s="19" t="s">
        <v>951</v>
      </c>
      <c r="B148" s="20">
        <v>80.0</v>
      </c>
      <c r="C148" s="20" t="s">
        <v>2371</v>
      </c>
      <c r="D148" s="41">
        <v>45664.0</v>
      </c>
    </row>
    <row r="149">
      <c r="A149" s="19" t="s">
        <v>242</v>
      </c>
      <c r="B149" s="20">
        <v>80.0</v>
      </c>
      <c r="C149" s="20" t="s">
        <v>2372</v>
      </c>
      <c r="D149" s="41">
        <v>45664.0</v>
      </c>
    </row>
    <row r="150">
      <c r="A150" s="19" t="s">
        <v>1291</v>
      </c>
      <c r="B150" s="20">
        <v>80.0</v>
      </c>
      <c r="C150" s="20" t="s">
        <v>2373</v>
      </c>
      <c r="D150" s="41">
        <v>45664.0</v>
      </c>
    </row>
    <row r="151">
      <c r="A151" s="19" t="s">
        <v>1493</v>
      </c>
      <c r="B151" s="20">
        <v>80.0</v>
      </c>
      <c r="C151" s="20" t="s">
        <v>2374</v>
      </c>
      <c r="D151" s="41">
        <v>45664.0</v>
      </c>
    </row>
    <row r="152">
      <c r="A152" s="19" t="s">
        <v>59</v>
      </c>
      <c r="B152" s="20">
        <v>80.0</v>
      </c>
      <c r="C152" s="20" t="s">
        <v>2375</v>
      </c>
      <c r="D152" s="41">
        <v>45664.0</v>
      </c>
    </row>
    <row r="153">
      <c r="A153" s="19" t="s">
        <v>829</v>
      </c>
      <c r="B153" s="20">
        <v>80.0</v>
      </c>
      <c r="C153" s="20" t="s">
        <v>2376</v>
      </c>
      <c r="D153" s="41">
        <v>45664.0</v>
      </c>
    </row>
    <row r="154">
      <c r="A154" s="19" t="s">
        <v>1210</v>
      </c>
      <c r="B154" s="20">
        <v>80.0</v>
      </c>
      <c r="C154" s="20" t="s">
        <v>2377</v>
      </c>
      <c r="D154" s="41">
        <v>45664.0</v>
      </c>
    </row>
    <row r="155">
      <c r="A155" s="19" t="s">
        <v>21</v>
      </c>
      <c r="B155" s="20">
        <v>80.0</v>
      </c>
      <c r="C155" s="20" t="s">
        <v>2378</v>
      </c>
      <c r="D155" s="41">
        <v>45664.0</v>
      </c>
    </row>
    <row r="156">
      <c r="A156" s="19" t="s">
        <v>244</v>
      </c>
      <c r="B156" s="20">
        <v>80.0</v>
      </c>
      <c r="C156" s="20" t="s">
        <v>2379</v>
      </c>
      <c r="D156" s="41">
        <v>45664.0</v>
      </c>
    </row>
    <row r="157">
      <c r="A157" s="19" t="s">
        <v>1423</v>
      </c>
      <c r="B157" s="20">
        <v>80.0</v>
      </c>
      <c r="C157" s="20" t="s">
        <v>2380</v>
      </c>
      <c r="D157" s="41">
        <v>45664.0</v>
      </c>
    </row>
    <row r="158">
      <c r="A158" s="19" t="s">
        <v>1549</v>
      </c>
      <c r="B158" s="20">
        <v>80.0</v>
      </c>
      <c r="C158" s="20" t="s">
        <v>2381</v>
      </c>
      <c r="D158" s="41">
        <v>45664.0</v>
      </c>
    </row>
    <row r="159">
      <c r="A159" s="19" t="s">
        <v>1002</v>
      </c>
      <c r="B159" s="20">
        <v>80.0</v>
      </c>
      <c r="C159" s="20" t="s">
        <v>2382</v>
      </c>
      <c r="D159" s="41">
        <v>45664.0</v>
      </c>
    </row>
    <row r="160">
      <c r="A160" s="19" t="s">
        <v>1289</v>
      </c>
      <c r="B160" s="20">
        <v>80.0</v>
      </c>
      <c r="C160" s="20" t="s">
        <v>2383</v>
      </c>
      <c r="D160" s="41">
        <v>45664.0</v>
      </c>
    </row>
    <row r="161">
      <c r="A161" s="19" t="s">
        <v>1287</v>
      </c>
      <c r="B161" s="20">
        <v>80.0</v>
      </c>
      <c r="C161" s="20" t="s">
        <v>2384</v>
      </c>
      <c r="D161" s="41">
        <v>45664.0</v>
      </c>
    </row>
    <row r="162">
      <c r="A162" s="19" t="s">
        <v>902</v>
      </c>
      <c r="B162" s="20">
        <v>80.0</v>
      </c>
      <c r="C162" s="20" t="s">
        <v>2385</v>
      </c>
      <c r="D162" s="41">
        <v>45664.0</v>
      </c>
    </row>
    <row r="163">
      <c r="A163" s="19" t="s">
        <v>1187</v>
      </c>
      <c r="B163" s="20">
        <v>80.0</v>
      </c>
      <c r="C163" s="20" t="s">
        <v>2386</v>
      </c>
      <c r="D163" s="41">
        <v>45664.0</v>
      </c>
    </row>
    <row r="164">
      <c r="A164" s="19" t="s">
        <v>1204</v>
      </c>
      <c r="B164" s="20">
        <v>80.0</v>
      </c>
      <c r="C164" s="20" t="s">
        <v>2387</v>
      </c>
      <c r="D164" s="41">
        <v>45664.0</v>
      </c>
    </row>
    <row r="165">
      <c r="A165" s="19" t="s">
        <v>1285</v>
      </c>
      <c r="B165" s="20">
        <v>80.0</v>
      </c>
      <c r="C165" s="20" t="s">
        <v>2388</v>
      </c>
      <c r="D165" s="41">
        <v>45664.0</v>
      </c>
    </row>
    <row r="166">
      <c r="A166" s="19" t="s">
        <v>277</v>
      </c>
      <c r="B166" s="20">
        <v>80.0</v>
      </c>
      <c r="C166" s="43" t="s">
        <v>2389</v>
      </c>
      <c r="D166" s="41">
        <v>45664.0</v>
      </c>
    </row>
    <row r="167">
      <c r="A167" s="19" t="s">
        <v>1373</v>
      </c>
      <c r="B167" s="20">
        <v>80.0</v>
      </c>
      <c r="C167" s="20" t="s">
        <v>2390</v>
      </c>
      <c r="D167" s="41">
        <v>45664.0</v>
      </c>
    </row>
    <row r="168">
      <c r="A168" s="19" t="s">
        <v>1250</v>
      </c>
      <c r="B168" s="20">
        <v>80.0</v>
      </c>
      <c r="C168" s="20" t="s">
        <v>2391</v>
      </c>
      <c r="D168" s="41">
        <v>45664.0</v>
      </c>
    </row>
    <row r="169">
      <c r="A169" s="19" t="s">
        <v>1555</v>
      </c>
      <c r="B169" s="20">
        <v>80.0</v>
      </c>
      <c r="C169" s="20" t="s">
        <v>2392</v>
      </c>
      <c r="D169" s="41">
        <v>45664.0</v>
      </c>
    </row>
    <row r="170">
      <c r="A170" s="19" t="s">
        <v>551</v>
      </c>
      <c r="B170" s="20">
        <v>80.0</v>
      </c>
      <c r="C170" s="20" t="s">
        <v>2393</v>
      </c>
      <c r="D170" s="41">
        <v>45664.0</v>
      </c>
    </row>
    <row r="171">
      <c r="A171" s="19" t="s">
        <v>1098</v>
      </c>
      <c r="B171" s="20">
        <v>80.0</v>
      </c>
      <c r="C171" s="20" t="s">
        <v>2394</v>
      </c>
      <c r="D171" s="41">
        <v>45664.0</v>
      </c>
    </row>
    <row r="172">
      <c r="A172" s="19" t="s">
        <v>1102</v>
      </c>
      <c r="B172" s="20">
        <v>80.0</v>
      </c>
      <c r="C172" s="20" t="s">
        <v>2395</v>
      </c>
      <c r="D172" s="41">
        <v>45664.0</v>
      </c>
    </row>
    <row r="173">
      <c r="A173" s="19" t="s">
        <v>917</v>
      </c>
      <c r="B173" s="20">
        <v>80.0</v>
      </c>
      <c r="C173" s="20" t="s">
        <v>2396</v>
      </c>
      <c r="D173" s="41">
        <v>45664.0</v>
      </c>
    </row>
    <row r="174">
      <c r="A174" s="19" t="s">
        <v>853</v>
      </c>
      <c r="B174" s="20">
        <v>80.0</v>
      </c>
      <c r="C174" s="20" t="s">
        <v>2397</v>
      </c>
      <c r="D174" s="41">
        <v>45664.0</v>
      </c>
    </row>
    <row r="175">
      <c r="A175" s="19" t="s">
        <v>1615</v>
      </c>
      <c r="B175" s="20">
        <v>80.0</v>
      </c>
      <c r="C175" s="20" t="s">
        <v>2398</v>
      </c>
      <c r="D175" s="41">
        <v>45664.0</v>
      </c>
    </row>
    <row r="176">
      <c r="A176" s="19" t="s">
        <v>886</v>
      </c>
      <c r="B176" s="20">
        <v>80.0</v>
      </c>
      <c r="C176" s="20" t="s">
        <v>2399</v>
      </c>
      <c r="D176" s="41">
        <v>45664.0</v>
      </c>
    </row>
    <row r="177">
      <c r="A177" s="19" t="s">
        <v>1566</v>
      </c>
      <c r="B177" s="20">
        <v>80.0</v>
      </c>
      <c r="C177" s="20" t="s">
        <v>2400</v>
      </c>
      <c r="D177" s="41">
        <v>45664.0</v>
      </c>
    </row>
    <row r="178">
      <c r="A178" s="19" t="s">
        <v>1096</v>
      </c>
      <c r="B178" s="20">
        <v>80.0</v>
      </c>
      <c r="C178" s="20" t="s">
        <v>2401</v>
      </c>
      <c r="D178" s="41">
        <v>45664.0</v>
      </c>
    </row>
    <row r="179">
      <c r="A179" s="19" t="s">
        <v>896</v>
      </c>
      <c r="B179" s="20">
        <v>80.0</v>
      </c>
      <c r="C179" s="20" t="s">
        <v>2402</v>
      </c>
      <c r="D179" s="41">
        <v>45664.0</v>
      </c>
    </row>
    <row r="180">
      <c r="A180" s="19" t="s">
        <v>1128</v>
      </c>
      <c r="B180" s="20">
        <v>80.0</v>
      </c>
      <c r="C180" s="20" t="s">
        <v>2403</v>
      </c>
      <c r="D180" s="41">
        <v>45664.0</v>
      </c>
    </row>
    <row r="181">
      <c r="A181" s="19" t="s">
        <v>859</v>
      </c>
      <c r="B181" s="20">
        <v>80.0</v>
      </c>
      <c r="C181" s="20" t="s">
        <v>2404</v>
      </c>
      <c r="D181" s="41">
        <v>45664.0</v>
      </c>
    </row>
    <row r="182">
      <c r="A182" s="19" t="s">
        <v>63</v>
      </c>
      <c r="B182" s="20">
        <v>80.0</v>
      </c>
      <c r="C182" s="20" t="s">
        <v>2405</v>
      </c>
      <c r="D182" s="41">
        <v>45664.0</v>
      </c>
    </row>
    <row r="183">
      <c r="A183" s="19" t="s">
        <v>300</v>
      </c>
      <c r="B183" s="20">
        <v>80.0</v>
      </c>
      <c r="C183" s="20" t="s">
        <v>2406</v>
      </c>
      <c r="D183" s="41">
        <v>45664.0</v>
      </c>
    </row>
    <row r="184">
      <c r="A184" s="19" t="s">
        <v>1402</v>
      </c>
      <c r="B184" s="20">
        <v>80.0</v>
      </c>
      <c r="C184" s="20" t="s">
        <v>2407</v>
      </c>
      <c r="D184" s="41">
        <v>45664.0</v>
      </c>
    </row>
    <row r="185">
      <c r="A185" s="19" t="s">
        <v>1041</v>
      </c>
      <c r="B185" s="20">
        <v>80.0</v>
      </c>
      <c r="C185" s="20" t="s">
        <v>2408</v>
      </c>
      <c r="D185" s="41">
        <v>45664.0</v>
      </c>
    </row>
    <row r="186">
      <c r="A186" s="19" t="s">
        <v>1624</v>
      </c>
      <c r="B186" s="20">
        <v>80.0</v>
      </c>
      <c r="C186" s="20" t="s">
        <v>2409</v>
      </c>
      <c r="D186" s="41">
        <v>45664.0</v>
      </c>
    </row>
    <row r="187">
      <c r="A187" s="19" t="s">
        <v>1445</v>
      </c>
      <c r="B187" s="20">
        <v>80.0</v>
      </c>
      <c r="C187" s="20" t="s">
        <v>2410</v>
      </c>
      <c r="D187" s="41">
        <v>45664.0</v>
      </c>
    </row>
    <row r="188">
      <c r="A188" s="19" t="s">
        <v>1590</v>
      </c>
      <c r="B188" s="20">
        <v>80.0</v>
      </c>
      <c r="C188" s="20" t="s">
        <v>2411</v>
      </c>
      <c r="D188" s="41">
        <v>45664.0</v>
      </c>
    </row>
    <row r="189">
      <c r="A189" s="19" t="s">
        <v>873</v>
      </c>
      <c r="B189" s="20">
        <v>80.0</v>
      </c>
      <c r="C189" s="20" t="s">
        <v>2412</v>
      </c>
      <c r="D189" s="41">
        <v>45664.0</v>
      </c>
    </row>
    <row r="190">
      <c r="A190" s="19" t="s">
        <v>1505</v>
      </c>
      <c r="B190" s="20">
        <v>80.0</v>
      </c>
      <c r="C190" s="20" t="s">
        <v>2413</v>
      </c>
      <c r="D190" s="41">
        <v>45664.0</v>
      </c>
    </row>
    <row r="191">
      <c r="A191" s="19" t="s">
        <v>57</v>
      </c>
      <c r="B191" s="20">
        <v>80.0</v>
      </c>
      <c r="C191" s="20" t="s">
        <v>2414</v>
      </c>
      <c r="D191" s="41">
        <v>45664.0</v>
      </c>
    </row>
    <row r="192">
      <c r="A192" s="19" t="s">
        <v>974</v>
      </c>
      <c r="B192" s="20">
        <v>80.0</v>
      </c>
      <c r="C192" s="20" t="s">
        <v>2415</v>
      </c>
      <c r="D192" s="41">
        <v>45664.0</v>
      </c>
    </row>
    <row r="193">
      <c r="A193" s="19" t="s">
        <v>1045</v>
      </c>
      <c r="B193" s="20">
        <v>80.0</v>
      </c>
      <c r="C193" s="20" t="s">
        <v>2416</v>
      </c>
      <c r="D193" s="41">
        <v>45664.0</v>
      </c>
    </row>
    <row r="194">
      <c r="A194" s="19" t="s">
        <v>1586</v>
      </c>
      <c r="B194" s="20">
        <v>80.0</v>
      </c>
      <c r="C194" s="20" t="s">
        <v>2417</v>
      </c>
      <c r="D194" s="41">
        <v>45664.0</v>
      </c>
    </row>
    <row r="195">
      <c r="A195" s="19" t="s">
        <v>787</v>
      </c>
      <c r="B195" s="20">
        <v>80.0</v>
      </c>
      <c r="C195" s="20" t="s">
        <v>2418</v>
      </c>
      <c r="D195" s="41">
        <v>45664.0</v>
      </c>
    </row>
    <row r="196">
      <c r="A196" s="19" t="s">
        <v>1582</v>
      </c>
      <c r="B196" s="20">
        <v>80.0</v>
      </c>
      <c r="C196" s="20" t="s">
        <v>2419</v>
      </c>
      <c r="D196" s="41">
        <v>45664.0</v>
      </c>
    </row>
    <row r="197">
      <c r="A197" s="19" t="s">
        <v>1592</v>
      </c>
      <c r="B197" s="20">
        <v>80.0</v>
      </c>
      <c r="C197" s="20" t="s">
        <v>2420</v>
      </c>
      <c r="D197" s="41">
        <v>45664.0</v>
      </c>
    </row>
    <row r="198">
      <c r="A198" s="19" t="s">
        <v>835</v>
      </c>
      <c r="B198" s="20">
        <v>80.0</v>
      </c>
      <c r="C198" s="20" t="s">
        <v>2421</v>
      </c>
      <c r="D198" s="41">
        <v>45664.0</v>
      </c>
    </row>
    <row r="199">
      <c r="A199" s="19" t="s">
        <v>1307</v>
      </c>
      <c r="B199" s="20">
        <v>80.0</v>
      </c>
      <c r="C199" s="20" t="s">
        <v>2422</v>
      </c>
      <c r="D199" s="41">
        <v>45664.0</v>
      </c>
    </row>
    <row r="200">
      <c r="A200" s="19" t="s">
        <v>36</v>
      </c>
      <c r="B200" s="20">
        <v>80.0</v>
      </c>
      <c r="C200" s="20" t="s">
        <v>2423</v>
      </c>
      <c r="D200" s="41">
        <v>45664.0</v>
      </c>
    </row>
    <row r="201">
      <c r="A201" s="19" t="s">
        <v>1258</v>
      </c>
      <c r="B201" s="20">
        <v>80.0</v>
      </c>
      <c r="C201" s="20" t="s">
        <v>2424</v>
      </c>
      <c r="D201" s="41">
        <v>45664.0</v>
      </c>
    </row>
    <row r="202">
      <c r="A202" s="19" t="s">
        <v>1191</v>
      </c>
      <c r="B202" s="20">
        <v>80.0</v>
      </c>
      <c r="C202" s="20" t="s">
        <v>2425</v>
      </c>
      <c r="D202" s="41">
        <v>45664.0</v>
      </c>
    </row>
    <row r="203">
      <c r="A203" s="19" t="s">
        <v>941</v>
      </c>
      <c r="B203" s="20">
        <v>80.0</v>
      </c>
      <c r="C203" s="20" t="s">
        <v>2426</v>
      </c>
      <c r="D203" s="41">
        <v>45664.0</v>
      </c>
    </row>
    <row r="204">
      <c r="A204" s="19" t="s">
        <v>911</v>
      </c>
      <c r="B204" s="20">
        <v>80.0</v>
      </c>
      <c r="C204" s="20" t="s">
        <v>2427</v>
      </c>
      <c r="D204" s="41">
        <v>45664.0</v>
      </c>
    </row>
    <row r="205">
      <c r="A205" s="19" t="s">
        <v>163</v>
      </c>
      <c r="B205" s="20">
        <v>80.0</v>
      </c>
      <c r="C205" s="20" t="s">
        <v>2428</v>
      </c>
      <c r="D205" s="41">
        <v>45664.0</v>
      </c>
    </row>
    <row r="206">
      <c r="A206" s="19" t="s">
        <v>1345</v>
      </c>
      <c r="B206" s="20">
        <v>80.0</v>
      </c>
      <c r="C206" s="20" t="s">
        <v>2429</v>
      </c>
      <c r="D206" s="41">
        <v>45664.0</v>
      </c>
    </row>
    <row r="207">
      <c r="A207" s="19" t="s">
        <v>198</v>
      </c>
      <c r="B207" s="20">
        <v>80.0</v>
      </c>
      <c r="C207" s="20" t="s">
        <v>2430</v>
      </c>
      <c r="D207" s="41">
        <v>45664.0</v>
      </c>
    </row>
    <row r="208">
      <c r="A208" s="19" t="s">
        <v>35</v>
      </c>
      <c r="B208" s="20">
        <v>80.0</v>
      </c>
      <c r="C208" s="20" t="s">
        <v>2431</v>
      </c>
      <c r="D208" s="41">
        <v>45664.0</v>
      </c>
    </row>
    <row r="209">
      <c r="A209" s="19" t="s">
        <v>1485</v>
      </c>
      <c r="B209" s="20">
        <v>80.0</v>
      </c>
      <c r="C209" s="20" t="s">
        <v>2432</v>
      </c>
      <c r="D209" s="41">
        <v>45664.0</v>
      </c>
    </row>
    <row r="210">
      <c r="A210" s="19" t="s">
        <v>394</v>
      </c>
      <c r="B210" s="20">
        <v>80.0</v>
      </c>
      <c r="C210" s="20" t="s">
        <v>2433</v>
      </c>
      <c r="D210" s="41">
        <v>45664.0</v>
      </c>
    </row>
    <row r="211">
      <c r="A211" s="19" t="s">
        <v>1231</v>
      </c>
      <c r="B211" s="20">
        <v>80.0</v>
      </c>
      <c r="C211" s="20" t="s">
        <v>2434</v>
      </c>
      <c r="D211" s="41">
        <v>45664.0</v>
      </c>
    </row>
    <row r="212">
      <c r="A212" s="19" t="s">
        <v>451</v>
      </c>
      <c r="B212" s="20">
        <v>80.0</v>
      </c>
      <c r="C212" s="20" t="s">
        <v>2435</v>
      </c>
      <c r="D212" s="41">
        <v>45664.0</v>
      </c>
    </row>
    <row r="213">
      <c r="A213" s="19" t="s">
        <v>1487</v>
      </c>
      <c r="B213" s="20">
        <v>80.0</v>
      </c>
      <c r="C213" s="20" t="s">
        <v>2436</v>
      </c>
      <c r="D213" s="41">
        <v>45664.0</v>
      </c>
    </row>
    <row r="214">
      <c r="A214" s="19" t="s">
        <v>1301</v>
      </c>
      <c r="B214" s="20">
        <v>75.0</v>
      </c>
      <c r="C214" s="20" t="s">
        <v>2437</v>
      </c>
      <c r="D214" s="41">
        <v>45664.0</v>
      </c>
    </row>
    <row r="215">
      <c r="A215" s="19" t="s">
        <v>839</v>
      </c>
      <c r="B215" s="20">
        <v>75.0</v>
      </c>
      <c r="C215" s="20" t="s">
        <v>2438</v>
      </c>
      <c r="D215" s="41">
        <v>45664.0</v>
      </c>
    </row>
    <row r="216">
      <c r="A216" s="19" t="s">
        <v>537</v>
      </c>
      <c r="B216" s="20">
        <v>75.0</v>
      </c>
      <c r="C216" s="20" t="s">
        <v>2439</v>
      </c>
      <c r="D216" s="41">
        <v>45664.0</v>
      </c>
    </row>
    <row r="217">
      <c r="A217" s="19" t="s">
        <v>1072</v>
      </c>
      <c r="B217" s="20">
        <v>75.0</v>
      </c>
      <c r="C217" s="20" t="s">
        <v>2440</v>
      </c>
      <c r="D217" s="41">
        <v>45664.0</v>
      </c>
    </row>
    <row r="218">
      <c r="A218" s="19" t="s">
        <v>1015</v>
      </c>
      <c r="B218" s="20">
        <v>75.0</v>
      </c>
      <c r="C218" s="20" t="s">
        <v>2441</v>
      </c>
      <c r="D218" s="41">
        <v>45664.0</v>
      </c>
    </row>
    <row r="219">
      <c r="A219" s="19" t="s">
        <v>1636</v>
      </c>
      <c r="B219" s="20">
        <v>75.0</v>
      </c>
      <c r="C219" s="20" t="s">
        <v>2442</v>
      </c>
      <c r="D219" s="41">
        <v>45664.0</v>
      </c>
    </row>
    <row r="220">
      <c r="A220" s="19" t="s">
        <v>241</v>
      </c>
      <c r="B220" s="20">
        <v>75.0</v>
      </c>
      <c r="C220" s="20" t="s">
        <v>2443</v>
      </c>
      <c r="D220" s="41">
        <v>45664.0</v>
      </c>
    </row>
    <row r="221">
      <c r="A221" s="19" t="s">
        <v>1632</v>
      </c>
      <c r="B221" s="20">
        <v>75.0</v>
      </c>
      <c r="C221" s="20" t="s">
        <v>2444</v>
      </c>
      <c r="D221" s="41">
        <v>45664.0</v>
      </c>
    </row>
    <row r="222">
      <c r="A222" s="19" t="s">
        <v>17</v>
      </c>
      <c r="B222" s="20">
        <v>75.0</v>
      </c>
      <c r="C222" s="20" t="s">
        <v>2445</v>
      </c>
      <c r="D222" s="41">
        <v>45664.0</v>
      </c>
    </row>
    <row r="223">
      <c r="A223" s="19" t="s">
        <v>1638</v>
      </c>
      <c r="B223" s="20">
        <v>75.0</v>
      </c>
      <c r="C223" s="20" t="s">
        <v>2446</v>
      </c>
      <c r="D223" s="41">
        <v>45664.0</v>
      </c>
    </row>
    <row r="224">
      <c r="A224" s="19" t="s">
        <v>1412</v>
      </c>
      <c r="B224" s="20">
        <v>75.0</v>
      </c>
      <c r="C224" s="20" t="s">
        <v>2447</v>
      </c>
      <c r="D224" s="41">
        <v>45664.0</v>
      </c>
    </row>
    <row r="225">
      <c r="A225" s="19" t="s">
        <v>1327</v>
      </c>
      <c r="B225" s="20">
        <v>75.0</v>
      </c>
      <c r="C225" s="20" t="s">
        <v>2448</v>
      </c>
      <c r="D225" s="41">
        <v>45664.0</v>
      </c>
    </row>
    <row r="226">
      <c r="A226" s="19" t="s">
        <v>1081</v>
      </c>
      <c r="B226" s="20">
        <v>75.0</v>
      </c>
      <c r="C226" s="20" t="s">
        <v>2449</v>
      </c>
      <c r="D226" s="41">
        <v>45664.0</v>
      </c>
    </row>
    <row r="227">
      <c r="A227" s="19" t="s">
        <v>49</v>
      </c>
      <c r="B227" s="20">
        <v>75.0</v>
      </c>
      <c r="C227" s="20" t="s">
        <v>2450</v>
      </c>
      <c r="D227" s="41">
        <v>45664.0</v>
      </c>
    </row>
    <row r="228">
      <c r="A228" s="19" t="s">
        <v>1325</v>
      </c>
      <c r="B228" s="20">
        <v>75.0</v>
      </c>
      <c r="C228" s="43" t="s">
        <v>2451</v>
      </c>
      <c r="D228" s="41">
        <v>45664.0</v>
      </c>
    </row>
    <row r="229">
      <c r="A229" s="19" t="s">
        <v>1069</v>
      </c>
      <c r="B229" s="20">
        <v>75.0</v>
      </c>
      <c r="C229" s="20" t="s">
        <v>2452</v>
      </c>
      <c r="D229" s="41">
        <v>45664.0</v>
      </c>
    </row>
    <row r="230">
      <c r="A230" s="19" t="s">
        <v>278</v>
      </c>
      <c r="B230" s="20">
        <v>75.0</v>
      </c>
      <c r="C230" s="20" t="s">
        <v>2453</v>
      </c>
      <c r="D230" s="41">
        <v>45664.0</v>
      </c>
    </row>
    <row r="231">
      <c r="A231" s="19" t="s">
        <v>1121</v>
      </c>
      <c r="B231" s="20">
        <v>75.0</v>
      </c>
      <c r="C231" s="20" t="s">
        <v>2454</v>
      </c>
      <c r="D231" s="41">
        <v>45664.0</v>
      </c>
    </row>
    <row r="232">
      <c r="A232" s="19" t="s">
        <v>968</v>
      </c>
      <c r="B232" s="20">
        <v>75.0</v>
      </c>
      <c r="C232" s="20" t="s">
        <v>2455</v>
      </c>
      <c r="D232" s="41">
        <v>45664.0</v>
      </c>
    </row>
    <row r="233">
      <c r="A233" s="19" t="s">
        <v>130</v>
      </c>
      <c r="B233" s="20">
        <v>75.0</v>
      </c>
      <c r="C233" s="20" t="s">
        <v>2456</v>
      </c>
      <c r="D233" s="41">
        <v>45664.0</v>
      </c>
    </row>
    <row r="234">
      <c r="A234" s="19" t="s">
        <v>1283</v>
      </c>
      <c r="B234" s="20">
        <v>75.0</v>
      </c>
      <c r="C234" s="20" t="s">
        <v>2457</v>
      </c>
      <c r="D234" s="41">
        <v>45664.0</v>
      </c>
    </row>
    <row r="235">
      <c r="A235" s="19" t="s">
        <v>1221</v>
      </c>
      <c r="B235" s="20">
        <v>75.0</v>
      </c>
      <c r="C235" s="20" t="s">
        <v>2458</v>
      </c>
      <c r="D235" s="41">
        <v>45664.0</v>
      </c>
    </row>
    <row r="236">
      <c r="A236" s="19" t="s">
        <v>245</v>
      </c>
      <c r="B236" s="20">
        <v>75.0</v>
      </c>
      <c r="C236" s="20" t="s">
        <v>2459</v>
      </c>
      <c r="D236" s="41">
        <v>45664.0</v>
      </c>
    </row>
    <row r="237">
      <c r="A237" s="19" t="s">
        <v>1123</v>
      </c>
      <c r="B237" s="20">
        <v>75.0</v>
      </c>
      <c r="C237" s="20" t="s">
        <v>2460</v>
      </c>
      <c r="D237" s="41">
        <v>45664.0</v>
      </c>
    </row>
    <row r="238">
      <c r="A238" s="19" t="s">
        <v>1233</v>
      </c>
      <c r="B238" s="20">
        <v>75.0</v>
      </c>
      <c r="C238" s="20" t="s">
        <v>2461</v>
      </c>
      <c r="D238" s="41">
        <v>45664.0</v>
      </c>
    </row>
    <row r="239">
      <c r="A239" s="19" t="s">
        <v>18</v>
      </c>
      <c r="B239" s="20">
        <v>75.0</v>
      </c>
      <c r="C239" s="20" t="s">
        <v>2462</v>
      </c>
      <c r="D239" s="41">
        <v>45664.0</v>
      </c>
    </row>
    <row r="240">
      <c r="A240" s="19" t="s">
        <v>1006</v>
      </c>
      <c r="B240" s="20">
        <v>75.0</v>
      </c>
      <c r="C240" s="20" t="s">
        <v>2463</v>
      </c>
      <c r="D240" s="41">
        <v>45664.0</v>
      </c>
    </row>
    <row r="241">
      <c r="A241" s="19" t="s">
        <v>1641</v>
      </c>
      <c r="B241" s="20">
        <v>75.0</v>
      </c>
      <c r="C241" s="20" t="s">
        <v>2464</v>
      </c>
      <c r="D241" s="41">
        <v>45664.0</v>
      </c>
    </row>
    <row r="242">
      <c r="A242" s="19" t="s">
        <v>816</v>
      </c>
      <c r="B242" s="20">
        <v>75.0</v>
      </c>
      <c r="C242" s="20" t="s">
        <v>2465</v>
      </c>
      <c r="D242" s="41">
        <v>45664.0</v>
      </c>
    </row>
    <row r="243">
      <c r="A243" s="19" t="s">
        <v>1479</v>
      </c>
      <c r="B243" s="20">
        <v>75.0</v>
      </c>
      <c r="C243" s="20" t="s">
        <v>2466</v>
      </c>
      <c r="D243" s="41">
        <v>45664.0</v>
      </c>
    </row>
    <row r="244">
      <c r="A244" s="19" t="s">
        <v>1477</v>
      </c>
      <c r="B244" s="20">
        <v>75.0</v>
      </c>
      <c r="C244" s="20" t="s">
        <v>2467</v>
      </c>
      <c r="D244" s="41">
        <v>45664.0</v>
      </c>
    </row>
    <row r="245">
      <c r="A245" s="19" t="s">
        <v>206</v>
      </c>
      <c r="B245" s="20">
        <v>75.0</v>
      </c>
      <c r="C245" s="20" t="s">
        <v>2468</v>
      </c>
      <c r="D245" s="41">
        <v>45664.0</v>
      </c>
    </row>
    <row r="246">
      <c r="A246" s="19" t="s">
        <v>1295</v>
      </c>
      <c r="B246" s="20">
        <v>75.0</v>
      </c>
      <c r="C246" s="20" t="s">
        <v>2469</v>
      </c>
      <c r="D246" s="41">
        <v>45664.0</v>
      </c>
    </row>
    <row r="247">
      <c r="A247" s="19" t="s">
        <v>849</v>
      </c>
      <c r="B247" s="20">
        <v>75.0</v>
      </c>
      <c r="C247" s="20" t="s">
        <v>2470</v>
      </c>
      <c r="D247" s="41">
        <v>45664.0</v>
      </c>
    </row>
    <row r="248">
      <c r="A248" s="19" t="s">
        <v>1109</v>
      </c>
      <c r="B248" s="20">
        <v>75.0</v>
      </c>
      <c r="C248" s="20" t="s">
        <v>2471</v>
      </c>
      <c r="D248" s="41">
        <v>45664.0</v>
      </c>
    </row>
    <row r="249">
      <c r="A249" s="19" t="s">
        <v>128</v>
      </c>
      <c r="B249" s="20">
        <v>75.0</v>
      </c>
      <c r="C249" s="20" t="s">
        <v>2472</v>
      </c>
      <c r="D249" s="41">
        <v>45664.0</v>
      </c>
    </row>
    <row r="250">
      <c r="A250" s="19" t="s">
        <v>93</v>
      </c>
      <c r="B250" s="20">
        <v>75.0</v>
      </c>
      <c r="C250" s="20" t="s">
        <v>2473</v>
      </c>
      <c r="D250" s="41">
        <v>45664.0</v>
      </c>
    </row>
    <row r="251">
      <c r="A251" s="19" t="s">
        <v>61</v>
      </c>
      <c r="B251" s="20">
        <v>75.0</v>
      </c>
      <c r="C251" s="20" t="s">
        <v>2474</v>
      </c>
      <c r="D251" s="41">
        <v>45664.0</v>
      </c>
    </row>
    <row r="252">
      <c r="A252" s="19" t="s">
        <v>1279</v>
      </c>
      <c r="B252" s="20">
        <v>75.0</v>
      </c>
      <c r="C252" s="20" t="s">
        <v>2475</v>
      </c>
      <c r="D252" s="41">
        <v>45664.0</v>
      </c>
    </row>
    <row r="253">
      <c r="A253" s="19" t="s">
        <v>982</v>
      </c>
      <c r="B253" s="20">
        <v>75.0</v>
      </c>
      <c r="C253" s="20" t="s">
        <v>2476</v>
      </c>
      <c r="D253" s="41">
        <v>45664.0</v>
      </c>
    </row>
    <row r="254">
      <c r="A254" s="19" t="s">
        <v>1433</v>
      </c>
      <c r="B254" s="20">
        <v>75.0</v>
      </c>
      <c r="C254" s="20" t="s">
        <v>2477</v>
      </c>
      <c r="D254" s="41">
        <v>45664.0</v>
      </c>
    </row>
    <row r="255">
      <c r="A255" s="19" t="s">
        <v>1008</v>
      </c>
      <c r="B255" s="20">
        <v>75.0</v>
      </c>
      <c r="C255" s="20" t="s">
        <v>2478</v>
      </c>
      <c r="D255" s="41">
        <v>45664.0</v>
      </c>
    </row>
    <row r="256">
      <c r="A256" s="19" t="s">
        <v>1053</v>
      </c>
      <c r="B256" s="20">
        <v>75.0</v>
      </c>
      <c r="C256" s="20" t="s">
        <v>2479</v>
      </c>
      <c r="D256" s="41">
        <v>45664.0</v>
      </c>
    </row>
    <row r="257">
      <c r="A257" s="19" t="s">
        <v>851</v>
      </c>
      <c r="B257" s="20">
        <v>75.0</v>
      </c>
      <c r="C257" s="20" t="s">
        <v>2480</v>
      </c>
      <c r="D257" s="41">
        <v>45664.0</v>
      </c>
    </row>
    <row r="258">
      <c r="A258" s="19" t="s">
        <v>1379</v>
      </c>
      <c r="B258" s="20">
        <v>75.0</v>
      </c>
      <c r="C258" s="20" t="s">
        <v>2481</v>
      </c>
      <c r="D258" s="41">
        <v>45664.0</v>
      </c>
    </row>
    <row r="259">
      <c r="A259" s="19" t="s">
        <v>99</v>
      </c>
      <c r="B259" s="20">
        <v>75.0</v>
      </c>
      <c r="C259" s="20" t="s">
        <v>2482</v>
      </c>
      <c r="D259" s="41">
        <v>45664.0</v>
      </c>
    </row>
    <row r="260">
      <c r="A260" s="19" t="s">
        <v>845</v>
      </c>
      <c r="B260" s="20">
        <v>75.0</v>
      </c>
      <c r="C260" s="20" t="s">
        <v>2483</v>
      </c>
      <c r="D260" s="41">
        <v>45664.0</v>
      </c>
    </row>
    <row r="261">
      <c r="A261" s="19" t="s">
        <v>847</v>
      </c>
      <c r="B261" s="20">
        <v>75.0</v>
      </c>
      <c r="C261" s="20" t="s">
        <v>2484</v>
      </c>
      <c r="D261" s="41">
        <v>45664.0</v>
      </c>
    </row>
    <row r="262">
      <c r="A262" s="19" t="s">
        <v>359</v>
      </c>
      <c r="B262" s="20">
        <v>75.0</v>
      </c>
      <c r="C262" s="20" t="s">
        <v>2485</v>
      </c>
      <c r="D262" s="41">
        <v>45664.0</v>
      </c>
    </row>
    <row r="263">
      <c r="A263" s="19" t="s">
        <v>1030</v>
      </c>
      <c r="B263" s="20">
        <v>75.0</v>
      </c>
      <c r="C263" s="20" t="s">
        <v>2486</v>
      </c>
      <c r="D263" s="41">
        <v>45664.0</v>
      </c>
    </row>
    <row r="264">
      <c r="A264" s="19" t="s">
        <v>862</v>
      </c>
      <c r="B264" s="20">
        <v>75.0</v>
      </c>
      <c r="C264" s="20" t="s">
        <v>2487</v>
      </c>
      <c r="D264" s="41">
        <v>45664.0</v>
      </c>
    </row>
    <row r="265">
      <c r="A265" s="19" t="s">
        <v>1363</v>
      </c>
      <c r="B265" s="20">
        <v>75.0</v>
      </c>
      <c r="C265" s="20" t="s">
        <v>2488</v>
      </c>
      <c r="D265" s="41">
        <v>45664.0</v>
      </c>
    </row>
    <row r="266">
      <c r="A266" s="19" t="s">
        <v>1369</v>
      </c>
      <c r="B266" s="20">
        <v>75.0</v>
      </c>
      <c r="C266" s="20" t="s">
        <v>2489</v>
      </c>
      <c r="D266" s="41">
        <v>45664.0</v>
      </c>
    </row>
    <row r="267">
      <c r="A267" s="19" t="s">
        <v>893</v>
      </c>
      <c r="B267" s="20">
        <v>75.0</v>
      </c>
      <c r="C267" s="20" t="s">
        <v>2490</v>
      </c>
      <c r="D267" s="41">
        <v>45664.0</v>
      </c>
    </row>
    <row r="268">
      <c r="A268" s="19" t="s">
        <v>1449</v>
      </c>
      <c r="B268" s="20">
        <v>75.0</v>
      </c>
      <c r="C268" s="20" t="s">
        <v>2491</v>
      </c>
      <c r="D268" s="41">
        <v>45664.0</v>
      </c>
    </row>
    <row r="269">
      <c r="A269" s="19" t="s">
        <v>1545</v>
      </c>
      <c r="B269" s="20">
        <v>75.0</v>
      </c>
      <c r="C269" s="20" t="s">
        <v>2492</v>
      </c>
      <c r="D269" s="41">
        <v>45664.0</v>
      </c>
    </row>
    <row r="270">
      <c r="A270" s="19" t="s">
        <v>1119</v>
      </c>
      <c r="B270" s="20">
        <v>75.0</v>
      </c>
      <c r="C270" s="43" t="s">
        <v>2493</v>
      </c>
      <c r="D270" s="41">
        <v>45664.0</v>
      </c>
    </row>
    <row r="271">
      <c r="A271" s="19" t="s">
        <v>127</v>
      </c>
      <c r="B271" s="20">
        <v>75.0</v>
      </c>
      <c r="C271" s="20" t="s">
        <v>2494</v>
      </c>
      <c r="D271" s="41">
        <v>45664.0</v>
      </c>
    </row>
    <row r="272">
      <c r="A272" s="19" t="s">
        <v>1083</v>
      </c>
      <c r="B272" s="20">
        <v>75.0</v>
      </c>
      <c r="C272" s="20" t="s">
        <v>2495</v>
      </c>
      <c r="D272" s="41">
        <v>45664.0</v>
      </c>
    </row>
    <row r="273">
      <c r="A273" s="19" t="s">
        <v>1049</v>
      </c>
      <c r="B273" s="20">
        <v>75.0</v>
      </c>
      <c r="C273" s="20" t="s">
        <v>2496</v>
      </c>
      <c r="D273" s="41">
        <v>45664.0</v>
      </c>
    </row>
    <row r="274">
      <c r="A274" s="19" t="s">
        <v>87</v>
      </c>
      <c r="B274" s="20">
        <v>75.0</v>
      </c>
      <c r="C274" s="20" t="s">
        <v>2497</v>
      </c>
      <c r="D274" s="41">
        <v>45664.0</v>
      </c>
    </row>
    <row r="275">
      <c r="A275" s="19" t="s">
        <v>1408</v>
      </c>
      <c r="B275" s="20">
        <v>75.0</v>
      </c>
      <c r="C275" s="20" t="s">
        <v>2498</v>
      </c>
      <c r="D275" s="41">
        <v>45664.0</v>
      </c>
    </row>
    <row r="276">
      <c r="A276" s="19" t="s">
        <v>1179</v>
      </c>
      <c r="B276" s="20">
        <v>75.0</v>
      </c>
      <c r="C276" s="20" t="s">
        <v>2499</v>
      </c>
      <c r="D276" s="41">
        <v>45664.0</v>
      </c>
    </row>
    <row r="277">
      <c r="A277" s="19" t="s">
        <v>855</v>
      </c>
      <c r="B277" s="20">
        <v>75.0</v>
      </c>
      <c r="C277" s="20" t="s">
        <v>2500</v>
      </c>
      <c r="D277" s="41">
        <v>45664.0</v>
      </c>
    </row>
    <row r="278">
      <c r="A278" s="19" t="s">
        <v>956</v>
      </c>
      <c r="B278" s="20">
        <v>75.0</v>
      </c>
      <c r="C278" s="20" t="s">
        <v>2501</v>
      </c>
      <c r="D278" s="41">
        <v>45664.0</v>
      </c>
    </row>
    <row r="279">
      <c r="A279" s="19" t="s">
        <v>1404</v>
      </c>
      <c r="B279" s="20">
        <v>75.0</v>
      </c>
      <c r="C279" s="20" t="s">
        <v>2502</v>
      </c>
      <c r="D279" s="41">
        <v>45664.0</v>
      </c>
    </row>
    <row r="280">
      <c r="A280" s="19" t="s">
        <v>1540</v>
      </c>
      <c r="B280" s="20">
        <v>75.0</v>
      </c>
      <c r="C280" s="20" t="s">
        <v>2503</v>
      </c>
      <c r="D280" s="41">
        <v>45664.0</v>
      </c>
    </row>
    <row r="281">
      <c r="A281" s="19" t="s">
        <v>1189</v>
      </c>
      <c r="B281" s="20">
        <v>75.0</v>
      </c>
      <c r="C281" s="20" t="s">
        <v>2504</v>
      </c>
      <c r="D281" s="41">
        <v>45664.0</v>
      </c>
    </row>
    <row r="282">
      <c r="A282" s="19" t="s">
        <v>1528</v>
      </c>
      <c r="B282" s="20">
        <v>75.0</v>
      </c>
      <c r="C282" s="20" t="s">
        <v>2505</v>
      </c>
      <c r="D282" s="41">
        <v>45664.0</v>
      </c>
    </row>
    <row r="283">
      <c r="A283" s="19" t="s">
        <v>1490</v>
      </c>
      <c r="B283" s="20">
        <v>75.0</v>
      </c>
      <c r="C283" s="20" t="s">
        <v>2506</v>
      </c>
      <c r="D283" s="41">
        <v>45664.0</v>
      </c>
    </row>
    <row r="284">
      <c r="A284" s="19" t="s">
        <v>978</v>
      </c>
      <c r="B284" s="20">
        <v>75.0</v>
      </c>
      <c r="C284" s="20" t="s">
        <v>2507</v>
      </c>
      <c r="D284" s="41">
        <v>45664.0</v>
      </c>
    </row>
    <row r="285">
      <c r="A285" s="19" t="s">
        <v>1262</v>
      </c>
      <c r="B285" s="20">
        <v>75.0</v>
      </c>
      <c r="C285" s="20" t="s">
        <v>2508</v>
      </c>
      <c r="D285" s="41">
        <v>45664.0</v>
      </c>
    </row>
    <row r="286">
      <c r="A286" s="19" t="s">
        <v>1396</v>
      </c>
      <c r="B286" s="20">
        <v>75.0</v>
      </c>
      <c r="C286" s="20" t="s">
        <v>2509</v>
      </c>
      <c r="D286" s="41">
        <v>45664.0</v>
      </c>
    </row>
    <row r="287">
      <c r="A287" s="19" t="s">
        <v>1299</v>
      </c>
      <c r="B287" s="20">
        <v>75.0</v>
      </c>
      <c r="C287" s="20" t="s">
        <v>2510</v>
      </c>
      <c r="D287" s="41">
        <v>45664.0</v>
      </c>
    </row>
    <row r="288">
      <c r="A288" s="19" t="s">
        <v>1268</v>
      </c>
      <c r="B288" s="20">
        <v>75.0</v>
      </c>
      <c r="C288" s="20" t="s">
        <v>2511</v>
      </c>
      <c r="D288" s="41">
        <v>45664.0</v>
      </c>
    </row>
    <row r="289">
      <c r="A289" s="19" t="s">
        <v>1297</v>
      </c>
      <c r="B289" s="20">
        <v>75.0</v>
      </c>
      <c r="C289" s="20" t="s">
        <v>2512</v>
      </c>
      <c r="D289" s="41">
        <v>45664.0</v>
      </c>
    </row>
    <row r="290">
      <c r="A290" s="19" t="s">
        <v>38</v>
      </c>
      <c r="B290" s="20">
        <v>75.0</v>
      </c>
      <c r="C290" s="20" t="s">
        <v>2513</v>
      </c>
      <c r="D290" s="41">
        <v>45664.0</v>
      </c>
    </row>
    <row r="291">
      <c r="A291" s="19" t="s">
        <v>186</v>
      </c>
      <c r="B291" s="20">
        <v>75.0</v>
      </c>
      <c r="C291" s="20" t="s">
        <v>2514</v>
      </c>
      <c r="D291" s="41">
        <v>45664.0</v>
      </c>
    </row>
    <row r="292">
      <c r="A292" s="19" t="s">
        <v>1115</v>
      </c>
      <c r="B292" s="20">
        <v>75.0</v>
      </c>
      <c r="C292" s="20" t="s">
        <v>2515</v>
      </c>
      <c r="D292" s="41">
        <v>45664.0</v>
      </c>
    </row>
    <row r="293">
      <c r="A293" s="19" t="s">
        <v>1357</v>
      </c>
      <c r="B293" s="20">
        <v>75.0</v>
      </c>
      <c r="C293" s="20" t="s">
        <v>2516</v>
      </c>
      <c r="D293" s="41">
        <v>45664.0</v>
      </c>
    </row>
    <row r="294">
      <c r="A294" s="19" t="s">
        <v>1468</v>
      </c>
      <c r="B294" s="20">
        <v>75.0</v>
      </c>
      <c r="C294" s="20" t="s">
        <v>2517</v>
      </c>
      <c r="D294" s="41">
        <v>45664.0</v>
      </c>
    </row>
    <row r="295">
      <c r="A295" s="19" t="s">
        <v>426</v>
      </c>
      <c r="B295" s="20">
        <v>75.0</v>
      </c>
      <c r="C295" s="20" t="s">
        <v>2518</v>
      </c>
      <c r="D295" s="41">
        <v>45664.0</v>
      </c>
    </row>
    <row r="296">
      <c r="A296" s="19" t="s">
        <v>1183</v>
      </c>
      <c r="B296" s="20">
        <v>75.0</v>
      </c>
      <c r="C296" s="20" t="s">
        <v>2519</v>
      </c>
      <c r="D296" s="41">
        <v>45664.0</v>
      </c>
    </row>
    <row r="297">
      <c r="A297" s="19" t="s">
        <v>1443</v>
      </c>
      <c r="B297" s="20">
        <v>75.0</v>
      </c>
      <c r="C297" s="20" t="s">
        <v>2520</v>
      </c>
      <c r="D297" s="41">
        <v>45664.0</v>
      </c>
    </row>
    <row r="298">
      <c r="A298" s="19" t="s">
        <v>1447</v>
      </c>
      <c r="B298" s="20">
        <v>75.0</v>
      </c>
      <c r="C298" s="20" t="s">
        <v>2521</v>
      </c>
      <c r="D298" s="41">
        <v>45664.0</v>
      </c>
    </row>
    <row r="299">
      <c r="A299" s="19" t="s">
        <v>1313</v>
      </c>
      <c r="B299" s="20">
        <v>75.0</v>
      </c>
      <c r="C299" s="20" t="s">
        <v>2522</v>
      </c>
      <c r="D299" s="41">
        <v>45664.0</v>
      </c>
    </row>
    <row r="300">
      <c r="A300" s="19" t="s">
        <v>1533</v>
      </c>
      <c r="B300" s="20">
        <v>75.0</v>
      </c>
      <c r="C300" s="20" t="s">
        <v>2523</v>
      </c>
      <c r="D300" s="41">
        <v>45664.0</v>
      </c>
    </row>
    <row r="301">
      <c r="A301" s="19" t="s">
        <v>1371</v>
      </c>
      <c r="B301" s="20">
        <v>75.0</v>
      </c>
      <c r="C301" s="20" t="s">
        <v>2524</v>
      </c>
      <c r="D301" s="41">
        <v>45664.0</v>
      </c>
    </row>
    <row r="302">
      <c r="A302" s="19" t="s">
        <v>1537</v>
      </c>
      <c r="B302" s="20">
        <v>75.0</v>
      </c>
      <c r="C302" s="20" t="s">
        <v>2525</v>
      </c>
      <c r="D302" s="41">
        <v>45664.0</v>
      </c>
    </row>
    <row r="303">
      <c r="A303" s="19" t="s">
        <v>1167</v>
      </c>
      <c r="B303" s="20">
        <v>75.0</v>
      </c>
      <c r="C303" s="20" t="s">
        <v>2526</v>
      </c>
      <c r="D303" s="41">
        <v>45664.0</v>
      </c>
    </row>
    <row r="304">
      <c r="A304" s="19" t="s">
        <v>1239</v>
      </c>
      <c r="B304" s="20">
        <v>75.0</v>
      </c>
      <c r="C304" s="20" t="s">
        <v>2527</v>
      </c>
      <c r="D304" s="41">
        <v>45664.0</v>
      </c>
    </row>
    <row r="305">
      <c r="A305" s="19" t="s">
        <v>164</v>
      </c>
      <c r="B305" s="20">
        <v>75.0</v>
      </c>
      <c r="C305" s="20" t="s">
        <v>2528</v>
      </c>
      <c r="D305" s="41">
        <v>45664.0</v>
      </c>
    </row>
    <row r="306">
      <c r="A306" s="19" t="s">
        <v>1256</v>
      </c>
      <c r="B306" s="20">
        <v>75.0</v>
      </c>
      <c r="C306" s="20" t="s">
        <v>2529</v>
      </c>
      <c r="D306" s="41">
        <v>45664.0</v>
      </c>
    </row>
    <row r="307">
      <c r="A307" s="19" t="s">
        <v>342</v>
      </c>
      <c r="B307" s="20">
        <v>75.0</v>
      </c>
      <c r="C307" s="20" t="s">
        <v>2530</v>
      </c>
      <c r="D307" s="41">
        <v>45664.0</v>
      </c>
    </row>
    <row r="308">
      <c r="A308" s="19" t="s">
        <v>1165</v>
      </c>
      <c r="B308" s="20">
        <v>75.0</v>
      </c>
      <c r="C308" s="20" t="s">
        <v>2531</v>
      </c>
      <c r="D308" s="41">
        <v>45664.0</v>
      </c>
    </row>
    <row r="309">
      <c r="A309" s="19" t="s">
        <v>825</v>
      </c>
      <c r="B309" s="20">
        <v>75.0</v>
      </c>
      <c r="C309" s="20" t="s">
        <v>2532</v>
      </c>
      <c r="D309" s="41">
        <v>45664.0</v>
      </c>
    </row>
    <row r="310">
      <c r="A310" s="19" t="s">
        <v>1311</v>
      </c>
      <c r="B310" s="20">
        <v>75.0</v>
      </c>
      <c r="C310" s="20" t="s">
        <v>2533</v>
      </c>
      <c r="D310" s="41">
        <v>45664.0</v>
      </c>
    </row>
    <row r="311">
      <c r="A311" s="19" t="s">
        <v>1425</v>
      </c>
      <c r="B311" s="20">
        <v>75.0</v>
      </c>
      <c r="C311" s="20" t="s">
        <v>2534</v>
      </c>
      <c r="D311" s="41">
        <v>45664.0</v>
      </c>
    </row>
    <row r="312">
      <c r="A312" s="19" t="s">
        <v>217</v>
      </c>
      <c r="B312" s="20">
        <v>75.0</v>
      </c>
      <c r="C312" s="20" t="s">
        <v>2535</v>
      </c>
      <c r="D312" s="41">
        <v>45664.0</v>
      </c>
    </row>
    <row r="313">
      <c r="A313" s="19" t="s">
        <v>1524</v>
      </c>
      <c r="B313" s="20">
        <v>75.0</v>
      </c>
      <c r="C313" s="20" t="s">
        <v>2536</v>
      </c>
      <c r="D313" s="41">
        <v>45664.0</v>
      </c>
    </row>
    <row r="314">
      <c r="A314" s="19" t="s">
        <v>1047</v>
      </c>
      <c r="B314" s="20">
        <v>75.0</v>
      </c>
      <c r="C314" s="20" t="s">
        <v>2537</v>
      </c>
      <c r="D314" s="41">
        <v>45664.0</v>
      </c>
    </row>
    <row r="315">
      <c r="A315" s="19" t="s">
        <v>1034</v>
      </c>
      <c r="B315" s="20">
        <v>75.0</v>
      </c>
      <c r="C315" s="20" t="s">
        <v>2538</v>
      </c>
      <c r="D315" s="41">
        <v>45664.0</v>
      </c>
    </row>
    <row r="316">
      <c r="A316" s="19" t="s">
        <v>1354</v>
      </c>
      <c r="B316" s="20">
        <v>75.0</v>
      </c>
      <c r="C316" s="20" t="s">
        <v>2539</v>
      </c>
      <c r="D316" s="41">
        <v>45664.0</v>
      </c>
    </row>
    <row r="317">
      <c r="A317" s="19" t="s">
        <v>1391</v>
      </c>
      <c r="B317" s="20">
        <v>75.0</v>
      </c>
      <c r="C317" s="20" t="s">
        <v>2540</v>
      </c>
      <c r="D317" s="41">
        <v>45664.0</v>
      </c>
    </row>
    <row r="318">
      <c r="A318" s="19" t="s">
        <v>1515</v>
      </c>
      <c r="B318" s="20">
        <v>75.0</v>
      </c>
      <c r="C318" s="20" t="s">
        <v>2541</v>
      </c>
      <c r="D318" s="41">
        <v>45664.0</v>
      </c>
    </row>
    <row r="319">
      <c r="A319" s="19" t="s">
        <v>82</v>
      </c>
      <c r="B319" s="20">
        <v>75.0</v>
      </c>
      <c r="C319" s="20" t="s">
        <v>2542</v>
      </c>
      <c r="D319" s="41">
        <v>45664.0</v>
      </c>
    </row>
    <row r="320">
      <c r="A320" s="19" t="s">
        <v>1169</v>
      </c>
      <c r="B320" s="20">
        <v>75.0</v>
      </c>
      <c r="C320" s="20" t="s">
        <v>2543</v>
      </c>
      <c r="D320" s="41">
        <v>45664.0</v>
      </c>
    </row>
    <row r="321">
      <c r="A321" s="19" t="s">
        <v>20</v>
      </c>
      <c r="B321" s="20">
        <v>75.0</v>
      </c>
      <c r="C321" s="20" t="s">
        <v>2544</v>
      </c>
      <c r="D321" s="41">
        <v>45664.0</v>
      </c>
    </row>
    <row r="322">
      <c r="A322" s="19" t="s">
        <v>1212</v>
      </c>
      <c r="B322" s="20">
        <v>75.0</v>
      </c>
      <c r="C322" s="20" t="s">
        <v>2545</v>
      </c>
      <c r="D322" s="41">
        <v>45664.0</v>
      </c>
    </row>
    <row r="323">
      <c r="A323" s="19" t="s">
        <v>1575</v>
      </c>
      <c r="B323" s="20">
        <v>75.0</v>
      </c>
      <c r="C323" s="20" t="s">
        <v>2546</v>
      </c>
      <c r="D323" s="41">
        <v>45664.0</v>
      </c>
    </row>
    <row r="324">
      <c r="A324" s="19" t="s">
        <v>1266</v>
      </c>
      <c r="B324" s="20">
        <v>75.0</v>
      </c>
      <c r="C324" s="20" t="s">
        <v>2547</v>
      </c>
      <c r="D324" s="41">
        <v>45664.0</v>
      </c>
    </row>
    <row r="325">
      <c r="A325" s="19" t="s">
        <v>468</v>
      </c>
      <c r="B325" s="20">
        <v>75.0</v>
      </c>
      <c r="C325" s="20" t="s">
        <v>2548</v>
      </c>
      <c r="D325" s="41">
        <v>45664.0</v>
      </c>
    </row>
    <row r="326">
      <c r="A326" s="19" t="s">
        <v>592</v>
      </c>
      <c r="B326" s="20">
        <v>75.0</v>
      </c>
      <c r="C326" s="20" t="s">
        <v>2549</v>
      </c>
      <c r="D326" s="41">
        <v>45664.0</v>
      </c>
    </row>
    <row r="327">
      <c r="A327" s="19" t="s">
        <v>1560</v>
      </c>
      <c r="B327" s="20">
        <v>75.0</v>
      </c>
      <c r="C327" s="20" t="s">
        <v>2550</v>
      </c>
      <c r="D327" s="41">
        <v>45664.0</v>
      </c>
    </row>
    <row r="328">
      <c r="A328" s="19" t="s">
        <v>1431</v>
      </c>
      <c r="B328" s="20">
        <v>75.0</v>
      </c>
      <c r="C328" s="20" t="s">
        <v>2551</v>
      </c>
      <c r="D328" s="41">
        <v>45664.0</v>
      </c>
    </row>
    <row r="329">
      <c r="A329" s="19" t="s">
        <v>1348</v>
      </c>
      <c r="B329" s="20">
        <v>75.0</v>
      </c>
      <c r="C329" s="20" t="s">
        <v>2552</v>
      </c>
      <c r="D329" s="41">
        <v>45664.0</v>
      </c>
    </row>
    <row r="330">
      <c r="A330" s="19" t="s">
        <v>925</v>
      </c>
      <c r="B330" s="20">
        <v>75.0</v>
      </c>
      <c r="C330" s="20" t="s">
        <v>2553</v>
      </c>
      <c r="D330" s="41">
        <v>45664.0</v>
      </c>
    </row>
    <row r="331">
      <c r="A331" s="19" t="s">
        <v>976</v>
      </c>
      <c r="B331" s="20">
        <v>75.0</v>
      </c>
      <c r="C331" s="20" t="s">
        <v>2554</v>
      </c>
      <c r="D331" s="41">
        <v>45664.0</v>
      </c>
    </row>
    <row r="332">
      <c r="A332" s="19" t="s">
        <v>167</v>
      </c>
      <c r="B332" s="20">
        <v>75.0</v>
      </c>
      <c r="C332" s="20" t="s">
        <v>2555</v>
      </c>
      <c r="D332" s="41">
        <v>45664.0</v>
      </c>
    </row>
    <row r="333">
      <c r="A333" s="19" t="s">
        <v>1460</v>
      </c>
      <c r="B333" s="20">
        <v>75.0</v>
      </c>
      <c r="C333" s="20" t="s">
        <v>2556</v>
      </c>
      <c r="D333" s="41">
        <v>45664.0</v>
      </c>
    </row>
    <row r="334">
      <c r="A334" s="19" t="s">
        <v>1558</v>
      </c>
      <c r="B334" s="20">
        <v>75.0</v>
      </c>
      <c r="C334" s="20" t="s">
        <v>2557</v>
      </c>
      <c r="D334" s="41">
        <v>45664.0</v>
      </c>
    </row>
    <row r="335">
      <c r="A335" s="19" t="s">
        <v>898</v>
      </c>
      <c r="B335" s="20">
        <v>75.0</v>
      </c>
      <c r="C335" s="20" t="s">
        <v>2558</v>
      </c>
      <c r="D335" s="41">
        <v>45664.0</v>
      </c>
    </row>
    <row r="336">
      <c r="A336" s="19" t="s">
        <v>1601</v>
      </c>
      <c r="B336" s="20">
        <v>75.0</v>
      </c>
      <c r="C336" s="20" t="s">
        <v>2559</v>
      </c>
      <c r="D336" s="41">
        <v>45664.0</v>
      </c>
    </row>
    <row r="337">
      <c r="A337" s="19" t="s">
        <v>1147</v>
      </c>
      <c r="B337" s="20">
        <v>75.0</v>
      </c>
      <c r="C337" s="20" t="s">
        <v>2560</v>
      </c>
      <c r="D337" s="41">
        <v>45664.0</v>
      </c>
    </row>
    <row r="338">
      <c r="A338" s="19" t="s">
        <v>298</v>
      </c>
      <c r="B338" s="20">
        <v>75.0</v>
      </c>
      <c r="C338" s="20" t="s">
        <v>2561</v>
      </c>
      <c r="D338" s="41">
        <v>45664.0</v>
      </c>
    </row>
    <row r="339">
      <c r="A339" s="19" t="s">
        <v>1139</v>
      </c>
      <c r="B339" s="20">
        <v>75.0</v>
      </c>
      <c r="C339" s="20" t="s">
        <v>2562</v>
      </c>
      <c r="D339" s="41">
        <v>45664.0</v>
      </c>
    </row>
    <row r="340">
      <c r="A340" s="19" t="s">
        <v>1276</v>
      </c>
      <c r="B340" s="20">
        <v>75.0</v>
      </c>
      <c r="C340" s="20" t="s">
        <v>2563</v>
      </c>
      <c r="D340" s="41">
        <v>45664.0</v>
      </c>
    </row>
    <row r="341">
      <c r="A341" s="19" t="s">
        <v>232</v>
      </c>
      <c r="B341" s="20">
        <v>75.0</v>
      </c>
      <c r="C341" s="20" t="s">
        <v>2564</v>
      </c>
      <c r="D341" s="41">
        <v>45664.0</v>
      </c>
    </row>
    <row r="342">
      <c r="A342" s="19" t="s">
        <v>790</v>
      </c>
      <c r="B342" s="20">
        <v>75.0</v>
      </c>
      <c r="C342" s="20" t="s">
        <v>2565</v>
      </c>
      <c r="D342" s="41">
        <v>45664.0</v>
      </c>
    </row>
    <row r="343">
      <c r="A343" s="19" t="s">
        <v>1389</v>
      </c>
      <c r="B343" s="20">
        <v>75.0</v>
      </c>
      <c r="C343" s="20" t="s">
        <v>2566</v>
      </c>
      <c r="D343" s="41">
        <v>45664.0</v>
      </c>
    </row>
    <row r="344">
      <c r="A344" s="19" t="s">
        <v>264</v>
      </c>
      <c r="B344" s="20">
        <v>75.0</v>
      </c>
      <c r="C344" s="20" t="s">
        <v>2567</v>
      </c>
      <c r="D344" s="41">
        <v>45664.0</v>
      </c>
    </row>
    <row r="345">
      <c r="A345" s="19" t="s">
        <v>1157</v>
      </c>
      <c r="B345" s="20">
        <v>75.0</v>
      </c>
      <c r="C345" s="20" t="s">
        <v>2568</v>
      </c>
      <c r="D345" s="41">
        <v>45664.0</v>
      </c>
    </row>
    <row r="346">
      <c r="A346" s="19" t="s">
        <v>1500</v>
      </c>
      <c r="B346" s="20">
        <v>75.0</v>
      </c>
      <c r="C346" s="20" t="s">
        <v>2569</v>
      </c>
      <c r="D346" s="41">
        <v>45664.0</v>
      </c>
    </row>
    <row r="347">
      <c r="A347" s="19" t="s">
        <v>1181</v>
      </c>
      <c r="B347" s="20">
        <v>75.0</v>
      </c>
      <c r="C347" s="20" t="s">
        <v>2570</v>
      </c>
      <c r="D347" s="41">
        <v>45664.0</v>
      </c>
    </row>
    <row r="348">
      <c r="A348" s="19" t="s">
        <v>1243</v>
      </c>
      <c r="B348" s="20">
        <v>75.0</v>
      </c>
      <c r="C348" s="20" t="s">
        <v>2571</v>
      </c>
      <c r="D348" s="41">
        <v>45664.0</v>
      </c>
    </row>
    <row r="349">
      <c r="A349" s="19" t="s">
        <v>1410</v>
      </c>
      <c r="B349" s="20">
        <v>75.0</v>
      </c>
      <c r="C349" s="20" t="s">
        <v>2572</v>
      </c>
      <c r="D349" s="41">
        <v>45664.0</v>
      </c>
    </row>
    <row r="350">
      <c r="A350" s="19" t="s">
        <v>1367</v>
      </c>
      <c r="B350" s="20">
        <v>75.0</v>
      </c>
      <c r="C350" s="20" t="s">
        <v>2573</v>
      </c>
      <c r="D350" s="41">
        <v>45664.0</v>
      </c>
    </row>
    <row r="351">
      <c r="A351" s="19" t="s">
        <v>1161</v>
      </c>
      <c r="B351" s="20">
        <v>75.0</v>
      </c>
      <c r="C351" s="20" t="s">
        <v>2574</v>
      </c>
      <c r="D351" s="41">
        <v>45664.0</v>
      </c>
    </row>
    <row r="352">
      <c r="A352" s="19" t="s">
        <v>39</v>
      </c>
      <c r="B352" s="20">
        <v>75.0</v>
      </c>
      <c r="C352" s="20" t="s">
        <v>2575</v>
      </c>
      <c r="D352" s="41">
        <v>45664.0</v>
      </c>
    </row>
    <row r="353">
      <c r="A353" s="19" t="s">
        <v>876</v>
      </c>
      <c r="B353" s="20">
        <v>75.0</v>
      </c>
      <c r="C353" s="20" t="s">
        <v>2576</v>
      </c>
      <c r="D353" s="41">
        <v>45664.0</v>
      </c>
    </row>
    <row r="354">
      <c r="A354" s="19" t="s">
        <v>792</v>
      </c>
      <c r="B354" s="20">
        <v>75.0</v>
      </c>
      <c r="C354" s="20" t="s">
        <v>2577</v>
      </c>
      <c r="D354" s="41">
        <v>45664.0</v>
      </c>
    </row>
    <row r="355">
      <c r="A355" s="19" t="s">
        <v>921</v>
      </c>
      <c r="B355" s="20">
        <v>75.0</v>
      </c>
      <c r="C355" s="20" t="s">
        <v>2578</v>
      </c>
      <c r="D355" s="41">
        <v>45664.0</v>
      </c>
    </row>
    <row r="356">
      <c r="A356" s="19" t="s">
        <v>1252</v>
      </c>
      <c r="B356" s="20">
        <v>75.0</v>
      </c>
      <c r="C356" s="20" t="s">
        <v>2579</v>
      </c>
      <c r="D356" s="41">
        <v>45664.0</v>
      </c>
    </row>
    <row r="357">
      <c r="A357" s="19" t="s">
        <v>823</v>
      </c>
      <c r="B357" s="20">
        <v>75.0</v>
      </c>
      <c r="C357" s="20" t="s">
        <v>2580</v>
      </c>
      <c r="D357" s="41">
        <v>45664.0</v>
      </c>
    </row>
    <row r="358">
      <c r="A358" s="19" t="s">
        <v>1381</v>
      </c>
      <c r="B358" s="20">
        <v>75.0</v>
      </c>
      <c r="C358" s="20" t="s">
        <v>2581</v>
      </c>
      <c r="D358" s="41">
        <v>45664.0</v>
      </c>
    </row>
    <row r="359">
      <c r="A359" s="19" t="s">
        <v>1361</v>
      </c>
      <c r="B359" s="20">
        <v>75.0</v>
      </c>
      <c r="C359" s="20" t="s">
        <v>2582</v>
      </c>
      <c r="D359" s="41">
        <v>45664.0</v>
      </c>
    </row>
    <row r="360">
      <c r="A360" s="19" t="s">
        <v>1584</v>
      </c>
      <c r="B360" s="20">
        <v>75.0</v>
      </c>
      <c r="C360" s="20" t="s">
        <v>2583</v>
      </c>
      <c r="D360" s="41">
        <v>45664.0</v>
      </c>
    </row>
    <row r="361">
      <c r="A361" s="19" t="s">
        <v>1359</v>
      </c>
      <c r="B361" s="20">
        <v>75.0</v>
      </c>
      <c r="C361" s="20" t="s">
        <v>2584</v>
      </c>
      <c r="D361" s="41">
        <v>45664.0</v>
      </c>
    </row>
    <row r="362">
      <c r="A362" s="19" t="s">
        <v>1223</v>
      </c>
      <c r="B362" s="20">
        <v>75.0</v>
      </c>
      <c r="C362" s="20" t="s">
        <v>2585</v>
      </c>
      <c r="D362" s="41">
        <v>45664.0</v>
      </c>
    </row>
    <row r="363">
      <c r="A363" s="19" t="s">
        <v>906</v>
      </c>
      <c r="B363" s="20">
        <v>75.0</v>
      </c>
      <c r="C363" s="20" t="s">
        <v>2586</v>
      </c>
      <c r="D363" s="41">
        <v>45664.0</v>
      </c>
    </row>
    <row r="364">
      <c r="A364" s="19" t="s">
        <v>972</v>
      </c>
      <c r="B364" s="20">
        <v>75.0</v>
      </c>
      <c r="C364" s="20" t="s">
        <v>2587</v>
      </c>
      <c r="D364" s="41">
        <v>45664.0</v>
      </c>
    </row>
    <row r="365">
      <c r="A365" s="19" t="s">
        <v>1197</v>
      </c>
      <c r="B365" s="20">
        <v>75.0</v>
      </c>
      <c r="C365" s="20" t="s">
        <v>2588</v>
      </c>
      <c r="D365" s="41">
        <v>45664.0</v>
      </c>
    </row>
    <row r="366">
      <c r="A366" s="19" t="s">
        <v>243</v>
      </c>
      <c r="B366" s="20">
        <v>75.0</v>
      </c>
      <c r="C366" s="20" t="s">
        <v>2589</v>
      </c>
      <c r="D366" s="41">
        <v>45664.0</v>
      </c>
    </row>
    <row r="367">
      <c r="A367" s="19" t="s">
        <v>294</v>
      </c>
      <c r="B367" s="20">
        <v>75.0</v>
      </c>
      <c r="C367" s="20" t="s">
        <v>2590</v>
      </c>
      <c r="D367" s="41">
        <v>45664.0</v>
      </c>
    </row>
    <row r="368">
      <c r="A368" s="19" t="s">
        <v>1235</v>
      </c>
      <c r="B368" s="20">
        <v>75.0</v>
      </c>
      <c r="C368" s="20" t="s">
        <v>2591</v>
      </c>
      <c r="D368" s="41">
        <v>45664.0</v>
      </c>
    </row>
    <row r="369">
      <c r="A369" s="19" t="s">
        <v>1059</v>
      </c>
      <c r="B369" s="20">
        <v>75.0</v>
      </c>
      <c r="C369" s="20" t="s">
        <v>2592</v>
      </c>
      <c r="D369" s="41">
        <v>45664.0</v>
      </c>
    </row>
    <row r="370">
      <c r="A370" s="19" t="s">
        <v>542</v>
      </c>
      <c r="B370" s="20">
        <v>75.0</v>
      </c>
      <c r="C370" s="20" t="s">
        <v>2593</v>
      </c>
      <c r="D370" s="41">
        <v>45664.0</v>
      </c>
    </row>
    <row r="371">
      <c r="A371" s="19" t="s">
        <v>1321</v>
      </c>
      <c r="B371" s="20">
        <v>75.0</v>
      </c>
      <c r="C371" s="20" t="s">
        <v>2594</v>
      </c>
      <c r="D371" s="41">
        <v>45664.0</v>
      </c>
    </row>
    <row r="372">
      <c r="A372" s="19" t="s">
        <v>1067</v>
      </c>
      <c r="B372" s="20">
        <v>75.0</v>
      </c>
      <c r="C372" s="20" t="s">
        <v>2595</v>
      </c>
      <c r="D372" s="41">
        <v>45664.0</v>
      </c>
    </row>
    <row r="373">
      <c r="A373" s="19" t="s">
        <v>1483</v>
      </c>
      <c r="B373" s="20">
        <v>75.0</v>
      </c>
      <c r="C373" s="20" t="s">
        <v>2596</v>
      </c>
      <c r="D373" s="41">
        <v>45664.0</v>
      </c>
    </row>
    <row r="374">
      <c r="A374" s="19" t="s">
        <v>1065</v>
      </c>
      <c r="B374" s="20">
        <v>70.0</v>
      </c>
      <c r="C374" s="20" t="s">
        <v>2597</v>
      </c>
      <c r="D374" s="41">
        <v>45664.0</v>
      </c>
    </row>
    <row r="375">
      <c r="A375" s="19" t="s">
        <v>837</v>
      </c>
      <c r="B375" s="20">
        <v>70.0</v>
      </c>
      <c r="C375" s="20" t="s">
        <v>2598</v>
      </c>
      <c r="D375" s="41">
        <v>45664.0</v>
      </c>
    </row>
    <row r="376">
      <c r="A376" s="19" t="s">
        <v>1057</v>
      </c>
      <c r="B376" s="20">
        <v>70.0</v>
      </c>
      <c r="C376" s="20" t="s">
        <v>2599</v>
      </c>
      <c r="D376" s="41">
        <v>45664.0</v>
      </c>
    </row>
    <row r="377">
      <c r="A377" s="19" t="s">
        <v>1508</v>
      </c>
      <c r="B377" s="20">
        <v>70.0</v>
      </c>
      <c r="C377" s="20" t="s">
        <v>2600</v>
      </c>
      <c r="D377" s="41">
        <v>45664.0</v>
      </c>
    </row>
    <row r="378">
      <c r="A378" s="19" t="s">
        <v>1495</v>
      </c>
      <c r="B378" s="20">
        <v>70.0</v>
      </c>
      <c r="C378" s="20" t="s">
        <v>2601</v>
      </c>
      <c r="D378" s="41">
        <v>45664.0</v>
      </c>
    </row>
    <row r="379">
      <c r="A379" s="19" t="s">
        <v>1470</v>
      </c>
      <c r="B379" s="20">
        <v>70.0</v>
      </c>
      <c r="C379" s="20" t="s">
        <v>2602</v>
      </c>
      <c r="D379" s="41">
        <v>45664.0</v>
      </c>
    </row>
    <row r="380">
      <c r="A380" s="19" t="s">
        <v>1323</v>
      </c>
      <c r="B380" s="20">
        <v>70.0</v>
      </c>
      <c r="C380" s="20" t="s">
        <v>2603</v>
      </c>
      <c r="D380" s="41">
        <v>45664.0</v>
      </c>
    </row>
    <row r="381">
      <c r="A381" s="19" t="s">
        <v>1214</v>
      </c>
      <c r="B381" s="20">
        <v>70.0</v>
      </c>
      <c r="C381" s="20" t="s">
        <v>2604</v>
      </c>
      <c r="D381" s="41">
        <v>45664.0</v>
      </c>
    </row>
    <row r="382">
      <c r="A382" s="19" t="s">
        <v>965</v>
      </c>
      <c r="B382" s="20">
        <v>70.0</v>
      </c>
      <c r="C382" s="20" t="s">
        <v>2605</v>
      </c>
      <c r="D382" s="41">
        <v>45664.0</v>
      </c>
    </row>
    <row r="383">
      <c r="A383" s="19" t="s">
        <v>71</v>
      </c>
      <c r="B383" s="20">
        <v>70.0</v>
      </c>
      <c r="C383" s="20" t="s">
        <v>2606</v>
      </c>
      <c r="D383" s="41">
        <v>45664.0</v>
      </c>
    </row>
    <row r="384">
      <c r="A384" s="19" t="s">
        <v>1271</v>
      </c>
      <c r="B384" s="20">
        <v>70.0</v>
      </c>
      <c r="C384" s="20" t="s">
        <v>2607</v>
      </c>
      <c r="D384" s="41">
        <v>45664.0</v>
      </c>
    </row>
    <row r="385">
      <c r="A385" s="19" t="s">
        <v>1416</v>
      </c>
      <c r="B385" s="20">
        <v>70.0</v>
      </c>
      <c r="C385" s="20" t="s">
        <v>2608</v>
      </c>
      <c r="D385" s="41">
        <v>45664.0</v>
      </c>
    </row>
    <row r="386">
      <c r="A386" s="19" t="s">
        <v>168</v>
      </c>
      <c r="B386" s="20">
        <v>70.0</v>
      </c>
      <c r="C386" s="20" t="s">
        <v>2609</v>
      </c>
      <c r="D386" s="41">
        <v>45664.0</v>
      </c>
    </row>
    <row r="387">
      <c r="A387" s="19" t="s">
        <v>1418</v>
      </c>
      <c r="B387" s="20">
        <v>70.0</v>
      </c>
      <c r="C387" s="20" t="s">
        <v>2610</v>
      </c>
      <c r="D387" s="41">
        <v>45664.0</v>
      </c>
    </row>
    <row r="388">
      <c r="A388" s="19" t="s">
        <v>933</v>
      </c>
      <c r="B388" s="20">
        <v>70.0</v>
      </c>
      <c r="C388" s="20" t="s">
        <v>2611</v>
      </c>
      <c r="D388" s="41">
        <v>45664.0</v>
      </c>
    </row>
    <row r="389">
      <c r="A389" s="19" t="s">
        <v>1594</v>
      </c>
      <c r="B389" s="20">
        <v>70.0</v>
      </c>
      <c r="C389" s="20" t="s">
        <v>2612</v>
      </c>
      <c r="D389" s="41">
        <v>45664.0</v>
      </c>
    </row>
    <row r="390">
      <c r="A390" s="19" t="s">
        <v>1254</v>
      </c>
      <c r="B390" s="20">
        <v>70.0</v>
      </c>
      <c r="C390" s="20" t="s">
        <v>2613</v>
      </c>
      <c r="D390" s="41">
        <v>45664.0</v>
      </c>
    </row>
    <row r="391">
      <c r="A391" s="19" t="s">
        <v>37</v>
      </c>
      <c r="B391" s="20">
        <v>70.0</v>
      </c>
      <c r="C391" s="20" t="s">
        <v>2614</v>
      </c>
      <c r="D391" s="41">
        <v>45664.0</v>
      </c>
    </row>
    <row r="392">
      <c r="A392" s="19" t="s">
        <v>85</v>
      </c>
      <c r="B392" s="20">
        <v>70.0</v>
      </c>
      <c r="C392" s="20" t="s">
        <v>2615</v>
      </c>
      <c r="D392" s="41">
        <v>45664.0</v>
      </c>
    </row>
    <row r="393">
      <c r="A393" s="19" t="s">
        <v>1051</v>
      </c>
      <c r="B393" s="20">
        <v>70.0</v>
      </c>
      <c r="C393" s="20" t="s">
        <v>2616</v>
      </c>
      <c r="D393" s="41">
        <v>45664.0</v>
      </c>
    </row>
    <row r="394">
      <c r="A394" s="19" t="s">
        <v>1441</v>
      </c>
      <c r="B394" s="20">
        <v>70.0</v>
      </c>
      <c r="C394" s="20" t="s">
        <v>2617</v>
      </c>
      <c r="D394" s="41">
        <v>45664.0</v>
      </c>
    </row>
    <row r="395">
      <c r="A395" s="19" t="s">
        <v>1038</v>
      </c>
      <c r="B395" s="20">
        <v>70.0</v>
      </c>
      <c r="C395" s="43" t="s">
        <v>2618</v>
      </c>
      <c r="D395" s="41">
        <v>45664.0</v>
      </c>
    </row>
    <row r="396">
      <c r="A396" s="19" t="s">
        <v>1100</v>
      </c>
      <c r="B396" s="20">
        <v>70.0</v>
      </c>
      <c r="C396" s="20" t="s">
        <v>2619</v>
      </c>
      <c r="D396" s="41">
        <v>45664.0</v>
      </c>
    </row>
    <row r="397">
      <c r="A397" s="19" t="s">
        <v>1553</v>
      </c>
      <c r="B397" s="20">
        <v>70.0</v>
      </c>
      <c r="C397" s="20" t="s">
        <v>2620</v>
      </c>
      <c r="D397" s="41">
        <v>45664.0</v>
      </c>
    </row>
    <row r="398">
      <c r="A398" s="19" t="s">
        <v>66</v>
      </c>
      <c r="B398" s="20">
        <v>70.0</v>
      </c>
      <c r="C398" s="20" t="s">
        <v>2621</v>
      </c>
      <c r="D398" s="41">
        <v>45664.0</v>
      </c>
    </row>
    <row r="399">
      <c r="A399" s="19" t="s">
        <v>169</v>
      </c>
      <c r="B399" s="20">
        <v>70.0</v>
      </c>
      <c r="C399" s="20" t="s">
        <v>2622</v>
      </c>
      <c r="D399" s="41">
        <v>45664.0</v>
      </c>
    </row>
    <row r="400">
      <c r="A400" s="19" t="s">
        <v>1293</v>
      </c>
      <c r="B400" s="20">
        <v>70.0</v>
      </c>
      <c r="C400" s="20" t="s">
        <v>2623</v>
      </c>
      <c r="D400" s="41">
        <v>45664.0</v>
      </c>
    </row>
    <row r="401">
      <c r="A401" s="19" t="s">
        <v>1385</v>
      </c>
      <c r="B401" s="20">
        <v>70.0</v>
      </c>
      <c r="C401" s="20" t="s">
        <v>2624</v>
      </c>
      <c r="D401" s="41">
        <v>45664.0</v>
      </c>
    </row>
    <row r="402">
      <c r="A402" s="19" t="s">
        <v>1569</v>
      </c>
      <c r="B402" s="20">
        <v>70.0</v>
      </c>
      <c r="C402" s="20" t="s">
        <v>2625</v>
      </c>
      <c r="D402" s="41">
        <v>45664.0</v>
      </c>
    </row>
    <row r="403">
      <c r="A403" s="19" t="s">
        <v>1055</v>
      </c>
      <c r="B403" s="20">
        <v>70.0</v>
      </c>
      <c r="C403" s="20" t="s">
        <v>2626</v>
      </c>
      <c r="D403" s="41">
        <v>45664.0</v>
      </c>
    </row>
    <row r="404">
      <c r="A404" s="19" t="s">
        <v>165</v>
      </c>
      <c r="B404" s="20">
        <v>70.0</v>
      </c>
      <c r="C404" s="20" t="s">
        <v>2627</v>
      </c>
      <c r="D404" s="41">
        <v>45664.0</v>
      </c>
    </row>
    <row r="405">
      <c r="A405" s="19" t="s">
        <v>1091</v>
      </c>
      <c r="B405" s="20">
        <v>70.0</v>
      </c>
      <c r="C405" s="20" t="s">
        <v>2628</v>
      </c>
      <c r="D405" s="41">
        <v>45664.0</v>
      </c>
    </row>
    <row r="406">
      <c r="A406" s="19" t="s">
        <v>1564</v>
      </c>
      <c r="B406" s="20">
        <v>70.0</v>
      </c>
      <c r="C406" s="20" t="s">
        <v>2629</v>
      </c>
      <c r="D406" s="41">
        <v>45664.0</v>
      </c>
    </row>
    <row r="407">
      <c r="A407" s="19" t="s">
        <v>1562</v>
      </c>
      <c r="B407" s="20">
        <v>70.0</v>
      </c>
      <c r="C407" s="20" t="s">
        <v>2630</v>
      </c>
      <c r="D407" s="41">
        <v>45664.0</v>
      </c>
    </row>
    <row r="408">
      <c r="A408" s="19" t="s">
        <v>1273</v>
      </c>
      <c r="B408" s="20">
        <v>70.0</v>
      </c>
      <c r="C408" s="20" t="s">
        <v>2631</v>
      </c>
      <c r="D408" s="41">
        <v>45664.0</v>
      </c>
    </row>
    <row r="409">
      <c r="A409" s="19" t="s">
        <v>91</v>
      </c>
      <c r="B409" s="20">
        <v>70.0</v>
      </c>
      <c r="C409" s="20" t="s">
        <v>2632</v>
      </c>
      <c r="D409" s="41">
        <v>45664.0</v>
      </c>
    </row>
    <row r="410">
      <c r="A410" s="19" t="s">
        <v>1117</v>
      </c>
      <c r="B410" s="20">
        <v>70.0</v>
      </c>
      <c r="C410" s="20" t="s">
        <v>2633</v>
      </c>
      <c r="D410" s="41">
        <v>45664.0</v>
      </c>
    </row>
    <row r="411">
      <c r="A411" s="19" t="s">
        <v>1543</v>
      </c>
      <c r="B411" s="20">
        <v>70.0</v>
      </c>
      <c r="C411" s="20" t="s">
        <v>2634</v>
      </c>
      <c r="D411" s="41">
        <v>45664.0</v>
      </c>
    </row>
    <row r="412">
      <c r="A412" s="19" t="s">
        <v>1175</v>
      </c>
      <c r="B412" s="20">
        <v>70.0</v>
      </c>
      <c r="C412" s="20" t="s">
        <v>2635</v>
      </c>
      <c r="D412" s="41">
        <v>45664.0</v>
      </c>
    </row>
    <row r="413">
      <c r="A413" s="19" t="s">
        <v>1173</v>
      </c>
      <c r="B413" s="20">
        <v>70.0</v>
      </c>
      <c r="C413" s="20" t="s">
        <v>2636</v>
      </c>
      <c r="D413" s="41">
        <v>45664.0</v>
      </c>
    </row>
    <row r="414">
      <c r="A414" s="19" t="s">
        <v>1608</v>
      </c>
      <c r="B414" s="20">
        <v>70.0</v>
      </c>
      <c r="C414" s="20" t="s">
        <v>2637</v>
      </c>
      <c r="D414" s="41">
        <v>45664.0</v>
      </c>
    </row>
    <row r="415">
      <c r="A415" s="19" t="s">
        <v>1113</v>
      </c>
      <c r="B415" s="20">
        <v>70.0</v>
      </c>
      <c r="C415" s="20" t="s">
        <v>2638</v>
      </c>
      <c r="D415" s="41">
        <v>45664.0</v>
      </c>
    </row>
    <row r="416">
      <c r="A416" s="19" t="s">
        <v>1315</v>
      </c>
      <c r="B416" s="20">
        <v>70.0</v>
      </c>
      <c r="C416" s="20" t="s">
        <v>2639</v>
      </c>
      <c r="D416" s="41">
        <v>45664.0</v>
      </c>
    </row>
    <row r="417">
      <c r="A417" s="19" t="s">
        <v>991</v>
      </c>
      <c r="B417" s="20">
        <v>70.0</v>
      </c>
      <c r="C417" s="20" t="s">
        <v>2640</v>
      </c>
      <c r="D417" s="41">
        <v>45664.0</v>
      </c>
    </row>
    <row r="418">
      <c r="A418" s="19" t="s">
        <v>866</v>
      </c>
      <c r="B418" s="20">
        <v>70.0</v>
      </c>
      <c r="C418" s="20" t="s">
        <v>2641</v>
      </c>
      <c r="D418" s="41">
        <v>45664.0</v>
      </c>
    </row>
    <row r="419">
      <c r="A419" s="19" t="s">
        <v>142</v>
      </c>
      <c r="B419" s="20">
        <v>70.0</v>
      </c>
      <c r="C419" s="20" t="s">
        <v>2642</v>
      </c>
      <c r="D419" s="41">
        <v>45664.0</v>
      </c>
    </row>
    <row r="420">
      <c r="A420" s="19" t="s">
        <v>97</v>
      </c>
      <c r="B420" s="20">
        <v>70.0</v>
      </c>
      <c r="C420" s="20" t="s">
        <v>2643</v>
      </c>
      <c r="D420" s="41">
        <v>45664.0</v>
      </c>
    </row>
    <row r="421">
      <c r="A421" s="19" t="s">
        <v>275</v>
      </c>
      <c r="B421" s="20">
        <v>70.0</v>
      </c>
      <c r="C421" s="20" t="s">
        <v>2644</v>
      </c>
      <c r="D421" s="41">
        <v>45664.0</v>
      </c>
    </row>
    <row r="422">
      <c r="A422" s="19" t="s">
        <v>1522</v>
      </c>
      <c r="B422" s="20">
        <v>70.0</v>
      </c>
      <c r="C422" s="20" t="s">
        <v>2645</v>
      </c>
      <c r="D422" s="41">
        <v>45664.0</v>
      </c>
    </row>
    <row r="423">
      <c r="A423" s="19" t="s">
        <v>1036</v>
      </c>
      <c r="B423" s="20">
        <v>70.0</v>
      </c>
      <c r="C423" s="20" t="s">
        <v>2646</v>
      </c>
      <c r="D423" s="41">
        <v>45664.0</v>
      </c>
    </row>
    <row r="424">
      <c r="A424" s="19" t="s">
        <v>949</v>
      </c>
      <c r="B424" s="20">
        <v>70.0</v>
      </c>
      <c r="C424" s="20" t="s">
        <v>2647</v>
      </c>
      <c r="D424" s="41">
        <v>45664.0</v>
      </c>
    </row>
    <row r="425">
      <c r="A425" s="19" t="s">
        <v>1352</v>
      </c>
      <c r="B425" s="20">
        <v>70.0</v>
      </c>
      <c r="C425" s="20" t="s">
        <v>2648</v>
      </c>
      <c r="D425" s="41">
        <v>45664.0</v>
      </c>
    </row>
    <row r="426">
      <c r="A426" s="19" t="s">
        <v>881</v>
      </c>
      <c r="B426" s="20">
        <v>70.0</v>
      </c>
      <c r="C426" s="20" t="s">
        <v>2649</v>
      </c>
      <c r="D426" s="41">
        <v>45664.0</v>
      </c>
    </row>
    <row r="427">
      <c r="A427" s="19" t="s">
        <v>486</v>
      </c>
      <c r="B427" s="20">
        <v>70.0</v>
      </c>
      <c r="C427" s="20" t="s">
        <v>2650</v>
      </c>
      <c r="D427" s="41">
        <v>45664.0</v>
      </c>
    </row>
    <row r="428">
      <c r="A428" s="19" t="s">
        <v>1329</v>
      </c>
      <c r="B428" s="20">
        <v>70.0</v>
      </c>
      <c r="C428" s="20" t="s">
        <v>2651</v>
      </c>
      <c r="D428" s="41">
        <v>45664.0</v>
      </c>
    </row>
    <row r="429">
      <c r="A429" s="19" t="s">
        <v>1617</v>
      </c>
      <c r="B429" s="20">
        <v>70.0</v>
      </c>
      <c r="C429" s="20" t="s">
        <v>2652</v>
      </c>
      <c r="D429" s="41">
        <v>45664.0</v>
      </c>
    </row>
    <row r="430">
      <c r="A430" s="19" t="s">
        <v>888</v>
      </c>
      <c r="B430" s="20">
        <v>70.0</v>
      </c>
      <c r="C430" s="20" t="s">
        <v>2653</v>
      </c>
      <c r="D430" s="41">
        <v>45664.0</v>
      </c>
    </row>
    <row r="431">
      <c r="A431" s="19" t="s">
        <v>146</v>
      </c>
      <c r="B431" s="20">
        <v>70.0</v>
      </c>
      <c r="C431" s="20" t="s">
        <v>2654</v>
      </c>
      <c r="D431" s="41">
        <v>45664.0</v>
      </c>
    </row>
    <row r="432">
      <c r="A432" s="19" t="s">
        <v>1619</v>
      </c>
      <c r="B432" s="20">
        <v>70.0</v>
      </c>
      <c r="C432" s="20" t="s">
        <v>2655</v>
      </c>
      <c r="D432" s="41">
        <v>45664.0</v>
      </c>
    </row>
    <row r="433">
      <c r="A433" s="19" t="s">
        <v>1535</v>
      </c>
      <c r="B433" s="20">
        <v>70.0</v>
      </c>
      <c r="C433" s="20" t="s">
        <v>2656</v>
      </c>
      <c r="D433" s="41">
        <v>45664.0</v>
      </c>
    </row>
    <row r="434">
      <c r="A434" s="19" t="s">
        <v>1317</v>
      </c>
      <c r="B434" s="20">
        <v>70.0</v>
      </c>
      <c r="C434" s="20" t="s">
        <v>2657</v>
      </c>
      <c r="D434" s="41">
        <v>45664.0</v>
      </c>
    </row>
    <row r="435">
      <c r="A435" s="19" t="s">
        <v>1206</v>
      </c>
      <c r="B435" s="20">
        <v>70.0</v>
      </c>
      <c r="C435" s="20" t="s">
        <v>2658</v>
      </c>
      <c r="D435" s="41">
        <v>45664.0</v>
      </c>
    </row>
    <row r="436">
      <c r="A436" s="19" t="s">
        <v>1264</v>
      </c>
      <c r="B436" s="20">
        <v>70.0</v>
      </c>
      <c r="C436" s="20" t="s">
        <v>2659</v>
      </c>
      <c r="D436" s="41">
        <v>45664.0</v>
      </c>
    </row>
    <row r="437">
      <c r="A437" s="19" t="s">
        <v>139</v>
      </c>
      <c r="B437" s="20">
        <v>70.0</v>
      </c>
      <c r="C437" s="20" t="s">
        <v>2660</v>
      </c>
      <c r="D437" s="41">
        <v>45664.0</v>
      </c>
    </row>
    <row r="438">
      <c r="A438" s="19" t="s">
        <v>913</v>
      </c>
      <c r="B438" s="20">
        <v>70.0</v>
      </c>
      <c r="C438" s="20" t="s">
        <v>2661</v>
      </c>
      <c r="D438" s="41">
        <v>45664.0</v>
      </c>
    </row>
    <row r="439">
      <c r="A439" s="19" t="s">
        <v>1193</v>
      </c>
      <c r="B439" s="20">
        <v>70.0</v>
      </c>
      <c r="C439" s="20" t="s">
        <v>2662</v>
      </c>
      <c r="D439" s="41">
        <v>45664.0</v>
      </c>
    </row>
    <row r="440">
      <c r="A440" s="19" t="s">
        <v>997</v>
      </c>
      <c r="B440" s="20">
        <v>70.0</v>
      </c>
      <c r="C440" s="20" t="s">
        <v>2663</v>
      </c>
      <c r="D440" s="41">
        <v>45664.0</v>
      </c>
    </row>
    <row r="441">
      <c r="A441" s="19" t="s">
        <v>355</v>
      </c>
      <c r="B441" s="20">
        <v>70.0</v>
      </c>
      <c r="C441" s="20" t="s">
        <v>2664</v>
      </c>
      <c r="D441" s="41">
        <v>45664.0</v>
      </c>
    </row>
    <row r="442">
      <c r="A442" s="19" t="s">
        <v>1032</v>
      </c>
      <c r="B442" s="20">
        <v>70.0</v>
      </c>
      <c r="C442" s="20" t="s">
        <v>2665</v>
      </c>
      <c r="D442" s="41">
        <v>45664.0</v>
      </c>
    </row>
    <row r="443">
      <c r="A443" s="19" t="s">
        <v>476</v>
      </c>
      <c r="B443" s="20">
        <v>70.0</v>
      </c>
      <c r="C443" s="20" t="s">
        <v>2666</v>
      </c>
      <c r="D443" s="41">
        <v>45664.0</v>
      </c>
    </row>
    <row r="444">
      <c r="A444" s="19" t="s">
        <v>1149</v>
      </c>
      <c r="B444" s="20">
        <v>70.0</v>
      </c>
      <c r="C444" s="20" t="s">
        <v>2667</v>
      </c>
      <c r="D444" s="41">
        <v>45664.0</v>
      </c>
    </row>
    <row r="445">
      <c r="A445" s="19" t="s">
        <v>296</v>
      </c>
      <c r="B445" s="20">
        <v>70.0</v>
      </c>
      <c r="C445" s="20" t="s">
        <v>2668</v>
      </c>
      <c r="D445" s="41">
        <v>45664.0</v>
      </c>
    </row>
    <row r="446">
      <c r="A446" s="19" t="s">
        <v>1019</v>
      </c>
      <c r="B446" s="20">
        <v>70.0</v>
      </c>
      <c r="C446" s="20" t="s">
        <v>2669</v>
      </c>
      <c r="D446" s="41">
        <v>45664.0</v>
      </c>
    </row>
    <row r="447">
      <c r="A447" s="19" t="s">
        <v>89</v>
      </c>
      <c r="B447" s="20">
        <v>70.0</v>
      </c>
      <c r="C447" s="20" t="s">
        <v>2670</v>
      </c>
      <c r="D447" s="41">
        <v>45664.0</v>
      </c>
    </row>
    <row r="448">
      <c r="A448" s="19" t="s">
        <v>230</v>
      </c>
      <c r="B448" s="20">
        <v>70.0</v>
      </c>
      <c r="C448" s="20" t="s">
        <v>2671</v>
      </c>
      <c r="D448" s="41">
        <v>45664.0</v>
      </c>
    </row>
    <row r="449">
      <c r="A449" s="19" t="s">
        <v>771</v>
      </c>
      <c r="B449" s="20">
        <v>70.0</v>
      </c>
      <c r="C449" s="20" t="s">
        <v>2672</v>
      </c>
      <c r="D449" s="41">
        <v>45664.0</v>
      </c>
    </row>
    <row r="450">
      <c r="A450" s="19" t="s">
        <v>1237</v>
      </c>
      <c r="B450" s="20">
        <v>70.0</v>
      </c>
      <c r="C450" s="20" t="s">
        <v>2673</v>
      </c>
      <c r="D450" s="41">
        <v>45664.0</v>
      </c>
    </row>
    <row r="451">
      <c r="A451" s="19" t="s">
        <v>1229</v>
      </c>
      <c r="B451" s="20">
        <v>70.0</v>
      </c>
      <c r="C451" s="20" t="s">
        <v>2674</v>
      </c>
      <c r="D451" s="41">
        <v>45664.0</v>
      </c>
    </row>
    <row r="452">
      <c r="A452" s="19" t="s">
        <v>1414</v>
      </c>
      <c r="B452" s="20">
        <v>70.0</v>
      </c>
      <c r="C452" s="20" t="s">
        <v>2675</v>
      </c>
      <c r="D452" s="41">
        <v>45664.0</v>
      </c>
    </row>
    <row r="453">
      <c r="A453" s="19" t="s">
        <v>929</v>
      </c>
      <c r="B453" s="20">
        <v>70.0</v>
      </c>
      <c r="C453" s="20" t="s">
        <v>2676</v>
      </c>
      <c r="D453" s="41">
        <v>45664.0</v>
      </c>
    </row>
    <row r="454">
      <c r="A454" s="19" t="s">
        <v>472</v>
      </c>
      <c r="B454" s="20">
        <v>70.0</v>
      </c>
      <c r="C454" s="20" t="s">
        <v>2677</v>
      </c>
      <c r="D454" s="41">
        <v>45664.0</v>
      </c>
    </row>
    <row r="455">
      <c r="A455" s="19" t="s">
        <v>1437</v>
      </c>
      <c r="B455" s="20">
        <v>70.0</v>
      </c>
      <c r="C455" s="20" t="s">
        <v>2678</v>
      </c>
      <c r="D455" s="41">
        <v>45664.0</v>
      </c>
    </row>
    <row r="456">
      <c r="A456" s="19" t="s">
        <v>1336</v>
      </c>
      <c r="B456" s="20">
        <v>70.0</v>
      </c>
      <c r="C456" s="20" t="s">
        <v>2679</v>
      </c>
      <c r="D456" s="41">
        <v>45664.0</v>
      </c>
    </row>
    <row r="457">
      <c r="A457" s="19" t="s">
        <v>1131</v>
      </c>
      <c r="B457" s="20">
        <v>70.0</v>
      </c>
      <c r="C457" s="20" t="s">
        <v>2680</v>
      </c>
      <c r="D457" s="41">
        <v>45664.0</v>
      </c>
    </row>
    <row r="458">
      <c r="A458" s="19" t="s">
        <v>1481</v>
      </c>
      <c r="B458" s="20">
        <v>65.0</v>
      </c>
      <c r="C458" s="20" t="s">
        <v>2681</v>
      </c>
      <c r="D458" s="41">
        <v>45664.0</v>
      </c>
    </row>
    <row r="459">
      <c r="A459" s="19" t="s">
        <v>1076</v>
      </c>
      <c r="B459" s="20">
        <v>65.0</v>
      </c>
      <c r="C459" s="20" t="s">
        <v>2682</v>
      </c>
      <c r="D459" s="41">
        <v>45664.0</v>
      </c>
    </row>
    <row r="460">
      <c r="A460" s="19" t="s">
        <v>1013</v>
      </c>
      <c r="B460" s="20">
        <v>65.0</v>
      </c>
      <c r="C460" s="20" t="s">
        <v>2683</v>
      </c>
      <c r="D460" s="41">
        <v>45664.0</v>
      </c>
    </row>
    <row r="461">
      <c r="A461" s="19" t="s">
        <v>1305</v>
      </c>
      <c r="B461" s="20">
        <v>65.0</v>
      </c>
      <c r="C461" s="20" t="s">
        <v>2684</v>
      </c>
      <c r="D461" s="41">
        <v>45664.0</v>
      </c>
    </row>
    <row r="462">
      <c r="A462" s="19" t="s">
        <v>1429</v>
      </c>
      <c r="B462" s="20">
        <v>65.0</v>
      </c>
      <c r="C462" s="20" t="s">
        <v>2685</v>
      </c>
      <c r="D462" s="41">
        <v>45664.0</v>
      </c>
    </row>
    <row r="463">
      <c r="A463" s="19" t="s">
        <v>101</v>
      </c>
      <c r="B463" s="20">
        <v>65.0</v>
      </c>
      <c r="C463" s="20" t="s">
        <v>2686</v>
      </c>
      <c r="D463" s="41">
        <v>45664.0</v>
      </c>
    </row>
    <row r="464">
      <c r="A464" s="19" t="s">
        <v>1248</v>
      </c>
      <c r="B464" s="20">
        <v>65.0</v>
      </c>
      <c r="C464" s="20" t="s">
        <v>2687</v>
      </c>
      <c r="D464" s="41">
        <v>45664.0</v>
      </c>
    </row>
    <row r="465">
      <c r="A465" s="19" t="s">
        <v>1225</v>
      </c>
      <c r="B465" s="20">
        <v>65.0</v>
      </c>
      <c r="C465" s="20" t="s">
        <v>2688</v>
      </c>
      <c r="D465" s="41">
        <v>45664.0</v>
      </c>
    </row>
    <row r="466">
      <c r="A466" s="19" t="s">
        <v>1021</v>
      </c>
      <c r="B466" s="20">
        <v>65.0</v>
      </c>
      <c r="C466" s="20" t="s">
        <v>2689</v>
      </c>
      <c r="D466" s="41">
        <v>45664.0</v>
      </c>
    </row>
    <row r="467">
      <c r="A467" s="19" t="s">
        <v>1599</v>
      </c>
      <c r="B467" s="20">
        <v>65.0</v>
      </c>
      <c r="C467" s="20" t="s">
        <v>2690</v>
      </c>
      <c r="D467" s="41">
        <v>45664.0</v>
      </c>
    </row>
    <row r="468">
      <c r="A468" s="19" t="s">
        <v>1331</v>
      </c>
      <c r="B468" s="20">
        <v>65.0</v>
      </c>
      <c r="C468" s="20" t="s">
        <v>2691</v>
      </c>
      <c r="D468" s="41">
        <v>45664.0</v>
      </c>
    </row>
    <row r="469">
      <c r="A469" s="19" t="s">
        <v>1398</v>
      </c>
      <c r="B469" s="20">
        <v>65.0</v>
      </c>
      <c r="C469" s="20" t="s">
        <v>2692</v>
      </c>
      <c r="D469" s="41">
        <v>45664.0</v>
      </c>
    </row>
    <row r="470">
      <c r="A470" s="19" t="s">
        <v>1580</v>
      </c>
      <c r="B470" s="20">
        <v>65.0</v>
      </c>
      <c r="C470" s="20" t="s">
        <v>2693</v>
      </c>
      <c r="D470" s="41">
        <v>45664.0</v>
      </c>
    </row>
    <row r="471">
      <c r="A471" s="19" t="s">
        <v>254</v>
      </c>
      <c r="B471" s="20">
        <v>65.0</v>
      </c>
      <c r="C471" s="43" t="s">
        <v>2694</v>
      </c>
      <c r="D471" s="41">
        <v>45664.0</v>
      </c>
    </row>
    <row r="472">
      <c r="A472" s="19" t="s">
        <v>1454</v>
      </c>
      <c r="B472" s="20">
        <v>65.0</v>
      </c>
      <c r="C472" s="20" t="s">
        <v>2695</v>
      </c>
      <c r="D472" s="41">
        <v>45664.0</v>
      </c>
    </row>
    <row r="473">
      <c r="A473" s="19" t="s">
        <v>1063</v>
      </c>
      <c r="B473" s="20">
        <v>65.0</v>
      </c>
      <c r="C473" s="20" t="s">
        <v>2696</v>
      </c>
      <c r="D473" s="41">
        <v>45664.0</v>
      </c>
    </row>
    <row r="474">
      <c r="A474" s="19" t="s">
        <v>1458</v>
      </c>
      <c r="B474" s="20">
        <v>65.0</v>
      </c>
      <c r="C474" s="20" t="s">
        <v>2697</v>
      </c>
      <c r="D474" s="41">
        <v>45664.0</v>
      </c>
    </row>
    <row r="475">
      <c r="A475" s="19" t="s">
        <v>1400</v>
      </c>
      <c r="B475" s="20">
        <v>65.0</v>
      </c>
      <c r="C475" s="20" t="s">
        <v>2698</v>
      </c>
      <c r="D475" s="41">
        <v>45664.0</v>
      </c>
    </row>
    <row r="476">
      <c r="A476" s="19" t="s">
        <v>939</v>
      </c>
      <c r="B476" s="20">
        <v>65.0</v>
      </c>
      <c r="C476" s="20" t="s">
        <v>2699</v>
      </c>
      <c r="D476" s="41">
        <v>45664.0</v>
      </c>
    </row>
    <row r="477">
      <c r="A477" s="19" t="s">
        <v>1338</v>
      </c>
      <c r="B477" s="20">
        <v>65.0</v>
      </c>
      <c r="C477" s="20" t="s">
        <v>2700</v>
      </c>
      <c r="D477" s="41">
        <v>45664.0</v>
      </c>
    </row>
    <row r="478">
      <c r="A478" s="19" t="s">
        <v>1551</v>
      </c>
      <c r="B478" s="20">
        <v>65.0</v>
      </c>
      <c r="C478" s="20" t="s">
        <v>2701</v>
      </c>
      <c r="D478" s="41">
        <v>45664.0</v>
      </c>
    </row>
    <row r="479">
      <c r="A479" s="19" t="s">
        <v>1365</v>
      </c>
      <c r="B479" s="20">
        <v>65.0</v>
      </c>
      <c r="C479" s="20" t="s">
        <v>2702</v>
      </c>
      <c r="D479" s="41">
        <v>45664.0</v>
      </c>
    </row>
    <row r="480">
      <c r="A480" s="19" t="s">
        <v>145</v>
      </c>
      <c r="B480" s="20">
        <v>65.0</v>
      </c>
      <c r="C480" s="20" t="s">
        <v>2703</v>
      </c>
      <c r="D480" s="41">
        <v>45664.0</v>
      </c>
    </row>
    <row r="481">
      <c r="A481" s="19" t="s">
        <v>1185</v>
      </c>
      <c r="B481" s="20">
        <v>65.0</v>
      </c>
      <c r="C481" s="20" t="s">
        <v>2704</v>
      </c>
      <c r="D481" s="41">
        <v>45664.0</v>
      </c>
    </row>
    <row r="482">
      <c r="A482" s="19" t="s">
        <v>1439</v>
      </c>
      <c r="B482" s="20">
        <v>65.0</v>
      </c>
      <c r="C482" s="20" t="s">
        <v>2705</v>
      </c>
      <c r="D482" s="41">
        <v>45664.0</v>
      </c>
    </row>
    <row r="483">
      <c r="A483" s="19" t="s">
        <v>1375</v>
      </c>
      <c r="B483" s="20">
        <v>65.0</v>
      </c>
      <c r="C483" s="20" t="s">
        <v>2706</v>
      </c>
      <c r="D483" s="41">
        <v>45664.0</v>
      </c>
    </row>
    <row r="484">
      <c r="A484" s="19" t="s">
        <v>1260</v>
      </c>
      <c r="B484" s="20">
        <v>65.0</v>
      </c>
      <c r="C484" s="20" t="s">
        <v>2707</v>
      </c>
      <c r="D484" s="41">
        <v>45664.0</v>
      </c>
    </row>
    <row r="485">
      <c r="A485" s="19" t="s">
        <v>1028</v>
      </c>
      <c r="B485" s="20">
        <v>65.0</v>
      </c>
      <c r="C485" s="20" t="s">
        <v>2708</v>
      </c>
      <c r="D485" s="41">
        <v>45664.0</v>
      </c>
    </row>
    <row r="486">
      <c r="A486" s="19" t="s">
        <v>1241</v>
      </c>
      <c r="B486" s="20">
        <v>65.0</v>
      </c>
      <c r="C486" s="20" t="s">
        <v>2709</v>
      </c>
      <c r="D486" s="41">
        <v>45664.0</v>
      </c>
    </row>
    <row r="487">
      <c r="A487" s="19" t="s">
        <v>1406</v>
      </c>
      <c r="B487" s="20">
        <v>65.0</v>
      </c>
      <c r="C487" s="20" t="s">
        <v>2710</v>
      </c>
      <c r="D487" s="41">
        <v>45664.0</v>
      </c>
    </row>
    <row r="488">
      <c r="A488" s="19" t="s">
        <v>831</v>
      </c>
      <c r="B488" s="20">
        <v>65.0</v>
      </c>
      <c r="C488" s="20" t="s">
        <v>2711</v>
      </c>
      <c r="D488" s="41">
        <v>45664.0</v>
      </c>
    </row>
    <row r="489">
      <c r="A489" s="19" t="s">
        <v>276</v>
      </c>
      <c r="B489" s="20">
        <v>65.0</v>
      </c>
      <c r="C489" s="20" t="s">
        <v>2712</v>
      </c>
      <c r="D489" s="41">
        <v>45664.0</v>
      </c>
    </row>
    <row r="490">
      <c r="A490" s="19" t="s">
        <v>884</v>
      </c>
      <c r="B490" s="20">
        <v>65.0</v>
      </c>
      <c r="C490" s="20" t="s">
        <v>2713</v>
      </c>
      <c r="D490" s="41">
        <v>45664.0</v>
      </c>
    </row>
    <row r="491">
      <c r="A491" s="19" t="s">
        <v>41</v>
      </c>
      <c r="B491" s="20">
        <v>65.0</v>
      </c>
      <c r="C491" s="20" t="s">
        <v>2714</v>
      </c>
      <c r="D491" s="41">
        <v>45664.0</v>
      </c>
    </row>
    <row r="492">
      <c r="A492" s="19" t="s">
        <v>1517</v>
      </c>
      <c r="B492" s="20">
        <v>65.0</v>
      </c>
      <c r="C492" s="20" t="s">
        <v>2715</v>
      </c>
      <c r="D492" s="41">
        <v>45664.0</v>
      </c>
    </row>
    <row r="493">
      <c r="A493" s="19" t="s">
        <v>868</v>
      </c>
      <c r="B493" s="20">
        <v>65.0</v>
      </c>
      <c r="C493" s="20" t="s">
        <v>2716</v>
      </c>
      <c r="D493" s="41">
        <v>45664.0</v>
      </c>
    </row>
    <row r="494">
      <c r="A494" s="19" t="s">
        <v>1513</v>
      </c>
      <c r="B494" s="20">
        <v>65.0</v>
      </c>
      <c r="C494" s="20" t="s">
        <v>2717</v>
      </c>
      <c r="D494" s="41">
        <v>45664.0</v>
      </c>
    </row>
    <row r="495">
      <c r="A495" s="19" t="s">
        <v>1141</v>
      </c>
      <c r="B495" s="20">
        <v>60.0</v>
      </c>
      <c r="C495" s="20" t="s">
        <v>2718</v>
      </c>
      <c r="D495" s="41">
        <v>45664.0</v>
      </c>
    </row>
    <row r="496">
      <c r="A496" s="19" t="s">
        <v>1578</v>
      </c>
      <c r="B496" s="20">
        <v>60.0</v>
      </c>
      <c r="C496" s="20" t="s">
        <v>2719</v>
      </c>
      <c r="D496" s="41">
        <v>45664.0</v>
      </c>
    </row>
    <row r="497">
      <c r="A497" s="19" t="s">
        <v>980</v>
      </c>
      <c r="B497" s="20">
        <v>60.0</v>
      </c>
      <c r="C497" s="20" t="s">
        <v>2720</v>
      </c>
      <c r="D497" s="41">
        <v>45664.0</v>
      </c>
    </row>
    <row r="498">
      <c r="A498" s="19" t="s">
        <v>423</v>
      </c>
      <c r="B498" s="20">
        <v>60.0</v>
      </c>
      <c r="C498" s="20" t="s">
        <v>2721</v>
      </c>
      <c r="D498" s="41">
        <v>45664.0</v>
      </c>
    </row>
    <row r="499">
      <c r="A499" s="19" t="s">
        <v>1319</v>
      </c>
      <c r="B499" s="20">
        <v>60.0</v>
      </c>
      <c r="C499" s="20" t="s">
        <v>2722</v>
      </c>
      <c r="D499" s="41">
        <v>45664.0</v>
      </c>
    </row>
    <row r="500">
      <c r="A500" s="19" t="s">
        <v>1245</v>
      </c>
      <c r="B500" s="20">
        <v>60.0</v>
      </c>
      <c r="C500" s="20" t="s">
        <v>2723</v>
      </c>
      <c r="D500" s="41">
        <v>45664.0</v>
      </c>
    </row>
    <row r="501">
      <c r="A501" s="19" t="s">
        <v>1427</v>
      </c>
      <c r="B501" s="20">
        <v>50.0</v>
      </c>
      <c r="C501" s="20" t="s">
        <v>2724</v>
      </c>
      <c r="D501" s="41">
        <v>45664.0</v>
      </c>
    </row>
    <row r="502">
      <c r="A502" s="19" t="s">
        <v>1452</v>
      </c>
      <c r="B502" s="20">
        <v>50.0</v>
      </c>
      <c r="C502" s="20" t="s">
        <v>2725</v>
      </c>
      <c r="D502" s="41">
        <v>45664.0</v>
      </c>
    </row>
    <row r="503">
      <c r="A503" s="19" t="s">
        <v>95</v>
      </c>
      <c r="B503" s="20">
        <v>40.0</v>
      </c>
      <c r="C503" s="20" t="s">
        <v>2726</v>
      </c>
      <c r="D503" s="41">
        <v>45664.0</v>
      </c>
    </row>
    <row r="504">
      <c r="A504" s="19" t="s">
        <v>1421</v>
      </c>
      <c r="B504" s="20">
        <v>35.0</v>
      </c>
      <c r="C504" s="20" t="s">
        <v>2727</v>
      </c>
      <c r="D504" s="41">
        <v>45664.0</v>
      </c>
    </row>
  </sheetData>
  <autoFilter ref="$G$1:$I$14">
    <sortState ref="G1:I14">
      <sortCondition descending="1" ref="I1:I14"/>
    </sortState>
  </autoFilter>
  <hyperlinks>
    <hyperlink r:id="rId1" ref="C120"/>
    <hyperlink r:id="rId2" ref="C127"/>
    <hyperlink r:id="rId3" ref="C166"/>
    <hyperlink r:id="rId4" ref="C228"/>
    <hyperlink r:id="rId5" ref="C270"/>
    <hyperlink r:id="rId6" ref="C395"/>
    <hyperlink r:id="rId7" ref="C471"/>
  </hyperlinks>
  <drawing r:id="rId8"/>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40" t="s">
        <v>623</v>
      </c>
      <c r="B1" s="40" t="s">
        <v>624</v>
      </c>
      <c r="C1" s="40" t="s">
        <v>625</v>
      </c>
      <c r="D1" s="40" t="s">
        <v>626</v>
      </c>
    </row>
    <row r="2">
      <c r="A2" s="19" t="s">
        <v>194</v>
      </c>
      <c r="B2" s="20" t="s">
        <v>2728</v>
      </c>
      <c r="C2" s="20">
        <v>85.0</v>
      </c>
      <c r="D2" s="41">
        <v>45664.0</v>
      </c>
    </row>
    <row r="3">
      <c r="A3" s="19" t="s">
        <v>111</v>
      </c>
      <c r="B3" s="20" t="s">
        <v>2729</v>
      </c>
      <c r="C3" s="20">
        <v>85.0</v>
      </c>
      <c r="D3" s="41">
        <v>45664.0</v>
      </c>
    </row>
    <row r="4">
      <c r="A4" s="19" t="s">
        <v>103</v>
      </c>
      <c r="B4" s="20" t="s">
        <v>2730</v>
      </c>
      <c r="C4" s="20">
        <v>85.0</v>
      </c>
      <c r="D4" s="41">
        <v>45664.0</v>
      </c>
    </row>
    <row r="5">
      <c r="A5" s="19" t="s">
        <v>119</v>
      </c>
      <c r="B5" s="20" t="s">
        <v>2731</v>
      </c>
      <c r="C5" s="20">
        <v>78.0</v>
      </c>
      <c r="D5" s="41">
        <v>45664.0</v>
      </c>
    </row>
    <row r="6">
      <c r="A6" s="19" t="s">
        <v>173</v>
      </c>
      <c r="B6" s="20" t="s">
        <v>2732</v>
      </c>
      <c r="C6" s="20">
        <v>78.0</v>
      </c>
      <c r="D6" s="41">
        <v>45664.0</v>
      </c>
    </row>
    <row r="7">
      <c r="A7" s="19" t="s">
        <v>107</v>
      </c>
      <c r="B7" s="20" t="s">
        <v>2733</v>
      </c>
      <c r="C7" s="20">
        <v>78.0</v>
      </c>
      <c r="D7" s="41">
        <v>45664.0</v>
      </c>
    </row>
    <row r="8">
      <c r="A8" s="19" t="s">
        <v>731</v>
      </c>
      <c r="B8" s="20" t="s">
        <v>2734</v>
      </c>
      <c r="C8" s="20">
        <v>78.0</v>
      </c>
      <c r="D8" s="41">
        <v>45664.0</v>
      </c>
    </row>
    <row r="9">
      <c r="A9" s="19" t="s">
        <v>742</v>
      </c>
      <c r="B9" s="20" t="s">
        <v>2735</v>
      </c>
      <c r="C9" s="20">
        <v>78.0</v>
      </c>
      <c r="D9" s="41">
        <v>45664.0</v>
      </c>
    </row>
    <row r="10">
      <c r="A10" s="19" t="s">
        <v>115</v>
      </c>
      <c r="B10" s="20" t="s">
        <v>2736</v>
      </c>
      <c r="C10" s="20">
        <v>78.0</v>
      </c>
      <c r="D10" s="41">
        <v>45664.0</v>
      </c>
    </row>
    <row r="11">
      <c r="A11" s="19" t="s">
        <v>647</v>
      </c>
      <c r="B11" s="20" t="s">
        <v>2737</v>
      </c>
      <c r="C11" s="20">
        <v>75.0</v>
      </c>
      <c r="D11" s="41">
        <v>45664.0</v>
      </c>
    </row>
    <row r="12">
      <c r="A12" s="19" t="s">
        <v>156</v>
      </c>
      <c r="B12" s="20" t="s">
        <v>2738</v>
      </c>
      <c r="C12" s="20">
        <v>75.0</v>
      </c>
      <c r="D12" s="41">
        <v>45664.0</v>
      </c>
    </row>
    <row r="13">
      <c r="A13" s="19" t="s">
        <v>634</v>
      </c>
      <c r="B13" s="20" t="s">
        <v>2739</v>
      </c>
      <c r="C13" s="20">
        <v>75.0</v>
      </c>
      <c r="D13" s="41">
        <v>45664.0</v>
      </c>
    </row>
    <row r="14">
      <c r="A14" s="19" t="s">
        <v>642</v>
      </c>
      <c r="B14" s="20" t="s">
        <v>2740</v>
      </c>
      <c r="C14" s="20">
        <v>75.0</v>
      </c>
      <c r="D14" s="41">
        <v>45664.0</v>
      </c>
    </row>
    <row r="15">
      <c r="A15" s="19" t="s">
        <v>660</v>
      </c>
      <c r="B15" s="20" t="s">
        <v>2741</v>
      </c>
      <c r="C15" s="20">
        <v>75.0</v>
      </c>
      <c r="D15" s="41">
        <v>45664.0</v>
      </c>
    </row>
    <row r="16">
      <c r="A16" s="19" t="s">
        <v>153</v>
      </c>
      <c r="B16" s="20" t="s">
        <v>2742</v>
      </c>
      <c r="C16" s="20">
        <v>75.0</v>
      </c>
      <c r="D16" s="41">
        <v>45664.0</v>
      </c>
    </row>
    <row r="17">
      <c r="A17" s="19" t="s">
        <v>188</v>
      </c>
      <c r="B17" s="20" t="s">
        <v>2743</v>
      </c>
      <c r="C17" s="20">
        <v>75.0</v>
      </c>
      <c r="D17" s="41">
        <v>45664.0</v>
      </c>
    </row>
    <row r="18">
      <c r="A18" s="19" t="s">
        <v>638</v>
      </c>
      <c r="B18" s="20" t="s">
        <v>2744</v>
      </c>
      <c r="C18" s="20">
        <v>75.0</v>
      </c>
      <c r="D18" s="41">
        <v>45664.0</v>
      </c>
    </row>
    <row r="19">
      <c r="A19" s="42"/>
      <c r="B19" s="20" t="s">
        <v>2745</v>
      </c>
      <c r="C19" s="20">
        <v>75.0</v>
      </c>
      <c r="D19" s="41">
        <v>45664.0</v>
      </c>
    </row>
    <row r="20">
      <c r="A20" s="19" t="s">
        <v>704</v>
      </c>
      <c r="B20" s="20" t="s">
        <v>2746</v>
      </c>
      <c r="C20" s="20">
        <v>75.0</v>
      </c>
      <c r="D20" s="41">
        <v>45664.0</v>
      </c>
    </row>
    <row r="21">
      <c r="A21" s="19" t="s">
        <v>312</v>
      </c>
      <c r="B21" s="20" t="s">
        <v>2747</v>
      </c>
      <c r="C21" s="20">
        <v>75.0</v>
      </c>
      <c r="D21" s="41">
        <v>45664.0</v>
      </c>
    </row>
    <row r="22">
      <c r="A22" s="19" t="s">
        <v>309</v>
      </c>
      <c r="B22" s="20" t="s">
        <v>2748</v>
      </c>
      <c r="C22" s="20">
        <v>75.0</v>
      </c>
      <c r="D22" s="41">
        <v>45664.0</v>
      </c>
    </row>
    <row r="23">
      <c r="A23" s="19" t="s">
        <v>664</v>
      </c>
      <c r="B23" s="20" t="s">
        <v>2749</v>
      </c>
      <c r="C23" s="20">
        <v>75.0</v>
      </c>
      <c r="D23" s="41">
        <v>45664.0</v>
      </c>
    </row>
    <row r="24">
      <c r="A24" s="19" t="s">
        <v>658</v>
      </c>
      <c r="B24" s="20" t="s">
        <v>2750</v>
      </c>
      <c r="C24" s="20">
        <v>72.0</v>
      </c>
      <c r="D24" s="41">
        <v>45664.0</v>
      </c>
    </row>
    <row r="25">
      <c r="A25" s="19" t="s">
        <v>725</v>
      </c>
      <c r="B25" s="20" t="s">
        <v>2751</v>
      </c>
      <c r="C25" s="20">
        <v>72.0</v>
      </c>
      <c r="D25" s="41">
        <v>45664.0</v>
      </c>
    </row>
    <row r="26">
      <c r="A26" s="19" t="s">
        <v>740</v>
      </c>
      <c r="B26" s="20" t="s">
        <v>2752</v>
      </c>
      <c r="C26" s="20">
        <v>72.0</v>
      </c>
      <c r="D26" s="41">
        <v>45664.0</v>
      </c>
    </row>
    <row r="27">
      <c r="A27" s="19" t="s">
        <v>150</v>
      </c>
      <c r="B27" s="20" t="s">
        <v>2753</v>
      </c>
      <c r="C27" s="20">
        <v>72.0</v>
      </c>
      <c r="D27" s="41">
        <v>45664.0</v>
      </c>
    </row>
    <row r="28">
      <c r="A28" s="19" t="s">
        <v>717</v>
      </c>
      <c r="B28" s="20" t="s">
        <v>2754</v>
      </c>
      <c r="C28" s="20">
        <v>70.0</v>
      </c>
      <c r="D28" s="41">
        <v>45664.0</v>
      </c>
    </row>
    <row r="29">
      <c r="A29" s="19" t="s">
        <v>727</v>
      </c>
      <c r="B29" s="20" t="s">
        <v>2755</v>
      </c>
      <c r="C29" s="20">
        <v>70.0</v>
      </c>
      <c r="D29" s="41">
        <v>45664.0</v>
      </c>
    </row>
    <row r="30">
      <c r="A30" s="19" t="s">
        <v>649</v>
      </c>
      <c r="B30" s="20" t="s">
        <v>2756</v>
      </c>
      <c r="C30" s="20">
        <v>70.0</v>
      </c>
      <c r="D30" s="41">
        <v>45664.0</v>
      </c>
    </row>
    <row r="31">
      <c r="A31" s="19" t="s">
        <v>690</v>
      </c>
      <c r="B31" s="20" t="s">
        <v>2757</v>
      </c>
      <c r="C31" s="20">
        <v>68.0</v>
      </c>
      <c r="D31" s="41">
        <v>45664.0</v>
      </c>
    </row>
    <row r="32">
      <c r="A32" s="19" t="s">
        <v>736</v>
      </c>
      <c r="B32" s="20" t="s">
        <v>2758</v>
      </c>
      <c r="C32" s="20">
        <v>68.0</v>
      </c>
      <c r="D32" s="41">
        <v>45664.0</v>
      </c>
    </row>
    <row r="33">
      <c r="A33" s="19" t="s">
        <v>666</v>
      </c>
      <c r="B33" s="20" t="s">
        <v>2759</v>
      </c>
      <c r="C33" s="20">
        <v>68.0</v>
      </c>
      <c r="D33" s="41">
        <v>45664.0</v>
      </c>
    </row>
    <row r="34">
      <c r="A34" s="19" t="s">
        <v>636</v>
      </c>
      <c r="B34" s="20" t="s">
        <v>2760</v>
      </c>
      <c r="C34" s="20">
        <v>68.0</v>
      </c>
      <c r="D34" s="41">
        <v>45664.0</v>
      </c>
    </row>
    <row r="35">
      <c r="A35" s="19" t="s">
        <v>708</v>
      </c>
      <c r="B35" s="20" t="s">
        <v>2761</v>
      </c>
      <c r="C35" s="20">
        <v>68.0</v>
      </c>
      <c r="D35" s="41">
        <v>45664.0</v>
      </c>
    </row>
    <row r="36">
      <c r="A36" s="19" t="s">
        <v>662</v>
      </c>
      <c r="B36" s="20" t="s">
        <v>2762</v>
      </c>
      <c r="C36" s="20">
        <v>68.0</v>
      </c>
      <c r="D36" s="41">
        <v>45664.0</v>
      </c>
    </row>
    <row r="37">
      <c r="A37" s="19" t="s">
        <v>702</v>
      </c>
      <c r="B37" s="20" t="s">
        <v>2763</v>
      </c>
      <c r="C37" s="20">
        <v>68.0</v>
      </c>
      <c r="D37" s="41">
        <v>45664.0</v>
      </c>
    </row>
    <row r="38">
      <c r="A38" s="19" t="s">
        <v>684</v>
      </c>
      <c r="B38" s="20" t="s">
        <v>2764</v>
      </c>
      <c r="C38" s="20">
        <v>68.0</v>
      </c>
      <c r="D38" s="41">
        <v>45664.0</v>
      </c>
    </row>
    <row r="39">
      <c r="A39" s="19" t="s">
        <v>753</v>
      </c>
      <c r="B39" s="20" t="s">
        <v>2765</v>
      </c>
      <c r="C39" s="20">
        <v>68.0</v>
      </c>
      <c r="D39" s="41">
        <v>45664.0</v>
      </c>
    </row>
    <row r="40">
      <c r="A40" s="19" t="s">
        <v>710</v>
      </c>
      <c r="B40" s="20" t="s">
        <v>2766</v>
      </c>
      <c r="C40" s="20">
        <v>68.0</v>
      </c>
      <c r="D40" s="41">
        <v>45664.0</v>
      </c>
    </row>
    <row r="41">
      <c r="A41" s="19" t="s">
        <v>314</v>
      </c>
      <c r="B41" s="20" t="s">
        <v>2767</v>
      </c>
      <c r="C41" s="20">
        <v>68.0</v>
      </c>
      <c r="D41" s="41">
        <v>45664.0</v>
      </c>
    </row>
    <row r="42">
      <c r="A42" s="19" t="s">
        <v>148</v>
      </c>
      <c r="B42" s="20" t="s">
        <v>2768</v>
      </c>
      <c r="C42" s="20">
        <v>68.0</v>
      </c>
      <c r="D42" s="41">
        <v>45664.0</v>
      </c>
    </row>
    <row r="43">
      <c r="A43" s="19" t="s">
        <v>159</v>
      </c>
      <c r="B43" s="20" t="s">
        <v>2769</v>
      </c>
      <c r="C43" s="20">
        <v>65.0</v>
      </c>
      <c r="D43" s="41">
        <v>45664.0</v>
      </c>
    </row>
    <row r="44">
      <c r="A44" s="19" t="s">
        <v>670</v>
      </c>
      <c r="B44" s="20" t="s">
        <v>2770</v>
      </c>
      <c r="C44" s="20">
        <v>65.0</v>
      </c>
      <c r="D44" s="41">
        <v>45664.0</v>
      </c>
    </row>
    <row r="45">
      <c r="A45" s="19" t="s">
        <v>734</v>
      </c>
      <c r="B45" s="20" t="s">
        <v>2771</v>
      </c>
      <c r="C45" s="20">
        <v>65.0</v>
      </c>
      <c r="D45" s="41">
        <v>45664.0</v>
      </c>
    </row>
    <row r="46">
      <c r="A46" s="19" t="s">
        <v>723</v>
      </c>
      <c r="B46" s="20" t="s">
        <v>2772</v>
      </c>
      <c r="C46" s="20">
        <v>65.0</v>
      </c>
      <c r="D46" s="41">
        <v>45664.0</v>
      </c>
    </row>
    <row r="47">
      <c r="A47" s="19" t="s">
        <v>656</v>
      </c>
      <c r="B47" s="20" t="s">
        <v>2773</v>
      </c>
      <c r="C47" s="20">
        <v>65.0</v>
      </c>
      <c r="D47" s="41">
        <v>45664.0</v>
      </c>
    </row>
    <row r="48">
      <c r="A48" s="19" t="s">
        <v>738</v>
      </c>
      <c r="B48" s="20" t="s">
        <v>2774</v>
      </c>
      <c r="C48" s="20">
        <v>65.0</v>
      </c>
      <c r="D48" s="41">
        <v>45664.0</v>
      </c>
    </row>
    <row r="49">
      <c r="A49" s="19" t="s">
        <v>678</v>
      </c>
      <c r="B49" s="20" t="s">
        <v>2775</v>
      </c>
      <c r="C49" s="20">
        <v>65.0</v>
      </c>
      <c r="D49" s="41">
        <v>45664.0</v>
      </c>
    </row>
    <row r="50">
      <c r="A50" s="19" t="s">
        <v>668</v>
      </c>
      <c r="B50" s="20" t="s">
        <v>2776</v>
      </c>
      <c r="C50" s="20">
        <v>65.0</v>
      </c>
      <c r="D50" s="41">
        <v>45664.0</v>
      </c>
    </row>
    <row r="51">
      <c r="A51" s="19" t="s">
        <v>682</v>
      </c>
      <c r="B51" s="20" t="s">
        <v>2777</v>
      </c>
      <c r="C51" s="20">
        <v>65.0</v>
      </c>
      <c r="D51" s="41">
        <v>45664.0</v>
      </c>
    </row>
    <row r="52">
      <c r="A52" s="19" t="s">
        <v>177</v>
      </c>
      <c r="B52" s="20" t="s">
        <v>2778</v>
      </c>
      <c r="C52" s="20">
        <v>65.0</v>
      </c>
      <c r="D52" s="41">
        <v>45664.0</v>
      </c>
    </row>
    <row r="53">
      <c r="A53" s="19" t="s">
        <v>640</v>
      </c>
      <c r="B53" s="20" t="s">
        <v>2779</v>
      </c>
      <c r="C53" s="20">
        <v>65.0</v>
      </c>
      <c r="D53" s="41">
        <v>45664.0</v>
      </c>
    </row>
    <row r="54">
      <c r="A54" s="19" t="s">
        <v>745</v>
      </c>
      <c r="B54" s="20" t="s">
        <v>2780</v>
      </c>
      <c r="C54" s="20">
        <v>65.0</v>
      </c>
      <c r="D54" s="41">
        <v>45664.0</v>
      </c>
    </row>
    <row r="55">
      <c r="A55" s="19" t="s">
        <v>652</v>
      </c>
      <c r="B55" s="20" t="s">
        <v>2781</v>
      </c>
      <c r="C55" s="20">
        <v>65.0</v>
      </c>
      <c r="D55" s="41">
        <v>45664.0</v>
      </c>
    </row>
    <row r="56">
      <c r="A56" s="19" t="s">
        <v>675</v>
      </c>
      <c r="B56" s="20" t="s">
        <v>2782</v>
      </c>
      <c r="C56" s="20">
        <v>65.0</v>
      </c>
      <c r="D56" s="41">
        <v>45664.0</v>
      </c>
    </row>
    <row r="57">
      <c r="A57" s="19" t="s">
        <v>672</v>
      </c>
      <c r="B57" s="20" t="s">
        <v>2783</v>
      </c>
      <c r="C57" s="20">
        <v>65.0</v>
      </c>
      <c r="D57" s="41">
        <v>45664.0</v>
      </c>
    </row>
    <row r="58">
      <c r="A58" s="19" t="s">
        <v>721</v>
      </c>
      <c r="B58" s="20" t="s">
        <v>2784</v>
      </c>
      <c r="C58" s="20">
        <v>65.0</v>
      </c>
      <c r="D58" s="41">
        <v>45664.0</v>
      </c>
    </row>
    <row r="59">
      <c r="A59" s="19" t="s">
        <v>692</v>
      </c>
      <c r="B59" s="20" t="s">
        <v>2785</v>
      </c>
      <c r="C59" s="20">
        <v>65.0</v>
      </c>
      <c r="D59" s="41">
        <v>45664.0</v>
      </c>
    </row>
    <row r="60">
      <c r="A60" s="19" t="s">
        <v>688</v>
      </c>
      <c r="B60" s="20" t="s">
        <v>2786</v>
      </c>
      <c r="C60" s="20">
        <v>65.0</v>
      </c>
      <c r="D60" s="41">
        <v>45664.0</v>
      </c>
    </row>
    <row r="61">
      <c r="A61" s="19" t="s">
        <v>719</v>
      </c>
      <c r="B61" s="20" t="s">
        <v>2787</v>
      </c>
      <c r="C61" s="20">
        <v>65.0</v>
      </c>
      <c r="D61" s="41">
        <v>45664.0</v>
      </c>
    </row>
    <row r="62">
      <c r="A62" s="19" t="s">
        <v>700</v>
      </c>
      <c r="B62" s="20" t="s">
        <v>2788</v>
      </c>
      <c r="C62" s="20">
        <v>65.0</v>
      </c>
      <c r="D62" s="41">
        <v>45664.0</v>
      </c>
    </row>
    <row r="63">
      <c r="A63" s="19" t="s">
        <v>757</v>
      </c>
      <c r="B63" s="20" t="s">
        <v>2789</v>
      </c>
      <c r="C63" s="20">
        <v>65.0</v>
      </c>
      <c r="D63" s="41">
        <v>45664.0</v>
      </c>
    </row>
    <row r="64">
      <c r="A64" s="19" t="s">
        <v>755</v>
      </c>
      <c r="B64" s="20" t="s">
        <v>2790</v>
      </c>
      <c r="C64" s="20">
        <v>65.0</v>
      </c>
      <c r="D64" s="41">
        <v>45664.0</v>
      </c>
    </row>
    <row r="65">
      <c r="A65" s="19" t="s">
        <v>747</v>
      </c>
      <c r="B65" s="20" t="s">
        <v>2791</v>
      </c>
      <c r="C65" s="20">
        <v>65.0</v>
      </c>
      <c r="D65" s="41">
        <v>45664.0</v>
      </c>
    </row>
    <row r="66">
      <c r="A66" s="19" t="s">
        <v>712</v>
      </c>
      <c r="B66" s="20" t="s">
        <v>2792</v>
      </c>
      <c r="C66" s="20">
        <v>65.0</v>
      </c>
      <c r="D66" s="41">
        <v>45664.0</v>
      </c>
    </row>
    <row r="67">
      <c r="A67" s="19" t="s">
        <v>751</v>
      </c>
      <c r="B67" s="20" t="s">
        <v>2793</v>
      </c>
      <c r="C67" s="20">
        <v>65.0</v>
      </c>
      <c r="D67" s="41">
        <v>45664.0</v>
      </c>
    </row>
    <row r="68">
      <c r="A68" s="19" t="s">
        <v>698</v>
      </c>
      <c r="B68" s="20" t="s">
        <v>2794</v>
      </c>
      <c r="C68" s="20">
        <v>65.0</v>
      </c>
      <c r="D68" s="41">
        <v>45664.0</v>
      </c>
    </row>
    <row r="69">
      <c r="A69" s="19" t="s">
        <v>694</v>
      </c>
      <c r="B69" s="20" t="s">
        <v>2795</v>
      </c>
      <c r="C69" s="20">
        <v>65.0</v>
      </c>
      <c r="D69" s="41">
        <v>45664.0</v>
      </c>
    </row>
    <row r="70">
      <c r="A70" s="19" t="s">
        <v>706</v>
      </c>
      <c r="B70" s="20" t="s">
        <v>2796</v>
      </c>
      <c r="C70" s="20">
        <v>65.0</v>
      </c>
      <c r="D70" s="41">
        <v>45664.0</v>
      </c>
    </row>
    <row r="71">
      <c r="A71" s="19" t="s">
        <v>714</v>
      </c>
      <c r="B71" s="20" t="s">
        <v>2797</v>
      </c>
      <c r="C71" s="20">
        <v>60.0</v>
      </c>
      <c r="D71" s="41">
        <v>45664.0</v>
      </c>
    </row>
    <row r="72">
      <c r="A72" s="19" t="s">
        <v>749</v>
      </c>
      <c r="B72" s="20" t="s">
        <v>2798</v>
      </c>
      <c r="C72" s="20">
        <v>60.0</v>
      </c>
      <c r="D72" s="41">
        <v>45664.0</v>
      </c>
    </row>
    <row r="73">
      <c r="A73" s="19" t="s">
        <v>729</v>
      </c>
      <c r="B73" s="20" t="s">
        <v>2799</v>
      </c>
      <c r="C73" s="20">
        <v>55.0</v>
      </c>
      <c r="D73" s="41">
        <v>45664.0</v>
      </c>
    </row>
    <row r="74">
      <c r="A74" s="19" t="s">
        <v>645</v>
      </c>
      <c r="B74" s="20" t="s">
        <v>2800</v>
      </c>
      <c r="C74" s="20">
        <v>55.0</v>
      </c>
      <c r="D74" s="41">
        <v>45664.0</v>
      </c>
    </row>
    <row r="75">
      <c r="A75" s="19" t="s">
        <v>686</v>
      </c>
      <c r="B75" s="20" t="s">
        <v>2801</v>
      </c>
      <c r="C75" s="20">
        <v>55.0</v>
      </c>
      <c r="D75" s="41">
        <v>45664.0</v>
      </c>
    </row>
    <row r="76">
      <c r="A76" s="19" t="s">
        <v>654</v>
      </c>
      <c r="B76" s="20" t="s">
        <v>2802</v>
      </c>
      <c r="C76" s="20">
        <v>45.0</v>
      </c>
      <c r="D76" s="41">
        <v>45664.0</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40" t="s">
        <v>759</v>
      </c>
      <c r="B1" s="40" t="s">
        <v>625</v>
      </c>
      <c r="C1" s="40" t="s">
        <v>624</v>
      </c>
      <c r="D1" s="40" t="s">
        <v>626</v>
      </c>
      <c r="H1" s="40" t="s">
        <v>759</v>
      </c>
      <c r="I1" s="40" t="s">
        <v>625</v>
      </c>
      <c r="J1" s="2" t="s">
        <v>2224</v>
      </c>
    </row>
    <row r="2">
      <c r="A2" s="19" t="s">
        <v>276</v>
      </c>
      <c r="B2" s="20">
        <v>90.0</v>
      </c>
      <c r="C2" s="20" t="s">
        <v>2803</v>
      </c>
      <c r="D2" s="41">
        <v>45629.0</v>
      </c>
      <c r="H2" s="19" t="s">
        <v>182</v>
      </c>
      <c r="I2" s="20">
        <v>90.0</v>
      </c>
      <c r="J2" s="7">
        <f>IFERROR(__xludf.DUMMYFUNCTION("GOOGLEFINANCE(H2,""marketcap"")"),5.229772984313E12)</f>
        <v>5229772984313</v>
      </c>
    </row>
    <row r="3">
      <c r="A3" s="19" t="s">
        <v>1096</v>
      </c>
      <c r="B3" s="20">
        <v>90.0</v>
      </c>
      <c r="C3" s="20" t="s">
        <v>2804</v>
      </c>
      <c r="D3" s="41">
        <v>45629.0</v>
      </c>
      <c r="H3" s="19" t="s">
        <v>53</v>
      </c>
      <c r="I3" s="20">
        <v>90.0</v>
      </c>
      <c r="J3" s="7">
        <f>IFERROR(__xludf.DUMMYFUNCTION("GOOGLEFINANCE(H3,""marketcap"")"),2.933245949212E12)</f>
        <v>2933245949212</v>
      </c>
    </row>
    <row r="4">
      <c r="A4" s="19" t="s">
        <v>1169</v>
      </c>
      <c r="B4" s="20">
        <v>90.0</v>
      </c>
      <c r="C4" s="20" t="s">
        <v>2805</v>
      </c>
      <c r="D4" s="41">
        <v>45629.0</v>
      </c>
      <c r="H4" s="19" t="s">
        <v>46</v>
      </c>
      <c r="I4" s="20">
        <v>90.0</v>
      </c>
      <c r="J4" s="7">
        <f>IFERROR(__xludf.DUMMYFUNCTION("GOOGLEFINANCE(H4,""marketcap"")"),1.547498825884E12)</f>
        <v>1547498825884</v>
      </c>
    </row>
    <row r="5">
      <c r="A5" s="19" t="s">
        <v>278</v>
      </c>
      <c r="B5" s="20">
        <v>90.0</v>
      </c>
      <c r="C5" s="20" t="s">
        <v>2806</v>
      </c>
      <c r="D5" s="41">
        <v>45629.0</v>
      </c>
      <c r="H5" s="19" t="s">
        <v>57</v>
      </c>
      <c r="I5" s="20">
        <v>90.0</v>
      </c>
      <c r="J5" s="7">
        <f>IFERROR(__xludf.DUMMYFUNCTION("GOOGLEFINANCE(H5,""marketcap"")"),4.47552195726E11)</f>
        <v>447552195726</v>
      </c>
    </row>
    <row r="6">
      <c r="A6" s="19" t="s">
        <v>46</v>
      </c>
      <c r="B6" s="20">
        <v>90.0</v>
      </c>
      <c r="C6" s="20" t="s">
        <v>2807</v>
      </c>
      <c r="D6" s="41">
        <v>45629.0</v>
      </c>
      <c r="H6" s="19" t="s">
        <v>274</v>
      </c>
      <c r="I6" s="20">
        <v>90.0</v>
      </c>
      <c r="J6" s="7">
        <f>IFERROR(__xludf.DUMMYFUNCTION("GOOGLEFINANCE(H6,""marketcap"")"),1.48167662151E11)</f>
        <v>148167662151</v>
      </c>
    </row>
    <row r="7">
      <c r="A7" s="19" t="s">
        <v>911</v>
      </c>
      <c r="B7" s="20">
        <v>90.0</v>
      </c>
      <c r="C7" s="20" t="s">
        <v>2808</v>
      </c>
      <c r="D7" s="41">
        <v>45629.0</v>
      </c>
      <c r="H7" s="19" t="s">
        <v>15</v>
      </c>
      <c r="I7" s="20">
        <v>90.0</v>
      </c>
      <c r="J7" s="7">
        <f>IFERROR(__xludf.DUMMYFUNCTION("GOOGLEFINANCE(H7,""marketcap"")"),2.309209E11)</f>
        <v>230920900000</v>
      </c>
    </row>
    <row r="8">
      <c r="A8" s="19" t="s">
        <v>15</v>
      </c>
      <c r="B8" s="20">
        <v>90.0</v>
      </c>
      <c r="C8" s="20" t="s">
        <v>2809</v>
      </c>
      <c r="D8" s="41">
        <v>45629.0</v>
      </c>
      <c r="H8" s="19" t="s">
        <v>275</v>
      </c>
      <c r="I8" s="20">
        <v>90.0</v>
      </c>
      <c r="J8" s="7">
        <f>IFERROR(__xludf.DUMMYFUNCTION("GOOGLEFINANCE(H8,""marketcap"")"),6.6802526878E10)</f>
        <v>66802526878</v>
      </c>
    </row>
    <row r="9">
      <c r="A9" s="19" t="s">
        <v>277</v>
      </c>
      <c r="B9" s="20">
        <v>90.0</v>
      </c>
      <c r="C9" s="20" t="s">
        <v>2810</v>
      </c>
      <c r="D9" s="41">
        <v>45629.0</v>
      </c>
      <c r="H9" s="19" t="s">
        <v>276</v>
      </c>
      <c r="I9" s="20">
        <v>90.0</v>
      </c>
      <c r="J9" s="7">
        <f>IFERROR(__xludf.DUMMYFUNCTION("GOOGLEFINANCE(H9,""marketcap"")"),3.4831440445E10)</f>
        <v>34831440445</v>
      </c>
    </row>
    <row r="10">
      <c r="A10" s="19" t="s">
        <v>866</v>
      </c>
      <c r="B10" s="20">
        <v>90.0</v>
      </c>
      <c r="C10" s="20" t="s">
        <v>2811</v>
      </c>
      <c r="D10" s="41">
        <v>45629.0</v>
      </c>
      <c r="H10" s="19" t="s">
        <v>277</v>
      </c>
      <c r="I10" s="20">
        <v>90.0</v>
      </c>
      <c r="J10" s="7">
        <f>IFERROR(__xludf.DUMMYFUNCTION("GOOGLEFINANCE(H10,""marketcap"")"),7.3817961656E10)</f>
        <v>73817961656</v>
      </c>
    </row>
    <row r="11">
      <c r="A11" s="19" t="s">
        <v>902</v>
      </c>
      <c r="B11" s="20">
        <v>90.0</v>
      </c>
      <c r="C11" s="20" t="s">
        <v>2812</v>
      </c>
      <c r="D11" s="41">
        <v>45629.0</v>
      </c>
      <c r="H11" s="19" t="s">
        <v>278</v>
      </c>
      <c r="I11" s="20">
        <v>90.0</v>
      </c>
      <c r="J11" s="7">
        <f>IFERROR(__xludf.DUMMYFUNCTION("GOOGLEFINANCE(H11,""marketcap"")"),5.16250014E10)</f>
        <v>51625001400</v>
      </c>
    </row>
    <row r="12">
      <c r="A12" s="19" t="s">
        <v>275</v>
      </c>
      <c r="B12" s="20">
        <v>90.0</v>
      </c>
      <c r="C12" s="20" t="s">
        <v>2813</v>
      </c>
      <c r="D12" s="41">
        <v>45629.0</v>
      </c>
      <c r="H12" s="19" t="s">
        <v>1041</v>
      </c>
      <c r="I12" s="20">
        <v>90.0</v>
      </c>
      <c r="J12" s="7">
        <f>IFERROR(__xludf.DUMMYFUNCTION("GOOGLEFINANCE(H12,""marketcap"")"),5.7738788372E10)</f>
        <v>57738788372</v>
      </c>
    </row>
    <row r="13">
      <c r="A13" s="19" t="s">
        <v>182</v>
      </c>
      <c r="B13" s="20">
        <v>90.0</v>
      </c>
      <c r="C13" s="20" t="s">
        <v>2814</v>
      </c>
      <c r="D13" s="41">
        <v>45629.0</v>
      </c>
      <c r="H13" s="19" t="s">
        <v>1096</v>
      </c>
      <c r="I13" s="20">
        <v>90.0</v>
      </c>
      <c r="J13" s="7">
        <f>IFERROR(__xludf.DUMMYFUNCTION("GOOGLEFINANCE(H13,""marketcap"")"),1.0621916939E10)</f>
        <v>10621916939</v>
      </c>
    </row>
    <row r="14">
      <c r="A14" s="19" t="s">
        <v>274</v>
      </c>
      <c r="B14" s="20">
        <v>90.0</v>
      </c>
      <c r="C14" s="20" t="s">
        <v>2815</v>
      </c>
      <c r="D14" s="41">
        <v>45629.0</v>
      </c>
      <c r="H14" s="19" t="s">
        <v>1187</v>
      </c>
      <c r="I14" s="20">
        <v>90.0</v>
      </c>
      <c r="J14" s="7">
        <f>IFERROR(__xludf.DUMMYFUNCTION("GOOGLEFINANCE(H14,""marketcap"")"),2.3387756704E10)</f>
        <v>23387756704</v>
      </c>
    </row>
    <row r="15">
      <c r="A15" s="19" t="s">
        <v>57</v>
      </c>
      <c r="B15" s="20">
        <v>90.0</v>
      </c>
      <c r="C15" s="20" t="s">
        <v>2816</v>
      </c>
      <c r="D15" s="41">
        <v>45629.0</v>
      </c>
      <c r="H15" s="19" t="s">
        <v>1169</v>
      </c>
      <c r="I15" s="20">
        <v>90.0</v>
      </c>
      <c r="J15" s="7">
        <f>IFERROR(__xludf.DUMMYFUNCTION("GOOGLEFINANCE(H15,""marketcap"")"),2.2140010562E10)</f>
        <v>22140010562</v>
      </c>
    </row>
    <row r="16">
      <c r="A16" s="19" t="s">
        <v>1041</v>
      </c>
      <c r="B16" s="20">
        <v>90.0</v>
      </c>
      <c r="C16" s="20" t="s">
        <v>2817</v>
      </c>
      <c r="D16" s="41">
        <v>45629.0</v>
      </c>
      <c r="H16" s="19" t="s">
        <v>486</v>
      </c>
      <c r="I16" s="20">
        <v>90.0</v>
      </c>
      <c r="J16" s="7">
        <f>IFERROR(__xludf.DUMMYFUNCTION("GOOGLEFINANCE(H16,""marketcap"")"),2.4602116222E10)</f>
        <v>24602116222</v>
      </c>
    </row>
    <row r="17">
      <c r="A17" s="19" t="s">
        <v>53</v>
      </c>
      <c r="B17" s="20">
        <v>90.0</v>
      </c>
      <c r="C17" s="20" t="s">
        <v>2818</v>
      </c>
      <c r="D17" s="41">
        <v>45629.0</v>
      </c>
      <c r="H17" s="19" t="s">
        <v>902</v>
      </c>
      <c r="I17" s="20">
        <v>90.0</v>
      </c>
      <c r="J17" s="7">
        <f>IFERROR(__xludf.DUMMYFUNCTION("GOOGLEFINANCE(H17,""marketcap"")"),2.8342049818E10)</f>
        <v>28342049818</v>
      </c>
    </row>
    <row r="18">
      <c r="A18" s="19" t="s">
        <v>486</v>
      </c>
      <c r="B18" s="20">
        <v>90.0</v>
      </c>
      <c r="C18" s="20" t="s">
        <v>2819</v>
      </c>
      <c r="D18" s="41">
        <v>45629.0</v>
      </c>
      <c r="H18" s="19" t="s">
        <v>866</v>
      </c>
      <c r="I18" s="20">
        <v>90.0</v>
      </c>
      <c r="J18" s="7">
        <f>IFERROR(__xludf.DUMMYFUNCTION("GOOGLEFINANCE(H18,""marketcap"")"),1.067784E10)</f>
        <v>10677840000</v>
      </c>
    </row>
    <row r="19">
      <c r="A19" s="19" t="s">
        <v>1187</v>
      </c>
      <c r="B19" s="20">
        <v>90.0</v>
      </c>
      <c r="C19" s="20" t="s">
        <v>2820</v>
      </c>
      <c r="D19" s="41">
        <v>45629.0</v>
      </c>
      <c r="H19" s="19" t="s">
        <v>911</v>
      </c>
      <c r="I19" s="20">
        <v>90.0</v>
      </c>
      <c r="J19" s="7">
        <f>IFERROR(__xludf.DUMMYFUNCTION("GOOGLEFINANCE(H19,""marketcap"")"),1.0759550073E10)</f>
        <v>10759550073</v>
      </c>
    </row>
    <row r="20">
      <c r="A20" s="19" t="s">
        <v>1109</v>
      </c>
      <c r="B20" s="20">
        <v>85.0</v>
      </c>
      <c r="C20" s="20" t="s">
        <v>2821</v>
      </c>
      <c r="D20" s="41">
        <v>45629.0</v>
      </c>
    </row>
    <row r="21">
      <c r="A21" s="19" t="s">
        <v>128</v>
      </c>
      <c r="B21" s="20">
        <v>85.0</v>
      </c>
      <c r="C21" s="20" t="s">
        <v>2822</v>
      </c>
      <c r="D21" s="41">
        <v>45629.0</v>
      </c>
    </row>
    <row r="22">
      <c r="A22" s="19" t="s">
        <v>982</v>
      </c>
      <c r="B22" s="20">
        <v>85.0</v>
      </c>
      <c r="C22" s="20" t="s">
        <v>2823</v>
      </c>
      <c r="D22" s="41">
        <v>45629.0</v>
      </c>
    </row>
    <row r="23">
      <c r="A23" s="19" t="s">
        <v>1281</v>
      </c>
      <c r="B23" s="20">
        <v>85.0</v>
      </c>
      <c r="C23" s="20" t="s">
        <v>2824</v>
      </c>
      <c r="D23" s="41">
        <v>45629.0</v>
      </c>
    </row>
    <row r="24">
      <c r="A24" s="19" t="s">
        <v>1008</v>
      </c>
      <c r="B24" s="20">
        <v>85.0</v>
      </c>
      <c r="C24" s="20" t="s">
        <v>2825</v>
      </c>
      <c r="D24" s="41">
        <v>45629.0</v>
      </c>
    </row>
    <row r="25">
      <c r="A25" s="19" t="s">
        <v>859</v>
      </c>
      <c r="B25" s="20">
        <v>85.0</v>
      </c>
      <c r="C25" s="20" t="s">
        <v>2826</v>
      </c>
      <c r="D25" s="41">
        <v>45629.0</v>
      </c>
    </row>
    <row r="26">
      <c r="A26" s="19" t="s">
        <v>1537</v>
      </c>
      <c r="B26" s="20">
        <v>85.0</v>
      </c>
      <c r="C26" s="20" t="s">
        <v>2827</v>
      </c>
      <c r="D26" s="41">
        <v>45629.0</v>
      </c>
    </row>
    <row r="27">
      <c r="A27" s="19" t="s">
        <v>968</v>
      </c>
      <c r="B27" s="20">
        <v>85.0</v>
      </c>
      <c r="C27" s="20" t="s">
        <v>2828</v>
      </c>
      <c r="D27" s="41">
        <v>45629.0</v>
      </c>
    </row>
    <row r="28">
      <c r="A28" s="19" t="s">
        <v>1313</v>
      </c>
      <c r="B28" s="20">
        <v>85.0</v>
      </c>
      <c r="C28" s="20" t="s">
        <v>2829</v>
      </c>
      <c r="D28" s="41">
        <v>45629.0</v>
      </c>
    </row>
    <row r="29">
      <c r="A29" s="19" t="s">
        <v>1189</v>
      </c>
      <c r="B29" s="20">
        <v>85.0</v>
      </c>
      <c r="C29" s="20" t="s">
        <v>2830</v>
      </c>
      <c r="D29" s="41">
        <v>45629.0</v>
      </c>
    </row>
    <row r="30">
      <c r="A30" s="19" t="s">
        <v>1208</v>
      </c>
      <c r="B30" s="20">
        <v>85.0</v>
      </c>
      <c r="C30" s="20" t="s">
        <v>2831</v>
      </c>
      <c r="D30" s="41">
        <v>45629.0</v>
      </c>
    </row>
    <row r="31">
      <c r="A31" s="19" t="s">
        <v>130</v>
      </c>
      <c r="B31" s="20">
        <v>85.0</v>
      </c>
      <c r="C31" s="20" t="s">
        <v>2832</v>
      </c>
      <c r="D31" s="41">
        <v>45629.0</v>
      </c>
    </row>
    <row r="32">
      <c r="A32" s="19" t="s">
        <v>908</v>
      </c>
      <c r="B32" s="20">
        <v>85.0</v>
      </c>
      <c r="C32" s="20" t="s">
        <v>2833</v>
      </c>
      <c r="D32" s="41">
        <v>45629.0</v>
      </c>
    </row>
    <row r="33">
      <c r="A33" s="19" t="s">
        <v>1418</v>
      </c>
      <c r="B33" s="20">
        <v>85.0</v>
      </c>
      <c r="C33" s="20" t="s">
        <v>2834</v>
      </c>
      <c r="D33" s="41">
        <v>45629.0</v>
      </c>
    </row>
    <row r="34">
      <c r="A34" s="19" t="s">
        <v>85</v>
      </c>
      <c r="B34" s="20">
        <v>85.0</v>
      </c>
      <c r="C34" s="20" t="s">
        <v>2835</v>
      </c>
      <c r="D34" s="41">
        <v>45629.0</v>
      </c>
    </row>
    <row r="35">
      <c r="A35" s="19" t="s">
        <v>1343</v>
      </c>
      <c r="B35" s="20">
        <v>85.0</v>
      </c>
      <c r="C35" s="20" t="s">
        <v>2836</v>
      </c>
      <c r="D35" s="41">
        <v>45629.0</v>
      </c>
    </row>
    <row r="36">
      <c r="A36" s="19" t="s">
        <v>1592</v>
      </c>
      <c r="B36" s="20">
        <v>85.0</v>
      </c>
      <c r="C36" s="20" t="s">
        <v>2837</v>
      </c>
      <c r="D36" s="41">
        <v>45629.0</v>
      </c>
    </row>
    <row r="37">
      <c r="A37" s="19" t="s">
        <v>1254</v>
      </c>
      <c r="B37" s="20">
        <v>85.0</v>
      </c>
      <c r="C37" s="20" t="s">
        <v>2838</v>
      </c>
      <c r="D37" s="41">
        <v>45629.0</v>
      </c>
    </row>
    <row r="38">
      <c r="A38" s="19" t="s">
        <v>1268</v>
      </c>
      <c r="B38" s="20">
        <v>85.0</v>
      </c>
      <c r="C38" s="20" t="s">
        <v>2839</v>
      </c>
      <c r="D38" s="41">
        <v>45629.0</v>
      </c>
    </row>
    <row r="39">
      <c r="A39" s="19" t="s">
        <v>987</v>
      </c>
      <c r="B39" s="20">
        <v>85.0</v>
      </c>
      <c r="C39" s="20" t="s">
        <v>2840</v>
      </c>
      <c r="D39" s="41">
        <v>45629.0</v>
      </c>
    </row>
    <row r="40">
      <c r="A40" s="19" t="s">
        <v>805</v>
      </c>
      <c r="B40" s="20">
        <v>85.0</v>
      </c>
      <c r="C40" s="20" t="s">
        <v>2841</v>
      </c>
      <c r="D40" s="41">
        <v>45629.0</v>
      </c>
    </row>
    <row r="41">
      <c r="A41" s="19" t="s">
        <v>455</v>
      </c>
      <c r="B41" s="20">
        <v>85.0</v>
      </c>
      <c r="C41" s="20" t="s">
        <v>2842</v>
      </c>
      <c r="D41" s="41">
        <v>45629.0</v>
      </c>
    </row>
    <row r="42">
      <c r="A42" s="19" t="s">
        <v>1262</v>
      </c>
      <c r="B42" s="20">
        <v>85.0</v>
      </c>
      <c r="C42" s="20" t="s">
        <v>2843</v>
      </c>
      <c r="D42" s="41">
        <v>45629.0</v>
      </c>
    </row>
    <row r="43">
      <c r="A43" s="19" t="s">
        <v>252</v>
      </c>
      <c r="B43" s="20">
        <v>85.0</v>
      </c>
      <c r="C43" s="20" t="s">
        <v>2844</v>
      </c>
      <c r="D43" s="41">
        <v>45629.0</v>
      </c>
    </row>
    <row r="44">
      <c r="A44" s="19" t="s">
        <v>1051</v>
      </c>
      <c r="B44" s="20">
        <v>85.0</v>
      </c>
      <c r="C44" s="20" t="s">
        <v>2845</v>
      </c>
      <c r="D44" s="41">
        <v>45629.0</v>
      </c>
    </row>
    <row r="45">
      <c r="A45" s="19" t="s">
        <v>170</v>
      </c>
      <c r="B45" s="20">
        <v>85.0</v>
      </c>
      <c r="C45" s="20" t="s">
        <v>2846</v>
      </c>
      <c r="D45" s="41">
        <v>45629.0</v>
      </c>
    </row>
    <row r="46">
      <c r="A46" s="19" t="s">
        <v>36</v>
      </c>
      <c r="B46" s="20">
        <v>85.0</v>
      </c>
      <c r="C46" s="20" t="s">
        <v>2847</v>
      </c>
      <c r="D46" s="41">
        <v>45629.0</v>
      </c>
    </row>
    <row r="47">
      <c r="A47" s="19" t="s">
        <v>61</v>
      </c>
      <c r="B47" s="20">
        <v>85.0</v>
      </c>
      <c r="C47" s="20" t="s">
        <v>2848</v>
      </c>
      <c r="D47" s="41">
        <v>45629.0</v>
      </c>
    </row>
    <row r="48">
      <c r="A48" s="19" t="s">
        <v>1053</v>
      </c>
      <c r="B48" s="20">
        <v>85.0</v>
      </c>
      <c r="C48" s="20" t="s">
        <v>2849</v>
      </c>
      <c r="D48" s="41">
        <v>45629.0</v>
      </c>
    </row>
    <row r="49">
      <c r="A49" s="19" t="s">
        <v>1098</v>
      </c>
      <c r="B49" s="20">
        <v>85.0</v>
      </c>
      <c r="C49" s="20" t="s">
        <v>2850</v>
      </c>
      <c r="D49" s="41">
        <v>45629.0</v>
      </c>
    </row>
    <row r="50">
      <c r="A50" s="19" t="s">
        <v>847</v>
      </c>
      <c r="B50" s="20">
        <v>85.0</v>
      </c>
      <c r="C50" s="20" t="s">
        <v>2851</v>
      </c>
      <c r="D50" s="41">
        <v>45629.0</v>
      </c>
    </row>
    <row r="51">
      <c r="A51" s="19" t="s">
        <v>1299</v>
      </c>
      <c r="B51" s="20">
        <v>85.0</v>
      </c>
      <c r="C51" s="20" t="s">
        <v>2852</v>
      </c>
      <c r="D51" s="41">
        <v>45629.0</v>
      </c>
    </row>
    <row r="52">
      <c r="A52" s="19" t="s">
        <v>97</v>
      </c>
      <c r="B52" s="20">
        <v>85.0</v>
      </c>
      <c r="C52" s="20" t="s">
        <v>2853</v>
      </c>
      <c r="D52" s="41">
        <v>45629.0</v>
      </c>
    </row>
    <row r="53">
      <c r="A53" s="19" t="s">
        <v>22</v>
      </c>
      <c r="B53" s="20">
        <v>85.0</v>
      </c>
      <c r="C53" s="20" t="s">
        <v>2854</v>
      </c>
      <c r="D53" s="41">
        <v>45629.0</v>
      </c>
    </row>
    <row r="54">
      <c r="A54" s="19" t="s">
        <v>166</v>
      </c>
      <c r="B54" s="20">
        <v>85.0</v>
      </c>
      <c r="C54" s="20" t="s">
        <v>2855</v>
      </c>
      <c r="D54" s="41">
        <v>45629.0</v>
      </c>
    </row>
    <row r="55">
      <c r="A55" s="19" t="s">
        <v>241</v>
      </c>
      <c r="B55" s="20">
        <v>85.0</v>
      </c>
      <c r="C55" s="20" t="s">
        <v>2856</v>
      </c>
      <c r="D55" s="41">
        <v>45629.0</v>
      </c>
    </row>
    <row r="56">
      <c r="A56" s="19" t="s">
        <v>21</v>
      </c>
      <c r="B56" s="20">
        <v>85.0</v>
      </c>
      <c r="C56" s="43" t="s">
        <v>2857</v>
      </c>
      <c r="D56" s="41">
        <v>45629.0</v>
      </c>
    </row>
    <row r="57">
      <c r="A57" s="19" t="s">
        <v>961</v>
      </c>
      <c r="B57" s="20">
        <v>85.0</v>
      </c>
      <c r="C57" s="20" t="s">
        <v>2858</v>
      </c>
      <c r="D57" s="41">
        <v>45629.0</v>
      </c>
    </row>
    <row r="58">
      <c r="A58" s="19" t="s">
        <v>1072</v>
      </c>
      <c r="B58" s="20">
        <v>85.0</v>
      </c>
      <c r="C58" s="20" t="s">
        <v>2859</v>
      </c>
      <c r="D58" s="41">
        <v>45629.0</v>
      </c>
    </row>
    <row r="59">
      <c r="A59" s="19" t="s">
        <v>614</v>
      </c>
      <c r="B59" s="20">
        <v>85.0</v>
      </c>
      <c r="C59" s="20" t="s">
        <v>2860</v>
      </c>
      <c r="D59" s="41">
        <v>45629.0</v>
      </c>
    </row>
    <row r="60">
      <c r="A60" s="19" t="s">
        <v>185</v>
      </c>
      <c r="B60" s="20">
        <v>85.0</v>
      </c>
      <c r="C60" s="20" t="s">
        <v>2861</v>
      </c>
      <c r="D60" s="41">
        <v>45629.0</v>
      </c>
    </row>
    <row r="61">
      <c r="A61" s="19" t="s">
        <v>958</v>
      </c>
      <c r="B61" s="20">
        <v>85.0</v>
      </c>
      <c r="C61" s="20" t="s">
        <v>2862</v>
      </c>
      <c r="D61" s="41">
        <v>45629.0</v>
      </c>
    </row>
    <row r="62">
      <c r="A62" s="19" t="s">
        <v>956</v>
      </c>
      <c r="B62" s="20">
        <v>85.0</v>
      </c>
      <c r="C62" s="20" t="s">
        <v>2863</v>
      </c>
      <c r="D62" s="41">
        <v>45629.0</v>
      </c>
    </row>
    <row r="63">
      <c r="A63" s="19" t="s">
        <v>1231</v>
      </c>
      <c r="B63" s="20">
        <v>85.0</v>
      </c>
      <c r="C63" s="20" t="s">
        <v>2864</v>
      </c>
      <c r="D63" s="41">
        <v>45629.0</v>
      </c>
    </row>
    <row r="64">
      <c r="A64" s="19" t="s">
        <v>1590</v>
      </c>
      <c r="B64" s="20">
        <v>85.0</v>
      </c>
      <c r="C64" s="20" t="s">
        <v>2865</v>
      </c>
      <c r="D64" s="41">
        <v>45629.0</v>
      </c>
    </row>
    <row r="65">
      <c r="A65" s="19" t="s">
        <v>124</v>
      </c>
      <c r="B65" s="20">
        <v>85.0</v>
      </c>
      <c r="C65" s="20" t="s">
        <v>2866</v>
      </c>
      <c r="D65" s="41">
        <v>45629.0</v>
      </c>
    </row>
    <row r="66">
      <c r="A66" s="19" t="s">
        <v>1624</v>
      </c>
      <c r="B66" s="20">
        <v>85.0</v>
      </c>
      <c r="C66" s="20" t="s">
        <v>2867</v>
      </c>
      <c r="D66" s="41">
        <v>45629.0</v>
      </c>
    </row>
    <row r="67">
      <c r="A67" s="19" t="s">
        <v>1479</v>
      </c>
      <c r="B67" s="20">
        <v>85.0</v>
      </c>
      <c r="C67" s="20" t="s">
        <v>2868</v>
      </c>
      <c r="D67" s="41">
        <v>45629.0</v>
      </c>
    </row>
    <row r="68">
      <c r="A68" s="19" t="s">
        <v>857</v>
      </c>
      <c r="B68" s="20">
        <v>85.0</v>
      </c>
      <c r="C68" s="20" t="s">
        <v>2869</v>
      </c>
      <c r="D68" s="41">
        <v>45629.0</v>
      </c>
    </row>
    <row r="69">
      <c r="A69" s="19" t="s">
        <v>1493</v>
      </c>
      <c r="B69" s="20">
        <v>85.0</v>
      </c>
      <c r="C69" s="20" t="s">
        <v>2870</v>
      </c>
      <c r="D69" s="41">
        <v>45629.0</v>
      </c>
    </row>
    <row r="70">
      <c r="A70" s="19" t="s">
        <v>1495</v>
      </c>
      <c r="B70" s="20">
        <v>85.0</v>
      </c>
      <c r="C70" s="20" t="s">
        <v>2871</v>
      </c>
      <c r="D70" s="41">
        <v>45629.0</v>
      </c>
    </row>
    <row r="71">
      <c r="A71" s="19" t="s">
        <v>1503</v>
      </c>
      <c r="B71" s="20">
        <v>85.0</v>
      </c>
      <c r="C71" s="20" t="s">
        <v>2872</v>
      </c>
      <c r="D71" s="41">
        <v>45629.0</v>
      </c>
    </row>
    <row r="72">
      <c r="A72" s="19" t="s">
        <v>1498</v>
      </c>
      <c r="B72" s="20">
        <v>85.0</v>
      </c>
      <c r="C72" s="20" t="s">
        <v>2873</v>
      </c>
      <c r="D72" s="41">
        <v>45629.0</v>
      </c>
    </row>
    <row r="73">
      <c r="A73" s="19" t="s">
        <v>896</v>
      </c>
      <c r="B73" s="20">
        <v>85.0</v>
      </c>
      <c r="C73" s="20" t="s">
        <v>2874</v>
      </c>
      <c r="D73" s="41">
        <v>45629.0</v>
      </c>
    </row>
    <row r="74">
      <c r="A74" s="19" t="s">
        <v>1617</v>
      </c>
      <c r="B74" s="20">
        <v>85.0</v>
      </c>
      <c r="C74" s="20" t="s">
        <v>2875</v>
      </c>
      <c r="D74" s="41">
        <v>45629.0</v>
      </c>
    </row>
    <row r="75">
      <c r="A75" s="19" t="s">
        <v>1630</v>
      </c>
      <c r="B75" s="20">
        <v>85.0</v>
      </c>
      <c r="C75" s="20" t="s">
        <v>2876</v>
      </c>
      <c r="D75" s="41">
        <v>45629.0</v>
      </c>
    </row>
    <row r="76">
      <c r="A76" s="19" t="s">
        <v>1297</v>
      </c>
      <c r="B76" s="20">
        <v>85.0</v>
      </c>
      <c r="C76" s="20" t="s">
        <v>2877</v>
      </c>
      <c r="D76" s="41">
        <v>45629.0</v>
      </c>
    </row>
    <row r="77">
      <c r="A77" s="19" t="s">
        <v>798</v>
      </c>
      <c r="B77" s="20">
        <v>85.0</v>
      </c>
      <c r="C77" s="20" t="s">
        <v>2878</v>
      </c>
      <c r="D77" s="41">
        <v>45629.0</v>
      </c>
    </row>
    <row r="78">
      <c r="A78" s="19" t="s">
        <v>1560</v>
      </c>
      <c r="B78" s="20">
        <v>85.0</v>
      </c>
      <c r="C78" s="20" t="s">
        <v>2879</v>
      </c>
      <c r="D78" s="41">
        <v>45629.0</v>
      </c>
    </row>
    <row r="79">
      <c r="A79" s="19" t="s">
        <v>1094</v>
      </c>
      <c r="B79" s="20">
        <v>85.0</v>
      </c>
      <c r="C79" s="20" t="s">
        <v>2880</v>
      </c>
      <c r="D79" s="41">
        <v>45629.0</v>
      </c>
    </row>
    <row r="80">
      <c r="A80" s="19" t="s">
        <v>1221</v>
      </c>
      <c r="B80" s="20">
        <v>85.0</v>
      </c>
      <c r="C80" s="20" t="s">
        <v>2881</v>
      </c>
      <c r="D80" s="41">
        <v>45629.0</v>
      </c>
    </row>
    <row r="81">
      <c r="A81" s="19" t="s">
        <v>1055</v>
      </c>
      <c r="B81" s="20">
        <v>85.0</v>
      </c>
      <c r="C81" s="20" t="s">
        <v>2882</v>
      </c>
      <c r="D81" s="41">
        <v>45629.0</v>
      </c>
    </row>
    <row r="82">
      <c r="A82" s="19" t="s">
        <v>187</v>
      </c>
      <c r="B82" s="20">
        <v>85.0</v>
      </c>
      <c r="C82" s="20" t="s">
        <v>2883</v>
      </c>
      <c r="D82" s="41">
        <v>45629.0</v>
      </c>
    </row>
    <row r="83">
      <c r="A83" s="19" t="s">
        <v>186</v>
      </c>
      <c r="B83" s="20">
        <v>85.0</v>
      </c>
      <c r="C83" s="20" t="s">
        <v>2884</v>
      </c>
      <c r="D83" s="41">
        <v>45629.0</v>
      </c>
    </row>
    <row r="84">
      <c r="A84" s="19" t="s">
        <v>1566</v>
      </c>
      <c r="B84" s="20">
        <v>85.0</v>
      </c>
      <c r="C84" s="20" t="s">
        <v>2885</v>
      </c>
      <c r="D84" s="41">
        <v>45629.0</v>
      </c>
    </row>
    <row r="85">
      <c r="A85" s="19" t="s">
        <v>87</v>
      </c>
      <c r="B85" s="20">
        <v>85.0</v>
      </c>
      <c r="C85" s="20" t="s">
        <v>2886</v>
      </c>
      <c r="D85" s="41">
        <v>45629.0</v>
      </c>
    </row>
    <row r="86">
      <c r="A86" s="19" t="s">
        <v>12</v>
      </c>
      <c r="B86" s="20">
        <v>85.0</v>
      </c>
      <c r="C86" s="20" t="s">
        <v>2887</v>
      </c>
      <c r="D86" s="41">
        <v>45629.0</v>
      </c>
    </row>
    <row r="87">
      <c r="A87" s="19" t="s">
        <v>254</v>
      </c>
      <c r="B87" s="20">
        <v>85.0</v>
      </c>
      <c r="C87" s="20" t="s">
        <v>2888</v>
      </c>
      <c r="D87" s="41">
        <v>45629.0</v>
      </c>
    </row>
    <row r="88">
      <c r="A88" s="19" t="s">
        <v>66</v>
      </c>
      <c r="B88" s="20">
        <v>85.0</v>
      </c>
      <c r="C88" s="20" t="s">
        <v>2889</v>
      </c>
      <c r="D88" s="41">
        <v>45629.0</v>
      </c>
    </row>
    <row r="89">
      <c r="A89" s="19" t="s">
        <v>997</v>
      </c>
      <c r="B89" s="20">
        <v>85.0</v>
      </c>
      <c r="C89" s="20" t="s">
        <v>2890</v>
      </c>
      <c r="D89" s="41">
        <v>45629.0</v>
      </c>
    </row>
    <row r="90">
      <c r="A90" s="19" t="s">
        <v>542</v>
      </c>
      <c r="B90" s="20">
        <v>85.0</v>
      </c>
      <c r="C90" s="20" t="s">
        <v>2891</v>
      </c>
      <c r="D90" s="41">
        <v>45629.0</v>
      </c>
    </row>
    <row r="91">
      <c r="A91" s="19" t="s">
        <v>184</v>
      </c>
      <c r="B91" s="20">
        <v>85.0</v>
      </c>
      <c r="C91" s="20" t="s">
        <v>2892</v>
      </c>
      <c r="D91" s="41">
        <v>45629.0</v>
      </c>
    </row>
    <row r="92">
      <c r="A92" s="19" t="s">
        <v>1582</v>
      </c>
      <c r="B92" s="20">
        <v>85.0</v>
      </c>
      <c r="C92" s="20" t="s">
        <v>2893</v>
      </c>
      <c r="D92" s="41">
        <v>45629.0</v>
      </c>
    </row>
    <row r="93">
      <c r="A93" s="19" t="s">
        <v>1483</v>
      </c>
      <c r="B93" s="20">
        <v>85.0</v>
      </c>
      <c r="C93" s="20" t="s">
        <v>2894</v>
      </c>
      <c r="D93" s="41">
        <v>45629.0</v>
      </c>
    </row>
    <row r="94">
      <c r="A94" s="19" t="s">
        <v>1061</v>
      </c>
      <c r="B94" s="20">
        <v>85.0</v>
      </c>
      <c r="C94" s="20" t="s">
        <v>2895</v>
      </c>
      <c r="D94" s="41">
        <v>45629.0</v>
      </c>
    </row>
    <row r="95">
      <c r="A95" s="19" t="s">
        <v>287</v>
      </c>
      <c r="B95" s="20">
        <v>85.0</v>
      </c>
      <c r="C95" s="20" t="s">
        <v>2896</v>
      </c>
      <c r="D95" s="41">
        <v>45629.0</v>
      </c>
    </row>
    <row r="96">
      <c r="A96" s="19" t="s">
        <v>1153</v>
      </c>
      <c r="B96" s="20">
        <v>85.0</v>
      </c>
      <c r="C96" s="20" t="s">
        <v>2897</v>
      </c>
      <c r="D96" s="41">
        <v>45629.0</v>
      </c>
    </row>
    <row r="97">
      <c r="A97" s="19" t="s">
        <v>1000</v>
      </c>
      <c r="B97" s="20">
        <v>85.0</v>
      </c>
      <c r="C97" s="20" t="s">
        <v>2898</v>
      </c>
      <c r="D97" s="41">
        <v>45629.0</v>
      </c>
    </row>
    <row r="98">
      <c r="A98" s="19" t="s">
        <v>1611</v>
      </c>
      <c r="B98" s="20">
        <v>85.0</v>
      </c>
      <c r="C98" s="20" t="s">
        <v>2899</v>
      </c>
      <c r="D98" s="41">
        <v>45629.0</v>
      </c>
    </row>
    <row r="99">
      <c r="A99" s="19" t="s">
        <v>1177</v>
      </c>
      <c r="B99" s="20">
        <v>85.0</v>
      </c>
      <c r="C99" s="20" t="s">
        <v>2900</v>
      </c>
      <c r="D99" s="41">
        <v>45629.0</v>
      </c>
    </row>
    <row r="100">
      <c r="A100" s="19" t="s">
        <v>777</v>
      </c>
      <c r="B100" s="20">
        <v>85.0</v>
      </c>
      <c r="C100" s="43" t="s">
        <v>2901</v>
      </c>
      <c r="D100" s="41">
        <v>45629.0</v>
      </c>
    </row>
    <row r="101">
      <c r="A101" s="19" t="s">
        <v>472</v>
      </c>
      <c r="B101" s="20">
        <v>85.0</v>
      </c>
      <c r="C101" s="20" t="s">
        <v>2902</v>
      </c>
      <c r="D101" s="41">
        <v>45629.0</v>
      </c>
    </row>
    <row r="102">
      <c r="A102" s="19" t="s">
        <v>1393</v>
      </c>
      <c r="B102" s="20">
        <v>85.0</v>
      </c>
      <c r="C102" s="20" t="s">
        <v>2903</v>
      </c>
      <c r="D102" s="41">
        <v>45629.0</v>
      </c>
    </row>
    <row r="103">
      <c r="A103" s="19" t="s">
        <v>394</v>
      </c>
      <c r="B103" s="20">
        <v>85.0</v>
      </c>
      <c r="C103" s="20" t="s">
        <v>2904</v>
      </c>
      <c r="D103" s="41">
        <v>45629.0</v>
      </c>
    </row>
    <row r="104">
      <c r="A104" s="19" t="s">
        <v>785</v>
      </c>
      <c r="B104" s="20">
        <v>85.0</v>
      </c>
      <c r="C104" s="20" t="s">
        <v>2905</v>
      </c>
      <c r="D104" s="41">
        <v>45629.0</v>
      </c>
    </row>
    <row r="105">
      <c r="A105" s="19" t="s">
        <v>1133</v>
      </c>
      <c r="B105" s="20">
        <v>85.0</v>
      </c>
      <c r="C105" s="20" t="s">
        <v>2906</v>
      </c>
      <c r="D105" s="41">
        <v>45629.0</v>
      </c>
    </row>
    <row r="106">
      <c r="A106" s="19" t="s">
        <v>1487</v>
      </c>
      <c r="B106" s="20">
        <v>85.0</v>
      </c>
      <c r="C106" s="20" t="s">
        <v>2907</v>
      </c>
      <c r="D106" s="41">
        <v>45629.0</v>
      </c>
    </row>
    <row r="107">
      <c r="A107" s="19" t="s">
        <v>468</v>
      </c>
      <c r="B107" s="20">
        <v>85.0</v>
      </c>
      <c r="C107" s="20" t="s">
        <v>2908</v>
      </c>
      <c r="D107" s="41">
        <v>45629.0</v>
      </c>
    </row>
    <row r="108">
      <c r="A108" s="19" t="s">
        <v>1474</v>
      </c>
      <c r="B108" s="20">
        <v>85.0</v>
      </c>
      <c r="C108" s="20" t="s">
        <v>2909</v>
      </c>
      <c r="D108" s="41">
        <v>45629.0</v>
      </c>
    </row>
    <row r="109">
      <c r="A109" s="19" t="s">
        <v>1237</v>
      </c>
      <c r="B109" s="20">
        <v>85.0</v>
      </c>
      <c r="C109" s="20" t="s">
        <v>2910</v>
      </c>
      <c r="D109" s="41">
        <v>45629.0</v>
      </c>
    </row>
    <row r="110">
      <c r="A110" s="19" t="s">
        <v>953</v>
      </c>
      <c r="B110" s="20">
        <v>85.0</v>
      </c>
      <c r="C110" s="20" t="s">
        <v>2911</v>
      </c>
      <c r="D110" s="41">
        <v>45629.0</v>
      </c>
    </row>
    <row r="111">
      <c r="A111" s="19" t="s">
        <v>59</v>
      </c>
      <c r="B111" s="20">
        <v>85.0</v>
      </c>
      <c r="C111" s="20" t="s">
        <v>2912</v>
      </c>
      <c r="D111" s="41">
        <v>45629.0</v>
      </c>
    </row>
    <row r="112">
      <c r="A112" s="19" t="s">
        <v>1447</v>
      </c>
      <c r="B112" s="20">
        <v>85.0</v>
      </c>
      <c r="C112" s="20" t="s">
        <v>2913</v>
      </c>
      <c r="D112" s="41">
        <v>45629.0</v>
      </c>
    </row>
    <row r="113">
      <c r="A113" s="19" t="s">
        <v>1173</v>
      </c>
      <c r="B113" s="20">
        <v>85.0</v>
      </c>
      <c r="C113" s="20" t="s">
        <v>2914</v>
      </c>
      <c r="D113" s="41">
        <v>45629.0</v>
      </c>
    </row>
    <row r="114">
      <c r="A114" s="19" t="s">
        <v>426</v>
      </c>
      <c r="B114" s="20">
        <v>85.0</v>
      </c>
      <c r="C114" s="20" t="s">
        <v>2915</v>
      </c>
      <c r="D114" s="41">
        <v>45629.0</v>
      </c>
    </row>
    <row r="115">
      <c r="A115" s="19" t="s">
        <v>129</v>
      </c>
      <c r="B115" s="20">
        <v>85.0</v>
      </c>
      <c r="C115" s="20" t="s">
        <v>2916</v>
      </c>
      <c r="D115" s="41">
        <v>45629.0</v>
      </c>
    </row>
    <row r="116">
      <c r="A116" s="19" t="s">
        <v>1594</v>
      </c>
      <c r="B116" s="20">
        <v>85.0</v>
      </c>
      <c r="C116" s="20" t="s">
        <v>2917</v>
      </c>
      <c r="D116" s="41">
        <v>45629.0</v>
      </c>
    </row>
    <row r="117">
      <c r="A117" s="19" t="s">
        <v>1245</v>
      </c>
      <c r="B117" s="20">
        <v>85.0</v>
      </c>
      <c r="C117" s="20" t="s">
        <v>2918</v>
      </c>
      <c r="D117" s="41">
        <v>45629.0</v>
      </c>
    </row>
    <row r="118">
      <c r="A118" s="19" t="s">
        <v>35</v>
      </c>
      <c r="B118" s="20">
        <v>85.0</v>
      </c>
      <c r="C118" s="20" t="s">
        <v>2919</v>
      </c>
      <c r="D118" s="41">
        <v>45629.0</v>
      </c>
    </row>
    <row r="119">
      <c r="A119" s="19" t="s">
        <v>239</v>
      </c>
      <c r="B119" s="20">
        <v>85.0</v>
      </c>
      <c r="C119" s="20" t="s">
        <v>2920</v>
      </c>
      <c r="D119" s="41">
        <v>45629.0</v>
      </c>
    </row>
    <row r="120">
      <c r="A120" s="19" t="s">
        <v>1210</v>
      </c>
      <c r="B120" s="20">
        <v>85.0</v>
      </c>
      <c r="C120" s="20" t="s">
        <v>2921</v>
      </c>
      <c r="D120" s="41">
        <v>45629.0</v>
      </c>
    </row>
    <row r="121">
      <c r="A121" s="19" t="s">
        <v>206</v>
      </c>
      <c r="B121" s="20">
        <v>85.0</v>
      </c>
      <c r="C121" s="20" t="s">
        <v>2922</v>
      </c>
      <c r="D121" s="41">
        <v>45629.0</v>
      </c>
    </row>
    <row r="122">
      <c r="A122" s="19" t="s">
        <v>1481</v>
      </c>
      <c r="B122" s="20">
        <v>85.0</v>
      </c>
      <c r="C122" s="20" t="s">
        <v>2923</v>
      </c>
      <c r="D122" s="41">
        <v>45629.0</v>
      </c>
    </row>
    <row r="123">
      <c r="A123" s="19" t="s">
        <v>264</v>
      </c>
      <c r="B123" s="20">
        <v>85.0</v>
      </c>
      <c r="C123" s="20" t="s">
        <v>2924</v>
      </c>
      <c r="D123" s="41">
        <v>45629.0</v>
      </c>
    </row>
    <row r="124">
      <c r="A124" s="19" t="s">
        <v>1350</v>
      </c>
      <c r="B124" s="20">
        <v>85.0</v>
      </c>
      <c r="C124" s="20" t="s">
        <v>2925</v>
      </c>
      <c r="D124" s="41">
        <v>45629.0</v>
      </c>
    </row>
    <row r="125">
      <c r="A125" s="19" t="s">
        <v>881</v>
      </c>
      <c r="B125" s="20">
        <v>85.0</v>
      </c>
      <c r="C125" s="20" t="s">
        <v>2926</v>
      </c>
      <c r="D125" s="41">
        <v>45629.0</v>
      </c>
    </row>
    <row r="126">
      <c r="A126" s="19" t="s">
        <v>1081</v>
      </c>
      <c r="B126" s="20">
        <v>85.0</v>
      </c>
      <c r="C126" s="20" t="s">
        <v>2927</v>
      </c>
      <c r="D126" s="41">
        <v>45629.0</v>
      </c>
    </row>
    <row r="127">
      <c r="A127" s="19" t="s">
        <v>766</v>
      </c>
      <c r="B127" s="20">
        <v>85.0</v>
      </c>
      <c r="C127" s="20" t="s">
        <v>2928</v>
      </c>
      <c r="D127" s="41">
        <v>45629.0</v>
      </c>
    </row>
    <row r="128">
      <c r="A128" s="19" t="s">
        <v>359</v>
      </c>
      <c r="B128" s="20">
        <v>85.0</v>
      </c>
      <c r="C128" s="20" t="s">
        <v>2929</v>
      </c>
      <c r="D128" s="41">
        <v>45629.0</v>
      </c>
    </row>
    <row r="129">
      <c r="A129" s="19" t="s">
        <v>1325</v>
      </c>
      <c r="B129" s="20">
        <v>85.0</v>
      </c>
      <c r="C129" s="20" t="s">
        <v>2930</v>
      </c>
      <c r="D129" s="41">
        <v>45629.0</v>
      </c>
    </row>
    <row r="130">
      <c r="A130" s="19" t="s">
        <v>884</v>
      </c>
      <c r="B130" s="20">
        <v>85.0</v>
      </c>
      <c r="C130" s="20" t="s">
        <v>2931</v>
      </c>
      <c r="D130" s="41">
        <v>45629.0</v>
      </c>
    </row>
    <row r="131">
      <c r="A131" s="19" t="s">
        <v>809</v>
      </c>
      <c r="B131" s="20">
        <v>85.0</v>
      </c>
      <c r="C131" s="20" t="s">
        <v>2932</v>
      </c>
      <c r="D131" s="41">
        <v>45629.0</v>
      </c>
    </row>
    <row r="132">
      <c r="A132" s="19" t="s">
        <v>1015</v>
      </c>
      <c r="B132" s="20">
        <v>85.0</v>
      </c>
      <c r="C132" s="20" t="s">
        <v>2933</v>
      </c>
      <c r="D132" s="41">
        <v>45629.0</v>
      </c>
    </row>
    <row r="133">
      <c r="A133" s="19" t="s">
        <v>1271</v>
      </c>
      <c r="B133" s="20">
        <v>85.0</v>
      </c>
      <c r="C133" s="20" t="s">
        <v>2934</v>
      </c>
      <c r="D133" s="41">
        <v>45629.0</v>
      </c>
    </row>
    <row r="134">
      <c r="A134" s="19" t="s">
        <v>1214</v>
      </c>
      <c r="B134" s="20">
        <v>85.0</v>
      </c>
      <c r="C134" s="20" t="s">
        <v>2935</v>
      </c>
      <c r="D134" s="41">
        <v>45629.0</v>
      </c>
    </row>
    <row r="135">
      <c r="A135" s="19" t="s">
        <v>1466</v>
      </c>
      <c r="B135" s="20">
        <v>85.0</v>
      </c>
      <c r="C135" s="20" t="s">
        <v>2936</v>
      </c>
      <c r="D135" s="41">
        <v>45629.0</v>
      </c>
    </row>
    <row r="136">
      <c r="A136" s="19" t="s">
        <v>141</v>
      </c>
      <c r="B136" s="20">
        <v>85.0</v>
      </c>
      <c r="C136" s="20" t="s">
        <v>2937</v>
      </c>
      <c r="D136" s="41">
        <v>45629.0</v>
      </c>
    </row>
    <row r="137">
      <c r="A137" s="19" t="s">
        <v>151</v>
      </c>
      <c r="B137" s="20">
        <v>85.0</v>
      </c>
      <c r="C137" s="20" t="s">
        <v>2938</v>
      </c>
      <c r="D137" s="41">
        <v>45629.0</v>
      </c>
    </row>
    <row r="138">
      <c r="A138" s="19" t="s">
        <v>142</v>
      </c>
      <c r="B138" s="20">
        <v>85.0</v>
      </c>
      <c r="C138" s="20" t="s">
        <v>2939</v>
      </c>
      <c r="D138" s="41">
        <v>45629.0</v>
      </c>
    </row>
    <row r="139">
      <c r="A139" s="19" t="s">
        <v>39</v>
      </c>
      <c r="B139" s="20">
        <v>85.0</v>
      </c>
      <c r="C139" s="20" t="s">
        <v>2940</v>
      </c>
      <c r="D139" s="41">
        <v>45629.0</v>
      </c>
    </row>
    <row r="140">
      <c r="A140" s="19" t="s">
        <v>125</v>
      </c>
      <c r="B140" s="20">
        <v>85.0</v>
      </c>
      <c r="C140" s="20" t="s">
        <v>2941</v>
      </c>
      <c r="D140" s="41">
        <v>45629.0</v>
      </c>
    </row>
    <row r="141">
      <c r="A141" s="19" t="s">
        <v>37</v>
      </c>
      <c r="B141" s="20">
        <v>85.0</v>
      </c>
      <c r="C141" s="20" t="s">
        <v>2942</v>
      </c>
      <c r="D141" s="41">
        <v>45629.0</v>
      </c>
    </row>
    <row r="142">
      <c r="A142" s="19" t="s">
        <v>253</v>
      </c>
      <c r="B142" s="20">
        <v>85.0</v>
      </c>
      <c r="C142" s="20" t="s">
        <v>2943</v>
      </c>
      <c r="D142" s="41">
        <v>45629.0</v>
      </c>
    </row>
    <row r="143">
      <c r="A143" s="19" t="s">
        <v>183</v>
      </c>
      <c r="B143" s="20">
        <v>85.0</v>
      </c>
      <c r="C143" s="20" t="s">
        <v>2944</v>
      </c>
      <c r="D143" s="41">
        <v>45629.0</v>
      </c>
    </row>
    <row r="144">
      <c r="A144" s="19" t="s">
        <v>1578</v>
      </c>
      <c r="B144" s="20">
        <v>85.0</v>
      </c>
      <c r="C144" s="20" t="s">
        <v>2945</v>
      </c>
      <c r="D144" s="41">
        <v>45629.0</v>
      </c>
    </row>
    <row r="145">
      <c r="A145" s="19" t="s">
        <v>1584</v>
      </c>
      <c r="B145" s="20">
        <v>85.0</v>
      </c>
      <c r="C145" s="20" t="s">
        <v>2946</v>
      </c>
      <c r="D145" s="41">
        <v>45629.0</v>
      </c>
    </row>
    <row r="146">
      <c r="A146" s="19" t="s">
        <v>923</v>
      </c>
      <c r="B146" s="20">
        <v>85.0</v>
      </c>
      <c r="C146" s="20" t="s">
        <v>2947</v>
      </c>
      <c r="D146" s="41">
        <v>45629.0</v>
      </c>
    </row>
    <row r="147">
      <c r="A147" s="19" t="s">
        <v>978</v>
      </c>
      <c r="B147" s="20">
        <v>85.0</v>
      </c>
      <c r="C147" s="20" t="s">
        <v>2948</v>
      </c>
      <c r="D147" s="41">
        <v>45629.0</v>
      </c>
    </row>
    <row r="148">
      <c r="A148" s="19" t="s">
        <v>939</v>
      </c>
      <c r="B148" s="20">
        <v>85.0</v>
      </c>
      <c r="C148" s="20" t="s">
        <v>2949</v>
      </c>
      <c r="D148" s="41">
        <v>45629.0</v>
      </c>
    </row>
    <row r="149">
      <c r="A149" s="19" t="s">
        <v>937</v>
      </c>
      <c r="B149" s="20">
        <v>85.0</v>
      </c>
      <c r="C149" s="20" t="s">
        <v>2950</v>
      </c>
      <c r="D149" s="41">
        <v>45629.0</v>
      </c>
    </row>
    <row r="150">
      <c r="A150" s="19" t="s">
        <v>1049</v>
      </c>
      <c r="B150" s="20">
        <v>85.0</v>
      </c>
      <c r="C150" s="20" t="s">
        <v>2951</v>
      </c>
      <c r="D150" s="41">
        <v>45629.0</v>
      </c>
    </row>
    <row r="151">
      <c r="A151" s="19" t="s">
        <v>1545</v>
      </c>
      <c r="B151" s="20">
        <v>85.0</v>
      </c>
      <c r="C151" s="20" t="s">
        <v>2952</v>
      </c>
      <c r="D151" s="41">
        <v>45629.0</v>
      </c>
    </row>
    <row r="152">
      <c r="A152" s="19" t="s">
        <v>1464</v>
      </c>
      <c r="B152" s="20">
        <v>85.0</v>
      </c>
      <c r="C152" s="20" t="s">
        <v>2953</v>
      </c>
      <c r="D152" s="41">
        <v>45629.0</v>
      </c>
    </row>
    <row r="153">
      <c r="A153" s="19" t="s">
        <v>1128</v>
      </c>
      <c r="B153" s="20">
        <v>85.0</v>
      </c>
      <c r="C153" s="20" t="s">
        <v>2954</v>
      </c>
      <c r="D153" s="41">
        <v>45629.0</v>
      </c>
    </row>
    <row r="154">
      <c r="A154" s="19" t="s">
        <v>1025</v>
      </c>
      <c r="B154" s="20">
        <v>85.0</v>
      </c>
      <c r="C154" s="20" t="s">
        <v>2955</v>
      </c>
      <c r="D154" s="41">
        <v>45629.0</v>
      </c>
    </row>
    <row r="155">
      <c r="A155" s="19" t="s">
        <v>1511</v>
      </c>
      <c r="B155" s="20">
        <v>85.0</v>
      </c>
      <c r="C155" s="20" t="s">
        <v>2956</v>
      </c>
      <c r="D155" s="41">
        <v>45629.0</v>
      </c>
    </row>
    <row r="156">
      <c r="A156" s="19" t="s">
        <v>819</v>
      </c>
      <c r="B156" s="20">
        <v>85.0</v>
      </c>
      <c r="C156" s="20" t="s">
        <v>2957</v>
      </c>
      <c r="D156" s="41">
        <v>45629.0</v>
      </c>
    </row>
    <row r="157">
      <c r="A157" s="19" t="s">
        <v>510</v>
      </c>
      <c r="B157" s="20">
        <v>85.0</v>
      </c>
      <c r="C157" s="20" t="s">
        <v>2958</v>
      </c>
      <c r="D157" s="41">
        <v>45629.0</v>
      </c>
    </row>
    <row r="158">
      <c r="A158" s="19" t="s">
        <v>925</v>
      </c>
      <c r="B158" s="20">
        <v>85.0</v>
      </c>
      <c r="C158" s="20" t="s">
        <v>2959</v>
      </c>
      <c r="D158" s="41">
        <v>45629.0</v>
      </c>
    </row>
    <row r="159">
      <c r="A159" s="19" t="s">
        <v>1586</v>
      </c>
      <c r="B159" s="20">
        <v>85.0</v>
      </c>
      <c r="C159" s="20" t="s">
        <v>2960</v>
      </c>
      <c r="D159" s="41">
        <v>45629.0</v>
      </c>
    </row>
    <row r="160">
      <c r="A160" s="19" t="s">
        <v>1317</v>
      </c>
      <c r="B160" s="20">
        <v>85.0</v>
      </c>
      <c r="C160" s="20" t="s">
        <v>2961</v>
      </c>
      <c r="D160" s="41">
        <v>45629.0</v>
      </c>
    </row>
    <row r="161">
      <c r="A161" s="19" t="s">
        <v>1139</v>
      </c>
      <c r="B161" s="20">
        <v>85.0</v>
      </c>
      <c r="C161" s="20" t="s">
        <v>2962</v>
      </c>
      <c r="D161" s="41">
        <v>45629.0</v>
      </c>
    </row>
    <row r="162">
      <c r="A162" s="19" t="s">
        <v>1377</v>
      </c>
      <c r="B162" s="20">
        <v>85.0</v>
      </c>
      <c r="C162" s="20" t="s">
        <v>2963</v>
      </c>
      <c r="D162" s="41">
        <v>45629.0</v>
      </c>
    </row>
    <row r="163">
      <c r="A163" s="19" t="s">
        <v>298</v>
      </c>
      <c r="B163" s="20">
        <v>85.0</v>
      </c>
      <c r="C163" s="20" t="s">
        <v>2964</v>
      </c>
      <c r="D163" s="41">
        <v>45629.0</v>
      </c>
    </row>
    <row r="164">
      <c r="A164" s="19" t="s">
        <v>217</v>
      </c>
      <c r="B164" s="20">
        <v>85.0</v>
      </c>
      <c r="C164" s="20" t="s">
        <v>2965</v>
      </c>
      <c r="D164" s="41">
        <v>45629.0</v>
      </c>
    </row>
    <row r="165">
      <c r="A165" s="19" t="s">
        <v>1047</v>
      </c>
      <c r="B165" s="20">
        <v>85.0</v>
      </c>
      <c r="C165" s="20" t="s">
        <v>2966</v>
      </c>
      <c r="D165" s="41">
        <v>45629.0</v>
      </c>
    </row>
    <row r="166">
      <c r="A166" s="19" t="s">
        <v>945</v>
      </c>
      <c r="B166" s="20">
        <v>85.0</v>
      </c>
      <c r="C166" s="20" t="s">
        <v>2967</v>
      </c>
      <c r="D166" s="41">
        <v>45629.0</v>
      </c>
    </row>
    <row r="167">
      <c r="A167" s="19" t="s">
        <v>295</v>
      </c>
      <c r="B167" s="20">
        <v>85.0</v>
      </c>
      <c r="C167" s="20" t="s">
        <v>2968</v>
      </c>
      <c r="D167" s="41">
        <v>45629.0</v>
      </c>
    </row>
    <row r="168">
      <c r="A168" s="19" t="s">
        <v>1032</v>
      </c>
      <c r="B168" s="20">
        <v>85.0</v>
      </c>
      <c r="C168" s="20" t="s">
        <v>2969</v>
      </c>
      <c r="D168" s="41">
        <v>45629.0</v>
      </c>
    </row>
    <row r="169">
      <c r="A169" s="19" t="s">
        <v>147</v>
      </c>
      <c r="B169" s="20">
        <v>85.0</v>
      </c>
      <c r="C169" s="20" t="s">
        <v>2970</v>
      </c>
      <c r="D169" s="41">
        <v>45629.0</v>
      </c>
    </row>
    <row r="170">
      <c r="A170" s="19" t="s">
        <v>122</v>
      </c>
      <c r="B170" s="20">
        <v>85.0</v>
      </c>
      <c r="C170" s="20" t="s">
        <v>2971</v>
      </c>
      <c r="D170" s="41">
        <v>45629.0</v>
      </c>
    </row>
    <row r="171">
      <c r="A171" s="19" t="s">
        <v>876</v>
      </c>
      <c r="B171" s="20">
        <v>85.0</v>
      </c>
      <c r="C171" s="20" t="s">
        <v>2972</v>
      </c>
      <c r="D171" s="41">
        <v>45629.0</v>
      </c>
    </row>
    <row r="172">
      <c r="A172" s="19" t="s">
        <v>1354</v>
      </c>
      <c r="B172" s="20">
        <v>85.0</v>
      </c>
      <c r="C172" s="20" t="s">
        <v>2973</v>
      </c>
      <c r="D172" s="41">
        <v>45629.0</v>
      </c>
    </row>
    <row r="173">
      <c r="A173" s="19" t="s">
        <v>250</v>
      </c>
      <c r="B173" s="20">
        <v>85.0</v>
      </c>
      <c r="C173" s="20" t="s">
        <v>2974</v>
      </c>
      <c r="D173" s="41">
        <v>45629.0</v>
      </c>
    </row>
    <row r="174">
      <c r="A174" s="19" t="s">
        <v>929</v>
      </c>
      <c r="B174" s="20">
        <v>85.0</v>
      </c>
      <c r="C174" s="20" t="s">
        <v>2975</v>
      </c>
      <c r="D174" s="41">
        <v>45629.0</v>
      </c>
    </row>
    <row r="175">
      <c r="A175" s="19" t="s">
        <v>1038</v>
      </c>
      <c r="B175" s="20">
        <v>85.0</v>
      </c>
      <c r="C175" s="43" t="s">
        <v>2976</v>
      </c>
      <c r="D175" s="41">
        <v>45629.0</v>
      </c>
    </row>
    <row r="176">
      <c r="A176" s="19" t="s">
        <v>1135</v>
      </c>
      <c r="B176" s="20">
        <v>85.0</v>
      </c>
      <c r="C176" s="20" t="s">
        <v>2977</v>
      </c>
      <c r="D176" s="41">
        <v>45629.0</v>
      </c>
    </row>
    <row r="177">
      <c r="A177" s="19" t="s">
        <v>1137</v>
      </c>
      <c r="B177" s="20">
        <v>85.0</v>
      </c>
      <c r="C177" s="20" t="s">
        <v>2978</v>
      </c>
      <c r="D177" s="41">
        <v>45629.0</v>
      </c>
    </row>
    <row r="178">
      <c r="A178" s="19" t="s">
        <v>1363</v>
      </c>
      <c r="B178" s="20">
        <v>85.0</v>
      </c>
      <c r="C178" s="20" t="s">
        <v>2979</v>
      </c>
      <c r="D178" s="41">
        <v>45629.0</v>
      </c>
    </row>
    <row r="179">
      <c r="A179" s="19" t="s">
        <v>1580</v>
      </c>
      <c r="B179" s="20">
        <v>85.0</v>
      </c>
      <c r="C179" s="20" t="s">
        <v>2980</v>
      </c>
      <c r="D179" s="41">
        <v>45629.0</v>
      </c>
    </row>
    <row r="180">
      <c r="A180" s="19" t="s">
        <v>592</v>
      </c>
      <c r="B180" s="20">
        <v>85.0</v>
      </c>
      <c r="C180" s="43" t="s">
        <v>2981</v>
      </c>
      <c r="D180" s="41">
        <v>45629.0</v>
      </c>
    </row>
    <row r="181">
      <c r="A181" s="19" t="s">
        <v>1505</v>
      </c>
      <c r="B181" s="20">
        <v>85.0</v>
      </c>
      <c r="C181" s="20" t="s">
        <v>2982</v>
      </c>
      <c r="D181" s="41">
        <v>45629.0</v>
      </c>
    </row>
    <row r="182">
      <c r="A182" s="19" t="s">
        <v>245</v>
      </c>
      <c r="B182" s="20">
        <v>80.0</v>
      </c>
      <c r="C182" s="20" t="s">
        <v>2983</v>
      </c>
      <c r="D182" s="41">
        <v>45629.0</v>
      </c>
    </row>
    <row r="183">
      <c r="A183" s="19" t="s">
        <v>242</v>
      </c>
      <c r="B183" s="20">
        <v>80.0</v>
      </c>
      <c r="C183" s="20" t="s">
        <v>2984</v>
      </c>
      <c r="D183" s="41">
        <v>45629.0</v>
      </c>
    </row>
    <row r="184">
      <c r="A184" s="19" t="s">
        <v>839</v>
      </c>
      <c r="B184" s="20">
        <v>80.0</v>
      </c>
      <c r="C184" s="20" t="s">
        <v>2985</v>
      </c>
      <c r="D184" s="41">
        <v>45629.0</v>
      </c>
    </row>
    <row r="185">
      <c r="A185" s="19" t="s">
        <v>451</v>
      </c>
      <c r="B185" s="20">
        <v>80.0</v>
      </c>
      <c r="C185" s="43" t="s">
        <v>2986</v>
      </c>
      <c r="D185" s="41">
        <v>45629.0</v>
      </c>
    </row>
    <row r="186">
      <c r="A186" s="19" t="s">
        <v>1490</v>
      </c>
      <c r="B186" s="20">
        <v>80.0</v>
      </c>
      <c r="C186" s="43" t="s">
        <v>2987</v>
      </c>
      <c r="D186" s="41">
        <v>45629.0</v>
      </c>
    </row>
    <row r="187">
      <c r="A187" s="19" t="s">
        <v>873</v>
      </c>
      <c r="B187" s="20">
        <v>80.0</v>
      </c>
      <c r="C187" s="20" t="s">
        <v>2988</v>
      </c>
      <c r="D187" s="41">
        <v>45629.0</v>
      </c>
    </row>
    <row r="188">
      <c r="A188" s="19" t="s">
        <v>1036</v>
      </c>
      <c r="B188" s="20">
        <v>80.0</v>
      </c>
      <c r="C188" s="20" t="s">
        <v>2989</v>
      </c>
      <c r="D188" s="41">
        <v>45629.0</v>
      </c>
    </row>
    <row r="189">
      <c r="A189" s="19" t="s">
        <v>1086</v>
      </c>
      <c r="B189" s="20">
        <v>80.0</v>
      </c>
      <c r="C189" s="20" t="s">
        <v>2990</v>
      </c>
      <c r="D189" s="41">
        <v>45629.0</v>
      </c>
    </row>
    <row r="190">
      <c r="A190" s="19" t="s">
        <v>1398</v>
      </c>
      <c r="B190" s="20">
        <v>80.0</v>
      </c>
      <c r="C190" s="20" t="s">
        <v>2991</v>
      </c>
      <c r="D190" s="41">
        <v>45629.0</v>
      </c>
    </row>
    <row r="191">
      <c r="A191" s="19" t="s">
        <v>985</v>
      </c>
      <c r="B191" s="20">
        <v>80.0</v>
      </c>
      <c r="C191" s="20" t="s">
        <v>2992</v>
      </c>
      <c r="D191" s="41">
        <v>45629.0</v>
      </c>
    </row>
    <row r="192">
      <c r="A192" s="19" t="s">
        <v>82</v>
      </c>
      <c r="B192" s="20">
        <v>80.0</v>
      </c>
      <c r="C192" s="43" t="s">
        <v>2993</v>
      </c>
      <c r="D192" s="41">
        <v>45629.0</v>
      </c>
    </row>
    <row r="193">
      <c r="A193" s="19" t="s">
        <v>771</v>
      </c>
      <c r="B193" s="20">
        <v>80.0</v>
      </c>
      <c r="C193" s="20" t="s">
        <v>2994</v>
      </c>
      <c r="D193" s="41">
        <v>45629.0</v>
      </c>
    </row>
    <row r="194">
      <c r="A194" s="19" t="s">
        <v>1113</v>
      </c>
      <c r="B194" s="20">
        <v>80.0</v>
      </c>
      <c r="C194" s="20" t="s">
        <v>2995</v>
      </c>
      <c r="D194" s="41">
        <v>45629.0</v>
      </c>
    </row>
    <row r="195">
      <c r="A195" s="19" t="s">
        <v>974</v>
      </c>
      <c r="B195" s="20">
        <v>80.0</v>
      </c>
      <c r="C195" s="20" t="s">
        <v>2996</v>
      </c>
      <c r="D195" s="41">
        <v>45629.0</v>
      </c>
    </row>
    <row r="196">
      <c r="A196" s="19" t="s">
        <v>1045</v>
      </c>
      <c r="B196" s="20">
        <v>80.0</v>
      </c>
      <c r="C196" s="20" t="s">
        <v>2997</v>
      </c>
      <c r="D196" s="41">
        <v>45629.0</v>
      </c>
    </row>
    <row r="197">
      <c r="A197" s="19" t="s">
        <v>1369</v>
      </c>
      <c r="B197" s="20">
        <v>80.0</v>
      </c>
      <c r="C197" s="20" t="s">
        <v>2998</v>
      </c>
      <c r="D197" s="41">
        <v>45629.0</v>
      </c>
    </row>
    <row r="198">
      <c r="A198" s="19" t="s">
        <v>1171</v>
      </c>
      <c r="B198" s="20">
        <v>80.0</v>
      </c>
      <c r="C198" s="20" t="s">
        <v>2999</v>
      </c>
      <c r="D198" s="41">
        <v>45629.0</v>
      </c>
    </row>
    <row r="199">
      <c r="A199" s="19" t="s">
        <v>921</v>
      </c>
      <c r="B199" s="20">
        <v>80.0</v>
      </c>
      <c r="C199" s="20" t="s">
        <v>3000</v>
      </c>
      <c r="D199" s="41">
        <v>45629.0</v>
      </c>
    </row>
    <row r="200">
      <c r="A200" s="19" t="s">
        <v>900</v>
      </c>
      <c r="B200" s="20">
        <v>80.0</v>
      </c>
      <c r="C200" s="20" t="s">
        <v>3001</v>
      </c>
      <c r="D200" s="41">
        <v>45629.0</v>
      </c>
    </row>
    <row r="201">
      <c r="A201" s="19" t="s">
        <v>1553</v>
      </c>
      <c r="B201" s="20">
        <v>80.0</v>
      </c>
      <c r="C201" s="20" t="s">
        <v>3002</v>
      </c>
      <c r="D201" s="41">
        <v>45629.0</v>
      </c>
    </row>
    <row r="202">
      <c r="A202" s="19" t="s">
        <v>1433</v>
      </c>
      <c r="B202" s="20">
        <v>80.0</v>
      </c>
      <c r="C202" s="20" t="s">
        <v>3003</v>
      </c>
      <c r="D202" s="41">
        <v>45629.0</v>
      </c>
    </row>
    <row r="203">
      <c r="A203" s="19" t="s">
        <v>1289</v>
      </c>
      <c r="B203" s="20">
        <v>80.0</v>
      </c>
      <c r="C203" s="20" t="s">
        <v>3004</v>
      </c>
      <c r="D203" s="41">
        <v>45629.0</v>
      </c>
    </row>
    <row r="204">
      <c r="A204" s="19" t="s">
        <v>1283</v>
      </c>
      <c r="B204" s="20">
        <v>80.0</v>
      </c>
      <c r="C204" s="20" t="s">
        <v>3005</v>
      </c>
      <c r="D204" s="41">
        <v>45629.0</v>
      </c>
    </row>
    <row r="205">
      <c r="A205" s="19" t="s">
        <v>17</v>
      </c>
      <c r="B205" s="20">
        <v>80.0</v>
      </c>
      <c r="C205" s="20" t="s">
        <v>3006</v>
      </c>
      <c r="D205" s="41">
        <v>45629.0</v>
      </c>
    </row>
    <row r="206">
      <c r="A206" s="19" t="s">
        <v>231</v>
      </c>
      <c r="B206" s="20">
        <v>80.0</v>
      </c>
      <c r="C206" s="20" t="s">
        <v>3007</v>
      </c>
      <c r="D206" s="41">
        <v>45629.0</v>
      </c>
    </row>
    <row r="207">
      <c r="A207" s="19" t="s">
        <v>265</v>
      </c>
      <c r="B207" s="20">
        <v>80.0</v>
      </c>
      <c r="C207" s="20" t="s">
        <v>3008</v>
      </c>
      <c r="D207" s="41">
        <v>45629.0</v>
      </c>
    </row>
    <row r="208">
      <c r="A208" s="19" t="s">
        <v>833</v>
      </c>
      <c r="B208" s="20">
        <v>80.0</v>
      </c>
      <c r="C208" s="20" t="s">
        <v>3009</v>
      </c>
      <c r="D208" s="41">
        <v>45629.0</v>
      </c>
    </row>
    <row r="209">
      <c r="A209" s="19" t="s">
        <v>1477</v>
      </c>
      <c r="B209" s="20">
        <v>80.0</v>
      </c>
      <c r="C209" s="20" t="s">
        <v>3010</v>
      </c>
      <c r="D209" s="41">
        <v>45629.0</v>
      </c>
    </row>
    <row r="210">
      <c r="A210" s="19" t="s">
        <v>849</v>
      </c>
      <c r="B210" s="20">
        <v>80.0</v>
      </c>
      <c r="C210" s="20" t="s">
        <v>3011</v>
      </c>
      <c r="D210" s="41">
        <v>45629.0</v>
      </c>
    </row>
    <row r="211">
      <c r="A211" s="19" t="s">
        <v>1605</v>
      </c>
      <c r="B211" s="20">
        <v>80.0</v>
      </c>
      <c r="C211" s="20" t="s">
        <v>3012</v>
      </c>
      <c r="D211" s="41">
        <v>45629.0</v>
      </c>
    </row>
    <row r="212">
      <c r="A212" s="19" t="s">
        <v>1065</v>
      </c>
      <c r="B212" s="20">
        <v>80.0</v>
      </c>
      <c r="C212" s="20" t="s">
        <v>3013</v>
      </c>
      <c r="D212" s="41">
        <v>45629.0</v>
      </c>
    </row>
    <row r="213">
      <c r="A213" s="19" t="s">
        <v>419</v>
      </c>
      <c r="B213" s="20">
        <v>80.0</v>
      </c>
      <c r="C213" s="20" t="s">
        <v>3014</v>
      </c>
      <c r="D213" s="41">
        <v>45629.0</v>
      </c>
    </row>
    <row r="214">
      <c r="A214" s="19" t="s">
        <v>169</v>
      </c>
      <c r="B214" s="20">
        <v>80.0</v>
      </c>
      <c r="C214" s="20" t="s">
        <v>3015</v>
      </c>
      <c r="D214" s="41">
        <v>45629.0</v>
      </c>
    </row>
    <row r="215">
      <c r="A215" s="19" t="s">
        <v>963</v>
      </c>
      <c r="B215" s="20">
        <v>80.0</v>
      </c>
      <c r="C215" s="20" t="s">
        <v>3016</v>
      </c>
      <c r="D215" s="41">
        <v>45629.0</v>
      </c>
    </row>
    <row r="216">
      <c r="A216" s="19" t="s">
        <v>1200</v>
      </c>
      <c r="B216" s="20">
        <v>80.0</v>
      </c>
      <c r="C216" s="20" t="s">
        <v>3017</v>
      </c>
      <c r="D216" s="41">
        <v>45629.0</v>
      </c>
    </row>
    <row r="217">
      <c r="A217" s="19" t="s">
        <v>229</v>
      </c>
      <c r="B217" s="20">
        <v>80.0</v>
      </c>
      <c r="C217" s="43" t="s">
        <v>3018</v>
      </c>
      <c r="D217" s="41">
        <v>45629.0</v>
      </c>
    </row>
    <row r="218">
      <c r="A218" s="19" t="s">
        <v>1517</v>
      </c>
      <c r="B218" s="20">
        <v>80.0</v>
      </c>
      <c r="C218" s="20" t="s">
        <v>3019</v>
      </c>
      <c r="D218" s="41">
        <v>45629.0</v>
      </c>
    </row>
    <row r="219">
      <c r="A219" s="19" t="s">
        <v>1258</v>
      </c>
      <c r="B219" s="20">
        <v>80.0</v>
      </c>
      <c r="C219" s="20" t="s">
        <v>3020</v>
      </c>
      <c r="D219" s="41">
        <v>45629.0</v>
      </c>
    </row>
    <row r="220">
      <c r="A220" s="19" t="s">
        <v>941</v>
      </c>
      <c r="B220" s="20">
        <v>80.0</v>
      </c>
      <c r="C220" s="20" t="s">
        <v>3021</v>
      </c>
      <c r="D220" s="41">
        <v>45629.0</v>
      </c>
    </row>
    <row r="221">
      <c r="A221" s="19" t="s">
        <v>878</v>
      </c>
      <c r="B221" s="20">
        <v>80.0</v>
      </c>
      <c r="C221" s="20" t="s">
        <v>3022</v>
      </c>
      <c r="D221" s="41">
        <v>45629.0</v>
      </c>
    </row>
    <row r="222">
      <c r="A222" s="19" t="s">
        <v>55</v>
      </c>
      <c r="B222" s="20">
        <v>80.0</v>
      </c>
      <c r="C222" s="43" t="s">
        <v>3023</v>
      </c>
      <c r="D222" s="41">
        <v>45629.0</v>
      </c>
    </row>
    <row r="223">
      <c r="A223" s="19" t="s">
        <v>1010</v>
      </c>
      <c r="B223" s="20">
        <v>80.0</v>
      </c>
      <c r="C223" s="20" t="s">
        <v>3024</v>
      </c>
      <c r="D223" s="41">
        <v>45629.0</v>
      </c>
    </row>
    <row r="224">
      <c r="A224" s="19" t="s">
        <v>1414</v>
      </c>
      <c r="B224" s="20">
        <v>75.0</v>
      </c>
      <c r="C224" s="20" t="s">
        <v>3025</v>
      </c>
      <c r="D224" s="41">
        <v>45629.0</v>
      </c>
    </row>
    <row r="225">
      <c r="A225" s="19" t="s">
        <v>1345</v>
      </c>
      <c r="B225" s="20">
        <v>75.0</v>
      </c>
      <c r="C225" s="20" t="s">
        <v>3026</v>
      </c>
      <c r="D225" s="41">
        <v>45629.0</v>
      </c>
    </row>
    <row r="226">
      <c r="A226" s="19" t="s">
        <v>1309</v>
      </c>
      <c r="B226" s="20">
        <v>75.0</v>
      </c>
      <c r="C226" s="20" t="s">
        <v>3027</v>
      </c>
      <c r="D226" s="41">
        <v>45629.0</v>
      </c>
    </row>
    <row r="227">
      <c r="A227" s="19" t="s">
        <v>1202</v>
      </c>
      <c r="B227" s="20">
        <v>75.0</v>
      </c>
      <c r="C227" s="20" t="s">
        <v>3028</v>
      </c>
      <c r="D227" s="41">
        <v>45629.0</v>
      </c>
    </row>
    <row r="228">
      <c r="A228" s="19" t="s">
        <v>1100</v>
      </c>
      <c r="B228" s="20">
        <v>75.0</v>
      </c>
      <c r="C228" s="20" t="s">
        <v>3029</v>
      </c>
      <c r="D228" s="41">
        <v>45629.0</v>
      </c>
    </row>
    <row r="229">
      <c r="A229" s="19" t="s">
        <v>1348</v>
      </c>
      <c r="B229" s="20">
        <v>75.0</v>
      </c>
      <c r="C229" s="20" t="s">
        <v>3030</v>
      </c>
      <c r="D229" s="41">
        <v>45629.0</v>
      </c>
    </row>
    <row r="230">
      <c r="A230" s="19" t="s">
        <v>404</v>
      </c>
      <c r="B230" s="20">
        <v>75.0</v>
      </c>
      <c r="C230" s="20" t="s">
        <v>3031</v>
      </c>
      <c r="D230" s="41">
        <v>45629.0</v>
      </c>
    </row>
    <row r="231">
      <c r="A231" s="19" t="s">
        <v>898</v>
      </c>
      <c r="B231" s="20">
        <v>75.0</v>
      </c>
      <c r="C231" s="20" t="s">
        <v>3032</v>
      </c>
      <c r="D231" s="41">
        <v>45629.0</v>
      </c>
    </row>
    <row r="232">
      <c r="A232" s="19" t="s">
        <v>1371</v>
      </c>
      <c r="B232" s="20">
        <v>75.0</v>
      </c>
      <c r="C232" s="20" t="s">
        <v>3033</v>
      </c>
      <c r="D232" s="41">
        <v>45629.0</v>
      </c>
    </row>
    <row r="233">
      <c r="A233" s="19" t="s">
        <v>1266</v>
      </c>
      <c r="B233" s="20">
        <v>75.0</v>
      </c>
      <c r="C233" s="20" t="s">
        <v>3034</v>
      </c>
      <c r="D233" s="41">
        <v>45629.0</v>
      </c>
    </row>
    <row r="234">
      <c r="A234" s="19" t="s">
        <v>40</v>
      </c>
      <c r="B234" s="20">
        <v>75.0</v>
      </c>
      <c r="C234" s="20" t="s">
        <v>3035</v>
      </c>
      <c r="D234" s="41">
        <v>45629.0</v>
      </c>
    </row>
    <row r="235">
      <c r="A235" s="19" t="s">
        <v>198</v>
      </c>
      <c r="B235" s="20">
        <v>75.0</v>
      </c>
      <c r="C235" s="20" t="s">
        <v>3036</v>
      </c>
      <c r="D235" s="41">
        <v>45629.0</v>
      </c>
    </row>
    <row r="236">
      <c r="A236" s="19" t="s">
        <v>164</v>
      </c>
      <c r="B236" s="20">
        <v>75.0</v>
      </c>
      <c r="C236" s="20" t="s">
        <v>3037</v>
      </c>
      <c r="D236" s="41">
        <v>45629.0</v>
      </c>
    </row>
    <row r="237">
      <c r="A237" s="19" t="s">
        <v>1028</v>
      </c>
      <c r="B237" s="20">
        <v>75.0</v>
      </c>
      <c r="C237" s="20" t="s">
        <v>3038</v>
      </c>
      <c r="D237" s="41">
        <v>45629.0</v>
      </c>
    </row>
    <row r="238">
      <c r="A238" s="19" t="s">
        <v>1223</v>
      </c>
      <c r="B238" s="20">
        <v>75.0</v>
      </c>
      <c r="C238" s="20" t="s">
        <v>3039</v>
      </c>
      <c r="D238" s="41">
        <v>45629.0</v>
      </c>
    </row>
    <row r="239">
      <c r="A239" s="19" t="s">
        <v>787</v>
      </c>
      <c r="B239" s="20">
        <v>75.0</v>
      </c>
      <c r="C239" s="20" t="s">
        <v>3040</v>
      </c>
      <c r="D239" s="41">
        <v>45629.0</v>
      </c>
    </row>
    <row r="240">
      <c r="A240" s="19" t="s">
        <v>1115</v>
      </c>
      <c r="B240" s="20">
        <v>75.0</v>
      </c>
      <c r="C240" s="20" t="s">
        <v>3041</v>
      </c>
      <c r="D240" s="41">
        <v>45629.0</v>
      </c>
    </row>
    <row r="241">
      <c r="A241" s="19" t="s">
        <v>862</v>
      </c>
      <c r="B241" s="20">
        <v>75.0</v>
      </c>
      <c r="C241" s="20" t="s">
        <v>3042</v>
      </c>
      <c r="D241" s="41">
        <v>45629.0</v>
      </c>
    </row>
    <row r="242">
      <c r="A242" s="19" t="s">
        <v>1233</v>
      </c>
      <c r="B242" s="20">
        <v>75.0</v>
      </c>
      <c r="C242" s="20" t="s">
        <v>3043</v>
      </c>
      <c r="D242" s="41">
        <v>45629.0</v>
      </c>
    </row>
    <row r="243">
      <c r="A243" s="19" t="s">
        <v>1163</v>
      </c>
      <c r="B243" s="20">
        <v>75.0</v>
      </c>
      <c r="C243" s="20" t="s">
        <v>3044</v>
      </c>
      <c r="D243" s="41">
        <v>45629.0</v>
      </c>
    </row>
    <row r="244">
      <c r="A244" s="19" t="s">
        <v>263</v>
      </c>
      <c r="B244" s="20">
        <v>75.0</v>
      </c>
      <c r="C244" s="20" t="s">
        <v>3045</v>
      </c>
      <c r="D244" s="41">
        <v>45629.0</v>
      </c>
    </row>
    <row r="245">
      <c r="A245" s="19" t="s">
        <v>1155</v>
      </c>
      <c r="B245" s="20">
        <v>75.0</v>
      </c>
      <c r="C245" s="20" t="s">
        <v>3046</v>
      </c>
      <c r="D245" s="41">
        <v>45629.0</v>
      </c>
    </row>
    <row r="246">
      <c r="A246" s="19" t="s">
        <v>3047</v>
      </c>
      <c r="B246" s="20">
        <v>75.0</v>
      </c>
      <c r="C246" s="20" t="s">
        <v>3048</v>
      </c>
      <c r="D246" s="41">
        <v>45629.0</v>
      </c>
    </row>
    <row r="247">
      <c r="A247" s="19" t="s">
        <v>1057</v>
      </c>
      <c r="B247" s="20">
        <v>75.0</v>
      </c>
      <c r="C247" s="20" t="s">
        <v>3049</v>
      </c>
      <c r="D247" s="41">
        <v>45629.0</v>
      </c>
    </row>
    <row r="248">
      <c r="A248" s="19" t="s">
        <v>294</v>
      </c>
      <c r="B248" s="20">
        <v>75.0</v>
      </c>
      <c r="C248" s="20" t="s">
        <v>3050</v>
      </c>
      <c r="D248" s="41">
        <v>45629.0</v>
      </c>
    </row>
    <row r="249">
      <c r="A249" s="19" t="s">
        <v>1002</v>
      </c>
      <c r="B249" s="20">
        <v>75.0</v>
      </c>
      <c r="C249" s="20" t="s">
        <v>3051</v>
      </c>
      <c r="D249" s="41">
        <v>45629.0</v>
      </c>
    </row>
    <row r="250">
      <c r="A250" s="19" t="s">
        <v>1543</v>
      </c>
      <c r="B250" s="20">
        <v>75.0</v>
      </c>
      <c r="C250" s="20" t="s">
        <v>3052</v>
      </c>
      <c r="D250" s="41">
        <v>45629.0</v>
      </c>
    </row>
    <row r="251">
      <c r="A251" s="19" t="s">
        <v>1319</v>
      </c>
      <c r="B251" s="20">
        <v>75.0</v>
      </c>
      <c r="C251" s="20" t="s">
        <v>3053</v>
      </c>
      <c r="D251" s="41">
        <v>45629.0</v>
      </c>
    </row>
    <row r="252">
      <c r="A252" s="19" t="s">
        <v>1540</v>
      </c>
      <c r="B252" s="20">
        <v>75.0</v>
      </c>
      <c r="C252" s="20" t="s">
        <v>3054</v>
      </c>
      <c r="D252" s="41">
        <v>45629.0</v>
      </c>
    </row>
    <row r="253">
      <c r="A253" s="19" t="s">
        <v>1219</v>
      </c>
      <c r="B253" s="20">
        <v>75.0</v>
      </c>
      <c r="C253" s="20" t="s">
        <v>3055</v>
      </c>
      <c r="D253" s="41">
        <v>45629.0</v>
      </c>
    </row>
    <row r="254">
      <c r="A254" s="19" t="s">
        <v>167</v>
      </c>
      <c r="B254" s="20">
        <v>75.0</v>
      </c>
      <c r="C254" s="20" t="s">
        <v>3056</v>
      </c>
      <c r="D254" s="41">
        <v>45629.0</v>
      </c>
    </row>
    <row r="255">
      <c r="A255" s="19" t="s">
        <v>1410</v>
      </c>
      <c r="B255" s="20">
        <v>75.0</v>
      </c>
      <c r="C255" s="20" t="s">
        <v>3057</v>
      </c>
      <c r="D255" s="41">
        <v>45629.0</v>
      </c>
    </row>
    <row r="256">
      <c r="A256" s="19" t="s">
        <v>230</v>
      </c>
      <c r="B256" s="20">
        <v>75.0</v>
      </c>
      <c r="C256" s="20" t="s">
        <v>3058</v>
      </c>
      <c r="D256" s="41">
        <v>45629.0</v>
      </c>
    </row>
    <row r="257">
      <c r="A257" s="19" t="s">
        <v>1083</v>
      </c>
      <c r="B257" s="20">
        <v>75.0</v>
      </c>
      <c r="C257" s="20" t="s">
        <v>3059</v>
      </c>
      <c r="D257" s="41">
        <v>45629.0</v>
      </c>
    </row>
    <row r="258">
      <c r="A258" s="19" t="s">
        <v>1396</v>
      </c>
      <c r="B258" s="20">
        <v>75.0</v>
      </c>
      <c r="C258" s="20" t="s">
        <v>3060</v>
      </c>
      <c r="D258" s="41">
        <v>45629.0</v>
      </c>
    </row>
    <row r="259">
      <c r="A259" s="19" t="s">
        <v>1524</v>
      </c>
      <c r="B259" s="20">
        <v>75.0</v>
      </c>
      <c r="C259" s="20" t="s">
        <v>3061</v>
      </c>
      <c r="D259" s="41">
        <v>45629.0</v>
      </c>
    </row>
    <row r="260">
      <c r="A260" s="19" t="s">
        <v>1034</v>
      </c>
      <c r="B260" s="20">
        <v>75.0</v>
      </c>
      <c r="C260" s="43" t="s">
        <v>3062</v>
      </c>
      <c r="D260" s="41">
        <v>45629.0</v>
      </c>
    </row>
    <row r="261">
      <c r="A261" s="19" t="s">
        <v>63</v>
      </c>
      <c r="B261" s="20">
        <v>75.0</v>
      </c>
      <c r="C261" s="43" t="s">
        <v>3063</v>
      </c>
      <c r="D261" s="41">
        <v>45629.0</v>
      </c>
    </row>
    <row r="262">
      <c r="A262" s="19" t="s">
        <v>1352</v>
      </c>
      <c r="B262" s="20">
        <v>75.0</v>
      </c>
      <c r="C262" s="20" t="s">
        <v>3064</v>
      </c>
      <c r="D262" s="41">
        <v>45629.0</v>
      </c>
    </row>
    <row r="263">
      <c r="A263" s="19" t="s">
        <v>609</v>
      </c>
      <c r="B263" s="20">
        <v>75.0</v>
      </c>
      <c r="C263" s="20" t="s">
        <v>3065</v>
      </c>
      <c r="D263" s="41">
        <v>45629.0</v>
      </c>
    </row>
    <row r="264">
      <c r="A264" s="19" t="s">
        <v>19</v>
      </c>
      <c r="B264" s="20">
        <v>75.0</v>
      </c>
      <c r="C264" s="20" t="s">
        <v>3066</v>
      </c>
      <c r="D264" s="41">
        <v>45629.0</v>
      </c>
    </row>
    <row r="265">
      <c r="A265" s="19" t="s">
        <v>1334</v>
      </c>
      <c r="B265" s="20">
        <v>75.0</v>
      </c>
      <c r="C265" s="20" t="s">
        <v>3067</v>
      </c>
      <c r="D265" s="41">
        <v>45629.0</v>
      </c>
    </row>
    <row r="266">
      <c r="A266" s="19" t="s">
        <v>1295</v>
      </c>
      <c r="B266" s="20">
        <v>75.0</v>
      </c>
      <c r="C266" s="20" t="s">
        <v>3068</v>
      </c>
      <c r="D266" s="41">
        <v>45629.0</v>
      </c>
    </row>
    <row r="267">
      <c r="A267" s="19" t="s">
        <v>1375</v>
      </c>
      <c r="B267" s="20">
        <v>75.0</v>
      </c>
      <c r="C267" s="20" t="s">
        <v>3069</v>
      </c>
      <c r="D267" s="41">
        <v>45629.0</v>
      </c>
    </row>
    <row r="268">
      <c r="A268" s="19" t="s">
        <v>99</v>
      </c>
      <c r="B268" s="20">
        <v>75.0</v>
      </c>
      <c r="C268" s="20" t="s">
        <v>3070</v>
      </c>
      <c r="D268" s="41">
        <v>45629.0</v>
      </c>
    </row>
    <row r="269">
      <c r="A269" s="19" t="s">
        <v>423</v>
      </c>
      <c r="B269" s="20">
        <v>75.0</v>
      </c>
      <c r="C269" s="20" t="s">
        <v>3071</v>
      </c>
      <c r="D269" s="41">
        <v>45629.0</v>
      </c>
    </row>
    <row r="270">
      <c r="A270" s="19" t="s">
        <v>41</v>
      </c>
      <c r="B270" s="20">
        <v>75.0</v>
      </c>
      <c r="C270" s="20" t="s">
        <v>3072</v>
      </c>
      <c r="D270" s="41">
        <v>45629.0</v>
      </c>
    </row>
    <row r="271">
      <c r="A271" s="19" t="s">
        <v>1239</v>
      </c>
      <c r="B271" s="20">
        <v>75.0</v>
      </c>
      <c r="C271" s="20" t="s">
        <v>3073</v>
      </c>
      <c r="D271" s="41">
        <v>45629.0</v>
      </c>
    </row>
    <row r="272">
      <c r="A272" s="19" t="s">
        <v>18</v>
      </c>
      <c r="B272" s="20">
        <v>70.0</v>
      </c>
      <c r="C272" s="20" t="s">
        <v>3074</v>
      </c>
      <c r="D272" s="41">
        <v>45629.0</v>
      </c>
    </row>
    <row r="273">
      <c r="A273" s="19" t="s">
        <v>71</v>
      </c>
      <c r="B273" s="20">
        <v>70.0</v>
      </c>
      <c r="C273" s="20" t="s">
        <v>3075</v>
      </c>
      <c r="D273" s="41">
        <v>45629.0</v>
      </c>
    </row>
    <row r="274">
      <c r="A274" s="19" t="s">
        <v>1628</v>
      </c>
      <c r="B274" s="20">
        <v>70.0</v>
      </c>
      <c r="C274" s="20" t="s">
        <v>3076</v>
      </c>
      <c r="D274" s="41">
        <v>45629.0</v>
      </c>
    </row>
    <row r="275">
      <c r="A275" s="19" t="s">
        <v>1472</v>
      </c>
      <c r="B275" s="20">
        <v>70.0</v>
      </c>
      <c r="C275" s="20" t="s">
        <v>3077</v>
      </c>
      <c r="D275" s="41">
        <v>45629.0</v>
      </c>
    </row>
    <row r="276">
      <c r="A276" s="19" t="s">
        <v>1197</v>
      </c>
      <c r="B276" s="20">
        <v>70.0</v>
      </c>
      <c r="C276" s="43" t="s">
        <v>3078</v>
      </c>
      <c r="D276" s="41">
        <v>45629.0</v>
      </c>
    </row>
    <row r="277">
      <c r="A277" s="19" t="s">
        <v>1279</v>
      </c>
      <c r="B277" s="20">
        <v>70.0</v>
      </c>
      <c r="C277" s="20" t="s">
        <v>3079</v>
      </c>
      <c r="D277" s="41">
        <v>45629.0</v>
      </c>
    </row>
    <row r="278">
      <c r="A278" s="19" t="s">
        <v>1131</v>
      </c>
      <c r="B278" s="20">
        <v>70.0</v>
      </c>
      <c r="C278" s="20" t="s">
        <v>3080</v>
      </c>
      <c r="D278" s="41">
        <v>45629.0</v>
      </c>
    </row>
    <row r="279">
      <c r="A279" s="19" t="s">
        <v>1549</v>
      </c>
      <c r="B279" s="20">
        <v>70.0</v>
      </c>
      <c r="C279" s="20" t="s">
        <v>3081</v>
      </c>
      <c r="D279" s="41">
        <v>45629.0</v>
      </c>
    </row>
    <row r="280">
      <c r="A280" s="19" t="s">
        <v>811</v>
      </c>
      <c r="B280" s="20">
        <v>70.0</v>
      </c>
      <c r="C280" s="20" t="s">
        <v>3082</v>
      </c>
      <c r="D280" s="41">
        <v>45629.0</v>
      </c>
    </row>
    <row r="281">
      <c r="A281" s="19" t="s">
        <v>1456</v>
      </c>
      <c r="B281" s="20">
        <v>70.0</v>
      </c>
      <c r="C281" s="20" t="s">
        <v>3083</v>
      </c>
      <c r="D281" s="41">
        <v>45629.0</v>
      </c>
    </row>
    <row r="282">
      <c r="A282" s="19" t="s">
        <v>816</v>
      </c>
      <c r="B282" s="20">
        <v>70.0</v>
      </c>
      <c r="C282" s="20" t="s">
        <v>3084</v>
      </c>
      <c r="D282" s="41">
        <v>45629.0</v>
      </c>
    </row>
    <row r="283">
      <c r="A283" s="19" t="s">
        <v>91</v>
      </c>
      <c r="B283" s="20">
        <v>70.0</v>
      </c>
      <c r="C283" s="20" t="s">
        <v>3085</v>
      </c>
      <c r="D283" s="41">
        <v>45629.0</v>
      </c>
    </row>
    <row r="284">
      <c r="A284" s="19" t="s">
        <v>831</v>
      </c>
      <c r="B284" s="20">
        <v>70.0</v>
      </c>
      <c r="C284" s="43" t="s">
        <v>3086</v>
      </c>
      <c r="D284" s="41">
        <v>45629.0</v>
      </c>
    </row>
    <row r="285">
      <c r="A285" s="19" t="s">
        <v>1634</v>
      </c>
      <c r="B285" s="20">
        <v>70.0</v>
      </c>
      <c r="C285" s="20" t="s">
        <v>3087</v>
      </c>
      <c r="D285" s="41">
        <v>45629.0</v>
      </c>
    </row>
    <row r="286">
      <c r="A286" s="19" t="s">
        <v>16</v>
      </c>
      <c r="B286" s="20">
        <v>70.0</v>
      </c>
      <c r="C286" s="20" t="s">
        <v>3088</v>
      </c>
      <c r="D286" s="41">
        <v>45629.0</v>
      </c>
    </row>
    <row r="287">
      <c r="A287" s="19" t="s">
        <v>1373</v>
      </c>
      <c r="B287" s="20">
        <v>70.0</v>
      </c>
      <c r="C287" s="20" t="s">
        <v>3089</v>
      </c>
      <c r="D287" s="41">
        <v>45629.0</v>
      </c>
    </row>
    <row r="288">
      <c r="A288" s="19" t="s">
        <v>1287</v>
      </c>
      <c r="B288" s="20">
        <v>70.0</v>
      </c>
      <c r="C288" s="20" t="s">
        <v>3090</v>
      </c>
      <c r="D288" s="41">
        <v>45629.0</v>
      </c>
    </row>
    <row r="289">
      <c r="A289" s="19" t="s">
        <v>1023</v>
      </c>
      <c r="B289" s="20">
        <v>70.0</v>
      </c>
      <c r="C289" s="20" t="s">
        <v>3091</v>
      </c>
      <c r="D289" s="41">
        <v>45629.0</v>
      </c>
    </row>
    <row r="290">
      <c r="A290" s="19" t="s">
        <v>1454</v>
      </c>
      <c r="B290" s="20">
        <v>65.0</v>
      </c>
      <c r="C290" s="20" t="s">
        <v>3092</v>
      </c>
      <c r="D290" s="41">
        <v>45629.0</v>
      </c>
    </row>
    <row r="291">
      <c r="A291" s="19" t="s">
        <v>1569</v>
      </c>
      <c r="B291" s="20">
        <v>65.0</v>
      </c>
      <c r="C291" s="20" t="s">
        <v>3093</v>
      </c>
      <c r="D291" s="41">
        <v>45629.0</v>
      </c>
    </row>
    <row r="292">
      <c r="A292" s="19" t="s">
        <v>1425</v>
      </c>
      <c r="B292" s="20">
        <v>65.0</v>
      </c>
      <c r="C292" s="20" t="s">
        <v>3094</v>
      </c>
      <c r="D292" s="41">
        <v>45629.0</v>
      </c>
    </row>
    <row r="293">
      <c r="A293" s="19" t="s">
        <v>342</v>
      </c>
      <c r="B293" s="20">
        <v>65.0</v>
      </c>
      <c r="C293" s="43" t="s">
        <v>3095</v>
      </c>
      <c r="D293" s="41">
        <v>45629.0</v>
      </c>
    </row>
    <row r="294">
      <c r="A294" s="19" t="s">
        <v>1441</v>
      </c>
      <c r="B294" s="20">
        <v>60.0</v>
      </c>
      <c r="C294" s="20" t="s">
        <v>3096</v>
      </c>
      <c r="D294" s="41">
        <v>45629.0</v>
      </c>
    </row>
    <row r="295">
      <c r="A295" s="19" t="s">
        <v>1291</v>
      </c>
      <c r="B295" s="20">
        <v>60.0</v>
      </c>
      <c r="C295" s="20" t="s">
        <v>3097</v>
      </c>
      <c r="D295" s="41">
        <v>45629.0</v>
      </c>
    </row>
    <row r="296">
      <c r="A296" s="19" t="s">
        <v>1421</v>
      </c>
      <c r="B296" s="20">
        <v>60.0</v>
      </c>
      <c r="C296" s="20" t="s">
        <v>3098</v>
      </c>
      <c r="D296" s="41">
        <v>45629.0</v>
      </c>
    </row>
    <row r="297">
      <c r="A297" s="19" t="s">
        <v>1149</v>
      </c>
      <c r="B297" s="20">
        <v>60.0</v>
      </c>
      <c r="C297" s="20" t="s">
        <v>3099</v>
      </c>
      <c r="D297" s="41">
        <v>45629.0</v>
      </c>
    </row>
    <row r="298">
      <c r="A298" s="19" t="s">
        <v>1391</v>
      </c>
      <c r="B298" s="20">
        <v>60.0</v>
      </c>
      <c r="C298" s="20" t="s">
        <v>3100</v>
      </c>
      <c r="D298" s="41">
        <v>45629.0</v>
      </c>
    </row>
    <row r="299">
      <c r="A299" s="19" t="s">
        <v>1551</v>
      </c>
      <c r="B299" s="20">
        <v>55.0</v>
      </c>
      <c r="C299" s="20" t="s">
        <v>3101</v>
      </c>
      <c r="D299" s="41">
        <v>45629.0</v>
      </c>
    </row>
    <row r="300">
      <c r="A300" s="19" t="s">
        <v>1091</v>
      </c>
      <c r="B300" s="20">
        <v>50.0</v>
      </c>
      <c r="C300" s="20" t="s">
        <v>3102</v>
      </c>
      <c r="D300" s="41">
        <v>45629.0</v>
      </c>
    </row>
    <row r="301">
      <c r="A301" s="19" t="s">
        <v>1562</v>
      </c>
      <c r="B301" s="20">
        <v>50.0</v>
      </c>
      <c r="C301" s="20" t="s">
        <v>3103</v>
      </c>
      <c r="D301" s="41">
        <v>45629.0</v>
      </c>
    </row>
    <row r="302">
      <c r="A302" s="19" t="s">
        <v>551</v>
      </c>
      <c r="B302" s="20">
        <v>50.0</v>
      </c>
      <c r="C302" s="20" t="s">
        <v>3104</v>
      </c>
      <c r="D302" s="41">
        <v>45629.0</v>
      </c>
    </row>
    <row r="303">
      <c r="A303" s="19" t="s">
        <v>1404</v>
      </c>
      <c r="B303" s="20">
        <v>50.0</v>
      </c>
      <c r="C303" s="20" t="s">
        <v>3105</v>
      </c>
      <c r="D303" s="41">
        <v>45629.0</v>
      </c>
    </row>
    <row r="304">
      <c r="A304" s="19" t="s">
        <v>244</v>
      </c>
      <c r="B304" s="20">
        <v>50.0</v>
      </c>
      <c r="C304" s="20" t="s">
        <v>3106</v>
      </c>
      <c r="D304" s="41">
        <v>45629.0</v>
      </c>
    </row>
    <row r="305">
      <c r="A305" s="19" t="s">
        <v>1212</v>
      </c>
      <c r="B305" s="20">
        <v>50.0</v>
      </c>
      <c r="C305" s="20" t="s">
        <v>3107</v>
      </c>
      <c r="D305" s="41">
        <v>45629.0</v>
      </c>
    </row>
    <row r="306">
      <c r="A306" s="19" t="s">
        <v>890</v>
      </c>
      <c r="B306" s="20">
        <v>50.0</v>
      </c>
      <c r="C306" s="20" t="s">
        <v>3108</v>
      </c>
      <c r="D306" s="41">
        <v>45629.0</v>
      </c>
    </row>
    <row r="307">
      <c r="A307" s="19" t="s">
        <v>855</v>
      </c>
      <c r="B307" s="20">
        <v>50.0</v>
      </c>
      <c r="C307" s="20" t="s">
        <v>3109</v>
      </c>
      <c r="D307" s="41">
        <v>45629.0</v>
      </c>
    </row>
    <row r="308">
      <c r="A308" s="19" t="s">
        <v>1613</v>
      </c>
      <c r="B308" s="20">
        <v>50.0</v>
      </c>
      <c r="C308" s="20" t="s">
        <v>3110</v>
      </c>
      <c r="D308" s="41">
        <v>45629.0</v>
      </c>
    </row>
    <row r="309">
      <c r="A309" s="19" t="s">
        <v>1179</v>
      </c>
      <c r="B309" s="20">
        <v>50.0</v>
      </c>
      <c r="C309" s="20" t="s">
        <v>3111</v>
      </c>
      <c r="D309" s="41">
        <v>45629.0</v>
      </c>
    </row>
    <row r="310">
      <c r="A310" s="19" t="s">
        <v>3112</v>
      </c>
      <c r="B310" s="20">
        <v>50.0</v>
      </c>
      <c r="C310" s="20" t="s">
        <v>3113</v>
      </c>
      <c r="D310" s="41">
        <v>45629.0</v>
      </c>
    </row>
    <row r="311">
      <c r="A311" s="19" t="s">
        <v>780</v>
      </c>
      <c r="B311" s="20">
        <v>50.0</v>
      </c>
      <c r="C311" s="20" t="s">
        <v>3114</v>
      </c>
      <c r="D311" s="41">
        <v>45629.0</v>
      </c>
    </row>
    <row r="312">
      <c r="A312" s="19" t="s">
        <v>980</v>
      </c>
      <c r="B312" s="20">
        <v>50.0</v>
      </c>
      <c r="C312" s="20" t="s">
        <v>3115</v>
      </c>
      <c r="D312" s="41">
        <v>45629.0</v>
      </c>
    </row>
    <row r="313">
      <c r="A313" s="19" t="s">
        <v>919</v>
      </c>
      <c r="B313" s="20">
        <v>50.0</v>
      </c>
      <c r="C313" s="20" t="s">
        <v>3116</v>
      </c>
      <c r="D313" s="41">
        <v>45629.0</v>
      </c>
    </row>
    <row r="314">
      <c r="A314" s="19" t="s">
        <v>139</v>
      </c>
      <c r="B314" s="20">
        <v>50.0</v>
      </c>
      <c r="C314" s="20" t="s">
        <v>3117</v>
      </c>
      <c r="D314" s="41">
        <v>45629.0</v>
      </c>
    </row>
    <row r="315">
      <c r="A315" s="19" t="s">
        <v>146</v>
      </c>
      <c r="B315" s="20">
        <v>50.0</v>
      </c>
      <c r="C315" s="20" t="s">
        <v>3118</v>
      </c>
      <c r="D315" s="41">
        <v>45629.0</v>
      </c>
    </row>
    <row r="316">
      <c r="A316" s="19" t="s">
        <v>1241</v>
      </c>
      <c r="B316" s="20">
        <v>50.0</v>
      </c>
      <c r="C316" s="20" t="s">
        <v>3119</v>
      </c>
      <c r="D316" s="41">
        <v>45629.0</v>
      </c>
    </row>
    <row r="317">
      <c r="A317" s="19" t="s">
        <v>1167</v>
      </c>
      <c r="B317" s="20">
        <v>50.0</v>
      </c>
      <c r="C317" s="20" t="s">
        <v>3120</v>
      </c>
      <c r="D317" s="41">
        <v>45629.0</v>
      </c>
    </row>
    <row r="318">
      <c r="A318" s="19" t="s">
        <v>792</v>
      </c>
      <c r="B318" s="20">
        <v>50.0</v>
      </c>
      <c r="C318" s="20" t="s">
        <v>3121</v>
      </c>
      <c r="D318" s="41">
        <v>45629.0</v>
      </c>
    </row>
    <row r="319">
      <c r="A319" s="19" t="s">
        <v>1596</v>
      </c>
      <c r="B319" s="20">
        <v>50.0</v>
      </c>
      <c r="C319" s="20" t="s">
        <v>3122</v>
      </c>
      <c r="D319" s="41">
        <v>45629.0</v>
      </c>
    </row>
    <row r="320">
      <c r="A320" s="19" t="s">
        <v>300</v>
      </c>
      <c r="B320" s="20">
        <v>50.0</v>
      </c>
      <c r="C320" s="20" t="s">
        <v>3123</v>
      </c>
      <c r="D320" s="41">
        <v>45629.0</v>
      </c>
    </row>
    <row r="321">
      <c r="A321" s="19" t="s">
        <v>1145</v>
      </c>
      <c r="B321" s="20">
        <v>50.0</v>
      </c>
      <c r="C321" s="20" t="s">
        <v>3124</v>
      </c>
      <c r="D321" s="41">
        <v>45629.0</v>
      </c>
    </row>
    <row r="322">
      <c r="A322" s="19" t="s">
        <v>1599</v>
      </c>
      <c r="B322" s="20">
        <v>50.0</v>
      </c>
      <c r="C322" s="20" t="s">
        <v>3125</v>
      </c>
      <c r="D322" s="41">
        <v>45629.0</v>
      </c>
    </row>
    <row r="323">
      <c r="A323" s="19" t="s">
        <v>893</v>
      </c>
      <c r="B323" s="20">
        <v>50.0</v>
      </c>
      <c r="C323" s="20" t="s">
        <v>3126</v>
      </c>
      <c r="D323" s="41">
        <v>45629.0</v>
      </c>
    </row>
    <row r="324">
      <c r="A324" s="19" t="s">
        <v>1437</v>
      </c>
      <c r="B324" s="20">
        <v>50.0</v>
      </c>
      <c r="C324" s="20" t="s">
        <v>3127</v>
      </c>
      <c r="D324" s="41">
        <v>45629.0</v>
      </c>
    </row>
    <row r="325">
      <c r="A325" s="19" t="s">
        <v>1195</v>
      </c>
      <c r="B325" s="20">
        <v>50.0</v>
      </c>
      <c r="C325" s="20" t="s">
        <v>3128</v>
      </c>
      <c r="D325" s="41">
        <v>45629.0</v>
      </c>
    </row>
    <row r="326">
      <c r="A326" s="19" t="s">
        <v>1321</v>
      </c>
      <c r="B326" s="20">
        <v>50.0</v>
      </c>
      <c r="C326" s="20" t="s">
        <v>3129</v>
      </c>
      <c r="D326" s="41">
        <v>45629.0</v>
      </c>
    </row>
    <row r="327">
      <c r="A327" s="19" t="s">
        <v>1470</v>
      </c>
      <c r="B327" s="20">
        <v>50.0</v>
      </c>
      <c r="C327" s="20" t="s">
        <v>3130</v>
      </c>
      <c r="D327" s="41">
        <v>45629.0</v>
      </c>
    </row>
    <row r="328">
      <c r="A328" s="19" t="s">
        <v>459</v>
      </c>
      <c r="B328" s="20">
        <v>50.0</v>
      </c>
      <c r="C328" s="20" t="s">
        <v>3131</v>
      </c>
      <c r="D328" s="41">
        <v>45629.0</v>
      </c>
    </row>
    <row r="329">
      <c r="A329" s="19" t="s">
        <v>1181</v>
      </c>
      <c r="B329" s="20">
        <v>50.0</v>
      </c>
      <c r="C329" s="20" t="s">
        <v>3132</v>
      </c>
      <c r="D329" s="41">
        <v>45629.0</v>
      </c>
    </row>
    <row r="330">
      <c r="A330" s="19" t="s">
        <v>1500</v>
      </c>
      <c r="B330" s="20">
        <v>50.0</v>
      </c>
      <c r="C330" s="20" t="s">
        <v>3133</v>
      </c>
      <c r="D330" s="41">
        <v>45629.0</v>
      </c>
    </row>
    <row r="331">
      <c r="A331" s="19" t="s">
        <v>1165</v>
      </c>
      <c r="B331" s="20">
        <v>50.0</v>
      </c>
      <c r="C331" s="20" t="s">
        <v>3134</v>
      </c>
      <c r="D331" s="41">
        <v>45629.0</v>
      </c>
    </row>
    <row r="332">
      <c r="A332" s="19" t="s">
        <v>1252</v>
      </c>
      <c r="B332" s="20">
        <v>50.0</v>
      </c>
      <c r="C332" s="20" t="s">
        <v>3135</v>
      </c>
      <c r="D332" s="41">
        <v>45629.0</v>
      </c>
    </row>
    <row r="333">
      <c r="A333" s="19" t="s">
        <v>1076</v>
      </c>
      <c r="B333" s="20">
        <v>50.0</v>
      </c>
      <c r="C333" s="20" t="s">
        <v>3136</v>
      </c>
      <c r="D333" s="41">
        <v>45629.0</v>
      </c>
    </row>
    <row r="334">
      <c r="A334" s="19" t="s">
        <v>1412</v>
      </c>
      <c r="B334" s="20">
        <v>50.0</v>
      </c>
      <c r="C334" s="20" t="s">
        <v>3137</v>
      </c>
      <c r="D334" s="41">
        <v>45629.0</v>
      </c>
    </row>
    <row r="335">
      <c r="A335" s="19" t="s">
        <v>1074</v>
      </c>
      <c r="B335" s="20">
        <v>50.0</v>
      </c>
      <c r="C335" s="20" t="s">
        <v>3138</v>
      </c>
      <c r="D335" s="41">
        <v>45629.0</v>
      </c>
    </row>
    <row r="336">
      <c r="A336" s="19" t="s">
        <v>843</v>
      </c>
      <c r="B336" s="20">
        <v>50.0</v>
      </c>
      <c r="C336" s="20" t="s">
        <v>3139</v>
      </c>
      <c r="D336" s="41">
        <v>45629.0</v>
      </c>
    </row>
    <row r="337">
      <c r="A337" s="19" t="s">
        <v>1305</v>
      </c>
      <c r="B337" s="20">
        <v>50.0</v>
      </c>
      <c r="C337" s="20" t="s">
        <v>3140</v>
      </c>
      <c r="D337" s="41">
        <v>45629.0</v>
      </c>
    </row>
    <row r="338">
      <c r="A338" s="19" t="s">
        <v>476</v>
      </c>
      <c r="B338" s="20">
        <v>50.0</v>
      </c>
      <c r="C338" s="20" t="s">
        <v>3141</v>
      </c>
      <c r="D338" s="41">
        <v>45629.0</v>
      </c>
    </row>
    <row r="339">
      <c r="A339" s="19" t="s">
        <v>1119</v>
      </c>
      <c r="B339" s="20">
        <v>50.0</v>
      </c>
      <c r="C339" s="20" t="s">
        <v>3142</v>
      </c>
      <c r="D339" s="41">
        <v>45629.0</v>
      </c>
    </row>
    <row r="340">
      <c r="A340" s="19" t="s">
        <v>1327</v>
      </c>
      <c r="B340" s="20">
        <v>50.0</v>
      </c>
      <c r="C340" s="20" t="s">
        <v>3143</v>
      </c>
      <c r="D340" s="41">
        <v>45629.0</v>
      </c>
    </row>
    <row r="341">
      <c r="A341" s="19" t="s">
        <v>1175</v>
      </c>
      <c r="B341" s="20">
        <v>50.0</v>
      </c>
      <c r="C341" s="20" t="s">
        <v>3144</v>
      </c>
      <c r="D341" s="41">
        <v>45629.0</v>
      </c>
    </row>
    <row r="342">
      <c r="A342" s="19" t="s">
        <v>1601</v>
      </c>
      <c r="B342" s="20">
        <v>50.0</v>
      </c>
      <c r="C342" s="20" t="s">
        <v>3145</v>
      </c>
      <c r="D342" s="41">
        <v>45629.0</v>
      </c>
    </row>
    <row r="343">
      <c r="A343" s="19" t="s">
        <v>1030</v>
      </c>
      <c r="B343" s="20">
        <v>50.0</v>
      </c>
      <c r="C343" s="20" t="s">
        <v>3146</v>
      </c>
      <c r="D343" s="41">
        <v>45629.0</v>
      </c>
    </row>
    <row r="344">
      <c r="A344" s="19" t="s">
        <v>14</v>
      </c>
      <c r="B344" s="20">
        <v>50.0</v>
      </c>
      <c r="C344" s="20" t="s">
        <v>3147</v>
      </c>
      <c r="D344" s="41">
        <v>45629.0</v>
      </c>
    </row>
    <row r="345">
      <c r="A345" s="19" t="s">
        <v>1307</v>
      </c>
      <c r="B345" s="20">
        <v>50.0</v>
      </c>
      <c r="C345" s="20" t="s">
        <v>3148</v>
      </c>
      <c r="D345" s="41">
        <v>45629.0</v>
      </c>
    </row>
    <row r="346">
      <c r="A346" s="19" t="s">
        <v>837</v>
      </c>
      <c r="B346" s="20">
        <v>50.0</v>
      </c>
      <c r="C346" s="20" t="s">
        <v>3149</v>
      </c>
      <c r="D346" s="41">
        <v>45629.0</v>
      </c>
    </row>
    <row r="347">
      <c r="A347" s="19" t="s">
        <v>1063</v>
      </c>
      <c r="B347" s="20">
        <v>50.0</v>
      </c>
      <c r="C347" s="20" t="s">
        <v>3150</v>
      </c>
      <c r="D347" s="41">
        <v>45629.0</v>
      </c>
    </row>
    <row r="348">
      <c r="A348" s="19" t="s">
        <v>868</v>
      </c>
      <c r="B348" s="20">
        <v>50.0</v>
      </c>
      <c r="C348" s="20" t="s">
        <v>3151</v>
      </c>
      <c r="D348" s="41">
        <v>45629.0</v>
      </c>
    </row>
    <row r="349">
      <c r="A349" s="19" t="s">
        <v>1338</v>
      </c>
      <c r="B349" s="20">
        <v>50.0</v>
      </c>
      <c r="C349" s="20" t="s">
        <v>3152</v>
      </c>
      <c r="D349" s="41">
        <v>45629.0</v>
      </c>
    </row>
    <row r="350">
      <c r="A350" s="19" t="s">
        <v>20</v>
      </c>
      <c r="B350" s="20">
        <v>50.0</v>
      </c>
      <c r="C350" s="20" t="s">
        <v>3153</v>
      </c>
      <c r="D350" s="41">
        <v>45629.0</v>
      </c>
    </row>
    <row r="351">
      <c r="A351" s="19" t="s">
        <v>1340</v>
      </c>
      <c r="B351" s="20">
        <v>50.0</v>
      </c>
      <c r="C351" s="20" t="s">
        <v>3154</v>
      </c>
      <c r="D351" s="41">
        <v>45629.0</v>
      </c>
    </row>
    <row r="352">
      <c r="A352" s="19" t="s">
        <v>1125</v>
      </c>
      <c r="B352" s="20">
        <v>50.0</v>
      </c>
      <c r="C352" s="20" t="s">
        <v>3155</v>
      </c>
      <c r="D352" s="41">
        <v>45629.0</v>
      </c>
    </row>
    <row r="353">
      <c r="A353" s="19" t="s">
        <v>1117</v>
      </c>
      <c r="B353" s="20">
        <v>50.0</v>
      </c>
      <c r="C353" s="20" t="s">
        <v>3156</v>
      </c>
      <c r="D353" s="41">
        <v>45629.0</v>
      </c>
    </row>
    <row r="354">
      <c r="A354" s="19" t="s">
        <v>49</v>
      </c>
      <c r="B354" s="20">
        <v>50.0</v>
      </c>
      <c r="C354" s="20" t="s">
        <v>3157</v>
      </c>
      <c r="D354" s="41">
        <v>45629.0</v>
      </c>
    </row>
    <row r="355">
      <c r="A355" s="19" t="s">
        <v>976</v>
      </c>
      <c r="B355" s="20">
        <v>50.0</v>
      </c>
      <c r="C355" s="20" t="s">
        <v>3158</v>
      </c>
      <c r="D355" s="41">
        <v>45629.0</v>
      </c>
    </row>
    <row r="356">
      <c r="A356" s="19" t="s">
        <v>1311</v>
      </c>
      <c r="B356" s="20">
        <v>50.0</v>
      </c>
      <c r="C356" s="20" t="s">
        <v>3159</v>
      </c>
      <c r="D356" s="41">
        <v>45629.0</v>
      </c>
    </row>
    <row r="357">
      <c r="A357" s="19" t="s">
        <v>168</v>
      </c>
      <c r="B357" s="20">
        <v>50.0</v>
      </c>
      <c r="C357" s="20" t="s">
        <v>3160</v>
      </c>
      <c r="D357" s="41">
        <v>45629.0</v>
      </c>
    </row>
    <row r="358">
      <c r="A358" s="19" t="s">
        <v>163</v>
      </c>
      <c r="B358" s="20">
        <v>50.0</v>
      </c>
      <c r="C358" s="20" t="s">
        <v>3161</v>
      </c>
      <c r="D358" s="41">
        <v>45629.0</v>
      </c>
    </row>
    <row r="359">
      <c r="A359" s="19" t="s">
        <v>1381</v>
      </c>
      <c r="B359" s="20">
        <v>50.0</v>
      </c>
      <c r="C359" s="20" t="s">
        <v>3162</v>
      </c>
      <c r="D359" s="41">
        <v>45629.0</v>
      </c>
    </row>
    <row r="360">
      <c r="A360" s="19" t="s">
        <v>1359</v>
      </c>
      <c r="B360" s="20">
        <v>50.0</v>
      </c>
      <c r="C360" s="20" t="s">
        <v>3163</v>
      </c>
      <c r="D360" s="41">
        <v>45629.0</v>
      </c>
    </row>
    <row r="361">
      <c r="A361" s="19" t="s">
        <v>1535</v>
      </c>
      <c r="B361" s="20">
        <v>50.0</v>
      </c>
      <c r="C361" s="20" t="s">
        <v>3164</v>
      </c>
      <c r="D361" s="41">
        <v>45629.0</v>
      </c>
    </row>
    <row r="362">
      <c r="A362" s="19" t="s">
        <v>913</v>
      </c>
      <c r="B362" s="20">
        <v>50.0</v>
      </c>
      <c r="C362" s="20" t="s">
        <v>3165</v>
      </c>
      <c r="D362" s="41">
        <v>45629.0</v>
      </c>
    </row>
    <row r="363">
      <c r="A363" s="19" t="s">
        <v>1204</v>
      </c>
      <c r="B363" s="20">
        <v>50.0</v>
      </c>
      <c r="C363" s="20" t="s">
        <v>3166</v>
      </c>
      <c r="D363" s="41">
        <v>45629.0</v>
      </c>
    </row>
    <row r="364">
      <c r="A364" s="19" t="s">
        <v>165</v>
      </c>
      <c r="B364" s="20">
        <v>50.0</v>
      </c>
      <c r="C364" s="20" t="s">
        <v>3167</v>
      </c>
      <c r="D364" s="41">
        <v>45629.0</v>
      </c>
    </row>
    <row r="365">
      <c r="A365" s="19" t="s">
        <v>1089</v>
      </c>
      <c r="B365" s="20">
        <v>50.0</v>
      </c>
      <c r="C365" s="20" t="s">
        <v>3168</v>
      </c>
      <c r="D365" s="41">
        <v>45629.0</v>
      </c>
    </row>
    <row r="366">
      <c r="A366" s="19" t="s">
        <v>1460</v>
      </c>
      <c r="B366" s="20">
        <v>50.0</v>
      </c>
      <c r="C366" s="20" t="s">
        <v>3169</v>
      </c>
      <c r="D366" s="41">
        <v>45629.0</v>
      </c>
    </row>
    <row r="367">
      <c r="A367" s="19" t="s">
        <v>823</v>
      </c>
      <c r="B367" s="20">
        <v>50.0</v>
      </c>
      <c r="C367" s="20" t="s">
        <v>3170</v>
      </c>
      <c r="D367" s="41">
        <v>45629.0</v>
      </c>
    </row>
    <row r="368">
      <c r="A368" s="19" t="s">
        <v>851</v>
      </c>
      <c r="B368" s="20">
        <v>50.0</v>
      </c>
      <c r="C368" s="20" t="s">
        <v>3171</v>
      </c>
      <c r="D368" s="41">
        <v>45629.0</v>
      </c>
    </row>
    <row r="369">
      <c r="A369" s="19" t="s">
        <v>38</v>
      </c>
      <c r="B369" s="20">
        <v>50.0</v>
      </c>
      <c r="C369" s="20" t="s">
        <v>3172</v>
      </c>
      <c r="D369" s="41">
        <v>45629.0</v>
      </c>
    </row>
    <row r="370">
      <c r="A370" s="19" t="s">
        <v>927</v>
      </c>
      <c r="B370" s="20">
        <v>50.0</v>
      </c>
      <c r="C370" s="20" t="s">
        <v>3173</v>
      </c>
      <c r="D370" s="41">
        <v>45629.0</v>
      </c>
    </row>
    <row r="371">
      <c r="A371" s="19" t="s">
        <v>1383</v>
      </c>
      <c r="B371" s="20">
        <v>50.0</v>
      </c>
      <c r="C371" s="20" t="s">
        <v>3174</v>
      </c>
      <c r="D371" s="41">
        <v>45629.0</v>
      </c>
    </row>
    <row r="372">
      <c r="A372" s="19" t="s">
        <v>1331</v>
      </c>
      <c r="B372" s="20">
        <v>50.0</v>
      </c>
      <c r="C372" s="20" t="s">
        <v>3175</v>
      </c>
      <c r="D372" s="41">
        <v>45629.0</v>
      </c>
    </row>
    <row r="373">
      <c r="A373" s="19" t="s">
        <v>1387</v>
      </c>
      <c r="B373" s="20">
        <v>50.0</v>
      </c>
      <c r="C373" s="20" t="s">
        <v>3176</v>
      </c>
      <c r="D373" s="41">
        <v>45629.0</v>
      </c>
    </row>
    <row r="374">
      <c r="A374" s="19" t="s">
        <v>947</v>
      </c>
      <c r="B374" s="20">
        <v>50.0</v>
      </c>
      <c r="C374" s="20" t="s">
        <v>3177</v>
      </c>
      <c r="D374" s="41">
        <v>45629.0</v>
      </c>
    </row>
    <row r="375">
      <c r="A375" s="19" t="s">
        <v>1329</v>
      </c>
      <c r="B375" s="20">
        <v>50.0</v>
      </c>
      <c r="C375" s="20" t="s">
        <v>3178</v>
      </c>
      <c r="D375" s="41">
        <v>45629.0</v>
      </c>
    </row>
    <row r="376">
      <c r="A376" s="19" t="s">
        <v>1520</v>
      </c>
      <c r="B376" s="20">
        <v>50.0</v>
      </c>
      <c r="C376" s="20" t="s">
        <v>3179</v>
      </c>
      <c r="D376" s="41">
        <v>45629.0</v>
      </c>
    </row>
    <row r="377">
      <c r="A377" s="19" t="s">
        <v>1416</v>
      </c>
      <c r="B377" s="20">
        <v>50.0</v>
      </c>
      <c r="C377" s="20" t="s">
        <v>3180</v>
      </c>
      <c r="D377" s="41">
        <v>45629.0</v>
      </c>
    </row>
    <row r="378">
      <c r="A378" s="19" t="s">
        <v>870</v>
      </c>
      <c r="B378" s="20">
        <v>50.0</v>
      </c>
      <c r="C378" s="20" t="s">
        <v>3181</v>
      </c>
      <c r="D378" s="41">
        <v>45629.0</v>
      </c>
    </row>
    <row r="379">
      <c r="A379" s="19" t="s">
        <v>355</v>
      </c>
      <c r="B379" s="20">
        <v>50.0</v>
      </c>
      <c r="C379" s="20" t="s">
        <v>3182</v>
      </c>
      <c r="D379" s="41">
        <v>45629.0</v>
      </c>
    </row>
    <row r="380">
      <c r="A380" s="19" t="s">
        <v>1357</v>
      </c>
      <c r="B380" s="20">
        <v>50.0</v>
      </c>
      <c r="C380" s="20" t="s">
        <v>3183</v>
      </c>
      <c r="D380" s="41">
        <v>45629.0</v>
      </c>
    </row>
    <row r="381">
      <c r="A381" s="19" t="s">
        <v>829</v>
      </c>
      <c r="B381" s="20">
        <v>50.0</v>
      </c>
      <c r="C381" s="20" t="s">
        <v>3184</v>
      </c>
      <c r="D381" s="41">
        <v>45629.0</v>
      </c>
    </row>
    <row r="382">
      <c r="A382" s="19" t="s">
        <v>1069</v>
      </c>
      <c r="B382" s="20">
        <v>50.0</v>
      </c>
      <c r="C382" s="20" t="s">
        <v>3185</v>
      </c>
      <c r="D382" s="41">
        <v>45629.0</v>
      </c>
    </row>
    <row r="383">
      <c r="A383" s="19" t="s">
        <v>991</v>
      </c>
      <c r="B383" s="20">
        <v>50.0</v>
      </c>
      <c r="C383" s="20" t="s">
        <v>3186</v>
      </c>
      <c r="D383" s="41">
        <v>45629.0</v>
      </c>
    </row>
    <row r="384">
      <c r="A384" s="19" t="s">
        <v>1260</v>
      </c>
      <c r="B384" s="20">
        <v>50.0</v>
      </c>
      <c r="C384" s="20" t="s">
        <v>3187</v>
      </c>
      <c r="D384" s="41">
        <v>45629.0</v>
      </c>
    </row>
    <row r="385">
      <c r="A385" s="19" t="s">
        <v>1435</v>
      </c>
      <c r="B385" s="20">
        <v>50.0</v>
      </c>
      <c r="C385" s="20" t="s">
        <v>3188</v>
      </c>
      <c r="D385" s="41">
        <v>45629.0</v>
      </c>
    </row>
    <row r="386">
      <c r="A386" s="19" t="s">
        <v>1402</v>
      </c>
      <c r="B386" s="20">
        <v>50.0</v>
      </c>
      <c r="C386" s="20" t="s">
        <v>3189</v>
      </c>
      <c r="D386" s="41">
        <v>45629.0</v>
      </c>
    </row>
    <row r="387">
      <c r="A387" s="19" t="s">
        <v>915</v>
      </c>
      <c r="B387" s="20">
        <v>50.0</v>
      </c>
      <c r="C387" s="20" t="s">
        <v>3190</v>
      </c>
      <c r="D387" s="41">
        <v>45629.0</v>
      </c>
    </row>
    <row r="388">
      <c r="A388" s="19" t="s">
        <v>917</v>
      </c>
      <c r="B388" s="20">
        <v>50.0</v>
      </c>
      <c r="C388" s="20" t="s">
        <v>3191</v>
      </c>
      <c r="D388" s="41">
        <v>45629.0</v>
      </c>
    </row>
    <row r="389">
      <c r="A389" s="19" t="s">
        <v>1528</v>
      </c>
      <c r="B389" s="20">
        <v>50.0</v>
      </c>
      <c r="C389" s="20" t="s">
        <v>3192</v>
      </c>
      <c r="D389" s="41">
        <v>45629.0</v>
      </c>
    </row>
    <row r="390">
      <c r="A390" s="19" t="s">
        <v>197</v>
      </c>
      <c r="B390" s="20">
        <v>50.0</v>
      </c>
      <c r="C390" s="20" t="s">
        <v>3193</v>
      </c>
      <c r="D390" s="41">
        <v>45629.0</v>
      </c>
    </row>
    <row r="391">
      <c r="A391" s="19" t="s">
        <v>1526</v>
      </c>
      <c r="B391" s="20">
        <v>50.0</v>
      </c>
      <c r="C391" s="20" t="s">
        <v>3194</v>
      </c>
      <c r="D391" s="41">
        <v>45629.0</v>
      </c>
    </row>
    <row r="392">
      <c r="A392" s="19" t="s">
        <v>127</v>
      </c>
      <c r="B392" s="20">
        <v>50.0</v>
      </c>
      <c r="C392" s="20" t="s">
        <v>3195</v>
      </c>
      <c r="D392" s="41">
        <v>45629.0</v>
      </c>
    </row>
    <row r="393">
      <c r="A393" s="19" t="s">
        <v>93</v>
      </c>
      <c r="B393" s="20">
        <v>50.0</v>
      </c>
      <c r="C393" s="20" t="s">
        <v>3196</v>
      </c>
      <c r="D393" s="41">
        <v>45629.0</v>
      </c>
    </row>
    <row r="394">
      <c r="A394" s="19" t="s">
        <v>101</v>
      </c>
      <c r="B394" s="20">
        <v>50.0</v>
      </c>
      <c r="C394" s="20" t="s">
        <v>3197</v>
      </c>
      <c r="D394" s="41">
        <v>45629.0</v>
      </c>
    </row>
    <row r="395">
      <c r="A395" s="19" t="s">
        <v>1107</v>
      </c>
      <c r="B395" s="20">
        <v>50.0</v>
      </c>
      <c r="C395" s="20" t="s">
        <v>3198</v>
      </c>
      <c r="D395" s="41">
        <v>45629.0</v>
      </c>
    </row>
    <row r="396">
      <c r="A396" s="19" t="s">
        <v>1564</v>
      </c>
      <c r="B396" s="20">
        <v>50.0</v>
      </c>
      <c r="C396" s="20" t="s">
        <v>3199</v>
      </c>
      <c r="D396" s="41">
        <v>45629.0</v>
      </c>
    </row>
    <row r="397">
      <c r="A397" s="19" t="s">
        <v>1243</v>
      </c>
      <c r="B397" s="20">
        <v>50.0</v>
      </c>
      <c r="C397" s="20" t="s">
        <v>3200</v>
      </c>
      <c r="D397" s="41">
        <v>45629.0</v>
      </c>
    </row>
    <row r="398">
      <c r="A398" s="19" t="s">
        <v>906</v>
      </c>
      <c r="B398" s="20">
        <v>50.0</v>
      </c>
      <c r="C398" s="20" t="s">
        <v>3201</v>
      </c>
      <c r="D398" s="41">
        <v>45629.0</v>
      </c>
    </row>
    <row r="399">
      <c r="A399" s="19" t="s">
        <v>1365</v>
      </c>
      <c r="B399" s="20">
        <v>50.0</v>
      </c>
      <c r="C399" s="20" t="s">
        <v>3202</v>
      </c>
      <c r="D399" s="41">
        <v>45629.0</v>
      </c>
    </row>
    <row r="400">
      <c r="A400" s="19" t="s">
        <v>1161</v>
      </c>
      <c r="B400" s="20">
        <v>50.0</v>
      </c>
      <c r="C400" s="20" t="s">
        <v>3203</v>
      </c>
      <c r="D400" s="41">
        <v>45629.0</v>
      </c>
    </row>
    <row r="401">
      <c r="A401" s="19" t="s">
        <v>1367</v>
      </c>
      <c r="B401" s="20">
        <v>50.0</v>
      </c>
      <c r="C401" s="20" t="s">
        <v>3204</v>
      </c>
      <c r="D401" s="41">
        <v>45629.0</v>
      </c>
    </row>
    <row r="402">
      <c r="A402" s="19" t="s">
        <v>795</v>
      </c>
      <c r="B402" s="20">
        <v>50.0</v>
      </c>
      <c r="C402" s="20" t="s">
        <v>3205</v>
      </c>
      <c r="D402" s="41">
        <v>45629.0</v>
      </c>
    </row>
    <row r="403">
      <c r="A403" s="19" t="s">
        <v>1379</v>
      </c>
      <c r="B403" s="20">
        <v>50.0</v>
      </c>
      <c r="C403" s="20" t="s">
        <v>3206</v>
      </c>
      <c r="D403" s="41">
        <v>45629.0</v>
      </c>
    </row>
    <row r="404">
      <c r="A404" s="19" t="s">
        <v>144</v>
      </c>
      <c r="B404" s="20">
        <v>50.0</v>
      </c>
      <c r="C404" s="20" t="s">
        <v>3207</v>
      </c>
      <c r="D404" s="41">
        <v>45629.0</v>
      </c>
    </row>
    <row r="405">
      <c r="A405" s="19" t="s">
        <v>1147</v>
      </c>
      <c r="B405" s="20">
        <v>50.0</v>
      </c>
      <c r="C405" s="20" t="s">
        <v>3208</v>
      </c>
      <c r="D405" s="41">
        <v>45629.0</v>
      </c>
    </row>
    <row r="406">
      <c r="A406" s="19" t="s">
        <v>1248</v>
      </c>
      <c r="B406" s="20">
        <v>50.0</v>
      </c>
      <c r="C406" s="20" t="s">
        <v>3209</v>
      </c>
      <c r="D406" s="41">
        <v>45629.0</v>
      </c>
    </row>
    <row r="407">
      <c r="A407" s="19" t="s">
        <v>1361</v>
      </c>
      <c r="B407" s="20">
        <v>50.0</v>
      </c>
      <c r="C407" s="20" t="s">
        <v>3210</v>
      </c>
      <c r="D407" s="41">
        <v>45629.0</v>
      </c>
    </row>
    <row r="408">
      <c r="A408" s="19" t="s">
        <v>1104</v>
      </c>
      <c r="B408" s="20">
        <v>50.0</v>
      </c>
      <c r="C408" s="20" t="s">
        <v>3211</v>
      </c>
      <c r="D408" s="41">
        <v>45629.0</v>
      </c>
    </row>
    <row r="409">
      <c r="A409" s="19" t="s">
        <v>1555</v>
      </c>
      <c r="B409" s="20">
        <v>50.0</v>
      </c>
      <c r="C409" s="20" t="s">
        <v>3212</v>
      </c>
      <c r="D409" s="41">
        <v>45629.0</v>
      </c>
    </row>
    <row r="410">
      <c r="A410" s="19" t="s">
        <v>1293</v>
      </c>
      <c r="B410" s="20">
        <v>50.0</v>
      </c>
      <c r="C410" s="20" t="s">
        <v>3213</v>
      </c>
      <c r="D410" s="41">
        <v>45629.0</v>
      </c>
    </row>
    <row r="411">
      <c r="A411" s="19" t="s">
        <v>1250</v>
      </c>
      <c r="B411" s="20">
        <v>50.0</v>
      </c>
      <c r="C411" s="20" t="s">
        <v>3214</v>
      </c>
      <c r="D411" s="41">
        <v>45629.0</v>
      </c>
    </row>
    <row r="412">
      <c r="A412" s="19" t="s">
        <v>864</v>
      </c>
      <c r="B412" s="20">
        <v>50.0</v>
      </c>
      <c r="C412" s="20" t="s">
        <v>3215</v>
      </c>
      <c r="D412" s="41">
        <v>45629.0</v>
      </c>
    </row>
    <row r="413">
      <c r="A413" s="19" t="s">
        <v>1458</v>
      </c>
      <c r="B413" s="20">
        <v>50.0</v>
      </c>
      <c r="C413" s="20" t="s">
        <v>3216</v>
      </c>
      <c r="D413" s="41">
        <v>45629.0</v>
      </c>
    </row>
    <row r="414">
      <c r="A414" s="19" t="s">
        <v>1301</v>
      </c>
      <c r="B414" s="20">
        <v>40.0</v>
      </c>
      <c r="C414" s="20" t="s">
        <v>3217</v>
      </c>
      <c r="D414" s="41">
        <v>45629.0</v>
      </c>
    </row>
    <row r="415">
      <c r="A415" s="19" t="s">
        <v>1641</v>
      </c>
      <c r="B415" s="20">
        <v>40.0</v>
      </c>
      <c r="C415" s="20" t="s">
        <v>3218</v>
      </c>
      <c r="D415" s="41">
        <v>45629.0</v>
      </c>
    </row>
    <row r="416">
      <c r="A416" s="19" t="s">
        <v>1427</v>
      </c>
      <c r="B416" s="20">
        <v>40.0</v>
      </c>
      <c r="C416" s="20" t="s">
        <v>3219</v>
      </c>
      <c r="D416" s="41">
        <v>45629.0</v>
      </c>
    </row>
    <row r="417">
      <c r="A417" s="19" t="s">
        <v>1429</v>
      </c>
      <c r="B417" s="20">
        <v>40.0</v>
      </c>
      <c r="C417" s="20" t="s">
        <v>3220</v>
      </c>
      <c r="D417" s="41">
        <v>45629.0</v>
      </c>
    </row>
    <row r="418">
      <c r="A418" s="19" t="s">
        <v>1067</v>
      </c>
      <c r="B418" s="44"/>
      <c r="C418" s="20" t="s">
        <v>3221</v>
      </c>
      <c r="D418" s="41">
        <v>45629.0</v>
      </c>
    </row>
    <row r="419">
      <c r="A419" s="19" t="s">
        <v>951</v>
      </c>
      <c r="B419" s="44"/>
      <c r="C419" s="20" t="s">
        <v>3222</v>
      </c>
      <c r="D419" s="41">
        <v>45629.0</v>
      </c>
    </row>
    <row r="420">
      <c r="A420" s="19" t="s">
        <v>243</v>
      </c>
      <c r="B420" s="44"/>
      <c r="C420" s="20" t="s">
        <v>3223</v>
      </c>
      <c r="D420" s="41">
        <v>45629.0</v>
      </c>
    </row>
    <row r="421">
      <c r="A421" s="19" t="s">
        <v>1485</v>
      </c>
      <c r="B421" s="44"/>
      <c r="C421" s="20" t="s">
        <v>3224</v>
      </c>
      <c r="D421" s="41">
        <v>45629.0</v>
      </c>
    </row>
    <row r="422">
      <c r="A422" s="19" t="s">
        <v>1059</v>
      </c>
      <c r="B422" s="44"/>
      <c r="C422" s="20" t="s">
        <v>3225</v>
      </c>
      <c r="D422" s="41">
        <v>45629.0</v>
      </c>
    </row>
    <row r="423">
      <c r="A423" s="19" t="s">
        <v>1229</v>
      </c>
      <c r="B423" s="44"/>
      <c r="C423" s="20" t="s">
        <v>3226</v>
      </c>
      <c r="D423" s="41">
        <v>45629.0</v>
      </c>
    </row>
    <row r="424">
      <c r="A424" s="19" t="s">
        <v>1389</v>
      </c>
      <c r="B424" s="44"/>
      <c r="C424" s="20" t="s">
        <v>3227</v>
      </c>
      <c r="D424" s="41">
        <v>45629.0</v>
      </c>
    </row>
    <row r="425">
      <c r="A425" s="19" t="s">
        <v>180</v>
      </c>
      <c r="B425" s="44"/>
      <c r="C425" s="20" t="s">
        <v>3228</v>
      </c>
      <c r="D425" s="41">
        <v>45629.0</v>
      </c>
    </row>
    <row r="426">
      <c r="A426" s="19" t="s">
        <v>296</v>
      </c>
      <c r="B426" s="44"/>
      <c r="C426" s="20" t="s">
        <v>3229</v>
      </c>
      <c r="D426" s="41">
        <v>45629.0</v>
      </c>
    </row>
    <row r="427">
      <c r="A427" s="19" t="s">
        <v>1452</v>
      </c>
      <c r="B427" s="44"/>
      <c r="C427" s="20" t="s">
        <v>3230</v>
      </c>
      <c r="D427" s="41">
        <v>45629.0</v>
      </c>
    </row>
    <row r="428">
      <c r="A428" s="19" t="s">
        <v>1157</v>
      </c>
      <c r="B428" s="44"/>
      <c r="C428" s="20" t="s">
        <v>3231</v>
      </c>
      <c r="D428" s="41">
        <v>45629.0</v>
      </c>
    </row>
    <row r="429">
      <c r="A429" s="19" t="s">
        <v>1019</v>
      </c>
      <c r="B429" s="44"/>
      <c r="C429" s="20" t="s">
        <v>3232</v>
      </c>
      <c r="D429" s="41">
        <v>45629.0</v>
      </c>
    </row>
    <row r="430">
      <c r="A430" s="19" t="s">
        <v>1406</v>
      </c>
      <c r="B430" s="44"/>
      <c r="C430" s="20" t="s">
        <v>3233</v>
      </c>
      <c r="D430" s="41">
        <v>45629.0</v>
      </c>
    </row>
    <row r="431">
      <c r="A431" s="19" t="s">
        <v>1400</v>
      </c>
      <c r="B431" s="44"/>
      <c r="C431" s="20" t="s">
        <v>3234</v>
      </c>
      <c r="D431" s="41">
        <v>45629.0</v>
      </c>
    </row>
    <row r="432">
      <c r="A432" s="19" t="s">
        <v>1508</v>
      </c>
      <c r="B432" s="44"/>
      <c r="C432" s="20" t="s">
        <v>3235</v>
      </c>
      <c r="D432" s="41">
        <v>45629.0</v>
      </c>
    </row>
    <row r="433">
      <c r="A433" s="19" t="s">
        <v>3236</v>
      </c>
      <c r="B433" s="44"/>
      <c r="C433" s="20" t="s">
        <v>3237</v>
      </c>
      <c r="D433" s="41">
        <v>45629.0</v>
      </c>
    </row>
    <row r="434">
      <c r="A434" s="19" t="s">
        <v>51</v>
      </c>
      <c r="B434" s="44"/>
      <c r="C434" s="20" t="s">
        <v>3238</v>
      </c>
      <c r="D434" s="41">
        <v>45629.0</v>
      </c>
    </row>
    <row r="435">
      <c r="A435" s="19" t="s">
        <v>888</v>
      </c>
      <c r="B435" s="44"/>
      <c r="C435" s="20" t="s">
        <v>3239</v>
      </c>
      <c r="D435" s="41">
        <v>45629.0</v>
      </c>
    </row>
    <row r="436">
      <c r="A436" s="19" t="s">
        <v>1513</v>
      </c>
      <c r="B436" s="44"/>
      <c r="C436" s="20" t="s">
        <v>3240</v>
      </c>
      <c r="D436" s="41">
        <v>45629.0</v>
      </c>
    </row>
    <row r="437">
      <c r="A437" s="19" t="s">
        <v>1515</v>
      </c>
      <c r="B437" s="44"/>
      <c r="C437" s="20" t="s">
        <v>3241</v>
      </c>
      <c r="D437" s="41">
        <v>45629.0</v>
      </c>
    </row>
    <row r="438">
      <c r="A438" s="19" t="s">
        <v>1193</v>
      </c>
      <c r="B438" s="44"/>
      <c r="C438" s="20" t="s">
        <v>3242</v>
      </c>
      <c r="D438" s="41">
        <v>45629.0</v>
      </c>
    </row>
    <row r="439">
      <c r="A439" s="19" t="s">
        <v>1522</v>
      </c>
      <c r="B439" s="44"/>
      <c r="C439" s="20" t="s">
        <v>3243</v>
      </c>
      <c r="D439" s="41">
        <v>45629.0</v>
      </c>
    </row>
    <row r="440">
      <c r="A440" s="19" t="s">
        <v>1256</v>
      </c>
      <c r="B440" s="44"/>
      <c r="C440" s="20" t="s">
        <v>3244</v>
      </c>
      <c r="D440" s="41">
        <v>45629.0</v>
      </c>
    </row>
    <row r="441">
      <c r="A441" s="19" t="s">
        <v>143</v>
      </c>
      <c r="B441" s="44"/>
      <c r="C441" s="20" t="s">
        <v>3245</v>
      </c>
      <c r="D441" s="41">
        <v>45629.0</v>
      </c>
    </row>
    <row r="442">
      <c r="A442" s="19" t="s">
        <v>949</v>
      </c>
      <c r="B442" s="44"/>
      <c r="C442" s="20" t="s">
        <v>3246</v>
      </c>
      <c r="D442" s="41">
        <v>45629.0</v>
      </c>
    </row>
    <row r="443">
      <c r="A443" s="19" t="s">
        <v>1336</v>
      </c>
      <c r="B443" s="44"/>
      <c r="C443" s="20" t="s">
        <v>3247</v>
      </c>
      <c r="D443" s="41">
        <v>45629.0</v>
      </c>
    </row>
    <row r="444">
      <c r="A444" s="19" t="s">
        <v>1191</v>
      </c>
      <c r="B444" s="44"/>
      <c r="C444" s="20" t="s">
        <v>3248</v>
      </c>
      <c r="D444" s="41">
        <v>45629.0</v>
      </c>
    </row>
    <row r="445">
      <c r="A445" s="19" t="s">
        <v>1439</v>
      </c>
      <c r="B445" s="44"/>
      <c r="C445" s="20" t="s">
        <v>3249</v>
      </c>
      <c r="D445" s="41">
        <v>45629.0</v>
      </c>
    </row>
    <row r="446">
      <c r="A446" s="19" t="s">
        <v>1530</v>
      </c>
      <c r="B446" s="44"/>
      <c r="C446" s="20" t="s">
        <v>3250</v>
      </c>
      <c r="D446" s="41">
        <v>45629.0</v>
      </c>
    </row>
    <row r="447">
      <c r="A447" s="19" t="s">
        <v>1533</v>
      </c>
      <c r="B447" s="44"/>
      <c r="C447" s="20" t="s">
        <v>3251</v>
      </c>
      <c r="D447" s="41">
        <v>45629.0</v>
      </c>
    </row>
    <row r="448">
      <c r="A448" s="19" t="s">
        <v>1043</v>
      </c>
      <c r="B448" s="44"/>
      <c r="C448" s="20" t="s">
        <v>3252</v>
      </c>
      <c r="D448" s="41">
        <v>45629.0</v>
      </c>
    </row>
    <row r="449">
      <c r="A449" s="19" t="s">
        <v>1206</v>
      </c>
      <c r="B449" s="44"/>
      <c r="C449" s="20" t="s">
        <v>3253</v>
      </c>
      <c r="D449" s="41">
        <v>45629.0</v>
      </c>
    </row>
    <row r="450">
      <c r="A450" s="19" t="s">
        <v>1264</v>
      </c>
      <c r="B450" s="44"/>
      <c r="C450" s="20" t="s">
        <v>3254</v>
      </c>
      <c r="D450" s="41">
        <v>45629.0</v>
      </c>
    </row>
    <row r="451">
      <c r="A451" s="19" t="s">
        <v>1315</v>
      </c>
      <c r="B451" s="44"/>
      <c r="C451" s="20" t="s">
        <v>3255</v>
      </c>
      <c r="D451" s="41">
        <v>45629.0</v>
      </c>
    </row>
    <row r="452">
      <c r="A452" s="19" t="s">
        <v>995</v>
      </c>
      <c r="B452" s="44"/>
      <c r="C452" s="20" t="s">
        <v>3256</v>
      </c>
      <c r="D452" s="41">
        <v>45629.0</v>
      </c>
    </row>
    <row r="453">
      <c r="A453" s="19" t="s">
        <v>145</v>
      </c>
      <c r="B453" s="44"/>
      <c r="C453" s="20" t="s">
        <v>3257</v>
      </c>
      <c r="D453" s="41">
        <v>45629.0</v>
      </c>
    </row>
    <row r="454">
      <c r="A454" s="19" t="s">
        <v>1123</v>
      </c>
      <c r="B454" s="44"/>
      <c r="C454" s="20" t="s">
        <v>3258</v>
      </c>
      <c r="D454" s="41">
        <v>45629.0</v>
      </c>
    </row>
    <row r="455">
      <c r="A455" s="19" t="s">
        <v>1121</v>
      </c>
      <c r="B455" s="44"/>
      <c r="C455" s="20" t="s">
        <v>3259</v>
      </c>
      <c r="D455" s="41">
        <v>45629.0</v>
      </c>
    </row>
    <row r="456">
      <c r="A456" s="19" t="s">
        <v>1285</v>
      </c>
      <c r="B456" s="44"/>
      <c r="C456" s="20" t="s">
        <v>3260</v>
      </c>
      <c r="D456" s="41">
        <v>45629.0</v>
      </c>
    </row>
    <row r="457">
      <c r="A457" s="19" t="s">
        <v>1547</v>
      </c>
      <c r="B457" s="44"/>
      <c r="C457" s="20" t="s">
        <v>3261</v>
      </c>
      <c r="D457" s="41">
        <v>45629.0</v>
      </c>
    </row>
    <row r="458">
      <c r="A458" s="19" t="s">
        <v>1102</v>
      </c>
      <c r="B458" s="44"/>
      <c r="C458" s="20" t="s">
        <v>3262</v>
      </c>
      <c r="D458" s="41">
        <v>45629.0</v>
      </c>
    </row>
    <row r="459">
      <c r="A459" s="19" t="s">
        <v>845</v>
      </c>
      <c r="B459" s="44"/>
      <c r="C459" s="20" t="s">
        <v>3263</v>
      </c>
      <c r="D459" s="41">
        <v>45629.0</v>
      </c>
    </row>
    <row r="460">
      <c r="A460" s="19" t="s">
        <v>95</v>
      </c>
      <c r="B460" s="44"/>
      <c r="C460" s="20" t="s">
        <v>3264</v>
      </c>
      <c r="D460" s="41">
        <v>45629.0</v>
      </c>
    </row>
    <row r="461">
      <c r="A461" s="19" t="s">
        <v>1423</v>
      </c>
      <c r="B461" s="44"/>
      <c r="C461" s="20" t="s">
        <v>3265</v>
      </c>
      <c r="D461" s="41">
        <v>45629.0</v>
      </c>
    </row>
    <row r="462">
      <c r="A462" s="19" t="s">
        <v>1273</v>
      </c>
      <c r="B462" s="44"/>
      <c r="C462" s="20" t="s">
        <v>3266</v>
      </c>
      <c r="D462" s="41">
        <v>45629.0</v>
      </c>
    </row>
    <row r="463">
      <c r="A463" s="19" t="s">
        <v>1558</v>
      </c>
      <c r="B463" s="44"/>
      <c r="C463" s="20" t="s">
        <v>3267</v>
      </c>
      <c r="D463" s="41">
        <v>45629.0</v>
      </c>
    </row>
    <row r="464">
      <c r="A464" s="19" t="s">
        <v>1431</v>
      </c>
      <c r="B464" s="44"/>
      <c r="C464" s="20" t="s">
        <v>3268</v>
      </c>
      <c r="D464" s="41">
        <v>45629.0</v>
      </c>
    </row>
    <row r="465">
      <c r="A465" s="19" t="s">
        <v>1462</v>
      </c>
      <c r="B465" s="44"/>
      <c r="C465" s="20" t="s">
        <v>3269</v>
      </c>
      <c r="D465" s="41">
        <v>45629.0</v>
      </c>
    </row>
    <row r="466">
      <c r="A466" s="19" t="s">
        <v>1385</v>
      </c>
      <c r="B466" s="44"/>
      <c r="C466" s="20" t="s">
        <v>3270</v>
      </c>
      <c r="D466" s="41">
        <v>45629.0</v>
      </c>
    </row>
    <row r="467">
      <c r="A467" s="19" t="s">
        <v>232</v>
      </c>
      <c r="B467" s="44"/>
      <c r="C467" s="20" t="s">
        <v>3271</v>
      </c>
      <c r="D467" s="41">
        <v>45629.0</v>
      </c>
    </row>
    <row r="468">
      <c r="A468" s="19" t="s">
        <v>1575</v>
      </c>
      <c r="B468" s="44"/>
      <c r="C468" s="20" t="s">
        <v>3272</v>
      </c>
      <c r="D468" s="41">
        <v>45629.0</v>
      </c>
    </row>
    <row r="469">
      <c r="A469" s="19" t="s">
        <v>1225</v>
      </c>
      <c r="B469" s="44"/>
      <c r="C469" s="20" t="s">
        <v>3273</v>
      </c>
      <c r="D469" s="41">
        <v>45629.0</v>
      </c>
    </row>
    <row r="470">
      <c r="A470" s="19" t="s">
        <v>972</v>
      </c>
      <c r="B470" s="44"/>
      <c r="C470" s="20" t="s">
        <v>3274</v>
      </c>
      <c r="D470" s="41">
        <v>45629.0</v>
      </c>
    </row>
    <row r="471">
      <c r="A471" s="19" t="s">
        <v>965</v>
      </c>
      <c r="B471" s="44"/>
      <c r="C471" s="20" t="s">
        <v>3275</v>
      </c>
      <c r="D471" s="41">
        <v>45629.0</v>
      </c>
    </row>
    <row r="472">
      <c r="A472" s="19" t="s">
        <v>33</v>
      </c>
      <c r="B472" s="44"/>
      <c r="C472" s="20" t="s">
        <v>3276</v>
      </c>
      <c r="D472" s="41">
        <v>45629.0</v>
      </c>
    </row>
    <row r="473">
      <c r="A473" s="19" t="s">
        <v>1141</v>
      </c>
      <c r="B473" s="44"/>
      <c r="C473" s="20" t="s">
        <v>3277</v>
      </c>
      <c r="D473" s="41">
        <v>45629.0</v>
      </c>
    </row>
    <row r="474">
      <c r="A474" s="19" t="s">
        <v>790</v>
      </c>
      <c r="B474" s="44"/>
      <c r="C474" s="20" t="s">
        <v>3278</v>
      </c>
      <c r="D474" s="41">
        <v>45629.0</v>
      </c>
    </row>
    <row r="475">
      <c r="A475" s="19" t="s">
        <v>904</v>
      </c>
      <c r="B475" s="44"/>
      <c r="C475" s="20" t="s">
        <v>3279</v>
      </c>
      <c r="D475" s="41">
        <v>45629.0</v>
      </c>
    </row>
    <row r="476">
      <c r="A476" s="19" t="s">
        <v>1143</v>
      </c>
      <c r="B476" s="44"/>
      <c r="C476" s="20" t="s">
        <v>3280</v>
      </c>
      <c r="D476" s="41">
        <v>45629.0</v>
      </c>
    </row>
    <row r="477">
      <c r="A477" s="19" t="s">
        <v>933</v>
      </c>
      <c r="B477" s="44"/>
      <c r="C477" s="20" t="s">
        <v>3281</v>
      </c>
      <c r="D477" s="41">
        <v>45629.0</v>
      </c>
    </row>
    <row r="478">
      <c r="A478" s="19" t="s">
        <v>1449</v>
      </c>
      <c r="B478" s="44"/>
      <c r="C478" s="20" t="s">
        <v>3282</v>
      </c>
      <c r="D478" s="41">
        <v>45629.0</v>
      </c>
    </row>
    <row r="479">
      <c r="A479" s="19" t="s">
        <v>821</v>
      </c>
      <c r="B479" s="44"/>
      <c r="C479" s="20" t="s">
        <v>3283</v>
      </c>
      <c r="D479" s="41">
        <v>45629.0</v>
      </c>
    </row>
    <row r="480">
      <c r="A480" s="19" t="s">
        <v>1608</v>
      </c>
      <c r="B480" s="44"/>
      <c r="C480" s="20" t="s">
        <v>3284</v>
      </c>
      <c r="D480" s="41">
        <v>45629.0</v>
      </c>
    </row>
    <row r="481">
      <c r="A481" s="19" t="s">
        <v>853</v>
      </c>
      <c r="B481" s="44"/>
      <c r="C481" s="20" t="s">
        <v>3285</v>
      </c>
      <c r="D481" s="41">
        <v>45629.0</v>
      </c>
    </row>
    <row r="482">
      <c r="A482" s="19" t="s">
        <v>1408</v>
      </c>
      <c r="B482" s="44"/>
      <c r="C482" s="20" t="s">
        <v>3286</v>
      </c>
      <c r="D482" s="41">
        <v>45629.0</v>
      </c>
    </row>
    <row r="483">
      <c r="A483" s="19" t="s">
        <v>1615</v>
      </c>
      <c r="B483" s="44"/>
      <c r="C483" s="20" t="s">
        <v>3287</v>
      </c>
      <c r="D483" s="41">
        <v>45629.0</v>
      </c>
    </row>
    <row r="484">
      <c r="A484" s="19" t="s">
        <v>886</v>
      </c>
      <c r="B484" s="44"/>
      <c r="C484" s="20" t="s">
        <v>3288</v>
      </c>
      <c r="D484" s="41">
        <v>45629.0</v>
      </c>
    </row>
    <row r="485">
      <c r="A485" s="19" t="s">
        <v>1468</v>
      </c>
      <c r="B485" s="44"/>
      <c r="C485" s="20" t="s">
        <v>3289</v>
      </c>
      <c r="D485" s="41">
        <v>45629.0</v>
      </c>
    </row>
    <row r="486">
      <c r="A486" s="19" t="s">
        <v>1185</v>
      </c>
      <c r="B486" s="44"/>
      <c r="C486" s="20" t="s">
        <v>3290</v>
      </c>
      <c r="D486" s="41">
        <v>45629.0</v>
      </c>
    </row>
    <row r="487">
      <c r="A487" s="19" t="s">
        <v>1443</v>
      </c>
      <c r="B487" s="44"/>
      <c r="C487" s="20" t="s">
        <v>3291</v>
      </c>
      <c r="D487" s="41">
        <v>45629.0</v>
      </c>
    </row>
    <row r="488">
      <c r="A488" s="19" t="s">
        <v>1183</v>
      </c>
      <c r="B488" s="44"/>
      <c r="C488" s="20" t="s">
        <v>3292</v>
      </c>
      <c r="D488" s="41">
        <v>45629.0</v>
      </c>
    </row>
    <row r="489">
      <c r="A489" s="19" t="s">
        <v>1619</v>
      </c>
      <c r="B489" s="44"/>
      <c r="C489" s="20" t="s">
        <v>3293</v>
      </c>
      <c r="D489" s="41">
        <v>45629.0</v>
      </c>
    </row>
    <row r="490">
      <c r="A490" s="19" t="s">
        <v>1151</v>
      </c>
      <c r="B490" s="44"/>
      <c r="C490" s="20" t="s">
        <v>3294</v>
      </c>
      <c r="D490" s="41">
        <v>45629.0</v>
      </c>
    </row>
    <row r="491">
      <c r="A491" s="19" t="s">
        <v>1445</v>
      </c>
      <c r="B491" s="44"/>
      <c r="C491" s="20" t="s">
        <v>3295</v>
      </c>
      <c r="D491" s="41">
        <v>45629.0</v>
      </c>
    </row>
    <row r="492">
      <c r="A492" s="19" t="s">
        <v>89</v>
      </c>
      <c r="B492" s="44"/>
      <c r="C492" s="20" t="s">
        <v>3296</v>
      </c>
      <c r="D492" s="41">
        <v>45629.0</v>
      </c>
    </row>
    <row r="493">
      <c r="A493" s="19" t="s">
        <v>126</v>
      </c>
      <c r="B493" s="44"/>
      <c r="C493" s="20" t="s">
        <v>3297</v>
      </c>
      <c r="D493" s="41">
        <v>45629.0</v>
      </c>
    </row>
    <row r="494">
      <c r="A494" s="19" t="s">
        <v>825</v>
      </c>
      <c r="B494" s="44"/>
      <c r="C494" s="20" t="s">
        <v>3298</v>
      </c>
      <c r="D494" s="41">
        <v>45629.0</v>
      </c>
    </row>
    <row r="495">
      <c r="A495" s="19" t="s">
        <v>841</v>
      </c>
      <c r="B495" s="44"/>
      <c r="C495" s="20" t="s">
        <v>3299</v>
      </c>
      <c r="D495" s="41">
        <v>45629.0</v>
      </c>
    </row>
    <row r="496">
      <c r="A496" s="19" t="s">
        <v>1006</v>
      </c>
      <c r="B496" s="44"/>
      <c r="C496" s="20" t="s">
        <v>3300</v>
      </c>
      <c r="D496" s="41">
        <v>45629.0</v>
      </c>
    </row>
    <row r="497">
      <c r="A497" s="19" t="s">
        <v>1323</v>
      </c>
      <c r="B497" s="44"/>
      <c r="C497" s="20" t="s">
        <v>3301</v>
      </c>
      <c r="D497" s="41">
        <v>45629.0</v>
      </c>
    </row>
    <row r="498">
      <c r="A498" s="19" t="s">
        <v>537</v>
      </c>
      <c r="B498" s="44"/>
      <c r="C498" s="20" t="s">
        <v>3302</v>
      </c>
      <c r="D498" s="41">
        <v>45629.0</v>
      </c>
    </row>
    <row r="499">
      <c r="A499" s="19" t="s">
        <v>835</v>
      </c>
      <c r="B499" s="44"/>
      <c r="C499" s="20" t="s">
        <v>3303</v>
      </c>
      <c r="D499" s="41">
        <v>45629.0</v>
      </c>
    </row>
    <row r="500">
      <c r="A500" s="19" t="s">
        <v>1632</v>
      </c>
      <c r="B500" s="44"/>
      <c r="C500" s="20" t="s">
        <v>3304</v>
      </c>
      <c r="D500" s="41">
        <v>45629.0</v>
      </c>
    </row>
    <row r="501">
      <c r="A501" s="19" t="s">
        <v>1235</v>
      </c>
      <c r="B501" s="44"/>
      <c r="C501" s="20" t="s">
        <v>3305</v>
      </c>
      <c r="D501" s="41">
        <v>45629.0</v>
      </c>
    </row>
    <row r="502">
      <c r="A502" s="19" t="s">
        <v>1636</v>
      </c>
      <c r="B502" s="44"/>
      <c r="C502" s="20" t="s">
        <v>3306</v>
      </c>
      <c r="D502" s="41">
        <v>45629.0</v>
      </c>
    </row>
    <row r="503">
      <c r="A503" s="19" t="s">
        <v>1021</v>
      </c>
      <c r="B503" s="44"/>
      <c r="C503" s="20" t="s">
        <v>3307</v>
      </c>
      <c r="D503" s="41">
        <v>45629.0</v>
      </c>
    </row>
    <row r="504">
      <c r="A504" s="19" t="s">
        <v>1638</v>
      </c>
      <c r="B504" s="44"/>
      <c r="C504" s="20" t="s">
        <v>3308</v>
      </c>
      <c r="D504" s="41">
        <v>45629.0</v>
      </c>
    </row>
  </sheetData>
  <autoFilter ref="$H$1:$J$19">
    <sortState ref="H1:J19">
      <sortCondition descending="1" ref="J1:J19"/>
    </sortState>
  </autoFilter>
  <hyperlinks>
    <hyperlink r:id="rId1" ref="C56"/>
    <hyperlink r:id="rId2" ref="C100"/>
    <hyperlink r:id="rId3" ref="C175"/>
    <hyperlink r:id="rId4" ref="C180"/>
    <hyperlink r:id="rId5" ref="C185"/>
    <hyperlink r:id="rId6" ref="C186"/>
    <hyperlink r:id="rId7" ref="C192"/>
    <hyperlink r:id="rId8" ref="C217"/>
    <hyperlink r:id="rId9" ref="C222"/>
    <hyperlink r:id="rId10" ref="C260"/>
    <hyperlink r:id="rId11" ref="C261"/>
    <hyperlink r:id="rId12" ref="C276"/>
    <hyperlink r:id="rId13" ref="C284"/>
    <hyperlink r:id="rId14" ref="C293"/>
  </hyperlinks>
  <drawing r:id="rId15"/>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40" t="s">
        <v>623</v>
      </c>
      <c r="B1" s="40" t="s">
        <v>624</v>
      </c>
      <c r="C1" s="40" t="s">
        <v>625</v>
      </c>
      <c r="D1" s="40" t="s">
        <v>626</v>
      </c>
    </row>
    <row r="2">
      <c r="A2" s="19" t="s">
        <v>103</v>
      </c>
      <c r="B2" s="20" t="s">
        <v>3309</v>
      </c>
      <c r="C2" s="20">
        <v>85.0</v>
      </c>
      <c r="D2" s="41">
        <v>45629.0</v>
      </c>
    </row>
    <row r="3">
      <c r="A3" s="19" t="s">
        <v>173</v>
      </c>
      <c r="B3" s="20" t="s">
        <v>3310</v>
      </c>
      <c r="C3" s="20">
        <v>85.0</v>
      </c>
      <c r="D3" s="41">
        <v>45629.0</v>
      </c>
    </row>
    <row r="4">
      <c r="A4" s="19" t="s">
        <v>107</v>
      </c>
      <c r="B4" s="20" t="s">
        <v>3311</v>
      </c>
      <c r="C4" s="20">
        <v>85.0</v>
      </c>
      <c r="D4" s="41">
        <v>45629.0</v>
      </c>
    </row>
    <row r="5">
      <c r="A5" s="19" t="s">
        <v>634</v>
      </c>
      <c r="B5" s="20" t="s">
        <v>3312</v>
      </c>
      <c r="C5" s="20">
        <v>85.0</v>
      </c>
      <c r="D5" s="41">
        <v>45629.0</v>
      </c>
    </row>
    <row r="6">
      <c r="A6" s="19" t="s">
        <v>119</v>
      </c>
      <c r="B6" s="20" t="s">
        <v>3313</v>
      </c>
      <c r="C6" s="20">
        <v>85.0</v>
      </c>
      <c r="D6" s="41">
        <v>45629.0</v>
      </c>
    </row>
    <row r="7">
      <c r="A7" s="19" t="s">
        <v>742</v>
      </c>
      <c r="B7" s="20" t="s">
        <v>3314</v>
      </c>
      <c r="C7" s="20">
        <v>85.0</v>
      </c>
      <c r="D7" s="41">
        <v>45629.0</v>
      </c>
    </row>
    <row r="8">
      <c r="A8" s="19" t="s">
        <v>111</v>
      </c>
      <c r="B8" s="20" t="s">
        <v>3315</v>
      </c>
      <c r="C8" s="20">
        <v>85.0</v>
      </c>
      <c r="D8" s="41">
        <v>45629.0</v>
      </c>
    </row>
    <row r="9">
      <c r="A9" s="19" t="s">
        <v>194</v>
      </c>
      <c r="B9" s="20" t="s">
        <v>3316</v>
      </c>
      <c r="C9" s="20">
        <v>85.0</v>
      </c>
      <c r="D9" s="41">
        <v>45629.0</v>
      </c>
    </row>
    <row r="10">
      <c r="A10" s="19" t="s">
        <v>704</v>
      </c>
      <c r="B10" s="20" t="s">
        <v>3317</v>
      </c>
      <c r="C10" s="20">
        <v>85.0</v>
      </c>
      <c r="D10" s="41">
        <v>45629.0</v>
      </c>
    </row>
    <row r="11">
      <c r="A11" s="19" t="s">
        <v>115</v>
      </c>
      <c r="B11" s="20" t="s">
        <v>3318</v>
      </c>
      <c r="C11" s="20">
        <v>80.0</v>
      </c>
      <c r="D11" s="41">
        <v>45629.0</v>
      </c>
    </row>
    <row r="12">
      <c r="A12" s="19" t="s">
        <v>156</v>
      </c>
      <c r="B12" s="20" t="s">
        <v>3319</v>
      </c>
      <c r="C12" s="20">
        <v>80.0</v>
      </c>
      <c r="D12" s="41">
        <v>45629.0</v>
      </c>
    </row>
    <row r="13">
      <c r="A13" s="19" t="s">
        <v>177</v>
      </c>
      <c r="B13" s="20" t="s">
        <v>3320</v>
      </c>
      <c r="C13" s="20">
        <v>75.0</v>
      </c>
      <c r="D13" s="41">
        <v>45629.0</v>
      </c>
    </row>
    <row r="14">
      <c r="A14" s="19" t="s">
        <v>717</v>
      </c>
      <c r="B14" s="20" t="s">
        <v>3321</v>
      </c>
      <c r="C14" s="20">
        <v>75.0</v>
      </c>
      <c r="D14" s="41">
        <v>45629.0</v>
      </c>
    </row>
    <row r="15">
      <c r="A15" s="19" t="s">
        <v>645</v>
      </c>
      <c r="B15" s="20" t="s">
        <v>3322</v>
      </c>
      <c r="C15" s="20">
        <v>75.0</v>
      </c>
      <c r="D15" s="41">
        <v>45629.0</v>
      </c>
    </row>
    <row r="16">
      <c r="A16" s="19" t="s">
        <v>656</v>
      </c>
      <c r="B16" s="20" t="s">
        <v>3323</v>
      </c>
      <c r="C16" s="20">
        <v>75.0</v>
      </c>
      <c r="D16" s="41">
        <v>45629.0</v>
      </c>
    </row>
    <row r="17">
      <c r="A17" s="19" t="s">
        <v>153</v>
      </c>
      <c r="B17" s="20" t="s">
        <v>3324</v>
      </c>
      <c r="C17" s="20">
        <v>75.0</v>
      </c>
      <c r="D17" s="41">
        <v>45629.0</v>
      </c>
    </row>
    <row r="18">
      <c r="A18" s="19" t="s">
        <v>159</v>
      </c>
      <c r="B18" s="20" t="s">
        <v>3325</v>
      </c>
      <c r="C18" s="20">
        <v>75.0</v>
      </c>
      <c r="D18" s="41">
        <v>45629.0</v>
      </c>
    </row>
    <row r="19">
      <c r="A19" s="19" t="s">
        <v>706</v>
      </c>
      <c r="B19" s="20" t="s">
        <v>3326</v>
      </c>
      <c r="C19" s="20">
        <v>75.0</v>
      </c>
      <c r="D19" s="41">
        <v>45629.0</v>
      </c>
    </row>
    <row r="20">
      <c r="A20" s="19" t="s">
        <v>723</v>
      </c>
      <c r="B20" s="20" t="s">
        <v>3327</v>
      </c>
      <c r="C20" s="20">
        <v>75.0</v>
      </c>
      <c r="D20" s="41">
        <v>45629.0</v>
      </c>
    </row>
    <row r="21">
      <c r="A21" s="19" t="s">
        <v>725</v>
      </c>
      <c r="B21" s="20" t="s">
        <v>3328</v>
      </c>
      <c r="C21" s="20">
        <v>75.0</v>
      </c>
      <c r="D21" s="41">
        <v>45629.0</v>
      </c>
    </row>
    <row r="22">
      <c r="A22" s="19" t="s">
        <v>712</v>
      </c>
      <c r="B22" s="20" t="s">
        <v>3329</v>
      </c>
      <c r="C22" s="20">
        <v>75.0</v>
      </c>
      <c r="D22" s="41">
        <v>45629.0</v>
      </c>
    </row>
    <row r="23">
      <c r="A23" s="19" t="s">
        <v>749</v>
      </c>
      <c r="B23" s="20" t="s">
        <v>3330</v>
      </c>
      <c r="C23" s="20">
        <v>75.0</v>
      </c>
      <c r="D23" s="41">
        <v>45629.0</v>
      </c>
    </row>
    <row r="24">
      <c r="A24" s="19" t="s">
        <v>751</v>
      </c>
      <c r="B24" s="20" t="s">
        <v>3331</v>
      </c>
      <c r="C24" s="20">
        <v>75.0</v>
      </c>
      <c r="D24" s="41">
        <v>45629.0</v>
      </c>
    </row>
    <row r="25">
      <c r="A25" s="19" t="s">
        <v>753</v>
      </c>
      <c r="B25" s="20" t="s">
        <v>3332</v>
      </c>
      <c r="C25" s="20">
        <v>75.0</v>
      </c>
      <c r="D25" s="41">
        <v>45629.0</v>
      </c>
    </row>
    <row r="26">
      <c r="A26" s="19" t="s">
        <v>755</v>
      </c>
      <c r="B26" s="20" t="s">
        <v>3333</v>
      </c>
      <c r="C26" s="20">
        <v>75.0</v>
      </c>
      <c r="D26" s="41">
        <v>45629.0</v>
      </c>
    </row>
    <row r="27">
      <c r="A27" s="19" t="s">
        <v>662</v>
      </c>
      <c r="B27" s="20" t="s">
        <v>3334</v>
      </c>
      <c r="C27" s="20">
        <v>75.0</v>
      </c>
      <c r="D27" s="41">
        <v>45629.0</v>
      </c>
    </row>
    <row r="28">
      <c r="A28" s="19" t="s">
        <v>672</v>
      </c>
      <c r="B28" s="20" t="s">
        <v>3335</v>
      </c>
      <c r="C28" s="20">
        <v>75.0</v>
      </c>
      <c r="D28" s="41">
        <v>45629.0</v>
      </c>
    </row>
    <row r="29">
      <c r="A29" s="19" t="s">
        <v>734</v>
      </c>
      <c r="B29" s="20" t="s">
        <v>3336</v>
      </c>
      <c r="C29" s="20">
        <v>75.0</v>
      </c>
      <c r="D29" s="41">
        <v>45629.0</v>
      </c>
    </row>
    <row r="30">
      <c r="A30" s="19" t="s">
        <v>745</v>
      </c>
      <c r="B30" s="20" t="s">
        <v>3337</v>
      </c>
      <c r="C30" s="20">
        <v>75.0</v>
      </c>
      <c r="D30" s="41">
        <v>45629.0</v>
      </c>
    </row>
    <row r="31">
      <c r="A31" s="19" t="s">
        <v>740</v>
      </c>
      <c r="B31" s="20" t="s">
        <v>3338</v>
      </c>
      <c r="C31" s="20">
        <v>75.0</v>
      </c>
      <c r="D31" s="41">
        <v>45629.0</v>
      </c>
    </row>
    <row r="32">
      <c r="A32" s="42"/>
      <c r="B32" s="20" t="s">
        <v>3339</v>
      </c>
      <c r="C32" s="20">
        <v>75.0</v>
      </c>
      <c r="D32" s="41">
        <v>45629.0</v>
      </c>
    </row>
    <row r="33">
      <c r="A33" s="19" t="s">
        <v>694</v>
      </c>
      <c r="B33" s="20" t="s">
        <v>3340</v>
      </c>
      <c r="C33" s="20">
        <v>75.0</v>
      </c>
      <c r="D33" s="41">
        <v>45629.0</v>
      </c>
    </row>
    <row r="34">
      <c r="A34" s="19" t="s">
        <v>736</v>
      </c>
      <c r="B34" s="20" t="s">
        <v>3341</v>
      </c>
      <c r="C34" s="20">
        <v>75.0</v>
      </c>
      <c r="D34" s="41">
        <v>45629.0</v>
      </c>
    </row>
    <row r="35">
      <c r="A35" s="19" t="s">
        <v>188</v>
      </c>
      <c r="B35" s="20" t="s">
        <v>3342</v>
      </c>
      <c r="C35" s="20">
        <v>75.0</v>
      </c>
      <c r="D35" s="41">
        <v>45629.0</v>
      </c>
    </row>
    <row r="36">
      <c r="A36" s="19" t="s">
        <v>658</v>
      </c>
      <c r="B36" s="20" t="s">
        <v>3343</v>
      </c>
      <c r="C36" s="20">
        <v>75.0</v>
      </c>
      <c r="D36" s="41">
        <v>45629.0</v>
      </c>
    </row>
    <row r="37">
      <c r="A37" s="19" t="s">
        <v>731</v>
      </c>
      <c r="B37" s="20" t="s">
        <v>3344</v>
      </c>
      <c r="C37" s="20">
        <v>75.0</v>
      </c>
      <c r="D37" s="41">
        <v>45629.0</v>
      </c>
    </row>
    <row r="38">
      <c r="A38" s="19" t="s">
        <v>660</v>
      </c>
      <c r="B38" s="20" t="s">
        <v>3345</v>
      </c>
      <c r="C38" s="20">
        <v>75.0</v>
      </c>
      <c r="D38" s="41">
        <v>45629.0</v>
      </c>
    </row>
    <row r="39">
      <c r="A39" s="19" t="s">
        <v>668</v>
      </c>
      <c r="B39" s="20" t="s">
        <v>3346</v>
      </c>
      <c r="C39" s="20">
        <v>75.0</v>
      </c>
      <c r="D39" s="41">
        <v>45629.0</v>
      </c>
    </row>
    <row r="40">
      <c r="A40" s="19" t="s">
        <v>727</v>
      </c>
      <c r="B40" s="20" t="s">
        <v>3347</v>
      </c>
      <c r="C40" s="20">
        <v>75.0</v>
      </c>
      <c r="D40" s="41">
        <v>45629.0</v>
      </c>
    </row>
    <row r="41">
      <c r="A41" s="19" t="s">
        <v>309</v>
      </c>
      <c r="B41" s="20" t="s">
        <v>3348</v>
      </c>
      <c r="C41" s="20">
        <v>75.0</v>
      </c>
      <c r="D41" s="41">
        <v>45629.0</v>
      </c>
    </row>
    <row r="42">
      <c r="A42" s="19" t="s">
        <v>664</v>
      </c>
      <c r="B42" s="20" t="s">
        <v>3349</v>
      </c>
      <c r="C42" s="20">
        <v>75.0</v>
      </c>
      <c r="D42" s="41">
        <v>45629.0</v>
      </c>
    </row>
    <row r="43">
      <c r="A43" s="19" t="s">
        <v>647</v>
      </c>
      <c r="B43" s="20" t="s">
        <v>3350</v>
      </c>
      <c r="C43" s="20">
        <v>75.0</v>
      </c>
      <c r="D43" s="41">
        <v>45629.0</v>
      </c>
    </row>
    <row r="44">
      <c r="A44" s="19" t="s">
        <v>312</v>
      </c>
      <c r="B44" s="20" t="s">
        <v>3351</v>
      </c>
      <c r="C44" s="20">
        <v>75.0</v>
      </c>
      <c r="D44" s="41">
        <v>45629.0</v>
      </c>
    </row>
    <row r="45">
      <c r="A45" s="19" t="s">
        <v>640</v>
      </c>
      <c r="B45" s="20" t="s">
        <v>3352</v>
      </c>
      <c r="C45" s="20">
        <v>75.0</v>
      </c>
      <c r="D45" s="41">
        <v>45629.0</v>
      </c>
    </row>
    <row r="46">
      <c r="A46" s="19" t="s">
        <v>636</v>
      </c>
      <c r="B46" s="20" t="s">
        <v>3353</v>
      </c>
      <c r="C46" s="20">
        <v>75.0</v>
      </c>
      <c r="D46" s="41">
        <v>45629.0</v>
      </c>
    </row>
    <row r="47">
      <c r="A47" s="19" t="s">
        <v>686</v>
      </c>
      <c r="B47" s="20" t="s">
        <v>3354</v>
      </c>
      <c r="C47" s="20">
        <v>75.0</v>
      </c>
      <c r="D47" s="41">
        <v>45629.0</v>
      </c>
    </row>
    <row r="48">
      <c r="A48" s="19" t="s">
        <v>654</v>
      </c>
      <c r="B48" s="20" t="s">
        <v>3355</v>
      </c>
      <c r="C48" s="20">
        <v>75.0</v>
      </c>
      <c r="D48" s="41">
        <v>45629.0</v>
      </c>
    </row>
    <row r="49">
      <c r="A49" s="19" t="s">
        <v>692</v>
      </c>
      <c r="B49" s="20" t="s">
        <v>3356</v>
      </c>
      <c r="C49" s="20">
        <v>75.0</v>
      </c>
      <c r="D49" s="41">
        <v>45629.0</v>
      </c>
    </row>
    <row r="50">
      <c r="A50" s="19" t="s">
        <v>721</v>
      </c>
      <c r="B50" s="20" t="s">
        <v>3357</v>
      </c>
      <c r="C50" s="20">
        <v>75.0</v>
      </c>
      <c r="D50" s="41">
        <v>45629.0</v>
      </c>
    </row>
    <row r="51">
      <c r="A51" s="19" t="s">
        <v>690</v>
      </c>
      <c r="B51" s="20" t="s">
        <v>3358</v>
      </c>
      <c r="C51" s="20">
        <v>70.0</v>
      </c>
      <c r="D51" s="41">
        <v>45629.0</v>
      </c>
    </row>
    <row r="52">
      <c r="A52" s="19" t="s">
        <v>688</v>
      </c>
      <c r="B52" s="20" t="s">
        <v>3359</v>
      </c>
      <c r="C52" s="20">
        <v>70.0</v>
      </c>
      <c r="D52" s="41">
        <v>45629.0</v>
      </c>
    </row>
    <row r="53">
      <c r="A53" s="19" t="s">
        <v>684</v>
      </c>
      <c r="B53" s="20" t="s">
        <v>3360</v>
      </c>
      <c r="C53" s="20">
        <v>70.0</v>
      </c>
      <c r="D53" s="41">
        <v>45629.0</v>
      </c>
    </row>
    <row r="54">
      <c r="A54" s="19" t="s">
        <v>708</v>
      </c>
      <c r="B54" s="20" t="s">
        <v>3361</v>
      </c>
      <c r="C54" s="20">
        <v>70.0</v>
      </c>
      <c r="D54" s="41">
        <v>45629.0</v>
      </c>
    </row>
    <row r="55">
      <c r="A55" s="19" t="s">
        <v>649</v>
      </c>
      <c r="B55" s="20" t="s">
        <v>3362</v>
      </c>
      <c r="C55" s="20">
        <v>70.0</v>
      </c>
      <c r="D55" s="41">
        <v>45629.0</v>
      </c>
    </row>
    <row r="56">
      <c r="A56" s="19" t="s">
        <v>666</v>
      </c>
      <c r="B56" s="20" t="s">
        <v>3363</v>
      </c>
      <c r="C56" s="20">
        <v>70.0</v>
      </c>
      <c r="D56" s="41">
        <v>45629.0</v>
      </c>
    </row>
    <row r="57">
      <c r="A57" s="19" t="s">
        <v>719</v>
      </c>
      <c r="B57" s="20" t="s">
        <v>3364</v>
      </c>
      <c r="C57" s="20">
        <v>70.0</v>
      </c>
      <c r="D57" s="41">
        <v>45629.0</v>
      </c>
    </row>
    <row r="58">
      <c r="A58" s="19" t="s">
        <v>700</v>
      </c>
      <c r="B58" s="20" t="s">
        <v>3365</v>
      </c>
      <c r="C58" s="20">
        <v>70.0</v>
      </c>
      <c r="D58" s="41">
        <v>45629.0</v>
      </c>
    </row>
    <row r="59">
      <c r="A59" s="19" t="s">
        <v>738</v>
      </c>
      <c r="B59" s="20" t="s">
        <v>3366</v>
      </c>
      <c r="C59" s="20">
        <v>70.0</v>
      </c>
      <c r="D59" s="41">
        <v>45629.0</v>
      </c>
    </row>
    <row r="60">
      <c r="A60" s="19" t="s">
        <v>314</v>
      </c>
      <c r="B60" s="20" t="s">
        <v>3367</v>
      </c>
      <c r="C60" s="20">
        <v>70.0</v>
      </c>
      <c r="D60" s="41">
        <v>45629.0</v>
      </c>
    </row>
    <row r="61">
      <c r="A61" s="19" t="s">
        <v>150</v>
      </c>
      <c r="B61" s="20" t="s">
        <v>3368</v>
      </c>
      <c r="C61" s="20">
        <v>70.0</v>
      </c>
      <c r="D61" s="41">
        <v>45629.0</v>
      </c>
    </row>
    <row r="62">
      <c r="A62" s="19" t="s">
        <v>675</v>
      </c>
      <c r="B62" s="20" t="s">
        <v>3369</v>
      </c>
      <c r="C62" s="20">
        <v>70.0</v>
      </c>
      <c r="D62" s="41">
        <v>45629.0</v>
      </c>
    </row>
    <row r="63">
      <c r="A63" s="19" t="s">
        <v>642</v>
      </c>
      <c r="B63" s="20" t="s">
        <v>3370</v>
      </c>
      <c r="C63" s="20">
        <v>70.0</v>
      </c>
      <c r="D63" s="41">
        <v>45629.0</v>
      </c>
    </row>
    <row r="64">
      <c r="A64" s="19" t="s">
        <v>702</v>
      </c>
      <c r="B64" s="20" t="s">
        <v>3371</v>
      </c>
      <c r="C64" s="20">
        <v>70.0</v>
      </c>
      <c r="D64" s="41">
        <v>45629.0</v>
      </c>
    </row>
    <row r="65">
      <c r="A65" s="19" t="s">
        <v>710</v>
      </c>
      <c r="B65" s="20" t="s">
        <v>3372</v>
      </c>
      <c r="C65" s="20">
        <v>70.0</v>
      </c>
      <c r="D65" s="41">
        <v>45629.0</v>
      </c>
    </row>
    <row r="66">
      <c r="A66" s="19" t="s">
        <v>652</v>
      </c>
      <c r="B66" s="20" t="s">
        <v>3373</v>
      </c>
      <c r="C66" s="20">
        <v>70.0</v>
      </c>
      <c r="D66" s="41">
        <v>45629.0</v>
      </c>
    </row>
    <row r="67">
      <c r="A67" s="19" t="s">
        <v>698</v>
      </c>
      <c r="B67" s="20" t="s">
        <v>3374</v>
      </c>
      <c r="C67" s="20">
        <v>70.0</v>
      </c>
      <c r="D67" s="41">
        <v>45629.0</v>
      </c>
    </row>
    <row r="68">
      <c r="A68" s="19" t="s">
        <v>638</v>
      </c>
      <c r="B68" s="20" t="s">
        <v>3375</v>
      </c>
      <c r="C68" s="20">
        <v>65.0</v>
      </c>
      <c r="D68" s="41">
        <v>45629.0</v>
      </c>
    </row>
    <row r="69">
      <c r="A69" s="19" t="s">
        <v>747</v>
      </c>
      <c r="B69" s="20" t="s">
        <v>3376</v>
      </c>
      <c r="C69" s="20">
        <v>65.0</v>
      </c>
      <c r="D69" s="41">
        <v>45629.0</v>
      </c>
    </row>
    <row r="70">
      <c r="A70" s="19" t="s">
        <v>757</v>
      </c>
      <c r="B70" s="20" t="s">
        <v>3377</v>
      </c>
      <c r="C70" s="20">
        <v>65.0</v>
      </c>
      <c r="D70" s="41">
        <v>45629.0</v>
      </c>
    </row>
    <row r="71">
      <c r="A71" s="19" t="s">
        <v>682</v>
      </c>
      <c r="B71" s="20" t="s">
        <v>3378</v>
      </c>
      <c r="C71" s="20">
        <v>65.0</v>
      </c>
      <c r="D71" s="41">
        <v>45629.0</v>
      </c>
    </row>
    <row r="72">
      <c r="A72" s="19" t="s">
        <v>148</v>
      </c>
      <c r="B72" s="20" t="s">
        <v>3379</v>
      </c>
      <c r="C72" s="20">
        <v>65.0</v>
      </c>
      <c r="D72" s="41">
        <v>45629.0</v>
      </c>
    </row>
    <row r="73">
      <c r="A73" s="19" t="s">
        <v>678</v>
      </c>
      <c r="B73" s="20" t="s">
        <v>3380</v>
      </c>
      <c r="C73" s="20">
        <v>60.0</v>
      </c>
      <c r="D73" s="41">
        <v>45629.0</v>
      </c>
    </row>
    <row r="74">
      <c r="A74" s="19" t="s">
        <v>714</v>
      </c>
      <c r="B74" s="20" t="s">
        <v>3381</v>
      </c>
      <c r="C74" s="20">
        <v>45.0</v>
      </c>
      <c r="D74" s="41">
        <v>45629.0</v>
      </c>
    </row>
    <row r="75">
      <c r="A75" s="19" t="s">
        <v>670</v>
      </c>
      <c r="B75" s="20" t="s">
        <v>3382</v>
      </c>
      <c r="C75" s="20">
        <v>45.0</v>
      </c>
      <c r="D75" s="41">
        <v>45629.0</v>
      </c>
    </row>
    <row r="76">
      <c r="A76" s="19" t="s">
        <v>729</v>
      </c>
      <c r="B76" s="20" t="s">
        <v>3383</v>
      </c>
      <c r="C76" s="20">
        <v>45.0</v>
      </c>
      <c r="D76" s="41">
        <v>45629.0</v>
      </c>
    </row>
  </sheetData>
  <drawing r:id="rId1"/>
</worksheet>
</file>